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ctrlProps/ctrlProp3.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tables/table11.xml" ContentType="application/vnd.openxmlformats-officedocument.spreadsheetml.table+xml"/>
  <Override PartName="/xl/drawings/drawing6.xml" ContentType="application/vnd.openxmlformats-officedocument.drawing+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trlProps/ctrlProp7.xml" ContentType="application/vnd.ms-excel.controlproperti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omments1.xml" ContentType="application/vnd.openxmlformats-officedocument.spreadsheetml.comments+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ml.chartshapes+xml"/>
  <Override PartName="/xl/charts/chart17.xml" ContentType="application/vnd.openxmlformats-officedocument.drawingml.chart+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6.xml" ContentType="application/vnd.openxmlformats-officedocument.drawing+xml"/>
  <Override PartName="/xl/ctrlProps/ctrlProp21.xml" ContentType="application/vnd.ms-excel.controlproperties+xml"/>
  <Override PartName="/xl/tables/table12.xml" ContentType="application/vnd.openxmlformats-officedocument.spreadsheetml.table+xml"/>
  <Override PartName="/xl/drawings/drawing1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8.xml" ContentType="application/vnd.openxmlformats-officedocument.drawing+xml"/>
  <Override PartName="/xl/tables/table13.xml" ContentType="application/vnd.openxmlformats-officedocument.spreadsheetml.table+xml"/>
  <Override PartName="/xl/pivotTables/pivotTable1.xml" ContentType="application/vnd.openxmlformats-officedocument.spreadsheetml.pivotTable+xml"/>
  <Override PartName="/xl/drawings/drawing19.xml" ContentType="application/vnd.openxmlformats-officedocument.drawing+xml"/>
  <Override PartName="/xl/drawings/drawing20.xml" ContentType="application/vnd.openxmlformats-officedocument.drawing+xml"/>
  <Override PartName="/xl/ctrlProps/ctrlProp35.xml" ContentType="application/vnd.ms-excel.controlproperties+xml"/>
  <Override PartName="/xl/charts/chart18.xml" ContentType="application/vnd.openxmlformats-officedocument.drawingml.chart+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trlProps/ctrlProp36.xml" ContentType="application/vnd.ms-excel.controlproperties+xml"/>
  <Override PartName="/xl/tables/table14.xml" ContentType="application/vnd.openxmlformats-officedocument.spreadsheetml.table+xml"/>
  <Override PartName="/xl/tables/table15.xml" ContentType="application/vnd.openxmlformats-officedocument.spreadsheetml.table+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3.xml" ContentType="application/vnd.openxmlformats-officedocument.drawingml.chartshapes+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6.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27.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8.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9.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30.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codeName="{372AB895-14C1-FC20-EB20-F1B4BCFD95AE}"/>
  <workbookPr codeName="ThisWorkbook" hidePivotFieldList="1" defaultThemeVersion="124226"/>
  <mc:AlternateContent xmlns:mc="http://schemas.openxmlformats.org/markup-compatibility/2006">
    <mc:Choice Requires="x15">
      <x15ac:absPath xmlns:x15ac="http://schemas.microsoft.com/office/spreadsheetml/2010/11/ac" url="https://walloniegov-my.sharepoint.com/personal/guillaume_campion_spw_wallonie_be/Documents/"/>
    </mc:Choice>
  </mc:AlternateContent>
  <xr:revisionPtr revIDLastSave="0" documentId="8_{0E6B02EF-3AE5-4F2C-883E-52E7F9A4A04A}" xr6:coauthVersionLast="47" xr6:coauthVersionMax="47" xr10:uidLastSave="{00000000-0000-0000-0000-000000000000}"/>
  <workbookProtection workbookAlgorithmName="SHA-512" workbookHashValue="Dwrjw5582FuggJQAFc5oanVmlNhttiasaJl8XS9MNImzdGxpN0t6XiZOhnv2c2aLeeL0MwVS20m7qXTc9PePXQ==" workbookSaltValue="wkaKTn1JBJ7I1ju0l/6RDA==" workbookSpinCount="100000" lockStructure="1"/>
  <bookViews>
    <workbookView xWindow="-108" yWindow="-108" windowWidth="23256" windowHeight="12456" tabRatio="903" firstSheet="3" activeTab="3" xr2:uid="{00000000-000D-0000-FFFF-FFFF00000000}"/>
  </bookViews>
  <sheets>
    <sheet name="Communes" sheetId="859" state="hidden" r:id="rId1"/>
    <sheet name="Logements" sheetId="559" state="hidden" r:id="rId2"/>
    <sheet name="POWER BI" sheetId="857" state="hidden" r:id="rId3"/>
    <sheet name="Accueil" sheetId="28" r:id="rId4"/>
    <sheet name="Prise en main" sheetId="674" r:id="rId5"/>
    <sheet name="Liste_bâtiments_communaux" sheetId="858" r:id="rId6"/>
    <sheet name="Etude opportunité chaleur" sheetId="860" r:id="rId7"/>
    <sheet name="Données patrimoniales" sheetId="679" r:id="rId8"/>
    <sheet name="Données territoriales" sheetId="680" r:id="rId9"/>
    <sheet name="Bilan patrimonial" sheetId="87" r:id="rId10"/>
    <sheet name="Bilan territorial" sheetId="528" r:id="rId11"/>
    <sheet name="Potentiel EnR" sheetId="41" r:id="rId12"/>
    <sheet name="Vision" sheetId="37" state="hidden" r:id="rId13"/>
    <sheet name="Objectifs" sheetId="39" r:id="rId14"/>
    <sheet name="Calcul obj relatif" sheetId="475" state="hidden" r:id="rId15"/>
    <sheet name="Mesures_eco" sheetId="527" state="hidden" r:id="rId16"/>
    <sheet name="Suivi objectifs" sheetId="107" state="hidden" r:id="rId17"/>
    <sheet name="Scénarios" sheetId="529" r:id="rId18"/>
    <sheet name="Mesures_conversion" sheetId="686" state="hidden" r:id="rId19"/>
    <sheet name="Modele" sheetId="689" state="hidden" r:id="rId20"/>
    <sheet name="Categories" sheetId="98" state="hidden" r:id="rId21"/>
    <sheet name="Actions bâtiments communaux" sheetId="111" r:id="rId22"/>
    <sheet name="ldv" sheetId="83" state="hidden" r:id="rId23"/>
    <sheet name="A1" sheetId="868" r:id="rId24"/>
    <sheet name="Actions" sheetId="106" r:id="rId25"/>
    <sheet name="Actions VS Objectifs" sheetId="227" r:id="rId26"/>
    <sheet name="Planning" sheetId="354" r:id="rId27"/>
    <sheet name="Budget" sheetId="112" r:id="rId28"/>
    <sheet name="Rapport de suivi" sheetId="794" r:id="rId29"/>
    <sheet name="Rapportage POLLEC" sheetId="727" r:id="rId30"/>
    <sheet name="Action POLLEC 1" sheetId="774" r:id="rId31"/>
    <sheet name="Action POLLEC 2" sheetId="775" r:id="rId32"/>
    <sheet name="Action POLLEC 3" sheetId="776" r:id="rId33"/>
    <sheet name="Action POLLEC 4" sheetId="777" r:id="rId34"/>
    <sheet name="Action POLLEC 5" sheetId="778" r:id="rId35"/>
    <sheet name="Action POLLEC 6" sheetId="779" r:id="rId36"/>
    <sheet name="Rapportage CdM" sheetId="102" r:id="rId37"/>
    <sheet name="IRE" sheetId="99" r:id="rId38"/>
    <sheet name="ICE" sheetId="687" r:id="rId39"/>
    <sheet name="Ma stratégie " sheetId="685" r:id="rId40"/>
    <sheet name="Bonnes pratiques" sheetId="552" state="hidden" r:id="rId41"/>
    <sheet name="UREBA VS CdM" sheetId="375" state="hidden" r:id="rId42"/>
    <sheet name="Voitures" sheetId="560" state="hidden" r:id="rId43"/>
    <sheet name="Mes actions" sheetId="688" r:id="rId44"/>
    <sheet name="Détails action 1" sheetId="734" r:id="rId45"/>
    <sheet name="Détails action 2" sheetId="843" r:id="rId46"/>
    <sheet name="Détails action 3" sheetId="845" r:id="rId47"/>
    <sheet name="Détails action 4" sheetId="846" r:id="rId48"/>
    <sheet name="Détails action 5" sheetId="847" r:id="rId49"/>
    <sheet name="Détails action 6" sheetId="848" r:id="rId50"/>
    <sheet name="Détails action 7" sheetId="849" r:id="rId51"/>
    <sheet name="Détails action 8" sheetId="850" r:id="rId52"/>
    <sheet name="Détails action 9" sheetId="851" r:id="rId53"/>
    <sheet name="Détails action 10" sheetId="852" r:id="rId54"/>
    <sheet name="Détails action 11" sheetId="853" r:id="rId55"/>
    <sheet name="Détails action 12" sheetId="854" r:id="rId56"/>
    <sheet name="Hypothèses" sheetId="11" state="hidden" r:id="rId57"/>
    <sheet name="Hypothèses &amp; Méthodo" sheetId="632" r:id="rId58"/>
    <sheet name="Alertes" sheetId="555" state="hidden" r:id="rId59"/>
  </sheets>
  <functionGroups builtInGroupCount="19"/>
  <definedNames>
    <definedName name="_col1">'Potentiel EnR'!$N$12</definedName>
    <definedName name="_col2">'Potentiel EnR'!$M$12</definedName>
    <definedName name="_col3">'Potentiel EnR'!$L$12</definedName>
    <definedName name="_xlnm._FilterDatabase" localSheetId="24" hidden="1">Actions!$F$1:$CY$70</definedName>
    <definedName name="_xlnm._FilterDatabase" localSheetId="25" hidden="1">'Actions VS Objectifs'!$FO$7:$GF$48</definedName>
    <definedName name="_xlnm._FilterDatabase" localSheetId="13" hidden="1">Objectifs!#REF!</definedName>
    <definedName name="_xlnm._FilterDatabase" localSheetId="26" hidden="1">Planning!$A$7:$P$76</definedName>
    <definedName name="_xlnm._FilterDatabase" localSheetId="2" hidden="1">'POWER BI'!$A$1:$F$3855</definedName>
    <definedName name="_xlnm._FilterDatabase" localSheetId="28" hidden="1">'Rapport de suivi'!$A$71:$G$140</definedName>
    <definedName name="_xlnm._FilterDatabase" localSheetId="16" hidden="1">'Suivi objectifs'!$C$1:$D$38</definedName>
    <definedName name="_xlnm._FilterDatabase" localSheetId="42" hidden="1">Voitures!$A$3:$K$3</definedName>
    <definedName name="Agriculture">Mesures_eco!#REF!</definedName>
    <definedName name="Année">ldv!$C$1:$C$42</definedName>
    <definedName name="Annee_2">ldv!$S$1:$S$22</definedName>
    <definedName name="Autres_non_energetique">Categories!$AB$4:$AB$5</definedName>
    <definedName name="Avancement">ldv!$K$1:$K$6</definedName>
    <definedName name="Axe_precarite">ldv!$AG$2:$AG$7</definedName>
    <definedName name="Biomet">Mesures_eco!$A$26</definedName>
    <definedName name="Bonnes_pratiques">'Bonnes pratiques'!$B$1:$B$29</definedName>
    <definedName name="Branches" localSheetId="14">#REF!</definedName>
    <definedName name="Branches">ldv!$U$1:$U$18</definedName>
    <definedName name="champ" localSheetId="23">'A1'!$M$2:$M$47</definedName>
    <definedName name="champ" localSheetId="14">#REF!</definedName>
    <definedName name="champ" localSheetId="19">Modele!$M$2:$M$47</definedName>
    <definedName name="champ1" localSheetId="14">#REF!</definedName>
    <definedName name="champ10" localSheetId="14">#REF!</definedName>
    <definedName name="champ11" localSheetId="14">#REF!</definedName>
    <definedName name="champ12" localSheetId="14">#REF!</definedName>
    <definedName name="champ13" localSheetId="14">#REF!</definedName>
    <definedName name="champ14" localSheetId="14">#REF!</definedName>
    <definedName name="champ15" localSheetId="14">#REF!</definedName>
    <definedName name="champ2" localSheetId="14">#REF!</definedName>
    <definedName name="champ3" localSheetId="14">#REF!</definedName>
    <definedName name="champ4" localSheetId="14">#REF!</definedName>
    <definedName name="champ5" localSheetId="14">#REF!</definedName>
    <definedName name="champ6" localSheetId="14">#REF!</definedName>
    <definedName name="champ7" localSheetId="14">#REF!</definedName>
    <definedName name="champ8" localSheetId="14">#REF!</definedName>
    <definedName name="champ9" localSheetId="14">#REF!</definedName>
    <definedName name="Choix">ldv!$AB$1:$AB$3</definedName>
    <definedName name="colo1" localSheetId="14">#REF!</definedName>
    <definedName name="Communes">ldv!$B$1:$B$585</definedName>
    <definedName name="cond" localSheetId="23">'A1'!$N$2:$N$47</definedName>
    <definedName name="cond" localSheetId="14">#REF!</definedName>
    <definedName name="cond">Modele!$N$2:$N$47</definedName>
    <definedName name="cond1" localSheetId="14">#REF!</definedName>
    <definedName name="cond10" localSheetId="14">#REF!</definedName>
    <definedName name="cond11" localSheetId="14">#REF!</definedName>
    <definedName name="cond12" localSheetId="14">#REF!</definedName>
    <definedName name="cond13" localSheetId="14">#REF!</definedName>
    <definedName name="cond14" localSheetId="14">#REF!</definedName>
    <definedName name="cond15" localSheetId="14">#REF!</definedName>
    <definedName name="cond2" localSheetId="14">#REF!</definedName>
    <definedName name="cond3" localSheetId="14">#REF!</definedName>
    <definedName name="cond4" localSheetId="14">#REF!</definedName>
    <definedName name="cond5" localSheetId="14">#REF!</definedName>
    <definedName name="cond6" localSheetId="14">#REF!</definedName>
    <definedName name="cond7" localSheetId="14">#REF!</definedName>
    <definedName name="cond8" localSheetId="14">#REF!</definedName>
    <definedName name="cond9" localSheetId="14">#REF!</definedName>
    <definedName name="Condition1" localSheetId="14">#REF!</definedName>
    <definedName name="Condition1">'Actions VS Objectifs'!$L$10:$L$72</definedName>
    <definedName name="Condition10" localSheetId="14">#REF!</definedName>
    <definedName name="Condition10">'Actions VS Objectifs'!$AV$10:$AV$72</definedName>
    <definedName name="Condition11" localSheetId="14">#REF!</definedName>
    <definedName name="Condition11">'Actions VS Objectifs'!$AZ$10:$AZ$72</definedName>
    <definedName name="Condition12" localSheetId="14">#REF!</definedName>
    <definedName name="Condition12">'Actions VS Objectifs'!$BD$10:$BD$72</definedName>
    <definedName name="Condition13" localSheetId="14">#REF!</definedName>
    <definedName name="Condition13">'Actions VS Objectifs'!$BH$10:$BH$72</definedName>
    <definedName name="Condition14" localSheetId="14">#REF!</definedName>
    <definedName name="Condition14">'Actions VS Objectifs'!$BL$10:$BL$72</definedName>
    <definedName name="Condition15" localSheetId="14">#REF!</definedName>
    <definedName name="Condition15">'Actions VS Objectifs'!$BP$10:$BP$72</definedName>
    <definedName name="Condition16" localSheetId="14">#REF!</definedName>
    <definedName name="Condition16">'Actions VS Objectifs'!$BT$10:$BT$72</definedName>
    <definedName name="Condition17" localSheetId="14">#REF!</definedName>
    <definedName name="Condition17">'Actions VS Objectifs'!$BX$10:$BX$72</definedName>
    <definedName name="Condition18" localSheetId="14">#REF!</definedName>
    <definedName name="Condition18">'Actions VS Objectifs'!$CB$10:$CB$72</definedName>
    <definedName name="Condition19" localSheetId="14">#REF!</definedName>
    <definedName name="Condition19">'Actions VS Objectifs'!$CF$10:$CF$72</definedName>
    <definedName name="Condition2" localSheetId="14">#REF!</definedName>
    <definedName name="Condition2">'Actions VS Objectifs'!$P$10:$P$72</definedName>
    <definedName name="Condition20" localSheetId="14">#REF!</definedName>
    <definedName name="Condition20">'Actions VS Objectifs'!$CJ$10:$CJ$72</definedName>
    <definedName name="Condition21" localSheetId="14">#REF!</definedName>
    <definedName name="Condition21">'Actions VS Objectifs'!$CN$10:$CN$72</definedName>
    <definedName name="Condition22" localSheetId="14">#REF!</definedName>
    <definedName name="Condition22">'Actions VS Objectifs'!$CR$10:$CR$72</definedName>
    <definedName name="Condition23" localSheetId="14">#REF!</definedName>
    <definedName name="Condition23">'Actions VS Objectifs'!$CV$10:$CV$72</definedName>
    <definedName name="Condition24" localSheetId="14">#REF!</definedName>
    <definedName name="Condition24">'Actions VS Objectifs'!$CZ$10:$CZ$72</definedName>
    <definedName name="Condition25" localSheetId="14">#REF!</definedName>
    <definedName name="Condition25">'Actions VS Objectifs'!$DD$10:$DD$72</definedName>
    <definedName name="Condition26" localSheetId="14">#REF!</definedName>
    <definedName name="Condition26">'Actions VS Objectifs'!$DH$10:$DH$72</definedName>
    <definedName name="Condition27" localSheetId="14">#REF!</definedName>
    <definedName name="Condition27">'Actions VS Objectifs'!$DL$10:$DL$72</definedName>
    <definedName name="Condition28" localSheetId="14">#REF!</definedName>
    <definedName name="Condition28">'Actions VS Objectifs'!$DP$10:$DP$72</definedName>
    <definedName name="Condition29" localSheetId="14">#REF!</definedName>
    <definedName name="Condition29">'Actions VS Objectifs'!$DT$10:$DT$72</definedName>
    <definedName name="Condition3" localSheetId="14">#REF!</definedName>
    <definedName name="Condition3">'Actions VS Objectifs'!$T$10:$T$72</definedName>
    <definedName name="Condition30" localSheetId="14">#REF!</definedName>
    <definedName name="Condition30">'Actions VS Objectifs'!$DX$10:$DX$72</definedName>
    <definedName name="Condition31" localSheetId="14">#REF!</definedName>
    <definedName name="Condition31">'Actions VS Objectifs'!$EB$10:$EB$72</definedName>
    <definedName name="Condition32" localSheetId="14">#REF!</definedName>
    <definedName name="Condition32">'Actions VS Objectifs'!$EF$10:$EF$72</definedName>
    <definedName name="Condition33" localSheetId="14">#REF!</definedName>
    <definedName name="Condition33">'Actions VS Objectifs'!$EJ$10:$EJ$72</definedName>
    <definedName name="Condition34" localSheetId="14">#REF!</definedName>
    <definedName name="Condition34">'Actions VS Objectifs'!$EN$10:$EN$72</definedName>
    <definedName name="Condition35" localSheetId="14">#REF!</definedName>
    <definedName name="Condition35">'Actions VS Objectifs'!$ER$10:$ER$72</definedName>
    <definedName name="Condition36" localSheetId="14">#REF!</definedName>
    <definedName name="Condition36">'Actions VS Objectifs'!$EV$10:$EV$72</definedName>
    <definedName name="Condition37" localSheetId="14">#REF!</definedName>
    <definedName name="Condition37">'Actions VS Objectifs'!$EZ$10:$EZ$72</definedName>
    <definedName name="condition38" localSheetId="14">#REF!</definedName>
    <definedName name="condition38">'Actions VS Objectifs'!$FD$10:$FD$72</definedName>
    <definedName name="Condition39" localSheetId="14">#REF!</definedName>
    <definedName name="Condition39">'Actions VS Objectifs'!$FH$10:$FH$72</definedName>
    <definedName name="Condition4" localSheetId="14">#REF!</definedName>
    <definedName name="Condition4">'Actions VS Objectifs'!$X$10:$X$72</definedName>
    <definedName name="Condition5" localSheetId="14">#REF!</definedName>
    <definedName name="Condition5">'Actions VS Objectifs'!$AB$10:$AB$72</definedName>
    <definedName name="Condition6" localSheetId="14">#REF!</definedName>
    <definedName name="Condition6">'Actions VS Objectifs'!$AF$10:$AF$72</definedName>
    <definedName name="Condition7" localSheetId="14">#REF!</definedName>
    <definedName name="Condition7">'Actions VS Objectifs'!$AJ$10:$AJ$72</definedName>
    <definedName name="Condition8" localSheetId="14">#REF!</definedName>
    <definedName name="Condition8">'Actions VS Objectifs'!$AN$10:$AN$72</definedName>
    <definedName name="Condition9" localSheetId="14">#REF!</definedName>
    <definedName name="Condition9">'Actions VS Objectifs'!$AR$10:$AR$72</definedName>
    <definedName name="dayapproval" localSheetId="14">#REF!</definedName>
    <definedName name="Données_autres_équipements">'Données patrimoniales'!$A$315:$AA$345</definedName>
    <definedName name="Economie">ldv!$H$103</definedName>
    <definedName name="Eolien">Mesures_eco!$A$27</definedName>
    <definedName name="Etat">ldv!$AJ$2:$AJ$5</definedName>
    <definedName name="Filieres">ldv!$J$1:$J$7</definedName>
    <definedName name="Hydro">Mesures_eco!$A$33</definedName>
    <definedName name="Implication">ldv!$AM$2:$AM$5</definedName>
    <definedName name="info">'Potentiel EnR'!$K$3:$M$11</definedName>
    <definedName name="infos">'Potentiel EnR'!$K$3:$N$11</definedName>
    <definedName name="interet">ldv!$AS$2:$AS$6</definedName>
    <definedName name="investisseur" localSheetId="14">#REF!</definedName>
    <definedName name="investisseur">Categories!$AE$5:$AE$16</definedName>
    <definedName name="Liste_batiments">Liste_bâtiments_communaux!$C$5:$C$154</definedName>
    <definedName name="Liste_communes">Communes!$A$2:$A$264</definedName>
    <definedName name="Liste1" localSheetId="14">#REF!</definedName>
    <definedName name="Liste1">'Actions VS Objectifs'!$K$10:$K$72</definedName>
    <definedName name="Liste10" localSheetId="14">#REF!</definedName>
    <definedName name="Liste10">'Actions VS Objectifs'!$AU$10:$AU$72</definedName>
    <definedName name="Liste11" localSheetId="14">#REF!</definedName>
    <definedName name="Liste11">'Actions VS Objectifs'!$AY$10:$AY$72</definedName>
    <definedName name="Liste12" localSheetId="14">#REF!</definedName>
    <definedName name="Liste12">'Actions VS Objectifs'!$BC$10:$BC$72</definedName>
    <definedName name="Liste13" localSheetId="14">#REF!</definedName>
    <definedName name="Liste13">'Actions VS Objectifs'!$BG$10:$BG$72</definedName>
    <definedName name="Liste14" localSheetId="14">#REF!</definedName>
    <definedName name="Liste14">'Actions VS Objectifs'!$BK$10:$BK$72</definedName>
    <definedName name="Liste15" localSheetId="14">#REF!</definedName>
    <definedName name="Liste15">'Actions VS Objectifs'!$BO$10:$BO$72</definedName>
    <definedName name="Liste16" localSheetId="14">#REF!</definedName>
    <definedName name="Liste16">'Actions VS Objectifs'!$BS$10:$BS$72</definedName>
    <definedName name="Liste17" localSheetId="14">#REF!</definedName>
    <definedName name="Liste17">'Actions VS Objectifs'!$BW$10:$BW$72</definedName>
    <definedName name="Liste18" localSheetId="14">#REF!</definedName>
    <definedName name="Liste18">'Actions VS Objectifs'!$CA$10:$CA$72</definedName>
    <definedName name="Liste19" localSheetId="14">#REF!</definedName>
    <definedName name="Liste19">'Actions VS Objectifs'!$CE$10:$CE$72</definedName>
    <definedName name="Liste2" localSheetId="14">#REF!</definedName>
    <definedName name="Liste2">'Actions VS Objectifs'!$O$10:$O$72</definedName>
    <definedName name="Liste20" localSheetId="14">#REF!</definedName>
    <definedName name="Liste20">'Actions VS Objectifs'!$CI$10:$CI$72</definedName>
    <definedName name="Liste21" localSheetId="14">#REF!</definedName>
    <definedName name="Liste21">'Actions VS Objectifs'!$CM$10:$CM$72</definedName>
    <definedName name="Liste22" localSheetId="14">#REF!</definedName>
    <definedName name="Liste22">'Actions VS Objectifs'!$CQ$10:$CQ$72</definedName>
    <definedName name="Liste23" localSheetId="14">#REF!</definedName>
    <definedName name="Liste23">'Actions VS Objectifs'!$CU$10:$CU$72</definedName>
    <definedName name="Liste24" localSheetId="14">#REF!</definedName>
    <definedName name="Liste24">'Actions VS Objectifs'!$CY$10:$CY$72</definedName>
    <definedName name="Liste25" localSheetId="14">#REF!</definedName>
    <definedName name="Liste25">'Actions VS Objectifs'!$DC$10:$DC$72</definedName>
    <definedName name="Liste26" localSheetId="14">#REF!</definedName>
    <definedName name="Liste26">'Actions VS Objectifs'!$DG$10:$DG$72</definedName>
    <definedName name="Liste27" localSheetId="14">#REF!</definedName>
    <definedName name="Liste27">'Actions VS Objectifs'!$DK$10:$DK$72</definedName>
    <definedName name="Liste28" localSheetId="14">#REF!</definedName>
    <definedName name="Liste28">'Actions VS Objectifs'!$DO$10:$DO$72</definedName>
    <definedName name="Liste29" localSheetId="14">#REF!</definedName>
    <definedName name="Liste29">'Actions VS Objectifs'!$DS$10:$DS$72</definedName>
    <definedName name="Liste3" localSheetId="14">#REF!</definedName>
    <definedName name="Liste3">'Actions VS Objectifs'!$S$10:$S$72</definedName>
    <definedName name="Liste30" localSheetId="14">#REF!</definedName>
    <definedName name="Liste30">'Actions VS Objectifs'!$DW$10:$DW$72</definedName>
    <definedName name="Liste31" localSheetId="14">#REF!</definedName>
    <definedName name="Liste31">'Actions VS Objectifs'!$EA$10:$EA$72</definedName>
    <definedName name="Liste32" localSheetId="14">#REF!</definedName>
    <definedName name="Liste32">'Actions VS Objectifs'!$EE$10:$EE$72</definedName>
    <definedName name="Liste33" localSheetId="14">#REF!</definedName>
    <definedName name="Liste33">'Actions VS Objectifs'!$EI$10:$EI$72</definedName>
    <definedName name="Liste34" localSheetId="14">#REF!</definedName>
    <definedName name="Liste34">'Actions VS Objectifs'!$EM$10:$EM$72</definedName>
    <definedName name="Liste35" localSheetId="14">#REF!</definedName>
    <definedName name="Liste35">'Actions VS Objectifs'!$EQ$10:$EQ$72</definedName>
    <definedName name="Liste36" localSheetId="14">#REF!</definedName>
    <definedName name="Liste36">'Actions VS Objectifs'!$EU$10:$EU$72</definedName>
    <definedName name="Liste37" localSheetId="14">#REF!</definedName>
    <definedName name="Liste37">'Actions VS Objectifs'!$EY$10:$EY$72</definedName>
    <definedName name="liste38" localSheetId="14">#REF!</definedName>
    <definedName name="liste38">'Actions VS Objectifs'!$FC$10:$FC$72</definedName>
    <definedName name="Liste39" localSheetId="14">#REF!</definedName>
    <definedName name="Liste39">'Actions VS Objectifs'!$FG$10:$FG$72</definedName>
    <definedName name="Liste4" localSheetId="14">#REF!</definedName>
    <definedName name="Liste4">'Actions VS Objectifs'!$W$10:$W$72</definedName>
    <definedName name="Liste5" localSheetId="14">#REF!</definedName>
    <definedName name="Liste5">'Actions VS Objectifs'!$AA$10:$AA$72</definedName>
    <definedName name="Liste6" localSheetId="14">#REF!</definedName>
    <definedName name="Liste6">'Actions VS Objectifs'!$AE$10:$AE$72</definedName>
    <definedName name="Liste7" localSheetId="14">#REF!</definedName>
    <definedName name="Liste7">'Actions VS Objectifs'!$AI$10:$AI$72</definedName>
    <definedName name="Liste8" localSheetId="14">#REF!</definedName>
    <definedName name="Liste8">'Actions VS Objectifs'!$AM$10:$AM$72</definedName>
    <definedName name="Liste9" localSheetId="14">#REF!</definedName>
    <definedName name="Liste9">'Actions VS Objectifs'!$AQ$10:$AQ$72</definedName>
    <definedName name="Logement">Mesures_eco!$A$2:$A$17</definedName>
    <definedName name="Module" localSheetId="23">'A1'!$A$51</definedName>
    <definedName name="Module" localSheetId="19">Modele!$A$51</definedName>
    <definedName name="monthapproval" localSheetId="14">#REF!</definedName>
    <definedName name="Non_énerg" localSheetId="14">#REF!</definedName>
    <definedName name="Non_énerg">'Données territoriales'!$F$6:$F$8</definedName>
    <definedName name="Objectif_predefini_EE">ldv!$H$1:$H$101</definedName>
    <definedName name="objectifssecteur" localSheetId="23">'A1'!$M$2:$M$37</definedName>
    <definedName name="objectifssecteur" localSheetId="19">Modele!$M$2:$M$37</definedName>
    <definedName name="objsect" localSheetId="23">'A1'!$O$2:$O$37</definedName>
    <definedName name="objsect" localSheetId="19">Modele!$O$2:$O$37</definedName>
    <definedName name="objsects" localSheetId="23">'A1'!$O$1:$O$37</definedName>
    <definedName name="objsects" localSheetId="14">#REF!</definedName>
    <definedName name="objsects" localSheetId="19">Modele!$O$1:$O$37</definedName>
    <definedName name="Parties_prenantes">ldv!$AD$2:$AD$9</definedName>
    <definedName name="Photovoltaïque">Mesures_eco!$A$28:$A$30</definedName>
    <definedName name="Pourcent">ldv!$G$1:$G$101</definedName>
    <definedName name="Pourcent_neg">ldv!$Y$1:$Y$101</definedName>
    <definedName name="Public">ldv!$AU$2:$AU$11</definedName>
    <definedName name="Resolution">1</definedName>
    <definedName name="RET_Commentaire">'Etude opportunité chaleur'!$C$29</definedName>
    <definedName name="RET_Intérêt">'Etude opportunité chaleur'!$C$28</definedName>
    <definedName name="Risque">ldv!$AF$2:$AF$12</definedName>
    <definedName name="Sect10" localSheetId="21">'Actions bâtiments communaux'!$AD$7:$AD$59</definedName>
    <definedName name="Sect3" localSheetId="23">'A1'!$M$1:$M$68</definedName>
    <definedName name="Sect3" localSheetId="19">Modele!$M$1:$M$68</definedName>
    <definedName name="Sect4" localSheetId="23">'A1'!$N$1:$N$68</definedName>
    <definedName name="Sect4" localSheetId="19">Modele!$N$1:$N$68</definedName>
    <definedName name="Sect5" localSheetId="23">'A1'!$O$1:$O$68</definedName>
    <definedName name="Sect5" localSheetId="19">Modele!$O$1:$O$68</definedName>
    <definedName name="Sect6" localSheetId="23">'A1'!$P$5:$P$68</definedName>
    <definedName name="Sect6" localSheetId="21">'Actions bâtiments communaux'!$X$7:$X$59</definedName>
    <definedName name="Sect6" localSheetId="19">Modele!$P$5:$P$68</definedName>
    <definedName name="Sect7" localSheetId="23">'A1'!$Q$5:$Q$37</definedName>
    <definedName name="Sect7" localSheetId="21">'Actions bâtiments communaux'!$Y$7:$Y$38</definedName>
    <definedName name="Sect7" localSheetId="19">Modele!$Q$5:$Q$37</definedName>
    <definedName name="Sect8" localSheetId="23">'A1'!$R$5:$R$68</definedName>
    <definedName name="Sect8" localSheetId="21">'Actions bâtiments communaux'!$Z$7:$Z$59</definedName>
    <definedName name="Sect8" localSheetId="19">Modele!$R$5:$R$68</definedName>
    <definedName name="Sect9" localSheetId="21">'Actions bâtiments communaux'!$AC$7:$AC$59</definedName>
    <definedName name="secteuaction" localSheetId="23">'A1'!$A$5</definedName>
    <definedName name="secteuaction" localSheetId="19">Modele!$A$5</definedName>
    <definedName name="secteur">Hypothèses!$K$2:$K$8</definedName>
    <definedName name="secteuraction" localSheetId="14">#REF!</definedName>
    <definedName name="secteuraction">Categories!$Z$4:$Z$18</definedName>
    <definedName name="secteurs" localSheetId="14">#REF!</definedName>
    <definedName name="secteurs">Hypothèses!$K$2:$K$9</definedName>
    <definedName name="Secteurs_adaptation">ldv!$AA$1:$AA$14</definedName>
    <definedName name="secteursactions" localSheetId="14">#REF!,#REF!</definedName>
    <definedName name="secteursactions">Categories!$Z$5:$Z$13,Categories!#REF!</definedName>
    <definedName name="selection">ldv!$AH$2:$AH$3</definedName>
    <definedName name="Source_financement">ldv!$AE$2:$AE$8</definedName>
    <definedName name="Source_subvention">ldv!$M$1:$M$3</definedName>
    <definedName name="Statut">ldv!$AN$2:$AN$5</definedName>
    <definedName name="statut_projet">ldv!$AQ$2:$AQ$7</definedName>
    <definedName name="Structure">ldv!$L$1:$L$5</definedName>
    <definedName name="Table1">'Potentiel EnR'!$K$12:$N$20</definedName>
    <definedName name="Thermique">Mesures_eco!$A$31</definedName>
    <definedName name="Transport">Mesures_eco!$A$18:$A$25</definedName>
    <definedName name="Type_bilan">ldv!$D$1:$D$3</definedName>
    <definedName name="Type_depense">ldv!$N$1:$N$3</definedName>
    <definedName name="Type_objectif">ldv!$F$1:$F$3</definedName>
    <definedName name="Type_projet">ldv!$AL$2:$AL$4</definedName>
    <definedName name="type_reseau">ldv!$AP$2:$AP$8</definedName>
    <definedName name="UREBA">'UREBA VS CdM'!$A$1:$A$22</definedName>
    <definedName name="v" localSheetId="14">#REF!</definedName>
    <definedName name="v">Hypothèses!$D$6:$D$14</definedName>
    <definedName name="Vect">Hypothèses!$D$6:$D$11</definedName>
    <definedName name="Vecteur">Hypothèses!$D$6:$D$10</definedName>
    <definedName name="vecteurs">Hypothèses!$D$6:$D$12</definedName>
    <definedName name="yearapproval" localSheetId="14">#REF!</definedName>
    <definedName name="_xlnm.Print_Area" localSheetId="23">'A1'!$A$1:$G$29</definedName>
    <definedName name="_xlnm.Print_Area" localSheetId="19">Modele!$A$1:$G$29</definedName>
    <definedName name="_xlnm.Print_Area" localSheetId="26">Planning!$A$86:$BG$126</definedName>
  </definedNames>
  <calcPr calcId="191028"/>
  <pivotCaches>
    <pivotCache cacheId="0" r:id="rId60"/>
  </pivotCache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1" i="857" l="1"/>
  <c r="F122" i="857"/>
  <c r="F123" i="857"/>
  <c r="F120" i="857"/>
  <c r="F70" i="857"/>
  <c r="F71" i="857"/>
  <c r="F69" i="857"/>
  <c r="F67" i="857"/>
  <c r="F68" i="857"/>
  <c r="F66" i="857"/>
  <c r="F64" i="857"/>
  <c r="F65" i="857"/>
  <c r="F63" i="857"/>
  <c r="F61" i="857"/>
  <c r="F62" i="857"/>
  <c r="F60" i="857"/>
  <c r="F58" i="857"/>
  <c r="F59" i="857"/>
  <c r="F57" i="857"/>
  <c r="F55" i="857"/>
  <c r="F56" i="857"/>
  <c r="F54" i="857"/>
  <c r="F52" i="857"/>
  <c r="F53" i="857"/>
  <c r="F51" i="857"/>
  <c r="F49" i="857"/>
  <c r="F50" i="857"/>
  <c r="F48" i="857"/>
  <c r="F46" i="857"/>
  <c r="F47" i="857"/>
  <c r="F45" i="857"/>
  <c r="F43" i="857"/>
  <c r="F44" i="857"/>
  <c r="F42" i="857"/>
  <c r="F40" i="857"/>
  <c r="F41" i="857"/>
  <c r="F39" i="857"/>
  <c r="F37" i="857"/>
  <c r="F38" i="857"/>
  <c r="F36" i="857"/>
  <c r="F34" i="857"/>
  <c r="F35" i="857"/>
  <c r="F33" i="857"/>
  <c r="F31" i="857"/>
  <c r="F32" i="857"/>
  <c r="F30" i="857"/>
  <c r="F28" i="857"/>
  <c r="F29" i="857"/>
  <c r="F27" i="857"/>
  <c r="F25" i="857"/>
  <c r="F26" i="857"/>
  <c r="F24" i="857"/>
  <c r="F22" i="857"/>
  <c r="F23" i="857"/>
  <c r="F21" i="857"/>
  <c r="F19" i="857"/>
  <c r="F20" i="857"/>
  <c r="F18" i="857"/>
  <c r="F16" i="857"/>
  <c r="F17" i="857"/>
  <c r="F15" i="857"/>
  <c r="F13" i="857"/>
  <c r="F14" i="857"/>
  <c r="F12" i="857"/>
  <c r="F10" i="857"/>
  <c r="F11" i="857"/>
  <c r="F9" i="857"/>
  <c r="F7" i="857"/>
  <c r="F8" i="857"/>
  <c r="F6" i="857"/>
  <c r="I6" i="727"/>
  <c r="H6" i="727"/>
  <c r="G6" i="727"/>
  <c r="F3757" i="857"/>
  <c r="F3758" i="857"/>
  <c r="F3759" i="857"/>
  <c r="F3760" i="857"/>
  <c r="F3761" i="857"/>
  <c r="F3762" i="857"/>
  <c r="F3763" i="857"/>
  <c r="F3764" i="857"/>
  <c r="F3765" i="857"/>
  <c r="F3766" i="857"/>
  <c r="F3767" i="857"/>
  <c r="F3768" i="857"/>
  <c r="F3769" i="857"/>
  <c r="F3770" i="857"/>
  <c r="F3771" i="857"/>
  <c r="F3772" i="857"/>
  <c r="F3773" i="857"/>
  <c r="F3774" i="857"/>
  <c r="F3775" i="857"/>
  <c r="F3756" i="857"/>
  <c r="F3737" i="857"/>
  <c r="F3738" i="857"/>
  <c r="F3739" i="857"/>
  <c r="F3740" i="857"/>
  <c r="F3741" i="857"/>
  <c r="F3742" i="857"/>
  <c r="F3743" i="857"/>
  <c r="F3744" i="857"/>
  <c r="F3745" i="857"/>
  <c r="F3746" i="857"/>
  <c r="F3747" i="857"/>
  <c r="F3748" i="857"/>
  <c r="F3749" i="857"/>
  <c r="F3750" i="857"/>
  <c r="F3751" i="857"/>
  <c r="F3752" i="857"/>
  <c r="F3753" i="857"/>
  <c r="F3754" i="857"/>
  <c r="F3755" i="857"/>
  <c r="F3736" i="857"/>
  <c r="F3717" i="857"/>
  <c r="F3718" i="857"/>
  <c r="F3719" i="857"/>
  <c r="F3720" i="857"/>
  <c r="F3721" i="857"/>
  <c r="F3722" i="857"/>
  <c r="F3723" i="857"/>
  <c r="F3724" i="857"/>
  <c r="F3725" i="857"/>
  <c r="F3726" i="857"/>
  <c r="F3727" i="857"/>
  <c r="F3728" i="857"/>
  <c r="F3729" i="857"/>
  <c r="F3730" i="857"/>
  <c r="F3731" i="857"/>
  <c r="F3732" i="857"/>
  <c r="F3733" i="857"/>
  <c r="F3734" i="857"/>
  <c r="F3735" i="857"/>
  <c r="F3716" i="857"/>
  <c r="F3706" i="857"/>
  <c r="F3707" i="857"/>
  <c r="F3708" i="857"/>
  <c r="F3709" i="857"/>
  <c r="F3710" i="857"/>
  <c r="F3711" i="857"/>
  <c r="F3712" i="857"/>
  <c r="F3713" i="857"/>
  <c r="F3714" i="857"/>
  <c r="F3715" i="857"/>
  <c r="F3686" i="857"/>
  <c r="F3687" i="857"/>
  <c r="F3688" i="857"/>
  <c r="F3689" i="857"/>
  <c r="F3690" i="857"/>
  <c r="F3691" i="857"/>
  <c r="F3692" i="857"/>
  <c r="F3693" i="857"/>
  <c r="F3694" i="857"/>
  <c r="F3695" i="857"/>
  <c r="F3657" i="857"/>
  <c r="F3658" i="857"/>
  <c r="F3659" i="857"/>
  <c r="F3660" i="857"/>
  <c r="F3661" i="857"/>
  <c r="F3662" i="857"/>
  <c r="F3663" i="857"/>
  <c r="F3664" i="857"/>
  <c r="F3665" i="857"/>
  <c r="F3666" i="857"/>
  <c r="F3667" i="857"/>
  <c r="F3668" i="857"/>
  <c r="F3669" i="857"/>
  <c r="F3670" i="857"/>
  <c r="F3671" i="857"/>
  <c r="F3672" i="857"/>
  <c r="F3673" i="857"/>
  <c r="F3674" i="857"/>
  <c r="F3675" i="857"/>
  <c r="F3656" i="857"/>
  <c r="F3646" i="857"/>
  <c r="F3647" i="857"/>
  <c r="F3648" i="857"/>
  <c r="F3649" i="857"/>
  <c r="F3650" i="857"/>
  <c r="F3651" i="857"/>
  <c r="F3652" i="857"/>
  <c r="F3653" i="857"/>
  <c r="F3654" i="857"/>
  <c r="F3655" i="857"/>
  <c r="F3629" i="857"/>
  <c r="F3630" i="857"/>
  <c r="F3631" i="857"/>
  <c r="F3632" i="857"/>
  <c r="F3633" i="857"/>
  <c r="F3634" i="857"/>
  <c r="F3635" i="857"/>
  <c r="F3628" i="857"/>
  <c r="F3614" i="857"/>
  <c r="F3615" i="857"/>
  <c r="F3616" i="857"/>
  <c r="F3617" i="857"/>
  <c r="F3618" i="857"/>
  <c r="F3619" i="857"/>
  <c r="F3620" i="857"/>
  <c r="F3613" i="857"/>
  <c r="F3599" i="857"/>
  <c r="F3600" i="857"/>
  <c r="F3601" i="857"/>
  <c r="F3602" i="857"/>
  <c r="F3603" i="857"/>
  <c r="F3604" i="857"/>
  <c r="F3605" i="857"/>
  <c r="F3598" i="857"/>
  <c r="F3584" i="857"/>
  <c r="F3585" i="857"/>
  <c r="F3586" i="857"/>
  <c r="F3587" i="857"/>
  <c r="F3588" i="857"/>
  <c r="F3589" i="857"/>
  <c r="F3590" i="857"/>
  <c r="F3583" i="857"/>
  <c r="F3455" i="857"/>
  <c r="F3456" i="857"/>
  <c r="F3457" i="857"/>
  <c r="F3458" i="857"/>
  <c r="F3459" i="857"/>
  <c r="F3460" i="857"/>
  <c r="F3461" i="857"/>
  <c r="F3462" i="857"/>
  <c r="F3463" i="857"/>
  <c r="F3464" i="857"/>
  <c r="F3465" i="857"/>
  <c r="F3466" i="857"/>
  <c r="F3467" i="857"/>
  <c r="F3468" i="857"/>
  <c r="F3469" i="857"/>
  <c r="F3470" i="857"/>
  <c r="F3471" i="857"/>
  <c r="F3472" i="857"/>
  <c r="F3473" i="857"/>
  <c r="F3454" i="857"/>
  <c r="F3435" i="857"/>
  <c r="F3436" i="857"/>
  <c r="F3437" i="857"/>
  <c r="F3438" i="857"/>
  <c r="F3439" i="857"/>
  <c r="F3440" i="857"/>
  <c r="F3441" i="857"/>
  <c r="F3442" i="857"/>
  <c r="F3443" i="857"/>
  <c r="F3444" i="857"/>
  <c r="F3445" i="857"/>
  <c r="F3446" i="857"/>
  <c r="F3447" i="857"/>
  <c r="F3448" i="857"/>
  <c r="F3449" i="857"/>
  <c r="F3450" i="857"/>
  <c r="F3451" i="857"/>
  <c r="F3452" i="857"/>
  <c r="F3453" i="857"/>
  <c r="F3434" i="857"/>
  <c r="F3415" i="857"/>
  <c r="F3416" i="857"/>
  <c r="F3417" i="857"/>
  <c r="F3418" i="857"/>
  <c r="F3419" i="857"/>
  <c r="F3420" i="857"/>
  <c r="F3421" i="857"/>
  <c r="F3422" i="857"/>
  <c r="F3423" i="857"/>
  <c r="F3424" i="857"/>
  <c r="F3425" i="857"/>
  <c r="F3426" i="857"/>
  <c r="F3427" i="857"/>
  <c r="F3428" i="857"/>
  <c r="F3429" i="857"/>
  <c r="F3430" i="857"/>
  <c r="F3431" i="857"/>
  <c r="F3432" i="857"/>
  <c r="F3433" i="857"/>
  <c r="F3414" i="857"/>
  <c r="F3404" i="857"/>
  <c r="F3405" i="857"/>
  <c r="F3406" i="857"/>
  <c r="F3407" i="857"/>
  <c r="F3408" i="857"/>
  <c r="F3409" i="857"/>
  <c r="F3410" i="857"/>
  <c r="F3411" i="857"/>
  <c r="F3412" i="857"/>
  <c r="F3413" i="857"/>
  <c r="F3384" i="857"/>
  <c r="F3385" i="857"/>
  <c r="F3386" i="857"/>
  <c r="F3387" i="857"/>
  <c r="F3388" i="857"/>
  <c r="F3389" i="857"/>
  <c r="F3390" i="857"/>
  <c r="F3391" i="857"/>
  <c r="F3392" i="857"/>
  <c r="F3393" i="857"/>
  <c r="F3355" i="857"/>
  <c r="F3356" i="857"/>
  <c r="F3357" i="857"/>
  <c r="F3358" i="857"/>
  <c r="F3359" i="857"/>
  <c r="F3360" i="857"/>
  <c r="F3361" i="857"/>
  <c r="F3362" i="857"/>
  <c r="F3363" i="857"/>
  <c r="F3364" i="857"/>
  <c r="F3365" i="857"/>
  <c r="F3366" i="857"/>
  <c r="F3367" i="857"/>
  <c r="F3368" i="857"/>
  <c r="F3369" i="857"/>
  <c r="F3370" i="857"/>
  <c r="F3371" i="857"/>
  <c r="F3372" i="857"/>
  <c r="F3373" i="857"/>
  <c r="F3354" i="857"/>
  <c r="F3344" i="857"/>
  <c r="F3345" i="857"/>
  <c r="F3346" i="857"/>
  <c r="F3347" i="857"/>
  <c r="F3348" i="857"/>
  <c r="F3349" i="857"/>
  <c r="F3350" i="857"/>
  <c r="F3351" i="857"/>
  <c r="F3352" i="857"/>
  <c r="F3353" i="857"/>
  <c r="F3327" i="857"/>
  <c r="F3328" i="857"/>
  <c r="F3329" i="857"/>
  <c r="F3330" i="857"/>
  <c r="F3331" i="857"/>
  <c r="F3332" i="857"/>
  <c r="F3333" i="857"/>
  <c r="F3326" i="857"/>
  <c r="F3312" i="857"/>
  <c r="F3313" i="857"/>
  <c r="F3314" i="857"/>
  <c r="F3315" i="857"/>
  <c r="F3316" i="857"/>
  <c r="F3317" i="857"/>
  <c r="F3318" i="857"/>
  <c r="F3311" i="857"/>
  <c r="F3297" i="857"/>
  <c r="F3298" i="857"/>
  <c r="F3299" i="857"/>
  <c r="F3300" i="857"/>
  <c r="F3301" i="857"/>
  <c r="F3302" i="857"/>
  <c r="F3303" i="857"/>
  <c r="F3296" i="857"/>
  <c r="F3282" i="857"/>
  <c r="F3283" i="857"/>
  <c r="F3284" i="857"/>
  <c r="F3285" i="857"/>
  <c r="F3286" i="857"/>
  <c r="F3287" i="857"/>
  <c r="F3288" i="857"/>
  <c r="F3281" i="857"/>
  <c r="F3153" i="857"/>
  <c r="F3154" i="857"/>
  <c r="F3155" i="857"/>
  <c r="F3156" i="857"/>
  <c r="F3157" i="857"/>
  <c r="F3158" i="857"/>
  <c r="F3159" i="857"/>
  <c r="F3160" i="857"/>
  <c r="F3161" i="857"/>
  <c r="F3162" i="857"/>
  <c r="F3163" i="857"/>
  <c r="F3164" i="857"/>
  <c r="F3165" i="857"/>
  <c r="F3166" i="857"/>
  <c r="F3167" i="857"/>
  <c r="F3168" i="857"/>
  <c r="F3169" i="857"/>
  <c r="F3170" i="857"/>
  <c r="F3171" i="857"/>
  <c r="F3152" i="857"/>
  <c r="F3133" i="857"/>
  <c r="F3134" i="857"/>
  <c r="F3135" i="857"/>
  <c r="F3136" i="857"/>
  <c r="F3137" i="857"/>
  <c r="F3138" i="857"/>
  <c r="F3139" i="857"/>
  <c r="F3140" i="857"/>
  <c r="F3141" i="857"/>
  <c r="F3142" i="857"/>
  <c r="F3143" i="857"/>
  <c r="F3144" i="857"/>
  <c r="F3145" i="857"/>
  <c r="F3146" i="857"/>
  <c r="F3147" i="857"/>
  <c r="F3148" i="857"/>
  <c r="F3149" i="857"/>
  <c r="F3150" i="857"/>
  <c r="F3151" i="857"/>
  <c r="F3132" i="857"/>
  <c r="F3113" i="857"/>
  <c r="F3114" i="857"/>
  <c r="F3115" i="857"/>
  <c r="F3116" i="857"/>
  <c r="F3117" i="857"/>
  <c r="F3118" i="857"/>
  <c r="F3119" i="857"/>
  <c r="F3120" i="857"/>
  <c r="F3121" i="857"/>
  <c r="F3122" i="857"/>
  <c r="F3123" i="857"/>
  <c r="F3124" i="857"/>
  <c r="F3125" i="857"/>
  <c r="F3126" i="857"/>
  <c r="F3127" i="857"/>
  <c r="F3128" i="857"/>
  <c r="F3129" i="857"/>
  <c r="F3130" i="857"/>
  <c r="F3131" i="857"/>
  <c r="F3112" i="857"/>
  <c r="F3102" i="857"/>
  <c r="F3103" i="857"/>
  <c r="F3104" i="857"/>
  <c r="F3105" i="857"/>
  <c r="F3106" i="857"/>
  <c r="F3107" i="857"/>
  <c r="F3108" i="857"/>
  <c r="F3109" i="857"/>
  <c r="F3110" i="857"/>
  <c r="F3111" i="857"/>
  <c r="F3082" i="857"/>
  <c r="F3083" i="857"/>
  <c r="F3084" i="857"/>
  <c r="F3085" i="857"/>
  <c r="F3086" i="857"/>
  <c r="F3087" i="857"/>
  <c r="F3088" i="857"/>
  <c r="F3089" i="857"/>
  <c r="F3090" i="857"/>
  <c r="F3091" i="857"/>
  <c r="F3053" i="857"/>
  <c r="F3054" i="857"/>
  <c r="F3055" i="857"/>
  <c r="F3056" i="857"/>
  <c r="F3057" i="857"/>
  <c r="F3058" i="857"/>
  <c r="F3059" i="857"/>
  <c r="F3060" i="857"/>
  <c r="F3061" i="857"/>
  <c r="F3062" i="857"/>
  <c r="F3063" i="857"/>
  <c r="F3064" i="857"/>
  <c r="F3065" i="857"/>
  <c r="F3066" i="857"/>
  <c r="F3067" i="857"/>
  <c r="F3068" i="857"/>
  <c r="F3069" i="857"/>
  <c r="F3070" i="857"/>
  <c r="F3071" i="857"/>
  <c r="F3052" i="857"/>
  <c r="F3042" i="857"/>
  <c r="F3043" i="857"/>
  <c r="F3044" i="857"/>
  <c r="F3045" i="857"/>
  <c r="F3046" i="857"/>
  <c r="F3047" i="857"/>
  <c r="F3048" i="857"/>
  <c r="F3049" i="857"/>
  <c r="F3050" i="857"/>
  <c r="F3051" i="857"/>
  <c r="F3025" i="857"/>
  <c r="F3026" i="857"/>
  <c r="F3027" i="857"/>
  <c r="F3028" i="857"/>
  <c r="F3029" i="857"/>
  <c r="F3030" i="857"/>
  <c r="F3031" i="857"/>
  <c r="F3024" i="857"/>
  <c r="F3010" i="857"/>
  <c r="F3011" i="857"/>
  <c r="F3012" i="857"/>
  <c r="F3013" i="857"/>
  <c r="F3014" i="857"/>
  <c r="F3015" i="857"/>
  <c r="F3016" i="857"/>
  <c r="F3009" i="857"/>
  <c r="F2995" i="857"/>
  <c r="F2996" i="857"/>
  <c r="F2997" i="857"/>
  <c r="F2998" i="857"/>
  <c r="F2999" i="857"/>
  <c r="F3000" i="857"/>
  <c r="F3001" i="857"/>
  <c r="F2994" i="857"/>
  <c r="F2980" i="857"/>
  <c r="F2981" i="857"/>
  <c r="F2982" i="857"/>
  <c r="F2983" i="857"/>
  <c r="F2984" i="857"/>
  <c r="F2985" i="857"/>
  <c r="F2986" i="857"/>
  <c r="F2979" i="857"/>
  <c r="F2851" i="857"/>
  <c r="F2852" i="857"/>
  <c r="F2853" i="857"/>
  <c r="F2854" i="857"/>
  <c r="F2855" i="857"/>
  <c r="F2856" i="857"/>
  <c r="F2857" i="857"/>
  <c r="F2858" i="857"/>
  <c r="F2859" i="857"/>
  <c r="F2860" i="857"/>
  <c r="F2861" i="857"/>
  <c r="F2862" i="857"/>
  <c r="F2863" i="857"/>
  <c r="F2864" i="857"/>
  <c r="F2865" i="857"/>
  <c r="F2866" i="857"/>
  <c r="F2867" i="857"/>
  <c r="F2868" i="857"/>
  <c r="F2869" i="857"/>
  <c r="F2850" i="857"/>
  <c r="F2831" i="857"/>
  <c r="F2832" i="857"/>
  <c r="F2833" i="857"/>
  <c r="F2834" i="857"/>
  <c r="F2835" i="857"/>
  <c r="F2836" i="857"/>
  <c r="F2837" i="857"/>
  <c r="F2838" i="857"/>
  <c r="F2839" i="857"/>
  <c r="F2840" i="857"/>
  <c r="F2841" i="857"/>
  <c r="F2842" i="857"/>
  <c r="F2843" i="857"/>
  <c r="F2844" i="857"/>
  <c r="F2845" i="857"/>
  <c r="F2846" i="857"/>
  <c r="F2847" i="857"/>
  <c r="F2848" i="857"/>
  <c r="F2849" i="857"/>
  <c r="F2830" i="857"/>
  <c r="F2811" i="857"/>
  <c r="F2812" i="857"/>
  <c r="F2813" i="857"/>
  <c r="F2814" i="857"/>
  <c r="F2815" i="857"/>
  <c r="F2816" i="857"/>
  <c r="F2817" i="857"/>
  <c r="F2818" i="857"/>
  <c r="F2819" i="857"/>
  <c r="F2820" i="857"/>
  <c r="F2821" i="857"/>
  <c r="F2822" i="857"/>
  <c r="F2823" i="857"/>
  <c r="F2824" i="857"/>
  <c r="F2825" i="857"/>
  <c r="F2826" i="857"/>
  <c r="F2827" i="857"/>
  <c r="F2828" i="857"/>
  <c r="F2829" i="857"/>
  <c r="F2810" i="857"/>
  <c r="F2800" i="857"/>
  <c r="F2801" i="857"/>
  <c r="F2802" i="857"/>
  <c r="F2803" i="857"/>
  <c r="F2804" i="857"/>
  <c r="F2805" i="857"/>
  <c r="F2806" i="857"/>
  <c r="F2807" i="857"/>
  <c r="F2808" i="857"/>
  <c r="F2809" i="857"/>
  <c r="F2780" i="857"/>
  <c r="F2781" i="857"/>
  <c r="F2782" i="857"/>
  <c r="F2783" i="857"/>
  <c r="F2784" i="857"/>
  <c r="F2785" i="857"/>
  <c r="F2786" i="857"/>
  <c r="F2787" i="857"/>
  <c r="F2788" i="857"/>
  <c r="F2789" i="857"/>
  <c r="F2751" i="857"/>
  <c r="F2752" i="857"/>
  <c r="F2753" i="857"/>
  <c r="F2754" i="857"/>
  <c r="F2755" i="857"/>
  <c r="F2756" i="857"/>
  <c r="F2757" i="857"/>
  <c r="F2758" i="857"/>
  <c r="F2759" i="857"/>
  <c r="F2760" i="857"/>
  <c r="F2761" i="857"/>
  <c r="F2762" i="857"/>
  <c r="F2763" i="857"/>
  <c r="F2764" i="857"/>
  <c r="F2765" i="857"/>
  <c r="F2766" i="857"/>
  <c r="F2767" i="857"/>
  <c r="F2768" i="857"/>
  <c r="F2769" i="857"/>
  <c r="F2750" i="857"/>
  <c r="F2740" i="857"/>
  <c r="F2741" i="857"/>
  <c r="F2742" i="857"/>
  <c r="F2743" i="857"/>
  <c r="F2744" i="857"/>
  <c r="F2745" i="857"/>
  <c r="F2746" i="857"/>
  <c r="F2747" i="857"/>
  <c r="F2748" i="857"/>
  <c r="F2749" i="857"/>
  <c r="F2723" i="857"/>
  <c r="F2724" i="857"/>
  <c r="F2725" i="857"/>
  <c r="F2726" i="857"/>
  <c r="F2727" i="857"/>
  <c r="F2728" i="857"/>
  <c r="F2729" i="857"/>
  <c r="F2722" i="857"/>
  <c r="F2708" i="857"/>
  <c r="F2709" i="857"/>
  <c r="F2710" i="857"/>
  <c r="F2711" i="857"/>
  <c r="F2712" i="857"/>
  <c r="F2713" i="857"/>
  <c r="F2714" i="857"/>
  <c r="F2707" i="857"/>
  <c r="F2693" i="857"/>
  <c r="F2694" i="857"/>
  <c r="F2695" i="857"/>
  <c r="F2696" i="857"/>
  <c r="F2697" i="857"/>
  <c r="F2698" i="857"/>
  <c r="F2699" i="857"/>
  <c r="F2692" i="857"/>
  <c r="F2678" i="857"/>
  <c r="F2679" i="857"/>
  <c r="F2680" i="857"/>
  <c r="F2681" i="857"/>
  <c r="F2682" i="857"/>
  <c r="F2683" i="857"/>
  <c r="F2684" i="857"/>
  <c r="F2677" i="857"/>
  <c r="F2558" i="857"/>
  <c r="F2559" i="857"/>
  <c r="F2560" i="857"/>
  <c r="F2561" i="857"/>
  <c r="F2562" i="857"/>
  <c r="F2563" i="857"/>
  <c r="F2564" i="857"/>
  <c r="F2565" i="857"/>
  <c r="F2566" i="857"/>
  <c r="F2567" i="857"/>
  <c r="F2557" i="857"/>
  <c r="F2538" i="857"/>
  <c r="F2539" i="857"/>
  <c r="F2540" i="857"/>
  <c r="F2541" i="857"/>
  <c r="F2542" i="857"/>
  <c r="F2543" i="857"/>
  <c r="F2544" i="857"/>
  <c r="F2545" i="857"/>
  <c r="F2546" i="857"/>
  <c r="F2547" i="857"/>
  <c r="F2537" i="857"/>
  <c r="F2518" i="857"/>
  <c r="F2519" i="857"/>
  <c r="F2520" i="857"/>
  <c r="F2521" i="857"/>
  <c r="F2522" i="857"/>
  <c r="F2523" i="857"/>
  <c r="F2524" i="857"/>
  <c r="F2525" i="857"/>
  <c r="F2526" i="857"/>
  <c r="F2527" i="857"/>
  <c r="F2517" i="857"/>
  <c r="F2498" i="857"/>
  <c r="F2499" i="857"/>
  <c r="F2500" i="857"/>
  <c r="F2501" i="857"/>
  <c r="F2502" i="857"/>
  <c r="F2503" i="857"/>
  <c r="F2504" i="857"/>
  <c r="F2505" i="857"/>
  <c r="F2506" i="857"/>
  <c r="F2507" i="857"/>
  <c r="F2478" i="857"/>
  <c r="F2479" i="857"/>
  <c r="F2480" i="857"/>
  <c r="F2481" i="857"/>
  <c r="F2482" i="857"/>
  <c r="F2483" i="857"/>
  <c r="F2484" i="857"/>
  <c r="F2485" i="857"/>
  <c r="F2486" i="857"/>
  <c r="F2487" i="857"/>
  <c r="F2458" i="857"/>
  <c r="F2459" i="857"/>
  <c r="F2460" i="857"/>
  <c r="F2461" i="857"/>
  <c r="F2462" i="857"/>
  <c r="F2463" i="857"/>
  <c r="F2464" i="857"/>
  <c r="F2465" i="857"/>
  <c r="F2466" i="857"/>
  <c r="F2467" i="857"/>
  <c r="F2457" i="857"/>
  <c r="F2438" i="857"/>
  <c r="F2439" i="857"/>
  <c r="F2440" i="857"/>
  <c r="F2441" i="857"/>
  <c r="F2442" i="857"/>
  <c r="F2443" i="857"/>
  <c r="F2444" i="857"/>
  <c r="F2445" i="857"/>
  <c r="F2446" i="857"/>
  <c r="F2447" i="857"/>
  <c r="F2421" i="857"/>
  <c r="F2422" i="857"/>
  <c r="F2423" i="857"/>
  <c r="F2424" i="857"/>
  <c r="F2425" i="857"/>
  <c r="F2426" i="857"/>
  <c r="F2427" i="857"/>
  <c r="F2420" i="857"/>
  <c r="F2406" i="857"/>
  <c r="F2407" i="857"/>
  <c r="F2408" i="857"/>
  <c r="F2409" i="857"/>
  <c r="F2410" i="857"/>
  <c r="F2411" i="857"/>
  <c r="F2412" i="857"/>
  <c r="F2405" i="857"/>
  <c r="F2391" i="857"/>
  <c r="F2392" i="857"/>
  <c r="F2393" i="857"/>
  <c r="F2394" i="857"/>
  <c r="F2395" i="857"/>
  <c r="F2396" i="857"/>
  <c r="F2397" i="857"/>
  <c r="F2390" i="857"/>
  <c r="F2376" i="857"/>
  <c r="F2377" i="857"/>
  <c r="F2378" i="857"/>
  <c r="F2379" i="857"/>
  <c r="F2380" i="857"/>
  <c r="F2381" i="857"/>
  <c r="F2382" i="857"/>
  <c r="F2375" i="857"/>
  <c r="F2256" i="857"/>
  <c r="F2257" i="857"/>
  <c r="F2258" i="857"/>
  <c r="F2259" i="857"/>
  <c r="F2260" i="857"/>
  <c r="F2261" i="857"/>
  <c r="F2262" i="857"/>
  <c r="F2263" i="857"/>
  <c r="F2264" i="857"/>
  <c r="F2265" i="857"/>
  <c r="F2255" i="857"/>
  <c r="F2236" i="857"/>
  <c r="F2237" i="857"/>
  <c r="F2238" i="857"/>
  <c r="F2239" i="857"/>
  <c r="F2240" i="857"/>
  <c r="F2241" i="857"/>
  <c r="F2242" i="857"/>
  <c r="F2243" i="857"/>
  <c r="F2244" i="857"/>
  <c r="F2245" i="857"/>
  <c r="F2235" i="857"/>
  <c r="F2216" i="857"/>
  <c r="F2217" i="857"/>
  <c r="F2218" i="857"/>
  <c r="F2219" i="857"/>
  <c r="F2220" i="857"/>
  <c r="F2221" i="857"/>
  <c r="F2222" i="857"/>
  <c r="F2223" i="857"/>
  <c r="F2224" i="857"/>
  <c r="F2225" i="857"/>
  <c r="F2215" i="857"/>
  <c r="F2196" i="857"/>
  <c r="F2197" i="857"/>
  <c r="F2198" i="857"/>
  <c r="F2199" i="857"/>
  <c r="F2200" i="857"/>
  <c r="F2201" i="857"/>
  <c r="F2202" i="857"/>
  <c r="F2203" i="857"/>
  <c r="F2204" i="857"/>
  <c r="F2205" i="857"/>
  <c r="F2195" i="857"/>
  <c r="F2176" i="857"/>
  <c r="F2177" i="857"/>
  <c r="F2178" i="857"/>
  <c r="F2179" i="857"/>
  <c r="F2180" i="857"/>
  <c r="F2181" i="857"/>
  <c r="F2182" i="857"/>
  <c r="F2183" i="857"/>
  <c r="F2184" i="857"/>
  <c r="F2185" i="857"/>
  <c r="F2156" i="857"/>
  <c r="F2157" i="857"/>
  <c r="F2158" i="857"/>
  <c r="F2159" i="857"/>
  <c r="F2160" i="857"/>
  <c r="F2161" i="857"/>
  <c r="F2162" i="857"/>
  <c r="F2163" i="857"/>
  <c r="F2164" i="857"/>
  <c r="F2165" i="857"/>
  <c r="F2155" i="857"/>
  <c r="F2136" i="857"/>
  <c r="F2137" i="857"/>
  <c r="F2138" i="857"/>
  <c r="F2139" i="857"/>
  <c r="F2140" i="857"/>
  <c r="F2141" i="857"/>
  <c r="F2142" i="857"/>
  <c r="F2143" i="857"/>
  <c r="F2144" i="857"/>
  <c r="F2145" i="857"/>
  <c r="F2119" i="857"/>
  <c r="F2120" i="857"/>
  <c r="F2121" i="857"/>
  <c r="F2122" i="857"/>
  <c r="F2123" i="857"/>
  <c r="F2124" i="857"/>
  <c r="F2125" i="857"/>
  <c r="F2118" i="857"/>
  <c r="F2104" i="857"/>
  <c r="F2105" i="857"/>
  <c r="F2106" i="857"/>
  <c r="F2107" i="857"/>
  <c r="F2108" i="857"/>
  <c r="F2109" i="857"/>
  <c r="F2110" i="857"/>
  <c r="F2103" i="857"/>
  <c r="F2087" i="857"/>
  <c r="F2086" i="857"/>
  <c r="F2085" i="857"/>
  <c r="F2084" i="857"/>
  <c r="F2083" i="857"/>
  <c r="F2082" i="857"/>
  <c r="F2081" i="857"/>
  <c r="F2080" i="857"/>
  <c r="I10" i="727"/>
  <c r="H10" i="727"/>
  <c r="I9" i="727"/>
  <c r="H9" i="727"/>
  <c r="I8" i="727"/>
  <c r="H8" i="727"/>
  <c r="I7" i="727"/>
  <c r="H7" i="727"/>
  <c r="G10" i="727"/>
  <c r="G9" i="727"/>
  <c r="G8" i="727"/>
  <c r="G7" i="727"/>
  <c r="M96" i="779"/>
  <c r="L96" i="779"/>
  <c r="K96" i="779"/>
  <c r="M95" i="779"/>
  <c r="L95" i="779"/>
  <c r="K95" i="779"/>
  <c r="M94" i="779"/>
  <c r="L94" i="779"/>
  <c r="K94" i="779"/>
  <c r="M93" i="779"/>
  <c r="L93" i="779"/>
  <c r="K93" i="779"/>
  <c r="M92" i="779"/>
  <c r="L92" i="779"/>
  <c r="K92" i="779"/>
  <c r="M91" i="779"/>
  <c r="L91" i="779"/>
  <c r="K91" i="779"/>
  <c r="M90" i="779"/>
  <c r="L90" i="779"/>
  <c r="K90" i="779"/>
  <c r="M89" i="779"/>
  <c r="L89" i="779"/>
  <c r="K89" i="779"/>
  <c r="M88" i="779"/>
  <c r="L88" i="779"/>
  <c r="K88" i="779"/>
  <c r="M87" i="779"/>
  <c r="L87" i="779"/>
  <c r="K87" i="779"/>
  <c r="M96" i="778"/>
  <c r="L96" i="778"/>
  <c r="K96" i="778"/>
  <c r="M95" i="778"/>
  <c r="L95" i="778"/>
  <c r="K95" i="778"/>
  <c r="M94" i="778"/>
  <c r="L94" i="778"/>
  <c r="K94" i="778"/>
  <c r="M93" i="778"/>
  <c r="L93" i="778"/>
  <c r="K93" i="778"/>
  <c r="M92" i="778"/>
  <c r="L92" i="778"/>
  <c r="K92" i="778"/>
  <c r="M91" i="778"/>
  <c r="L91" i="778"/>
  <c r="K91" i="778"/>
  <c r="M90" i="778"/>
  <c r="L90" i="778"/>
  <c r="K90" i="778"/>
  <c r="M89" i="778"/>
  <c r="L89" i="778"/>
  <c r="K89" i="778"/>
  <c r="M88" i="778"/>
  <c r="L88" i="778"/>
  <c r="K88" i="778"/>
  <c r="M87" i="778"/>
  <c r="L87" i="778"/>
  <c r="K87" i="778"/>
  <c r="M96" i="777"/>
  <c r="L96" i="777"/>
  <c r="K96" i="777"/>
  <c r="M95" i="777"/>
  <c r="L95" i="777"/>
  <c r="K95" i="777"/>
  <c r="M94" i="777"/>
  <c r="L94" i="777"/>
  <c r="K94" i="777"/>
  <c r="M93" i="777"/>
  <c r="L93" i="777"/>
  <c r="K93" i="777"/>
  <c r="M92" i="777"/>
  <c r="L92" i="777"/>
  <c r="K92" i="777"/>
  <c r="M91" i="777"/>
  <c r="L91" i="777"/>
  <c r="K91" i="777"/>
  <c r="M90" i="777"/>
  <c r="L90" i="777"/>
  <c r="K90" i="777"/>
  <c r="M89" i="777"/>
  <c r="L89" i="777"/>
  <c r="K89" i="777"/>
  <c r="M88" i="777"/>
  <c r="L88" i="777"/>
  <c r="K88" i="777"/>
  <c r="M87" i="777"/>
  <c r="L87" i="777"/>
  <c r="K87" i="777"/>
  <c r="M96" i="776"/>
  <c r="L96" i="776"/>
  <c r="K96" i="776"/>
  <c r="M95" i="776"/>
  <c r="L95" i="776"/>
  <c r="K95" i="776"/>
  <c r="M94" i="776"/>
  <c r="L94" i="776"/>
  <c r="K94" i="776"/>
  <c r="M93" i="776"/>
  <c r="L93" i="776"/>
  <c r="K93" i="776"/>
  <c r="M92" i="776"/>
  <c r="L92" i="776"/>
  <c r="K92" i="776"/>
  <c r="M91" i="776"/>
  <c r="L91" i="776"/>
  <c r="K91" i="776"/>
  <c r="M90" i="776"/>
  <c r="L90" i="776"/>
  <c r="K90" i="776"/>
  <c r="M89" i="776"/>
  <c r="L89" i="776"/>
  <c r="K89" i="776"/>
  <c r="M88" i="776"/>
  <c r="L88" i="776"/>
  <c r="K88" i="776"/>
  <c r="M87" i="776"/>
  <c r="L87" i="776"/>
  <c r="K87" i="776"/>
  <c r="E68" i="779"/>
  <c r="E68" i="778"/>
  <c r="E68" i="777"/>
  <c r="E68" i="776"/>
  <c r="M96" i="775" l="1"/>
  <c r="L96" i="775"/>
  <c r="K96" i="775"/>
  <c r="M95" i="775"/>
  <c r="L95" i="775"/>
  <c r="K95" i="775"/>
  <c r="M94" i="775"/>
  <c r="L94" i="775"/>
  <c r="K94" i="775"/>
  <c r="M93" i="775"/>
  <c r="L93" i="775"/>
  <c r="K93" i="775"/>
  <c r="M92" i="775"/>
  <c r="L92" i="775"/>
  <c r="K92" i="775"/>
  <c r="M91" i="775"/>
  <c r="L91" i="775"/>
  <c r="K91" i="775"/>
  <c r="M90" i="775"/>
  <c r="L90" i="775"/>
  <c r="K90" i="775"/>
  <c r="M89" i="775"/>
  <c r="L89" i="775"/>
  <c r="K89" i="775"/>
  <c r="M88" i="775"/>
  <c r="L88" i="775"/>
  <c r="K88" i="775"/>
  <c r="M87" i="775"/>
  <c r="L87" i="775"/>
  <c r="K87" i="775"/>
  <c r="E68" i="775"/>
  <c r="M96" i="774"/>
  <c r="M95" i="774"/>
  <c r="M94" i="774"/>
  <c r="M93" i="774"/>
  <c r="M92" i="774"/>
  <c r="M91" i="774"/>
  <c r="M90" i="774"/>
  <c r="M89" i="774"/>
  <c r="M88" i="774"/>
  <c r="M87" i="774"/>
  <c r="E68" i="774"/>
  <c r="I17" i="41" l="1"/>
  <c r="I18" i="41"/>
  <c r="I19" i="41"/>
  <c r="I20" i="41"/>
  <c r="I21" i="41"/>
  <c r="I22" i="41"/>
  <c r="I23" i="41"/>
  <c r="I16" i="41"/>
  <c r="BE76" i="354"/>
  <c r="BD76" i="354"/>
  <c r="BE75" i="354"/>
  <c r="BD75" i="354"/>
  <c r="BE74" i="354"/>
  <c r="BD74" i="354"/>
  <c r="BE73" i="354"/>
  <c r="BD73" i="354"/>
  <c r="BE72" i="354"/>
  <c r="BD72" i="354"/>
  <c r="BE71" i="354"/>
  <c r="BD71" i="354"/>
  <c r="BE70" i="354"/>
  <c r="BD70" i="354"/>
  <c r="BE69" i="354"/>
  <c r="BD69" i="354"/>
  <c r="BE68" i="354"/>
  <c r="BD68" i="354"/>
  <c r="BE67" i="354"/>
  <c r="BD67" i="354"/>
  <c r="BE66" i="354"/>
  <c r="BD66" i="354"/>
  <c r="BE65" i="354"/>
  <c r="BD65" i="354"/>
  <c r="BE64" i="354"/>
  <c r="BD64" i="354"/>
  <c r="BE63" i="354"/>
  <c r="BD63" i="354"/>
  <c r="BE62" i="354"/>
  <c r="BD62" i="354"/>
  <c r="BE61" i="354"/>
  <c r="BD61" i="354"/>
  <c r="BE60" i="354"/>
  <c r="BD60" i="354"/>
  <c r="BE59" i="354"/>
  <c r="BD59" i="354"/>
  <c r="BE58" i="354"/>
  <c r="BD58" i="354"/>
  <c r="BE57" i="354"/>
  <c r="BD57" i="354"/>
  <c r="BE56" i="354"/>
  <c r="BD56" i="354"/>
  <c r="BE55" i="354"/>
  <c r="BD55" i="354"/>
  <c r="BE54" i="354"/>
  <c r="BD54" i="354"/>
  <c r="BE53" i="354"/>
  <c r="BD53" i="354"/>
  <c r="BA76" i="354"/>
  <c r="AZ76" i="354"/>
  <c r="BA75" i="354"/>
  <c r="AZ75" i="354"/>
  <c r="BA74" i="354"/>
  <c r="AZ74" i="354"/>
  <c r="BA73" i="354"/>
  <c r="AZ73" i="354"/>
  <c r="BA72" i="354"/>
  <c r="AZ72" i="354"/>
  <c r="BA71" i="354"/>
  <c r="AZ71" i="354"/>
  <c r="BA70" i="354"/>
  <c r="AZ70" i="354"/>
  <c r="BA69" i="354"/>
  <c r="AZ69" i="354"/>
  <c r="BA68" i="354"/>
  <c r="AZ68" i="354"/>
  <c r="BA67" i="354"/>
  <c r="AZ67" i="354"/>
  <c r="BA66" i="354"/>
  <c r="AZ66" i="354"/>
  <c r="BA65" i="354"/>
  <c r="AZ65" i="354"/>
  <c r="BA64" i="354"/>
  <c r="AZ64" i="354"/>
  <c r="BA63" i="354"/>
  <c r="AZ63" i="354"/>
  <c r="BA62" i="354"/>
  <c r="AZ62" i="354"/>
  <c r="BA61" i="354"/>
  <c r="AZ61" i="354"/>
  <c r="BA60" i="354"/>
  <c r="AZ60" i="354"/>
  <c r="BA59" i="354"/>
  <c r="AZ59" i="354"/>
  <c r="BA58" i="354"/>
  <c r="AZ58" i="354"/>
  <c r="BA57" i="354"/>
  <c r="AZ57" i="354"/>
  <c r="BA56" i="354"/>
  <c r="AZ56" i="354"/>
  <c r="BA55" i="354"/>
  <c r="AZ55" i="354"/>
  <c r="BA54" i="354"/>
  <c r="AZ54" i="354"/>
  <c r="BA53" i="354"/>
  <c r="AZ53" i="354"/>
  <c r="AW76" i="354"/>
  <c r="AV76" i="354"/>
  <c r="AW75" i="354"/>
  <c r="AV75" i="354"/>
  <c r="AW74" i="354"/>
  <c r="AV74" i="354"/>
  <c r="AW73" i="354"/>
  <c r="AV73" i="354"/>
  <c r="AW72" i="354"/>
  <c r="AV72" i="354"/>
  <c r="AW71" i="354"/>
  <c r="AV71" i="354"/>
  <c r="AW70" i="354"/>
  <c r="AV70" i="354"/>
  <c r="AW69" i="354"/>
  <c r="AV69" i="354"/>
  <c r="AW68" i="354"/>
  <c r="AV68" i="354"/>
  <c r="AW67" i="354"/>
  <c r="AV67" i="354"/>
  <c r="AW66" i="354"/>
  <c r="AV66" i="354"/>
  <c r="AW65" i="354"/>
  <c r="AV65" i="354"/>
  <c r="AW64" i="354"/>
  <c r="AV64" i="354"/>
  <c r="AW63" i="354"/>
  <c r="AV63" i="354"/>
  <c r="AW62" i="354"/>
  <c r="AV62" i="354"/>
  <c r="AW61" i="354"/>
  <c r="AV61" i="354"/>
  <c r="AW60" i="354"/>
  <c r="AV60" i="354"/>
  <c r="AW59" i="354"/>
  <c r="AV59" i="354"/>
  <c r="AW58" i="354"/>
  <c r="AV58" i="354"/>
  <c r="AW57" i="354"/>
  <c r="AV57" i="354"/>
  <c r="AW56" i="354"/>
  <c r="AV56" i="354"/>
  <c r="AW55" i="354"/>
  <c r="AV55" i="354"/>
  <c r="AW54" i="354"/>
  <c r="AV54" i="354"/>
  <c r="AW53" i="354"/>
  <c r="AV53" i="354"/>
  <c r="AS76" i="354"/>
  <c r="AR76" i="354"/>
  <c r="AS75" i="354"/>
  <c r="AR75" i="354"/>
  <c r="AS74" i="354"/>
  <c r="AR74" i="354"/>
  <c r="AS73" i="354"/>
  <c r="AR73" i="354"/>
  <c r="AS72" i="354"/>
  <c r="AR72" i="354"/>
  <c r="AS71" i="354"/>
  <c r="AR71" i="354"/>
  <c r="AS70" i="354"/>
  <c r="AR70" i="354"/>
  <c r="AS69" i="354"/>
  <c r="AR69" i="354"/>
  <c r="AS68" i="354"/>
  <c r="AR68" i="354"/>
  <c r="AS67" i="354"/>
  <c r="AR67" i="354"/>
  <c r="AS66" i="354"/>
  <c r="AR66" i="354"/>
  <c r="AS65" i="354"/>
  <c r="AR65" i="354"/>
  <c r="AS64" i="354"/>
  <c r="AR64" i="354"/>
  <c r="AS63" i="354"/>
  <c r="AR63" i="354"/>
  <c r="AS62" i="354"/>
  <c r="AR62" i="354"/>
  <c r="AS61" i="354"/>
  <c r="AR61" i="354"/>
  <c r="AS60" i="354"/>
  <c r="AR60" i="354"/>
  <c r="AS59" i="354"/>
  <c r="AR59" i="354"/>
  <c r="AS58" i="354"/>
  <c r="AR58" i="354"/>
  <c r="AS57" i="354"/>
  <c r="AR57" i="354"/>
  <c r="AS56" i="354"/>
  <c r="AR56" i="354"/>
  <c r="AS55" i="354"/>
  <c r="AR55" i="354"/>
  <c r="AS54" i="354"/>
  <c r="AR54" i="354"/>
  <c r="AS53" i="354"/>
  <c r="AR53" i="354"/>
  <c r="AO76" i="354"/>
  <c r="AN76" i="354"/>
  <c r="AO75" i="354"/>
  <c r="AN75" i="354"/>
  <c r="AO74" i="354"/>
  <c r="AN74" i="354"/>
  <c r="AO73" i="354"/>
  <c r="AN73" i="354"/>
  <c r="AO72" i="354"/>
  <c r="AN72" i="354"/>
  <c r="AO71" i="354"/>
  <c r="AN71" i="354"/>
  <c r="AO70" i="354"/>
  <c r="AN70" i="354"/>
  <c r="AO69" i="354"/>
  <c r="AN69" i="354"/>
  <c r="AO68" i="354"/>
  <c r="AN68" i="354"/>
  <c r="AO67" i="354"/>
  <c r="AN67" i="354"/>
  <c r="AO66" i="354"/>
  <c r="AN66" i="354"/>
  <c r="AO65" i="354"/>
  <c r="AN65" i="354"/>
  <c r="AO64" i="354"/>
  <c r="AN64" i="354"/>
  <c r="AO63" i="354"/>
  <c r="AN63" i="354"/>
  <c r="AO62" i="354"/>
  <c r="AN62" i="354"/>
  <c r="AO61" i="354"/>
  <c r="AN61" i="354"/>
  <c r="AO60" i="354"/>
  <c r="AN60" i="354"/>
  <c r="AO59" i="354"/>
  <c r="AN59" i="354"/>
  <c r="AO58" i="354"/>
  <c r="AN58" i="354"/>
  <c r="AO57" i="354"/>
  <c r="AN57" i="354"/>
  <c r="AO56" i="354"/>
  <c r="AN56" i="354"/>
  <c r="AO55" i="354"/>
  <c r="AN55" i="354"/>
  <c r="AO54" i="354"/>
  <c r="AN54" i="354"/>
  <c r="AO53" i="354"/>
  <c r="AN53" i="354"/>
  <c r="AK76" i="354"/>
  <c r="AJ76" i="354"/>
  <c r="AK75" i="354"/>
  <c r="AJ75" i="354"/>
  <c r="AK74" i="354"/>
  <c r="AJ74" i="354"/>
  <c r="AK73" i="354"/>
  <c r="AJ73" i="354"/>
  <c r="AK72" i="354"/>
  <c r="AJ72" i="354"/>
  <c r="AK71" i="354"/>
  <c r="AJ71" i="354"/>
  <c r="AK70" i="354"/>
  <c r="AJ70" i="354"/>
  <c r="AK69" i="354"/>
  <c r="AJ69" i="354"/>
  <c r="AK68" i="354"/>
  <c r="AJ68" i="354"/>
  <c r="AK67" i="354"/>
  <c r="AJ67" i="354"/>
  <c r="AK66" i="354"/>
  <c r="AJ66" i="354"/>
  <c r="AK65" i="354"/>
  <c r="AJ65" i="354"/>
  <c r="AK64" i="354"/>
  <c r="AJ64" i="354"/>
  <c r="AK63" i="354"/>
  <c r="AJ63" i="354"/>
  <c r="AK62" i="354"/>
  <c r="AJ62" i="354"/>
  <c r="AK61" i="354"/>
  <c r="AJ61" i="354"/>
  <c r="AK60" i="354"/>
  <c r="AJ60" i="354"/>
  <c r="AK59" i="354"/>
  <c r="AJ59" i="354"/>
  <c r="AK58" i="354"/>
  <c r="AJ58" i="354"/>
  <c r="AK57" i="354"/>
  <c r="AJ57" i="354"/>
  <c r="AK56" i="354"/>
  <c r="AJ56" i="354"/>
  <c r="AK55" i="354"/>
  <c r="AJ55" i="354"/>
  <c r="AK54" i="354"/>
  <c r="AJ54" i="354"/>
  <c r="AK53" i="354"/>
  <c r="AJ53" i="354"/>
  <c r="AG76" i="354"/>
  <c r="AF76" i="354"/>
  <c r="AG75" i="354"/>
  <c r="AF75" i="354"/>
  <c r="AG74" i="354"/>
  <c r="AF74" i="354"/>
  <c r="AG73" i="354"/>
  <c r="AF73" i="354"/>
  <c r="AG72" i="354"/>
  <c r="AF72" i="354"/>
  <c r="AG71" i="354"/>
  <c r="AF71" i="354"/>
  <c r="AG70" i="354"/>
  <c r="AF70" i="354"/>
  <c r="AG69" i="354"/>
  <c r="AF69" i="354"/>
  <c r="AG68" i="354"/>
  <c r="AF68" i="354"/>
  <c r="AG67" i="354"/>
  <c r="AF67" i="354"/>
  <c r="AG66" i="354"/>
  <c r="AF66" i="354"/>
  <c r="AG65" i="354"/>
  <c r="AF65" i="354"/>
  <c r="AG64" i="354"/>
  <c r="AF64" i="354"/>
  <c r="AG63" i="354"/>
  <c r="AF63" i="354"/>
  <c r="AG62" i="354"/>
  <c r="AF62" i="354"/>
  <c r="AG61" i="354"/>
  <c r="AF61" i="354"/>
  <c r="AG60" i="354"/>
  <c r="AF60" i="354"/>
  <c r="AG59" i="354"/>
  <c r="AF59" i="354"/>
  <c r="AG58" i="354"/>
  <c r="AF58" i="354"/>
  <c r="AG57" i="354"/>
  <c r="AF57" i="354"/>
  <c r="AG56" i="354"/>
  <c r="AF56" i="354"/>
  <c r="AG55" i="354"/>
  <c r="AF55" i="354"/>
  <c r="AG54" i="354"/>
  <c r="AF54" i="354"/>
  <c r="AG53" i="354"/>
  <c r="AF53" i="354"/>
  <c r="AC76" i="354"/>
  <c r="AB76" i="354"/>
  <c r="AC75" i="354"/>
  <c r="AB75" i="354"/>
  <c r="AC74" i="354"/>
  <c r="AB74" i="354"/>
  <c r="AC73" i="354"/>
  <c r="AB73" i="354"/>
  <c r="AC72" i="354"/>
  <c r="AB72" i="354"/>
  <c r="AC71" i="354"/>
  <c r="AB71" i="354"/>
  <c r="AC70" i="354"/>
  <c r="AB70" i="354"/>
  <c r="AC69" i="354"/>
  <c r="AB69" i="354"/>
  <c r="AC68" i="354"/>
  <c r="AB68" i="354"/>
  <c r="AC67" i="354"/>
  <c r="AB67" i="354"/>
  <c r="AC66" i="354"/>
  <c r="AB66" i="354"/>
  <c r="AC65" i="354"/>
  <c r="AB65" i="354"/>
  <c r="AC64" i="354"/>
  <c r="AB64" i="354"/>
  <c r="AC63" i="354"/>
  <c r="AB63" i="354"/>
  <c r="AC62" i="354"/>
  <c r="AB62" i="354"/>
  <c r="AC61" i="354"/>
  <c r="AB61" i="354"/>
  <c r="AC60" i="354"/>
  <c r="AB60" i="354"/>
  <c r="AC59" i="354"/>
  <c r="AB59" i="354"/>
  <c r="AC58" i="354"/>
  <c r="AB58" i="354"/>
  <c r="AC57" i="354"/>
  <c r="AB57" i="354"/>
  <c r="AC56" i="354"/>
  <c r="AB56" i="354"/>
  <c r="AC55" i="354"/>
  <c r="AB55" i="354"/>
  <c r="AC54" i="354"/>
  <c r="AB54" i="354"/>
  <c r="AC53" i="354"/>
  <c r="AB53" i="354"/>
  <c r="Y76" i="354"/>
  <c r="X76" i="354"/>
  <c r="Y75" i="354"/>
  <c r="X75" i="354"/>
  <c r="Y74" i="354"/>
  <c r="X74" i="354"/>
  <c r="Y73" i="354"/>
  <c r="X73" i="354"/>
  <c r="Y72" i="354"/>
  <c r="X72" i="354"/>
  <c r="Y71" i="354"/>
  <c r="X71" i="354"/>
  <c r="Y70" i="354"/>
  <c r="X70" i="354"/>
  <c r="Y69" i="354"/>
  <c r="X69" i="354"/>
  <c r="Y68" i="354"/>
  <c r="X68" i="354"/>
  <c r="Y67" i="354"/>
  <c r="X67" i="354"/>
  <c r="Y66" i="354"/>
  <c r="X66" i="354"/>
  <c r="Y65" i="354"/>
  <c r="X65" i="354"/>
  <c r="Y64" i="354"/>
  <c r="X64" i="354"/>
  <c r="Y63" i="354"/>
  <c r="X63" i="354"/>
  <c r="Y62" i="354"/>
  <c r="X62" i="354"/>
  <c r="Y61" i="354"/>
  <c r="X61" i="354"/>
  <c r="Y60" i="354"/>
  <c r="X60" i="354"/>
  <c r="Y59" i="354"/>
  <c r="X59" i="354"/>
  <c r="Y58" i="354"/>
  <c r="X58" i="354"/>
  <c r="Y57" i="354"/>
  <c r="X57" i="354"/>
  <c r="Y56" i="354"/>
  <c r="X56" i="354"/>
  <c r="Y55" i="354"/>
  <c r="X55" i="354"/>
  <c r="Y54" i="354"/>
  <c r="X54" i="354"/>
  <c r="Y53" i="354"/>
  <c r="X53" i="354"/>
  <c r="Q76" i="354"/>
  <c r="P76" i="354"/>
  <c r="Q75" i="354"/>
  <c r="P75" i="354"/>
  <c r="Q74" i="354"/>
  <c r="P74" i="354"/>
  <c r="Q73" i="354"/>
  <c r="P73" i="354"/>
  <c r="Q72" i="354"/>
  <c r="P72" i="354"/>
  <c r="Q71" i="354"/>
  <c r="P71" i="354"/>
  <c r="Q70" i="354"/>
  <c r="P70" i="354"/>
  <c r="Q69" i="354"/>
  <c r="P69" i="354"/>
  <c r="Q68" i="354"/>
  <c r="P68" i="354"/>
  <c r="Q67" i="354"/>
  <c r="P67" i="354"/>
  <c r="Q66" i="354"/>
  <c r="P66" i="354"/>
  <c r="Q65" i="354"/>
  <c r="P65" i="354"/>
  <c r="Q64" i="354"/>
  <c r="P64" i="354"/>
  <c r="Q63" i="354"/>
  <c r="P63" i="354"/>
  <c r="Q62" i="354"/>
  <c r="P62" i="354"/>
  <c r="Q61" i="354"/>
  <c r="P61" i="354"/>
  <c r="Q60" i="354"/>
  <c r="P60" i="354"/>
  <c r="Q59" i="354"/>
  <c r="P59" i="354"/>
  <c r="Q58" i="354"/>
  <c r="P58" i="354"/>
  <c r="Q57" i="354"/>
  <c r="P57" i="354"/>
  <c r="Q56" i="354"/>
  <c r="P56" i="354"/>
  <c r="Q55" i="354"/>
  <c r="P55" i="354"/>
  <c r="Q54" i="354"/>
  <c r="P54" i="354"/>
  <c r="Q53" i="354"/>
  <c r="P53" i="354"/>
  <c r="M76" i="354"/>
  <c r="L76" i="354"/>
  <c r="M75" i="354"/>
  <c r="L75" i="354"/>
  <c r="M74" i="354"/>
  <c r="L74" i="354"/>
  <c r="M73" i="354"/>
  <c r="L73" i="354"/>
  <c r="M72" i="354"/>
  <c r="L72" i="354"/>
  <c r="M71" i="354"/>
  <c r="L71" i="354"/>
  <c r="M70" i="354"/>
  <c r="L70" i="354"/>
  <c r="M69" i="354"/>
  <c r="L69" i="354"/>
  <c r="M68" i="354"/>
  <c r="L68" i="354"/>
  <c r="M67" i="354"/>
  <c r="L67" i="354"/>
  <c r="M66" i="354"/>
  <c r="L66" i="354"/>
  <c r="M65" i="354"/>
  <c r="L65" i="354"/>
  <c r="M64" i="354"/>
  <c r="L64" i="354"/>
  <c r="M63" i="354"/>
  <c r="L63" i="354"/>
  <c r="M62" i="354"/>
  <c r="L62" i="354"/>
  <c r="M61" i="354"/>
  <c r="L61" i="354"/>
  <c r="M60" i="354"/>
  <c r="L60" i="354"/>
  <c r="M59" i="354"/>
  <c r="L59" i="354"/>
  <c r="M58" i="354"/>
  <c r="L58" i="354"/>
  <c r="M57" i="354"/>
  <c r="L57" i="354"/>
  <c r="M56" i="354"/>
  <c r="L56" i="354"/>
  <c r="M55" i="354"/>
  <c r="L55" i="354"/>
  <c r="M54" i="354"/>
  <c r="L54" i="354"/>
  <c r="M53" i="354"/>
  <c r="L53" i="354"/>
  <c r="I76" i="354"/>
  <c r="H76" i="354"/>
  <c r="I75" i="354"/>
  <c r="H75" i="354"/>
  <c r="I74" i="354"/>
  <c r="H74" i="354"/>
  <c r="I73" i="354"/>
  <c r="H73" i="354"/>
  <c r="I72" i="354"/>
  <c r="H72" i="354"/>
  <c r="I71" i="354"/>
  <c r="H71" i="354"/>
  <c r="I70" i="354"/>
  <c r="H70" i="354"/>
  <c r="I69" i="354"/>
  <c r="H69" i="354"/>
  <c r="I68" i="354"/>
  <c r="H68" i="354"/>
  <c r="I67" i="354"/>
  <c r="H67" i="354"/>
  <c r="I66" i="354"/>
  <c r="H66" i="354"/>
  <c r="I65" i="354"/>
  <c r="H65" i="354"/>
  <c r="I64" i="354"/>
  <c r="H64" i="354"/>
  <c r="I63" i="354"/>
  <c r="H63" i="354"/>
  <c r="I62" i="354"/>
  <c r="H62" i="354"/>
  <c r="I61" i="354"/>
  <c r="H61" i="354"/>
  <c r="I60" i="354"/>
  <c r="H60" i="354"/>
  <c r="I59" i="354"/>
  <c r="H59" i="354"/>
  <c r="I58" i="354"/>
  <c r="H58" i="354"/>
  <c r="I57" i="354"/>
  <c r="H57" i="354"/>
  <c r="I56" i="354"/>
  <c r="H56" i="354"/>
  <c r="I55" i="354"/>
  <c r="H55" i="354"/>
  <c r="I54" i="354"/>
  <c r="H54" i="354"/>
  <c r="I53" i="354"/>
  <c r="H53" i="354"/>
  <c r="J76" i="354"/>
  <c r="N76" i="354" s="1"/>
  <c r="R76" i="354" s="1"/>
  <c r="E76" i="354"/>
  <c r="D76" i="354"/>
  <c r="J75" i="354"/>
  <c r="N75" i="354" s="1"/>
  <c r="R75" i="354" s="1"/>
  <c r="E75" i="354"/>
  <c r="D75" i="354"/>
  <c r="J74" i="354"/>
  <c r="N74" i="354" s="1"/>
  <c r="R74" i="354" s="1"/>
  <c r="E74" i="354"/>
  <c r="D74" i="354"/>
  <c r="J73" i="354"/>
  <c r="N73" i="354" s="1"/>
  <c r="R73" i="354" s="1"/>
  <c r="E73" i="354"/>
  <c r="D73" i="354"/>
  <c r="J72" i="354"/>
  <c r="N72" i="354" s="1"/>
  <c r="R72" i="354" s="1"/>
  <c r="E72" i="354"/>
  <c r="D72" i="354"/>
  <c r="J71" i="354"/>
  <c r="N71" i="354" s="1"/>
  <c r="R71" i="354" s="1"/>
  <c r="E71" i="354"/>
  <c r="D71" i="354"/>
  <c r="J70" i="354"/>
  <c r="N70" i="354" s="1"/>
  <c r="R70" i="354" s="1"/>
  <c r="E70" i="354"/>
  <c r="D70" i="354"/>
  <c r="J69" i="354"/>
  <c r="N69" i="354" s="1"/>
  <c r="R69" i="354" s="1"/>
  <c r="E69" i="354"/>
  <c r="D69" i="354"/>
  <c r="J68" i="354"/>
  <c r="N68" i="354" s="1"/>
  <c r="R68" i="354" s="1"/>
  <c r="E68" i="354"/>
  <c r="D68" i="354"/>
  <c r="J67" i="354"/>
  <c r="N67" i="354" s="1"/>
  <c r="R67" i="354" s="1"/>
  <c r="E67" i="354"/>
  <c r="D67" i="354"/>
  <c r="J66" i="354"/>
  <c r="N66" i="354" s="1"/>
  <c r="R66" i="354" s="1"/>
  <c r="E66" i="354"/>
  <c r="D66" i="354"/>
  <c r="J65" i="354"/>
  <c r="N65" i="354" s="1"/>
  <c r="R65" i="354" s="1"/>
  <c r="E65" i="354"/>
  <c r="D65" i="354"/>
  <c r="J64" i="354"/>
  <c r="N64" i="354" s="1"/>
  <c r="R64" i="354" s="1"/>
  <c r="E64" i="354"/>
  <c r="D64" i="354"/>
  <c r="J63" i="354"/>
  <c r="N63" i="354" s="1"/>
  <c r="R63" i="354" s="1"/>
  <c r="E63" i="354"/>
  <c r="D63" i="354"/>
  <c r="J62" i="354"/>
  <c r="N62" i="354" s="1"/>
  <c r="R62" i="354" s="1"/>
  <c r="E62" i="354"/>
  <c r="D62" i="354"/>
  <c r="J61" i="354"/>
  <c r="N61" i="354" s="1"/>
  <c r="R61" i="354" s="1"/>
  <c r="E61" i="354"/>
  <c r="D61" i="354"/>
  <c r="J60" i="354"/>
  <c r="N60" i="354" s="1"/>
  <c r="R60" i="354" s="1"/>
  <c r="E60" i="354"/>
  <c r="D60" i="354"/>
  <c r="J59" i="354"/>
  <c r="N59" i="354" s="1"/>
  <c r="R59" i="354" s="1"/>
  <c r="E59" i="354"/>
  <c r="D59" i="354"/>
  <c r="J58" i="354"/>
  <c r="N58" i="354" s="1"/>
  <c r="R58" i="354" s="1"/>
  <c r="E58" i="354"/>
  <c r="D58" i="354"/>
  <c r="J57" i="354"/>
  <c r="N57" i="354" s="1"/>
  <c r="R57" i="354" s="1"/>
  <c r="E57" i="354"/>
  <c r="D57" i="354"/>
  <c r="J56" i="354"/>
  <c r="N56" i="354" s="1"/>
  <c r="R56" i="354" s="1"/>
  <c r="E56" i="354"/>
  <c r="D56" i="354"/>
  <c r="J55" i="354"/>
  <c r="N55" i="354" s="1"/>
  <c r="R55" i="354" s="1"/>
  <c r="E55" i="354"/>
  <c r="D55" i="354"/>
  <c r="J54" i="354"/>
  <c r="N54" i="354" s="1"/>
  <c r="R54" i="354" s="1"/>
  <c r="E54" i="354"/>
  <c r="D54" i="354"/>
  <c r="J53" i="354"/>
  <c r="N53" i="354" s="1"/>
  <c r="R53" i="354" s="1"/>
  <c r="E53" i="354"/>
  <c r="D53" i="354"/>
  <c r="T53" i="354"/>
  <c r="U53" i="354"/>
  <c r="T54" i="354"/>
  <c r="U54" i="354"/>
  <c r="T55" i="354"/>
  <c r="U55" i="354"/>
  <c r="T56" i="354"/>
  <c r="U56" i="354"/>
  <c r="T57" i="354"/>
  <c r="U57" i="354"/>
  <c r="T58" i="354"/>
  <c r="U58" i="354"/>
  <c r="T59" i="354"/>
  <c r="U59" i="354"/>
  <c r="T60" i="354"/>
  <c r="U60" i="354"/>
  <c r="T61" i="354"/>
  <c r="U61" i="354"/>
  <c r="T62" i="354"/>
  <c r="U62" i="354"/>
  <c r="T63" i="354"/>
  <c r="U63" i="354"/>
  <c r="T64" i="354"/>
  <c r="U64" i="354"/>
  <c r="T65" i="354"/>
  <c r="U65" i="354"/>
  <c r="T66" i="354"/>
  <c r="U66" i="354"/>
  <c r="T67" i="354"/>
  <c r="U67" i="354"/>
  <c r="T68" i="354"/>
  <c r="U68" i="354"/>
  <c r="T69" i="354"/>
  <c r="U69" i="354"/>
  <c r="T70" i="354"/>
  <c r="U70" i="354"/>
  <c r="T71" i="354"/>
  <c r="U71" i="354"/>
  <c r="T72" i="354"/>
  <c r="U72" i="354"/>
  <c r="T73" i="354"/>
  <c r="U73" i="354"/>
  <c r="T74" i="354"/>
  <c r="U74" i="354"/>
  <c r="T75" i="354"/>
  <c r="U75" i="354"/>
  <c r="T76" i="354"/>
  <c r="U76" i="354"/>
  <c r="F2949" i="857" l="1"/>
  <c r="F2948" i="857"/>
  <c r="F2947" i="857"/>
  <c r="F2946" i="857"/>
  <c r="F2945" i="857"/>
  <c r="F2944" i="857"/>
  <c r="F2943" i="857"/>
  <c r="F2942" i="857"/>
  <c r="F2941" i="857"/>
  <c r="F2940" i="857"/>
  <c r="F2939" i="857"/>
  <c r="F2938" i="857"/>
  <c r="F2937" i="857"/>
  <c r="F2936" i="857"/>
  <c r="F2935" i="857"/>
  <c r="F2934" i="857"/>
  <c r="F2933" i="857"/>
  <c r="F2932" i="857"/>
  <c r="F2931" i="857"/>
  <c r="F2930" i="857"/>
  <c r="F2929" i="857"/>
  <c r="F2928" i="857"/>
  <c r="F2927" i="857"/>
  <c r="F2926" i="857"/>
  <c r="F2925" i="857"/>
  <c r="F2924" i="857"/>
  <c r="F2923" i="857"/>
  <c r="F2922" i="857"/>
  <c r="F2921" i="857"/>
  <c r="F2920" i="857"/>
  <c r="F2919" i="857"/>
  <c r="F2918" i="857"/>
  <c r="F2917" i="857"/>
  <c r="F2916" i="857"/>
  <c r="F2915" i="857"/>
  <c r="F2914" i="857"/>
  <c r="F2913" i="857"/>
  <c r="F2912" i="857"/>
  <c r="F2911" i="857"/>
  <c r="F2910" i="857"/>
  <c r="F2909" i="857"/>
  <c r="F2908" i="857"/>
  <c r="F2907" i="857"/>
  <c r="F2906" i="857"/>
  <c r="F2905" i="857"/>
  <c r="F2904" i="857"/>
  <c r="F2903" i="857"/>
  <c r="F2902" i="857"/>
  <c r="F2901" i="857"/>
  <c r="F2900" i="857"/>
  <c r="F2899" i="857"/>
  <c r="F2898" i="857"/>
  <c r="F2897" i="857"/>
  <c r="F2896" i="857"/>
  <c r="F2895" i="857"/>
  <c r="F2894" i="857"/>
  <c r="F2893" i="857"/>
  <c r="F2892" i="857"/>
  <c r="F2891" i="857"/>
  <c r="F2890" i="857"/>
  <c r="F2889" i="857"/>
  <c r="F2888" i="857"/>
  <c r="F2887" i="857"/>
  <c r="F2886" i="857"/>
  <c r="F2885" i="857"/>
  <c r="F2884" i="857"/>
  <c r="F2883" i="857"/>
  <c r="F2882" i="857"/>
  <c r="F2881" i="857"/>
  <c r="F2880" i="857"/>
  <c r="F2879" i="857"/>
  <c r="F2878" i="857"/>
  <c r="F2877" i="857"/>
  <c r="F2876" i="857"/>
  <c r="F2875" i="857"/>
  <c r="F2874" i="857"/>
  <c r="F2873" i="857"/>
  <c r="F2872" i="857"/>
  <c r="F2871" i="857"/>
  <c r="F2870" i="857"/>
  <c r="F2721" i="857"/>
  <c r="F2720" i="857"/>
  <c r="F2719" i="857"/>
  <c r="F2718" i="857"/>
  <c r="F2717" i="857"/>
  <c r="F2716" i="857"/>
  <c r="F2715" i="857"/>
  <c r="F2706" i="857"/>
  <c r="F2705" i="857"/>
  <c r="F2704" i="857"/>
  <c r="F2703" i="857"/>
  <c r="F2702" i="857"/>
  <c r="F2701" i="857"/>
  <c r="F2700" i="857"/>
  <c r="F2691" i="857"/>
  <c r="F2690" i="857"/>
  <c r="F2689" i="857"/>
  <c r="F2688" i="857"/>
  <c r="F2687" i="857"/>
  <c r="F2686" i="857"/>
  <c r="F2685" i="857"/>
  <c r="F2676" i="857"/>
  <c r="F2675" i="857"/>
  <c r="F2674" i="857"/>
  <c r="F2673" i="857"/>
  <c r="F2672" i="857"/>
  <c r="F2671" i="857"/>
  <c r="F2670" i="857"/>
  <c r="F2669" i="857"/>
  <c r="F2668" i="857"/>
  <c r="F2667" i="857"/>
  <c r="F2666" i="857"/>
  <c r="F2665" i="857"/>
  <c r="F2664" i="857"/>
  <c r="F2663" i="857"/>
  <c r="F2662" i="857"/>
  <c r="F2661" i="857"/>
  <c r="F2660" i="857"/>
  <c r="F2659" i="857"/>
  <c r="F2658" i="857"/>
  <c r="F2657" i="857"/>
  <c r="F2656" i="857"/>
  <c r="F2655" i="857"/>
  <c r="F2654" i="857"/>
  <c r="F2652" i="857"/>
  <c r="F2651" i="857"/>
  <c r="F2648" i="857"/>
  <c r="F3251" i="857"/>
  <c r="F3250" i="857"/>
  <c r="F3249" i="857"/>
  <c r="F3248" i="857"/>
  <c r="F3247" i="857"/>
  <c r="F3246" i="857"/>
  <c r="F3245" i="857"/>
  <c r="F3244" i="857"/>
  <c r="F3243" i="857"/>
  <c r="F3242" i="857"/>
  <c r="F3241" i="857"/>
  <c r="F3240" i="857"/>
  <c r="F3239" i="857"/>
  <c r="F3238" i="857"/>
  <c r="F3237" i="857"/>
  <c r="F3236" i="857"/>
  <c r="F3235" i="857"/>
  <c r="F3234" i="857"/>
  <c r="F3233" i="857"/>
  <c r="F3232" i="857"/>
  <c r="F3231" i="857"/>
  <c r="F3230" i="857"/>
  <c r="F3229" i="857"/>
  <c r="F3228" i="857"/>
  <c r="F3227" i="857"/>
  <c r="F3226" i="857"/>
  <c r="F3225" i="857"/>
  <c r="F3224" i="857"/>
  <c r="F3223" i="857"/>
  <c r="F3222" i="857"/>
  <c r="F3221" i="857"/>
  <c r="F3220" i="857"/>
  <c r="F3219" i="857"/>
  <c r="F3218" i="857"/>
  <c r="F3217" i="857"/>
  <c r="F3216" i="857"/>
  <c r="F3215" i="857"/>
  <c r="F3214" i="857"/>
  <c r="F3213" i="857"/>
  <c r="F3212" i="857"/>
  <c r="F3211" i="857"/>
  <c r="F3210" i="857"/>
  <c r="F3209" i="857"/>
  <c r="F3208" i="857"/>
  <c r="F3207" i="857"/>
  <c r="F3206" i="857"/>
  <c r="F3205" i="857"/>
  <c r="F3204" i="857"/>
  <c r="F3203" i="857"/>
  <c r="F3202" i="857"/>
  <c r="F3201" i="857"/>
  <c r="F3200" i="857"/>
  <c r="F3199" i="857"/>
  <c r="F3198" i="857"/>
  <c r="F3197" i="857"/>
  <c r="F3196" i="857"/>
  <c r="F3195" i="857"/>
  <c r="F3194" i="857"/>
  <c r="F3193" i="857"/>
  <c r="F3192" i="857"/>
  <c r="F3191" i="857"/>
  <c r="F3190" i="857"/>
  <c r="F3189" i="857"/>
  <c r="F3188" i="857"/>
  <c r="F3187" i="857"/>
  <c r="F3186" i="857"/>
  <c r="F3185" i="857"/>
  <c r="F3184" i="857"/>
  <c r="F3183" i="857"/>
  <c r="F3182" i="857"/>
  <c r="F3181" i="857"/>
  <c r="F3180" i="857"/>
  <c r="F3179" i="857"/>
  <c r="F3178" i="857"/>
  <c r="F3177" i="857"/>
  <c r="F3176" i="857"/>
  <c r="F3175" i="857"/>
  <c r="F3174" i="857"/>
  <c r="F3173" i="857"/>
  <c r="F3172" i="857"/>
  <c r="F3023" i="857"/>
  <c r="F3022" i="857"/>
  <c r="F3021" i="857"/>
  <c r="F3020" i="857"/>
  <c r="F3019" i="857"/>
  <c r="F3018" i="857"/>
  <c r="F3017" i="857"/>
  <c r="F3008" i="857"/>
  <c r="F3007" i="857"/>
  <c r="F3006" i="857"/>
  <c r="F3005" i="857"/>
  <c r="F3004" i="857"/>
  <c r="F3003" i="857"/>
  <c r="F3002" i="857"/>
  <c r="F2993" i="857"/>
  <c r="F2992" i="857"/>
  <c r="F2991" i="857"/>
  <c r="F2990" i="857"/>
  <c r="F2989" i="857"/>
  <c r="F2988" i="857"/>
  <c r="F2987" i="857"/>
  <c r="F2978" i="857"/>
  <c r="F2977" i="857"/>
  <c r="F2976" i="857"/>
  <c r="F2975" i="857"/>
  <c r="F2974" i="857"/>
  <c r="F2973" i="857"/>
  <c r="F2972" i="857"/>
  <c r="F2971" i="857"/>
  <c r="F2970" i="857"/>
  <c r="F2969" i="857"/>
  <c r="F2968" i="857"/>
  <c r="F2967" i="857"/>
  <c r="F2966" i="857"/>
  <c r="F2965" i="857"/>
  <c r="F2964" i="857"/>
  <c r="F2963" i="857"/>
  <c r="F2962" i="857"/>
  <c r="F2961" i="857"/>
  <c r="F2960" i="857"/>
  <c r="F2959" i="857"/>
  <c r="F2958" i="857"/>
  <c r="F2957" i="857"/>
  <c r="F2956" i="857"/>
  <c r="F2954" i="857"/>
  <c r="F2953" i="857"/>
  <c r="F2950" i="857"/>
  <c r="F3553" i="857"/>
  <c r="F3552" i="857"/>
  <c r="F3551" i="857"/>
  <c r="F3550" i="857"/>
  <c r="F3549" i="857"/>
  <c r="F3548" i="857"/>
  <c r="F3547" i="857"/>
  <c r="F3546" i="857"/>
  <c r="F3545" i="857"/>
  <c r="F3544" i="857"/>
  <c r="F3543" i="857"/>
  <c r="F3542" i="857"/>
  <c r="F3541" i="857"/>
  <c r="F3540" i="857"/>
  <c r="F3539" i="857"/>
  <c r="F3538" i="857"/>
  <c r="F3537" i="857"/>
  <c r="F3536" i="857"/>
  <c r="F3535" i="857"/>
  <c r="F3534" i="857"/>
  <c r="F3533" i="857"/>
  <c r="F3532" i="857"/>
  <c r="F3531" i="857"/>
  <c r="F3530" i="857"/>
  <c r="F3529" i="857"/>
  <c r="F3528" i="857"/>
  <c r="F3527" i="857"/>
  <c r="F3526" i="857"/>
  <c r="F3525" i="857"/>
  <c r="F3524" i="857"/>
  <c r="F3523" i="857"/>
  <c r="F3522" i="857"/>
  <c r="F3521" i="857"/>
  <c r="F3520" i="857"/>
  <c r="F3519" i="857"/>
  <c r="F3518" i="857"/>
  <c r="F3517" i="857"/>
  <c r="F3516" i="857"/>
  <c r="F3515" i="857"/>
  <c r="F3514" i="857"/>
  <c r="F3513" i="857"/>
  <c r="F3512" i="857"/>
  <c r="F3511" i="857"/>
  <c r="F3510" i="857"/>
  <c r="F3509" i="857"/>
  <c r="F3508" i="857"/>
  <c r="F3507" i="857"/>
  <c r="F3506" i="857"/>
  <c r="F3505" i="857"/>
  <c r="F3504" i="857"/>
  <c r="F3503" i="857"/>
  <c r="F3502" i="857"/>
  <c r="F3501" i="857"/>
  <c r="F3500" i="857"/>
  <c r="F3499" i="857"/>
  <c r="F3498" i="857"/>
  <c r="F3497" i="857"/>
  <c r="F3496" i="857"/>
  <c r="F3495" i="857"/>
  <c r="F3494" i="857"/>
  <c r="F3493" i="857"/>
  <c r="F3492" i="857"/>
  <c r="F3491" i="857"/>
  <c r="F3490" i="857"/>
  <c r="F3489" i="857"/>
  <c r="F3488" i="857"/>
  <c r="F3487" i="857"/>
  <c r="F3486" i="857"/>
  <c r="F3485" i="857"/>
  <c r="F3484" i="857"/>
  <c r="F3483" i="857"/>
  <c r="F3482" i="857"/>
  <c r="F3481" i="857"/>
  <c r="F3480" i="857"/>
  <c r="F3479" i="857"/>
  <c r="F3478" i="857"/>
  <c r="F3477" i="857"/>
  <c r="F3476" i="857"/>
  <c r="F3475" i="857"/>
  <c r="F3474" i="857"/>
  <c r="F3325" i="857"/>
  <c r="F3324" i="857"/>
  <c r="F3323" i="857"/>
  <c r="F3322" i="857"/>
  <c r="F3321" i="857"/>
  <c r="F3320" i="857"/>
  <c r="F3319" i="857"/>
  <c r="F3310" i="857"/>
  <c r="F3309" i="857"/>
  <c r="F3308" i="857"/>
  <c r="F3307" i="857"/>
  <c r="F3306" i="857"/>
  <c r="F3305" i="857"/>
  <c r="F3304" i="857"/>
  <c r="F3295" i="857"/>
  <c r="F3294" i="857"/>
  <c r="F3293" i="857"/>
  <c r="F3292" i="857"/>
  <c r="F3291" i="857"/>
  <c r="F3290" i="857"/>
  <c r="F3289" i="857"/>
  <c r="F3280" i="857"/>
  <c r="F3279" i="857"/>
  <c r="F3278" i="857"/>
  <c r="F3277" i="857"/>
  <c r="F3276" i="857"/>
  <c r="F3275" i="857"/>
  <c r="F3274" i="857"/>
  <c r="F3273" i="857"/>
  <c r="F3272" i="857"/>
  <c r="F3271" i="857"/>
  <c r="F3270" i="857"/>
  <c r="F3269" i="857"/>
  <c r="F3268" i="857"/>
  <c r="F3267" i="857"/>
  <c r="F3266" i="857"/>
  <c r="F3265" i="857"/>
  <c r="F3264" i="857"/>
  <c r="F3263" i="857"/>
  <c r="F3262" i="857"/>
  <c r="F3261" i="857"/>
  <c r="F3260" i="857"/>
  <c r="F3259" i="857"/>
  <c r="F3258" i="857"/>
  <c r="F3256" i="857"/>
  <c r="F3255" i="857"/>
  <c r="F3252" i="857"/>
  <c r="F3855" i="857"/>
  <c r="F3854" i="857"/>
  <c r="F3853" i="857"/>
  <c r="F3852" i="857"/>
  <c r="F3851" i="857"/>
  <c r="F3850" i="857"/>
  <c r="F3849" i="857"/>
  <c r="F3848" i="857"/>
  <c r="F3847" i="857"/>
  <c r="F3846" i="857"/>
  <c r="F3845" i="857"/>
  <c r="F3844" i="857"/>
  <c r="F3843" i="857"/>
  <c r="F3842" i="857"/>
  <c r="F3841" i="857"/>
  <c r="F3840" i="857"/>
  <c r="F3839" i="857"/>
  <c r="F3838" i="857"/>
  <c r="F3837" i="857"/>
  <c r="F3836" i="857"/>
  <c r="F3835" i="857"/>
  <c r="F3834" i="857"/>
  <c r="F3833" i="857"/>
  <c r="F3832" i="857"/>
  <c r="F3831" i="857"/>
  <c r="F3830" i="857"/>
  <c r="F3829" i="857"/>
  <c r="F3828" i="857"/>
  <c r="F3827" i="857"/>
  <c r="F3826" i="857"/>
  <c r="F3825" i="857"/>
  <c r="F3824" i="857"/>
  <c r="F3823" i="857"/>
  <c r="F3822" i="857"/>
  <c r="F3821" i="857"/>
  <c r="F3820" i="857"/>
  <c r="F3819" i="857"/>
  <c r="F3818" i="857"/>
  <c r="F3817" i="857"/>
  <c r="F3816" i="857"/>
  <c r="F3815" i="857"/>
  <c r="F3814" i="857"/>
  <c r="F3813" i="857"/>
  <c r="F3812" i="857"/>
  <c r="F3811" i="857"/>
  <c r="F3810" i="857"/>
  <c r="F3809" i="857"/>
  <c r="F3808" i="857"/>
  <c r="F3807" i="857"/>
  <c r="F3806" i="857"/>
  <c r="F3805" i="857"/>
  <c r="F3804" i="857"/>
  <c r="F3803" i="857"/>
  <c r="F3802" i="857"/>
  <c r="F3801" i="857"/>
  <c r="F3800" i="857"/>
  <c r="F3799" i="857"/>
  <c r="F3798" i="857"/>
  <c r="F3797" i="857"/>
  <c r="F3796" i="857"/>
  <c r="F3795" i="857"/>
  <c r="F3794" i="857"/>
  <c r="F3793" i="857"/>
  <c r="F3792" i="857"/>
  <c r="F3791" i="857"/>
  <c r="F3790" i="857"/>
  <c r="F3789" i="857"/>
  <c r="F3788" i="857"/>
  <c r="F3787" i="857"/>
  <c r="F3786" i="857"/>
  <c r="F3785" i="857"/>
  <c r="F3784" i="857"/>
  <c r="F3783" i="857"/>
  <c r="F3782" i="857"/>
  <c r="F3781" i="857"/>
  <c r="F3780" i="857"/>
  <c r="F3779" i="857"/>
  <c r="F3778" i="857"/>
  <c r="F3777" i="857"/>
  <c r="F3776" i="857"/>
  <c r="F3627" i="857"/>
  <c r="F3626" i="857"/>
  <c r="F3625" i="857"/>
  <c r="F3624" i="857"/>
  <c r="F3623" i="857"/>
  <c r="F3622" i="857"/>
  <c r="F3621" i="857"/>
  <c r="F3612" i="857"/>
  <c r="F3611" i="857"/>
  <c r="F3610" i="857"/>
  <c r="F3609" i="857"/>
  <c r="F3608" i="857"/>
  <c r="F3607" i="857"/>
  <c r="F3606" i="857"/>
  <c r="F3597" i="857"/>
  <c r="F3596" i="857"/>
  <c r="F3595" i="857"/>
  <c r="F3594" i="857"/>
  <c r="F3593" i="857"/>
  <c r="F3592" i="857"/>
  <c r="F3591" i="857"/>
  <c r="F3582" i="857"/>
  <c r="F3581" i="857"/>
  <c r="F3580" i="857"/>
  <c r="F3579" i="857"/>
  <c r="F3578" i="857"/>
  <c r="F3577" i="857"/>
  <c r="F3576" i="857"/>
  <c r="F3575" i="857"/>
  <c r="F3574" i="857"/>
  <c r="F3573" i="857"/>
  <c r="F3572" i="857"/>
  <c r="F3571" i="857"/>
  <c r="F3570" i="857"/>
  <c r="F3569" i="857"/>
  <c r="F3568" i="857"/>
  <c r="F3567" i="857"/>
  <c r="F3566" i="857"/>
  <c r="F3565" i="857"/>
  <c r="F3564" i="857"/>
  <c r="F3563" i="857"/>
  <c r="F3562" i="857"/>
  <c r="F3561" i="857"/>
  <c r="F3560" i="857"/>
  <c r="F3558" i="857"/>
  <c r="F3557" i="857"/>
  <c r="F3554" i="857"/>
  <c r="F2647" i="857"/>
  <c r="F2646" i="857"/>
  <c r="F2645" i="857"/>
  <c r="F2644" i="857"/>
  <c r="F2643" i="857"/>
  <c r="F2642" i="857"/>
  <c r="F2641" i="857"/>
  <c r="F2640" i="857"/>
  <c r="F2639" i="857"/>
  <c r="F2638" i="857"/>
  <c r="F2637" i="857"/>
  <c r="F2636" i="857"/>
  <c r="F2635" i="857"/>
  <c r="F2634" i="857"/>
  <c r="F2633" i="857"/>
  <c r="F2632" i="857"/>
  <c r="F2631" i="857"/>
  <c r="F2630" i="857"/>
  <c r="F2629" i="857"/>
  <c r="F2628" i="857"/>
  <c r="F2627" i="857"/>
  <c r="F2626" i="857"/>
  <c r="F2625" i="857"/>
  <c r="F2624" i="857"/>
  <c r="F2623" i="857"/>
  <c r="F2622" i="857"/>
  <c r="F2621" i="857"/>
  <c r="F2620" i="857"/>
  <c r="F2619" i="857"/>
  <c r="F2618" i="857"/>
  <c r="F2617" i="857"/>
  <c r="F2616" i="857"/>
  <c r="F2615" i="857"/>
  <c r="F2614" i="857"/>
  <c r="F2613" i="857"/>
  <c r="F2612" i="857"/>
  <c r="F2611" i="857"/>
  <c r="F2610" i="857"/>
  <c r="F2609" i="857"/>
  <c r="F2608" i="857"/>
  <c r="F2607" i="857"/>
  <c r="F2606" i="857"/>
  <c r="F2605" i="857"/>
  <c r="F2604" i="857"/>
  <c r="F2603" i="857"/>
  <c r="F2602" i="857"/>
  <c r="F2601" i="857"/>
  <c r="F2600" i="857"/>
  <c r="F2599" i="857"/>
  <c r="F2598" i="857"/>
  <c r="F2597" i="857"/>
  <c r="F2596" i="857"/>
  <c r="F2595" i="857"/>
  <c r="F2594" i="857"/>
  <c r="F2593" i="857"/>
  <c r="F2592" i="857"/>
  <c r="F2591" i="857"/>
  <c r="F2590" i="857"/>
  <c r="F2589" i="857"/>
  <c r="F2588" i="857"/>
  <c r="F2587" i="857"/>
  <c r="F2586" i="857"/>
  <c r="F2585" i="857"/>
  <c r="F2584" i="857"/>
  <c r="F2583" i="857"/>
  <c r="F2582" i="857"/>
  <c r="F2581" i="857"/>
  <c r="F2580" i="857"/>
  <c r="F2579" i="857"/>
  <c r="F2578" i="857"/>
  <c r="F2577" i="857"/>
  <c r="F2576" i="857"/>
  <c r="F2575" i="857"/>
  <c r="F2574" i="857"/>
  <c r="F2573" i="857"/>
  <c r="F2572" i="857"/>
  <c r="F2571" i="857"/>
  <c r="F2570" i="857"/>
  <c r="F2569" i="857"/>
  <c r="F2568" i="857"/>
  <c r="F2556" i="857"/>
  <c r="F2555" i="857"/>
  <c r="F2554" i="857"/>
  <c r="F2553" i="857"/>
  <c r="F2552" i="857"/>
  <c r="F2551" i="857"/>
  <c r="F2550" i="857"/>
  <c r="F2549" i="857"/>
  <c r="F2548" i="857"/>
  <c r="F2536" i="857"/>
  <c r="F2535" i="857"/>
  <c r="F2534" i="857"/>
  <c r="F2533" i="857"/>
  <c r="F2532" i="857"/>
  <c r="F2531" i="857"/>
  <c r="F2530" i="857"/>
  <c r="F2529" i="857"/>
  <c r="F2528" i="857"/>
  <c r="F2516" i="857"/>
  <c r="F2515" i="857"/>
  <c r="F2514" i="857"/>
  <c r="F2513" i="857"/>
  <c r="F2512" i="857"/>
  <c r="F2511" i="857"/>
  <c r="F2510" i="857"/>
  <c r="F2509" i="857"/>
  <c r="F2508" i="857"/>
  <c r="F2456" i="857"/>
  <c r="F2455" i="857"/>
  <c r="F2454" i="857"/>
  <c r="F2453" i="857"/>
  <c r="F2452" i="857"/>
  <c r="F2451" i="857"/>
  <c r="F2450" i="857"/>
  <c r="F2449" i="857"/>
  <c r="F2448" i="857"/>
  <c r="F2419" i="857"/>
  <c r="F2418" i="857"/>
  <c r="F2417" i="857"/>
  <c r="F2416" i="857"/>
  <c r="F2415" i="857"/>
  <c r="F2414" i="857"/>
  <c r="F2413" i="857"/>
  <c r="F2404" i="857"/>
  <c r="F2403" i="857"/>
  <c r="F2402" i="857"/>
  <c r="F2401" i="857"/>
  <c r="F2400" i="857"/>
  <c r="F2399" i="857"/>
  <c r="F2398" i="857"/>
  <c r="F2389" i="857"/>
  <c r="F2388" i="857"/>
  <c r="F2387" i="857"/>
  <c r="F2386" i="857"/>
  <c r="F2385" i="857"/>
  <c r="F2384" i="857"/>
  <c r="F2383" i="857"/>
  <c r="F2374" i="857"/>
  <c r="F2373" i="857"/>
  <c r="F2372" i="857"/>
  <c r="F2371" i="857"/>
  <c r="F2370" i="857"/>
  <c r="F2369" i="857"/>
  <c r="F2368" i="857"/>
  <c r="F2367" i="857"/>
  <c r="F2366" i="857"/>
  <c r="F2365" i="857"/>
  <c r="F2364" i="857"/>
  <c r="F2363" i="857"/>
  <c r="F2362" i="857"/>
  <c r="F2361" i="857"/>
  <c r="F2360" i="857"/>
  <c r="F2359" i="857"/>
  <c r="F2358" i="857"/>
  <c r="F2357" i="857"/>
  <c r="F2356" i="857"/>
  <c r="F2355" i="857"/>
  <c r="F2354" i="857"/>
  <c r="F2353" i="857"/>
  <c r="F2352" i="857"/>
  <c r="F2350" i="857"/>
  <c r="F2349" i="857"/>
  <c r="F2346" i="857"/>
  <c r="F2335" i="857"/>
  <c r="F2334" i="857"/>
  <c r="F2333" i="857"/>
  <c r="F2332" i="857"/>
  <c r="F2331" i="857"/>
  <c r="F2330" i="857"/>
  <c r="F2329" i="857"/>
  <c r="F2328" i="857"/>
  <c r="F2327" i="857"/>
  <c r="F2326" i="857"/>
  <c r="F2325" i="857"/>
  <c r="F2324" i="857"/>
  <c r="F2323" i="857"/>
  <c r="F2322" i="857"/>
  <c r="F2321" i="857"/>
  <c r="F2320" i="857"/>
  <c r="F2319" i="857"/>
  <c r="F2318" i="857"/>
  <c r="F2317" i="857"/>
  <c r="F2316" i="857"/>
  <c r="F2315" i="857"/>
  <c r="F2314" i="857"/>
  <c r="F2313" i="857"/>
  <c r="F2312" i="857"/>
  <c r="F2311" i="857"/>
  <c r="F2310" i="857"/>
  <c r="F2309" i="857"/>
  <c r="F2308" i="857"/>
  <c r="F2307" i="857"/>
  <c r="F2306" i="857"/>
  <c r="F2305" i="857"/>
  <c r="F2304" i="857"/>
  <c r="F2303" i="857"/>
  <c r="F2302" i="857"/>
  <c r="F2301" i="857"/>
  <c r="F2300" i="857"/>
  <c r="F2299" i="857"/>
  <c r="F2298" i="857"/>
  <c r="F2297" i="857"/>
  <c r="F2296" i="857"/>
  <c r="F2295" i="857"/>
  <c r="F2294" i="857"/>
  <c r="F2293" i="857"/>
  <c r="F2292" i="857"/>
  <c r="F2291" i="857"/>
  <c r="F2290" i="857"/>
  <c r="F2289" i="857"/>
  <c r="F2288" i="857"/>
  <c r="F2287" i="857"/>
  <c r="F2286" i="857"/>
  <c r="F2285" i="857"/>
  <c r="F2284" i="857"/>
  <c r="F2283" i="857"/>
  <c r="F2282" i="857"/>
  <c r="F2281" i="857"/>
  <c r="F2280" i="857"/>
  <c r="F2279" i="857"/>
  <c r="F2278" i="857"/>
  <c r="F2277" i="857"/>
  <c r="F2276" i="857"/>
  <c r="F2275" i="857"/>
  <c r="F2274" i="857"/>
  <c r="F2273" i="857"/>
  <c r="F2272" i="857"/>
  <c r="F2271" i="857"/>
  <c r="F2270" i="857"/>
  <c r="F2269" i="857"/>
  <c r="F2268" i="857"/>
  <c r="F2267" i="857"/>
  <c r="F2266" i="857"/>
  <c r="F2254" i="857"/>
  <c r="F2253" i="857"/>
  <c r="F2252" i="857"/>
  <c r="F2251" i="857"/>
  <c r="F2250" i="857"/>
  <c r="F2249" i="857"/>
  <c r="F2248" i="857"/>
  <c r="F2247" i="857"/>
  <c r="F2246" i="857"/>
  <c r="F2234" i="857"/>
  <c r="F2233" i="857"/>
  <c r="F2232" i="857"/>
  <c r="F2231" i="857"/>
  <c r="F2230" i="857"/>
  <c r="F2229" i="857"/>
  <c r="F2228" i="857"/>
  <c r="F2227" i="857"/>
  <c r="F2226" i="857"/>
  <c r="F2214" i="857"/>
  <c r="F2213" i="857"/>
  <c r="F2212" i="857"/>
  <c r="F2211" i="857"/>
  <c r="F2210" i="857"/>
  <c r="F2209" i="857"/>
  <c r="F2208" i="857"/>
  <c r="F2207" i="857"/>
  <c r="F2206" i="857"/>
  <c r="F2194" i="857"/>
  <c r="F2193" i="857"/>
  <c r="F2192" i="857"/>
  <c r="F2191" i="857"/>
  <c r="F2190" i="857"/>
  <c r="F2189" i="857"/>
  <c r="F2188" i="857"/>
  <c r="F2187" i="857"/>
  <c r="F2186" i="857"/>
  <c r="F2154" i="857"/>
  <c r="F2153" i="857"/>
  <c r="F2152" i="857"/>
  <c r="F2151" i="857"/>
  <c r="F2150" i="857"/>
  <c r="F2149" i="857"/>
  <c r="F2148" i="857"/>
  <c r="F2147" i="857"/>
  <c r="F2146" i="857"/>
  <c r="F2117" i="857"/>
  <c r="F2116" i="857"/>
  <c r="F2115" i="857"/>
  <c r="F2114" i="857"/>
  <c r="F2113" i="857"/>
  <c r="F2112" i="857"/>
  <c r="F2111" i="857"/>
  <c r="F2102" i="857"/>
  <c r="F2101" i="857"/>
  <c r="F2100" i="857"/>
  <c r="F2099" i="857"/>
  <c r="F2098" i="857"/>
  <c r="F2097" i="857"/>
  <c r="F2096" i="857"/>
  <c r="F2095" i="857"/>
  <c r="F2094" i="857"/>
  <c r="F2093" i="857"/>
  <c r="F2092" i="857"/>
  <c r="F2091" i="857"/>
  <c r="F2090" i="857"/>
  <c r="F2089" i="857"/>
  <c r="F2088" i="857"/>
  <c r="F2079" i="857"/>
  <c r="F2078" i="857"/>
  <c r="F2077" i="857"/>
  <c r="F2076" i="857"/>
  <c r="F2075" i="857"/>
  <c r="F2074" i="857"/>
  <c r="F2073" i="857"/>
  <c r="F2072" i="857"/>
  <c r="F2071" i="857"/>
  <c r="F2070" i="857"/>
  <c r="F2069" i="857"/>
  <c r="F2068" i="857"/>
  <c r="F2067" i="857"/>
  <c r="F2066" i="857"/>
  <c r="F2065" i="857"/>
  <c r="F2064" i="857"/>
  <c r="F2063" i="857"/>
  <c r="F2062" i="857"/>
  <c r="F2061" i="857"/>
  <c r="F2060" i="857"/>
  <c r="F2059" i="857"/>
  <c r="F2058" i="857"/>
  <c r="F2057" i="857"/>
  <c r="F2055" i="857"/>
  <c r="F2054" i="857"/>
  <c r="F2051" i="857"/>
  <c r="F2345" i="857"/>
  <c r="F2344" i="857"/>
  <c r="F2343" i="857"/>
  <c r="F2342" i="857"/>
  <c r="F2341" i="857"/>
  <c r="F2340" i="857"/>
  <c r="F2339" i="857"/>
  <c r="F2338" i="857"/>
  <c r="F2337" i="857"/>
  <c r="F2336" i="857"/>
  <c r="F633" i="857"/>
  <c r="F634" i="857"/>
  <c r="F635" i="857"/>
  <c r="F636" i="857"/>
  <c r="F637" i="857"/>
  <c r="F638" i="857"/>
  <c r="F639" i="857"/>
  <c r="F640" i="857"/>
  <c r="F641" i="857"/>
  <c r="F642" i="857"/>
  <c r="F643" i="857"/>
  <c r="F644" i="857"/>
  <c r="F645" i="857"/>
  <c r="F646" i="857"/>
  <c r="F647" i="857"/>
  <c r="F648" i="857"/>
  <c r="F649" i="857"/>
  <c r="F650" i="857"/>
  <c r="F651" i="857"/>
  <c r="F652" i="857"/>
  <c r="F653" i="857"/>
  <c r="F654" i="857"/>
  <c r="F655" i="857"/>
  <c r="F632" i="857"/>
  <c r="F609" i="857"/>
  <c r="F610" i="857"/>
  <c r="F611" i="857"/>
  <c r="F612" i="857"/>
  <c r="F613" i="857"/>
  <c r="F614" i="857"/>
  <c r="F615" i="857"/>
  <c r="F616" i="857"/>
  <c r="F617" i="857"/>
  <c r="F618" i="857"/>
  <c r="F619" i="857"/>
  <c r="F620" i="857"/>
  <c r="F621" i="857"/>
  <c r="F622" i="857"/>
  <c r="F623" i="857"/>
  <c r="F624" i="857"/>
  <c r="F625" i="857"/>
  <c r="F626" i="857"/>
  <c r="F627" i="857"/>
  <c r="F628" i="857"/>
  <c r="F629" i="857"/>
  <c r="F630" i="857"/>
  <c r="F631" i="857"/>
  <c r="F608" i="857"/>
  <c r="F585" i="857"/>
  <c r="F586" i="857"/>
  <c r="F587" i="857"/>
  <c r="F588" i="857"/>
  <c r="F589" i="857"/>
  <c r="F590" i="857"/>
  <c r="F591" i="857"/>
  <c r="F592" i="857"/>
  <c r="F593" i="857"/>
  <c r="F594" i="857"/>
  <c r="F595" i="857"/>
  <c r="F596" i="857"/>
  <c r="F597" i="857"/>
  <c r="F598" i="857"/>
  <c r="F599" i="857"/>
  <c r="F600" i="857"/>
  <c r="F601" i="857"/>
  <c r="F602" i="857"/>
  <c r="F603" i="857"/>
  <c r="F604" i="857"/>
  <c r="F605" i="857"/>
  <c r="F606" i="857"/>
  <c r="F607" i="857"/>
  <c r="F584" i="857"/>
  <c r="F561" i="857"/>
  <c r="F562" i="857"/>
  <c r="F563" i="857"/>
  <c r="F564" i="857"/>
  <c r="F565" i="857"/>
  <c r="F566" i="857"/>
  <c r="F567" i="857"/>
  <c r="F568" i="857"/>
  <c r="F569" i="857"/>
  <c r="F570" i="857"/>
  <c r="F571" i="857"/>
  <c r="F572" i="857"/>
  <c r="F573" i="857"/>
  <c r="F574" i="857"/>
  <c r="F575" i="857"/>
  <c r="F576" i="857"/>
  <c r="F577" i="857"/>
  <c r="F578" i="857"/>
  <c r="F579" i="857"/>
  <c r="F580" i="857"/>
  <c r="F581" i="857"/>
  <c r="F582" i="857"/>
  <c r="F583" i="857"/>
  <c r="F560" i="857"/>
  <c r="F537" i="857"/>
  <c r="F538" i="857"/>
  <c r="F539" i="857"/>
  <c r="F540" i="857"/>
  <c r="F541" i="857"/>
  <c r="F542" i="857"/>
  <c r="F543" i="857"/>
  <c r="F544" i="857"/>
  <c r="F545" i="857"/>
  <c r="F546" i="857"/>
  <c r="F547" i="857"/>
  <c r="F548" i="857"/>
  <c r="F549" i="857"/>
  <c r="F550" i="857"/>
  <c r="F551" i="857"/>
  <c r="F552" i="857"/>
  <c r="F553" i="857"/>
  <c r="F554" i="857"/>
  <c r="F555" i="857"/>
  <c r="F556" i="857"/>
  <c r="F557" i="857"/>
  <c r="F558" i="857"/>
  <c r="F559" i="857"/>
  <c r="F536" i="857"/>
  <c r="F513" i="857"/>
  <c r="F514" i="857"/>
  <c r="F515" i="857"/>
  <c r="F516" i="857"/>
  <c r="F517" i="857"/>
  <c r="F518" i="857"/>
  <c r="F519" i="857"/>
  <c r="F520" i="857"/>
  <c r="F521" i="857"/>
  <c r="F522" i="857"/>
  <c r="F523" i="857"/>
  <c r="F524" i="857"/>
  <c r="F525" i="857"/>
  <c r="F526" i="857"/>
  <c r="F527" i="857"/>
  <c r="F528" i="857"/>
  <c r="F529" i="857"/>
  <c r="F530" i="857"/>
  <c r="F531" i="857"/>
  <c r="F532" i="857"/>
  <c r="F533" i="857"/>
  <c r="F534" i="857"/>
  <c r="F535" i="857"/>
  <c r="F512" i="857"/>
  <c r="F489" i="857"/>
  <c r="F490" i="857"/>
  <c r="F491" i="857"/>
  <c r="F492" i="857"/>
  <c r="F493" i="857"/>
  <c r="F494" i="857"/>
  <c r="F495" i="857"/>
  <c r="F496" i="857"/>
  <c r="F497" i="857"/>
  <c r="F498" i="857"/>
  <c r="F499" i="857"/>
  <c r="F500" i="857"/>
  <c r="F501" i="857"/>
  <c r="F502" i="857"/>
  <c r="F503" i="857"/>
  <c r="F504" i="857"/>
  <c r="F505" i="857"/>
  <c r="F506" i="857"/>
  <c r="F507" i="857"/>
  <c r="F508" i="857"/>
  <c r="F509" i="857"/>
  <c r="F510" i="857"/>
  <c r="F511" i="857"/>
  <c r="F488" i="857"/>
  <c r="F465" i="857"/>
  <c r="F466" i="857"/>
  <c r="F467" i="857"/>
  <c r="F468" i="857"/>
  <c r="F469" i="857"/>
  <c r="F470" i="857"/>
  <c r="F471" i="857"/>
  <c r="F472" i="857"/>
  <c r="F473" i="857"/>
  <c r="F474" i="857"/>
  <c r="F475" i="857"/>
  <c r="F476" i="857"/>
  <c r="F477" i="857"/>
  <c r="F478" i="857"/>
  <c r="F479" i="857"/>
  <c r="F480" i="857"/>
  <c r="F481" i="857"/>
  <c r="F482" i="857"/>
  <c r="F483" i="857"/>
  <c r="F484" i="857"/>
  <c r="F485" i="857"/>
  <c r="F486" i="857"/>
  <c r="F487" i="857"/>
  <c r="F464" i="857"/>
  <c r="F441" i="857"/>
  <c r="F442" i="857"/>
  <c r="F443" i="857"/>
  <c r="F444" i="857"/>
  <c r="F445" i="857"/>
  <c r="F446" i="857"/>
  <c r="F447" i="857"/>
  <c r="F448" i="857"/>
  <c r="F449" i="857"/>
  <c r="F450" i="857"/>
  <c r="F451" i="857"/>
  <c r="F452" i="857"/>
  <c r="F453" i="857"/>
  <c r="F454" i="857"/>
  <c r="F455" i="857"/>
  <c r="F456" i="857"/>
  <c r="F457" i="857"/>
  <c r="F458" i="857"/>
  <c r="F459" i="857"/>
  <c r="F460" i="857"/>
  <c r="F461" i="857"/>
  <c r="F462" i="857"/>
  <c r="F463" i="857"/>
  <c r="F440" i="857"/>
  <c r="F417" i="857"/>
  <c r="F418" i="857"/>
  <c r="F419" i="857"/>
  <c r="F420" i="857"/>
  <c r="F421" i="857"/>
  <c r="F422" i="857"/>
  <c r="F423" i="857"/>
  <c r="F424" i="857"/>
  <c r="F425" i="857"/>
  <c r="F426" i="857"/>
  <c r="F427" i="857"/>
  <c r="F428" i="857"/>
  <c r="F429" i="857"/>
  <c r="F430" i="857"/>
  <c r="F431" i="857"/>
  <c r="F432" i="857"/>
  <c r="F433" i="857"/>
  <c r="F434" i="857"/>
  <c r="F435" i="857"/>
  <c r="F436" i="857"/>
  <c r="F437" i="857"/>
  <c r="F438" i="857"/>
  <c r="F439" i="857"/>
  <c r="F416" i="857"/>
  <c r="F393" i="857"/>
  <c r="F394" i="857"/>
  <c r="F395" i="857"/>
  <c r="F396" i="857"/>
  <c r="F397" i="857"/>
  <c r="F398" i="857"/>
  <c r="F399" i="857"/>
  <c r="F400" i="857"/>
  <c r="F401" i="857"/>
  <c r="F402" i="857"/>
  <c r="F403" i="857"/>
  <c r="F404" i="857"/>
  <c r="F405" i="857"/>
  <c r="F406" i="857"/>
  <c r="F407" i="857"/>
  <c r="F408" i="857"/>
  <c r="F409" i="857"/>
  <c r="F410" i="857"/>
  <c r="F411" i="857"/>
  <c r="F412" i="857"/>
  <c r="F413" i="857"/>
  <c r="F414" i="857"/>
  <c r="F415" i="857"/>
  <c r="F392" i="857"/>
  <c r="F369" i="857"/>
  <c r="F370" i="857"/>
  <c r="F371" i="857"/>
  <c r="F372" i="857"/>
  <c r="F373" i="857"/>
  <c r="F374" i="857"/>
  <c r="F375" i="857"/>
  <c r="F376" i="857"/>
  <c r="F377" i="857"/>
  <c r="F378" i="857"/>
  <c r="F379" i="857"/>
  <c r="F380" i="857"/>
  <c r="F381" i="857"/>
  <c r="F382" i="857"/>
  <c r="F383" i="857"/>
  <c r="F384" i="857"/>
  <c r="F385" i="857"/>
  <c r="F386" i="857"/>
  <c r="F387" i="857"/>
  <c r="F388" i="857"/>
  <c r="F389" i="857"/>
  <c r="F390" i="857"/>
  <c r="F391" i="857"/>
  <c r="F368" i="857"/>
  <c r="F321" i="857"/>
  <c r="F322" i="857"/>
  <c r="F323" i="857"/>
  <c r="F324" i="857"/>
  <c r="F325" i="857"/>
  <c r="F326" i="857"/>
  <c r="F327" i="857"/>
  <c r="F328" i="857"/>
  <c r="F329" i="857"/>
  <c r="F330" i="857"/>
  <c r="F331" i="857"/>
  <c r="F332" i="857"/>
  <c r="F333" i="857"/>
  <c r="F334" i="857"/>
  <c r="F335" i="857"/>
  <c r="F336" i="857"/>
  <c r="F337" i="857"/>
  <c r="F338" i="857"/>
  <c r="F339" i="857"/>
  <c r="F340" i="857"/>
  <c r="F341" i="857"/>
  <c r="F342" i="857"/>
  <c r="F343" i="857"/>
  <c r="F345" i="857"/>
  <c r="F346" i="857"/>
  <c r="F347" i="857"/>
  <c r="F348" i="857"/>
  <c r="F349" i="857"/>
  <c r="F350" i="857"/>
  <c r="F351" i="857"/>
  <c r="F352" i="857"/>
  <c r="F353" i="857"/>
  <c r="F354" i="857"/>
  <c r="F355" i="857"/>
  <c r="F356" i="857"/>
  <c r="F357" i="857"/>
  <c r="F358" i="857"/>
  <c r="F359" i="857"/>
  <c r="F360" i="857"/>
  <c r="F361" i="857"/>
  <c r="F362" i="857"/>
  <c r="F363" i="857"/>
  <c r="F364" i="857"/>
  <c r="F365" i="857"/>
  <c r="F366" i="857"/>
  <c r="F367" i="857"/>
  <c r="F344" i="857"/>
  <c r="F320" i="857"/>
  <c r="B74" i="868"/>
  <c r="B53" i="868"/>
  <c r="M48" i="868"/>
  <c r="M47" i="868"/>
  <c r="N47" i="868" s="1"/>
  <c r="M46" i="868"/>
  <c r="M45" i="868"/>
  <c r="M44" i="868"/>
  <c r="M43" i="868"/>
  <c r="M42" i="868"/>
  <c r="M41" i="868"/>
  <c r="N41" i="868" s="1"/>
  <c r="M40" i="868"/>
  <c r="N40" i="868" s="1"/>
  <c r="M39" i="868"/>
  <c r="N39" i="868" s="1"/>
  <c r="M38" i="868"/>
  <c r="N38" i="868" s="1"/>
  <c r="M37" i="868"/>
  <c r="N37" i="868" s="1"/>
  <c r="M36" i="868"/>
  <c r="N36" i="868" s="1"/>
  <c r="M35" i="868"/>
  <c r="N35" i="868" s="1"/>
  <c r="M34" i="868"/>
  <c r="N34" i="868" s="1"/>
  <c r="M33" i="868"/>
  <c r="M32" i="868"/>
  <c r="N32" i="868" s="1"/>
  <c r="B32" i="868"/>
  <c r="M31" i="868"/>
  <c r="N31" i="868" s="1"/>
  <c r="M30" i="868"/>
  <c r="N30" i="868" s="1"/>
  <c r="M29" i="868"/>
  <c r="N29" i="868" s="1"/>
  <c r="M28" i="868"/>
  <c r="N28" i="868" s="1"/>
  <c r="M27" i="868"/>
  <c r="N27" i="868" s="1"/>
  <c r="M26" i="868"/>
  <c r="N26" i="868" s="1"/>
  <c r="M25" i="868"/>
  <c r="N25" i="868" s="1"/>
  <c r="M24" i="868"/>
  <c r="N24" i="868" s="1"/>
  <c r="M23" i="868"/>
  <c r="N23" i="868" s="1"/>
  <c r="M22" i="868"/>
  <c r="N22" i="868" s="1"/>
  <c r="R21" i="868"/>
  <c r="R20" i="868"/>
  <c r="M20" i="868"/>
  <c r="N20" i="868" s="1"/>
  <c r="R19" i="868"/>
  <c r="M19" i="868"/>
  <c r="N19" i="868" s="1"/>
  <c r="J19" i="868"/>
  <c r="R18" i="868"/>
  <c r="Q18" i="868"/>
  <c r="M18" i="868"/>
  <c r="N18" i="868" s="1"/>
  <c r="J18" i="868"/>
  <c r="R17" i="868"/>
  <c r="Q17" i="868"/>
  <c r="M17" i="868"/>
  <c r="N17" i="868" s="1"/>
  <c r="J17" i="868"/>
  <c r="R15" i="868"/>
  <c r="Q15" i="868"/>
  <c r="M15" i="868"/>
  <c r="N15" i="868" s="1"/>
  <c r="J15" i="868"/>
  <c r="R14" i="868"/>
  <c r="Q14" i="868"/>
  <c r="M14" i="868"/>
  <c r="N14" i="868" s="1"/>
  <c r="J14" i="868"/>
  <c r="R13" i="868"/>
  <c r="Q13" i="868"/>
  <c r="M13" i="868"/>
  <c r="N13" i="868" s="1"/>
  <c r="J13" i="868"/>
  <c r="R12" i="868"/>
  <c r="Q12" i="868"/>
  <c r="M12" i="868"/>
  <c r="N12" i="868" s="1"/>
  <c r="J12" i="868"/>
  <c r="R11" i="868"/>
  <c r="Q11" i="868"/>
  <c r="M11" i="868"/>
  <c r="N11" i="868" s="1"/>
  <c r="J11" i="868"/>
  <c r="R10" i="868"/>
  <c r="Q10" i="868"/>
  <c r="M10" i="868"/>
  <c r="N10" i="868" s="1"/>
  <c r="J10" i="868"/>
  <c r="R9" i="868"/>
  <c r="Q9" i="868"/>
  <c r="M9" i="868"/>
  <c r="N9" i="868" s="1"/>
  <c r="A9" i="868"/>
  <c r="Q8" i="868"/>
  <c r="M8" i="868"/>
  <c r="N8" i="868" s="1"/>
  <c r="M6" i="868"/>
  <c r="N6" i="868" s="1"/>
  <c r="M5" i="868"/>
  <c r="N5" i="868" s="1"/>
  <c r="M4" i="868"/>
  <c r="N4" i="868" s="1"/>
  <c r="M3" i="868"/>
  <c r="N3" i="868" s="1"/>
  <c r="N2" i="868"/>
  <c r="M2" i="868"/>
  <c r="B1" i="868"/>
  <c r="E23" i="41" l="1"/>
  <c r="F23" i="41"/>
  <c r="F24" i="41" s="1"/>
  <c r="C385" i="529"/>
  <c r="A391" i="529" s="1"/>
  <c r="C395" i="529"/>
  <c r="A400" i="529" s="1"/>
  <c r="A411" i="529"/>
  <c r="A412" i="529"/>
  <c r="A410" i="529"/>
  <c r="C406" i="529"/>
  <c r="C405" i="529"/>
  <c r="D405" i="529"/>
  <c r="C396" i="529"/>
  <c r="D395" i="529" s="1"/>
  <c r="A392" i="529"/>
  <c r="A390" i="529"/>
  <c r="M30" i="689"/>
  <c r="M31" i="689"/>
  <c r="M32" i="689"/>
  <c r="M33" i="689"/>
  <c r="M34" i="689"/>
  <c r="M35" i="689"/>
  <c r="M36" i="689"/>
  <c r="M37" i="689"/>
  <c r="M38" i="689"/>
  <c r="M39" i="689"/>
  <c r="M40" i="689"/>
  <c r="M41" i="689"/>
  <c r="M42" i="689"/>
  <c r="M43" i="689"/>
  <c r="M44" i="689"/>
  <c r="M45" i="689"/>
  <c r="M46" i="689"/>
  <c r="M47" i="689"/>
  <c r="M20" i="689"/>
  <c r="M22" i="689"/>
  <c r="M23" i="689"/>
  <c r="M24" i="689"/>
  <c r="M25" i="689"/>
  <c r="M26" i="689"/>
  <c r="M27" i="689"/>
  <c r="M28" i="689"/>
  <c r="M29" i="689"/>
  <c r="I407" i="529"/>
  <c r="C386" i="529"/>
  <c r="D385" i="529"/>
  <c r="F408" i="529"/>
  <c r="D21" i="107"/>
  <c r="D22" i="107"/>
  <c r="D20" i="107"/>
  <c r="C21" i="107"/>
  <c r="C22" i="107"/>
  <c r="C20" i="107"/>
  <c r="B21" i="107"/>
  <c r="M21" i="868" s="1"/>
  <c r="N21" i="868" s="1"/>
  <c r="B22" i="107"/>
  <c r="B20" i="107"/>
  <c r="A21" i="107"/>
  <c r="A22" i="107"/>
  <c r="A20" i="107"/>
  <c r="A401" i="529" l="1"/>
  <c r="A402" i="529"/>
  <c r="G35" i="39"/>
  <c r="M21" i="689"/>
  <c r="G23" i="41"/>
  <c r="BA15" i="528" l="1"/>
  <c r="BA14" i="528"/>
  <c r="BA13" i="528"/>
  <c r="G27" i="28" l="1"/>
  <c r="F27" i="28"/>
  <c r="N13" i="41"/>
  <c r="M13" i="41"/>
  <c r="L13" i="41"/>
  <c r="K13" i="41"/>
  <c r="F295" i="857" l="1"/>
  <c r="F296" i="857"/>
  <c r="F297" i="857"/>
  <c r="F298" i="857"/>
  <c r="F299" i="857"/>
  <c r="F300" i="857"/>
  <c r="F301" i="857"/>
  <c r="F302" i="857"/>
  <c r="F303" i="857"/>
  <c r="F294" i="857"/>
  <c r="F285" i="857"/>
  <c r="F286" i="857"/>
  <c r="F287" i="857"/>
  <c r="F288" i="857"/>
  <c r="F289" i="857"/>
  <c r="F290" i="857"/>
  <c r="F291" i="857"/>
  <c r="F292" i="857"/>
  <c r="F293" i="857"/>
  <c r="F284" i="857"/>
  <c r="F282" i="857"/>
  <c r="F283" i="857"/>
  <c r="F281" i="857"/>
  <c r="F275" i="857"/>
  <c r="F276" i="857"/>
  <c r="F277" i="857"/>
  <c r="F278" i="857"/>
  <c r="F279" i="857"/>
  <c r="F280" i="857"/>
  <c r="F274" i="857"/>
  <c r="F269" i="857"/>
  <c r="F270" i="857"/>
  <c r="F271" i="857"/>
  <c r="F272" i="857"/>
  <c r="F273" i="857"/>
  <c r="F268" i="857"/>
  <c r="F266" i="857"/>
  <c r="F267" i="857"/>
  <c r="F265" i="857"/>
  <c r="F260" i="857"/>
  <c r="F261" i="857"/>
  <c r="F262" i="857"/>
  <c r="F263" i="857"/>
  <c r="F264" i="857"/>
  <c r="F259" i="857"/>
  <c r="F252" i="857"/>
  <c r="F253" i="857"/>
  <c r="F254" i="857"/>
  <c r="F255" i="857"/>
  <c r="F256" i="857"/>
  <c r="F257" i="857"/>
  <c r="F258" i="857"/>
  <c r="F251" i="857"/>
  <c r="F188" i="857"/>
  <c r="F189" i="857"/>
  <c r="F187" i="857"/>
  <c r="F183" i="857"/>
  <c r="F184" i="857"/>
  <c r="F185" i="857"/>
  <c r="F223" i="857"/>
  <c r="F224" i="857"/>
  <c r="F222" i="857"/>
  <c r="F218" i="857"/>
  <c r="F219" i="857"/>
  <c r="F220" i="857"/>
  <c r="F311" i="857"/>
  <c r="F319" i="857"/>
  <c r="F313" i="857"/>
  <c r="F314" i="857"/>
  <c r="F315" i="857"/>
  <c r="F316" i="857"/>
  <c r="F317" i="857"/>
  <c r="F318" i="857"/>
  <c r="F312" i="857"/>
  <c r="F305" i="857"/>
  <c r="F306" i="857"/>
  <c r="F307" i="857"/>
  <c r="F308" i="857"/>
  <c r="F309" i="857"/>
  <c r="F310" i="857"/>
  <c r="F304" i="857"/>
  <c r="F230" i="857"/>
  <c r="F231" i="857"/>
  <c r="F232" i="857"/>
  <c r="F229" i="857"/>
  <c r="F112" i="857"/>
  <c r="F113" i="857"/>
  <c r="F114" i="857"/>
  <c r="F107" i="857"/>
  <c r="F108" i="857"/>
  <c r="F109" i="857"/>
  <c r="F102" i="857"/>
  <c r="F103" i="857"/>
  <c r="F104" i="857"/>
  <c r="F88" i="857"/>
  <c r="F89" i="857"/>
  <c r="F90" i="857"/>
  <c r="F83" i="857"/>
  <c r="F84" i="857"/>
  <c r="F85" i="857"/>
  <c r="F78" i="857"/>
  <c r="F79" i="857"/>
  <c r="F80" i="857"/>
  <c r="F4" i="857"/>
  <c r="F5" i="857"/>
  <c r="F3" i="857"/>
  <c r="F2" i="857"/>
  <c r="K11" i="107" l="1"/>
  <c r="K12" i="107"/>
  <c r="K13" i="107"/>
  <c r="K14" i="107"/>
  <c r="J31" i="107"/>
  <c r="J33" i="107"/>
  <c r="J34" i="107"/>
  <c r="J11" i="107"/>
  <c r="J12" i="107"/>
  <c r="J13" i="107"/>
  <c r="J14" i="107"/>
  <c r="C22" i="375" l="1"/>
  <c r="C21" i="375"/>
  <c r="C20" i="375"/>
  <c r="C19" i="375"/>
  <c r="C17" i="375"/>
  <c r="C16" i="375"/>
  <c r="C15" i="375"/>
  <c r="C14" i="375"/>
  <c r="C12" i="375"/>
  <c r="C10" i="375"/>
  <c r="C9" i="375"/>
  <c r="C8" i="375"/>
  <c r="C7" i="375"/>
  <c r="C6" i="375"/>
  <c r="C18" i="375"/>
  <c r="D117" i="41" l="1"/>
  <c r="D118" i="41"/>
  <c r="D121" i="41"/>
  <c r="D123" i="41"/>
  <c r="C119" i="41"/>
  <c r="C121" i="41"/>
  <c r="C122" i="41"/>
  <c r="AA370" i="679"/>
  <c r="Z370" i="679"/>
  <c r="Y370" i="679"/>
  <c r="X370" i="679"/>
  <c r="W370" i="679"/>
  <c r="V370" i="679"/>
  <c r="U370" i="679"/>
  <c r="T370" i="679"/>
  <c r="S370" i="679"/>
  <c r="R370" i="679"/>
  <c r="Q370" i="679"/>
  <c r="P370" i="679"/>
  <c r="O370" i="679"/>
  <c r="N370" i="679"/>
  <c r="M370" i="679"/>
  <c r="L370" i="679"/>
  <c r="K370" i="679"/>
  <c r="J370" i="679"/>
  <c r="I370" i="679"/>
  <c r="H370" i="679"/>
  <c r="G370" i="679"/>
  <c r="F370" i="679"/>
  <c r="B42" i="87"/>
  <c r="F118" i="857" s="1"/>
  <c r="B41" i="87"/>
  <c r="F117" i="857" s="1"/>
  <c r="B40" i="87"/>
  <c r="F116" i="857" s="1"/>
  <c r="B43" i="87" l="1"/>
  <c r="A372" i="679"/>
  <c r="A366" i="679"/>
  <c r="L367" i="679" l="1"/>
  <c r="T367" i="679"/>
  <c r="F367" i="679"/>
  <c r="K367" i="679"/>
  <c r="M367" i="679"/>
  <c r="U367" i="679"/>
  <c r="W367" i="679"/>
  <c r="Z367" i="679"/>
  <c r="S367" i="679"/>
  <c r="N367" i="679"/>
  <c r="V367" i="679"/>
  <c r="O367" i="679"/>
  <c r="R367" i="679"/>
  <c r="G367" i="679"/>
  <c r="H367" i="679"/>
  <c r="P367" i="679"/>
  <c r="X367" i="679"/>
  <c r="J367" i="679"/>
  <c r="AA367" i="679"/>
  <c r="I367" i="679"/>
  <c r="Q367" i="679"/>
  <c r="Y367" i="679"/>
  <c r="Z373" i="679"/>
  <c r="R373" i="679"/>
  <c r="J373" i="679"/>
  <c r="L373" i="679"/>
  <c r="Y373" i="679"/>
  <c r="Q373" i="679"/>
  <c r="I373" i="679"/>
  <c r="S373" i="679"/>
  <c r="X373" i="679"/>
  <c r="P373" i="679"/>
  <c r="H373" i="679"/>
  <c r="K373" i="679"/>
  <c r="W373" i="679"/>
  <c r="O373" i="679"/>
  <c r="G373" i="679"/>
  <c r="AA373" i="679"/>
  <c r="V373" i="679"/>
  <c r="N373" i="679"/>
  <c r="F373" i="679"/>
  <c r="U373" i="679"/>
  <c r="M373" i="679"/>
  <c r="T373" i="679"/>
  <c r="J58" i="39"/>
  <c r="I58" i="39" s="1"/>
  <c r="A13" i="41"/>
  <c r="A26" i="41"/>
  <c r="E52" i="39" l="1"/>
  <c r="G33" i="107" l="1"/>
  <c r="V53" i="39"/>
  <c r="K33" i="107"/>
  <c r="F52" i="39"/>
  <c r="H33" i="107" s="1"/>
  <c r="I33" i="107" s="1"/>
  <c r="D33" i="107"/>
  <c r="AF83" i="528"/>
  <c r="H52" i="39"/>
  <c r="C77" i="41"/>
  <c r="D77" i="41" s="1"/>
  <c r="DR7" i="227" l="1"/>
  <c r="FO38" i="227"/>
  <c r="I54" i="39"/>
  <c r="G64" i="41"/>
  <c r="H47" i="39"/>
  <c r="G47" i="39"/>
  <c r="A41" i="41"/>
  <c r="A45" i="41"/>
  <c r="G52" i="41"/>
  <c r="A40" i="41"/>
  <c r="A39" i="41"/>
  <c r="E51" i="687" l="1"/>
  <c r="E52" i="687"/>
  <c r="E53" i="687"/>
  <c r="E50" i="687"/>
  <c r="A157" i="794"/>
  <c r="D8" i="794"/>
  <c r="G8" i="794"/>
  <c r="C8" i="794"/>
  <c r="B48" i="107"/>
  <c r="C48" i="107"/>
  <c r="D48" i="107"/>
  <c r="E48" i="107"/>
  <c r="C41" i="107"/>
  <c r="A41" i="107" s="1"/>
  <c r="E41" i="107" s="1"/>
  <c r="D41" i="107"/>
  <c r="C42" i="107"/>
  <c r="A42" i="107" s="1"/>
  <c r="D42" i="107"/>
  <c r="C43" i="107"/>
  <c r="A43" i="107" s="1"/>
  <c r="D43" i="107"/>
  <c r="C44" i="107"/>
  <c r="A44" i="107" s="1"/>
  <c r="B44" i="107" s="1"/>
  <c r="D44" i="107"/>
  <c r="C45" i="107"/>
  <c r="A45" i="107" s="1"/>
  <c r="D45" i="107"/>
  <c r="C46" i="107"/>
  <c r="A46" i="107" s="1"/>
  <c r="B46" i="107" s="1"/>
  <c r="D46" i="107"/>
  <c r="C47" i="107"/>
  <c r="A47" i="107" s="1"/>
  <c r="E47" i="107" s="1"/>
  <c r="D47" i="107"/>
  <c r="A650" i="529"/>
  <c r="C638" i="529"/>
  <c r="C637" i="529"/>
  <c r="A643" i="529" s="1"/>
  <c r="D651" i="529"/>
  <c r="C621" i="529"/>
  <c r="C620" i="529"/>
  <c r="A632" i="529" s="1"/>
  <c r="D634" i="529"/>
  <c r="C604" i="529"/>
  <c r="C603" i="529"/>
  <c r="A613" i="529" s="1"/>
  <c r="D617" i="529"/>
  <c r="C587" i="529"/>
  <c r="C586" i="529"/>
  <c r="A594" i="529" s="1"/>
  <c r="D600" i="529"/>
  <c r="C570" i="529"/>
  <c r="C569" i="529"/>
  <c r="A575" i="529" s="1"/>
  <c r="D583" i="529"/>
  <c r="C553" i="529"/>
  <c r="C552" i="529"/>
  <c r="A563" i="529" s="1"/>
  <c r="D566" i="529"/>
  <c r="C536" i="529"/>
  <c r="C535" i="529"/>
  <c r="C519" i="529"/>
  <c r="C518" i="529"/>
  <c r="C3" i="529"/>
  <c r="A582" i="529" l="1"/>
  <c r="FO46" i="227"/>
  <c r="EX7" i="227"/>
  <c r="A590" i="529"/>
  <c r="A642" i="529"/>
  <c r="A581" i="529"/>
  <c r="A616" i="529"/>
  <c r="FF7" i="227"/>
  <c r="FO48" i="227"/>
  <c r="A592" i="529"/>
  <c r="A578" i="529"/>
  <c r="A577" i="529"/>
  <c r="A611" i="529"/>
  <c r="FO47" i="227"/>
  <c r="FB7" i="227"/>
  <c r="A612" i="529"/>
  <c r="A574" i="529"/>
  <c r="A608" i="529"/>
  <c r="A597" i="529"/>
  <c r="A649" i="529"/>
  <c r="A593" i="529"/>
  <c r="A646" i="529"/>
  <c r="A580" i="529"/>
  <c r="A599" i="529"/>
  <c r="A591" i="529"/>
  <c r="A610" i="529"/>
  <c r="A629" i="529"/>
  <c r="A648" i="529"/>
  <c r="A630" i="529"/>
  <c r="A579" i="529"/>
  <c r="A598" i="529"/>
  <c r="A607" i="529"/>
  <c r="A609" i="529"/>
  <c r="A628" i="529"/>
  <c r="A647" i="529"/>
  <c r="B47" i="107"/>
  <c r="A596" i="529"/>
  <c r="A615" i="529"/>
  <c r="A624" i="529"/>
  <c r="A626" i="529"/>
  <c r="A645" i="529"/>
  <c r="A631" i="529"/>
  <c r="A627" i="529"/>
  <c r="A561" i="529"/>
  <c r="A576" i="529"/>
  <c r="A595" i="529"/>
  <c r="A614" i="529"/>
  <c r="A633" i="529"/>
  <c r="A625" i="529"/>
  <c r="A644" i="529"/>
  <c r="A564" i="529"/>
  <c r="A573" i="529"/>
  <c r="A641" i="529"/>
  <c r="B41" i="107"/>
  <c r="B43" i="107"/>
  <c r="E43" i="107"/>
  <c r="E42" i="107"/>
  <c r="B42" i="107"/>
  <c r="E45" i="107"/>
  <c r="B45" i="107"/>
  <c r="E46" i="107"/>
  <c r="E44" i="107"/>
  <c r="A562" i="529"/>
  <c r="A560" i="529"/>
  <c r="A559" i="529"/>
  <c r="A556" i="529"/>
  <c r="A558" i="529"/>
  <c r="A565" i="529"/>
  <c r="A557" i="529"/>
  <c r="N10" i="39" l="1"/>
  <c r="K10" i="727" l="1"/>
  <c r="J10" i="727"/>
  <c r="K9" i="727"/>
  <c r="J9" i="727"/>
  <c r="K8" i="727"/>
  <c r="J8" i="727"/>
  <c r="K7" i="727"/>
  <c r="J7" i="727"/>
  <c r="K6" i="727"/>
  <c r="J6" i="727"/>
  <c r="K5" i="727"/>
  <c r="J5" i="727"/>
  <c r="L110" i="779"/>
  <c r="K110" i="779"/>
  <c r="L109" i="779"/>
  <c r="K109" i="779"/>
  <c r="L108" i="779"/>
  <c r="K108" i="779"/>
  <c r="L107" i="779"/>
  <c r="K107" i="779"/>
  <c r="L106" i="779"/>
  <c r="K106" i="779"/>
  <c r="L105" i="779"/>
  <c r="K105" i="779"/>
  <c r="L104" i="779"/>
  <c r="K104" i="779"/>
  <c r="L103" i="779"/>
  <c r="K103" i="779"/>
  <c r="L102" i="779"/>
  <c r="K102" i="779"/>
  <c r="L101" i="779"/>
  <c r="K101" i="779"/>
  <c r="L110" i="778"/>
  <c r="K110" i="778"/>
  <c r="L109" i="778"/>
  <c r="K109" i="778"/>
  <c r="L108" i="778"/>
  <c r="K108" i="778"/>
  <c r="L107" i="778"/>
  <c r="K107" i="778"/>
  <c r="L106" i="778"/>
  <c r="K106" i="778"/>
  <c r="L105" i="778"/>
  <c r="K105" i="778"/>
  <c r="L104" i="778"/>
  <c r="K104" i="778"/>
  <c r="L103" i="778"/>
  <c r="K103" i="778"/>
  <c r="L102" i="778"/>
  <c r="K102" i="778"/>
  <c r="L101" i="778"/>
  <c r="K101" i="778"/>
  <c r="L110" i="777"/>
  <c r="K110" i="777"/>
  <c r="L109" i="777"/>
  <c r="K109" i="777"/>
  <c r="L108" i="777"/>
  <c r="K108" i="777"/>
  <c r="L107" i="777"/>
  <c r="K107" i="777"/>
  <c r="L106" i="777"/>
  <c r="K106" i="777"/>
  <c r="L105" i="777"/>
  <c r="K105" i="777"/>
  <c r="L104" i="777"/>
  <c r="K104" i="777"/>
  <c r="L103" i="777"/>
  <c r="K103" i="777"/>
  <c r="L102" i="777"/>
  <c r="K102" i="777"/>
  <c r="L101" i="777"/>
  <c r="K101" i="777"/>
  <c r="L110" i="776"/>
  <c r="K110" i="776"/>
  <c r="L109" i="776"/>
  <c r="K109" i="776"/>
  <c r="L108" i="776"/>
  <c r="K108" i="776"/>
  <c r="L107" i="776"/>
  <c r="K107" i="776"/>
  <c r="L106" i="776"/>
  <c r="K106" i="776"/>
  <c r="L105" i="776"/>
  <c r="K105" i="776"/>
  <c r="L104" i="776"/>
  <c r="K104" i="776"/>
  <c r="L103" i="776"/>
  <c r="K103" i="776"/>
  <c r="L102" i="776"/>
  <c r="K102" i="776"/>
  <c r="L101" i="776"/>
  <c r="K101" i="776"/>
  <c r="L110" i="775"/>
  <c r="K110" i="775"/>
  <c r="L109" i="775"/>
  <c r="K109" i="775"/>
  <c r="L108" i="775"/>
  <c r="K108" i="775"/>
  <c r="L107" i="775"/>
  <c r="K107" i="775"/>
  <c r="L106" i="775"/>
  <c r="K106" i="775"/>
  <c r="L105" i="775"/>
  <c r="K105" i="775"/>
  <c r="L104" i="775"/>
  <c r="K104" i="775"/>
  <c r="L103" i="775"/>
  <c r="K103" i="775"/>
  <c r="L102" i="775"/>
  <c r="K102" i="775"/>
  <c r="L101" i="775"/>
  <c r="K101" i="775"/>
  <c r="L102" i="774"/>
  <c r="L103" i="774"/>
  <c r="L104" i="774"/>
  <c r="L105" i="774"/>
  <c r="L106" i="774"/>
  <c r="L107" i="774"/>
  <c r="L108" i="774"/>
  <c r="L109" i="774"/>
  <c r="L110" i="774"/>
  <c r="L101" i="774"/>
  <c r="K110" i="774"/>
  <c r="K109" i="774"/>
  <c r="K108" i="774"/>
  <c r="K107" i="774"/>
  <c r="K106" i="774"/>
  <c r="K105" i="774"/>
  <c r="K104" i="774"/>
  <c r="K103" i="774"/>
  <c r="K102" i="774"/>
  <c r="K101" i="774"/>
  <c r="M78" i="774"/>
  <c r="M79" i="774"/>
  <c r="M80" i="774"/>
  <c r="M81" i="774"/>
  <c r="M82" i="774"/>
  <c r="M83" i="774"/>
  <c r="M84" i="774"/>
  <c r="M85" i="774"/>
  <c r="M86" i="774"/>
  <c r="M77" i="774"/>
  <c r="I3" i="39" l="1"/>
  <c r="F8" i="794" s="1"/>
  <c r="H3" i="39"/>
  <c r="E8" i="794" s="1"/>
  <c r="J30" i="111" a="1"/>
  <c r="J30" i="111" s="1"/>
  <c r="D203" i="529" l="1"/>
  <c r="D202" i="529"/>
  <c r="D201" i="529"/>
  <c r="D200" i="529"/>
  <c r="D199" i="529"/>
  <c r="D198" i="529"/>
  <c r="D197" i="529"/>
  <c r="D196" i="529"/>
  <c r="D146" i="529"/>
  <c r="D145" i="529"/>
  <c r="D144" i="529"/>
  <c r="D143" i="529"/>
  <c r="D142" i="529"/>
  <c r="D141" i="529"/>
  <c r="D140" i="529"/>
  <c r="D139" i="529"/>
  <c r="S48" i="39"/>
  <c r="N48" i="39"/>
  <c r="N58" i="39"/>
  <c r="N51" i="39"/>
  <c r="J72" i="528"/>
  <c r="J71" i="528"/>
  <c r="J70" i="528"/>
  <c r="J69" i="528"/>
  <c r="S10" i="39" l="1"/>
  <c r="DC72" i="528"/>
  <c r="DC71" i="528"/>
  <c r="DC70" i="528"/>
  <c r="DC69" i="528"/>
  <c r="DA9" i="528" l="1"/>
  <c r="DF42" i="528"/>
  <c r="DE42" i="528"/>
  <c r="DE43" i="528" s="1"/>
  <c r="DE44" i="528" s="1"/>
  <c r="DD36" i="528"/>
  <c r="DE31" i="528"/>
  <c r="DD31" i="528"/>
  <c r="DE23" i="528"/>
  <c r="DE24" i="528" s="1"/>
  <c r="DE25" i="528" s="1"/>
  <c r="DC36" i="528"/>
  <c r="DC31" i="528"/>
  <c r="DA27" i="528" l="1"/>
  <c r="DB47" i="528"/>
  <c r="DD62" i="528" s="1"/>
  <c r="DC73" i="528"/>
  <c r="A9" i="689" l="1"/>
  <c r="I10" i="39" l="1"/>
  <c r="G10" i="39"/>
  <c r="B1" i="689"/>
  <c r="AP3" i="106" l="1"/>
  <c r="AP4" i="106"/>
  <c r="AP5" i="106"/>
  <c r="AP6" i="106"/>
  <c r="AP7" i="106"/>
  <c r="AP8" i="106"/>
  <c r="AP9" i="106"/>
  <c r="AP10" i="106"/>
  <c r="AP11" i="106"/>
  <c r="AP12" i="106"/>
  <c r="AP13" i="106"/>
  <c r="AP14" i="106"/>
  <c r="AP15" i="106"/>
  <c r="AP16" i="106"/>
  <c r="AP17" i="106"/>
  <c r="AP18" i="106"/>
  <c r="AP19" i="106"/>
  <c r="AP20" i="106"/>
  <c r="AP21" i="106"/>
  <c r="AP22" i="106"/>
  <c r="AP23" i="106"/>
  <c r="AP24" i="106"/>
  <c r="AP25" i="106"/>
  <c r="AP26" i="106"/>
  <c r="AP27" i="106"/>
  <c r="AP28" i="106"/>
  <c r="AP29" i="106"/>
  <c r="AP30" i="106"/>
  <c r="AP31" i="106"/>
  <c r="AP32" i="106"/>
  <c r="AP33" i="106"/>
  <c r="AP34" i="106"/>
  <c r="AP35" i="106"/>
  <c r="AP36" i="106"/>
  <c r="AP37" i="106"/>
  <c r="AP38" i="106"/>
  <c r="AP39" i="106"/>
  <c r="AP40" i="106"/>
  <c r="AP41" i="106"/>
  <c r="AP42" i="106"/>
  <c r="AP43" i="106"/>
  <c r="AP44" i="106"/>
  <c r="AP45" i="106"/>
  <c r="AP46" i="106"/>
  <c r="A3" i="106" l="1"/>
  <c r="A4" i="106"/>
  <c r="A5" i="106"/>
  <c r="A6" i="106"/>
  <c r="A7" i="106"/>
  <c r="A8" i="106"/>
  <c r="A9" i="106"/>
  <c r="A10" i="106"/>
  <c r="A11" i="106"/>
  <c r="A12" i="106"/>
  <c r="A13" i="106"/>
  <c r="A14" i="106"/>
  <c r="A15" i="106"/>
  <c r="A16" i="106"/>
  <c r="A17" i="106"/>
  <c r="A18" i="106"/>
  <c r="A19" i="106"/>
  <c r="A20" i="106"/>
  <c r="A21" i="106"/>
  <c r="A22" i="106"/>
  <c r="A23" i="106"/>
  <c r="A24" i="106"/>
  <c r="A25" i="106"/>
  <c r="A26" i="106"/>
  <c r="A27" i="106"/>
  <c r="A28" i="106"/>
  <c r="A29" i="106"/>
  <c r="A30" i="106"/>
  <c r="A31" i="106"/>
  <c r="A32" i="106"/>
  <c r="A33" i="106"/>
  <c r="A34" i="106"/>
  <c r="A35" i="106"/>
  <c r="A36" i="106"/>
  <c r="A37" i="106"/>
  <c r="A38" i="106"/>
  <c r="A39" i="106"/>
  <c r="A40" i="106"/>
  <c r="A41" i="106"/>
  <c r="A42" i="106"/>
  <c r="A43" i="106"/>
  <c r="A44" i="106"/>
  <c r="A45" i="106"/>
  <c r="A46" i="106"/>
  <c r="A2" i="106"/>
  <c r="A140" i="794" l="1"/>
  <c r="A139" i="794"/>
  <c r="A138" i="794"/>
  <c r="A137" i="794"/>
  <c r="A136" i="794"/>
  <c r="A135" i="794"/>
  <c r="A134" i="794"/>
  <c r="A133" i="794"/>
  <c r="A132" i="794"/>
  <c r="A131" i="794"/>
  <c r="A130" i="794"/>
  <c r="A129" i="794"/>
  <c r="A128" i="794"/>
  <c r="A127" i="794"/>
  <c r="A126" i="794"/>
  <c r="A125" i="794"/>
  <c r="A124" i="794"/>
  <c r="A123" i="794"/>
  <c r="A122" i="794"/>
  <c r="A121" i="794"/>
  <c r="A120" i="794"/>
  <c r="A119" i="794"/>
  <c r="A118" i="794"/>
  <c r="A117" i="794"/>
  <c r="A116" i="794"/>
  <c r="A115" i="794"/>
  <c r="A114" i="794"/>
  <c r="A113" i="794"/>
  <c r="A112" i="794"/>
  <c r="A111" i="794"/>
  <c r="A110" i="794"/>
  <c r="A109" i="794"/>
  <c r="A108" i="794"/>
  <c r="A107" i="794"/>
  <c r="A106" i="794"/>
  <c r="A105" i="794"/>
  <c r="A104" i="794"/>
  <c r="A103" i="794"/>
  <c r="A102" i="794"/>
  <c r="A101" i="794"/>
  <c r="A100" i="794"/>
  <c r="A99" i="794"/>
  <c r="A98" i="794"/>
  <c r="A97" i="794"/>
  <c r="A96" i="794"/>
  <c r="A95" i="794"/>
  <c r="A94" i="794"/>
  <c r="A93" i="794"/>
  <c r="A92" i="794"/>
  <c r="A91" i="794"/>
  <c r="A90" i="794"/>
  <c r="A89" i="794"/>
  <c r="A88" i="794"/>
  <c r="A87" i="794"/>
  <c r="A86" i="794"/>
  <c r="A85" i="794"/>
  <c r="A84" i="794"/>
  <c r="A83" i="794"/>
  <c r="A82" i="794"/>
  <c r="A81" i="794"/>
  <c r="A80" i="794"/>
  <c r="A79" i="794"/>
  <c r="A78" i="794"/>
  <c r="A77" i="794"/>
  <c r="A76" i="794"/>
  <c r="A75" i="794"/>
  <c r="A74" i="794"/>
  <c r="A73" i="794"/>
  <c r="A72" i="794"/>
  <c r="C67" i="794"/>
  <c r="B67" i="794"/>
  <c r="A67" i="794"/>
  <c r="C66" i="794"/>
  <c r="C65" i="794"/>
  <c r="C64" i="794"/>
  <c r="C63" i="794"/>
  <c r="C62" i="794"/>
  <c r="C61" i="794"/>
  <c r="C60" i="794"/>
  <c r="C59" i="794"/>
  <c r="C58" i="794"/>
  <c r="C57" i="794"/>
  <c r="C56" i="794"/>
  <c r="C55" i="794"/>
  <c r="C54" i="794"/>
  <c r="C53" i="794"/>
  <c r="C52" i="794"/>
  <c r="C51" i="794"/>
  <c r="C50" i="794"/>
  <c r="C49" i="794"/>
  <c r="C48" i="794"/>
  <c r="C47" i="794"/>
  <c r="C46" i="794"/>
  <c r="C45" i="794"/>
  <c r="C44" i="794"/>
  <c r="C43" i="794"/>
  <c r="C42" i="794"/>
  <c r="C41" i="794"/>
  <c r="C40" i="794"/>
  <c r="C39" i="794"/>
  <c r="C38" i="794"/>
  <c r="A7" i="794"/>
  <c r="A6" i="794"/>
  <c r="A5" i="794"/>
  <c r="A3" i="794"/>
  <c r="A6" i="354" l="1"/>
  <c r="B38" i="779"/>
  <c r="B38" i="778"/>
  <c r="B38" i="777"/>
  <c r="B38" i="776"/>
  <c r="B38" i="775"/>
  <c r="B38" i="774"/>
  <c r="Q10" i="689"/>
  <c r="Q11" i="689"/>
  <c r="Q12" i="689"/>
  <c r="Q13" i="689"/>
  <c r="Q14" i="689"/>
  <c r="Q15" i="689"/>
  <c r="Q17" i="689"/>
  <c r="Q18" i="689"/>
  <c r="Q9" i="689"/>
  <c r="R21" i="689" l="1"/>
  <c r="R20" i="689"/>
  <c r="R19" i="689"/>
  <c r="R18" i="689"/>
  <c r="R17" i="689"/>
  <c r="R15" i="689"/>
  <c r="R14" i="689"/>
  <c r="R13" i="689"/>
  <c r="R12" i="689"/>
  <c r="R11" i="689"/>
  <c r="R10" i="689"/>
  <c r="R9" i="689"/>
  <c r="X45" i="98"/>
  <c r="D532" i="529"/>
  <c r="D515" i="529"/>
  <c r="A541" i="529"/>
  <c r="D549" i="529"/>
  <c r="A530" i="529"/>
  <c r="C502" i="529"/>
  <c r="C501" i="529"/>
  <c r="A511" i="529" s="1"/>
  <c r="C484" i="529"/>
  <c r="C483" i="529"/>
  <c r="A491" i="529" s="1"/>
  <c r="D497" i="529"/>
  <c r="M48" i="689"/>
  <c r="B482" i="529"/>
  <c r="C482" i="529"/>
  <c r="C34" i="107"/>
  <c r="B57" i="794" s="1"/>
  <c r="C478" i="529"/>
  <c r="C479" i="529"/>
  <c r="C480" i="529"/>
  <c r="C481" i="529"/>
  <c r="B478" i="529"/>
  <c r="B479" i="529"/>
  <c r="B480" i="529"/>
  <c r="B481" i="529"/>
  <c r="C477" i="529"/>
  <c r="B477" i="529"/>
  <c r="A547" i="529" l="1"/>
  <c r="A540" i="529"/>
  <c r="A510" i="529"/>
  <c r="A548" i="529"/>
  <c r="A546" i="529"/>
  <c r="A529" i="529"/>
  <c r="A545" i="529"/>
  <c r="A34" i="107"/>
  <c r="E34" i="107" s="1"/>
  <c r="A528" i="529"/>
  <c r="A544" i="529"/>
  <c r="A527" i="529"/>
  <c r="A543" i="529"/>
  <c r="A526" i="529"/>
  <c r="A542" i="529"/>
  <c r="A509" i="529"/>
  <c r="A539" i="529"/>
  <c r="A490" i="529"/>
  <c r="A487" i="529"/>
  <c r="A496" i="529"/>
  <c r="A488" i="529"/>
  <c r="A508" i="529"/>
  <c r="A495" i="529"/>
  <c r="A505" i="529"/>
  <c r="A507" i="529"/>
  <c r="A494" i="529"/>
  <c r="A514" i="529"/>
  <c r="A506" i="529"/>
  <c r="A525" i="529"/>
  <c r="A493" i="529"/>
  <c r="A513" i="529"/>
  <c r="A522" i="529"/>
  <c r="A524" i="529"/>
  <c r="A489" i="529"/>
  <c r="A492" i="529"/>
  <c r="A512" i="529"/>
  <c r="A531" i="529"/>
  <c r="A523" i="529"/>
  <c r="J11" i="689"/>
  <c r="J12" i="689"/>
  <c r="J13" i="689"/>
  <c r="J14" i="689"/>
  <c r="J15" i="689"/>
  <c r="J17" i="689"/>
  <c r="J18" i="689"/>
  <c r="J19" i="689"/>
  <c r="J10" i="689"/>
  <c r="B34" i="107" l="1"/>
  <c r="BX12" i="528"/>
  <c r="BX16" i="528"/>
  <c r="BX17" i="528"/>
  <c r="BW17" i="528"/>
  <c r="A57" i="794" l="1"/>
  <c r="AK38" i="528"/>
  <c r="CS54" i="528"/>
  <c r="CS53" i="528"/>
  <c r="CS52" i="528"/>
  <c r="CT51" i="528"/>
  <c r="CT50" i="528"/>
  <c r="CT49" i="528"/>
  <c r="CS75" i="528"/>
  <c r="CS74" i="528"/>
  <c r="CS73" i="528"/>
  <c r="CS72" i="528"/>
  <c r="CS71" i="528"/>
  <c r="CS70" i="528"/>
  <c r="CS69" i="528"/>
  <c r="CS68" i="528"/>
  <c r="CS67" i="528"/>
  <c r="CS66" i="528"/>
  <c r="Z25" i="87" l="1"/>
  <c r="Y25" i="87"/>
  <c r="X25" i="87"/>
  <c r="Z24" i="87"/>
  <c r="Y24" i="87"/>
  <c r="X24" i="87"/>
  <c r="Z23" i="87"/>
  <c r="Y23" i="87"/>
  <c r="X23" i="87"/>
  <c r="CM75" i="528"/>
  <c r="CL75" i="528"/>
  <c r="CN74" i="528"/>
  <c r="CM74" i="528"/>
  <c r="CL54" i="528"/>
  <c r="CL53" i="528"/>
  <c r="CL52" i="528"/>
  <c r="CM51" i="528"/>
  <c r="CM50" i="528"/>
  <c r="CM49" i="528"/>
  <c r="Q45" i="528"/>
  <c r="T35" i="106"/>
  <c r="B20" i="106"/>
  <c r="AJ39" i="106"/>
  <c r="AA38" i="106"/>
  <c r="B13" i="106"/>
  <c r="S11" i="106"/>
  <c r="B41" i="106"/>
  <c r="E15" i="106"/>
  <c r="E5" i="106"/>
  <c r="AJ15" i="106"/>
  <c r="Z40" i="106"/>
  <c r="DE29" i="528"/>
  <c r="AC42" i="106"/>
  <c r="AE20" i="106"/>
  <c r="Y45" i="106"/>
  <c r="D43" i="106"/>
  <c r="U6" i="106"/>
  <c r="D17" i="106"/>
  <c r="D23" i="106"/>
  <c r="S42" i="106"/>
  <c r="S45" i="106"/>
  <c r="E21" i="106"/>
  <c r="U31" i="106"/>
  <c r="X18" i="106"/>
  <c r="C39" i="106"/>
  <c r="Z38" i="106"/>
  <c r="T22" i="106"/>
  <c r="E16" i="106"/>
  <c r="AC33" i="106"/>
  <c r="AA143" i="528"/>
  <c r="AQ22" i="106"/>
  <c r="S37" i="106"/>
  <c r="DB51" i="528"/>
  <c r="AJ27" i="106"/>
  <c r="C36" i="106"/>
  <c r="AU18" i="106"/>
  <c r="Y7" i="106"/>
  <c r="W31" i="106"/>
  <c r="AF31" i="106"/>
  <c r="AB34" i="106"/>
  <c r="AD39" i="106"/>
  <c r="R46" i="106"/>
  <c r="U38" i="106"/>
  <c r="Y21" i="106"/>
  <c r="AU37" i="106"/>
  <c r="AQ28" i="106"/>
  <c r="AE25" i="106"/>
  <c r="R18" i="106"/>
  <c r="E4" i="106"/>
  <c r="AU3" i="106"/>
  <c r="T46" i="106"/>
  <c r="AJ10" i="106"/>
  <c r="AA15" i="106"/>
  <c r="AD17" i="106"/>
  <c r="Q24" i="106"/>
  <c r="Q32" i="106"/>
  <c r="AZ42" i="106"/>
  <c r="R17" i="106"/>
  <c r="B37" i="106"/>
  <c r="AZ20" i="106"/>
  <c r="AA10" i="106"/>
  <c r="Y12" i="106"/>
  <c r="Y18" i="106"/>
  <c r="E3" i="106"/>
  <c r="W4" i="106"/>
  <c r="S36" i="106"/>
  <c r="R38" i="106"/>
  <c r="C18" i="106"/>
  <c r="AT8" i="106"/>
  <c r="AB8" i="106"/>
  <c r="R15" i="106"/>
  <c r="U25" i="106"/>
  <c r="AZ8" i="106"/>
  <c r="U34" i="106"/>
  <c r="AU23" i="106"/>
  <c r="AF3" i="106"/>
  <c r="C29" i="106"/>
  <c r="X36" i="106"/>
  <c r="AJ12" i="106"/>
  <c r="Z23" i="106"/>
  <c r="C9" i="106"/>
  <c r="AB37" i="106"/>
  <c r="AZ35" i="106"/>
  <c r="E9" i="106"/>
  <c r="AD5" i="106"/>
  <c r="B16" i="106"/>
  <c r="AJ33" i="106"/>
  <c r="AB27" i="106"/>
  <c r="S22" i="106"/>
  <c r="AC3" i="106"/>
  <c r="AT16" i="106"/>
  <c r="Y15" i="106"/>
  <c r="Y38" i="106"/>
  <c r="D21" i="106"/>
  <c r="C8" i="106"/>
  <c r="C37" i="106"/>
  <c r="E35" i="106"/>
  <c r="AD20" i="106"/>
  <c r="Y10" i="106"/>
  <c r="Z39" i="106"/>
  <c r="AJ7" i="106"/>
  <c r="AC38" i="106"/>
  <c r="C27" i="106"/>
  <c r="AB29" i="106"/>
  <c r="W42" i="106"/>
  <c r="AU6" i="106"/>
  <c r="AF13" i="106"/>
  <c r="Q23" i="106"/>
  <c r="AQ17" i="106"/>
  <c r="AE33" i="106"/>
  <c r="AD25" i="106"/>
  <c r="B3" i="106"/>
  <c r="AD23" i="106"/>
  <c r="Q31" i="106"/>
  <c r="Q16" i="106"/>
  <c r="AJ38" i="106"/>
  <c r="AE39" i="106"/>
  <c r="AB14" i="106"/>
  <c r="AB144" i="528"/>
  <c r="AJ14" i="106"/>
  <c r="AQ26" i="106"/>
  <c r="C21" i="106"/>
  <c r="AZ9" i="106"/>
  <c r="AB40" i="106"/>
  <c r="AE19" i="106"/>
  <c r="X3" i="106"/>
  <c r="AC14" i="106"/>
  <c r="X27" i="106"/>
  <c r="X14" i="106"/>
  <c r="AD42" i="106"/>
  <c r="U2" i="106"/>
  <c r="AT34" i="106"/>
  <c r="AZ11" i="106"/>
  <c r="B40" i="106"/>
  <c r="W25" i="106"/>
  <c r="AQ43" i="106"/>
  <c r="Z11" i="106"/>
  <c r="AA21" i="106"/>
  <c r="T28" i="106"/>
  <c r="AU41" i="106"/>
  <c r="AE9" i="106"/>
  <c r="AD43" i="106"/>
  <c r="W28" i="106"/>
  <c r="AT38" i="106"/>
  <c r="Q29" i="106"/>
  <c r="W19" i="106"/>
  <c r="W38" i="106"/>
  <c r="AJ32" i="106"/>
  <c r="AB43" i="106"/>
  <c r="C11" i="106"/>
  <c r="T26" i="106"/>
  <c r="E8" i="106"/>
  <c r="AZ28" i="106"/>
  <c r="Q40" i="106"/>
  <c r="AJ35" i="106"/>
  <c r="AD12" i="106"/>
  <c r="Y20" i="106"/>
  <c r="AB31" i="106"/>
  <c r="AZ34" i="106"/>
  <c r="AE27" i="106"/>
  <c r="AA46" i="106"/>
  <c r="Y33" i="106"/>
  <c r="Q6" i="106"/>
  <c r="DD33" i="528"/>
  <c r="AC141" i="528"/>
  <c r="R27" i="106"/>
  <c r="D16" i="106"/>
  <c r="S6" i="106"/>
  <c r="R6" i="106"/>
  <c r="DD14" i="528"/>
  <c r="AE5" i="106"/>
  <c r="X10" i="106"/>
  <c r="AC26" i="106"/>
  <c r="W20" i="106"/>
  <c r="AE30" i="106"/>
  <c r="B46" i="106"/>
  <c r="X9" i="106"/>
  <c r="AC18" i="106"/>
  <c r="T8" i="106"/>
  <c r="AF11" i="106"/>
  <c r="AB24" i="106"/>
  <c r="S17" i="106"/>
  <c r="D35" i="106"/>
  <c r="Q13" i="106"/>
  <c r="AT30" i="106"/>
  <c r="D39" i="106"/>
  <c r="B5" i="106"/>
  <c r="AU2" i="106"/>
  <c r="AC24" i="106"/>
  <c r="C17" i="106"/>
  <c r="AZ36" i="106"/>
  <c r="D19" i="106"/>
  <c r="AZ46" i="106"/>
  <c r="AT19" i="106"/>
  <c r="C41" i="106"/>
  <c r="S39" i="106"/>
  <c r="X11" i="106"/>
  <c r="AE28" i="106"/>
  <c r="X38" i="106"/>
  <c r="Q41" i="106"/>
  <c r="AT32" i="106"/>
  <c r="D13" i="106"/>
  <c r="D31" i="106"/>
  <c r="B33" i="106"/>
  <c r="DD11" i="528"/>
  <c r="AD37" i="106"/>
  <c r="W29" i="106"/>
  <c r="B11" i="106"/>
  <c r="AJ3" i="106"/>
  <c r="C40" i="106"/>
  <c r="AC30" i="106"/>
  <c r="Z19" i="106"/>
  <c r="AJ18" i="106"/>
  <c r="AZ27" i="106"/>
  <c r="Z41" i="106"/>
  <c r="T29" i="106"/>
  <c r="D33" i="106"/>
  <c r="R2" i="106"/>
  <c r="AB19" i="106"/>
  <c r="S18" i="106"/>
  <c r="Y3" i="106"/>
  <c r="E2" i="106"/>
  <c r="AF46" i="106"/>
  <c r="R31" i="106"/>
  <c r="Y22" i="106"/>
  <c r="AC6" i="106"/>
  <c r="Z8" i="106"/>
  <c r="U4" i="106"/>
  <c r="Q44" i="106"/>
  <c r="B14" i="106"/>
  <c r="AB33" i="106"/>
  <c r="Q2" i="106"/>
  <c r="AT2" i="106"/>
  <c r="AT11" i="106"/>
  <c r="AB10" i="106"/>
  <c r="AB6" i="106"/>
  <c r="W36" i="106"/>
  <c r="B32" i="106"/>
  <c r="Q10" i="106"/>
  <c r="S27" i="106"/>
  <c r="AF43" i="106"/>
  <c r="AZ32" i="106"/>
  <c r="AF4" i="106"/>
  <c r="AJ21" i="106"/>
  <c r="AF7" i="106"/>
  <c r="S15" i="106"/>
  <c r="AZ24" i="106"/>
  <c r="D32" i="106"/>
  <c r="Y4" i="106"/>
  <c r="AE31" i="106"/>
  <c r="AU38" i="106"/>
  <c r="AC41" i="106"/>
  <c r="AA45" i="106"/>
  <c r="S13" i="106"/>
  <c r="E31" i="106"/>
  <c r="AE38" i="106"/>
  <c r="Y37" i="106"/>
  <c r="Q45" i="106"/>
  <c r="S35" i="106"/>
  <c r="U13" i="106"/>
  <c r="T27" i="106"/>
  <c r="E23" i="106"/>
  <c r="AA20" i="106"/>
  <c r="U33" i="106"/>
  <c r="AU17" i="106"/>
  <c r="W14" i="106"/>
  <c r="E12" i="106"/>
  <c r="U30" i="106"/>
  <c r="W23" i="106"/>
  <c r="R43" i="106"/>
  <c r="Z26" i="106"/>
  <c r="R39" i="106"/>
  <c r="C44" i="106"/>
  <c r="T43" i="106"/>
  <c r="AU25" i="106"/>
  <c r="AE18" i="106"/>
  <c r="T7" i="106"/>
  <c r="E24" i="106"/>
  <c r="D38" i="106"/>
  <c r="B28" i="106"/>
  <c r="B15" i="106"/>
  <c r="AF19" i="106"/>
  <c r="X40" i="106"/>
  <c r="AZ12" i="106"/>
  <c r="AB41" i="106"/>
  <c r="X21" i="106"/>
  <c r="AQ19" i="106"/>
  <c r="Y40" i="106"/>
  <c r="AC140" i="528"/>
  <c r="AC40" i="106"/>
  <c r="AU29" i="106"/>
  <c r="W22" i="106"/>
  <c r="E14" i="106"/>
  <c r="Y24" i="106"/>
  <c r="Z22" i="106"/>
  <c r="AZ43" i="106"/>
  <c r="AC13" i="106"/>
  <c r="AB25" i="106"/>
  <c r="AJ17" i="106"/>
  <c r="T40" i="106"/>
  <c r="R30" i="106"/>
  <c r="AZ18" i="106"/>
  <c r="X24" i="106"/>
  <c r="D28" i="106"/>
  <c r="B35" i="106"/>
  <c r="D5" i="106"/>
  <c r="T37" i="106"/>
  <c r="D8" i="106"/>
  <c r="Z35" i="106"/>
  <c r="AD22" i="106"/>
  <c r="U16" i="106"/>
  <c r="Z43" i="106"/>
  <c r="AD2" i="106"/>
  <c r="AD29" i="106"/>
  <c r="R32" i="106"/>
  <c r="X12" i="106"/>
  <c r="T6" i="106"/>
  <c r="R3" i="106"/>
  <c r="D14" i="106"/>
  <c r="R16" i="106"/>
  <c r="AC144" i="528"/>
  <c r="T11" i="106"/>
  <c r="W8" i="106"/>
  <c r="AE29" i="106"/>
  <c r="DD37" i="528"/>
  <c r="D24" i="106"/>
  <c r="AC45" i="106"/>
  <c r="W46" i="106"/>
  <c r="AF23" i="106"/>
  <c r="U18" i="106"/>
  <c r="AD10" i="106"/>
  <c r="AC44" i="106"/>
  <c r="X42" i="106"/>
  <c r="AA142" i="528"/>
  <c r="W32" i="106"/>
  <c r="Z45" i="106"/>
  <c r="DC14" i="528"/>
  <c r="R24" i="106"/>
  <c r="AT12" i="106"/>
  <c r="AU15" i="106"/>
  <c r="W35" i="106"/>
  <c r="AF21" i="106"/>
  <c r="DB74" i="528"/>
  <c r="W13" i="106"/>
  <c r="AE2" i="106"/>
  <c r="AB26" i="106"/>
  <c r="C32" i="106"/>
  <c r="W5" i="106"/>
  <c r="AQ5" i="106"/>
  <c r="AB9" i="106"/>
  <c r="T19" i="106"/>
  <c r="S29" i="106"/>
  <c r="AU33" i="106"/>
  <c r="C20" i="106"/>
  <c r="AU39" i="106"/>
  <c r="AD36" i="106"/>
  <c r="R35" i="106"/>
  <c r="Z3" i="106"/>
  <c r="AF39" i="106"/>
  <c r="AA17" i="106"/>
  <c r="B30" i="106"/>
  <c r="AF22" i="106"/>
  <c r="AC34" i="106"/>
  <c r="R42" i="106"/>
  <c r="AF45" i="106"/>
  <c r="AA36" i="106"/>
  <c r="E25" i="106"/>
  <c r="E7" i="106"/>
  <c r="R44" i="106"/>
  <c r="AA6" i="106"/>
  <c r="AQ25" i="106"/>
  <c r="U20" i="106"/>
  <c r="AQ10" i="106"/>
  <c r="B12" i="106"/>
  <c r="AC4" i="106"/>
  <c r="AQ39" i="106"/>
  <c r="AU4" i="106"/>
  <c r="C45" i="106"/>
  <c r="AE40" i="106"/>
  <c r="C3" i="106"/>
  <c r="AU9" i="106"/>
  <c r="AF41" i="106"/>
  <c r="Q28" i="106"/>
  <c r="Z17" i="106"/>
  <c r="AB12" i="106"/>
  <c r="Q33" i="106"/>
  <c r="W26" i="106"/>
  <c r="C10" i="106"/>
  <c r="DC17" i="528"/>
  <c r="T13" i="106"/>
  <c r="R23" i="106"/>
  <c r="Z5" i="106"/>
  <c r="AT10" i="106"/>
  <c r="AD44" i="106"/>
  <c r="T3" i="106"/>
  <c r="B44" i="106"/>
  <c r="AC16" i="106"/>
  <c r="X33" i="106"/>
  <c r="D11" i="106"/>
  <c r="AQ27" i="106"/>
  <c r="B27" i="106"/>
  <c r="AJ24" i="106"/>
  <c r="B26" i="106"/>
  <c r="U41" i="106"/>
  <c r="AD14" i="106"/>
  <c r="D46" i="106"/>
  <c r="Z42" i="106"/>
  <c r="S46" i="106"/>
  <c r="X25" i="106"/>
  <c r="AD4" i="106"/>
  <c r="AJ31" i="106"/>
  <c r="AU21" i="106"/>
  <c r="AD30" i="106"/>
  <c r="D15" i="106"/>
  <c r="AE41" i="106"/>
  <c r="S28" i="106"/>
  <c r="AQ12" i="106"/>
  <c r="AC2" i="106"/>
  <c r="AT26" i="106"/>
  <c r="S41" i="106"/>
  <c r="AU19" i="106"/>
  <c r="E33" i="106"/>
  <c r="R40" i="106"/>
  <c r="U27" i="106"/>
  <c r="AB35" i="106"/>
  <c r="AU43" i="106"/>
  <c r="S14" i="106"/>
  <c r="U23" i="106"/>
  <c r="AD7" i="106"/>
  <c r="AT46" i="106"/>
  <c r="X46" i="106"/>
  <c r="AT45" i="106"/>
  <c r="Z31" i="106"/>
  <c r="AQ24" i="106"/>
  <c r="AT22" i="106"/>
  <c r="Y29" i="106"/>
  <c r="AU8" i="106"/>
  <c r="AT37" i="106"/>
  <c r="C35" i="106"/>
  <c r="D6" i="106"/>
  <c r="B18" i="106"/>
  <c r="X22" i="106"/>
  <c r="Q9" i="106"/>
  <c r="AQ18" i="106"/>
  <c r="Q14" i="106"/>
  <c r="AU14" i="106"/>
  <c r="E45" i="106"/>
  <c r="Z13" i="106"/>
  <c r="T42" i="106"/>
  <c r="U39" i="106"/>
  <c r="E10" i="106"/>
  <c r="T21" i="106"/>
  <c r="Q35" i="106"/>
  <c r="R14" i="106"/>
  <c r="AZ10" i="106"/>
  <c r="T30" i="106"/>
  <c r="AA14" i="106"/>
  <c r="AJ44" i="106"/>
  <c r="AQ3" i="106"/>
  <c r="Q39" i="106"/>
  <c r="AU32" i="106"/>
  <c r="R7" i="106"/>
  <c r="Q22" i="106"/>
  <c r="AF10" i="106"/>
  <c r="S5" i="106"/>
  <c r="DE17" i="528"/>
  <c r="X43" i="106"/>
  <c r="AF12" i="106"/>
  <c r="AE34" i="106"/>
  <c r="B45" i="106"/>
  <c r="AE44" i="106"/>
  <c r="AQ11" i="106"/>
  <c r="AF26" i="106"/>
  <c r="AZ22" i="106"/>
  <c r="B2" i="106"/>
  <c r="E38" i="106"/>
  <c r="W17" i="106"/>
  <c r="U29" i="106"/>
  <c r="C14" i="106"/>
  <c r="E13" i="106"/>
  <c r="AF15" i="106"/>
  <c r="E36" i="106"/>
  <c r="AB36" i="106"/>
  <c r="C5" i="106"/>
  <c r="AT13" i="106"/>
  <c r="AE11" i="106"/>
  <c r="T2" i="106"/>
  <c r="AB17" i="106"/>
  <c r="AU13" i="106"/>
  <c r="X16" i="106"/>
  <c r="AZ40" i="106"/>
  <c r="AQ2" i="106"/>
  <c r="D44" i="106"/>
  <c r="AJ5" i="106"/>
  <c r="Z32" i="106"/>
  <c r="AC10" i="106"/>
  <c r="Y9" i="106"/>
  <c r="E40" i="106"/>
  <c r="X8" i="106"/>
  <c r="AD15" i="106"/>
  <c r="C22" i="106"/>
  <c r="AD3" i="106"/>
  <c r="R10" i="106"/>
  <c r="AD28" i="106"/>
  <c r="DE15" i="528"/>
  <c r="AT27" i="106"/>
  <c r="DC15" i="528"/>
  <c r="AC36" i="106"/>
  <c r="D2" i="106"/>
  <c r="E27" i="106"/>
  <c r="E19" i="106"/>
  <c r="Z27" i="106"/>
  <c r="AZ6" i="106"/>
  <c r="Q27" i="106"/>
  <c r="AF25" i="106"/>
  <c r="AB21" i="106"/>
  <c r="Z2" i="106"/>
  <c r="T31" i="106"/>
  <c r="W9" i="106"/>
  <c r="AJ28" i="106"/>
  <c r="AQ37" i="106"/>
  <c r="AE7" i="106"/>
  <c r="AF29" i="106"/>
  <c r="AU46" i="106"/>
  <c r="AB18" i="106"/>
  <c r="AB46" i="106"/>
  <c r="W21" i="106"/>
  <c r="AJ13" i="106"/>
  <c r="AF18" i="106"/>
  <c r="X5" i="106"/>
  <c r="X20" i="106"/>
  <c r="W44" i="106"/>
  <c r="AQ29" i="106"/>
  <c r="AA39" i="106"/>
  <c r="AQ21" i="106"/>
  <c r="AT3" i="106"/>
  <c r="D26" i="106"/>
  <c r="T39" i="106"/>
  <c r="AZ29" i="106"/>
  <c r="T38" i="106"/>
  <c r="AZ3" i="106"/>
  <c r="Y34" i="106"/>
  <c r="S8" i="106"/>
  <c r="DB16" i="528"/>
  <c r="AE10" i="106"/>
  <c r="W10" i="106"/>
  <c r="W24" i="106"/>
  <c r="E44" i="106"/>
  <c r="E28" i="106"/>
  <c r="AT9" i="106"/>
  <c r="W27" i="106"/>
  <c r="Q4" i="106"/>
  <c r="S24" i="106"/>
  <c r="E18" i="106"/>
  <c r="AU45" i="106"/>
  <c r="Z16" i="106"/>
  <c r="S4" i="106"/>
  <c r="B31" i="106"/>
  <c r="B23" i="106"/>
  <c r="S19" i="106"/>
  <c r="X34" i="106"/>
  <c r="AB7" i="106"/>
  <c r="AB3" i="106"/>
  <c r="AC17" i="106"/>
  <c r="AZ26" i="106"/>
  <c r="AC31" i="106"/>
  <c r="AJ34" i="106"/>
  <c r="AU16" i="106"/>
  <c r="X44" i="106"/>
  <c r="AT43" i="106"/>
  <c r="R4" i="106"/>
  <c r="X23" i="106"/>
  <c r="AA25" i="106"/>
  <c r="AC28" i="106"/>
  <c r="AD41" i="106"/>
  <c r="Y6" i="106"/>
  <c r="AF8" i="106"/>
  <c r="AA140" i="528"/>
  <c r="Q30" i="106"/>
  <c r="W45" i="106"/>
  <c r="Q36" i="106"/>
  <c r="T32" i="106"/>
  <c r="DB12" i="528"/>
  <c r="C7" i="106"/>
  <c r="X35" i="106"/>
  <c r="B29" i="106"/>
  <c r="AB11" i="106"/>
  <c r="AZ25" i="106"/>
  <c r="U45" i="106"/>
  <c r="AZ33" i="106"/>
  <c r="DC54" i="528"/>
  <c r="AF24" i="106"/>
  <c r="DD32" i="528"/>
  <c r="DB17" i="528"/>
  <c r="AQ8" i="106"/>
  <c r="R28" i="106"/>
  <c r="R26" i="106"/>
  <c r="Q34" i="106"/>
  <c r="DB49" i="528"/>
  <c r="T20" i="106"/>
  <c r="AA27" i="106"/>
  <c r="AU11" i="106"/>
  <c r="Y8" i="106"/>
  <c r="Z7" i="106"/>
  <c r="AF16" i="106"/>
  <c r="E41" i="106"/>
  <c r="AD35" i="106"/>
  <c r="AF33" i="106"/>
  <c r="S23" i="106"/>
  <c r="AC5" i="106"/>
  <c r="AF44" i="106"/>
  <c r="W37" i="106"/>
  <c r="R22" i="106"/>
  <c r="T16" i="106"/>
  <c r="Z36" i="106"/>
  <c r="AE6" i="106"/>
  <c r="W33" i="106"/>
  <c r="AZ21" i="106"/>
  <c r="AU20" i="106"/>
  <c r="B4" i="106"/>
  <c r="AA37" i="106"/>
  <c r="U22" i="106"/>
  <c r="D27" i="106"/>
  <c r="C42" i="106"/>
  <c r="AQ7" i="106"/>
  <c r="AZ7" i="106"/>
  <c r="T44" i="106"/>
  <c r="Z30" i="106"/>
  <c r="AD13" i="106"/>
  <c r="AA33" i="106"/>
  <c r="B19" i="106"/>
  <c r="AE35" i="106"/>
  <c r="AZ38" i="106"/>
  <c r="AB4" i="106"/>
  <c r="B6" i="106"/>
  <c r="T4" i="106"/>
  <c r="AT24" i="106"/>
  <c r="Q5" i="106"/>
  <c r="W7" i="106"/>
  <c r="U8" i="106"/>
  <c r="S9" i="106"/>
  <c r="U46" i="106"/>
  <c r="DD34" i="528"/>
  <c r="R13" i="106"/>
  <c r="C13" i="106"/>
  <c r="AB20" i="106"/>
  <c r="AU44" i="106"/>
  <c r="AC7" i="106"/>
  <c r="AA23" i="106"/>
  <c r="Z10" i="106"/>
  <c r="AQ34" i="106"/>
  <c r="AZ39" i="106"/>
  <c r="AA32" i="106"/>
  <c r="X4" i="106"/>
  <c r="AE37" i="106"/>
  <c r="D7" i="106"/>
  <c r="U44" i="106"/>
  <c r="U26" i="106"/>
  <c r="AD16" i="106"/>
  <c r="C4" i="106"/>
  <c r="AQ4" i="106"/>
  <c r="S16" i="106"/>
  <c r="AB5" i="106"/>
  <c r="C2" i="106"/>
  <c r="B17" i="106"/>
  <c r="AA35" i="106"/>
  <c r="AD46" i="106"/>
  <c r="C43" i="106"/>
  <c r="AD8" i="106"/>
  <c r="W16" i="106"/>
  <c r="W15" i="106"/>
  <c r="Z37" i="106"/>
  <c r="R36" i="106"/>
  <c r="S34" i="106"/>
  <c r="B38" i="106"/>
  <c r="AD45" i="106"/>
  <c r="AE32" i="106"/>
  <c r="U9" i="106"/>
  <c r="AT35" i="106"/>
  <c r="Y31" i="106"/>
  <c r="Z46" i="106"/>
  <c r="AB141" i="528"/>
  <c r="B43" i="106"/>
  <c r="AF36" i="106"/>
  <c r="D30" i="106"/>
  <c r="T5" i="106"/>
  <c r="AF32" i="106"/>
  <c r="B8" i="106"/>
  <c r="AT28" i="106"/>
  <c r="T10" i="106"/>
  <c r="AE24" i="106"/>
  <c r="AT17" i="106"/>
  <c r="U40" i="106"/>
  <c r="W39" i="106"/>
  <c r="AE13" i="106"/>
  <c r="Q19" i="106"/>
  <c r="E30" i="106"/>
  <c r="AZ37" i="106"/>
  <c r="AA4" i="106"/>
  <c r="B21" i="106"/>
  <c r="AZ16" i="106"/>
  <c r="AA29" i="106"/>
  <c r="W34" i="106"/>
  <c r="AA44" i="106"/>
  <c r="AT36" i="106"/>
  <c r="AT31" i="106"/>
  <c r="U36" i="106"/>
  <c r="B7" i="106"/>
  <c r="B10" i="106"/>
  <c r="S3" i="106"/>
  <c r="AC20" i="106"/>
  <c r="AJ43" i="106"/>
  <c r="D9" i="106"/>
  <c r="Z44" i="106"/>
  <c r="D12" i="106"/>
  <c r="E11" i="106"/>
  <c r="AB140" i="528"/>
  <c r="AD27" i="106"/>
  <c r="U43" i="106"/>
  <c r="U14" i="106"/>
  <c r="X39" i="106"/>
  <c r="Y43" i="106"/>
  <c r="Y5" i="106"/>
  <c r="Q21" i="106"/>
  <c r="AU10" i="106"/>
  <c r="U12" i="106"/>
  <c r="AA8" i="106"/>
  <c r="C25" i="106"/>
  <c r="C6" i="106"/>
  <c r="R41" i="106"/>
  <c r="AT23" i="106"/>
  <c r="DC11" i="528"/>
  <c r="AA144" i="528"/>
  <c r="T23" i="106"/>
  <c r="AA41" i="106"/>
  <c r="AF34" i="106"/>
  <c r="AQ41" i="106"/>
  <c r="Z14" i="106"/>
  <c r="C24" i="106"/>
  <c r="AA42" i="106"/>
  <c r="E46" i="106"/>
  <c r="AJ26" i="106"/>
  <c r="AJ4" i="106"/>
  <c r="AJ45" i="106"/>
  <c r="AE12" i="106"/>
  <c r="DE33" i="528"/>
  <c r="AT4" i="106"/>
  <c r="R12" i="106"/>
  <c r="AA24" i="106"/>
  <c r="AT44" i="106"/>
  <c r="AQ30" i="106"/>
  <c r="AJ46" i="106"/>
  <c r="X28" i="106"/>
  <c r="AB38" i="106"/>
  <c r="S25" i="106"/>
  <c r="AQ42" i="106"/>
  <c r="AC8" i="106"/>
  <c r="AC29" i="106"/>
  <c r="AJ30" i="106"/>
  <c r="S31" i="106"/>
  <c r="T36" i="106"/>
  <c r="D20" i="106"/>
  <c r="AB16" i="106"/>
  <c r="AA5" i="106"/>
  <c r="U15" i="106"/>
  <c r="AE46" i="106"/>
  <c r="AT7" i="106"/>
  <c r="E37" i="106"/>
  <c r="D3" i="106"/>
  <c r="R45" i="106"/>
  <c r="AD19" i="106"/>
  <c r="AC11" i="106"/>
  <c r="Z29" i="106"/>
  <c r="AB143" i="528"/>
  <c r="AJ6" i="106"/>
  <c r="AA3" i="106"/>
  <c r="Z6" i="106"/>
  <c r="C15" i="106"/>
  <c r="U19" i="106"/>
  <c r="B36" i="106"/>
  <c r="W43" i="106"/>
  <c r="D42" i="106"/>
  <c r="AQ13" i="106"/>
  <c r="B22" i="106"/>
  <c r="DD15" i="528"/>
  <c r="T12" i="106"/>
  <c r="D36" i="106"/>
  <c r="AC37" i="106"/>
  <c r="AF37" i="106"/>
  <c r="AT42" i="106"/>
  <c r="AT39" i="106"/>
  <c r="AZ5" i="106"/>
  <c r="AE45" i="106"/>
  <c r="AD18" i="106"/>
  <c r="AU40" i="106"/>
  <c r="AU26" i="106"/>
  <c r="AA22" i="106"/>
  <c r="AT21" i="106"/>
  <c r="AA19" i="106"/>
  <c r="AU31" i="106"/>
  <c r="E6" i="106"/>
  <c r="AB45" i="106"/>
  <c r="T41" i="106"/>
  <c r="X6" i="106"/>
  <c r="Q20" i="106"/>
  <c r="AU28" i="106"/>
  <c r="U5" i="106"/>
  <c r="AZ23" i="106"/>
  <c r="D4" i="106"/>
  <c r="T14" i="106"/>
  <c r="Z33" i="106"/>
  <c r="AB28" i="106"/>
  <c r="E29" i="106"/>
  <c r="E39" i="106"/>
  <c r="Y23" i="106"/>
  <c r="AJ9" i="106"/>
  <c r="Z9" i="106"/>
  <c r="AU36" i="106"/>
  <c r="E22" i="106"/>
  <c r="B9" i="106"/>
  <c r="AD24" i="106"/>
  <c r="S21" i="106"/>
  <c r="AB44" i="106"/>
  <c r="AT41" i="106"/>
  <c r="AE4" i="106"/>
  <c r="AJ41" i="106"/>
  <c r="AC9" i="106"/>
  <c r="Y46" i="106"/>
  <c r="AE43" i="106"/>
  <c r="AF14" i="106"/>
  <c r="X17" i="106"/>
  <c r="AD21" i="106"/>
  <c r="AZ45" i="106"/>
  <c r="AB22" i="106"/>
  <c r="Y13" i="106"/>
  <c r="AD9" i="106"/>
  <c r="Z24" i="106"/>
  <c r="T34" i="106"/>
  <c r="Q12" i="106"/>
  <c r="AU7" i="106"/>
  <c r="E17" i="106"/>
  <c r="AQ40" i="106"/>
  <c r="Q25" i="106"/>
  <c r="AA31" i="106"/>
  <c r="AT14" i="106"/>
  <c r="Z34" i="106"/>
  <c r="U28" i="106"/>
  <c r="AA12" i="106"/>
  <c r="AB2" i="106"/>
  <c r="D18" i="106"/>
  <c r="Y41" i="106"/>
  <c r="Q8" i="106"/>
  <c r="R8" i="106"/>
  <c r="AE22" i="106"/>
  <c r="AQ45" i="106"/>
  <c r="D10" i="106"/>
  <c r="S30" i="106"/>
  <c r="AB23" i="106"/>
  <c r="AB15" i="106"/>
  <c r="AQ16" i="106"/>
  <c r="AC15" i="106"/>
  <c r="AB42" i="106"/>
  <c r="AD34" i="106"/>
  <c r="X2" i="106"/>
  <c r="DB15" i="528"/>
  <c r="X30" i="106"/>
  <c r="AZ44" i="106"/>
  <c r="C16" i="106"/>
  <c r="Q11" i="106"/>
  <c r="D22" i="106"/>
  <c r="AZ30" i="106"/>
  <c r="Z15" i="106"/>
  <c r="Y39" i="106"/>
  <c r="AT6" i="106"/>
  <c r="AF40" i="106"/>
  <c r="AC32" i="106"/>
  <c r="T45" i="106"/>
  <c r="AJ8" i="106"/>
  <c r="AJ25" i="106"/>
  <c r="Q37" i="106"/>
  <c r="AJ23" i="106"/>
  <c r="AC12" i="106"/>
  <c r="AA26" i="106"/>
  <c r="AT40" i="106"/>
  <c r="AF27" i="106"/>
  <c r="Y14" i="106"/>
  <c r="AQ31" i="106"/>
  <c r="AF6" i="106"/>
  <c r="AQ32" i="106"/>
  <c r="AD31" i="106"/>
  <c r="Y42" i="106"/>
  <c r="W12" i="106"/>
  <c r="AC22" i="106"/>
  <c r="Y26" i="106"/>
  <c r="AC46" i="106"/>
  <c r="AA7" i="106"/>
  <c r="AA30" i="106"/>
  <c r="DD29" i="528"/>
  <c r="B34" i="106"/>
  <c r="U32" i="106"/>
  <c r="S20" i="106"/>
  <c r="AB39" i="106"/>
  <c r="AQ35" i="106"/>
  <c r="Q7" i="106"/>
  <c r="AU27" i="106"/>
  <c r="AC21" i="106"/>
  <c r="AU22" i="106"/>
  <c r="T33" i="106"/>
  <c r="AQ38" i="106"/>
  <c r="R9" i="106"/>
  <c r="AF35" i="106"/>
  <c r="U7" i="106"/>
  <c r="U35" i="106"/>
  <c r="X29" i="106"/>
  <c r="B24" i="106"/>
  <c r="AT5" i="106"/>
  <c r="AE14" i="106"/>
  <c r="AZ19" i="106"/>
  <c r="AC23" i="106"/>
  <c r="AT18" i="106"/>
  <c r="R11" i="106"/>
  <c r="AQ44" i="106"/>
  <c r="Z21" i="106"/>
  <c r="DE32" i="528"/>
  <c r="AT15" i="106"/>
  <c r="AE15" i="106"/>
  <c r="AQ9" i="106"/>
  <c r="DE14" i="528"/>
  <c r="U37" i="106"/>
  <c r="AJ20" i="106"/>
  <c r="Y11" i="106"/>
  <c r="AC19" i="106"/>
  <c r="T24" i="106"/>
  <c r="AE21" i="106"/>
  <c r="C26" i="106"/>
  <c r="AU24" i="106"/>
  <c r="B25" i="106"/>
  <c r="Y25" i="106"/>
  <c r="AQ36" i="106"/>
  <c r="Q15" i="106"/>
  <c r="AD40" i="106"/>
  <c r="AC39" i="106"/>
  <c r="R21" i="106"/>
  <c r="X41" i="106"/>
  <c r="AU35" i="106"/>
  <c r="W2" i="106"/>
  <c r="T15" i="106"/>
  <c r="S43" i="106"/>
  <c r="X13" i="106"/>
  <c r="Y2" i="106"/>
  <c r="AU12" i="106"/>
  <c r="R19" i="106"/>
  <c r="Z18" i="106"/>
  <c r="AZ41" i="106"/>
  <c r="S10" i="106"/>
  <c r="AT29" i="106"/>
  <c r="AF28" i="106"/>
  <c r="W41" i="106"/>
  <c r="Y28" i="106"/>
  <c r="AF5" i="106"/>
  <c r="Y17" i="106"/>
  <c r="AT20" i="106"/>
  <c r="D37" i="106"/>
  <c r="AQ6" i="106"/>
  <c r="AQ20" i="106"/>
  <c r="C12" i="106"/>
  <c r="W6" i="106"/>
  <c r="DC53" i="528"/>
  <c r="D41" i="106"/>
  <c r="W11" i="106"/>
  <c r="Z28" i="106"/>
  <c r="Q18" i="106"/>
  <c r="R29" i="106"/>
  <c r="X37" i="106"/>
  <c r="AZ17" i="106"/>
  <c r="X31" i="106"/>
  <c r="Y30" i="106"/>
  <c r="U11" i="106"/>
  <c r="AT33" i="106"/>
  <c r="AZ31" i="106"/>
  <c r="T18" i="106"/>
  <c r="D34" i="106"/>
  <c r="B39" i="106"/>
  <c r="AA141" i="528"/>
  <c r="E42" i="106"/>
  <c r="AQ33" i="106"/>
  <c r="C28" i="106"/>
  <c r="AB32" i="106"/>
  <c r="Y27" i="106"/>
  <c r="AD38" i="106"/>
  <c r="AC35" i="106"/>
  <c r="AE16" i="106"/>
  <c r="AB30" i="106"/>
  <c r="R37" i="106"/>
  <c r="AC143" i="528"/>
  <c r="AJ2" i="106"/>
  <c r="AF9" i="106"/>
  <c r="W18" i="106"/>
  <c r="E20" i="106"/>
  <c r="DB50" i="528"/>
  <c r="S38" i="106"/>
  <c r="AA9" i="106"/>
  <c r="R25" i="106"/>
  <c r="AJ22" i="106"/>
  <c r="AD32" i="106"/>
  <c r="C34" i="106"/>
  <c r="W3" i="106"/>
  <c r="AF17" i="106"/>
  <c r="AE36" i="106"/>
  <c r="U24" i="106"/>
  <c r="AZ15" i="106"/>
  <c r="AZ14" i="106"/>
  <c r="S32" i="106"/>
  <c r="AA11" i="106"/>
  <c r="AD6" i="106"/>
  <c r="S40" i="106"/>
  <c r="Y19" i="106"/>
  <c r="Y35" i="106"/>
  <c r="AQ23" i="106"/>
  <c r="AE23" i="106"/>
  <c r="S2" i="106"/>
  <c r="AJ40" i="106"/>
  <c r="AC43" i="106"/>
  <c r="AJ36" i="106"/>
  <c r="AE26" i="106"/>
  <c r="C30" i="106"/>
  <c r="AF30" i="106"/>
  <c r="AJ19" i="106"/>
  <c r="AD33" i="106"/>
  <c r="S33" i="106"/>
  <c r="AU5" i="106"/>
  <c r="AA28" i="106"/>
  <c r="AQ14" i="106"/>
  <c r="Y16" i="106"/>
  <c r="AZ13" i="106"/>
  <c r="X7" i="106"/>
  <c r="R5" i="106"/>
  <c r="AB142" i="528"/>
  <c r="Y44" i="106"/>
  <c r="Q46" i="106"/>
  <c r="AU30" i="106"/>
  <c r="C19" i="106"/>
  <c r="AE42" i="106"/>
  <c r="C31" i="106"/>
  <c r="AQ15" i="106"/>
  <c r="D40" i="106"/>
  <c r="DC16" i="528"/>
  <c r="AC142" i="528"/>
  <c r="AZ2" i="106"/>
  <c r="Q42" i="106"/>
  <c r="U21" i="106"/>
  <c r="Q3" i="106"/>
  <c r="AE17" i="106"/>
  <c r="DE11" i="528"/>
  <c r="D29" i="106"/>
  <c r="C33" i="106"/>
  <c r="AU34" i="106"/>
  <c r="AU42" i="106"/>
  <c r="AZ4" i="106"/>
  <c r="X45" i="106"/>
  <c r="Z4" i="106"/>
  <c r="U42" i="106"/>
  <c r="AJ37" i="106"/>
  <c r="AC25" i="106"/>
  <c r="S26" i="106"/>
  <c r="U3" i="106"/>
  <c r="DC52" i="528"/>
  <c r="E34" i="106"/>
  <c r="S12" i="106"/>
  <c r="DB11" i="528"/>
  <c r="AJ16" i="106"/>
  <c r="T9" i="106"/>
  <c r="W30" i="106"/>
  <c r="AD26" i="106"/>
  <c r="X32" i="106"/>
  <c r="Z20" i="106"/>
  <c r="E43" i="106"/>
  <c r="Z12" i="106"/>
  <c r="AA16" i="106"/>
  <c r="U17" i="106"/>
  <c r="C46" i="106"/>
  <c r="AF42" i="106"/>
  <c r="AJ29" i="106"/>
  <c r="AJ42" i="106"/>
  <c r="E32" i="106"/>
  <c r="AA34" i="106"/>
  <c r="AF20" i="106"/>
  <c r="AF38" i="106"/>
  <c r="AC27" i="106"/>
  <c r="C23" i="106"/>
  <c r="R34" i="106"/>
  <c r="Q43" i="106"/>
  <c r="X26" i="106"/>
  <c r="D45" i="106"/>
  <c r="AA43" i="106"/>
  <c r="S7" i="106"/>
  <c r="T17" i="106"/>
  <c r="AE3" i="106"/>
  <c r="Z25" i="106"/>
  <c r="E26" i="106"/>
  <c r="S44" i="106"/>
  <c r="R20" i="106"/>
  <c r="X19" i="106"/>
  <c r="AB13" i="106"/>
  <c r="T25" i="106"/>
  <c r="AA40" i="106"/>
  <c r="B42" i="106"/>
  <c r="W40" i="106"/>
  <c r="C38" i="106"/>
  <c r="D25" i="106"/>
  <c r="U10" i="106"/>
  <c r="AA18" i="106"/>
  <c r="AA13" i="106"/>
  <c r="DE16" i="528"/>
  <c r="Y32" i="106"/>
  <c r="Q38" i="106"/>
  <c r="AJ11" i="106"/>
  <c r="AE8" i="106"/>
  <c r="AQ46" i="106"/>
  <c r="Q26" i="106"/>
  <c r="AD11" i="106"/>
  <c r="AT25" i="106"/>
  <c r="Y36" i="106"/>
  <c r="X15" i="106"/>
  <c r="AF2" i="106"/>
  <c r="R33" i="106"/>
  <c r="Q17" i="106"/>
  <c r="F1645" i="857" l="1"/>
  <c r="F1766" i="857"/>
  <c r="F1876" i="857"/>
  <c r="F1430" i="857"/>
  <c r="BB40" i="106"/>
  <c r="F739" i="857"/>
  <c r="F765" i="857"/>
  <c r="F677" i="857"/>
  <c r="F671" i="857"/>
  <c r="F1508" i="857"/>
  <c r="F736" i="857"/>
  <c r="BB37" i="106"/>
  <c r="F1458" i="857"/>
  <c r="F1487" i="857"/>
  <c r="F2007" i="857"/>
  <c r="F1682" i="857"/>
  <c r="F1720" i="857"/>
  <c r="F1601" i="857"/>
  <c r="F1708" i="857"/>
  <c r="F770" i="857"/>
  <c r="F1388" i="857"/>
  <c r="F1345" i="857"/>
  <c r="F665" i="857"/>
  <c r="F1659" i="857"/>
  <c r="F2042" i="857"/>
  <c r="F1482" i="857"/>
  <c r="F1455" i="857"/>
  <c r="F1382" i="857"/>
  <c r="F1903" i="857"/>
  <c r="F1562" i="857"/>
  <c r="F1699" i="857"/>
  <c r="F758" i="857"/>
  <c r="F1583" i="857"/>
  <c r="F1362" i="857"/>
  <c r="F1647" i="857"/>
  <c r="F766" i="857"/>
  <c r="F1821" i="857"/>
  <c r="F1757" i="857"/>
  <c r="F1814" i="857"/>
  <c r="F1332" i="857"/>
  <c r="F1906" i="857"/>
  <c r="F1827" i="857"/>
  <c r="F1298" i="857"/>
  <c r="F1288" i="857"/>
  <c r="BB4" i="106"/>
  <c r="F703" i="857"/>
  <c r="F1839" i="857"/>
  <c r="F1853" i="857"/>
  <c r="F1831" i="857"/>
  <c r="F1773" i="857"/>
  <c r="F1491" i="857"/>
  <c r="F1425" i="857"/>
  <c r="F1396" i="857"/>
  <c r="F693" i="857"/>
  <c r="F1322" i="857"/>
  <c r="F1673" i="857"/>
  <c r="F2034" i="857"/>
  <c r="F707" i="857"/>
  <c r="BB8" i="106"/>
  <c r="F1369" i="857"/>
  <c r="F1611" i="857"/>
  <c r="F687" i="857"/>
  <c r="F1806" i="857"/>
  <c r="F1365" i="857"/>
  <c r="F1596" i="857"/>
  <c r="F1924" i="857"/>
  <c r="F1889" i="857"/>
  <c r="F1794" i="857"/>
  <c r="F1854" i="857"/>
  <c r="F1799" i="857"/>
  <c r="F1598" i="857"/>
  <c r="F822" i="857"/>
  <c r="F1361" i="857"/>
  <c r="F775" i="857"/>
  <c r="F2037" i="857"/>
  <c r="F832" i="857"/>
  <c r="F734" i="857"/>
  <c r="BB35" i="106"/>
  <c r="F1448" i="857"/>
  <c r="F1802" i="857"/>
  <c r="F1457" i="857"/>
  <c r="BB13" i="106"/>
  <c r="F712" i="857"/>
  <c r="F1619" i="857"/>
  <c r="F1898" i="857"/>
  <c r="F757" i="857"/>
  <c r="F670" i="857"/>
  <c r="F1658" i="857"/>
  <c r="F823" i="857"/>
  <c r="F751" i="857"/>
  <c r="F1404" i="857"/>
  <c r="F1603" i="857"/>
  <c r="F1342" i="857"/>
  <c r="F1604" i="857"/>
  <c r="F1415" i="857"/>
  <c r="F1871" i="857"/>
  <c r="F1874" i="857"/>
  <c r="F1300" i="857"/>
  <c r="F1302" i="857"/>
  <c r="F1295" i="857"/>
  <c r="F1678" i="857"/>
  <c r="F754" i="857"/>
  <c r="F1832" i="857"/>
  <c r="F1977" i="857"/>
  <c r="F1732" i="857"/>
  <c r="F1325" i="857"/>
  <c r="F798" i="857"/>
  <c r="F1468" i="857"/>
  <c r="F1960" i="857"/>
  <c r="F1728" i="857"/>
  <c r="F1510" i="857"/>
  <c r="F2017" i="857"/>
  <c r="F1826" i="857"/>
  <c r="F1480" i="857"/>
  <c r="F1637" i="857"/>
  <c r="F1961" i="857"/>
  <c r="F1982" i="857"/>
  <c r="F1936" i="857"/>
  <c r="F1399" i="857"/>
  <c r="F1383" i="857"/>
  <c r="F1575" i="857"/>
  <c r="F1891" i="857"/>
  <c r="F1942" i="857"/>
  <c r="F1816" i="857"/>
  <c r="F1835" i="857"/>
  <c r="F701" i="857"/>
  <c r="BB2" i="106"/>
  <c r="F1885" i="857"/>
  <c r="F2022" i="857"/>
  <c r="F1337" i="857"/>
  <c r="F1817" i="857"/>
  <c r="F1472" i="857"/>
  <c r="F1825" i="857"/>
  <c r="F1402" i="857"/>
  <c r="F1724" i="857"/>
  <c r="F1610" i="857"/>
  <c r="F708" i="857"/>
  <c r="BB9" i="106"/>
  <c r="F778" i="857"/>
  <c r="F1581" i="857"/>
  <c r="F824" i="857"/>
  <c r="F1292" i="857"/>
  <c r="F1627" i="857"/>
  <c r="F1561" i="857"/>
  <c r="F1797" i="857"/>
  <c r="F1955" i="857"/>
  <c r="F752" i="857"/>
  <c r="F1413" i="857"/>
  <c r="F1712" i="857"/>
  <c r="F685" i="857"/>
  <c r="F1392" i="857"/>
  <c r="F715" i="857"/>
  <c r="BB16" i="106"/>
  <c r="F1951" i="857"/>
  <c r="F1685" i="857"/>
  <c r="F2050" i="857"/>
  <c r="F1289" i="857"/>
  <c r="F759" i="857"/>
  <c r="F1456" i="857"/>
  <c r="BB41" i="106"/>
  <c r="F740" i="857"/>
  <c r="F2016" i="857"/>
  <c r="F1586" i="857"/>
  <c r="F1683" i="857"/>
  <c r="F762" i="857"/>
  <c r="F1988" i="857"/>
  <c r="F1899" i="857"/>
  <c r="F749" i="857"/>
  <c r="F1635" i="857"/>
  <c r="F1726" i="857"/>
  <c r="F1808" i="857"/>
  <c r="BB33" i="106"/>
  <c r="F732" i="857"/>
  <c r="F781" i="857"/>
  <c r="F1781" i="857"/>
  <c r="F1423" i="857"/>
  <c r="F1921" i="857"/>
  <c r="F689" i="857"/>
  <c r="F728" i="857"/>
  <c r="F1986" i="857"/>
  <c r="F1943" i="857"/>
  <c r="F1746" i="857"/>
  <c r="F1758" i="857"/>
  <c r="F660" i="857"/>
  <c r="F2035" i="857"/>
  <c r="F772" i="857"/>
  <c r="F763" i="857"/>
  <c r="F1962" i="857"/>
  <c r="F1315" i="857"/>
  <c r="F1717" i="857"/>
  <c r="F1490" i="857"/>
  <c r="F1492" i="857"/>
  <c r="F1341" i="857"/>
  <c r="F1783" i="857"/>
  <c r="F2032" i="857"/>
  <c r="F1873" i="857"/>
  <c r="F1623" i="857"/>
  <c r="F1479" i="857"/>
  <c r="F1654" i="857"/>
  <c r="F1661" i="857"/>
  <c r="F1723" i="857"/>
  <c r="F1563" i="857"/>
  <c r="F1624" i="857"/>
  <c r="F716" i="857"/>
  <c r="BB17" i="106"/>
  <c r="F1498" i="857"/>
  <c r="F1709" i="857"/>
  <c r="F1730" i="857"/>
  <c r="F1629" i="857"/>
  <c r="F1949" i="857"/>
  <c r="F1450" i="857"/>
  <c r="F1420" i="857"/>
  <c r="F1359" i="857"/>
  <c r="F1848" i="857"/>
  <c r="F1614" i="857"/>
  <c r="F1600" i="857"/>
  <c r="F1405" i="857"/>
  <c r="F1964" i="857"/>
  <c r="F1765" i="857"/>
  <c r="F1926" i="857"/>
  <c r="F673" i="857"/>
  <c r="F1691" i="857"/>
  <c r="F1731" i="857"/>
  <c r="F1459" i="857"/>
  <c r="F1489" i="857"/>
  <c r="F1437" i="857"/>
  <c r="F1784" i="857"/>
  <c r="F773" i="857"/>
  <c r="F1672" i="857"/>
  <c r="F1309" i="857"/>
  <c r="F2049" i="857"/>
  <c r="F1767" i="857"/>
  <c r="F1800" i="857"/>
  <c r="F790" i="857"/>
  <c r="F2021" i="857"/>
  <c r="F659" i="857"/>
  <c r="F1344" i="857"/>
  <c r="F1595" i="857"/>
  <c r="F2008" i="857"/>
  <c r="F1882" i="857"/>
  <c r="F1984" i="857"/>
  <c r="F1883" i="857"/>
  <c r="F1804" i="857"/>
  <c r="F783" i="857"/>
  <c r="F1787" i="857"/>
  <c r="F1697" i="857"/>
  <c r="F817" i="857"/>
  <c r="F1931" i="857"/>
  <c r="F1987" i="857"/>
  <c r="F806" i="857"/>
  <c r="F2030" i="857"/>
  <c r="F1719" i="857"/>
  <c r="F1311" i="857"/>
  <c r="F1505" i="857"/>
  <c r="F1837" i="857"/>
  <c r="F1892" i="857"/>
  <c r="F1798" i="857"/>
  <c r="F1287" i="857"/>
  <c r="F835" i="857"/>
  <c r="F1463" i="857"/>
  <c r="F680" i="857"/>
  <c r="F1297" i="857"/>
  <c r="BB18" i="106"/>
  <c r="F717" i="857"/>
  <c r="F1569" i="857"/>
  <c r="F726" i="857"/>
  <c r="BB27" i="106"/>
  <c r="F1485" i="857"/>
  <c r="F1384" i="857"/>
  <c r="F1296" i="857"/>
  <c r="F1776" i="857"/>
  <c r="F1716" i="857"/>
  <c r="F2028" i="857"/>
  <c r="F1711" i="857"/>
  <c r="F779" i="857"/>
  <c r="F1367" i="857"/>
  <c r="F1378" i="857"/>
  <c r="F1739" i="857"/>
  <c r="F1326" i="857"/>
  <c r="F1453" i="857"/>
  <c r="F723" i="857"/>
  <c r="F808" i="857"/>
  <c r="F681" i="857"/>
  <c r="F1668" i="857"/>
  <c r="F1391" i="857"/>
  <c r="F1410" i="857"/>
  <c r="F1888" i="857"/>
  <c r="F1467" i="857"/>
  <c r="F1707" i="857"/>
  <c r="F1713" i="857"/>
  <c r="F1703" i="857"/>
  <c r="F741" i="857"/>
  <c r="BB42" i="106"/>
  <c r="F816" i="857"/>
  <c r="F803" i="857"/>
  <c r="F1803" i="857"/>
  <c r="F1558" i="857"/>
  <c r="F1680" i="857"/>
  <c r="F1565" i="857"/>
  <c r="F1348" i="857"/>
  <c r="F1878" i="857"/>
  <c r="F771" i="857"/>
  <c r="F746" i="857"/>
  <c r="F755" i="857"/>
  <c r="F1576" i="857"/>
  <c r="F1970" i="857"/>
  <c r="F792" i="857"/>
  <c r="F1704" i="857"/>
  <c r="F1657" i="857"/>
  <c r="F1993" i="857"/>
  <c r="F1486" i="857"/>
  <c r="F1860" i="857"/>
  <c r="F1632" i="857"/>
  <c r="F1427" i="857"/>
  <c r="F1662" i="857"/>
  <c r="F1760" i="857"/>
  <c r="F833" i="857"/>
  <c r="F784" i="857"/>
  <c r="F1646" i="857"/>
  <c r="F1801" i="857"/>
  <c r="F1775" i="857"/>
  <c r="F1771" i="857"/>
  <c r="F1840" i="857"/>
  <c r="F1864" i="857"/>
  <c r="F1842" i="857"/>
  <c r="F1656" i="857"/>
  <c r="F1631" i="857"/>
  <c r="F1869" i="857"/>
  <c r="F1612" i="857"/>
  <c r="F1442" i="857"/>
  <c r="F658" i="857"/>
  <c r="F698" i="857"/>
  <c r="F1608" i="857"/>
  <c r="F1744" i="857"/>
  <c r="F657" i="857"/>
  <c r="F1390" i="857"/>
  <c r="F730" i="857"/>
  <c r="BB31" i="106"/>
  <c r="F1417" i="857"/>
  <c r="F1890" i="857"/>
  <c r="F1422" i="857"/>
  <c r="F1684" i="857"/>
  <c r="F700" i="857"/>
  <c r="F1293" i="857"/>
  <c r="F1400" i="857"/>
  <c r="F1956" i="857"/>
  <c r="F1434" i="857"/>
  <c r="F1616" i="857"/>
  <c r="F1897" i="857"/>
  <c r="F1913" i="857"/>
  <c r="F1944" i="857"/>
  <c r="F691" i="857"/>
  <c r="F1570" i="857"/>
  <c r="F1795" i="857"/>
  <c r="F718" i="857"/>
  <c r="BB19" i="106"/>
  <c r="F1556" i="857"/>
  <c r="F1973" i="857"/>
  <c r="F1587" i="857"/>
  <c r="F1339" i="857"/>
  <c r="F1620" i="857"/>
  <c r="F1574" i="857"/>
  <c r="F1346" i="857"/>
  <c r="F1331" i="857"/>
  <c r="F1957" i="857"/>
  <c r="F1370" i="857"/>
  <c r="F1920" i="857"/>
  <c r="F1872" i="857"/>
  <c r="F1694" i="857"/>
  <c r="F1820" i="857"/>
  <c r="F1850" i="857"/>
  <c r="F1830" i="857"/>
  <c r="F1862" i="857"/>
  <c r="F1330" i="857"/>
  <c r="F1640" i="857"/>
  <c r="F1690" i="857"/>
  <c r="F705" i="857"/>
  <c r="BB6" i="106"/>
  <c r="F1725" i="857"/>
  <c r="F721" i="857"/>
  <c r="BB22" i="106"/>
  <c r="F1352" i="857"/>
  <c r="F1609" i="857"/>
  <c r="F1316" i="857"/>
  <c r="F785" i="857"/>
  <c r="F1688" i="857"/>
  <c r="F1350" i="857"/>
  <c r="F1833" i="857"/>
  <c r="F724" i="857"/>
  <c r="F1435" i="857"/>
  <c r="F1884" i="857"/>
  <c r="F1432" i="857"/>
  <c r="F1639" i="857"/>
  <c r="F1919" i="857"/>
  <c r="F1308" i="857"/>
  <c r="F1836" i="857"/>
  <c r="F1849" i="857"/>
  <c r="F1863" i="857"/>
  <c r="F2045" i="857"/>
  <c r="F1742" i="857"/>
  <c r="F1351" i="857"/>
  <c r="F1607" i="857"/>
  <c r="F1978" i="857"/>
  <c r="F1886" i="857"/>
  <c r="F1894" i="857"/>
  <c r="F1578" i="857"/>
  <c r="F1334" i="857"/>
  <c r="F1909" i="857"/>
  <c r="F1918" i="857"/>
  <c r="F1476" i="857"/>
  <c r="F1591" i="857"/>
  <c r="F829" i="857"/>
  <c r="F709" i="857"/>
  <c r="BB10" i="106"/>
  <c r="F669" i="857"/>
  <c r="F1335" i="857"/>
  <c r="F1749" i="857"/>
  <c r="F1705" i="857"/>
  <c r="F2041" i="857"/>
  <c r="F1606" i="857"/>
  <c r="F1299" i="857"/>
  <c r="F2003" i="857"/>
  <c r="F1653" i="857"/>
  <c r="F1580" i="857"/>
  <c r="F682" i="857"/>
  <c r="F1380" i="857"/>
  <c r="F2014" i="857"/>
  <c r="F1506" i="857"/>
  <c r="F1823" i="857"/>
  <c r="F1305" i="857"/>
  <c r="F1829" i="857"/>
  <c r="F1834" i="857"/>
  <c r="F1317" i="857"/>
  <c r="F782" i="857"/>
  <c r="F760" i="857"/>
  <c r="F1465" i="857"/>
  <c r="F1374" i="857"/>
  <c r="F1660" i="857"/>
  <c r="F1669" i="857"/>
  <c r="F1395" i="857"/>
  <c r="F1649" i="857"/>
  <c r="F1397" i="857"/>
  <c r="F1721" i="857"/>
  <c r="F1791" i="857"/>
  <c r="F813" i="857"/>
  <c r="F1356" i="857"/>
  <c r="F1895" i="857"/>
  <c r="F1693" i="857"/>
  <c r="F679" i="857"/>
  <c r="F1893" i="857"/>
  <c r="F1687" i="857"/>
  <c r="F1992" i="857"/>
  <c r="F2009" i="857"/>
  <c r="F1706" i="857"/>
  <c r="F1426" i="857"/>
  <c r="F793" i="857"/>
  <c r="F1880" i="857"/>
  <c r="F1560" i="857"/>
  <c r="F1762" i="857"/>
  <c r="F663" i="857"/>
  <c r="F1638" i="857"/>
  <c r="F1904" i="857"/>
  <c r="F788" i="857"/>
  <c r="F1312" i="857"/>
  <c r="F1932" i="857"/>
  <c r="F1347" i="857"/>
  <c r="F1877" i="857"/>
  <c r="F764" i="857"/>
  <c r="F725" i="857"/>
  <c r="F811" i="857"/>
  <c r="F1478" i="857"/>
  <c r="F830" i="857"/>
  <c r="F2000" i="857"/>
  <c r="F1290" i="857"/>
  <c r="F1939" i="857"/>
  <c r="F2027" i="857"/>
  <c r="F1644" i="857"/>
  <c r="F1407" i="857"/>
  <c r="F1935" i="857"/>
  <c r="F1507" i="857"/>
  <c r="F1975" i="857"/>
  <c r="F1462" i="857"/>
  <c r="F1677" i="857"/>
  <c r="F1947" i="857"/>
  <c r="F1564" i="857"/>
  <c r="F1902" i="857"/>
  <c r="F1443" i="857"/>
  <c r="F1698" i="857"/>
  <c r="F1896" i="857"/>
  <c r="F1696" i="857"/>
  <c r="F1615" i="857"/>
  <c r="F702" i="857"/>
  <c r="BB3" i="106"/>
  <c r="F743" i="857"/>
  <c r="BB44" i="106"/>
  <c r="F1780" i="857"/>
  <c r="F1621" i="857"/>
  <c r="F768" i="857"/>
  <c r="F2023" i="857"/>
  <c r="F1843" i="857"/>
  <c r="F2013" i="857"/>
  <c r="F1652" i="857"/>
  <c r="F1954" i="857"/>
  <c r="F1368" i="857"/>
  <c r="F1941" i="857"/>
  <c r="F1665" i="857"/>
  <c r="F1666" i="857"/>
  <c r="F1989" i="857"/>
  <c r="F1655" i="857"/>
  <c r="F1667" i="857"/>
  <c r="F800" i="857"/>
  <c r="F1796" i="857"/>
  <c r="F744" i="857"/>
  <c r="BB45" i="106"/>
  <c r="F1715" i="857"/>
  <c r="F1502" i="857"/>
  <c r="F1475" i="857"/>
  <c r="F2011" i="857"/>
  <c r="BB30" i="106"/>
  <c r="F729" i="857"/>
  <c r="F2024" i="857"/>
  <c r="F828" i="857"/>
  <c r="F756" i="857"/>
  <c r="F1761" i="857"/>
  <c r="F1421" i="857"/>
  <c r="F1372" i="857"/>
  <c r="F1810" i="857"/>
  <c r="F1375" i="857"/>
  <c r="F1641" i="857"/>
  <c r="F777" i="857"/>
  <c r="F1940" i="857"/>
  <c r="F1501" i="857"/>
  <c r="F818" i="857"/>
  <c r="F1733" i="857"/>
  <c r="F1439" i="857"/>
  <c r="F1925" i="857"/>
  <c r="F1577" i="857"/>
  <c r="F1664" i="857"/>
  <c r="F1908" i="857"/>
  <c r="F1310" i="857"/>
  <c r="F2040" i="857"/>
  <c r="F1807" i="857"/>
  <c r="F753" i="857"/>
  <c r="F1828" i="857"/>
  <c r="F1494" i="857"/>
  <c r="F1881" i="857"/>
  <c r="F1813" i="857"/>
  <c r="F1584" i="857"/>
  <c r="BB12" i="106"/>
  <c r="F711" i="857"/>
  <c r="F1867" i="857"/>
  <c r="F1722" i="857"/>
  <c r="F2047" i="857"/>
  <c r="F1318" i="857"/>
  <c r="BB5" i="106"/>
  <c r="F704" i="857"/>
  <c r="F666" i="857"/>
  <c r="F801" i="857"/>
  <c r="F2039" i="857"/>
  <c r="F1990" i="857"/>
  <c r="F1321" i="857"/>
  <c r="F2044" i="857"/>
  <c r="F1929" i="857"/>
  <c r="F1433" i="857"/>
  <c r="F1844" i="857"/>
  <c r="F1355" i="857"/>
  <c r="F1815" i="857"/>
  <c r="F1568" i="857"/>
  <c r="F1324" i="857"/>
  <c r="F1585" i="857"/>
  <c r="F1676" i="857"/>
  <c r="F1376" i="857"/>
  <c r="F748" i="857"/>
  <c r="F1377" i="857"/>
  <c r="F1357" i="857"/>
  <c r="F825" i="857"/>
  <c r="F1484" i="857"/>
  <c r="F1651" i="857"/>
  <c r="F1937" i="857"/>
  <c r="F664" i="857"/>
  <c r="F1974" i="857"/>
  <c r="F1497" i="857"/>
  <c r="F797" i="857"/>
  <c r="F742" i="857"/>
  <c r="BB43" i="106"/>
  <c r="F1747" i="857"/>
  <c r="F1710" i="857"/>
  <c r="F1469" i="857"/>
  <c r="F661" i="857"/>
  <c r="F802" i="857"/>
  <c r="F1740" i="857"/>
  <c r="F1754" i="857"/>
  <c r="F1445" i="857"/>
  <c r="BB36" i="106"/>
  <c r="F735" i="857"/>
  <c r="F747" i="857"/>
  <c r="F1752" i="857"/>
  <c r="F1679" i="857"/>
  <c r="F1500" i="857"/>
  <c r="F713" i="857"/>
  <c r="F1373" i="857"/>
  <c r="F812" i="857"/>
  <c r="BB11" i="106"/>
  <c r="F710" i="857"/>
  <c r="F2031" i="857"/>
  <c r="F1674" i="857"/>
  <c r="F1474" i="857"/>
  <c r="F1663" i="857"/>
  <c r="F1340" i="857"/>
  <c r="F1304" i="857"/>
  <c r="F1983" i="857"/>
  <c r="F1493" i="857"/>
  <c r="F796" i="857"/>
  <c r="F1446" i="857"/>
  <c r="F1822" i="857"/>
  <c r="F769" i="857"/>
  <c r="F1414" i="857"/>
  <c r="F1605" i="857"/>
  <c r="F1571" i="857"/>
  <c r="F814" i="857"/>
  <c r="F1477" i="857"/>
  <c r="F2036" i="857"/>
  <c r="F1411" i="857"/>
  <c r="F1360" i="857"/>
  <c r="F737" i="857"/>
  <c r="BB38" i="106"/>
  <c r="F1875" i="857"/>
  <c r="F1847" i="857"/>
  <c r="F1460" i="857"/>
  <c r="F1778" i="857"/>
  <c r="F827" i="857"/>
  <c r="F1770" i="857"/>
  <c r="F1409" i="857"/>
  <c r="F1592" i="857"/>
  <c r="F2029" i="857"/>
  <c r="F1594" i="857"/>
  <c r="F1745" i="857"/>
  <c r="F1824" i="857"/>
  <c r="F1588" i="857"/>
  <c r="F1509" i="857"/>
  <c r="F656" i="857"/>
  <c r="F2004" i="857"/>
  <c r="F1329" i="857"/>
  <c r="F1573" i="857"/>
  <c r="F672" i="857"/>
  <c r="F696" i="857"/>
  <c r="F1406" i="857"/>
  <c r="F1928" i="857"/>
  <c r="F795" i="857"/>
  <c r="F1763" i="857"/>
  <c r="F1371" i="857"/>
  <c r="F1681" i="857"/>
  <c r="F1313" i="857"/>
  <c r="F1857" i="857"/>
  <c r="F1307" i="857"/>
  <c r="F1774" i="857"/>
  <c r="F1790" i="857"/>
  <c r="F1985" i="857"/>
  <c r="F1858" i="857"/>
  <c r="F1952" i="857"/>
  <c r="F805" i="857"/>
  <c r="F1868" i="857"/>
  <c r="F1444" i="857"/>
  <c r="F678" i="857"/>
  <c r="F1753" i="857"/>
  <c r="F675" i="857"/>
  <c r="F683" i="857"/>
  <c r="F1981" i="857"/>
  <c r="F820" i="857"/>
  <c r="F1582" i="857"/>
  <c r="F1441" i="857"/>
  <c r="F1428" i="857"/>
  <c r="F1792" i="857"/>
  <c r="F1488" i="857"/>
  <c r="F1628" i="857"/>
  <c r="F1738" i="857"/>
  <c r="F1634" i="857"/>
  <c r="F1958" i="857"/>
  <c r="F684" i="857"/>
  <c r="F1387" i="857"/>
  <c r="F1912" i="857"/>
  <c r="F1727" i="857"/>
  <c r="F1630" i="857"/>
  <c r="F1618" i="857"/>
  <c r="F1950" i="857"/>
  <c r="F1499" i="857"/>
  <c r="F1756" i="857"/>
  <c r="BB7" i="106"/>
  <c r="F706" i="857"/>
  <c r="F699" i="857"/>
  <c r="F1751" i="857"/>
  <c r="F1779" i="857"/>
  <c r="F1923" i="857"/>
  <c r="F738" i="857"/>
  <c r="BB39" i="106"/>
  <c r="F2012" i="857"/>
  <c r="F1349" i="857"/>
  <c r="F1976" i="857"/>
  <c r="F1471" i="857"/>
  <c r="F819" i="857"/>
  <c r="F1948" i="857"/>
  <c r="F1998" i="857"/>
  <c r="F1865" i="857"/>
  <c r="F1617" i="857"/>
  <c r="F1915" i="857"/>
  <c r="F1418" i="857"/>
  <c r="F1557" i="857"/>
  <c r="F1994" i="857"/>
  <c r="F1303" i="857"/>
  <c r="F1451" i="857"/>
  <c r="F1971" i="857"/>
  <c r="F1692" i="857"/>
  <c r="F1447" i="857"/>
  <c r="F1495" i="857"/>
  <c r="F1922" i="857"/>
  <c r="F815" i="857"/>
  <c r="F733" i="857"/>
  <c r="BB34" i="106"/>
  <c r="F1338" i="857"/>
  <c r="F1887" i="857"/>
  <c r="F1927" i="857"/>
  <c r="F1320" i="857"/>
  <c r="F1642" i="857"/>
  <c r="F1364" i="857"/>
  <c r="F1945" i="857"/>
  <c r="F1755" i="857"/>
  <c r="F810" i="857"/>
  <c r="F807" i="857"/>
  <c r="F1714" i="857"/>
  <c r="F1901" i="857"/>
  <c r="F1959" i="857"/>
  <c r="F1593" i="857"/>
  <c r="F1599" i="857"/>
  <c r="F1905" i="857"/>
  <c r="F1648" i="857"/>
  <c r="F1700" i="857"/>
  <c r="F1419" i="857"/>
  <c r="F826" i="857"/>
  <c r="F1917" i="857"/>
  <c r="F2026" i="857"/>
  <c r="F1452" i="857"/>
  <c r="F1504" i="857"/>
  <c r="F1314" i="857"/>
  <c r="F1379" i="857"/>
  <c r="F776" i="857"/>
  <c r="F1416" i="857"/>
  <c r="F2005" i="857"/>
  <c r="F1436" i="857"/>
  <c r="F1354" i="857"/>
  <c r="F1969" i="857"/>
  <c r="F719" i="857"/>
  <c r="BB20" i="106"/>
  <c r="F1579" i="857"/>
  <c r="F767" i="857"/>
  <c r="F1464" i="857"/>
  <c r="F1381" i="857"/>
  <c r="F1743" i="857"/>
  <c r="F1845" i="857"/>
  <c r="F1938" i="857"/>
  <c r="F1967" i="857"/>
  <c r="F1306" i="857"/>
  <c r="F1389" i="857"/>
  <c r="F694" i="857"/>
  <c r="F761" i="857"/>
  <c r="F1777" i="857"/>
  <c r="F1412" i="857"/>
  <c r="F1996" i="857"/>
  <c r="F1429" i="857"/>
  <c r="F1650" i="857"/>
  <c r="F1336" i="857"/>
  <c r="F1403" i="857"/>
  <c r="F1966" i="857"/>
  <c r="F1470" i="857"/>
  <c r="F1972" i="857"/>
  <c r="F789" i="857"/>
  <c r="F1291" i="857"/>
  <c r="F1861" i="857"/>
  <c r="F1910" i="857"/>
  <c r="F1438" i="857"/>
  <c r="F2025" i="857"/>
  <c r="F787" i="857"/>
  <c r="F2020" i="857"/>
  <c r="F1625" i="857"/>
  <c r="F809" i="857"/>
  <c r="F780" i="857"/>
  <c r="F662" i="857"/>
  <c r="F1852" i="857"/>
  <c r="F1323" i="857"/>
  <c r="F1788" i="857"/>
  <c r="F1963" i="857"/>
  <c r="F1466" i="857"/>
  <c r="F1689" i="857"/>
  <c r="F1856" i="857"/>
  <c r="F1327" i="857"/>
  <c r="F1572" i="857"/>
  <c r="F1818" i="857"/>
  <c r="F1431" i="857"/>
  <c r="F1991" i="857"/>
  <c r="F1759" i="857"/>
  <c r="F1911" i="857"/>
  <c r="F1934" i="857"/>
  <c r="F1636" i="857"/>
  <c r="F1363" i="857"/>
  <c r="F1968" i="857"/>
  <c r="F1394" i="857"/>
  <c r="F1424" i="857"/>
  <c r="F1622" i="857"/>
  <c r="F2048" i="857"/>
  <c r="F1559" i="857"/>
  <c r="F2002" i="857"/>
  <c r="F1613" i="857"/>
  <c r="F1866" i="857"/>
  <c r="F722" i="857"/>
  <c r="BB23" i="106"/>
  <c r="F2006" i="857"/>
  <c r="F1496" i="857"/>
  <c r="F676" i="857"/>
  <c r="F774" i="857"/>
  <c r="F1333" i="857"/>
  <c r="F1748" i="857"/>
  <c r="BB32" i="106"/>
  <c r="F731" i="857"/>
  <c r="F1401" i="857"/>
  <c r="F1626" i="857"/>
  <c r="F2015" i="857"/>
  <c r="F1851" i="857"/>
  <c r="F688" i="857"/>
  <c r="F1995" i="857"/>
  <c r="F1449" i="857"/>
  <c r="F1805" i="857"/>
  <c r="F1294" i="857"/>
  <c r="F1838" i="857"/>
  <c r="F1729" i="857"/>
  <c r="F1999" i="857"/>
  <c r="F1997" i="857"/>
  <c r="F1366" i="857"/>
  <c r="F786" i="857"/>
  <c r="F697" i="857"/>
  <c r="F1643" i="857"/>
  <c r="F1916" i="857"/>
  <c r="F686" i="857"/>
  <c r="F1602" i="857"/>
  <c r="F2019" i="857"/>
  <c r="F750" i="857"/>
  <c r="F1979" i="857"/>
  <c r="F1809" i="857"/>
  <c r="F1764" i="857"/>
  <c r="F1597" i="857"/>
  <c r="F1343" i="857"/>
  <c r="F1567" i="857"/>
  <c r="F1590" i="857"/>
  <c r="F1933" i="857"/>
  <c r="F794" i="857"/>
  <c r="F1769" i="857"/>
  <c r="F1768" i="857"/>
  <c r="F1930" i="857"/>
  <c r="F1741" i="857"/>
  <c r="F690" i="857"/>
  <c r="F1735" i="857"/>
  <c r="F2038" i="857"/>
  <c r="F1319" i="857"/>
  <c r="F1785" i="857"/>
  <c r="F1819" i="857"/>
  <c r="F804" i="857"/>
  <c r="F1386" i="857"/>
  <c r="F821" i="857"/>
  <c r="F1859" i="857"/>
  <c r="F1870" i="857"/>
  <c r="F1483" i="857"/>
  <c r="F1675" i="857"/>
  <c r="F1855" i="857"/>
  <c r="F1440" i="857"/>
  <c r="F1980" i="857"/>
  <c r="F1789" i="857"/>
  <c r="F695" i="857"/>
  <c r="F1879" i="857"/>
  <c r="F2046" i="857"/>
  <c r="F1907" i="857"/>
  <c r="F1670" i="857"/>
  <c r="F714" i="857"/>
  <c r="BB15" i="106"/>
  <c r="F799" i="857"/>
  <c r="F1589" i="857"/>
  <c r="F720" i="857"/>
  <c r="F1385" i="857"/>
  <c r="F2033" i="857"/>
  <c r="F1671" i="857"/>
  <c r="F1846" i="857"/>
  <c r="F1695" i="857"/>
  <c r="F1473" i="857"/>
  <c r="F1841" i="857"/>
  <c r="F1503" i="857"/>
  <c r="F667" i="857"/>
  <c r="F791" i="857"/>
  <c r="F2001" i="857"/>
  <c r="F1811" i="857"/>
  <c r="F1566" i="857"/>
  <c r="F1737" i="857"/>
  <c r="F1946" i="857"/>
  <c r="F1782" i="857"/>
  <c r="F1461" i="857"/>
  <c r="F1286" i="857"/>
  <c r="F2018" i="857"/>
  <c r="F1772" i="857"/>
  <c r="F1398" i="857"/>
  <c r="BB46" i="106"/>
  <c r="F745" i="857"/>
  <c r="F727" i="857"/>
  <c r="BB28" i="106"/>
  <c r="F1686" i="857"/>
  <c r="F2010" i="857"/>
  <c r="F1914" i="857"/>
  <c r="F1786" i="857"/>
  <c r="F1702" i="857"/>
  <c r="F1353" i="857"/>
  <c r="F1812" i="857"/>
  <c r="F2043" i="857"/>
  <c r="F1481" i="857"/>
  <c r="F1900" i="857"/>
  <c r="F692" i="857"/>
  <c r="F1633" i="857"/>
  <c r="F834" i="857"/>
  <c r="F668" i="857"/>
  <c r="F1793" i="857"/>
  <c r="F674" i="857"/>
  <c r="F1358" i="857"/>
  <c r="F1750" i="857"/>
  <c r="F831" i="857"/>
  <c r="F1718" i="857"/>
  <c r="F1408" i="857"/>
  <c r="F1393" i="857"/>
  <c r="F1734" i="857"/>
  <c r="F1328" i="857"/>
  <c r="F1953" i="857"/>
  <c r="F1454" i="857"/>
  <c r="F1301" i="857"/>
  <c r="F1701" i="857"/>
  <c r="F1965" i="857"/>
  <c r="BB14" i="106"/>
  <c r="C41" i="688"/>
  <c r="B41" i="688" s="1"/>
  <c r="C30" i="688"/>
  <c r="B30" i="688" s="1"/>
  <c r="C31" i="688"/>
  <c r="B31" i="688" s="1"/>
  <c r="C32" i="688"/>
  <c r="B32" i="688" s="1"/>
  <c r="C33" i="688"/>
  <c r="B33" i="688" s="1"/>
  <c r="C34" i="688"/>
  <c r="B34" i="688" s="1"/>
  <c r="C35" i="688"/>
  <c r="B35" i="688" s="1"/>
  <c r="C36" i="688"/>
  <c r="B36" i="688" s="1"/>
  <c r="C37" i="688"/>
  <c r="B37" i="688" s="1"/>
  <c r="C38" i="688"/>
  <c r="B38" i="688" s="1"/>
  <c r="C39" i="688"/>
  <c r="B39" i="688" s="1"/>
  <c r="C40" i="688"/>
  <c r="B40" i="688" s="1"/>
  <c r="C29" i="688"/>
  <c r="B29" i="688" s="1"/>
  <c r="C40" i="107"/>
  <c r="B66" i="794"/>
  <c r="D37" i="107"/>
  <c r="D38" i="107"/>
  <c r="I19" i="688"/>
  <c r="F58" i="39"/>
  <c r="CG58" i="528"/>
  <c r="CG57" i="528"/>
  <c r="CG56" i="528"/>
  <c r="CE54" i="528"/>
  <c r="CE53" i="528"/>
  <c r="CE52" i="528"/>
  <c r="CF51" i="528"/>
  <c r="CF50" i="528"/>
  <c r="CF49" i="528"/>
  <c r="CE75" i="528"/>
  <c r="CE74" i="528"/>
  <c r="CG73" i="528"/>
  <c r="CF73" i="528"/>
  <c r="CE73" i="528"/>
  <c r="CG72" i="528"/>
  <c r="CF72" i="528"/>
  <c r="CE72" i="528"/>
  <c r="CG71" i="528"/>
  <c r="CF71" i="528"/>
  <c r="CE71" i="528"/>
  <c r="CG70" i="528"/>
  <c r="CF70" i="528"/>
  <c r="CE70" i="528"/>
  <c r="CH69" i="528"/>
  <c r="CG69" i="528"/>
  <c r="CF69" i="528"/>
  <c r="CE69" i="528"/>
  <c r="CG68" i="528"/>
  <c r="CF68" i="528"/>
  <c r="CE68" i="528"/>
  <c r="CG67" i="528"/>
  <c r="CF67" i="528"/>
  <c r="CE67" i="528"/>
  <c r="CH66" i="528"/>
  <c r="CG66" i="528"/>
  <c r="CF66" i="528"/>
  <c r="CE66" i="528"/>
  <c r="CI42" i="528"/>
  <c r="CH42" i="528"/>
  <c r="CH43" i="528" s="1"/>
  <c r="CH44" i="528" s="1"/>
  <c r="CG42" i="528"/>
  <c r="CG43" i="528" s="1"/>
  <c r="CG44" i="528" s="1"/>
  <c r="CF42" i="528"/>
  <c r="CF43" i="528" s="1"/>
  <c r="CF44" i="528" s="1"/>
  <c r="CE42" i="528"/>
  <c r="CE43" i="528" s="1"/>
  <c r="CE44" i="528" s="1"/>
  <c r="CH23" i="528"/>
  <c r="CH24" i="528" s="1"/>
  <c r="CH25" i="528" s="1"/>
  <c r="CG23" i="528"/>
  <c r="CG24" i="528" s="1"/>
  <c r="CG25" i="528" s="1"/>
  <c r="CF23" i="528"/>
  <c r="CF24" i="528" s="1"/>
  <c r="CF25" i="528" s="1"/>
  <c r="O5" i="688"/>
  <c r="D7" i="107"/>
  <c r="FO15" i="227" s="1"/>
  <c r="D10" i="107"/>
  <c r="FO18" i="227" s="1"/>
  <c r="FP47" i="227"/>
  <c r="FP48" i="227"/>
  <c r="I377" i="529"/>
  <c r="F378" i="529"/>
  <c r="DD16" i="528"/>
  <c r="DD17" i="528"/>
  <c r="EH7" i="227" l="1"/>
  <c r="FO42" i="227"/>
  <c r="FO43" i="227"/>
  <c r="EL7" i="227"/>
  <c r="BB21" i="106"/>
  <c r="A40" i="107"/>
  <c r="B63" i="794"/>
  <c r="B64" i="794"/>
  <c r="B65" i="794"/>
  <c r="BB24" i="106" l="1"/>
  <c r="N40" i="689"/>
  <c r="N41" i="689"/>
  <c r="N47" i="689"/>
  <c r="B25" i="107"/>
  <c r="B26" i="107"/>
  <c r="B28" i="107"/>
  <c r="B23" i="107"/>
  <c r="B17" i="107"/>
  <c r="B11" i="107"/>
  <c r="B7" i="107"/>
  <c r="B10" i="107"/>
  <c r="A23" i="107"/>
  <c r="C24" i="107"/>
  <c r="B48" i="794" s="1"/>
  <c r="C25" i="107"/>
  <c r="B49" i="794" s="1"/>
  <c r="C26" i="107"/>
  <c r="B50" i="794" s="1"/>
  <c r="C27" i="107"/>
  <c r="B51" i="794" s="1"/>
  <c r="C28" i="107"/>
  <c r="B52" i="794" s="1"/>
  <c r="C23" i="107"/>
  <c r="B47" i="794" s="1"/>
  <c r="C18" i="107"/>
  <c r="B45" i="794" s="1"/>
  <c r="C19" i="107"/>
  <c r="B46" i="794" s="1"/>
  <c r="C17" i="107"/>
  <c r="B44" i="794" s="1"/>
  <c r="B74" i="689"/>
  <c r="B53" i="689"/>
  <c r="B32" i="689"/>
  <c r="Q8" i="689"/>
  <c r="BB25" i="106" l="1"/>
  <c r="A49" i="794"/>
  <c r="A50" i="794"/>
  <c r="A44" i="794"/>
  <c r="A47" i="794"/>
  <c r="A52" i="794"/>
  <c r="A38" i="794"/>
  <c r="A37" i="794"/>
  <c r="A34" i="794"/>
  <c r="M9" i="689"/>
  <c r="N9" i="689" s="1"/>
  <c r="M6" i="689"/>
  <c r="FP31" i="227"/>
  <c r="D26" i="107"/>
  <c r="FP26" i="227"/>
  <c r="D18" i="107"/>
  <c r="FP28" i="227"/>
  <c r="D23" i="107"/>
  <c r="FP33" i="227"/>
  <c r="D28" i="107"/>
  <c r="FP32" i="227"/>
  <c r="D27" i="107"/>
  <c r="FP30" i="227"/>
  <c r="D25" i="107"/>
  <c r="FP25" i="227"/>
  <c r="D17" i="107"/>
  <c r="FP29" i="227"/>
  <c r="D24" i="107"/>
  <c r="FP27" i="227"/>
  <c r="D19" i="107"/>
  <c r="BB26" i="106" l="1"/>
  <c r="M17" i="689"/>
  <c r="CH7" i="227"/>
  <c r="FO29" i="227"/>
  <c r="CX7" i="227"/>
  <c r="FO33" i="227"/>
  <c r="FO25" i="227"/>
  <c r="BR7" i="227"/>
  <c r="FO28" i="227"/>
  <c r="CD7" i="227"/>
  <c r="FO30" i="227"/>
  <c r="CL7" i="227"/>
  <c r="FO26" i="227"/>
  <c r="BV7" i="227"/>
  <c r="FO32" i="227"/>
  <c r="CT7" i="227"/>
  <c r="CP7" i="227"/>
  <c r="FO31" i="227"/>
  <c r="BZ7" i="227"/>
  <c r="FO27" i="227"/>
  <c r="D3" i="687"/>
  <c r="B118" i="687"/>
  <c r="B117" i="687"/>
  <c r="B109" i="687"/>
  <c r="B108" i="687"/>
  <c r="B94" i="687"/>
  <c r="B93" i="687"/>
  <c r="B92" i="687"/>
  <c r="B91" i="687"/>
  <c r="P84" i="687"/>
  <c r="M84" i="687"/>
  <c r="M20" i="687" s="1"/>
  <c r="M118" i="687" s="1"/>
  <c r="L84" i="687"/>
  <c r="L20" i="687" s="1"/>
  <c r="L118" i="687" s="1"/>
  <c r="K84" i="687"/>
  <c r="K20" i="687" s="1"/>
  <c r="K122" i="687" s="1"/>
  <c r="J84" i="687"/>
  <c r="J20" i="687" s="1"/>
  <c r="J118" i="687" s="1"/>
  <c r="H84" i="687"/>
  <c r="I84" i="687" s="1"/>
  <c r="I20" i="687" s="1"/>
  <c r="G84" i="687"/>
  <c r="G20" i="687" s="1"/>
  <c r="G118" i="687" s="1"/>
  <c r="F84" i="687"/>
  <c r="F20" i="687" s="1"/>
  <c r="K73" i="687"/>
  <c r="I73" i="687"/>
  <c r="K63" i="687"/>
  <c r="I63" i="687"/>
  <c r="F53" i="687"/>
  <c r="K45" i="687"/>
  <c r="R42" i="687"/>
  <c r="R120" i="687" s="1"/>
  <c r="Q42" i="687"/>
  <c r="Q120" i="687" s="1"/>
  <c r="P42" i="687"/>
  <c r="M42" i="687"/>
  <c r="L42" i="687"/>
  <c r="K42" i="687"/>
  <c r="H42" i="687"/>
  <c r="E42" i="687"/>
  <c r="B40" i="687"/>
  <c r="B39" i="687"/>
  <c r="N35" i="687"/>
  <c r="K35" i="687"/>
  <c r="J35" i="687"/>
  <c r="I35" i="687"/>
  <c r="B31" i="687"/>
  <c r="B30" i="687"/>
  <c r="N29" i="687"/>
  <c r="M29" i="687"/>
  <c r="K29" i="687"/>
  <c r="J29" i="687"/>
  <c r="I29" i="687"/>
  <c r="G21" i="687"/>
  <c r="R20" i="687"/>
  <c r="R118" i="687" s="1"/>
  <c r="Q20" i="687"/>
  <c r="Q118" i="687" s="1"/>
  <c r="P20" i="687"/>
  <c r="P118" i="687" s="1"/>
  <c r="O20" i="687"/>
  <c r="O118" i="687" s="1"/>
  <c r="E20" i="687"/>
  <c r="E118" i="687" s="1"/>
  <c r="E61" i="687"/>
  <c r="E70" i="687"/>
  <c r="D61" i="687"/>
  <c r="D70" i="687"/>
  <c r="BB29" i="106" l="1"/>
  <c r="D70" i="688" s="1" a="1"/>
  <c r="D70" i="688" s="1"/>
  <c r="K113" i="687"/>
  <c r="K107" i="687"/>
  <c r="M120" i="687"/>
  <c r="J107" i="687"/>
  <c r="H20" i="687"/>
  <c r="H118" i="687" s="1"/>
  <c r="M107" i="687"/>
  <c r="P120" i="687"/>
  <c r="E120" i="687"/>
  <c r="K120" i="687"/>
  <c r="K123" i="687" s="1"/>
  <c r="J113" i="687"/>
  <c r="L120" i="687"/>
  <c r="O108" i="687"/>
  <c r="O35" i="687"/>
  <c r="O29" i="687"/>
  <c r="O107" i="687" s="1"/>
  <c r="I118" i="687"/>
  <c r="I117" i="687"/>
  <c r="I122" i="687"/>
  <c r="I112" i="687"/>
  <c r="I111" i="687"/>
  <c r="I110" i="687"/>
  <c r="I109" i="687"/>
  <c r="I108" i="687"/>
  <c r="I113" i="687"/>
  <c r="I107" i="687"/>
  <c r="F109" i="687"/>
  <c r="F118" i="687"/>
  <c r="F117" i="687"/>
  <c r="M108" i="687"/>
  <c r="L109" i="687"/>
  <c r="L115" i="687"/>
  <c r="L116" i="687"/>
  <c r="K117" i="687"/>
  <c r="K118" i="687"/>
  <c r="L119" i="687"/>
  <c r="L122" i="687"/>
  <c r="D93" i="687"/>
  <c r="D90" i="687" s="1"/>
  <c r="E109" i="687"/>
  <c r="M109" i="687"/>
  <c r="M110" i="687"/>
  <c r="M111" i="687"/>
  <c r="E115" i="687"/>
  <c r="M115" i="687"/>
  <c r="E116" i="687"/>
  <c r="M116" i="687"/>
  <c r="L117" i="687"/>
  <c r="E119" i="687"/>
  <c r="M119" i="687"/>
  <c r="E122" i="687"/>
  <c r="M122" i="687"/>
  <c r="M117" i="687"/>
  <c r="D96" i="687"/>
  <c r="G109" i="687"/>
  <c r="O109" i="687"/>
  <c r="O110" i="687"/>
  <c r="O111" i="687"/>
  <c r="O112" i="687"/>
  <c r="O116" i="687"/>
  <c r="G122" i="687"/>
  <c r="E117" i="687"/>
  <c r="P109" i="687"/>
  <c r="P115" i="687"/>
  <c r="P116" i="687"/>
  <c r="G117" i="687"/>
  <c r="O117" i="687"/>
  <c r="P119" i="687"/>
  <c r="P122" i="687"/>
  <c r="D97" i="687"/>
  <c r="J108" i="687"/>
  <c r="Q109" i="687"/>
  <c r="Q110" i="687"/>
  <c r="Q111" i="687"/>
  <c r="Q112" i="687"/>
  <c r="Q115" i="687"/>
  <c r="Q116" i="687"/>
  <c r="P117" i="687"/>
  <c r="Q119" i="687"/>
  <c r="Q122" i="687"/>
  <c r="K108" i="687"/>
  <c r="J109" i="687"/>
  <c r="R109" i="687"/>
  <c r="J110" i="687"/>
  <c r="R110" i="687"/>
  <c r="J111" i="687"/>
  <c r="R111" i="687"/>
  <c r="J112" i="687"/>
  <c r="R112" i="687"/>
  <c r="R115" i="687"/>
  <c r="R116" i="687"/>
  <c r="Q117" i="687"/>
  <c r="R119" i="687"/>
  <c r="R122" i="687"/>
  <c r="K109" i="687"/>
  <c r="K110" i="687"/>
  <c r="K111" i="687"/>
  <c r="K112" i="687"/>
  <c r="K115" i="687"/>
  <c r="K116" i="687"/>
  <c r="J117" i="687"/>
  <c r="R117" i="687"/>
  <c r="K119" i="687"/>
  <c r="C316" i="529"/>
  <c r="D315" i="529" s="1"/>
  <c r="C315" i="529"/>
  <c r="D323" i="529"/>
  <c r="D470" i="529"/>
  <c r="D473" i="529" s="1"/>
  <c r="D350" i="529"/>
  <c r="D353" i="529" s="1"/>
  <c r="G349" i="529"/>
  <c r="K337" i="529"/>
  <c r="J377" i="529" s="1"/>
  <c r="J407" i="529" s="1"/>
  <c r="G338" i="529"/>
  <c r="D340" i="529"/>
  <c r="D343" i="529" s="1"/>
  <c r="D330" i="529"/>
  <c r="D333" i="529" s="1"/>
  <c r="D7" i="686"/>
  <c r="D5" i="686"/>
  <c r="D3" i="686"/>
  <c r="C3" i="686"/>
  <c r="C10" i="527" s="1"/>
  <c r="D6" i="686"/>
  <c r="C6" i="686"/>
  <c r="D2" i="686"/>
  <c r="D4" i="686" s="1"/>
  <c r="C2" i="686"/>
  <c r="C466" i="529"/>
  <c r="D465" i="529" s="1"/>
  <c r="C465" i="529"/>
  <c r="C456" i="529"/>
  <c r="D455" i="529" s="1"/>
  <c r="C455" i="529"/>
  <c r="D463" i="529"/>
  <c r="C446" i="529"/>
  <c r="D445" i="529" s="1"/>
  <c r="C445" i="529"/>
  <c r="D453" i="529"/>
  <c r="C436" i="529"/>
  <c r="D435" i="529" s="1"/>
  <c r="C435" i="529"/>
  <c r="D443" i="529"/>
  <c r="C426" i="529"/>
  <c r="D425" i="529" s="1"/>
  <c r="C425" i="529"/>
  <c r="C416" i="529"/>
  <c r="D415" i="529" s="1"/>
  <c r="C415" i="529"/>
  <c r="C376" i="529"/>
  <c r="D375" i="529" s="1"/>
  <c r="C375" i="529"/>
  <c r="C366" i="529"/>
  <c r="D365" i="529" s="1"/>
  <c r="C365" i="529"/>
  <c r="C356" i="529"/>
  <c r="D355" i="529" s="1"/>
  <c r="C355" i="529"/>
  <c r="C346" i="529"/>
  <c r="D345" i="529" s="1"/>
  <c r="C345" i="529"/>
  <c r="C336" i="529"/>
  <c r="D335" i="529" s="1"/>
  <c r="C335" i="529"/>
  <c r="C326" i="529"/>
  <c r="D325" i="529" s="1"/>
  <c r="C325" i="529"/>
  <c r="C306" i="529"/>
  <c r="D305" i="529" s="1"/>
  <c r="C305" i="529"/>
  <c r="C296" i="529"/>
  <c r="D295" i="529" s="1"/>
  <c r="C295" i="529"/>
  <c r="AZ19" i="528"/>
  <c r="AX19" i="528"/>
  <c r="AZ18" i="528"/>
  <c r="AX18" i="528"/>
  <c r="AZ15" i="528"/>
  <c r="AY15" i="528"/>
  <c r="AX15" i="528"/>
  <c r="AZ14" i="528"/>
  <c r="AY14" i="528"/>
  <c r="AX14" i="528"/>
  <c r="AZ13" i="528"/>
  <c r="AY13" i="528"/>
  <c r="AX13" i="528"/>
  <c r="AZ11" i="528"/>
  <c r="AX11" i="528"/>
  <c r="E53" i="39"/>
  <c r="R122" i="99"/>
  <c r="Q122" i="99"/>
  <c r="E122" i="99"/>
  <c r="R120" i="99"/>
  <c r="Q120" i="99"/>
  <c r="E120" i="99"/>
  <c r="R119" i="99"/>
  <c r="Q119" i="99"/>
  <c r="E119" i="99"/>
  <c r="R118" i="99"/>
  <c r="Q118" i="99"/>
  <c r="O118" i="99"/>
  <c r="E118" i="99"/>
  <c r="R117" i="99"/>
  <c r="Q117" i="99"/>
  <c r="O117" i="99"/>
  <c r="E117" i="99"/>
  <c r="R116" i="99"/>
  <c r="Q116" i="99"/>
  <c r="O116" i="99"/>
  <c r="E116" i="99"/>
  <c r="R115" i="99"/>
  <c r="Q115" i="99"/>
  <c r="E115" i="99"/>
  <c r="R112" i="99"/>
  <c r="Q112" i="99"/>
  <c r="O112" i="99"/>
  <c r="R111" i="99"/>
  <c r="Q111" i="99"/>
  <c r="O111" i="99"/>
  <c r="R110" i="99"/>
  <c r="Q110" i="99"/>
  <c r="O110" i="99"/>
  <c r="R109" i="99"/>
  <c r="Q109" i="99"/>
  <c r="O109" i="99"/>
  <c r="E109" i="99"/>
  <c r="B118" i="99"/>
  <c r="B117" i="99"/>
  <c r="B109" i="99"/>
  <c r="B108" i="99"/>
  <c r="B94" i="99"/>
  <c r="B93" i="99"/>
  <c r="B92" i="99"/>
  <c r="B91" i="99"/>
  <c r="B40" i="99"/>
  <c r="B39" i="99"/>
  <c r="I29" i="99"/>
  <c r="J29" i="99"/>
  <c r="K29" i="99"/>
  <c r="M29" i="99"/>
  <c r="N29" i="99"/>
  <c r="B30" i="99"/>
  <c r="B31" i="99"/>
  <c r="R20" i="99"/>
  <c r="Q20" i="99"/>
  <c r="O20" i="99"/>
  <c r="E20" i="99"/>
  <c r="N70" i="687"/>
  <c r="G70" i="687"/>
  <c r="O70" i="687"/>
  <c r="H70" i="687"/>
  <c r="J70" i="687"/>
  <c r="L70" i="687"/>
  <c r="M70" i="687"/>
  <c r="F70" i="687"/>
  <c r="E70" i="688" l="1"/>
  <c r="F70" i="688"/>
  <c r="D34" i="107"/>
  <c r="K34" i="107"/>
  <c r="K10" i="849"/>
  <c r="G70" i="688"/>
  <c r="D67" i="688" a="1"/>
  <c r="D67" i="688" s="1"/>
  <c r="F67" i="688" s="1"/>
  <c r="D68" i="688" a="1"/>
  <c r="D68" i="688" s="1"/>
  <c r="F68" i="688" s="1"/>
  <c r="D64" i="688" a="1"/>
  <c r="D64" i="688" s="1"/>
  <c r="D73" i="688" a="1"/>
  <c r="D73" i="688" s="1"/>
  <c r="F73" i="688" s="1"/>
  <c r="D66" i="688" a="1"/>
  <c r="D66" i="688" s="1"/>
  <c r="F66" i="688" s="1"/>
  <c r="D74" i="688" a="1"/>
  <c r="D74" i="688" s="1"/>
  <c r="F74" i="688" s="1"/>
  <c r="D65" i="688" a="1"/>
  <c r="D65" i="688" s="1"/>
  <c r="F65" i="688" s="1"/>
  <c r="D69" i="688" a="1"/>
  <c r="D69" i="688" s="1"/>
  <c r="F69" i="688" s="1"/>
  <c r="D72" i="688" a="1"/>
  <c r="D72" i="688" s="1"/>
  <c r="F72" i="688" s="1"/>
  <c r="D71" i="688" a="1"/>
  <c r="D71" i="688" s="1"/>
  <c r="F71" i="688" s="1"/>
  <c r="D75" i="688" a="1"/>
  <c r="D75" i="688" s="1"/>
  <c r="F75" i="688" s="1"/>
  <c r="H116" i="687"/>
  <c r="H117" i="687"/>
  <c r="H115" i="687"/>
  <c r="H120" i="687"/>
  <c r="H119" i="687"/>
  <c r="H109" i="687"/>
  <c r="DV7" i="227"/>
  <c r="FO39" i="227"/>
  <c r="Q70" i="687"/>
  <c r="P70" i="687"/>
  <c r="A481" i="529"/>
  <c r="A360" i="529"/>
  <c r="A352" i="529"/>
  <c r="A372" i="529"/>
  <c r="A322" i="529"/>
  <c r="A321" i="529"/>
  <c r="A320" i="529"/>
  <c r="A311" i="529"/>
  <c r="A312" i="529"/>
  <c r="A310" i="529"/>
  <c r="A361" i="529"/>
  <c r="A362" i="529"/>
  <c r="A432" i="529"/>
  <c r="A431" i="529"/>
  <c r="A430" i="529"/>
  <c r="A461" i="529"/>
  <c r="A462" i="529"/>
  <c r="A460" i="529"/>
  <c r="A331" i="529"/>
  <c r="A330" i="529"/>
  <c r="A332" i="529"/>
  <c r="A371" i="529"/>
  <c r="A370" i="529"/>
  <c r="A441" i="529"/>
  <c r="A442" i="529"/>
  <c r="A440" i="529"/>
  <c r="A471" i="529"/>
  <c r="A472" i="529"/>
  <c r="A470" i="529"/>
  <c r="A340" i="529"/>
  <c r="A341" i="529"/>
  <c r="A342" i="529"/>
  <c r="A301" i="529"/>
  <c r="A302" i="529"/>
  <c r="A300" i="529"/>
  <c r="A351" i="529"/>
  <c r="A350" i="529"/>
  <c r="A422" i="529"/>
  <c r="A420" i="529"/>
  <c r="A421" i="529"/>
  <c r="A450" i="529"/>
  <c r="A452" i="529"/>
  <c r="A451" i="529"/>
  <c r="A381" i="529"/>
  <c r="A382" i="529"/>
  <c r="A380" i="529"/>
  <c r="O115" i="687"/>
  <c r="O113" i="687"/>
  <c r="C20" i="685"/>
  <c r="C21" i="685"/>
  <c r="C22" i="685"/>
  <c r="C19" i="685"/>
  <c r="H15" i="685"/>
  <c r="D40" i="107"/>
  <c r="A16" i="107"/>
  <c r="B16" i="107" s="1"/>
  <c r="C16" i="107"/>
  <c r="B43" i="794" s="1"/>
  <c r="C12" i="107"/>
  <c r="B39" i="794" s="1"/>
  <c r="C13" i="107"/>
  <c r="B40" i="794" s="1"/>
  <c r="C14" i="107"/>
  <c r="B41" i="794" s="1"/>
  <c r="C15" i="107"/>
  <c r="B42" i="794" s="1"/>
  <c r="C11" i="107"/>
  <c r="B38" i="794" s="1"/>
  <c r="B192" i="529"/>
  <c r="B166" i="529"/>
  <c r="B135" i="529"/>
  <c r="B109" i="529"/>
  <c r="B83" i="529"/>
  <c r="B57" i="529"/>
  <c r="B31" i="529"/>
  <c r="AM75" i="528"/>
  <c r="AM54" i="528"/>
  <c r="F130" i="857" s="1"/>
  <c r="AM53" i="528"/>
  <c r="F129" i="857" s="1"/>
  <c r="AM52" i="528"/>
  <c r="F128" i="857" s="1"/>
  <c r="AN51" i="528"/>
  <c r="F134" i="857" s="1"/>
  <c r="AN50" i="528"/>
  <c r="F133" i="857" s="1"/>
  <c r="AN49" i="528"/>
  <c r="F132" i="857" s="1"/>
  <c r="D82" i="849"/>
  <c r="D70" i="849"/>
  <c r="D44" i="849"/>
  <c r="D84" i="849"/>
  <c r="D136" i="849" l="1"/>
  <c r="K10" i="845"/>
  <c r="E66" i="688"/>
  <c r="K10" i="854"/>
  <c r="E75" i="688"/>
  <c r="K10" i="843"/>
  <c r="E65" i="688"/>
  <c r="K10" i="850"/>
  <c r="E71" i="688"/>
  <c r="K10" i="847"/>
  <c r="E68" i="688"/>
  <c r="K10" i="851"/>
  <c r="E72" i="688"/>
  <c r="K10" i="846"/>
  <c r="E67" i="688"/>
  <c r="K10" i="848"/>
  <c r="E69" i="688"/>
  <c r="K10" i="853"/>
  <c r="E74" i="688"/>
  <c r="K10" i="852"/>
  <c r="E73" i="688"/>
  <c r="K10" i="734"/>
  <c r="D111" i="849"/>
  <c r="D129" i="849"/>
  <c r="D119" i="849"/>
  <c r="D115" i="849"/>
  <c r="D114" i="849"/>
  <c r="D117" i="849"/>
  <c r="D127" i="849"/>
  <c r="D130" i="849"/>
  <c r="D124" i="849"/>
  <c r="D120" i="849"/>
  <c r="D128" i="849"/>
  <c r="D131" i="849"/>
  <c r="D125" i="849"/>
  <c r="D126" i="849"/>
  <c r="D112" i="849"/>
  <c r="D133" i="849"/>
  <c r="G73" i="688"/>
  <c r="D134" i="849"/>
  <c r="G71" i="688"/>
  <c r="G74" i="688"/>
  <c r="D113" i="849"/>
  <c r="D116" i="849"/>
  <c r="D118" i="849"/>
  <c r="G72" i="688"/>
  <c r="D121" i="849"/>
  <c r="D135" i="849"/>
  <c r="G75" i="688"/>
  <c r="D132" i="849"/>
  <c r="ET7" i="227"/>
  <c r="FO45" i="227"/>
  <c r="A43" i="794"/>
  <c r="FP19" i="227"/>
  <c r="D11" i="107"/>
  <c r="FP21" i="227"/>
  <c r="D13" i="107"/>
  <c r="FP20" i="227"/>
  <c r="D12" i="107"/>
  <c r="FP22" i="227"/>
  <c r="D14" i="107"/>
  <c r="D16" i="107"/>
  <c r="FP24" i="227"/>
  <c r="D15" i="107"/>
  <c r="FP23" i="227"/>
  <c r="A12" i="107"/>
  <c r="B12" i="107" s="1"/>
  <c r="A28" i="107"/>
  <c r="O119" i="687"/>
  <c r="O42" i="687"/>
  <c r="O120" i="687" s="1"/>
  <c r="B6" i="529"/>
  <c r="O48" i="39"/>
  <c r="Q48" i="39" s="1"/>
  <c r="C275" i="529"/>
  <c r="B275" i="529"/>
  <c r="C249" i="529"/>
  <c r="C224" i="529"/>
  <c r="B249" i="529"/>
  <c r="B224" i="529"/>
  <c r="J60" i="39"/>
  <c r="I60" i="39" s="1"/>
  <c r="J59" i="39"/>
  <c r="I59" i="39" s="1"/>
  <c r="G57" i="39"/>
  <c r="F59" i="39"/>
  <c r="F60" i="39"/>
  <c r="H38" i="107" s="1"/>
  <c r="I38" i="107" s="1"/>
  <c r="AJ42" i="528"/>
  <c r="AI42" i="528"/>
  <c r="AI43" i="528" s="1"/>
  <c r="AI44" i="528" s="1"/>
  <c r="AH42" i="528"/>
  <c r="AH43" i="528" s="1"/>
  <c r="AH44" i="528" s="1"/>
  <c r="AG42" i="528"/>
  <c r="AG43" i="528" s="1"/>
  <c r="AG44" i="528" s="1"/>
  <c r="AF42" i="528"/>
  <c r="AF43" i="528" s="1"/>
  <c r="AF44" i="528" s="1"/>
  <c r="AI23" i="528"/>
  <c r="AI24" i="528" s="1"/>
  <c r="AI25" i="528" s="1"/>
  <c r="AH23" i="528"/>
  <c r="AH24" i="528" s="1"/>
  <c r="AH25" i="528" s="1"/>
  <c r="AG23" i="528"/>
  <c r="AG24" i="528" s="1"/>
  <c r="AG25" i="528" s="1"/>
  <c r="O10" i="39"/>
  <c r="Q10" i="39" s="1"/>
  <c r="D42" i="845"/>
  <c r="D42" i="849"/>
  <c r="D44" i="851"/>
  <c r="D42" i="848"/>
  <c r="D22" i="843"/>
  <c r="D10" i="852"/>
  <c r="D82" i="853"/>
  <c r="D82" i="847"/>
  <c r="D84" i="850"/>
  <c r="D42" i="846"/>
  <c r="D8" i="854"/>
  <c r="J74" i="854"/>
  <c r="D70" i="854"/>
  <c r="D84" i="734"/>
  <c r="D133" i="854" l="1"/>
  <c r="D128" i="853"/>
  <c r="D113" i="852"/>
  <c r="D131" i="851"/>
  <c r="D121" i="850"/>
  <c r="D112" i="851"/>
  <c r="D127" i="852"/>
  <c r="D128" i="854"/>
  <c r="D129" i="854"/>
  <c r="D124" i="852"/>
  <c r="D127" i="854"/>
  <c r="D119" i="851"/>
  <c r="D111" i="854"/>
  <c r="D119" i="854"/>
  <c r="D112" i="854"/>
  <c r="D131" i="854"/>
  <c r="D114" i="854"/>
  <c r="D120" i="854"/>
  <c r="D135" i="854"/>
  <c r="D127" i="851"/>
  <c r="D113" i="851"/>
  <c r="D115" i="852"/>
  <c r="D125" i="851"/>
  <c r="D116" i="854"/>
  <c r="D130" i="854"/>
  <c r="D126" i="854"/>
  <c r="D126" i="851"/>
  <c r="D125" i="852"/>
  <c r="D134" i="854"/>
  <c r="D117" i="851"/>
  <c r="D120" i="851"/>
  <c r="D128" i="851"/>
  <c r="D115" i="851"/>
  <c r="D125" i="854"/>
  <c r="D111" i="852"/>
  <c r="D136" i="854"/>
  <c r="D116" i="851"/>
  <c r="D124" i="854"/>
  <c r="D132" i="854"/>
  <c r="D132" i="852"/>
  <c r="D113" i="854"/>
  <c r="D118" i="851"/>
  <c r="D116" i="852"/>
  <c r="D132" i="851"/>
  <c r="D117" i="854"/>
  <c r="D124" i="851"/>
  <c r="D118" i="854"/>
  <c r="D115" i="854"/>
  <c r="D114" i="851"/>
  <c r="D111" i="851"/>
  <c r="D121" i="854"/>
  <c r="D136" i="852"/>
  <c r="D129" i="851"/>
  <c r="D113" i="853"/>
  <c r="D134" i="851"/>
  <c r="D117" i="852"/>
  <c r="D120" i="852"/>
  <c r="D121" i="851"/>
  <c r="D133" i="852"/>
  <c r="D119" i="852"/>
  <c r="D130" i="851"/>
  <c r="D126" i="852"/>
  <c r="D131" i="852"/>
  <c r="D135" i="852"/>
  <c r="D129" i="852"/>
  <c r="D114" i="852"/>
  <c r="D121" i="852"/>
  <c r="D112" i="852"/>
  <c r="D134" i="852"/>
  <c r="D130" i="852"/>
  <c r="D134" i="853"/>
  <c r="D125" i="853"/>
  <c r="D135" i="853"/>
  <c r="D116" i="853"/>
  <c r="D120" i="853"/>
  <c r="D132" i="853"/>
  <c r="D117" i="853"/>
  <c r="D112" i="853"/>
  <c r="D136" i="853"/>
  <c r="D124" i="853"/>
  <c r="D130" i="853"/>
  <c r="D121" i="853"/>
  <c r="D111" i="853"/>
  <c r="D129" i="853"/>
  <c r="D115" i="853"/>
  <c r="D133" i="853"/>
  <c r="D118" i="853"/>
  <c r="D119" i="853"/>
  <c r="D127" i="853"/>
  <c r="D126" i="853"/>
  <c r="D114" i="853"/>
  <c r="D131" i="853"/>
  <c r="D135" i="851"/>
  <c r="D130" i="850"/>
  <c r="D131" i="850"/>
  <c r="D133" i="851"/>
  <c r="D118" i="852"/>
  <c r="D128" i="852"/>
  <c r="D136" i="851"/>
  <c r="D120" i="850"/>
  <c r="D136" i="850"/>
  <c r="D128" i="850"/>
  <c r="D115" i="850"/>
  <c r="D127" i="850"/>
  <c r="D119" i="850"/>
  <c r="D129" i="850"/>
  <c r="D112" i="850"/>
  <c r="D135" i="850"/>
  <c r="D125" i="850"/>
  <c r="D133" i="850"/>
  <c r="D118" i="850"/>
  <c r="D116" i="850"/>
  <c r="D134" i="850"/>
  <c r="D117" i="850"/>
  <c r="D132" i="850"/>
  <c r="D113" i="850"/>
  <c r="D114" i="850"/>
  <c r="D111" i="850"/>
  <c r="D126" i="850"/>
  <c r="D124" i="850"/>
  <c r="M10" i="689"/>
  <c r="N10" i="689" s="1"/>
  <c r="A39" i="794"/>
  <c r="M11" i="689"/>
  <c r="N11" i="689" s="1"/>
  <c r="M15" i="689"/>
  <c r="N15" i="689" s="1"/>
  <c r="AX7" i="227"/>
  <c r="FO20" i="227"/>
  <c r="BB7" i="227"/>
  <c r="FO21" i="227"/>
  <c r="FO19" i="227"/>
  <c r="AT7" i="227"/>
  <c r="H37" i="107"/>
  <c r="I37" i="107" s="1"/>
  <c r="F61" i="39"/>
  <c r="BF7" i="227"/>
  <c r="FO22" i="227"/>
  <c r="BJ7" i="227"/>
  <c r="FO23" i="227"/>
  <c r="BN7" i="227"/>
  <c r="FO24" i="227"/>
  <c r="A24" i="107"/>
  <c r="B24" i="107" s="1"/>
  <c r="C4" i="107"/>
  <c r="B31" i="794" s="1"/>
  <c r="C5" i="107"/>
  <c r="B32" i="794" s="1"/>
  <c r="C6" i="107"/>
  <c r="B33" i="794" s="1"/>
  <c r="C7" i="107"/>
  <c r="B34" i="794" s="1"/>
  <c r="C8" i="107"/>
  <c r="B35" i="794" s="1"/>
  <c r="C9" i="107"/>
  <c r="B36" i="794" s="1"/>
  <c r="C10" i="107"/>
  <c r="B37" i="794" s="1"/>
  <c r="H190" i="529"/>
  <c r="J349" i="529" s="1"/>
  <c r="I189" i="529"/>
  <c r="I190" i="529" s="1"/>
  <c r="E190" i="529"/>
  <c r="H133" i="529"/>
  <c r="J338" i="529" s="1"/>
  <c r="I378" i="529" s="1"/>
  <c r="I408" i="529" s="1"/>
  <c r="I132" i="529"/>
  <c r="E133" i="529"/>
  <c r="D82" i="845"/>
  <c r="D70" i="853"/>
  <c r="J74" i="850"/>
  <c r="D84" i="843"/>
  <c r="D8" i="734"/>
  <c r="D10" i="734"/>
  <c r="D46" i="854"/>
  <c r="D16" i="852"/>
  <c r="D4" i="852"/>
  <c r="D42" i="852"/>
  <c r="J76" i="843"/>
  <c r="D44" i="734"/>
  <c r="D10" i="846"/>
  <c r="D16" i="734"/>
  <c r="D70" i="843"/>
  <c r="D4" i="854"/>
  <c r="D8" i="846"/>
  <c r="D44" i="847"/>
  <c r="D84" i="852"/>
  <c r="D16" i="848"/>
  <c r="D44" i="845"/>
  <c r="D70" i="851"/>
  <c r="D16" i="843"/>
  <c r="D22" i="852"/>
  <c r="D82" i="848"/>
  <c r="D10" i="850"/>
  <c r="D46" i="734"/>
  <c r="D44" i="850"/>
  <c r="D22" i="850"/>
  <c r="D16" i="850"/>
  <c r="J74" i="734"/>
  <c r="J74" i="848"/>
  <c r="D16" i="846"/>
  <c r="D44" i="843"/>
  <c r="D16" i="854"/>
  <c r="D4" i="846"/>
  <c r="D42" i="847"/>
  <c r="D82" i="846"/>
  <c r="D44" i="853"/>
  <c r="D42" i="850"/>
  <c r="J76" i="846"/>
  <c r="D84" i="851"/>
  <c r="J76" i="850"/>
  <c r="D46" i="843"/>
  <c r="D82" i="734"/>
  <c r="D84" i="845"/>
  <c r="D44" i="854"/>
  <c r="D42" i="851"/>
  <c r="D8" i="843"/>
  <c r="D84" i="848"/>
  <c r="D4" i="734"/>
  <c r="D22" i="734"/>
  <c r="D42" i="734"/>
  <c r="J76" i="852"/>
  <c r="D42" i="854"/>
  <c r="J76" i="734"/>
  <c r="D22" i="848"/>
  <c r="J76" i="854"/>
  <c r="D70" i="852"/>
  <c r="D82" i="852"/>
  <c r="D70" i="847"/>
  <c r="D84" i="846"/>
  <c r="D82" i="851"/>
  <c r="D82" i="843"/>
  <c r="J74" i="852"/>
  <c r="D46" i="850"/>
  <c r="D44" i="852"/>
  <c r="D4" i="843"/>
  <c r="D82" i="850"/>
  <c r="J76" i="848"/>
  <c r="D46" i="846"/>
  <c r="D44" i="846"/>
  <c r="D10" i="854"/>
  <c r="D70" i="846"/>
  <c r="D22" i="854"/>
  <c r="D10" i="848"/>
  <c r="D8" i="852"/>
  <c r="D70" i="734"/>
  <c r="D82" i="854"/>
  <c r="D44" i="848"/>
  <c r="D42" i="853"/>
  <c r="D70" i="845"/>
  <c r="D4" i="850"/>
  <c r="D84" i="847"/>
  <c r="D4" i="848"/>
  <c r="D84" i="853"/>
  <c r="J74" i="843"/>
  <c r="D22" i="846"/>
  <c r="D70" i="848"/>
  <c r="J74" i="846"/>
  <c r="D70" i="850"/>
  <c r="D10" i="843"/>
  <c r="D8" i="848"/>
  <c r="D42" i="843"/>
  <c r="D46" i="852"/>
  <c r="D46" i="848"/>
  <c r="D8" i="850"/>
  <c r="D84" i="854"/>
  <c r="D19" i="852" l="1"/>
  <c r="D19" i="846"/>
  <c r="D95" i="843"/>
  <c r="D93" i="843"/>
  <c r="D97" i="843"/>
  <c r="D6" i="843"/>
  <c r="D19" i="854"/>
  <c r="D95" i="852"/>
  <c r="D6" i="852"/>
  <c r="D97" i="852"/>
  <c r="D93" i="852"/>
  <c r="D93" i="854"/>
  <c r="D6" i="854"/>
  <c r="D97" i="854"/>
  <c r="D95" i="854"/>
  <c r="D6" i="846"/>
  <c r="D95" i="846"/>
  <c r="D93" i="846"/>
  <c r="D97" i="846"/>
  <c r="D6" i="734"/>
  <c r="D19" i="734"/>
  <c r="D19" i="843"/>
  <c r="D19" i="848"/>
  <c r="D93" i="848"/>
  <c r="D6" i="848"/>
  <c r="D97" i="848"/>
  <c r="D95" i="848"/>
  <c r="D19" i="850"/>
  <c r="D93" i="850"/>
  <c r="D95" i="850"/>
  <c r="D6" i="850"/>
  <c r="D97" i="850"/>
  <c r="I133" i="529"/>
  <c r="K338" i="529" s="1"/>
  <c r="J378" i="529" s="1"/>
  <c r="J408" i="529" s="1"/>
  <c r="A48" i="794"/>
  <c r="K349" i="529"/>
  <c r="K348" i="529"/>
  <c r="D93" i="734"/>
  <c r="D95" i="734"/>
  <c r="D97" i="734"/>
  <c r="G21" i="99" l="1"/>
  <c r="R42" i="99"/>
  <c r="Q42" i="99"/>
  <c r="P42" i="99"/>
  <c r="N42" i="99"/>
  <c r="M42" i="99"/>
  <c r="L42" i="99"/>
  <c r="K42" i="99"/>
  <c r="H42" i="99"/>
  <c r="E42" i="99"/>
  <c r="N35" i="99"/>
  <c r="K35" i="99"/>
  <c r="J35" i="99"/>
  <c r="I35" i="99"/>
  <c r="P84" i="99"/>
  <c r="M84" i="99"/>
  <c r="L84" i="99"/>
  <c r="K84" i="99"/>
  <c r="J84" i="99"/>
  <c r="J20" i="99" s="1"/>
  <c r="H84" i="99"/>
  <c r="G84" i="99"/>
  <c r="F84" i="99"/>
  <c r="F20" i="99" s="1"/>
  <c r="K73" i="99"/>
  <c r="I73" i="99"/>
  <c r="K63" i="99"/>
  <c r="I63" i="99"/>
  <c r="F109" i="99" l="1"/>
  <c r="F118" i="99"/>
  <c r="F117" i="99"/>
  <c r="J117" i="99"/>
  <c r="J112" i="99"/>
  <c r="J111" i="99"/>
  <c r="J110" i="99"/>
  <c r="J107" i="99"/>
  <c r="J118" i="99"/>
  <c r="J113" i="99"/>
  <c r="J109" i="99"/>
  <c r="J108" i="99"/>
  <c r="G20" i="99"/>
  <c r="I84" i="99"/>
  <c r="H20" i="99"/>
  <c r="K20" i="99"/>
  <c r="L20" i="99"/>
  <c r="M20" i="99"/>
  <c r="P20" i="99"/>
  <c r="N45" i="99"/>
  <c r="K45" i="99"/>
  <c r="H120" i="99" l="1"/>
  <c r="H119" i="99"/>
  <c r="H118" i="99"/>
  <c r="H115" i="99"/>
  <c r="H117" i="99"/>
  <c r="H109" i="99"/>
  <c r="H116" i="99"/>
  <c r="P116" i="99"/>
  <c r="P122" i="99"/>
  <c r="P117" i="99"/>
  <c r="P115" i="99"/>
  <c r="P118" i="99"/>
  <c r="P120" i="99"/>
  <c r="P119" i="99"/>
  <c r="P109" i="99"/>
  <c r="M118" i="99"/>
  <c r="M111" i="99"/>
  <c r="M110" i="99"/>
  <c r="M107" i="99"/>
  <c r="M117" i="99"/>
  <c r="M109" i="99"/>
  <c r="M120" i="99"/>
  <c r="M115" i="99"/>
  <c r="M108" i="99"/>
  <c r="M119" i="99"/>
  <c r="M122" i="99"/>
  <c r="M116" i="99"/>
  <c r="G122" i="99"/>
  <c r="G109" i="99"/>
  <c r="G117" i="99"/>
  <c r="G118" i="99"/>
  <c r="L119" i="99"/>
  <c r="L118" i="99"/>
  <c r="L109" i="99"/>
  <c r="L122" i="99"/>
  <c r="L116" i="99"/>
  <c r="L117" i="99"/>
  <c r="L115" i="99"/>
  <c r="K119" i="99"/>
  <c r="K117" i="99"/>
  <c r="K112" i="99"/>
  <c r="K111" i="99"/>
  <c r="K110" i="99"/>
  <c r="K107" i="99"/>
  <c r="K115" i="99"/>
  <c r="K118" i="99"/>
  <c r="K113" i="99"/>
  <c r="K123" i="99" s="1"/>
  <c r="K109" i="99"/>
  <c r="K108" i="99"/>
  <c r="K122" i="99"/>
  <c r="K116" i="99"/>
  <c r="K120" i="99"/>
  <c r="L120" i="99"/>
  <c r="I20" i="99"/>
  <c r="I108" i="99" l="1"/>
  <c r="I117" i="99"/>
  <c r="I112" i="99"/>
  <c r="I111" i="99"/>
  <c r="I110" i="99"/>
  <c r="I107" i="99"/>
  <c r="I109" i="99"/>
  <c r="I122" i="99"/>
  <c r="I118" i="99"/>
  <c r="I113" i="99"/>
  <c r="D3" i="99"/>
  <c r="Z17" i="98"/>
  <c r="Z18" i="98"/>
  <c r="Z16" i="98"/>
  <c r="H3" i="83"/>
  <c r="H4" i="83"/>
  <c r="H5" i="83"/>
  <c r="H6" i="83"/>
  <c r="H7" i="83"/>
  <c r="H8" i="83"/>
  <c r="H9" i="83"/>
  <c r="H10" i="83"/>
  <c r="H11" i="83"/>
  <c r="H12" i="83"/>
  <c r="H13" i="83"/>
  <c r="H14" i="83"/>
  <c r="H15" i="83"/>
  <c r="H16" i="83"/>
  <c r="H17" i="83"/>
  <c r="H18" i="83"/>
  <c r="H19" i="83"/>
  <c r="H20" i="83"/>
  <c r="H21" i="83"/>
  <c r="H22" i="83"/>
  <c r="H23" i="83"/>
  <c r="H24" i="83"/>
  <c r="H25" i="83"/>
  <c r="H26" i="83"/>
  <c r="H27" i="83"/>
  <c r="H28" i="83"/>
  <c r="H29" i="83"/>
  <c r="H30" i="83"/>
  <c r="H31" i="83"/>
  <c r="H32" i="83"/>
  <c r="H33" i="83"/>
  <c r="H34" i="83"/>
  <c r="H35" i="83"/>
  <c r="H36" i="83"/>
  <c r="H37" i="83"/>
  <c r="H38" i="83"/>
  <c r="H39" i="83"/>
  <c r="H40" i="83"/>
  <c r="H41" i="83"/>
  <c r="H42" i="83"/>
  <c r="H43" i="83"/>
  <c r="H44" i="83"/>
  <c r="H45" i="83"/>
  <c r="H46" i="83"/>
  <c r="H47" i="83"/>
  <c r="H48" i="83"/>
  <c r="H49" i="83"/>
  <c r="H50" i="83"/>
  <c r="H51" i="83"/>
  <c r="H52" i="83"/>
  <c r="H53" i="83"/>
  <c r="H54" i="83"/>
  <c r="H55" i="83"/>
  <c r="H56" i="83"/>
  <c r="H57" i="83"/>
  <c r="H58" i="83"/>
  <c r="H59" i="83"/>
  <c r="H60" i="83"/>
  <c r="H61" i="83"/>
  <c r="H62" i="83"/>
  <c r="H63" i="83"/>
  <c r="H64" i="83"/>
  <c r="H65" i="83"/>
  <c r="H66" i="83"/>
  <c r="H67" i="83"/>
  <c r="H68" i="83"/>
  <c r="H69" i="83"/>
  <c r="H70" i="83"/>
  <c r="H71" i="83"/>
  <c r="H72" i="83"/>
  <c r="H73" i="83"/>
  <c r="H74" i="83"/>
  <c r="H75" i="83"/>
  <c r="H76" i="83"/>
  <c r="H77" i="83"/>
  <c r="H78" i="83"/>
  <c r="H79" i="83"/>
  <c r="H80" i="83"/>
  <c r="H81" i="83"/>
  <c r="H82" i="83"/>
  <c r="H83" i="83"/>
  <c r="H84" i="83"/>
  <c r="H85" i="83"/>
  <c r="H86" i="83"/>
  <c r="H87" i="83"/>
  <c r="H88" i="83"/>
  <c r="H89" i="83"/>
  <c r="H90" i="83"/>
  <c r="H91" i="83"/>
  <c r="H92" i="83"/>
  <c r="H93" i="83"/>
  <c r="H94" i="83"/>
  <c r="H95" i="83"/>
  <c r="H96" i="83"/>
  <c r="H97" i="83"/>
  <c r="H98" i="83"/>
  <c r="H99" i="83"/>
  <c r="H100" i="83"/>
  <c r="H101" i="83"/>
  <c r="H2" i="83"/>
  <c r="C2" i="475"/>
  <c r="I15" i="685" s="1"/>
  <c r="K5" i="37"/>
  <c r="A6" i="37"/>
  <c r="E70" i="99"/>
  <c r="D61" i="99"/>
  <c r="D70" i="99"/>
  <c r="E61" i="99"/>
  <c r="D97" i="99" l="1"/>
  <c r="D93" i="99"/>
  <c r="D90" i="99" s="1"/>
  <c r="D96" i="99"/>
  <c r="A137" i="528"/>
  <c r="N70" i="99"/>
  <c r="L61" i="99"/>
  <c r="G61" i="99"/>
  <c r="L70" i="99"/>
  <c r="J61" i="99"/>
  <c r="H61" i="99"/>
  <c r="F70" i="99"/>
  <c r="N61" i="99"/>
  <c r="M61" i="99"/>
  <c r="O70" i="99"/>
  <c r="J70" i="99"/>
  <c r="H70" i="99"/>
  <c r="M70" i="99"/>
  <c r="G70" i="99"/>
  <c r="O61" i="99"/>
  <c r="F61" i="99"/>
  <c r="P61" i="99" l="1"/>
  <c r="Q61" i="99"/>
  <c r="A5" i="87"/>
  <c r="H5" i="87"/>
  <c r="H27" i="528"/>
  <c r="A27" i="528"/>
  <c r="H9" i="528"/>
  <c r="A9" i="528"/>
  <c r="H20" i="87"/>
  <c r="H38" i="87" s="1"/>
  <c r="A20" i="87"/>
  <c r="A38" i="87" s="1"/>
  <c r="H6" i="87"/>
  <c r="A6" i="87"/>
  <c r="I49" i="528"/>
  <c r="B49" i="528"/>
  <c r="I42" i="87" l="1"/>
  <c r="I41" i="87"/>
  <c r="I40" i="87"/>
  <c r="F92" i="857" s="1"/>
  <c r="F180" i="857"/>
  <c r="F215" i="857"/>
  <c r="F94" i="857"/>
  <c r="F93" i="857"/>
  <c r="DD19" i="528"/>
  <c r="DD52" i="528"/>
  <c r="DD54" i="528"/>
  <c r="DF16" i="528"/>
  <c r="N56" i="39" s="1"/>
  <c r="DC34" i="528"/>
  <c r="DC29" i="528"/>
  <c r="DE30" i="528"/>
  <c r="DD50" i="528"/>
  <c r="DB14" i="528"/>
  <c r="DF14" i="528" s="1"/>
  <c r="DD30" i="528"/>
  <c r="DD12" i="528"/>
  <c r="DD20" i="528" s="1"/>
  <c r="DD75" i="528"/>
  <c r="DE19" i="528"/>
  <c r="DD51" i="528"/>
  <c r="DB20" i="528"/>
  <c r="DF11" i="528"/>
  <c r="N49" i="39" s="1"/>
  <c r="DD53" i="528"/>
  <c r="DE12" i="528"/>
  <c r="DE20" i="528" s="1"/>
  <c r="DD49" i="528"/>
  <c r="DF15" i="528"/>
  <c r="N55" i="39" s="1"/>
  <c r="DC33" i="528"/>
  <c r="DC35" i="528"/>
  <c r="DC19" i="528"/>
  <c r="DC37" i="528" s="1"/>
  <c r="DB19" i="528"/>
  <c r="DF17" i="528"/>
  <c r="N57" i="39" s="1"/>
  <c r="DC12" i="528"/>
  <c r="DC30" i="528" s="1"/>
  <c r="DC32" i="528"/>
  <c r="L9" i="680"/>
  <c r="L10" i="680" s="1"/>
  <c r="M9" i="680"/>
  <c r="M10" i="680" s="1"/>
  <c r="N9" i="680"/>
  <c r="N10" i="680" s="1"/>
  <c r="O9" i="680"/>
  <c r="O10" i="680" s="1"/>
  <c r="P9" i="680"/>
  <c r="P10" i="680" s="1"/>
  <c r="Q9" i="680"/>
  <c r="Q10" i="680" s="1"/>
  <c r="R9" i="680"/>
  <c r="R10" i="680" s="1"/>
  <c r="S9" i="680"/>
  <c r="S10" i="680" s="1"/>
  <c r="T9" i="680"/>
  <c r="T10" i="680" s="1"/>
  <c r="U9" i="680"/>
  <c r="V9" i="680"/>
  <c r="V10" i="680" s="1"/>
  <c r="W9" i="680"/>
  <c r="X9" i="680"/>
  <c r="X10" i="680" s="1"/>
  <c r="Y9" i="680"/>
  <c r="Y10" i="680" s="1"/>
  <c r="Z9" i="680"/>
  <c r="Z10" i="680" s="1"/>
  <c r="AA9" i="680"/>
  <c r="AA10" i="680" s="1"/>
  <c r="AB9" i="680"/>
  <c r="AB10" i="680" s="1"/>
  <c r="AC9" i="680"/>
  <c r="AC10" i="680" s="1"/>
  <c r="AD9" i="680"/>
  <c r="AD10" i="680" s="1"/>
  <c r="AE9" i="680"/>
  <c r="AE10" i="680" s="1"/>
  <c r="AF9" i="680"/>
  <c r="AF10" i="680" s="1"/>
  <c r="K9" i="680"/>
  <c r="O10" i="528"/>
  <c r="O28" i="528" s="1"/>
  <c r="P10" i="528"/>
  <c r="P28" i="528" s="1"/>
  <c r="I47" i="528"/>
  <c r="K62" i="528" s="1"/>
  <c r="B47" i="528"/>
  <c r="I43" i="87" l="1"/>
  <c r="U10" i="680"/>
  <c r="M38" i="528"/>
  <c r="O20" i="39" s="1"/>
  <c r="W10" i="680"/>
  <c r="DF38" i="528"/>
  <c r="N20" i="39" s="1"/>
  <c r="N54" i="39"/>
  <c r="DF12" i="528"/>
  <c r="DC39" i="528"/>
  <c r="DC20" i="528"/>
  <c r="DF19" i="528"/>
  <c r="N59" i="39" s="1"/>
  <c r="F38" i="528"/>
  <c r="M20" i="39" s="1"/>
  <c r="S20" i="39" s="1"/>
  <c r="K10" i="680"/>
  <c r="Q46" i="528" s="1"/>
  <c r="AG71" i="528"/>
  <c r="AN71" i="528" s="1"/>
  <c r="CM71" i="528"/>
  <c r="AG72" i="528"/>
  <c r="AN72" i="528" s="1"/>
  <c r="CM72" i="528"/>
  <c r="AG69" i="528"/>
  <c r="AN69" i="528" s="1"/>
  <c r="CM69" i="528"/>
  <c r="AG70" i="528"/>
  <c r="AN70" i="528" s="1"/>
  <c r="CM70" i="528"/>
  <c r="F53" i="99"/>
  <c r="J73" i="528"/>
  <c r="B3" i="528"/>
  <c r="DF20" i="528" l="1"/>
  <c r="N50" i="39"/>
  <c r="H36" i="107"/>
  <c r="I36" i="107" s="1"/>
  <c r="Q38" i="528"/>
  <c r="R38" i="528" s="1"/>
  <c r="S38" i="528" s="1"/>
  <c r="AG73" i="528"/>
  <c r="AN73" i="528" s="1"/>
  <c r="CM73" i="528"/>
  <c r="G58" i="39"/>
  <c r="Q20" i="39"/>
  <c r="P7" i="87"/>
  <c r="P21" i="87" s="1"/>
  <c r="AJ38" i="528" l="1"/>
  <c r="CP38" i="528" s="1"/>
  <c r="E10" i="679"/>
  <c r="E11" i="679"/>
  <c r="E12" i="679"/>
  <c r="P20" i="39" l="1"/>
  <c r="R20" i="39" s="1"/>
  <c r="AQ38" i="528"/>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B28"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B27" i="11"/>
  <c r="CI38" i="528" l="1"/>
  <c r="CW38" i="528"/>
  <c r="CQ38" i="528" s="1"/>
  <c r="B3" i="87"/>
  <c r="L154" i="680"/>
  <c r="M154" i="680"/>
  <c r="N154" i="680"/>
  <c r="O154" i="680"/>
  <c r="P154" i="680"/>
  <c r="Q154" i="680"/>
  <c r="R154" i="680"/>
  <c r="S154" i="680"/>
  <c r="T154" i="680"/>
  <c r="U154" i="680"/>
  <c r="V154" i="680"/>
  <c r="W154" i="680"/>
  <c r="X154" i="680"/>
  <c r="Y154" i="680"/>
  <c r="Z154" i="680"/>
  <c r="AA154" i="680"/>
  <c r="AB154" i="680"/>
  <c r="AC154" i="680"/>
  <c r="AD154" i="680"/>
  <c r="AE154" i="680"/>
  <c r="AF154" i="680"/>
  <c r="L155" i="680"/>
  <c r="M155" i="680"/>
  <c r="N155" i="680"/>
  <c r="O155" i="680"/>
  <c r="P155" i="680"/>
  <c r="Q155" i="680"/>
  <c r="R155" i="680"/>
  <c r="S155" i="680"/>
  <c r="T155" i="680"/>
  <c r="U155" i="680"/>
  <c r="V155" i="680"/>
  <c r="W155" i="680"/>
  <c r="X155" i="680"/>
  <c r="Y155" i="680"/>
  <c r="Z155" i="680"/>
  <c r="AA155" i="680"/>
  <c r="AB155" i="680"/>
  <c r="AC155" i="680"/>
  <c r="AD155" i="680"/>
  <c r="AE155" i="680"/>
  <c r="AF155" i="680"/>
  <c r="L169" i="680"/>
  <c r="M169" i="680"/>
  <c r="N169" i="680"/>
  <c r="O169" i="680"/>
  <c r="P169" i="680"/>
  <c r="Q169" i="680"/>
  <c r="R169" i="680"/>
  <c r="S169" i="680"/>
  <c r="T169" i="680"/>
  <c r="U169" i="680"/>
  <c r="V169" i="680"/>
  <c r="W169" i="680"/>
  <c r="X169" i="680"/>
  <c r="Y169" i="680"/>
  <c r="Z169" i="680"/>
  <c r="AA169" i="680"/>
  <c r="AB169" i="680"/>
  <c r="AC169" i="680"/>
  <c r="AD169" i="680"/>
  <c r="AE169" i="680"/>
  <c r="AF169" i="680"/>
  <c r="K169" i="680"/>
  <c r="AI8" i="679"/>
  <c r="AJ8" i="679"/>
  <c r="AK8" i="679"/>
  <c r="AL8" i="679"/>
  <c r="AM8" i="679"/>
  <c r="AN8" i="679"/>
  <c r="AO8" i="679"/>
  <c r="AP8" i="679"/>
  <c r="AQ8" i="679"/>
  <c r="AR8" i="679"/>
  <c r="AS8" i="679"/>
  <c r="AT8" i="679"/>
  <c r="AU8" i="679"/>
  <c r="AV8" i="679"/>
  <c r="AW8" i="679"/>
  <c r="AX8" i="679"/>
  <c r="AY8" i="679"/>
  <c r="AZ8" i="679"/>
  <c r="BA8" i="679"/>
  <c r="BB8" i="679"/>
  <c r="BC8" i="679"/>
  <c r="AI9" i="679"/>
  <c r="AJ9" i="679"/>
  <c r="AK9" i="679"/>
  <c r="AL9" i="679"/>
  <c r="AM9" i="679"/>
  <c r="AN9" i="679"/>
  <c r="AO9" i="679"/>
  <c r="AP9" i="679"/>
  <c r="AQ9" i="679"/>
  <c r="AR9" i="679"/>
  <c r="AS9" i="679"/>
  <c r="AT9" i="679"/>
  <c r="AU9" i="679"/>
  <c r="AV9" i="679"/>
  <c r="AW9" i="679"/>
  <c r="AX9" i="679"/>
  <c r="AY9" i="679"/>
  <c r="AZ9" i="679"/>
  <c r="BA9" i="679"/>
  <c r="BB9" i="679"/>
  <c r="BC9" i="679"/>
  <c r="AI10" i="679"/>
  <c r="AJ10" i="679"/>
  <c r="AK10" i="679"/>
  <c r="AL10" i="679"/>
  <c r="AM10" i="679"/>
  <c r="AN10" i="679"/>
  <c r="AO10" i="679"/>
  <c r="AP10" i="679"/>
  <c r="S162" i="680" s="1"/>
  <c r="AQ10" i="679"/>
  <c r="AR10" i="679"/>
  <c r="AS10" i="679"/>
  <c r="AT10" i="679"/>
  <c r="AU10" i="679"/>
  <c r="AV10" i="679"/>
  <c r="AW10" i="679"/>
  <c r="AX10" i="679"/>
  <c r="AY10" i="679"/>
  <c r="AZ10" i="679"/>
  <c r="BA10" i="679"/>
  <c r="BB10" i="679"/>
  <c r="BC10" i="679"/>
  <c r="AI11" i="679"/>
  <c r="AJ11" i="679"/>
  <c r="AK11" i="679"/>
  <c r="AL11" i="679"/>
  <c r="AM11" i="679"/>
  <c r="AN11" i="679"/>
  <c r="AO11" i="679"/>
  <c r="AP11" i="679"/>
  <c r="AQ11" i="679"/>
  <c r="AR11" i="679"/>
  <c r="AS11" i="679"/>
  <c r="AT11" i="679"/>
  <c r="AU11" i="679"/>
  <c r="AV11" i="679"/>
  <c r="AW11" i="679"/>
  <c r="AX11" i="679"/>
  <c r="AY11" i="679"/>
  <c r="AZ11" i="679"/>
  <c r="BA11" i="679"/>
  <c r="BB11" i="679"/>
  <c r="BC11" i="679"/>
  <c r="AI12" i="679"/>
  <c r="AJ12" i="679"/>
  <c r="AK12" i="679"/>
  <c r="AL12" i="679"/>
  <c r="AM12" i="679"/>
  <c r="AN12" i="679"/>
  <c r="AO12" i="679"/>
  <c r="AP12" i="679"/>
  <c r="AQ12" i="679"/>
  <c r="AR12" i="679"/>
  <c r="AS12" i="679"/>
  <c r="AT12" i="679"/>
  <c r="AU12" i="679"/>
  <c r="AV12" i="679"/>
  <c r="AW12" i="679"/>
  <c r="AX12" i="679"/>
  <c r="AY12" i="679"/>
  <c r="AZ12" i="679"/>
  <c r="BA12" i="679"/>
  <c r="BB12" i="679"/>
  <c r="BC12" i="679"/>
  <c r="AI13" i="679"/>
  <c r="AJ13" i="679"/>
  <c r="AK13" i="679"/>
  <c r="AL13" i="679"/>
  <c r="AM13" i="679"/>
  <c r="AN13" i="679"/>
  <c r="AO13" i="679"/>
  <c r="AP13" i="679"/>
  <c r="AQ13" i="679"/>
  <c r="AR13" i="679"/>
  <c r="AS13" i="679"/>
  <c r="AT13" i="679"/>
  <c r="AU13" i="679"/>
  <c r="AV13" i="679"/>
  <c r="AW13" i="679"/>
  <c r="AX13" i="679"/>
  <c r="AY13" i="679"/>
  <c r="AZ13" i="679"/>
  <c r="BA13" i="679"/>
  <c r="BB13" i="679"/>
  <c r="BC13" i="679"/>
  <c r="AI14" i="679"/>
  <c r="AJ14" i="679"/>
  <c r="AK14" i="679"/>
  <c r="AL14" i="679"/>
  <c r="AM14" i="679"/>
  <c r="AN14" i="679"/>
  <c r="AO14" i="679"/>
  <c r="AP14" i="679"/>
  <c r="AQ14" i="679"/>
  <c r="AR14" i="679"/>
  <c r="AS14" i="679"/>
  <c r="AT14" i="679"/>
  <c r="AU14" i="679"/>
  <c r="AV14" i="679"/>
  <c r="AW14" i="679"/>
  <c r="AX14" i="679"/>
  <c r="AY14" i="679"/>
  <c r="AZ14" i="679"/>
  <c r="BA14" i="679"/>
  <c r="BB14" i="679"/>
  <c r="BC14" i="679"/>
  <c r="AI15" i="679"/>
  <c r="AJ15" i="679"/>
  <c r="AK15" i="679"/>
  <c r="AL15" i="679"/>
  <c r="AM15" i="679"/>
  <c r="AN15" i="679"/>
  <c r="AO15" i="679"/>
  <c r="AP15" i="679"/>
  <c r="AQ15" i="679"/>
  <c r="AR15" i="679"/>
  <c r="AS15" i="679"/>
  <c r="AT15" i="679"/>
  <c r="AU15" i="679"/>
  <c r="AV15" i="679"/>
  <c r="AW15" i="679"/>
  <c r="AX15" i="679"/>
  <c r="AY15" i="679"/>
  <c r="AZ15" i="679"/>
  <c r="BA15" i="679"/>
  <c r="BB15" i="679"/>
  <c r="BC15" i="679"/>
  <c r="AI16" i="679"/>
  <c r="AJ16" i="679"/>
  <c r="AK16" i="679"/>
  <c r="AL16" i="679"/>
  <c r="AM16" i="679"/>
  <c r="AN16" i="679"/>
  <c r="AO16" i="679"/>
  <c r="AP16" i="679"/>
  <c r="AQ16" i="679"/>
  <c r="AR16" i="679"/>
  <c r="AS16" i="679"/>
  <c r="AT16" i="679"/>
  <c r="AU16" i="679"/>
  <c r="AV16" i="679"/>
  <c r="AW16" i="679"/>
  <c r="AX16" i="679"/>
  <c r="AY16" i="679"/>
  <c r="AZ16" i="679"/>
  <c r="BA16" i="679"/>
  <c r="BB16" i="679"/>
  <c r="BC16" i="679"/>
  <c r="AI17" i="679"/>
  <c r="AJ17" i="679"/>
  <c r="AK17" i="679"/>
  <c r="AL17" i="679"/>
  <c r="AM17" i="679"/>
  <c r="AN17" i="679"/>
  <c r="AO17" i="679"/>
  <c r="AP17" i="679"/>
  <c r="AQ17" i="679"/>
  <c r="AR17" i="679"/>
  <c r="AS17" i="679"/>
  <c r="AT17" i="679"/>
  <c r="AU17" i="679"/>
  <c r="AV17" i="679"/>
  <c r="AW17" i="679"/>
  <c r="AX17" i="679"/>
  <c r="AY17" i="679"/>
  <c r="AZ17" i="679"/>
  <c r="BA17" i="679"/>
  <c r="BB17" i="679"/>
  <c r="BC17" i="679"/>
  <c r="AI18" i="679"/>
  <c r="AJ18" i="679"/>
  <c r="AK18" i="679"/>
  <c r="AL18" i="679"/>
  <c r="AM18" i="679"/>
  <c r="AN18" i="679"/>
  <c r="AO18" i="679"/>
  <c r="AP18" i="679"/>
  <c r="AQ18" i="679"/>
  <c r="AR18" i="679"/>
  <c r="AS18" i="679"/>
  <c r="AT18" i="679"/>
  <c r="AU18" i="679"/>
  <c r="AV18" i="679"/>
  <c r="AW18" i="679"/>
  <c r="AX18" i="679"/>
  <c r="AY18" i="679"/>
  <c r="AZ18" i="679"/>
  <c r="BA18" i="679"/>
  <c r="BB18" i="679"/>
  <c r="BC18" i="679"/>
  <c r="AI19" i="679"/>
  <c r="AJ19" i="679"/>
  <c r="AK19" i="679"/>
  <c r="AL19" i="679"/>
  <c r="AM19" i="679"/>
  <c r="AN19" i="679"/>
  <c r="AO19" i="679"/>
  <c r="AP19" i="679"/>
  <c r="AQ19" i="679"/>
  <c r="AR19" i="679"/>
  <c r="AS19" i="679"/>
  <c r="AT19" i="679"/>
  <c r="AU19" i="679"/>
  <c r="AV19" i="679"/>
  <c r="AW19" i="679"/>
  <c r="AX19" i="679"/>
  <c r="AY19" i="679"/>
  <c r="AZ19" i="679"/>
  <c r="BA19" i="679"/>
  <c r="BB19" i="679"/>
  <c r="BC19" i="679"/>
  <c r="AI20" i="679"/>
  <c r="AJ20" i="679"/>
  <c r="AK20" i="679"/>
  <c r="AL20" i="679"/>
  <c r="AM20" i="679"/>
  <c r="AN20" i="679"/>
  <c r="AO20" i="679"/>
  <c r="AP20" i="679"/>
  <c r="AQ20" i="679"/>
  <c r="AR20" i="679"/>
  <c r="AS20" i="679"/>
  <c r="AT20" i="679"/>
  <c r="AU20" i="679"/>
  <c r="AV20" i="679"/>
  <c r="AW20" i="679"/>
  <c r="AX20" i="679"/>
  <c r="AY20" i="679"/>
  <c r="AZ20" i="679"/>
  <c r="BA20" i="679"/>
  <c r="BB20" i="679"/>
  <c r="BC20" i="679"/>
  <c r="AI21" i="679"/>
  <c r="AJ21" i="679"/>
  <c r="AK21" i="679"/>
  <c r="AL21" i="679"/>
  <c r="AM21" i="679"/>
  <c r="AN21" i="679"/>
  <c r="AO21" i="679"/>
  <c r="AP21" i="679"/>
  <c r="AQ21" i="679"/>
  <c r="AR21" i="679"/>
  <c r="AS21" i="679"/>
  <c r="AT21" i="679"/>
  <c r="AU21" i="679"/>
  <c r="AV21" i="679"/>
  <c r="AW21" i="679"/>
  <c r="AX21" i="679"/>
  <c r="AY21" i="679"/>
  <c r="AZ21" i="679"/>
  <c r="BA21" i="679"/>
  <c r="BB21" i="679"/>
  <c r="BC21" i="679"/>
  <c r="AI22" i="679"/>
  <c r="AJ22" i="679"/>
  <c r="AK22" i="679"/>
  <c r="AL22" i="679"/>
  <c r="AM22" i="679"/>
  <c r="AN22" i="679"/>
  <c r="AO22" i="679"/>
  <c r="AP22" i="679"/>
  <c r="AQ22" i="679"/>
  <c r="AR22" i="679"/>
  <c r="AS22" i="679"/>
  <c r="AT22" i="679"/>
  <c r="AU22" i="679"/>
  <c r="AV22" i="679"/>
  <c r="AW22" i="679"/>
  <c r="AX22" i="679"/>
  <c r="AY22" i="679"/>
  <c r="AZ22" i="679"/>
  <c r="BA22" i="679"/>
  <c r="BB22" i="679"/>
  <c r="BC22" i="679"/>
  <c r="AI23" i="679"/>
  <c r="AJ23" i="679"/>
  <c r="AK23" i="679"/>
  <c r="AL23" i="679"/>
  <c r="AM23" i="679"/>
  <c r="AN23" i="679"/>
  <c r="AO23" i="679"/>
  <c r="AP23" i="679"/>
  <c r="AQ23" i="679"/>
  <c r="AR23" i="679"/>
  <c r="AS23" i="679"/>
  <c r="AT23" i="679"/>
  <c r="AU23" i="679"/>
  <c r="AV23" i="679"/>
  <c r="AW23" i="679"/>
  <c r="AX23" i="679"/>
  <c r="AY23" i="679"/>
  <c r="AZ23" i="679"/>
  <c r="BA23" i="679"/>
  <c r="BB23" i="679"/>
  <c r="BC23" i="679"/>
  <c r="AI24" i="679"/>
  <c r="AJ24" i="679"/>
  <c r="AK24" i="679"/>
  <c r="AL24" i="679"/>
  <c r="AM24" i="679"/>
  <c r="AN24" i="679"/>
  <c r="AO24" i="679"/>
  <c r="AP24" i="679"/>
  <c r="AQ24" i="679"/>
  <c r="AR24" i="679"/>
  <c r="AS24" i="679"/>
  <c r="AT24" i="679"/>
  <c r="AU24" i="679"/>
  <c r="AV24" i="679"/>
  <c r="AW24" i="679"/>
  <c r="AX24" i="679"/>
  <c r="AY24" i="679"/>
  <c r="AZ24" i="679"/>
  <c r="BA24" i="679"/>
  <c r="BB24" i="679"/>
  <c r="BC24" i="679"/>
  <c r="AI25" i="679"/>
  <c r="AJ25" i="679"/>
  <c r="AK25" i="679"/>
  <c r="AL25" i="679"/>
  <c r="AM25" i="679"/>
  <c r="AN25" i="679"/>
  <c r="AO25" i="679"/>
  <c r="AP25" i="679"/>
  <c r="AQ25" i="679"/>
  <c r="AR25" i="679"/>
  <c r="AS25" i="679"/>
  <c r="AT25" i="679"/>
  <c r="AU25" i="679"/>
  <c r="AV25" i="679"/>
  <c r="AW25" i="679"/>
  <c r="AX25" i="679"/>
  <c r="AY25" i="679"/>
  <c r="AZ25" i="679"/>
  <c r="BA25" i="679"/>
  <c r="BB25" i="679"/>
  <c r="BC25" i="679"/>
  <c r="AI26" i="679"/>
  <c r="AJ26" i="679"/>
  <c r="AK26" i="679"/>
  <c r="AL26" i="679"/>
  <c r="AM26" i="679"/>
  <c r="AN26" i="679"/>
  <c r="AO26" i="679"/>
  <c r="AP26" i="679"/>
  <c r="AQ26" i="679"/>
  <c r="AR26" i="679"/>
  <c r="AS26" i="679"/>
  <c r="AT26" i="679"/>
  <c r="AU26" i="679"/>
  <c r="AV26" i="679"/>
  <c r="AW26" i="679"/>
  <c r="AX26" i="679"/>
  <c r="AY26" i="679"/>
  <c r="AZ26" i="679"/>
  <c r="BA26" i="679"/>
  <c r="BB26" i="679"/>
  <c r="BC26" i="679"/>
  <c r="AI27" i="679"/>
  <c r="AJ27" i="679"/>
  <c r="AK27" i="679"/>
  <c r="AL27" i="679"/>
  <c r="AM27" i="679"/>
  <c r="AN27" i="679"/>
  <c r="AO27" i="679"/>
  <c r="AP27" i="679"/>
  <c r="AQ27" i="679"/>
  <c r="AR27" i="679"/>
  <c r="AS27" i="679"/>
  <c r="AT27" i="679"/>
  <c r="AU27" i="679"/>
  <c r="AV27" i="679"/>
  <c r="AW27" i="679"/>
  <c r="AX27" i="679"/>
  <c r="AY27" i="679"/>
  <c r="AZ27" i="679"/>
  <c r="BA27" i="679"/>
  <c r="BB27" i="679"/>
  <c r="BC27" i="679"/>
  <c r="AI28" i="679"/>
  <c r="AJ28" i="679"/>
  <c r="AK28" i="679"/>
  <c r="AL28" i="679"/>
  <c r="AM28" i="679"/>
  <c r="AN28" i="679"/>
  <c r="AO28" i="679"/>
  <c r="AP28" i="679"/>
  <c r="AQ28" i="679"/>
  <c r="AR28" i="679"/>
  <c r="AS28" i="679"/>
  <c r="AT28" i="679"/>
  <c r="AU28" i="679"/>
  <c r="AV28" i="679"/>
  <c r="AW28" i="679"/>
  <c r="AX28" i="679"/>
  <c r="AY28" i="679"/>
  <c r="AZ28" i="679"/>
  <c r="BA28" i="679"/>
  <c r="BB28" i="679"/>
  <c r="BC28" i="679"/>
  <c r="AI29" i="679"/>
  <c r="AJ29" i="679"/>
  <c r="AK29" i="679"/>
  <c r="AL29" i="679"/>
  <c r="AM29" i="679"/>
  <c r="AN29" i="679"/>
  <c r="AO29" i="679"/>
  <c r="AP29" i="679"/>
  <c r="AQ29" i="679"/>
  <c r="AR29" i="679"/>
  <c r="AS29" i="679"/>
  <c r="AT29" i="679"/>
  <c r="AU29" i="679"/>
  <c r="AV29" i="679"/>
  <c r="AW29" i="679"/>
  <c r="AX29" i="679"/>
  <c r="AY29" i="679"/>
  <c r="AZ29" i="679"/>
  <c r="BA29" i="679"/>
  <c r="BB29" i="679"/>
  <c r="BC29" i="679"/>
  <c r="AI30" i="679"/>
  <c r="AJ30" i="679"/>
  <c r="AK30" i="679"/>
  <c r="AL30" i="679"/>
  <c r="AM30" i="679"/>
  <c r="AN30" i="679"/>
  <c r="AO30" i="679"/>
  <c r="AP30" i="679"/>
  <c r="AQ30" i="679"/>
  <c r="AR30" i="679"/>
  <c r="AS30" i="679"/>
  <c r="AT30" i="679"/>
  <c r="AU30" i="679"/>
  <c r="AV30" i="679"/>
  <c r="AW30" i="679"/>
  <c r="AX30" i="679"/>
  <c r="AY30" i="679"/>
  <c r="AZ30" i="679"/>
  <c r="BA30" i="679"/>
  <c r="BB30" i="679"/>
  <c r="BC30" i="679"/>
  <c r="AI32" i="679"/>
  <c r="AJ32" i="679"/>
  <c r="AK32" i="679"/>
  <c r="AL32" i="679"/>
  <c r="AM32" i="679"/>
  <c r="AN32" i="679"/>
  <c r="AO32" i="679"/>
  <c r="AP32" i="679"/>
  <c r="AQ32" i="679"/>
  <c r="AR32" i="679"/>
  <c r="AS32" i="679"/>
  <c r="AT32" i="679"/>
  <c r="AU32" i="679"/>
  <c r="AV32" i="679"/>
  <c r="AW32" i="679"/>
  <c r="AX32" i="679"/>
  <c r="AY32" i="679"/>
  <c r="AZ32" i="679"/>
  <c r="BA32" i="679"/>
  <c r="BB32" i="679"/>
  <c r="BC32" i="679"/>
  <c r="AI33" i="679"/>
  <c r="AJ33" i="679"/>
  <c r="AK33" i="679"/>
  <c r="AL33" i="679"/>
  <c r="AM33" i="679"/>
  <c r="AN33" i="679"/>
  <c r="AO33" i="679"/>
  <c r="AP33" i="679"/>
  <c r="AQ33" i="679"/>
  <c r="AR33" i="679"/>
  <c r="AS33" i="679"/>
  <c r="AT33" i="679"/>
  <c r="AU33" i="679"/>
  <c r="AV33" i="679"/>
  <c r="AW33" i="679"/>
  <c r="AX33" i="679"/>
  <c r="AY33" i="679"/>
  <c r="AZ33" i="679"/>
  <c r="BA33" i="679"/>
  <c r="BB33" i="679"/>
  <c r="BC33" i="679"/>
  <c r="AI34" i="679"/>
  <c r="AJ34" i="679"/>
  <c r="AK34" i="679"/>
  <c r="AL34" i="679"/>
  <c r="AM34" i="679"/>
  <c r="AN34" i="679"/>
  <c r="AO34" i="679"/>
  <c r="AP34" i="679"/>
  <c r="AQ34" i="679"/>
  <c r="AR34" i="679"/>
  <c r="AS34" i="679"/>
  <c r="AT34" i="679"/>
  <c r="AU34" i="679"/>
  <c r="AV34" i="679"/>
  <c r="AW34" i="679"/>
  <c r="AX34" i="679"/>
  <c r="AY34" i="679"/>
  <c r="AZ34" i="679"/>
  <c r="BA34" i="679"/>
  <c r="BB34" i="679"/>
  <c r="BC34" i="679"/>
  <c r="AI35" i="679"/>
  <c r="AJ35" i="679"/>
  <c r="AK35" i="679"/>
  <c r="AL35" i="679"/>
  <c r="AM35" i="679"/>
  <c r="AN35" i="679"/>
  <c r="AO35" i="679"/>
  <c r="AP35" i="679"/>
  <c r="AQ35" i="679"/>
  <c r="AR35" i="679"/>
  <c r="AS35" i="679"/>
  <c r="AT35" i="679"/>
  <c r="AU35" i="679"/>
  <c r="AV35" i="679"/>
  <c r="AW35" i="679"/>
  <c r="AX35" i="679"/>
  <c r="AY35" i="679"/>
  <c r="AZ35" i="679"/>
  <c r="BA35" i="679"/>
  <c r="BB35" i="679"/>
  <c r="BC35" i="679"/>
  <c r="AI36" i="679"/>
  <c r="AJ36" i="679"/>
  <c r="AK36" i="679"/>
  <c r="AL36" i="679"/>
  <c r="AM36" i="679"/>
  <c r="AN36" i="679"/>
  <c r="AO36" i="679"/>
  <c r="AP36" i="679"/>
  <c r="AQ36" i="679"/>
  <c r="AR36" i="679"/>
  <c r="AS36" i="679"/>
  <c r="AT36" i="679"/>
  <c r="AU36" i="679"/>
  <c r="AV36" i="679"/>
  <c r="AW36" i="679"/>
  <c r="AX36" i="679"/>
  <c r="AY36" i="679"/>
  <c r="AZ36" i="679"/>
  <c r="BA36" i="679"/>
  <c r="BB36" i="679"/>
  <c r="BC36" i="679"/>
  <c r="AI37" i="679"/>
  <c r="AJ37" i="679"/>
  <c r="AK37" i="679"/>
  <c r="AL37" i="679"/>
  <c r="AM37" i="679"/>
  <c r="AN37" i="679"/>
  <c r="AO37" i="679"/>
  <c r="AP37" i="679"/>
  <c r="AQ37" i="679"/>
  <c r="AR37" i="679"/>
  <c r="AS37" i="679"/>
  <c r="AT37" i="679"/>
  <c r="AU37" i="679"/>
  <c r="AV37" i="679"/>
  <c r="AW37" i="679"/>
  <c r="AX37" i="679"/>
  <c r="AY37" i="679"/>
  <c r="AZ37" i="679"/>
  <c r="BA37" i="679"/>
  <c r="BB37" i="679"/>
  <c r="BC37" i="679"/>
  <c r="AI38" i="679"/>
  <c r="AJ38" i="679"/>
  <c r="AK38" i="679"/>
  <c r="AL38" i="679"/>
  <c r="AM38" i="679"/>
  <c r="AN38" i="679"/>
  <c r="AO38" i="679"/>
  <c r="AP38" i="679"/>
  <c r="AQ38" i="679"/>
  <c r="AR38" i="679"/>
  <c r="AS38" i="679"/>
  <c r="AT38" i="679"/>
  <c r="AU38" i="679"/>
  <c r="AV38" i="679"/>
  <c r="AW38" i="679"/>
  <c r="AX38" i="679"/>
  <c r="AY38" i="679"/>
  <c r="AZ38" i="679"/>
  <c r="BA38" i="679"/>
  <c r="BB38" i="679"/>
  <c r="BC38" i="679"/>
  <c r="AI39" i="679"/>
  <c r="AJ39" i="679"/>
  <c r="AK39" i="679"/>
  <c r="AL39" i="679"/>
  <c r="AM39" i="679"/>
  <c r="AN39" i="679"/>
  <c r="AO39" i="679"/>
  <c r="AP39" i="679"/>
  <c r="AQ39" i="679"/>
  <c r="AR39" i="679"/>
  <c r="AS39" i="679"/>
  <c r="AT39" i="679"/>
  <c r="AU39" i="679"/>
  <c r="AV39" i="679"/>
  <c r="AW39" i="679"/>
  <c r="AX39" i="679"/>
  <c r="AY39" i="679"/>
  <c r="AZ39" i="679"/>
  <c r="BA39" i="679"/>
  <c r="BB39" i="679"/>
  <c r="BC39" i="679"/>
  <c r="AI40" i="679"/>
  <c r="AJ40" i="679"/>
  <c r="AK40" i="679"/>
  <c r="AL40" i="679"/>
  <c r="AM40" i="679"/>
  <c r="AN40" i="679"/>
  <c r="AO40" i="679"/>
  <c r="AP40" i="679"/>
  <c r="AQ40" i="679"/>
  <c r="AR40" i="679"/>
  <c r="AS40" i="679"/>
  <c r="AT40" i="679"/>
  <c r="AU40" i="679"/>
  <c r="AV40" i="679"/>
  <c r="AW40" i="679"/>
  <c r="AX40" i="679"/>
  <c r="AY40" i="679"/>
  <c r="AZ40" i="679"/>
  <c r="BA40" i="679"/>
  <c r="BB40" i="679"/>
  <c r="BC40" i="679"/>
  <c r="AI41" i="679"/>
  <c r="AJ41" i="679"/>
  <c r="AK41" i="679"/>
  <c r="AL41" i="679"/>
  <c r="AM41" i="679"/>
  <c r="AN41" i="679"/>
  <c r="AO41" i="679"/>
  <c r="AP41" i="679"/>
  <c r="AQ41" i="679"/>
  <c r="AR41" i="679"/>
  <c r="AS41" i="679"/>
  <c r="AT41" i="679"/>
  <c r="AU41" i="679"/>
  <c r="AV41" i="679"/>
  <c r="AW41" i="679"/>
  <c r="AX41" i="679"/>
  <c r="AY41" i="679"/>
  <c r="AZ41" i="679"/>
  <c r="BA41" i="679"/>
  <c r="BB41" i="679"/>
  <c r="BC41" i="679"/>
  <c r="AI42" i="679"/>
  <c r="AJ42" i="679"/>
  <c r="AK42" i="679"/>
  <c r="AL42" i="679"/>
  <c r="AM42" i="679"/>
  <c r="AN42" i="679"/>
  <c r="AO42" i="679"/>
  <c r="AP42" i="679"/>
  <c r="AQ42" i="679"/>
  <c r="AR42" i="679"/>
  <c r="AS42" i="679"/>
  <c r="AT42" i="679"/>
  <c r="AU42" i="679"/>
  <c r="AV42" i="679"/>
  <c r="AW42" i="679"/>
  <c r="AX42" i="679"/>
  <c r="AY42" i="679"/>
  <c r="AZ42" i="679"/>
  <c r="BA42" i="679"/>
  <c r="BB42" i="679"/>
  <c r="BC42" i="679"/>
  <c r="AI43" i="679"/>
  <c r="AJ43" i="679"/>
  <c r="AK43" i="679"/>
  <c r="AL43" i="679"/>
  <c r="AM43" i="679"/>
  <c r="AN43" i="679"/>
  <c r="AO43" i="679"/>
  <c r="AP43" i="679"/>
  <c r="AQ43" i="679"/>
  <c r="AR43" i="679"/>
  <c r="AS43" i="679"/>
  <c r="AT43" i="679"/>
  <c r="AU43" i="679"/>
  <c r="AV43" i="679"/>
  <c r="AW43" i="679"/>
  <c r="AX43" i="679"/>
  <c r="AY43" i="679"/>
  <c r="AZ43" i="679"/>
  <c r="BA43" i="679"/>
  <c r="BB43" i="679"/>
  <c r="BC43" i="679"/>
  <c r="AI44" i="679"/>
  <c r="AJ44" i="679"/>
  <c r="AK44" i="679"/>
  <c r="AL44" i="679"/>
  <c r="AM44" i="679"/>
  <c r="AN44" i="679"/>
  <c r="AO44" i="679"/>
  <c r="AP44" i="679"/>
  <c r="AQ44" i="679"/>
  <c r="AR44" i="679"/>
  <c r="AS44" i="679"/>
  <c r="AT44" i="679"/>
  <c r="AU44" i="679"/>
  <c r="AV44" i="679"/>
  <c r="AW44" i="679"/>
  <c r="AX44" i="679"/>
  <c r="AY44" i="679"/>
  <c r="AZ44" i="679"/>
  <c r="BA44" i="679"/>
  <c r="BB44" i="679"/>
  <c r="BC44" i="679"/>
  <c r="AI45" i="679"/>
  <c r="AJ45" i="679"/>
  <c r="AK45" i="679"/>
  <c r="AL45" i="679"/>
  <c r="AM45" i="679"/>
  <c r="AN45" i="679"/>
  <c r="AO45" i="679"/>
  <c r="AP45" i="679"/>
  <c r="AQ45" i="679"/>
  <c r="AR45" i="679"/>
  <c r="AS45" i="679"/>
  <c r="AT45" i="679"/>
  <c r="AU45" i="679"/>
  <c r="AV45" i="679"/>
  <c r="AW45" i="679"/>
  <c r="AX45" i="679"/>
  <c r="AY45" i="679"/>
  <c r="AZ45" i="679"/>
  <c r="BA45" i="679"/>
  <c r="BB45" i="679"/>
  <c r="BC45" i="679"/>
  <c r="AI46" i="679"/>
  <c r="AJ46" i="679"/>
  <c r="AK46" i="679"/>
  <c r="AL46" i="679"/>
  <c r="AM46" i="679"/>
  <c r="AN46" i="679"/>
  <c r="AO46" i="679"/>
  <c r="AP46" i="679"/>
  <c r="AQ46" i="679"/>
  <c r="AR46" i="679"/>
  <c r="AS46" i="679"/>
  <c r="AT46" i="679"/>
  <c r="AU46" i="679"/>
  <c r="AV46" i="679"/>
  <c r="AW46" i="679"/>
  <c r="AX46" i="679"/>
  <c r="AY46" i="679"/>
  <c r="AZ46" i="679"/>
  <c r="BA46" i="679"/>
  <c r="BB46" i="679"/>
  <c r="BC46" i="679"/>
  <c r="AI47" i="679"/>
  <c r="AJ47" i="679"/>
  <c r="AK47" i="679"/>
  <c r="AL47" i="679"/>
  <c r="AM47" i="679"/>
  <c r="AN47" i="679"/>
  <c r="AO47" i="679"/>
  <c r="AP47" i="679"/>
  <c r="AQ47" i="679"/>
  <c r="AR47" i="679"/>
  <c r="AS47" i="679"/>
  <c r="AT47" i="679"/>
  <c r="AU47" i="679"/>
  <c r="AV47" i="679"/>
  <c r="AW47" i="679"/>
  <c r="AX47" i="679"/>
  <c r="AY47" i="679"/>
  <c r="AZ47" i="679"/>
  <c r="BA47" i="679"/>
  <c r="BB47" i="679"/>
  <c r="BC47" i="679"/>
  <c r="AI48" i="679"/>
  <c r="AJ48" i="679"/>
  <c r="AK48" i="679"/>
  <c r="AL48" i="679"/>
  <c r="AM48" i="679"/>
  <c r="AN48" i="679"/>
  <c r="AO48" i="679"/>
  <c r="AP48" i="679"/>
  <c r="AQ48" i="679"/>
  <c r="AR48" i="679"/>
  <c r="AS48" i="679"/>
  <c r="AT48" i="679"/>
  <c r="AU48" i="679"/>
  <c r="AV48" i="679"/>
  <c r="AW48" i="679"/>
  <c r="AX48" i="679"/>
  <c r="AY48" i="679"/>
  <c r="AZ48" i="679"/>
  <c r="BA48" i="679"/>
  <c r="BB48" i="679"/>
  <c r="BC48" i="679"/>
  <c r="AI49" i="679"/>
  <c r="L159" i="680" s="1"/>
  <c r="AJ49" i="679"/>
  <c r="AK49" i="679"/>
  <c r="N159" i="680" s="1"/>
  <c r="AL49" i="679"/>
  <c r="AM49" i="679"/>
  <c r="P159" i="680" s="1"/>
  <c r="AN49" i="679"/>
  <c r="AO49" i="679"/>
  <c r="R159" i="680" s="1"/>
  <c r="AP49" i="679"/>
  <c r="AQ49" i="679"/>
  <c r="T159" i="680" s="1"/>
  <c r="AR49" i="679"/>
  <c r="AS49" i="679"/>
  <c r="V159" i="680" s="1"/>
  <c r="AT49" i="679"/>
  <c r="W159" i="680" s="1"/>
  <c r="AU49" i="679"/>
  <c r="X159" i="680" s="1"/>
  <c r="AV49" i="679"/>
  <c r="AW49" i="679"/>
  <c r="Z159" i="680" s="1"/>
  <c r="AX49" i="679"/>
  <c r="AY49" i="679"/>
  <c r="AB159" i="680" s="1"/>
  <c r="AZ49" i="679"/>
  <c r="AC159" i="680" s="1"/>
  <c r="BA49" i="679"/>
  <c r="AD159" i="680" s="1"/>
  <c r="BB49" i="679"/>
  <c r="AE159" i="680" s="1"/>
  <c r="BC49" i="679"/>
  <c r="AF159" i="680" s="1"/>
  <c r="AI50" i="679"/>
  <c r="AJ50" i="679"/>
  <c r="AK50" i="679"/>
  <c r="AL50" i="679"/>
  <c r="AM50" i="679"/>
  <c r="AN50" i="679"/>
  <c r="AO50" i="679"/>
  <c r="AP50" i="679"/>
  <c r="AQ50" i="679"/>
  <c r="AR50" i="679"/>
  <c r="AS50" i="679"/>
  <c r="AT50" i="679"/>
  <c r="AU50" i="679"/>
  <c r="AV50" i="679"/>
  <c r="AW50" i="679"/>
  <c r="AX50" i="679"/>
  <c r="AY50" i="679"/>
  <c r="AZ50" i="679"/>
  <c r="BA50" i="679"/>
  <c r="BB50" i="679"/>
  <c r="BC50" i="679"/>
  <c r="AI51" i="679"/>
  <c r="AJ51" i="679"/>
  <c r="AK51" i="679"/>
  <c r="AL51" i="679"/>
  <c r="AM51" i="679"/>
  <c r="AN51" i="679"/>
  <c r="AO51" i="679"/>
  <c r="AP51" i="679"/>
  <c r="AQ51" i="679"/>
  <c r="AR51" i="679"/>
  <c r="AS51" i="679"/>
  <c r="AT51" i="679"/>
  <c r="AU51" i="679"/>
  <c r="AV51" i="679"/>
  <c r="AW51" i="679"/>
  <c r="AX51" i="679"/>
  <c r="AY51" i="679"/>
  <c r="AZ51" i="679"/>
  <c r="BA51" i="679"/>
  <c r="BB51" i="679"/>
  <c r="BC51" i="679"/>
  <c r="AI52" i="679"/>
  <c r="AJ52" i="679"/>
  <c r="AK52" i="679"/>
  <c r="AL52" i="679"/>
  <c r="AM52" i="679"/>
  <c r="AN52" i="679"/>
  <c r="AO52" i="679"/>
  <c r="AP52" i="679"/>
  <c r="AQ52" i="679"/>
  <c r="AR52" i="679"/>
  <c r="AS52" i="679"/>
  <c r="AT52" i="679"/>
  <c r="AU52" i="679"/>
  <c r="AV52" i="679"/>
  <c r="AW52" i="679"/>
  <c r="AX52" i="679"/>
  <c r="AY52" i="679"/>
  <c r="AZ52" i="679"/>
  <c r="BA52" i="679"/>
  <c r="BB52" i="679"/>
  <c r="BC52" i="679"/>
  <c r="AI53" i="679"/>
  <c r="AJ53" i="679"/>
  <c r="AK53" i="679"/>
  <c r="AL53" i="679"/>
  <c r="AM53" i="679"/>
  <c r="AN53" i="679"/>
  <c r="AO53" i="679"/>
  <c r="AP53" i="679"/>
  <c r="AQ53" i="679"/>
  <c r="AR53" i="679"/>
  <c r="AS53" i="679"/>
  <c r="AT53" i="679"/>
  <c r="AU53" i="679"/>
  <c r="AV53" i="679"/>
  <c r="AW53" i="679"/>
  <c r="AX53" i="679"/>
  <c r="AY53" i="679"/>
  <c r="AZ53" i="679"/>
  <c r="BA53" i="679"/>
  <c r="BB53" i="679"/>
  <c r="BC53" i="679"/>
  <c r="AI54" i="679"/>
  <c r="AJ54" i="679"/>
  <c r="AK54" i="679"/>
  <c r="AL54" i="679"/>
  <c r="AM54" i="679"/>
  <c r="AN54" i="679"/>
  <c r="AO54" i="679"/>
  <c r="AP54" i="679"/>
  <c r="AQ54" i="679"/>
  <c r="AR54" i="679"/>
  <c r="AS54" i="679"/>
  <c r="AT54" i="679"/>
  <c r="AU54" i="679"/>
  <c r="AV54" i="679"/>
  <c r="AW54" i="679"/>
  <c r="AX54" i="679"/>
  <c r="AY54" i="679"/>
  <c r="AZ54" i="679"/>
  <c r="BA54" i="679"/>
  <c r="BB54" i="679"/>
  <c r="BC54" i="679"/>
  <c r="AI55" i="679"/>
  <c r="AJ55" i="679"/>
  <c r="AK55" i="679"/>
  <c r="AL55" i="679"/>
  <c r="AM55" i="679"/>
  <c r="AN55" i="679"/>
  <c r="AO55" i="679"/>
  <c r="AP55" i="679"/>
  <c r="AQ55" i="679"/>
  <c r="AR55" i="679"/>
  <c r="AS55" i="679"/>
  <c r="AT55" i="679"/>
  <c r="AU55" i="679"/>
  <c r="AV55" i="679"/>
  <c r="AW55" i="679"/>
  <c r="AX55" i="679"/>
  <c r="AY55" i="679"/>
  <c r="AZ55" i="679"/>
  <c r="BA55" i="679"/>
  <c r="BB55" i="679"/>
  <c r="BC55" i="679"/>
  <c r="AI56" i="679"/>
  <c r="AJ56" i="679"/>
  <c r="AK56" i="679"/>
  <c r="AL56" i="679"/>
  <c r="AM56" i="679"/>
  <c r="AN56" i="679"/>
  <c r="AO56" i="679"/>
  <c r="AP56" i="679"/>
  <c r="AQ56" i="679"/>
  <c r="AR56" i="679"/>
  <c r="AS56" i="679"/>
  <c r="AT56" i="679"/>
  <c r="AU56" i="679"/>
  <c r="AV56" i="679"/>
  <c r="AW56" i="679"/>
  <c r="AX56" i="679"/>
  <c r="AY56" i="679"/>
  <c r="AZ56" i="679"/>
  <c r="BA56" i="679"/>
  <c r="BB56" i="679"/>
  <c r="BC56" i="679"/>
  <c r="AI57" i="679"/>
  <c r="AJ57" i="679"/>
  <c r="AK57" i="679"/>
  <c r="AL57" i="679"/>
  <c r="AM57" i="679"/>
  <c r="AN57" i="679"/>
  <c r="AO57" i="679"/>
  <c r="AP57" i="679"/>
  <c r="AQ57" i="679"/>
  <c r="AR57" i="679"/>
  <c r="AS57" i="679"/>
  <c r="AT57" i="679"/>
  <c r="AU57" i="679"/>
  <c r="AV57" i="679"/>
  <c r="AW57" i="679"/>
  <c r="AX57" i="679"/>
  <c r="AY57" i="679"/>
  <c r="AZ57" i="679"/>
  <c r="BA57" i="679"/>
  <c r="BB57" i="679"/>
  <c r="BC57" i="679"/>
  <c r="AI58" i="679"/>
  <c r="AJ58" i="679"/>
  <c r="AK58" i="679"/>
  <c r="AL58" i="679"/>
  <c r="AM58" i="679"/>
  <c r="AN58" i="679"/>
  <c r="AO58" i="679"/>
  <c r="AP58" i="679"/>
  <c r="AQ58" i="679"/>
  <c r="AR58" i="679"/>
  <c r="AS58" i="679"/>
  <c r="AT58" i="679"/>
  <c r="AU58" i="679"/>
  <c r="AV58" i="679"/>
  <c r="AW58" i="679"/>
  <c r="AX58" i="679"/>
  <c r="AY58" i="679"/>
  <c r="AZ58" i="679"/>
  <c r="BA58" i="679"/>
  <c r="BB58" i="679"/>
  <c r="BC58" i="679"/>
  <c r="AI60" i="679"/>
  <c r="AJ60" i="679"/>
  <c r="AK60" i="679"/>
  <c r="AL60" i="679"/>
  <c r="AM60" i="679"/>
  <c r="AN60" i="679"/>
  <c r="AO60" i="679"/>
  <c r="AP60" i="679"/>
  <c r="AQ60" i="679"/>
  <c r="AR60" i="679"/>
  <c r="AS60" i="679"/>
  <c r="AT60" i="679"/>
  <c r="AU60" i="679"/>
  <c r="AV60" i="679"/>
  <c r="AW60" i="679"/>
  <c r="AX60" i="679"/>
  <c r="AY60" i="679"/>
  <c r="AZ60" i="679"/>
  <c r="BA60" i="679"/>
  <c r="BB60" i="679"/>
  <c r="BC60" i="679"/>
  <c r="AI61" i="679"/>
  <c r="AJ61" i="679"/>
  <c r="AK61" i="679"/>
  <c r="AL61" i="679"/>
  <c r="AM61" i="679"/>
  <c r="AN61" i="679"/>
  <c r="AO61" i="679"/>
  <c r="AP61" i="679"/>
  <c r="AQ61" i="679"/>
  <c r="AR61" i="679"/>
  <c r="AS61" i="679"/>
  <c r="AT61" i="679"/>
  <c r="AU61" i="679"/>
  <c r="AV61" i="679"/>
  <c r="AW61" i="679"/>
  <c r="AX61" i="679"/>
  <c r="AY61" i="679"/>
  <c r="AZ61" i="679"/>
  <c r="BA61" i="679"/>
  <c r="BB61" i="679"/>
  <c r="BC61" i="679"/>
  <c r="AI62" i="679"/>
  <c r="AJ62" i="679"/>
  <c r="AK62" i="679"/>
  <c r="AL62" i="679"/>
  <c r="AM62" i="679"/>
  <c r="AN62" i="679"/>
  <c r="AO62" i="679"/>
  <c r="AP62" i="679"/>
  <c r="AQ62" i="679"/>
  <c r="AR62" i="679"/>
  <c r="AS62" i="679"/>
  <c r="AT62" i="679"/>
  <c r="AU62" i="679"/>
  <c r="AV62" i="679"/>
  <c r="AW62" i="679"/>
  <c r="AX62" i="679"/>
  <c r="AY62" i="679"/>
  <c r="AZ62" i="679"/>
  <c r="BA62" i="679"/>
  <c r="BB62" i="679"/>
  <c r="BC62" i="679"/>
  <c r="AI63" i="679"/>
  <c r="AJ63" i="679"/>
  <c r="AK63" i="679"/>
  <c r="AL63" i="679"/>
  <c r="AM63" i="679"/>
  <c r="AN63" i="679"/>
  <c r="AO63" i="679"/>
  <c r="AP63" i="679"/>
  <c r="AQ63" i="679"/>
  <c r="AR63" i="679"/>
  <c r="AS63" i="679"/>
  <c r="AT63" i="679"/>
  <c r="AU63" i="679"/>
  <c r="AV63" i="679"/>
  <c r="AW63" i="679"/>
  <c r="AX63" i="679"/>
  <c r="AY63" i="679"/>
  <c r="AZ63" i="679"/>
  <c r="BA63" i="679"/>
  <c r="BB63" i="679"/>
  <c r="BC63" i="679"/>
  <c r="AI64" i="679"/>
  <c r="AJ64" i="679"/>
  <c r="AK64" i="679"/>
  <c r="AL64" i="679"/>
  <c r="AM64" i="679"/>
  <c r="AN64" i="679"/>
  <c r="AO64" i="679"/>
  <c r="AP64" i="679"/>
  <c r="AQ64" i="679"/>
  <c r="AR64" i="679"/>
  <c r="AS64" i="679"/>
  <c r="AT64" i="679"/>
  <c r="AU64" i="679"/>
  <c r="AV64" i="679"/>
  <c r="AW64" i="679"/>
  <c r="AX64" i="679"/>
  <c r="AY64" i="679"/>
  <c r="AZ64" i="679"/>
  <c r="BA64" i="679"/>
  <c r="BB64" i="679"/>
  <c r="BC64" i="679"/>
  <c r="AI65" i="679"/>
  <c r="AJ65" i="679"/>
  <c r="AK65" i="679"/>
  <c r="AL65" i="679"/>
  <c r="AM65" i="679"/>
  <c r="AN65" i="679"/>
  <c r="AO65" i="679"/>
  <c r="AP65" i="679"/>
  <c r="AQ65" i="679"/>
  <c r="AR65" i="679"/>
  <c r="AS65" i="679"/>
  <c r="AT65" i="679"/>
  <c r="AU65" i="679"/>
  <c r="AV65" i="679"/>
  <c r="AW65" i="679"/>
  <c r="AX65" i="679"/>
  <c r="AY65" i="679"/>
  <c r="AZ65" i="679"/>
  <c r="BA65" i="679"/>
  <c r="BB65" i="679"/>
  <c r="BC65" i="679"/>
  <c r="AI66" i="679"/>
  <c r="AJ66" i="679"/>
  <c r="AK66" i="679"/>
  <c r="AL66" i="679"/>
  <c r="AM66" i="679"/>
  <c r="AN66" i="679"/>
  <c r="AO66" i="679"/>
  <c r="AP66" i="679"/>
  <c r="AQ66" i="679"/>
  <c r="AR66" i="679"/>
  <c r="AS66" i="679"/>
  <c r="AT66" i="679"/>
  <c r="AU66" i="679"/>
  <c r="AV66" i="679"/>
  <c r="AW66" i="679"/>
  <c r="AX66" i="679"/>
  <c r="AY66" i="679"/>
  <c r="AZ66" i="679"/>
  <c r="BA66" i="679"/>
  <c r="BB66" i="679"/>
  <c r="BC66" i="679"/>
  <c r="AI67" i="679"/>
  <c r="AJ67" i="679"/>
  <c r="AK67" i="679"/>
  <c r="AL67" i="679"/>
  <c r="AM67" i="679"/>
  <c r="AN67" i="679"/>
  <c r="AO67" i="679"/>
  <c r="AP67" i="679"/>
  <c r="AQ67" i="679"/>
  <c r="AR67" i="679"/>
  <c r="AS67" i="679"/>
  <c r="AT67" i="679"/>
  <c r="AU67" i="679"/>
  <c r="AV67" i="679"/>
  <c r="AW67" i="679"/>
  <c r="AX67" i="679"/>
  <c r="AY67" i="679"/>
  <c r="AZ67" i="679"/>
  <c r="BA67" i="679"/>
  <c r="BB67" i="679"/>
  <c r="BC67" i="679"/>
  <c r="AI68" i="679"/>
  <c r="AJ68" i="679"/>
  <c r="AK68" i="679"/>
  <c r="AL68" i="679"/>
  <c r="AM68" i="679"/>
  <c r="AN68" i="679"/>
  <c r="AO68" i="679"/>
  <c r="AP68" i="679"/>
  <c r="AQ68" i="679"/>
  <c r="AR68" i="679"/>
  <c r="AS68" i="679"/>
  <c r="AT68" i="679"/>
  <c r="AU68" i="679"/>
  <c r="AV68" i="679"/>
  <c r="AW68" i="679"/>
  <c r="AX68" i="679"/>
  <c r="AY68" i="679"/>
  <c r="AZ68" i="679"/>
  <c r="BA68" i="679"/>
  <c r="BB68" i="679"/>
  <c r="BC68" i="679"/>
  <c r="AI69" i="679"/>
  <c r="AJ69" i="679"/>
  <c r="AK69" i="679"/>
  <c r="AL69" i="679"/>
  <c r="AM69" i="679"/>
  <c r="AN69" i="679"/>
  <c r="AO69" i="679"/>
  <c r="AP69" i="679"/>
  <c r="AQ69" i="679"/>
  <c r="AR69" i="679"/>
  <c r="AS69" i="679"/>
  <c r="AT69" i="679"/>
  <c r="AU69" i="679"/>
  <c r="AV69" i="679"/>
  <c r="AW69" i="679"/>
  <c r="AX69" i="679"/>
  <c r="AY69" i="679"/>
  <c r="AZ69" i="679"/>
  <c r="BA69" i="679"/>
  <c r="BB69" i="679"/>
  <c r="BC69" i="679"/>
  <c r="AI70" i="679"/>
  <c r="AJ70" i="679"/>
  <c r="AK70" i="679"/>
  <c r="AL70" i="679"/>
  <c r="AM70" i="679"/>
  <c r="AN70" i="679"/>
  <c r="AO70" i="679"/>
  <c r="AP70" i="679"/>
  <c r="AQ70" i="679"/>
  <c r="AR70" i="679"/>
  <c r="AS70" i="679"/>
  <c r="AT70" i="679"/>
  <c r="AU70" i="679"/>
  <c r="AV70" i="679"/>
  <c r="AW70" i="679"/>
  <c r="AX70" i="679"/>
  <c r="AY70" i="679"/>
  <c r="AZ70" i="679"/>
  <c r="BA70" i="679"/>
  <c r="BB70" i="679"/>
  <c r="BC70" i="679"/>
  <c r="AI71" i="679"/>
  <c r="AJ71" i="679"/>
  <c r="AK71" i="679"/>
  <c r="AL71" i="679"/>
  <c r="AM71" i="679"/>
  <c r="AN71" i="679"/>
  <c r="AO71" i="679"/>
  <c r="AP71" i="679"/>
  <c r="AQ71" i="679"/>
  <c r="AR71" i="679"/>
  <c r="AS71" i="679"/>
  <c r="AT71" i="679"/>
  <c r="AU71" i="679"/>
  <c r="AV71" i="679"/>
  <c r="AW71" i="679"/>
  <c r="AX71" i="679"/>
  <c r="AY71" i="679"/>
  <c r="AZ71" i="679"/>
  <c r="BA71" i="679"/>
  <c r="BB71" i="679"/>
  <c r="BC71" i="679"/>
  <c r="AI72" i="679"/>
  <c r="AJ72" i="679"/>
  <c r="AK72" i="679"/>
  <c r="AL72" i="679"/>
  <c r="AM72" i="679"/>
  <c r="AN72" i="679"/>
  <c r="AO72" i="679"/>
  <c r="AP72" i="679"/>
  <c r="AQ72" i="679"/>
  <c r="AR72" i="679"/>
  <c r="AS72" i="679"/>
  <c r="AT72" i="679"/>
  <c r="AU72" i="679"/>
  <c r="AV72" i="679"/>
  <c r="AW72" i="679"/>
  <c r="AX72" i="679"/>
  <c r="AY72" i="679"/>
  <c r="AZ72" i="679"/>
  <c r="BA72" i="679"/>
  <c r="BB72" i="679"/>
  <c r="BC72" i="679"/>
  <c r="AI73" i="679"/>
  <c r="AJ73" i="679"/>
  <c r="AK73" i="679"/>
  <c r="AL73" i="679"/>
  <c r="AM73" i="679"/>
  <c r="AN73" i="679"/>
  <c r="AO73" i="679"/>
  <c r="AP73" i="679"/>
  <c r="AQ73" i="679"/>
  <c r="AR73" i="679"/>
  <c r="AS73" i="679"/>
  <c r="AT73" i="679"/>
  <c r="AU73" i="679"/>
  <c r="AV73" i="679"/>
  <c r="AW73" i="679"/>
  <c r="AX73" i="679"/>
  <c r="AY73" i="679"/>
  <c r="AZ73" i="679"/>
  <c r="BA73" i="679"/>
  <c r="BB73" i="679"/>
  <c r="BC73" i="679"/>
  <c r="AI74" i="679"/>
  <c r="AJ74" i="679"/>
  <c r="AK74" i="679"/>
  <c r="AL74" i="679"/>
  <c r="AM74" i="679"/>
  <c r="AN74" i="679"/>
  <c r="AO74" i="679"/>
  <c r="AP74" i="679"/>
  <c r="AQ74" i="679"/>
  <c r="AR74" i="679"/>
  <c r="AS74" i="679"/>
  <c r="AT74" i="679"/>
  <c r="AU74" i="679"/>
  <c r="AV74" i="679"/>
  <c r="AW74" i="679"/>
  <c r="AX74" i="679"/>
  <c r="AY74" i="679"/>
  <c r="AZ74" i="679"/>
  <c r="BA74" i="679"/>
  <c r="BB74" i="679"/>
  <c r="BC74" i="679"/>
  <c r="AI75" i="679"/>
  <c r="AJ75" i="679"/>
  <c r="AK75" i="679"/>
  <c r="AL75" i="679"/>
  <c r="AM75" i="679"/>
  <c r="AN75" i="679"/>
  <c r="AO75" i="679"/>
  <c r="AP75" i="679"/>
  <c r="AQ75" i="679"/>
  <c r="AR75" i="679"/>
  <c r="AS75" i="679"/>
  <c r="AT75" i="679"/>
  <c r="AU75" i="679"/>
  <c r="AV75" i="679"/>
  <c r="AW75" i="679"/>
  <c r="AX75" i="679"/>
  <c r="AY75" i="679"/>
  <c r="AZ75" i="679"/>
  <c r="BA75" i="679"/>
  <c r="BB75" i="679"/>
  <c r="BC75" i="679"/>
  <c r="AI76" i="679"/>
  <c r="AJ76" i="679"/>
  <c r="AK76" i="679"/>
  <c r="AL76" i="679"/>
  <c r="AM76" i="679"/>
  <c r="AN76" i="679"/>
  <c r="AO76" i="679"/>
  <c r="AP76" i="679"/>
  <c r="AQ76" i="679"/>
  <c r="AR76" i="679"/>
  <c r="AS76" i="679"/>
  <c r="AT76" i="679"/>
  <c r="AU76" i="679"/>
  <c r="AV76" i="679"/>
  <c r="AW76" i="679"/>
  <c r="AX76" i="679"/>
  <c r="AY76" i="679"/>
  <c r="AZ76" i="679"/>
  <c r="BA76" i="679"/>
  <c r="BB76" i="679"/>
  <c r="BC76" i="679"/>
  <c r="AI77" i="679"/>
  <c r="AJ77" i="679"/>
  <c r="AK77" i="679"/>
  <c r="AL77" i="679"/>
  <c r="AM77" i="679"/>
  <c r="AN77" i="679"/>
  <c r="AO77" i="679"/>
  <c r="AP77" i="679"/>
  <c r="AQ77" i="679"/>
  <c r="AR77" i="679"/>
  <c r="AS77" i="679"/>
  <c r="AT77" i="679"/>
  <c r="AU77" i="679"/>
  <c r="AV77" i="679"/>
  <c r="AW77" i="679"/>
  <c r="AX77" i="679"/>
  <c r="AY77" i="679"/>
  <c r="AZ77" i="679"/>
  <c r="BA77" i="679"/>
  <c r="BB77" i="679"/>
  <c r="BC77" i="679"/>
  <c r="AI78" i="679"/>
  <c r="AJ78" i="679"/>
  <c r="AK78" i="679"/>
  <c r="AL78" i="679"/>
  <c r="AM78" i="679"/>
  <c r="AN78" i="679"/>
  <c r="AO78" i="679"/>
  <c r="AP78" i="679"/>
  <c r="AQ78" i="679"/>
  <c r="AR78" i="679"/>
  <c r="AS78" i="679"/>
  <c r="AT78" i="679"/>
  <c r="AU78" i="679"/>
  <c r="AV78" i="679"/>
  <c r="AW78" i="679"/>
  <c r="AX78" i="679"/>
  <c r="AY78" i="679"/>
  <c r="AZ78" i="679"/>
  <c r="BA78" i="679"/>
  <c r="BB78" i="679"/>
  <c r="BC78" i="679"/>
  <c r="AI79" i="679"/>
  <c r="AJ79" i="679"/>
  <c r="AK79" i="679"/>
  <c r="AL79" i="679"/>
  <c r="AM79" i="679"/>
  <c r="AN79" i="679"/>
  <c r="AO79" i="679"/>
  <c r="AP79" i="679"/>
  <c r="AQ79" i="679"/>
  <c r="AR79" i="679"/>
  <c r="AS79" i="679"/>
  <c r="AT79" i="679"/>
  <c r="AU79" i="679"/>
  <c r="AV79" i="679"/>
  <c r="AW79" i="679"/>
  <c r="AX79" i="679"/>
  <c r="AY79" i="679"/>
  <c r="AZ79" i="679"/>
  <c r="BA79" i="679"/>
  <c r="BB79" i="679"/>
  <c r="BC79" i="679"/>
  <c r="AI80" i="679"/>
  <c r="AJ80" i="679"/>
  <c r="AK80" i="679"/>
  <c r="AL80" i="679"/>
  <c r="AM80" i="679"/>
  <c r="AN80" i="679"/>
  <c r="AO80" i="679"/>
  <c r="AP80" i="679"/>
  <c r="AQ80" i="679"/>
  <c r="AR80" i="679"/>
  <c r="AS80" i="679"/>
  <c r="AT80" i="679"/>
  <c r="AU80" i="679"/>
  <c r="AV80" i="679"/>
  <c r="AW80" i="679"/>
  <c r="AX80" i="679"/>
  <c r="AY80" i="679"/>
  <c r="AZ80" i="679"/>
  <c r="BA80" i="679"/>
  <c r="BB80" i="679"/>
  <c r="BC80" i="679"/>
  <c r="AI81" i="679"/>
  <c r="AJ81" i="679"/>
  <c r="AK81" i="679"/>
  <c r="AL81" i="679"/>
  <c r="AM81" i="679"/>
  <c r="AN81" i="679"/>
  <c r="AO81" i="679"/>
  <c r="AP81" i="679"/>
  <c r="AQ81" i="679"/>
  <c r="AR81" i="679"/>
  <c r="AS81" i="679"/>
  <c r="AT81" i="679"/>
  <c r="AU81" i="679"/>
  <c r="AV81" i="679"/>
  <c r="AW81" i="679"/>
  <c r="AX81" i="679"/>
  <c r="AY81" i="679"/>
  <c r="AZ81" i="679"/>
  <c r="BA81" i="679"/>
  <c r="BB81" i="679"/>
  <c r="BC81" i="679"/>
  <c r="AI82" i="679"/>
  <c r="AJ82" i="679"/>
  <c r="AK82" i="679"/>
  <c r="AL82" i="679"/>
  <c r="AM82" i="679"/>
  <c r="AN82" i="679"/>
  <c r="AO82" i="679"/>
  <c r="AP82" i="679"/>
  <c r="AQ82" i="679"/>
  <c r="AR82" i="679"/>
  <c r="AS82" i="679"/>
  <c r="AT82" i="679"/>
  <c r="AU82" i="679"/>
  <c r="AV82" i="679"/>
  <c r="AW82" i="679"/>
  <c r="AX82" i="679"/>
  <c r="AY82" i="679"/>
  <c r="AZ82" i="679"/>
  <c r="BA82" i="679"/>
  <c r="BB82" i="679"/>
  <c r="BC82" i="679"/>
  <c r="AI83" i="679"/>
  <c r="AJ83" i="679"/>
  <c r="AK83" i="679"/>
  <c r="AL83" i="679"/>
  <c r="AM83" i="679"/>
  <c r="AN83" i="679"/>
  <c r="AO83" i="679"/>
  <c r="AP83" i="679"/>
  <c r="AQ83" i="679"/>
  <c r="AR83" i="679"/>
  <c r="AS83" i="679"/>
  <c r="AT83" i="679"/>
  <c r="AU83" i="679"/>
  <c r="AV83" i="679"/>
  <c r="AW83" i="679"/>
  <c r="AX83" i="679"/>
  <c r="AY83" i="679"/>
  <c r="AZ83" i="679"/>
  <c r="BA83" i="679"/>
  <c r="BB83" i="679"/>
  <c r="BC83" i="679"/>
  <c r="AI84" i="679"/>
  <c r="AJ84" i="679"/>
  <c r="AK84" i="679"/>
  <c r="AL84" i="679"/>
  <c r="AM84" i="679"/>
  <c r="AN84" i="679"/>
  <c r="AO84" i="679"/>
  <c r="AP84" i="679"/>
  <c r="AQ84" i="679"/>
  <c r="AR84" i="679"/>
  <c r="AS84" i="679"/>
  <c r="AT84" i="679"/>
  <c r="AU84" i="679"/>
  <c r="AV84" i="679"/>
  <c r="AW84" i="679"/>
  <c r="AX84" i="679"/>
  <c r="AY84" i="679"/>
  <c r="AZ84" i="679"/>
  <c r="BA84" i="679"/>
  <c r="BB84" i="679"/>
  <c r="BC84" i="679"/>
  <c r="AI85" i="679"/>
  <c r="AJ85" i="679"/>
  <c r="AK85" i="679"/>
  <c r="AL85" i="679"/>
  <c r="AM85" i="679"/>
  <c r="AN85" i="679"/>
  <c r="AO85" i="679"/>
  <c r="AP85" i="679"/>
  <c r="AQ85" i="679"/>
  <c r="AR85" i="679"/>
  <c r="AS85" i="679"/>
  <c r="AT85" i="679"/>
  <c r="AU85" i="679"/>
  <c r="AV85" i="679"/>
  <c r="AW85" i="679"/>
  <c r="AX85" i="679"/>
  <c r="AY85" i="679"/>
  <c r="AZ85" i="679"/>
  <c r="BA85" i="679"/>
  <c r="BB85" i="679"/>
  <c r="BC85" i="679"/>
  <c r="AI86" i="679"/>
  <c r="AJ86" i="679"/>
  <c r="AK86" i="679"/>
  <c r="AL86" i="679"/>
  <c r="AM86" i="679"/>
  <c r="AN86" i="679"/>
  <c r="AO86" i="679"/>
  <c r="AP86" i="679"/>
  <c r="AQ86" i="679"/>
  <c r="AR86" i="679"/>
  <c r="AS86" i="679"/>
  <c r="AT86" i="679"/>
  <c r="AU86" i="679"/>
  <c r="AV86" i="679"/>
  <c r="AW86" i="679"/>
  <c r="AX86" i="679"/>
  <c r="AY86" i="679"/>
  <c r="AZ86" i="679"/>
  <c r="BA86" i="679"/>
  <c r="BB86" i="679"/>
  <c r="BC86" i="679"/>
  <c r="AI87" i="679"/>
  <c r="AJ87" i="679"/>
  <c r="AK87" i="679"/>
  <c r="AL87" i="679"/>
  <c r="AM87" i="679"/>
  <c r="AN87" i="679"/>
  <c r="AO87" i="679"/>
  <c r="AP87" i="679"/>
  <c r="AQ87" i="679"/>
  <c r="AR87" i="679"/>
  <c r="AS87" i="679"/>
  <c r="AT87" i="679"/>
  <c r="AU87" i="679"/>
  <c r="AV87" i="679"/>
  <c r="AW87" i="679"/>
  <c r="AX87" i="679"/>
  <c r="AY87" i="679"/>
  <c r="AZ87" i="679"/>
  <c r="BA87" i="679"/>
  <c r="BB87" i="679"/>
  <c r="BC87" i="679"/>
  <c r="AI88" i="679"/>
  <c r="AJ88" i="679"/>
  <c r="AK88" i="679"/>
  <c r="AL88" i="679"/>
  <c r="AM88" i="679"/>
  <c r="AN88" i="679"/>
  <c r="AO88" i="679"/>
  <c r="AP88" i="679"/>
  <c r="AQ88" i="679"/>
  <c r="AR88" i="679"/>
  <c r="AS88" i="679"/>
  <c r="AT88" i="679"/>
  <c r="AU88" i="679"/>
  <c r="AV88" i="679"/>
  <c r="AW88" i="679"/>
  <c r="AX88" i="679"/>
  <c r="AY88" i="679"/>
  <c r="AZ88" i="679"/>
  <c r="BA88" i="679"/>
  <c r="BB88" i="679"/>
  <c r="BC88" i="679"/>
  <c r="AI89" i="679"/>
  <c r="AJ89" i="679"/>
  <c r="AK89" i="679"/>
  <c r="AL89" i="679"/>
  <c r="AM89" i="679"/>
  <c r="AN89" i="679"/>
  <c r="AO89" i="679"/>
  <c r="AP89" i="679"/>
  <c r="AQ89" i="679"/>
  <c r="AR89" i="679"/>
  <c r="AS89" i="679"/>
  <c r="AT89" i="679"/>
  <c r="AU89" i="679"/>
  <c r="AV89" i="679"/>
  <c r="AW89" i="679"/>
  <c r="AX89" i="679"/>
  <c r="AY89" i="679"/>
  <c r="AZ89" i="679"/>
  <c r="BA89" i="679"/>
  <c r="BB89" i="679"/>
  <c r="BC89" i="679"/>
  <c r="AI90" i="679"/>
  <c r="AJ90" i="679"/>
  <c r="AK90" i="679"/>
  <c r="AL90" i="679"/>
  <c r="AM90" i="679"/>
  <c r="AN90" i="679"/>
  <c r="AO90" i="679"/>
  <c r="AP90" i="679"/>
  <c r="AQ90" i="679"/>
  <c r="AR90" i="679"/>
  <c r="AS90" i="679"/>
  <c r="AT90" i="679"/>
  <c r="AU90" i="679"/>
  <c r="AV90" i="679"/>
  <c r="AW90" i="679"/>
  <c r="AX90" i="679"/>
  <c r="AY90" i="679"/>
  <c r="AZ90" i="679"/>
  <c r="BA90" i="679"/>
  <c r="BB90" i="679"/>
  <c r="BC90" i="679"/>
  <c r="AI91" i="679"/>
  <c r="AJ91" i="679"/>
  <c r="AK91" i="679"/>
  <c r="AL91" i="679"/>
  <c r="AM91" i="679"/>
  <c r="AN91" i="679"/>
  <c r="AO91" i="679"/>
  <c r="AP91" i="679"/>
  <c r="AQ91" i="679"/>
  <c r="AR91" i="679"/>
  <c r="AS91" i="679"/>
  <c r="AT91" i="679"/>
  <c r="AU91" i="679"/>
  <c r="AV91" i="679"/>
  <c r="AW91" i="679"/>
  <c r="AX91" i="679"/>
  <c r="AY91" i="679"/>
  <c r="AZ91" i="679"/>
  <c r="BA91" i="679"/>
  <c r="BB91" i="679"/>
  <c r="BC91" i="679"/>
  <c r="AI92" i="679"/>
  <c r="AJ92" i="679"/>
  <c r="AK92" i="679"/>
  <c r="AL92" i="679"/>
  <c r="AM92" i="679"/>
  <c r="AN92" i="679"/>
  <c r="AO92" i="679"/>
  <c r="AP92" i="679"/>
  <c r="AQ92" i="679"/>
  <c r="AR92" i="679"/>
  <c r="AS92" i="679"/>
  <c r="AT92" i="679"/>
  <c r="AU92" i="679"/>
  <c r="AV92" i="679"/>
  <c r="AW92" i="679"/>
  <c r="AX92" i="679"/>
  <c r="AY92" i="679"/>
  <c r="AZ92" i="679"/>
  <c r="BA92" i="679"/>
  <c r="BB92" i="679"/>
  <c r="BC92" i="679"/>
  <c r="AI93" i="679"/>
  <c r="AJ93" i="679"/>
  <c r="AK93" i="679"/>
  <c r="AL93" i="679"/>
  <c r="AM93" i="679"/>
  <c r="AN93" i="679"/>
  <c r="AO93" i="679"/>
  <c r="AP93" i="679"/>
  <c r="AQ93" i="679"/>
  <c r="AR93" i="679"/>
  <c r="AS93" i="679"/>
  <c r="AT93" i="679"/>
  <c r="AU93" i="679"/>
  <c r="AV93" i="679"/>
  <c r="AW93" i="679"/>
  <c r="AX93" i="679"/>
  <c r="AY93" i="679"/>
  <c r="AZ93" i="679"/>
  <c r="BA93" i="679"/>
  <c r="BB93" i="679"/>
  <c r="BC93" i="679"/>
  <c r="AI94" i="679"/>
  <c r="AJ94" i="679"/>
  <c r="AK94" i="679"/>
  <c r="AL94" i="679"/>
  <c r="AM94" i="679"/>
  <c r="AN94" i="679"/>
  <c r="AO94" i="679"/>
  <c r="AP94" i="679"/>
  <c r="AQ94" i="679"/>
  <c r="AR94" i="679"/>
  <c r="AS94" i="679"/>
  <c r="AT94" i="679"/>
  <c r="AU94" i="679"/>
  <c r="AV94" i="679"/>
  <c r="AW94" i="679"/>
  <c r="AX94" i="679"/>
  <c r="AY94" i="679"/>
  <c r="AZ94" i="679"/>
  <c r="BA94" i="679"/>
  <c r="BB94" i="679"/>
  <c r="BC94" i="679"/>
  <c r="AI95" i="679"/>
  <c r="AJ95" i="679"/>
  <c r="AK95" i="679"/>
  <c r="AL95" i="679"/>
  <c r="AM95" i="679"/>
  <c r="AN95" i="679"/>
  <c r="AO95" i="679"/>
  <c r="AP95" i="679"/>
  <c r="AQ95" i="679"/>
  <c r="AR95" i="679"/>
  <c r="AS95" i="679"/>
  <c r="AT95" i="679"/>
  <c r="AU95" i="679"/>
  <c r="AV95" i="679"/>
  <c r="AW95" i="679"/>
  <c r="AX95" i="679"/>
  <c r="AY95" i="679"/>
  <c r="AZ95" i="679"/>
  <c r="BA95" i="679"/>
  <c r="BB95" i="679"/>
  <c r="BC95" i="679"/>
  <c r="AI96" i="679"/>
  <c r="AJ96" i="679"/>
  <c r="AK96" i="679"/>
  <c r="AL96" i="679"/>
  <c r="AM96" i="679"/>
  <c r="AN96" i="679"/>
  <c r="AO96" i="679"/>
  <c r="AP96" i="679"/>
  <c r="AQ96" i="679"/>
  <c r="AR96" i="679"/>
  <c r="AS96" i="679"/>
  <c r="AT96" i="679"/>
  <c r="AU96" i="679"/>
  <c r="AV96" i="679"/>
  <c r="AW96" i="679"/>
  <c r="AX96" i="679"/>
  <c r="AY96" i="679"/>
  <c r="AZ96" i="679"/>
  <c r="BA96" i="679"/>
  <c r="BB96" i="679"/>
  <c r="BC96" i="679"/>
  <c r="AI97" i="679"/>
  <c r="AJ97" i="679"/>
  <c r="AK97" i="679"/>
  <c r="AL97" i="679"/>
  <c r="AM97" i="679"/>
  <c r="AN97" i="679"/>
  <c r="AO97" i="679"/>
  <c r="AP97" i="679"/>
  <c r="AQ97" i="679"/>
  <c r="AR97" i="679"/>
  <c r="AS97" i="679"/>
  <c r="AT97" i="679"/>
  <c r="AU97" i="679"/>
  <c r="AV97" i="679"/>
  <c r="AW97" i="679"/>
  <c r="AX97" i="679"/>
  <c r="AY97" i="679"/>
  <c r="AZ97" i="679"/>
  <c r="BA97" i="679"/>
  <c r="BB97" i="679"/>
  <c r="BC97" i="679"/>
  <c r="AI98" i="679"/>
  <c r="AJ98" i="679"/>
  <c r="AK98" i="679"/>
  <c r="AL98" i="679"/>
  <c r="AM98" i="679"/>
  <c r="AN98" i="679"/>
  <c r="AO98" i="679"/>
  <c r="AP98" i="679"/>
  <c r="AQ98" i="679"/>
  <c r="AR98" i="679"/>
  <c r="AS98" i="679"/>
  <c r="AT98" i="679"/>
  <c r="AU98" i="679"/>
  <c r="AV98" i="679"/>
  <c r="AW98" i="679"/>
  <c r="AX98" i="679"/>
  <c r="AY98" i="679"/>
  <c r="AZ98" i="679"/>
  <c r="BA98" i="679"/>
  <c r="BB98" i="679"/>
  <c r="BC98" i="679"/>
  <c r="AI99" i="679"/>
  <c r="AJ99" i="679"/>
  <c r="AK99" i="679"/>
  <c r="AL99" i="679"/>
  <c r="AM99" i="679"/>
  <c r="AN99" i="679"/>
  <c r="AO99" i="679"/>
  <c r="AP99" i="679"/>
  <c r="AQ99" i="679"/>
  <c r="AR99" i="679"/>
  <c r="AS99" i="679"/>
  <c r="AT99" i="679"/>
  <c r="AU99" i="679"/>
  <c r="AV99" i="679"/>
  <c r="AW99" i="679"/>
  <c r="AX99" i="679"/>
  <c r="AY99" i="679"/>
  <c r="AZ99" i="679"/>
  <c r="BA99" i="679"/>
  <c r="BB99" i="679"/>
  <c r="BC99" i="679"/>
  <c r="AI100" i="679"/>
  <c r="AJ100" i="679"/>
  <c r="AK100" i="679"/>
  <c r="AL100" i="679"/>
  <c r="AM100" i="679"/>
  <c r="AN100" i="679"/>
  <c r="AO100" i="679"/>
  <c r="AP100" i="679"/>
  <c r="AQ100" i="679"/>
  <c r="AR100" i="679"/>
  <c r="AS100" i="679"/>
  <c r="AT100" i="679"/>
  <c r="AU100" i="679"/>
  <c r="AV100" i="679"/>
  <c r="AW100" i="679"/>
  <c r="AX100" i="679"/>
  <c r="AY100" i="679"/>
  <c r="AZ100" i="679"/>
  <c r="BA100" i="679"/>
  <c r="BB100" i="679"/>
  <c r="BC100" i="679"/>
  <c r="AI101" i="679"/>
  <c r="AJ101" i="679"/>
  <c r="AK101" i="679"/>
  <c r="AL101" i="679"/>
  <c r="AM101" i="679"/>
  <c r="AN101" i="679"/>
  <c r="AO101" i="679"/>
  <c r="AP101" i="679"/>
  <c r="AQ101" i="679"/>
  <c r="AR101" i="679"/>
  <c r="AS101" i="679"/>
  <c r="AT101" i="679"/>
  <c r="AU101" i="679"/>
  <c r="AV101" i="679"/>
  <c r="AW101" i="679"/>
  <c r="AX101" i="679"/>
  <c r="AY101" i="679"/>
  <c r="AZ101" i="679"/>
  <c r="BA101" i="679"/>
  <c r="BB101" i="679"/>
  <c r="BC101" i="679"/>
  <c r="AI102" i="679"/>
  <c r="AJ102" i="679"/>
  <c r="AK102" i="679"/>
  <c r="AL102" i="679"/>
  <c r="AM102" i="679"/>
  <c r="AN102" i="679"/>
  <c r="AO102" i="679"/>
  <c r="AP102" i="679"/>
  <c r="AQ102" i="679"/>
  <c r="AR102" i="679"/>
  <c r="AS102" i="679"/>
  <c r="AT102" i="679"/>
  <c r="AU102" i="679"/>
  <c r="AV102" i="679"/>
  <c r="AW102" i="679"/>
  <c r="AX102" i="679"/>
  <c r="AY102" i="679"/>
  <c r="AZ102" i="679"/>
  <c r="BA102" i="679"/>
  <c r="BB102" i="679"/>
  <c r="BC102" i="679"/>
  <c r="AI103" i="679"/>
  <c r="AJ103" i="679"/>
  <c r="AK103" i="679"/>
  <c r="AL103" i="679"/>
  <c r="AM103" i="679"/>
  <c r="AN103" i="679"/>
  <c r="AO103" i="679"/>
  <c r="AP103" i="679"/>
  <c r="AQ103" i="679"/>
  <c r="AR103" i="679"/>
  <c r="AS103" i="679"/>
  <c r="AT103" i="679"/>
  <c r="AU103" i="679"/>
  <c r="AV103" i="679"/>
  <c r="AW103" i="679"/>
  <c r="AX103" i="679"/>
  <c r="AY103" i="679"/>
  <c r="AZ103" i="679"/>
  <c r="BA103" i="679"/>
  <c r="BB103" i="679"/>
  <c r="BC103" i="679"/>
  <c r="AI104" i="679"/>
  <c r="AJ104" i="679"/>
  <c r="AK104" i="679"/>
  <c r="AL104" i="679"/>
  <c r="AM104" i="679"/>
  <c r="AN104" i="679"/>
  <c r="AO104" i="679"/>
  <c r="AP104" i="679"/>
  <c r="AQ104" i="679"/>
  <c r="AR104" i="679"/>
  <c r="AS104" i="679"/>
  <c r="AT104" i="679"/>
  <c r="AU104" i="679"/>
  <c r="AV104" i="679"/>
  <c r="AW104" i="679"/>
  <c r="AX104" i="679"/>
  <c r="AY104" i="679"/>
  <c r="AZ104" i="679"/>
  <c r="BA104" i="679"/>
  <c r="BB104" i="679"/>
  <c r="BC104" i="679"/>
  <c r="AI105" i="679"/>
  <c r="AJ105" i="679"/>
  <c r="AK105" i="679"/>
  <c r="AL105" i="679"/>
  <c r="AM105" i="679"/>
  <c r="AN105" i="679"/>
  <c r="AO105" i="679"/>
  <c r="AP105" i="679"/>
  <c r="AQ105" i="679"/>
  <c r="AR105" i="679"/>
  <c r="AS105" i="679"/>
  <c r="AT105" i="679"/>
  <c r="AU105" i="679"/>
  <c r="AV105" i="679"/>
  <c r="AW105" i="679"/>
  <c r="AX105" i="679"/>
  <c r="AY105" i="679"/>
  <c r="AZ105" i="679"/>
  <c r="BA105" i="679"/>
  <c r="BB105" i="679"/>
  <c r="BC105" i="679"/>
  <c r="AI106" i="679"/>
  <c r="AJ106" i="679"/>
  <c r="AK106" i="679"/>
  <c r="AL106" i="679"/>
  <c r="AM106" i="679"/>
  <c r="AN106" i="679"/>
  <c r="AO106" i="679"/>
  <c r="AP106" i="679"/>
  <c r="AQ106" i="679"/>
  <c r="AR106" i="679"/>
  <c r="AS106" i="679"/>
  <c r="AT106" i="679"/>
  <c r="AU106" i="679"/>
  <c r="AV106" i="679"/>
  <c r="AW106" i="679"/>
  <c r="AX106" i="679"/>
  <c r="AY106" i="679"/>
  <c r="AZ106" i="679"/>
  <c r="BA106" i="679"/>
  <c r="BB106" i="679"/>
  <c r="BC106" i="679"/>
  <c r="AI107" i="679"/>
  <c r="AJ107" i="679"/>
  <c r="AK107" i="679"/>
  <c r="AL107" i="679"/>
  <c r="AM107" i="679"/>
  <c r="AN107" i="679"/>
  <c r="AO107" i="679"/>
  <c r="AP107" i="679"/>
  <c r="AQ107" i="679"/>
  <c r="AR107" i="679"/>
  <c r="AS107" i="679"/>
  <c r="AT107" i="679"/>
  <c r="AU107" i="679"/>
  <c r="AV107" i="679"/>
  <c r="AW107" i="679"/>
  <c r="AX107" i="679"/>
  <c r="AY107" i="679"/>
  <c r="AZ107" i="679"/>
  <c r="BA107" i="679"/>
  <c r="BB107" i="679"/>
  <c r="BC107" i="679"/>
  <c r="AI108" i="679"/>
  <c r="AJ108" i="679"/>
  <c r="AK108" i="679"/>
  <c r="AL108" i="679"/>
  <c r="AM108" i="679"/>
  <c r="AN108" i="679"/>
  <c r="AO108" i="679"/>
  <c r="AP108" i="679"/>
  <c r="AQ108" i="679"/>
  <c r="AR108" i="679"/>
  <c r="AS108" i="679"/>
  <c r="AT108" i="679"/>
  <c r="AU108" i="679"/>
  <c r="AV108" i="679"/>
  <c r="AW108" i="679"/>
  <c r="AX108" i="679"/>
  <c r="AY108" i="679"/>
  <c r="AZ108" i="679"/>
  <c r="BA108" i="679"/>
  <c r="BB108" i="679"/>
  <c r="BC108" i="679"/>
  <c r="AI109" i="679"/>
  <c r="AJ109" i="679"/>
  <c r="AK109" i="679"/>
  <c r="AL109" i="679"/>
  <c r="AM109" i="679"/>
  <c r="AN109" i="679"/>
  <c r="AO109" i="679"/>
  <c r="AP109" i="679"/>
  <c r="AQ109" i="679"/>
  <c r="AR109" i="679"/>
  <c r="AS109" i="679"/>
  <c r="AT109" i="679"/>
  <c r="AU109" i="679"/>
  <c r="AV109" i="679"/>
  <c r="AW109" i="679"/>
  <c r="AX109" i="679"/>
  <c r="AY109" i="679"/>
  <c r="AZ109" i="679"/>
  <c r="BA109" i="679"/>
  <c r="BB109" i="679"/>
  <c r="BC109" i="679"/>
  <c r="AI110" i="679"/>
  <c r="AJ110" i="679"/>
  <c r="AK110" i="679"/>
  <c r="AL110" i="679"/>
  <c r="AM110" i="679"/>
  <c r="AN110" i="679"/>
  <c r="AO110" i="679"/>
  <c r="AP110" i="679"/>
  <c r="AQ110" i="679"/>
  <c r="AR110" i="679"/>
  <c r="AS110" i="679"/>
  <c r="AT110" i="679"/>
  <c r="AU110" i="679"/>
  <c r="AV110" i="679"/>
  <c r="AW110" i="679"/>
  <c r="AX110" i="679"/>
  <c r="AY110" i="679"/>
  <c r="AZ110" i="679"/>
  <c r="BA110" i="679"/>
  <c r="BB110" i="679"/>
  <c r="BC110" i="679"/>
  <c r="AI111" i="679"/>
  <c r="AJ111" i="679"/>
  <c r="AK111" i="679"/>
  <c r="AL111" i="679"/>
  <c r="AM111" i="679"/>
  <c r="AN111" i="679"/>
  <c r="AO111" i="679"/>
  <c r="AP111" i="679"/>
  <c r="AQ111" i="679"/>
  <c r="AR111" i="679"/>
  <c r="AS111" i="679"/>
  <c r="AT111" i="679"/>
  <c r="AU111" i="679"/>
  <c r="AV111" i="679"/>
  <c r="AW111" i="679"/>
  <c r="AX111" i="679"/>
  <c r="AY111" i="679"/>
  <c r="AZ111" i="679"/>
  <c r="BA111" i="679"/>
  <c r="BB111" i="679"/>
  <c r="BC111" i="679"/>
  <c r="AI112" i="679"/>
  <c r="AJ112" i="679"/>
  <c r="AK112" i="679"/>
  <c r="AL112" i="679"/>
  <c r="AM112" i="679"/>
  <c r="AN112" i="679"/>
  <c r="AO112" i="679"/>
  <c r="AP112" i="679"/>
  <c r="AQ112" i="679"/>
  <c r="AR112" i="679"/>
  <c r="AS112" i="679"/>
  <c r="AT112" i="679"/>
  <c r="AU112" i="679"/>
  <c r="AV112" i="679"/>
  <c r="AW112" i="679"/>
  <c r="AX112" i="679"/>
  <c r="AY112" i="679"/>
  <c r="AZ112" i="679"/>
  <c r="BA112" i="679"/>
  <c r="BB112" i="679"/>
  <c r="BC112" i="679"/>
  <c r="AI113" i="679"/>
  <c r="AJ113" i="679"/>
  <c r="AK113" i="679"/>
  <c r="AL113" i="679"/>
  <c r="AM113" i="679"/>
  <c r="AN113" i="679"/>
  <c r="AO113" i="679"/>
  <c r="AP113" i="679"/>
  <c r="AQ113" i="679"/>
  <c r="AR113" i="679"/>
  <c r="AS113" i="679"/>
  <c r="AT113" i="679"/>
  <c r="AU113" i="679"/>
  <c r="AV113" i="679"/>
  <c r="AW113" i="679"/>
  <c r="AX113" i="679"/>
  <c r="AY113" i="679"/>
  <c r="AZ113" i="679"/>
  <c r="BA113" i="679"/>
  <c r="BB113" i="679"/>
  <c r="BC113" i="679"/>
  <c r="AI114" i="679"/>
  <c r="AJ114" i="679"/>
  <c r="AK114" i="679"/>
  <c r="AL114" i="679"/>
  <c r="AM114" i="679"/>
  <c r="AN114" i="679"/>
  <c r="AO114" i="679"/>
  <c r="AP114" i="679"/>
  <c r="AQ114" i="679"/>
  <c r="AR114" i="679"/>
  <c r="AS114" i="679"/>
  <c r="AT114" i="679"/>
  <c r="AU114" i="679"/>
  <c r="AV114" i="679"/>
  <c r="AW114" i="679"/>
  <c r="AX114" i="679"/>
  <c r="AY114" i="679"/>
  <c r="AZ114" i="679"/>
  <c r="BA114" i="679"/>
  <c r="BB114" i="679"/>
  <c r="BC114" i="679"/>
  <c r="AI115" i="679"/>
  <c r="AJ115" i="679"/>
  <c r="AK115" i="679"/>
  <c r="AL115" i="679"/>
  <c r="AM115" i="679"/>
  <c r="AN115" i="679"/>
  <c r="AO115" i="679"/>
  <c r="AP115" i="679"/>
  <c r="AQ115" i="679"/>
  <c r="AR115" i="679"/>
  <c r="AS115" i="679"/>
  <c r="AT115" i="679"/>
  <c r="AU115" i="679"/>
  <c r="AV115" i="679"/>
  <c r="AW115" i="679"/>
  <c r="AX115" i="679"/>
  <c r="AY115" i="679"/>
  <c r="AZ115" i="679"/>
  <c r="BA115" i="679"/>
  <c r="BB115" i="679"/>
  <c r="BC115" i="679"/>
  <c r="AI116" i="679"/>
  <c r="AJ116" i="679"/>
  <c r="AK116" i="679"/>
  <c r="AL116" i="679"/>
  <c r="AM116" i="679"/>
  <c r="AN116" i="679"/>
  <c r="AO116" i="679"/>
  <c r="AP116" i="679"/>
  <c r="AQ116" i="679"/>
  <c r="AR116" i="679"/>
  <c r="AS116" i="679"/>
  <c r="AT116" i="679"/>
  <c r="AU116" i="679"/>
  <c r="AV116" i="679"/>
  <c r="AW116" i="679"/>
  <c r="AX116" i="679"/>
  <c r="AY116" i="679"/>
  <c r="AZ116" i="679"/>
  <c r="BA116" i="679"/>
  <c r="BB116" i="679"/>
  <c r="BC116" i="679"/>
  <c r="AI117" i="679"/>
  <c r="AJ117" i="679"/>
  <c r="AK117" i="679"/>
  <c r="AL117" i="679"/>
  <c r="AM117" i="679"/>
  <c r="AN117" i="679"/>
  <c r="AO117" i="679"/>
  <c r="AP117" i="679"/>
  <c r="AQ117" i="679"/>
  <c r="AR117" i="679"/>
  <c r="AS117" i="679"/>
  <c r="AT117" i="679"/>
  <c r="AU117" i="679"/>
  <c r="AV117" i="679"/>
  <c r="AW117" i="679"/>
  <c r="AX117" i="679"/>
  <c r="AY117" i="679"/>
  <c r="AZ117" i="679"/>
  <c r="BA117" i="679"/>
  <c r="BB117" i="679"/>
  <c r="BC117" i="679"/>
  <c r="AI118" i="679"/>
  <c r="AJ118" i="679"/>
  <c r="AK118" i="679"/>
  <c r="AL118" i="679"/>
  <c r="AM118" i="679"/>
  <c r="AN118" i="679"/>
  <c r="AO118" i="679"/>
  <c r="AP118" i="679"/>
  <c r="AQ118" i="679"/>
  <c r="AR118" i="679"/>
  <c r="AS118" i="679"/>
  <c r="AT118" i="679"/>
  <c r="AU118" i="679"/>
  <c r="AV118" i="679"/>
  <c r="AW118" i="679"/>
  <c r="AX118" i="679"/>
  <c r="AY118" i="679"/>
  <c r="AZ118" i="679"/>
  <c r="BA118" i="679"/>
  <c r="BB118" i="679"/>
  <c r="BC118" i="679"/>
  <c r="AI119" i="679"/>
  <c r="AJ119" i="679"/>
  <c r="AK119" i="679"/>
  <c r="AL119" i="679"/>
  <c r="AM119" i="679"/>
  <c r="AN119" i="679"/>
  <c r="AO119" i="679"/>
  <c r="AP119" i="679"/>
  <c r="AQ119" i="679"/>
  <c r="AR119" i="679"/>
  <c r="AS119" i="679"/>
  <c r="AT119" i="679"/>
  <c r="AU119" i="679"/>
  <c r="AV119" i="679"/>
  <c r="AW119" i="679"/>
  <c r="AX119" i="679"/>
  <c r="AY119" i="679"/>
  <c r="AZ119" i="679"/>
  <c r="BA119" i="679"/>
  <c r="BB119" i="679"/>
  <c r="BC119" i="679"/>
  <c r="AI120" i="679"/>
  <c r="AJ120" i="679"/>
  <c r="AK120" i="679"/>
  <c r="AL120" i="679"/>
  <c r="AM120" i="679"/>
  <c r="AN120" i="679"/>
  <c r="AO120" i="679"/>
  <c r="AP120" i="679"/>
  <c r="AQ120" i="679"/>
  <c r="AR120" i="679"/>
  <c r="AS120" i="679"/>
  <c r="AT120" i="679"/>
  <c r="AU120" i="679"/>
  <c r="AV120" i="679"/>
  <c r="AW120" i="679"/>
  <c r="AX120" i="679"/>
  <c r="AY120" i="679"/>
  <c r="AZ120" i="679"/>
  <c r="BA120" i="679"/>
  <c r="BB120" i="679"/>
  <c r="BC120" i="679"/>
  <c r="AI121" i="679"/>
  <c r="AJ121" i="679"/>
  <c r="AK121" i="679"/>
  <c r="AL121" i="679"/>
  <c r="AM121" i="679"/>
  <c r="AN121" i="679"/>
  <c r="AO121" i="679"/>
  <c r="AP121" i="679"/>
  <c r="AQ121" i="679"/>
  <c r="AR121" i="679"/>
  <c r="AS121" i="679"/>
  <c r="AT121" i="679"/>
  <c r="AU121" i="679"/>
  <c r="AV121" i="679"/>
  <c r="AW121" i="679"/>
  <c r="AX121" i="679"/>
  <c r="AY121" i="679"/>
  <c r="AZ121" i="679"/>
  <c r="BA121" i="679"/>
  <c r="BB121" i="679"/>
  <c r="BC121" i="679"/>
  <c r="AI122" i="679"/>
  <c r="AJ122" i="679"/>
  <c r="AK122" i="679"/>
  <c r="AL122" i="679"/>
  <c r="AM122" i="679"/>
  <c r="AN122" i="679"/>
  <c r="AO122" i="679"/>
  <c r="AP122" i="679"/>
  <c r="AQ122" i="679"/>
  <c r="AR122" i="679"/>
  <c r="AS122" i="679"/>
  <c r="AT122" i="679"/>
  <c r="AU122" i="679"/>
  <c r="AV122" i="679"/>
  <c r="AW122" i="679"/>
  <c r="AX122" i="679"/>
  <c r="AY122" i="679"/>
  <c r="AZ122" i="679"/>
  <c r="BA122" i="679"/>
  <c r="BB122" i="679"/>
  <c r="BC122" i="679"/>
  <c r="AI123" i="679"/>
  <c r="AJ123" i="679"/>
  <c r="AK123" i="679"/>
  <c r="AL123" i="679"/>
  <c r="AM123" i="679"/>
  <c r="AN123" i="679"/>
  <c r="AO123" i="679"/>
  <c r="AP123" i="679"/>
  <c r="AQ123" i="679"/>
  <c r="AR123" i="679"/>
  <c r="AS123" i="679"/>
  <c r="AT123" i="679"/>
  <c r="AU123" i="679"/>
  <c r="AV123" i="679"/>
  <c r="AW123" i="679"/>
  <c r="AX123" i="679"/>
  <c r="AY123" i="679"/>
  <c r="AZ123" i="679"/>
  <c r="BA123" i="679"/>
  <c r="BB123" i="679"/>
  <c r="BC123" i="679"/>
  <c r="AI124" i="679"/>
  <c r="AJ124" i="679"/>
  <c r="AK124" i="679"/>
  <c r="AL124" i="679"/>
  <c r="AM124" i="679"/>
  <c r="AN124" i="679"/>
  <c r="AO124" i="679"/>
  <c r="AP124" i="679"/>
  <c r="AQ124" i="679"/>
  <c r="AR124" i="679"/>
  <c r="AS124" i="679"/>
  <c r="AT124" i="679"/>
  <c r="AU124" i="679"/>
  <c r="AV124" i="679"/>
  <c r="AW124" i="679"/>
  <c r="AX124" i="679"/>
  <c r="AY124" i="679"/>
  <c r="AZ124" i="679"/>
  <c r="BA124" i="679"/>
  <c r="BB124" i="679"/>
  <c r="BC124" i="679"/>
  <c r="AI125" i="679"/>
  <c r="AJ125" i="679"/>
  <c r="AK125" i="679"/>
  <c r="AL125" i="679"/>
  <c r="AM125" i="679"/>
  <c r="AN125" i="679"/>
  <c r="AO125" i="679"/>
  <c r="AP125" i="679"/>
  <c r="AQ125" i="679"/>
  <c r="AR125" i="679"/>
  <c r="AS125" i="679"/>
  <c r="AT125" i="679"/>
  <c r="AU125" i="679"/>
  <c r="AV125" i="679"/>
  <c r="AW125" i="679"/>
  <c r="AX125" i="679"/>
  <c r="AY125" i="679"/>
  <c r="AZ125" i="679"/>
  <c r="BA125" i="679"/>
  <c r="BB125" i="679"/>
  <c r="BC125" i="679"/>
  <c r="AI126" i="679"/>
  <c r="AJ126" i="679"/>
  <c r="AK126" i="679"/>
  <c r="AL126" i="679"/>
  <c r="AM126" i="679"/>
  <c r="AN126" i="679"/>
  <c r="AO126" i="679"/>
  <c r="AP126" i="679"/>
  <c r="AQ126" i="679"/>
  <c r="AR126" i="679"/>
  <c r="AS126" i="679"/>
  <c r="AT126" i="679"/>
  <c r="AU126" i="679"/>
  <c r="AV126" i="679"/>
  <c r="AW126" i="679"/>
  <c r="AX126" i="679"/>
  <c r="AY126" i="679"/>
  <c r="AZ126" i="679"/>
  <c r="BA126" i="679"/>
  <c r="BB126" i="679"/>
  <c r="BC126" i="679"/>
  <c r="AI127" i="679"/>
  <c r="AJ127" i="679"/>
  <c r="AK127" i="679"/>
  <c r="AL127" i="679"/>
  <c r="AM127" i="679"/>
  <c r="AN127" i="679"/>
  <c r="AO127" i="679"/>
  <c r="AP127" i="679"/>
  <c r="AQ127" i="679"/>
  <c r="AR127" i="679"/>
  <c r="AS127" i="679"/>
  <c r="AT127" i="679"/>
  <c r="AU127" i="679"/>
  <c r="AV127" i="679"/>
  <c r="AW127" i="679"/>
  <c r="AX127" i="679"/>
  <c r="AY127" i="679"/>
  <c r="AZ127" i="679"/>
  <c r="BA127" i="679"/>
  <c r="BB127" i="679"/>
  <c r="BC127" i="679"/>
  <c r="AI128" i="679"/>
  <c r="AJ128" i="679"/>
  <c r="AK128" i="679"/>
  <c r="AL128" i="679"/>
  <c r="AM128" i="679"/>
  <c r="AN128" i="679"/>
  <c r="AO128" i="679"/>
  <c r="AP128" i="679"/>
  <c r="AQ128" i="679"/>
  <c r="AR128" i="679"/>
  <c r="AS128" i="679"/>
  <c r="AT128" i="679"/>
  <c r="AU128" i="679"/>
  <c r="AV128" i="679"/>
  <c r="AW128" i="679"/>
  <c r="AX128" i="679"/>
  <c r="AY128" i="679"/>
  <c r="AZ128" i="679"/>
  <c r="BA128" i="679"/>
  <c r="BB128" i="679"/>
  <c r="BC128" i="679"/>
  <c r="AI129" i="679"/>
  <c r="AJ129" i="679"/>
  <c r="AK129" i="679"/>
  <c r="AL129" i="679"/>
  <c r="AM129" i="679"/>
  <c r="AN129" i="679"/>
  <c r="AO129" i="679"/>
  <c r="AP129" i="679"/>
  <c r="AQ129" i="679"/>
  <c r="AR129" i="679"/>
  <c r="AS129" i="679"/>
  <c r="AT129" i="679"/>
  <c r="AU129" i="679"/>
  <c r="AV129" i="679"/>
  <c r="AW129" i="679"/>
  <c r="AX129" i="679"/>
  <c r="AY129" i="679"/>
  <c r="AZ129" i="679"/>
  <c r="BA129" i="679"/>
  <c r="BB129" i="679"/>
  <c r="BC129" i="679"/>
  <c r="AI130" i="679"/>
  <c r="AJ130" i="679"/>
  <c r="AK130" i="679"/>
  <c r="AL130" i="679"/>
  <c r="AM130" i="679"/>
  <c r="AN130" i="679"/>
  <c r="AO130" i="679"/>
  <c r="AP130" i="679"/>
  <c r="AQ130" i="679"/>
  <c r="AR130" i="679"/>
  <c r="AS130" i="679"/>
  <c r="AT130" i="679"/>
  <c r="AU130" i="679"/>
  <c r="AV130" i="679"/>
  <c r="AW130" i="679"/>
  <c r="AX130" i="679"/>
  <c r="AY130" i="679"/>
  <c r="AZ130" i="679"/>
  <c r="BA130" i="679"/>
  <c r="BB130" i="679"/>
  <c r="BC130" i="679"/>
  <c r="AI131" i="679"/>
  <c r="AJ131" i="679"/>
  <c r="AK131" i="679"/>
  <c r="AL131" i="679"/>
  <c r="AM131" i="679"/>
  <c r="AN131" i="679"/>
  <c r="AO131" i="679"/>
  <c r="AP131" i="679"/>
  <c r="AQ131" i="679"/>
  <c r="AR131" i="679"/>
  <c r="AS131" i="679"/>
  <c r="AT131" i="679"/>
  <c r="AU131" i="679"/>
  <c r="AV131" i="679"/>
  <c r="AW131" i="679"/>
  <c r="AX131" i="679"/>
  <c r="AY131" i="679"/>
  <c r="AZ131" i="679"/>
  <c r="BA131" i="679"/>
  <c r="BB131" i="679"/>
  <c r="BC131" i="679"/>
  <c r="AI132" i="679"/>
  <c r="AJ132" i="679"/>
  <c r="AK132" i="679"/>
  <c r="AL132" i="679"/>
  <c r="AM132" i="679"/>
  <c r="AN132" i="679"/>
  <c r="AO132" i="679"/>
  <c r="AP132" i="679"/>
  <c r="AQ132" i="679"/>
  <c r="AR132" i="679"/>
  <c r="AS132" i="679"/>
  <c r="AT132" i="679"/>
  <c r="AU132" i="679"/>
  <c r="AV132" i="679"/>
  <c r="AW132" i="679"/>
  <c r="AX132" i="679"/>
  <c r="AY132" i="679"/>
  <c r="AZ132" i="679"/>
  <c r="BA132" i="679"/>
  <c r="BB132" i="679"/>
  <c r="BC132" i="679"/>
  <c r="AI133" i="679"/>
  <c r="AJ133" i="679"/>
  <c r="AK133" i="679"/>
  <c r="AL133" i="679"/>
  <c r="AM133" i="679"/>
  <c r="AN133" i="679"/>
  <c r="AO133" i="679"/>
  <c r="AP133" i="679"/>
  <c r="AQ133" i="679"/>
  <c r="AR133" i="679"/>
  <c r="AS133" i="679"/>
  <c r="AT133" i="679"/>
  <c r="AU133" i="679"/>
  <c r="AV133" i="679"/>
  <c r="AW133" i="679"/>
  <c r="AX133" i="679"/>
  <c r="AY133" i="679"/>
  <c r="AZ133" i="679"/>
  <c r="BA133" i="679"/>
  <c r="BB133" i="679"/>
  <c r="BC133" i="679"/>
  <c r="AI134" i="679"/>
  <c r="AJ134" i="679"/>
  <c r="AK134" i="679"/>
  <c r="AL134" i="679"/>
  <c r="AM134" i="679"/>
  <c r="AN134" i="679"/>
  <c r="AO134" i="679"/>
  <c r="AP134" i="679"/>
  <c r="AQ134" i="679"/>
  <c r="AR134" i="679"/>
  <c r="AS134" i="679"/>
  <c r="AT134" i="679"/>
  <c r="AU134" i="679"/>
  <c r="AV134" i="679"/>
  <c r="AW134" i="679"/>
  <c r="AX134" i="679"/>
  <c r="AY134" i="679"/>
  <c r="AZ134" i="679"/>
  <c r="BA134" i="679"/>
  <c r="BB134" i="679"/>
  <c r="BC134" i="679"/>
  <c r="AI135" i="679"/>
  <c r="AJ135" i="679"/>
  <c r="AK135" i="679"/>
  <c r="AL135" i="679"/>
  <c r="AM135" i="679"/>
  <c r="AN135" i="679"/>
  <c r="AO135" i="679"/>
  <c r="AP135" i="679"/>
  <c r="AQ135" i="679"/>
  <c r="AR135" i="679"/>
  <c r="AS135" i="679"/>
  <c r="AT135" i="679"/>
  <c r="AU135" i="679"/>
  <c r="AV135" i="679"/>
  <c r="AW135" i="679"/>
  <c r="AX135" i="679"/>
  <c r="AY135" i="679"/>
  <c r="AZ135" i="679"/>
  <c r="BA135" i="679"/>
  <c r="BB135" i="679"/>
  <c r="BC135" i="679"/>
  <c r="AI136" i="679"/>
  <c r="AJ136" i="679"/>
  <c r="AK136" i="679"/>
  <c r="AL136" i="679"/>
  <c r="AM136" i="679"/>
  <c r="AN136" i="679"/>
  <c r="AO136" i="679"/>
  <c r="AP136" i="679"/>
  <c r="AQ136" i="679"/>
  <c r="AR136" i="679"/>
  <c r="AS136" i="679"/>
  <c r="AT136" i="679"/>
  <c r="AU136" i="679"/>
  <c r="AV136" i="679"/>
  <c r="AW136" i="679"/>
  <c r="AX136" i="679"/>
  <c r="AY136" i="679"/>
  <c r="AZ136" i="679"/>
  <c r="BA136" i="679"/>
  <c r="BB136" i="679"/>
  <c r="BC136" i="679"/>
  <c r="AI137" i="679"/>
  <c r="AJ137" i="679"/>
  <c r="AK137" i="679"/>
  <c r="AL137" i="679"/>
  <c r="AM137" i="679"/>
  <c r="AN137" i="679"/>
  <c r="AO137" i="679"/>
  <c r="AP137" i="679"/>
  <c r="AQ137" i="679"/>
  <c r="AR137" i="679"/>
  <c r="AS137" i="679"/>
  <c r="AT137" i="679"/>
  <c r="AU137" i="679"/>
  <c r="AV137" i="679"/>
  <c r="AW137" i="679"/>
  <c r="AX137" i="679"/>
  <c r="AY137" i="679"/>
  <c r="AZ137" i="679"/>
  <c r="BA137" i="679"/>
  <c r="BB137" i="679"/>
  <c r="BC137" i="679"/>
  <c r="AI138" i="679"/>
  <c r="AJ138" i="679"/>
  <c r="AK138" i="679"/>
  <c r="AL138" i="679"/>
  <c r="AM138" i="679"/>
  <c r="AN138" i="679"/>
  <c r="AO138" i="679"/>
  <c r="AP138" i="679"/>
  <c r="AQ138" i="679"/>
  <c r="AR138" i="679"/>
  <c r="AS138" i="679"/>
  <c r="AT138" i="679"/>
  <c r="AU138" i="679"/>
  <c r="AV138" i="679"/>
  <c r="AW138" i="679"/>
  <c r="AX138" i="679"/>
  <c r="AY138" i="679"/>
  <c r="AZ138" i="679"/>
  <c r="BA138" i="679"/>
  <c r="BB138" i="679"/>
  <c r="BC138" i="679"/>
  <c r="AI139" i="679"/>
  <c r="AJ139" i="679"/>
  <c r="AK139" i="679"/>
  <c r="AL139" i="679"/>
  <c r="AM139" i="679"/>
  <c r="AN139" i="679"/>
  <c r="AO139" i="679"/>
  <c r="AP139" i="679"/>
  <c r="AQ139" i="679"/>
  <c r="AR139" i="679"/>
  <c r="AS139" i="679"/>
  <c r="AT139" i="679"/>
  <c r="AU139" i="679"/>
  <c r="AV139" i="679"/>
  <c r="AW139" i="679"/>
  <c r="AX139" i="679"/>
  <c r="AY139" i="679"/>
  <c r="AZ139" i="679"/>
  <c r="BA139" i="679"/>
  <c r="BB139" i="679"/>
  <c r="BC139" i="679"/>
  <c r="AI140" i="679"/>
  <c r="AJ140" i="679"/>
  <c r="AK140" i="679"/>
  <c r="AL140" i="679"/>
  <c r="AM140" i="679"/>
  <c r="AN140" i="679"/>
  <c r="AO140" i="679"/>
  <c r="AP140" i="679"/>
  <c r="AQ140" i="679"/>
  <c r="AR140" i="679"/>
  <c r="AS140" i="679"/>
  <c r="AT140" i="679"/>
  <c r="AU140" i="679"/>
  <c r="AV140" i="679"/>
  <c r="AW140" i="679"/>
  <c r="AX140" i="679"/>
  <c r="AY140" i="679"/>
  <c r="AZ140" i="679"/>
  <c r="BA140" i="679"/>
  <c r="BB140" i="679"/>
  <c r="BC140" i="679"/>
  <c r="AI141" i="679"/>
  <c r="AJ141" i="679"/>
  <c r="AK141" i="679"/>
  <c r="AL141" i="679"/>
  <c r="AM141" i="679"/>
  <c r="AN141" i="679"/>
  <c r="AO141" i="679"/>
  <c r="AP141" i="679"/>
  <c r="AQ141" i="679"/>
  <c r="AR141" i="679"/>
  <c r="AS141" i="679"/>
  <c r="AT141" i="679"/>
  <c r="AU141" i="679"/>
  <c r="AV141" i="679"/>
  <c r="AW141" i="679"/>
  <c r="AX141" i="679"/>
  <c r="AY141" i="679"/>
  <c r="AZ141" i="679"/>
  <c r="BA141" i="679"/>
  <c r="BB141" i="679"/>
  <c r="BC141" i="679"/>
  <c r="AI142" i="679"/>
  <c r="AJ142" i="679"/>
  <c r="AK142" i="679"/>
  <c r="AL142" i="679"/>
  <c r="AM142" i="679"/>
  <c r="AN142" i="679"/>
  <c r="AO142" i="679"/>
  <c r="AP142" i="679"/>
  <c r="AQ142" i="679"/>
  <c r="AR142" i="679"/>
  <c r="AS142" i="679"/>
  <c r="AT142" i="679"/>
  <c r="AU142" i="679"/>
  <c r="AV142" i="679"/>
  <c r="AW142" i="679"/>
  <c r="AX142" i="679"/>
  <c r="AY142" i="679"/>
  <c r="AZ142" i="679"/>
  <c r="BA142" i="679"/>
  <c r="BB142" i="679"/>
  <c r="BC142" i="679"/>
  <c r="AI143" i="679"/>
  <c r="AJ143" i="679"/>
  <c r="AK143" i="679"/>
  <c r="AL143" i="679"/>
  <c r="AM143" i="679"/>
  <c r="AN143" i="679"/>
  <c r="AO143" i="679"/>
  <c r="AP143" i="679"/>
  <c r="AQ143" i="679"/>
  <c r="AR143" i="679"/>
  <c r="AS143" i="679"/>
  <c r="AT143" i="679"/>
  <c r="AU143" i="679"/>
  <c r="AV143" i="679"/>
  <c r="AW143" i="679"/>
  <c r="AX143" i="679"/>
  <c r="AY143" i="679"/>
  <c r="AZ143" i="679"/>
  <c r="BA143" i="679"/>
  <c r="BB143" i="679"/>
  <c r="BC143" i="679"/>
  <c r="AI144" i="679"/>
  <c r="AJ144" i="679"/>
  <c r="AK144" i="679"/>
  <c r="AL144" i="679"/>
  <c r="AM144" i="679"/>
  <c r="AN144" i="679"/>
  <c r="AO144" i="679"/>
  <c r="AP144" i="679"/>
  <c r="AQ144" i="679"/>
  <c r="AR144" i="679"/>
  <c r="AS144" i="679"/>
  <c r="AT144" i="679"/>
  <c r="AU144" i="679"/>
  <c r="AV144" i="679"/>
  <c r="AW144" i="679"/>
  <c r="AX144" i="679"/>
  <c r="AY144" i="679"/>
  <c r="AZ144" i="679"/>
  <c r="BA144" i="679"/>
  <c r="BB144" i="679"/>
  <c r="BC144" i="679"/>
  <c r="AI145" i="679"/>
  <c r="AJ145" i="679"/>
  <c r="AK145" i="679"/>
  <c r="AL145" i="679"/>
  <c r="AM145" i="679"/>
  <c r="AN145" i="679"/>
  <c r="AO145" i="679"/>
  <c r="AP145" i="679"/>
  <c r="AQ145" i="679"/>
  <c r="AR145" i="679"/>
  <c r="AS145" i="679"/>
  <c r="AT145" i="679"/>
  <c r="AU145" i="679"/>
  <c r="AV145" i="679"/>
  <c r="AW145" i="679"/>
  <c r="AX145" i="679"/>
  <c r="AY145" i="679"/>
  <c r="AZ145" i="679"/>
  <c r="BA145" i="679"/>
  <c r="BB145" i="679"/>
  <c r="BC145" i="679"/>
  <c r="AI146" i="679"/>
  <c r="AJ146" i="679"/>
  <c r="AK146" i="679"/>
  <c r="AL146" i="679"/>
  <c r="AM146" i="679"/>
  <c r="AN146" i="679"/>
  <c r="AO146" i="679"/>
  <c r="AP146" i="679"/>
  <c r="AQ146" i="679"/>
  <c r="AR146" i="679"/>
  <c r="AS146" i="679"/>
  <c r="AT146" i="679"/>
  <c r="AU146" i="679"/>
  <c r="AV146" i="679"/>
  <c r="AW146" i="679"/>
  <c r="AX146" i="679"/>
  <c r="AY146" i="679"/>
  <c r="AZ146" i="679"/>
  <c r="BA146" i="679"/>
  <c r="BB146" i="679"/>
  <c r="BC146" i="679"/>
  <c r="AI147" i="679"/>
  <c r="AJ147" i="679"/>
  <c r="AK147" i="679"/>
  <c r="AL147" i="679"/>
  <c r="AM147" i="679"/>
  <c r="AN147" i="679"/>
  <c r="AO147" i="679"/>
  <c r="AP147" i="679"/>
  <c r="AQ147" i="679"/>
  <c r="AR147" i="679"/>
  <c r="AS147" i="679"/>
  <c r="AT147" i="679"/>
  <c r="AU147" i="679"/>
  <c r="AV147" i="679"/>
  <c r="AW147" i="679"/>
  <c r="AX147" i="679"/>
  <c r="AY147" i="679"/>
  <c r="AZ147" i="679"/>
  <c r="BA147" i="679"/>
  <c r="BB147" i="679"/>
  <c r="BC147" i="679"/>
  <c r="AI148" i="679"/>
  <c r="AJ148" i="679"/>
  <c r="AK148" i="679"/>
  <c r="AL148" i="679"/>
  <c r="AM148" i="679"/>
  <c r="AN148" i="679"/>
  <c r="AO148" i="679"/>
  <c r="AP148" i="679"/>
  <c r="AQ148" i="679"/>
  <c r="AR148" i="679"/>
  <c r="AS148" i="679"/>
  <c r="AT148" i="679"/>
  <c r="AU148" i="679"/>
  <c r="AV148" i="679"/>
  <c r="AW148" i="679"/>
  <c r="AX148" i="679"/>
  <c r="AY148" i="679"/>
  <c r="AZ148" i="679"/>
  <c r="BA148" i="679"/>
  <c r="BB148" i="679"/>
  <c r="BC148" i="679"/>
  <c r="AI149" i="679"/>
  <c r="AJ149" i="679"/>
  <c r="AK149" i="679"/>
  <c r="AL149" i="679"/>
  <c r="AM149" i="679"/>
  <c r="AN149" i="679"/>
  <c r="AO149" i="679"/>
  <c r="AP149" i="679"/>
  <c r="AQ149" i="679"/>
  <c r="AR149" i="679"/>
  <c r="AS149" i="679"/>
  <c r="AT149" i="679"/>
  <c r="AU149" i="679"/>
  <c r="AV149" i="679"/>
  <c r="AW149" i="679"/>
  <c r="AX149" i="679"/>
  <c r="AY149" i="679"/>
  <c r="AZ149" i="679"/>
  <c r="BA149" i="679"/>
  <c r="BB149" i="679"/>
  <c r="BC149" i="679"/>
  <c r="AI150" i="679"/>
  <c r="AJ150" i="679"/>
  <c r="AK150" i="679"/>
  <c r="AL150" i="679"/>
  <c r="AM150" i="679"/>
  <c r="AN150" i="679"/>
  <c r="AO150" i="679"/>
  <c r="AP150" i="679"/>
  <c r="AQ150" i="679"/>
  <c r="AR150" i="679"/>
  <c r="AS150" i="679"/>
  <c r="AT150" i="679"/>
  <c r="AU150" i="679"/>
  <c r="AV150" i="679"/>
  <c r="AW150" i="679"/>
  <c r="AX150" i="679"/>
  <c r="AY150" i="679"/>
  <c r="AZ150" i="679"/>
  <c r="BA150" i="679"/>
  <c r="BB150" i="679"/>
  <c r="BC150" i="679"/>
  <c r="AI151" i="679"/>
  <c r="AJ151" i="679"/>
  <c r="AK151" i="679"/>
  <c r="AL151" i="679"/>
  <c r="AM151" i="679"/>
  <c r="AN151" i="679"/>
  <c r="AO151" i="679"/>
  <c r="AP151" i="679"/>
  <c r="AQ151" i="679"/>
  <c r="AR151" i="679"/>
  <c r="AS151" i="679"/>
  <c r="AT151" i="679"/>
  <c r="AU151" i="679"/>
  <c r="AV151" i="679"/>
  <c r="AW151" i="679"/>
  <c r="AX151" i="679"/>
  <c r="AY151" i="679"/>
  <c r="AZ151" i="679"/>
  <c r="BA151" i="679"/>
  <c r="BB151" i="679"/>
  <c r="BC151" i="679"/>
  <c r="AI152" i="679"/>
  <c r="AJ152" i="679"/>
  <c r="AK152" i="679"/>
  <c r="AL152" i="679"/>
  <c r="AM152" i="679"/>
  <c r="AN152" i="679"/>
  <c r="AO152" i="679"/>
  <c r="AP152" i="679"/>
  <c r="AQ152" i="679"/>
  <c r="AR152" i="679"/>
  <c r="AS152" i="679"/>
  <c r="AT152" i="679"/>
  <c r="AU152" i="679"/>
  <c r="AV152" i="679"/>
  <c r="AW152" i="679"/>
  <c r="AX152" i="679"/>
  <c r="AY152" i="679"/>
  <c r="AZ152" i="679"/>
  <c r="BA152" i="679"/>
  <c r="BB152" i="679"/>
  <c r="BC152" i="679"/>
  <c r="AI153" i="679"/>
  <c r="AJ153" i="679"/>
  <c r="AK153" i="679"/>
  <c r="AL153" i="679"/>
  <c r="AM153" i="679"/>
  <c r="AN153" i="679"/>
  <c r="AO153" i="679"/>
  <c r="AP153" i="679"/>
  <c r="AQ153" i="679"/>
  <c r="AR153" i="679"/>
  <c r="AS153" i="679"/>
  <c r="AT153" i="679"/>
  <c r="AU153" i="679"/>
  <c r="AV153" i="679"/>
  <c r="AW153" i="679"/>
  <c r="AX153" i="679"/>
  <c r="AY153" i="679"/>
  <c r="AZ153" i="679"/>
  <c r="BA153" i="679"/>
  <c r="BB153" i="679"/>
  <c r="BC153" i="679"/>
  <c r="AI154" i="679"/>
  <c r="AJ154" i="679"/>
  <c r="AK154" i="679"/>
  <c r="AL154" i="679"/>
  <c r="AM154" i="679"/>
  <c r="AN154" i="679"/>
  <c r="AO154" i="679"/>
  <c r="AP154" i="679"/>
  <c r="AQ154" i="679"/>
  <c r="AR154" i="679"/>
  <c r="AS154" i="679"/>
  <c r="AT154" i="679"/>
  <c r="AU154" i="679"/>
  <c r="AV154" i="679"/>
  <c r="AW154" i="679"/>
  <c r="AX154" i="679"/>
  <c r="AY154" i="679"/>
  <c r="AZ154" i="679"/>
  <c r="BA154" i="679"/>
  <c r="BB154" i="679"/>
  <c r="BC154" i="679"/>
  <c r="AI155" i="679"/>
  <c r="AJ155" i="679"/>
  <c r="AK155" i="679"/>
  <c r="AL155" i="679"/>
  <c r="AM155" i="679"/>
  <c r="AN155" i="679"/>
  <c r="AO155" i="679"/>
  <c r="AP155" i="679"/>
  <c r="AQ155" i="679"/>
  <c r="AR155" i="679"/>
  <c r="AS155" i="679"/>
  <c r="AT155" i="679"/>
  <c r="AU155" i="679"/>
  <c r="AV155" i="679"/>
  <c r="AW155" i="679"/>
  <c r="AX155" i="679"/>
  <c r="AY155" i="679"/>
  <c r="AZ155" i="679"/>
  <c r="BA155" i="679"/>
  <c r="BB155" i="679"/>
  <c r="BC155" i="679"/>
  <c r="AI156" i="679"/>
  <c r="AJ156" i="679"/>
  <c r="AK156" i="679"/>
  <c r="AL156" i="679"/>
  <c r="AM156" i="679"/>
  <c r="AN156" i="679"/>
  <c r="AO156" i="679"/>
  <c r="AP156" i="679"/>
  <c r="AQ156" i="679"/>
  <c r="AR156" i="679"/>
  <c r="AS156" i="679"/>
  <c r="AT156" i="679"/>
  <c r="AU156" i="679"/>
  <c r="AV156" i="679"/>
  <c r="AW156" i="679"/>
  <c r="AX156" i="679"/>
  <c r="AY156" i="679"/>
  <c r="AZ156" i="679"/>
  <c r="BA156" i="679"/>
  <c r="BB156" i="679"/>
  <c r="BC156" i="679"/>
  <c r="AI157" i="679"/>
  <c r="AJ157" i="679"/>
  <c r="AK157" i="679"/>
  <c r="AL157" i="679"/>
  <c r="AM157" i="679"/>
  <c r="AN157" i="679"/>
  <c r="AO157" i="679"/>
  <c r="AP157" i="679"/>
  <c r="AQ157" i="679"/>
  <c r="AR157" i="679"/>
  <c r="AS157" i="679"/>
  <c r="AT157" i="679"/>
  <c r="AU157" i="679"/>
  <c r="AV157" i="679"/>
  <c r="AW157" i="679"/>
  <c r="AX157" i="679"/>
  <c r="AY157" i="679"/>
  <c r="AZ157" i="679"/>
  <c r="BA157" i="679"/>
  <c r="BB157" i="679"/>
  <c r="BC157" i="679"/>
  <c r="AH9" i="679"/>
  <c r="AH10" i="679"/>
  <c r="AH11" i="679"/>
  <c r="AH12" i="679"/>
  <c r="AH13" i="679"/>
  <c r="AH14" i="679"/>
  <c r="AH15" i="679"/>
  <c r="AH16" i="679"/>
  <c r="AH17" i="679"/>
  <c r="AH18" i="679"/>
  <c r="AH19" i="679"/>
  <c r="AH20" i="679"/>
  <c r="AH21" i="679"/>
  <c r="AH22" i="679"/>
  <c r="AH23" i="679"/>
  <c r="AH24" i="679"/>
  <c r="AH25" i="679"/>
  <c r="AH26" i="679"/>
  <c r="AH27" i="679"/>
  <c r="AH28" i="679"/>
  <c r="AH29" i="679"/>
  <c r="AH30" i="679"/>
  <c r="AH32" i="679"/>
  <c r="AH33" i="679"/>
  <c r="AH34" i="679"/>
  <c r="AH35" i="679"/>
  <c r="AH36" i="679"/>
  <c r="AH37" i="679"/>
  <c r="AH38" i="679"/>
  <c r="AH39" i="679"/>
  <c r="AH40" i="679"/>
  <c r="AH41" i="679"/>
  <c r="AH42" i="679"/>
  <c r="AH43" i="679"/>
  <c r="AH44" i="679"/>
  <c r="AH45" i="679"/>
  <c r="AH46" i="679"/>
  <c r="AH47" i="679"/>
  <c r="AH48" i="679"/>
  <c r="AH49" i="679"/>
  <c r="AH50" i="679"/>
  <c r="AH51" i="679"/>
  <c r="AH52" i="679"/>
  <c r="AH53" i="679"/>
  <c r="AH54" i="679"/>
  <c r="AH55" i="679"/>
  <c r="AH56" i="679"/>
  <c r="AH57" i="679"/>
  <c r="AH58" i="679"/>
  <c r="AH60" i="679"/>
  <c r="AH61" i="679"/>
  <c r="AH62" i="679"/>
  <c r="AH63" i="679"/>
  <c r="AH64" i="679"/>
  <c r="AH65" i="679"/>
  <c r="AH66" i="679"/>
  <c r="AH67" i="679"/>
  <c r="AH68" i="679"/>
  <c r="AH69" i="679"/>
  <c r="AH70" i="679"/>
  <c r="AH71" i="679"/>
  <c r="AH72" i="679"/>
  <c r="AH73" i="679"/>
  <c r="AH74" i="679"/>
  <c r="AH75" i="679"/>
  <c r="AH76" i="679"/>
  <c r="AH77" i="679"/>
  <c r="AH78" i="679"/>
  <c r="AH79" i="679"/>
  <c r="AH80" i="679"/>
  <c r="AH81" i="679"/>
  <c r="AH82" i="679"/>
  <c r="AH83" i="679"/>
  <c r="AH84" i="679"/>
  <c r="AH85" i="679"/>
  <c r="AH86" i="679"/>
  <c r="AH87" i="679"/>
  <c r="AH88" i="679"/>
  <c r="AH89" i="679"/>
  <c r="AH90" i="679"/>
  <c r="AH91" i="679"/>
  <c r="AH92" i="679"/>
  <c r="AH93" i="679"/>
  <c r="AH94" i="679"/>
  <c r="AH95" i="679"/>
  <c r="AH96" i="679"/>
  <c r="AH97" i="679"/>
  <c r="AH98" i="679"/>
  <c r="AH99" i="679"/>
  <c r="AH100" i="679"/>
  <c r="AH101" i="679"/>
  <c r="AH102" i="679"/>
  <c r="AH103" i="679"/>
  <c r="AH104" i="679"/>
  <c r="AH105" i="679"/>
  <c r="AH106" i="679"/>
  <c r="AH107" i="679"/>
  <c r="AH108" i="679"/>
  <c r="AH109" i="679"/>
  <c r="AH110" i="679"/>
  <c r="AH111" i="679"/>
  <c r="AH112" i="679"/>
  <c r="AH113" i="679"/>
  <c r="AH114" i="679"/>
  <c r="AH115" i="679"/>
  <c r="AH116" i="679"/>
  <c r="AH117" i="679"/>
  <c r="AH118" i="679"/>
  <c r="AH119" i="679"/>
  <c r="AH120" i="679"/>
  <c r="AH121" i="679"/>
  <c r="AH122" i="679"/>
  <c r="AH123" i="679"/>
  <c r="AH124" i="679"/>
  <c r="AH125" i="679"/>
  <c r="AH126" i="679"/>
  <c r="AH127" i="679"/>
  <c r="AH128" i="679"/>
  <c r="AH129" i="679"/>
  <c r="AH130" i="679"/>
  <c r="AH131" i="679"/>
  <c r="AH132" i="679"/>
  <c r="AH133" i="679"/>
  <c r="AH134" i="679"/>
  <c r="AH135" i="679"/>
  <c r="AH136" i="679"/>
  <c r="AH137" i="679"/>
  <c r="AH138" i="679"/>
  <c r="AH139" i="679"/>
  <c r="AH140" i="679"/>
  <c r="AH141" i="679"/>
  <c r="AH142" i="679"/>
  <c r="AH143" i="679"/>
  <c r="AH144" i="679"/>
  <c r="AH145" i="679"/>
  <c r="AH146" i="679"/>
  <c r="AH147" i="679"/>
  <c r="AH148" i="679"/>
  <c r="AH149" i="679"/>
  <c r="AH150" i="679"/>
  <c r="AH151" i="679"/>
  <c r="AH152" i="679"/>
  <c r="AH153" i="679"/>
  <c r="AH154" i="679"/>
  <c r="AH155" i="679"/>
  <c r="AH156" i="679"/>
  <c r="AH157" i="679"/>
  <c r="AH8" i="679"/>
  <c r="K155" i="680"/>
  <c r="K154" i="680"/>
  <c r="AI355" i="679"/>
  <c r="L153" i="680" s="1"/>
  <c r="AJ355" i="679"/>
  <c r="M153" i="680" s="1"/>
  <c r="AK355" i="679"/>
  <c r="N153" i="680" s="1"/>
  <c r="AL355" i="679"/>
  <c r="O153" i="680" s="1"/>
  <c r="AM355" i="679"/>
  <c r="P153" i="680" s="1"/>
  <c r="AN355" i="679"/>
  <c r="Q153" i="680" s="1"/>
  <c r="AO355" i="679"/>
  <c r="R153" i="680" s="1"/>
  <c r="AP355" i="679"/>
  <c r="S153" i="680" s="1"/>
  <c r="AQ355" i="679"/>
  <c r="T153" i="680" s="1"/>
  <c r="AR355" i="679"/>
  <c r="U153" i="680" s="1"/>
  <c r="AS355" i="679"/>
  <c r="V153" i="680" s="1"/>
  <c r="AT355" i="679"/>
  <c r="W153" i="680" s="1"/>
  <c r="AU355" i="679"/>
  <c r="X153" i="680" s="1"/>
  <c r="AV355" i="679"/>
  <c r="Y153" i="680" s="1"/>
  <c r="AW355" i="679"/>
  <c r="Z153" i="680" s="1"/>
  <c r="AX355" i="679"/>
  <c r="AA153" i="680" s="1"/>
  <c r="AY355" i="679"/>
  <c r="AB153" i="680" s="1"/>
  <c r="AZ355" i="679"/>
  <c r="AC153" i="680" s="1"/>
  <c r="BA355" i="679"/>
  <c r="AD153" i="680" s="1"/>
  <c r="BB355" i="679"/>
  <c r="AE153" i="680" s="1"/>
  <c r="BC355" i="679"/>
  <c r="AF153" i="680" s="1"/>
  <c r="AI356" i="679"/>
  <c r="AJ356" i="679"/>
  <c r="AK356" i="679"/>
  <c r="AL356" i="679"/>
  <c r="AM356" i="679"/>
  <c r="AN356" i="679"/>
  <c r="AO356" i="679"/>
  <c r="AP356" i="679"/>
  <c r="AQ356" i="679"/>
  <c r="AR356" i="679"/>
  <c r="AS356" i="679"/>
  <c r="V148" i="680" s="1"/>
  <c r="AT356" i="679"/>
  <c r="W148" i="680" s="1"/>
  <c r="AU356" i="679"/>
  <c r="X148" i="680" s="1"/>
  <c r="AV356" i="679"/>
  <c r="Y148" i="680" s="1"/>
  <c r="AW356" i="679"/>
  <c r="Z148" i="680" s="1"/>
  <c r="AX356" i="679"/>
  <c r="AA148" i="680" s="1"/>
  <c r="AY356" i="679"/>
  <c r="AB148" i="680" s="1"/>
  <c r="AZ356" i="679"/>
  <c r="AC148" i="680" s="1"/>
  <c r="BA356" i="679"/>
  <c r="AD148" i="680" s="1"/>
  <c r="BB356" i="679"/>
  <c r="AE148" i="680" s="1"/>
  <c r="BC356" i="679"/>
  <c r="AF148" i="680" s="1"/>
  <c r="AI357" i="679"/>
  <c r="AJ357" i="679"/>
  <c r="AK357" i="679"/>
  <c r="AL357" i="679"/>
  <c r="AM357" i="679"/>
  <c r="AN357" i="679"/>
  <c r="AO357" i="679"/>
  <c r="AP357" i="679"/>
  <c r="AQ357" i="679"/>
  <c r="AR357" i="679"/>
  <c r="AS357" i="679"/>
  <c r="AT357" i="679"/>
  <c r="AU357" i="679"/>
  <c r="AV357" i="679"/>
  <c r="AW357" i="679"/>
  <c r="AX357" i="679"/>
  <c r="AY357" i="679"/>
  <c r="AZ357" i="679"/>
  <c r="BA357" i="679"/>
  <c r="BB357" i="679"/>
  <c r="BC357" i="679"/>
  <c r="AH356" i="679"/>
  <c r="AH357" i="679"/>
  <c r="AH355" i="679"/>
  <c r="K153" i="680" s="1"/>
  <c r="U159" i="680" l="1"/>
  <c r="M159" i="680"/>
  <c r="AA151" i="680"/>
  <c r="Z151" i="680"/>
  <c r="AE151" i="680"/>
  <c r="W151" i="680"/>
  <c r="AD151" i="680"/>
  <c r="AC151" i="680"/>
  <c r="D63" i="99"/>
  <c r="D63" i="687"/>
  <c r="E73" i="99"/>
  <c r="D73" i="99"/>
  <c r="E63" i="99"/>
  <c r="D73" i="687"/>
  <c r="E73" i="687"/>
  <c r="E63" i="687"/>
  <c r="V151" i="680"/>
  <c r="Y159" i="680"/>
  <c r="Q159" i="680"/>
  <c r="O159" i="680"/>
  <c r="AA159" i="680"/>
  <c r="S159" i="680"/>
  <c r="Y151" i="680"/>
  <c r="K159" i="680"/>
  <c r="AB151" i="680"/>
  <c r="AF151" i="680"/>
  <c r="X151" i="680"/>
  <c r="P151" i="680"/>
  <c r="P148" i="680"/>
  <c r="O148" i="680"/>
  <c r="O151" i="680"/>
  <c r="K151" i="680"/>
  <c r="K148" i="680"/>
  <c r="N148" i="680"/>
  <c r="N151" i="680"/>
  <c r="Q151" i="680"/>
  <c r="Q148" i="680"/>
  <c r="M148" i="680"/>
  <c r="M151" i="680"/>
  <c r="L148" i="680"/>
  <c r="L151" i="680"/>
  <c r="T148" i="680"/>
  <c r="T151" i="680"/>
  <c r="S148" i="680"/>
  <c r="S151" i="680"/>
  <c r="R151" i="680"/>
  <c r="R148" i="680"/>
  <c r="U148" i="680"/>
  <c r="U151" i="680"/>
  <c r="S156" i="680"/>
  <c r="AF162" i="680"/>
  <c r="AF168" i="680" s="1"/>
  <c r="AF156" i="680"/>
  <c r="AB162" i="680"/>
  <c r="AB168" i="680" s="1"/>
  <c r="AB156" i="680"/>
  <c r="X162" i="680"/>
  <c r="X168" i="680" s="1"/>
  <c r="X156" i="680"/>
  <c r="T162" i="680"/>
  <c r="T156" i="680"/>
  <c r="P162" i="680"/>
  <c r="P156" i="680"/>
  <c r="L162" i="680"/>
  <c r="L168" i="680" s="1"/>
  <c r="L156" i="680"/>
  <c r="AE162" i="680"/>
  <c r="AE168" i="680" s="1"/>
  <c r="AE156" i="680"/>
  <c r="AA162" i="680"/>
  <c r="AA168" i="680" s="1"/>
  <c r="AA156" i="680"/>
  <c r="W162" i="680"/>
  <c r="W168" i="680" s="1"/>
  <c r="W156" i="680"/>
  <c r="O162" i="680"/>
  <c r="O168" i="680" s="1"/>
  <c r="O156" i="680"/>
  <c r="AD162" i="680"/>
  <c r="AD168" i="680" s="1"/>
  <c r="AD156" i="680"/>
  <c r="Z162" i="680"/>
  <c r="Z168" i="680" s="1"/>
  <c r="Z156" i="680"/>
  <c r="V162" i="680"/>
  <c r="V168" i="680" s="1"/>
  <c r="V156" i="680"/>
  <c r="R162" i="680"/>
  <c r="R168" i="680" s="1"/>
  <c r="R156" i="680"/>
  <c r="N162" i="680"/>
  <c r="N168" i="680" s="1"/>
  <c r="N156" i="680"/>
  <c r="K162" i="680"/>
  <c r="K168" i="680" s="1"/>
  <c r="K156" i="680"/>
  <c r="AC162" i="680"/>
  <c r="AC168" i="680" s="1"/>
  <c r="AC156" i="680"/>
  <c r="Y162" i="680"/>
  <c r="Y168" i="680" s="1"/>
  <c r="Y156" i="680"/>
  <c r="U162" i="680"/>
  <c r="U168" i="680" s="1"/>
  <c r="U156" i="680"/>
  <c r="Q162" i="680"/>
  <c r="Q168" i="680" s="1"/>
  <c r="Q156" i="680"/>
  <c r="M162" i="680"/>
  <c r="M168" i="680" s="1"/>
  <c r="M156" i="680"/>
  <c r="AA147" i="680"/>
  <c r="W147" i="680"/>
  <c r="O147" i="680"/>
  <c r="Z147" i="680"/>
  <c r="R147" i="680"/>
  <c r="N147" i="680"/>
  <c r="K147" i="680"/>
  <c r="AC147" i="680"/>
  <c r="U147" i="680"/>
  <c r="M147" i="680"/>
  <c r="AE147" i="680"/>
  <c r="S147" i="680"/>
  <c r="AD147" i="680"/>
  <c r="V147" i="680"/>
  <c r="Y147" i="680"/>
  <c r="Q147" i="680"/>
  <c r="AF147" i="680"/>
  <c r="AB147" i="680"/>
  <c r="X147" i="680"/>
  <c r="T147" i="680"/>
  <c r="P147" i="680"/>
  <c r="L147" i="680"/>
  <c r="S168" i="680"/>
  <c r="P70" i="99" l="1"/>
  <c r="P73" i="99" s="1"/>
  <c r="Q70" i="99"/>
  <c r="Q73" i="99" s="1"/>
  <c r="P63" i="99"/>
  <c r="F63" i="99"/>
  <c r="M63" i="99"/>
  <c r="Q73" i="687"/>
  <c r="L73" i="687"/>
  <c r="J63" i="99"/>
  <c r="G63" i="99"/>
  <c r="H73" i="687"/>
  <c r="N73" i="687"/>
  <c r="M73" i="687"/>
  <c r="L63" i="99"/>
  <c r="Q63" i="99"/>
  <c r="J73" i="99"/>
  <c r="G73" i="99"/>
  <c r="N63" i="99"/>
  <c r="H73" i="99"/>
  <c r="G73" i="687"/>
  <c r="L73" i="99"/>
  <c r="F73" i="99"/>
  <c r="N73" i="99"/>
  <c r="M73" i="99"/>
  <c r="F73" i="687"/>
  <c r="P73" i="687"/>
  <c r="O73" i="687"/>
  <c r="O73" i="99"/>
  <c r="O63" i="99"/>
  <c r="J73" i="687"/>
  <c r="H63" i="99"/>
  <c r="T168" i="680"/>
  <c r="O108" i="99"/>
  <c r="O29" i="99"/>
  <c r="O107" i="99" s="1"/>
  <c r="P168" i="680"/>
  <c r="O35" i="99"/>
  <c r="O113" i="99" s="1"/>
  <c r="E154" i="679"/>
  <c r="E153" i="679"/>
  <c r="E152" i="679"/>
  <c r="E151" i="679"/>
  <c r="E150" i="679"/>
  <c r="E149" i="679"/>
  <c r="E148" i="679"/>
  <c r="E147" i="679"/>
  <c r="E146" i="679"/>
  <c r="E145" i="679"/>
  <c r="E144" i="679"/>
  <c r="E143" i="679"/>
  <c r="E142" i="679"/>
  <c r="E141" i="679"/>
  <c r="E140" i="679"/>
  <c r="E139" i="679"/>
  <c r="E138" i="679"/>
  <c r="E137" i="679"/>
  <c r="E136" i="679"/>
  <c r="E135" i="679"/>
  <c r="E134" i="679"/>
  <c r="E133" i="679"/>
  <c r="E132" i="679"/>
  <c r="E131" i="679"/>
  <c r="E130" i="679"/>
  <c r="E129" i="679"/>
  <c r="E128" i="679"/>
  <c r="E127" i="679"/>
  <c r="E126" i="679"/>
  <c r="E125" i="679"/>
  <c r="E124" i="679"/>
  <c r="E123" i="679"/>
  <c r="E122" i="679"/>
  <c r="E121" i="679"/>
  <c r="E120" i="679"/>
  <c r="E119" i="679"/>
  <c r="E118" i="679"/>
  <c r="E117" i="679"/>
  <c r="E116" i="679"/>
  <c r="E115" i="679"/>
  <c r="E114" i="679"/>
  <c r="E113" i="679"/>
  <c r="E112" i="679"/>
  <c r="E111" i="679"/>
  <c r="E110" i="679"/>
  <c r="E109" i="679"/>
  <c r="E108" i="679"/>
  <c r="E107" i="679"/>
  <c r="E106" i="679"/>
  <c r="E105" i="679"/>
  <c r="E104" i="679"/>
  <c r="E103" i="679"/>
  <c r="E102" i="679"/>
  <c r="E101" i="679"/>
  <c r="E100" i="679"/>
  <c r="E99" i="679"/>
  <c r="E98" i="679"/>
  <c r="E97" i="679"/>
  <c r="E96" i="679"/>
  <c r="E95" i="679"/>
  <c r="E94" i="679"/>
  <c r="E93" i="679"/>
  <c r="E92" i="679"/>
  <c r="E91" i="679"/>
  <c r="E90" i="679"/>
  <c r="E89" i="679"/>
  <c r="E88" i="679"/>
  <c r="E87" i="679"/>
  <c r="E86" i="679"/>
  <c r="E85" i="679"/>
  <c r="E84" i="679"/>
  <c r="E83" i="679"/>
  <c r="E82" i="679"/>
  <c r="E81" i="679"/>
  <c r="E80" i="679"/>
  <c r="E79" i="679"/>
  <c r="E78" i="679"/>
  <c r="E77" i="679"/>
  <c r="E76" i="679"/>
  <c r="E75" i="679"/>
  <c r="E74" i="679"/>
  <c r="E73" i="679"/>
  <c r="E72" i="679"/>
  <c r="E71" i="679"/>
  <c r="E70" i="679"/>
  <c r="E69" i="679"/>
  <c r="E68" i="679"/>
  <c r="E67" i="679"/>
  <c r="E66" i="679"/>
  <c r="E65" i="679"/>
  <c r="E64" i="679"/>
  <c r="E63" i="679"/>
  <c r="E62" i="679"/>
  <c r="E61" i="679"/>
  <c r="E60" i="679"/>
  <c r="E59" i="679"/>
  <c r="E58" i="679"/>
  <c r="E57" i="679"/>
  <c r="E56" i="679"/>
  <c r="E55" i="679"/>
  <c r="E54" i="679"/>
  <c r="E53" i="679"/>
  <c r="E52" i="679"/>
  <c r="E51" i="679"/>
  <c r="E50" i="679"/>
  <c r="E49" i="679"/>
  <c r="E48" i="679"/>
  <c r="E47" i="679"/>
  <c r="E46" i="679"/>
  <c r="E45" i="679"/>
  <c r="E44" i="679"/>
  <c r="E43" i="679"/>
  <c r="E42" i="679"/>
  <c r="E41" i="679"/>
  <c r="E40" i="679"/>
  <c r="E39" i="679"/>
  <c r="E38" i="679"/>
  <c r="E37" i="679"/>
  <c r="E36" i="679"/>
  <c r="E35" i="679"/>
  <c r="E34" i="679"/>
  <c r="E33" i="679"/>
  <c r="E32" i="679"/>
  <c r="E31" i="679"/>
  <c r="E30" i="679"/>
  <c r="E29" i="679"/>
  <c r="E28" i="679"/>
  <c r="E27" i="679"/>
  <c r="E26" i="679"/>
  <c r="E25" i="679"/>
  <c r="E24" i="679"/>
  <c r="E23" i="679"/>
  <c r="E22" i="679"/>
  <c r="E21" i="679"/>
  <c r="E20" i="679"/>
  <c r="E19" i="679"/>
  <c r="E18" i="679"/>
  <c r="E17" i="679"/>
  <c r="E16" i="679"/>
  <c r="E15" i="679"/>
  <c r="E14" i="679"/>
  <c r="E13" i="679"/>
  <c r="E9" i="679"/>
  <c r="E8" i="679"/>
  <c r="Q56" i="528"/>
  <c r="R56" i="528" s="1"/>
  <c r="S56" i="528" s="1"/>
  <c r="Q57" i="528"/>
  <c r="R57" i="528" s="1"/>
  <c r="S57" i="528" s="1"/>
  <c r="Q58" i="528"/>
  <c r="R58" i="528" s="1"/>
  <c r="S58" i="528" s="1"/>
  <c r="Q74" i="528"/>
  <c r="B53" i="632"/>
  <c r="Z48" i="106"/>
  <c r="F118" i="794" s="1"/>
  <c r="Z49" i="106"/>
  <c r="Z50" i="106"/>
  <c r="F120" i="794" s="1"/>
  <c r="Z51" i="106"/>
  <c r="Z52" i="106"/>
  <c r="Z53" i="106"/>
  <c r="F123" i="794" s="1"/>
  <c r="Z54" i="106"/>
  <c r="Z55" i="106"/>
  <c r="Z56" i="106"/>
  <c r="F126" i="794" s="1"/>
  <c r="Z57" i="106"/>
  <c r="F127" i="794" s="1"/>
  <c r="Z58" i="106"/>
  <c r="Z59" i="106"/>
  <c r="Z60" i="106"/>
  <c r="F130" i="794" s="1"/>
  <c r="Z61" i="106"/>
  <c r="Z62" i="106"/>
  <c r="Z63" i="106"/>
  <c r="F133" i="794" s="1"/>
  <c r="Z64" i="106"/>
  <c r="Z65" i="106"/>
  <c r="F135" i="794" s="1"/>
  <c r="Z66" i="106"/>
  <c r="Z67" i="106"/>
  <c r="Z68" i="106"/>
  <c r="Z69" i="106"/>
  <c r="Z70" i="106"/>
  <c r="F140" i="794" s="1"/>
  <c r="AF7" i="111"/>
  <c r="AF8" i="111"/>
  <c r="AF9" i="111"/>
  <c r="AF10" i="111"/>
  <c r="AF6" i="111"/>
  <c r="GD10" i="227"/>
  <c r="GA10" i="227"/>
  <c r="FX10" i="227"/>
  <c r="FU10" i="227"/>
  <c r="FR10" i="227"/>
  <c r="C7" i="527"/>
  <c r="D154" i="529" s="1"/>
  <c r="F25" i="527"/>
  <c r="C24" i="527"/>
  <c r="C33" i="527"/>
  <c r="E54" i="39" s="1"/>
  <c r="C26" i="527"/>
  <c r="E51" i="39" s="1"/>
  <c r="C31" i="527"/>
  <c r="D288" i="529"/>
  <c r="D262" i="529"/>
  <c r="D237" i="529"/>
  <c r="C274" i="529"/>
  <c r="C273" i="529"/>
  <c r="C272" i="529"/>
  <c r="C271" i="529"/>
  <c r="C248" i="529"/>
  <c r="C247" i="529"/>
  <c r="C246" i="529"/>
  <c r="C223" i="529"/>
  <c r="C225" i="529" s="1"/>
  <c r="C222" i="529"/>
  <c r="C221" i="529"/>
  <c r="I3" i="83"/>
  <c r="I4" i="83"/>
  <c r="I5" i="83"/>
  <c r="I6" i="83"/>
  <c r="I7" i="83"/>
  <c r="I8" i="83"/>
  <c r="I9" i="83"/>
  <c r="I10" i="83"/>
  <c r="I11" i="83"/>
  <c r="I12" i="83"/>
  <c r="I13" i="83"/>
  <c r="I14" i="83"/>
  <c r="I15" i="83"/>
  <c r="I16" i="83"/>
  <c r="I17" i="83"/>
  <c r="I18" i="83"/>
  <c r="I19" i="83"/>
  <c r="I20" i="83"/>
  <c r="I21" i="83"/>
  <c r="I22" i="83"/>
  <c r="I23" i="83"/>
  <c r="I24" i="83"/>
  <c r="I25" i="83"/>
  <c r="I26" i="83"/>
  <c r="I27" i="83"/>
  <c r="I28" i="83"/>
  <c r="I29" i="83"/>
  <c r="I30" i="83"/>
  <c r="I31" i="83"/>
  <c r="I32" i="83"/>
  <c r="I33" i="83"/>
  <c r="I34" i="83"/>
  <c r="I35" i="83"/>
  <c r="I36" i="83"/>
  <c r="I37" i="83"/>
  <c r="I38" i="83"/>
  <c r="I39" i="83"/>
  <c r="I40" i="83"/>
  <c r="I41" i="83"/>
  <c r="I42" i="83"/>
  <c r="I43" i="83"/>
  <c r="I44" i="83"/>
  <c r="I45" i="83"/>
  <c r="I46" i="83"/>
  <c r="I47" i="83"/>
  <c r="I48" i="83"/>
  <c r="I49" i="83"/>
  <c r="I50" i="83"/>
  <c r="I51" i="83"/>
  <c r="I52" i="83"/>
  <c r="I53" i="83"/>
  <c r="I54" i="83"/>
  <c r="I55" i="83"/>
  <c r="I56" i="83"/>
  <c r="I57" i="83"/>
  <c r="I58" i="83"/>
  <c r="I59" i="83"/>
  <c r="I60" i="83"/>
  <c r="I61" i="83"/>
  <c r="I62" i="83"/>
  <c r="I63" i="83"/>
  <c r="I64" i="83"/>
  <c r="I65" i="83"/>
  <c r="I66" i="83"/>
  <c r="I67" i="83"/>
  <c r="I68" i="83"/>
  <c r="I69" i="83"/>
  <c r="I70" i="83"/>
  <c r="I71" i="83"/>
  <c r="I72" i="83"/>
  <c r="I73" i="83"/>
  <c r="I74" i="83"/>
  <c r="I75" i="83"/>
  <c r="I76" i="83"/>
  <c r="I77" i="83"/>
  <c r="I78" i="83"/>
  <c r="I79" i="83"/>
  <c r="I80" i="83"/>
  <c r="I81" i="83"/>
  <c r="I82" i="83"/>
  <c r="I83" i="83"/>
  <c r="I84" i="83"/>
  <c r="I85" i="83"/>
  <c r="I86" i="83"/>
  <c r="I87" i="83"/>
  <c r="I88" i="83"/>
  <c r="I89" i="83"/>
  <c r="I90" i="83"/>
  <c r="I91" i="83"/>
  <c r="I92" i="83"/>
  <c r="I93" i="83"/>
  <c r="I94" i="83"/>
  <c r="I95" i="83"/>
  <c r="I96" i="83"/>
  <c r="I97" i="83"/>
  <c r="I98" i="83"/>
  <c r="I99" i="83"/>
  <c r="I100" i="83"/>
  <c r="I101" i="83"/>
  <c r="I2" i="83"/>
  <c r="A14" i="354"/>
  <c r="A15" i="354"/>
  <c r="A16" i="354"/>
  <c r="A17" i="354"/>
  <c r="A18" i="354"/>
  <c r="A13" i="354"/>
  <c r="A8" i="354"/>
  <c r="A9" i="354"/>
  <c r="A10" i="354"/>
  <c r="A11" i="354"/>
  <c r="A12" i="354"/>
  <c r="A19" i="354"/>
  <c r="A20" i="354"/>
  <c r="A23" i="354"/>
  <c r="A25" i="354"/>
  <c r="A26" i="354"/>
  <c r="A53" i="354"/>
  <c r="A21" i="354"/>
  <c r="A22" i="354"/>
  <c r="A24" i="354"/>
  <c r="GF10" i="227"/>
  <c r="B16" i="112"/>
  <c r="B18" i="112"/>
  <c r="B15" i="112"/>
  <c r="P113" i="528"/>
  <c r="Q113" i="528" s="1"/>
  <c r="F21" i="41"/>
  <c r="E16" i="41"/>
  <c r="E24" i="41" s="1"/>
  <c r="C30" i="107"/>
  <c r="C31" i="107"/>
  <c r="B55" i="794" s="1"/>
  <c r="C32" i="107"/>
  <c r="C35" i="107"/>
  <c r="C29" i="107"/>
  <c r="B53" i="794" s="1"/>
  <c r="C37" i="107"/>
  <c r="C38" i="107"/>
  <c r="B61" i="794" s="1"/>
  <c r="C39" i="107"/>
  <c r="B62" i="794" s="1"/>
  <c r="C36" i="107"/>
  <c r="B59" i="794" s="1"/>
  <c r="A8" i="107"/>
  <c r="C2" i="107"/>
  <c r="B29" i="794" s="1"/>
  <c r="C189" i="529"/>
  <c r="C164" i="529"/>
  <c r="C163" i="529"/>
  <c r="C133" i="529"/>
  <c r="C132" i="529"/>
  <c r="C107" i="529"/>
  <c r="C106" i="529"/>
  <c r="C81" i="529"/>
  <c r="C80" i="529"/>
  <c r="C55" i="529"/>
  <c r="C54" i="529"/>
  <c r="C29" i="529"/>
  <c r="C28" i="529"/>
  <c r="E50" i="39"/>
  <c r="D39" i="107"/>
  <c r="C30" i="527"/>
  <c r="E49" i="39" s="1"/>
  <c r="C29" i="527"/>
  <c r="C28" i="527"/>
  <c r="C27" i="527"/>
  <c r="F16" i="41"/>
  <c r="M14" i="41" s="1"/>
  <c r="E17" i="41"/>
  <c r="F17" i="41"/>
  <c r="M19" i="41" s="1"/>
  <c r="E18" i="41"/>
  <c r="L17" i="41" s="1"/>
  <c r="F18" i="41"/>
  <c r="E19" i="41"/>
  <c r="L18" i="41" s="1"/>
  <c r="F19" i="41"/>
  <c r="M18" i="41" s="1"/>
  <c r="F20" i="41"/>
  <c r="G20" i="41" s="1"/>
  <c r="J20" i="41" s="1"/>
  <c r="E21" i="41"/>
  <c r="L16" i="41" s="1"/>
  <c r="E22" i="41"/>
  <c r="L15" i="41" s="1"/>
  <c r="F22" i="41"/>
  <c r="M15" i="41" s="1"/>
  <c r="R112" i="528"/>
  <c r="F8" i="11"/>
  <c r="F11" i="11" s="1"/>
  <c r="B18" i="11"/>
  <c r="C32" i="527"/>
  <c r="F31" i="527"/>
  <c r="F50" i="39" s="1"/>
  <c r="F23" i="527"/>
  <c r="F22" i="527"/>
  <c r="C21" i="527"/>
  <c r="C20" i="527"/>
  <c r="C19" i="527"/>
  <c r="C12" i="527"/>
  <c r="F12" i="527" s="1"/>
  <c r="F11" i="527"/>
  <c r="F9" i="527"/>
  <c r="F8" i="527"/>
  <c r="F6" i="527"/>
  <c r="F5" i="527"/>
  <c r="F4" i="527"/>
  <c r="F3" i="527"/>
  <c r="A3" i="41"/>
  <c r="B6" i="41" s="1"/>
  <c r="AG49" i="106"/>
  <c r="AG50" i="106"/>
  <c r="AG51" i="106"/>
  <c r="AG52" i="106"/>
  <c r="AG53" i="106"/>
  <c r="AG54" i="106"/>
  <c r="AG55" i="106"/>
  <c r="AG56" i="106"/>
  <c r="AG57" i="106"/>
  <c r="AG58" i="106"/>
  <c r="AG59" i="106"/>
  <c r="AG60" i="106"/>
  <c r="AG61" i="106"/>
  <c r="AG62" i="106"/>
  <c r="AG63" i="106"/>
  <c r="AG64" i="106"/>
  <c r="AG65" i="106"/>
  <c r="AG66" i="106"/>
  <c r="AG67" i="106"/>
  <c r="AG68" i="106"/>
  <c r="AG69" i="106"/>
  <c r="AG70" i="106"/>
  <c r="AI49" i="106"/>
  <c r="AI50" i="106"/>
  <c r="AI51" i="106"/>
  <c r="AI52" i="106"/>
  <c r="AI53" i="106"/>
  <c r="AI54" i="106"/>
  <c r="AI55" i="106"/>
  <c r="AI56" i="106"/>
  <c r="AI57" i="106"/>
  <c r="AI58" i="106"/>
  <c r="AI59" i="106"/>
  <c r="AI60" i="106"/>
  <c r="AI61" i="106"/>
  <c r="AI62" i="106"/>
  <c r="AI63" i="106"/>
  <c r="AI64" i="106"/>
  <c r="AI65" i="106"/>
  <c r="AI66" i="106"/>
  <c r="AI67" i="106"/>
  <c r="AI68" i="106"/>
  <c r="AI69" i="106"/>
  <c r="AI70" i="106"/>
  <c r="EY45" i="227"/>
  <c r="EZ45" i="227" s="1"/>
  <c r="FC45" i="227"/>
  <c r="FD45" i="227" s="1"/>
  <c r="FE72" i="227"/>
  <c r="FE71" i="227"/>
  <c r="FE70" i="227"/>
  <c r="FE69" i="227"/>
  <c r="FE68" i="227"/>
  <c r="FE67" i="227"/>
  <c r="FE66" i="227"/>
  <c r="FE65" i="227"/>
  <c r="FE64" i="227"/>
  <c r="FE63" i="227"/>
  <c r="FE62" i="227"/>
  <c r="FE61" i="227"/>
  <c r="FE60" i="227"/>
  <c r="FE59" i="227"/>
  <c r="FE58" i="227"/>
  <c r="FE57" i="227"/>
  <c r="FE56" i="227"/>
  <c r="FE55" i="227"/>
  <c r="FE54" i="227"/>
  <c r="FE53" i="227"/>
  <c r="FE52" i="227"/>
  <c r="FE51" i="227"/>
  <c r="FE50" i="227"/>
  <c r="FE49" i="227"/>
  <c r="FE46" i="227"/>
  <c r="FE44" i="227"/>
  <c r="FE43" i="227"/>
  <c r="FE40" i="227"/>
  <c r="FE39" i="227"/>
  <c r="FE38" i="227"/>
  <c r="FE48" i="227"/>
  <c r="FE47" i="227"/>
  <c r="C3" i="375"/>
  <c r="C4" i="375"/>
  <c r="C5" i="375"/>
  <c r="C11" i="375"/>
  <c r="C13" i="375"/>
  <c r="C2" i="375"/>
  <c r="D80" i="354"/>
  <c r="D82" i="354" s="1"/>
  <c r="H84" i="354"/>
  <c r="L84" i="354" s="1"/>
  <c r="P84" i="354" s="1"/>
  <c r="T84" i="354" s="1"/>
  <c r="X84" i="354" s="1"/>
  <c r="AB84" i="354" s="1"/>
  <c r="AF84" i="354" s="1"/>
  <c r="AJ84" i="354" s="1"/>
  <c r="AN84" i="354" s="1"/>
  <c r="AR84" i="354" s="1"/>
  <c r="AV84" i="354" s="1"/>
  <c r="AZ84" i="354" s="1"/>
  <c r="I84" i="354"/>
  <c r="M84" i="354" s="1"/>
  <c r="Q84" i="354" s="1"/>
  <c r="U84" i="354" s="1"/>
  <c r="Y84" i="354" s="1"/>
  <c r="AC84" i="354" s="1"/>
  <c r="AG84" i="354" s="1"/>
  <c r="AK84" i="354" s="1"/>
  <c r="AO84" i="354" s="1"/>
  <c r="AS84" i="354" s="1"/>
  <c r="AW84" i="354" s="1"/>
  <c r="BA84" i="354" s="1"/>
  <c r="J84" i="354"/>
  <c r="N84" i="354" s="1"/>
  <c r="R84" i="354" s="1"/>
  <c r="V84" i="354" s="1"/>
  <c r="Z84" i="354" s="1"/>
  <c r="AD84" i="354" s="1"/>
  <c r="AH84" i="354" s="1"/>
  <c r="AL84" i="354" s="1"/>
  <c r="AP84" i="354" s="1"/>
  <c r="AT84" i="354" s="1"/>
  <c r="AX84" i="354" s="1"/>
  <c r="BB84" i="354" s="1"/>
  <c r="C81" i="354"/>
  <c r="AJ49" i="106"/>
  <c r="AJ50" i="106"/>
  <c r="AJ51" i="106"/>
  <c r="AJ52" i="106"/>
  <c r="AJ53" i="106"/>
  <c r="AJ54" i="106"/>
  <c r="AJ55" i="106"/>
  <c r="AJ56" i="106"/>
  <c r="AJ57" i="106"/>
  <c r="AJ58" i="106"/>
  <c r="AJ59" i="106"/>
  <c r="AJ60" i="106"/>
  <c r="AJ61" i="106"/>
  <c r="AJ62" i="106"/>
  <c r="AJ63" i="106"/>
  <c r="AJ64" i="106"/>
  <c r="AJ65" i="106"/>
  <c r="AJ66" i="106"/>
  <c r="AJ67" i="106"/>
  <c r="AJ68" i="106"/>
  <c r="AJ69" i="106"/>
  <c r="AJ70" i="106"/>
  <c r="A76" i="354"/>
  <c r="A75" i="354"/>
  <c r="A74" i="354"/>
  <c r="A73" i="354"/>
  <c r="A72" i="354"/>
  <c r="A71" i="354"/>
  <c r="A70" i="354"/>
  <c r="A69" i="354"/>
  <c r="A68" i="354"/>
  <c r="A67" i="354"/>
  <c r="A66" i="354"/>
  <c r="A65" i="354"/>
  <c r="A64" i="354"/>
  <c r="A63" i="354"/>
  <c r="A62" i="354"/>
  <c r="A61" i="354"/>
  <c r="A60" i="354"/>
  <c r="A59" i="354"/>
  <c r="A58" i="354"/>
  <c r="A57" i="354"/>
  <c r="A56" i="354"/>
  <c r="A55" i="354"/>
  <c r="A54" i="354"/>
  <c r="A52" i="354"/>
  <c r="A51" i="354"/>
  <c r="A50" i="354"/>
  <c r="A49" i="354"/>
  <c r="A48" i="354"/>
  <c r="A47" i="354"/>
  <c r="A46" i="354"/>
  <c r="A45" i="354"/>
  <c r="A44" i="354"/>
  <c r="A43" i="354"/>
  <c r="A42" i="354"/>
  <c r="A41" i="354"/>
  <c r="A40" i="354"/>
  <c r="A39" i="354"/>
  <c r="A38" i="354"/>
  <c r="A37" i="354"/>
  <c r="A36" i="354"/>
  <c r="A35" i="354"/>
  <c r="A34" i="354"/>
  <c r="A33" i="354"/>
  <c r="A32" i="354"/>
  <c r="A31" i="354"/>
  <c r="A30" i="354"/>
  <c r="A29" i="354"/>
  <c r="A28" i="354"/>
  <c r="A27" i="354"/>
  <c r="J7" i="112"/>
  <c r="L6" i="111"/>
  <c r="M6" i="111"/>
  <c r="L7" i="111"/>
  <c r="M7" i="111"/>
  <c r="L8" i="111"/>
  <c r="M8" i="111"/>
  <c r="L9" i="111"/>
  <c r="M9" i="111"/>
  <c r="AP2" i="106"/>
  <c r="I5" i="227"/>
  <c r="AO144" i="227"/>
  <c r="AP144" i="227"/>
  <c r="AQ144" i="227"/>
  <c r="AR144" i="227"/>
  <c r="AS144" i="227"/>
  <c r="AT144" i="227"/>
  <c r="AU144" i="227"/>
  <c r="AV144" i="227"/>
  <c r="AW144" i="227"/>
  <c r="C144" i="227"/>
  <c r="D144" i="227"/>
  <c r="E144" i="227"/>
  <c r="F144" i="227"/>
  <c r="G144" i="227"/>
  <c r="H144" i="227"/>
  <c r="I144" i="227"/>
  <c r="J144" i="227"/>
  <c r="K144" i="227"/>
  <c r="L144" i="227"/>
  <c r="M144" i="227"/>
  <c r="N144" i="227"/>
  <c r="O144" i="227"/>
  <c r="P144" i="227"/>
  <c r="Q144" i="227"/>
  <c r="R144" i="227"/>
  <c r="S144" i="227"/>
  <c r="T144" i="227"/>
  <c r="U144" i="227"/>
  <c r="V144" i="227"/>
  <c r="W144" i="227"/>
  <c r="X144" i="227"/>
  <c r="Y144" i="227"/>
  <c r="Z144" i="227"/>
  <c r="AA144" i="227"/>
  <c r="AB144" i="227"/>
  <c r="AC144" i="227"/>
  <c r="AD144" i="227"/>
  <c r="AE144" i="227"/>
  <c r="AF144" i="227"/>
  <c r="AG144" i="227"/>
  <c r="AH144" i="227"/>
  <c r="AI144" i="227"/>
  <c r="AJ144" i="227"/>
  <c r="AK144" i="227"/>
  <c r="AL144" i="227"/>
  <c r="AM144" i="227"/>
  <c r="AN144" i="227"/>
  <c r="B144" i="227"/>
  <c r="B10" i="227"/>
  <c r="B55" i="227" s="1"/>
  <c r="B100" i="227" s="1"/>
  <c r="B11" i="227"/>
  <c r="B56" i="227" s="1"/>
  <c r="B101" i="227" s="1"/>
  <c r="B12" i="227"/>
  <c r="B57" i="227" s="1"/>
  <c r="B102" i="227" s="1"/>
  <c r="B13" i="227"/>
  <c r="B58" i="227" s="1"/>
  <c r="B103" i="227" s="1"/>
  <c r="B14" i="227"/>
  <c r="B59" i="227" s="1"/>
  <c r="B104" i="227" s="1"/>
  <c r="B15" i="227"/>
  <c r="B60" i="227" s="1"/>
  <c r="B105" i="227" s="1"/>
  <c r="B16" i="227"/>
  <c r="B61" i="227" s="1"/>
  <c r="B106" i="227" s="1"/>
  <c r="B17" i="227"/>
  <c r="B62" i="227" s="1"/>
  <c r="B107" i="227" s="1"/>
  <c r="B18" i="227"/>
  <c r="B63" i="227" s="1"/>
  <c r="B108" i="227" s="1"/>
  <c r="B19" i="227"/>
  <c r="B64" i="227" s="1"/>
  <c r="B109" i="227" s="1"/>
  <c r="B20" i="227"/>
  <c r="B65" i="227" s="1"/>
  <c r="B110" i="227" s="1"/>
  <c r="B21" i="227"/>
  <c r="B66" i="227" s="1"/>
  <c r="B111" i="227" s="1"/>
  <c r="B22" i="227"/>
  <c r="B67" i="227" s="1"/>
  <c r="B112" i="227" s="1"/>
  <c r="B23" i="227"/>
  <c r="B68" i="227" s="1"/>
  <c r="B113" i="227" s="1"/>
  <c r="B24" i="227"/>
  <c r="B69" i="227" s="1"/>
  <c r="B114" i="227" s="1"/>
  <c r="B25" i="227"/>
  <c r="B70" i="227" s="1"/>
  <c r="B115" i="227" s="1"/>
  <c r="B26" i="227"/>
  <c r="B71" i="227" s="1"/>
  <c r="B116" i="227" s="1"/>
  <c r="B27" i="227"/>
  <c r="B72" i="227" s="1"/>
  <c r="B117" i="227" s="1"/>
  <c r="B28" i="227"/>
  <c r="B73" i="227" s="1"/>
  <c r="B118" i="227" s="1"/>
  <c r="B29" i="227"/>
  <c r="B74" i="227" s="1"/>
  <c r="B119" i="227" s="1"/>
  <c r="B30" i="227"/>
  <c r="B75" i="227" s="1"/>
  <c r="B120" i="227" s="1"/>
  <c r="B31" i="227"/>
  <c r="B76" i="227" s="1"/>
  <c r="B121" i="227" s="1"/>
  <c r="B32" i="227"/>
  <c r="B77" i="227" s="1"/>
  <c r="B122" i="227" s="1"/>
  <c r="B33" i="227"/>
  <c r="B78" i="227" s="1"/>
  <c r="B123" i="227" s="1"/>
  <c r="B34" i="227"/>
  <c r="B79" i="227" s="1"/>
  <c r="B124" i="227" s="1"/>
  <c r="B35" i="227"/>
  <c r="B80" i="227" s="1"/>
  <c r="B125" i="227" s="1"/>
  <c r="B36" i="227"/>
  <c r="B81" i="227" s="1"/>
  <c r="B126" i="227" s="1"/>
  <c r="B37" i="227"/>
  <c r="B82" i="227" s="1"/>
  <c r="B127" i="227" s="1"/>
  <c r="B38" i="227"/>
  <c r="B83" i="227" s="1"/>
  <c r="B128" i="227" s="1"/>
  <c r="B39" i="227"/>
  <c r="B84" i="227" s="1"/>
  <c r="B129" i="227" s="1"/>
  <c r="B40" i="227"/>
  <c r="B85" i="227" s="1"/>
  <c r="B130" i="227" s="1"/>
  <c r="B41" i="227"/>
  <c r="B86" i="227" s="1"/>
  <c r="B131" i="227" s="1"/>
  <c r="B42" i="227"/>
  <c r="B87" i="227" s="1"/>
  <c r="B132" i="227" s="1"/>
  <c r="B43" i="227"/>
  <c r="B88" i="227" s="1"/>
  <c r="B133" i="227" s="1"/>
  <c r="B44" i="227"/>
  <c r="B89" i="227" s="1"/>
  <c r="B134" i="227" s="1"/>
  <c r="B46" i="227"/>
  <c r="B90" i="227" s="1"/>
  <c r="B135" i="227" s="1"/>
  <c r="B47" i="227"/>
  <c r="B91" i="227" s="1"/>
  <c r="B136" i="227" s="1"/>
  <c r="B48" i="227"/>
  <c r="B92" i="227" s="1"/>
  <c r="B137" i="227" s="1"/>
  <c r="B49" i="227"/>
  <c r="B93" i="227" s="1"/>
  <c r="B138" i="227" s="1"/>
  <c r="B50" i="227"/>
  <c r="B94" i="227" s="1"/>
  <c r="B139" i="227" s="1"/>
  <c r="B95" i="227"/>
  <c r="B140" i="227" s="1"/>
  <c r="B51" i="227"/>
  <c r="B96" i="227" s="1"/>
  <c r="B141" i="227" s="1"/>
  <c r="B52" i="227"/>
  <c r="B97" i="227" s="1"/>
  <c r="B142" i="227" s="1"/>
  <c r="B53" i="227"/>
  <c r="B98" i="227" s="1"/>
  <c r="B143" i="227" s="1"/>
  <c r="B9" i="227"/>
  <c r="B54" i="227" s="1"/>
  <c r="B99" i="227" s="1"/>
  <c r="W5" i="111"/>
  <c r="W6" i="111"/>
  <c r="W7" i="111"/>
  <c r="W8" i="111"/>
  <c r="W9" i="111"/>
  <c r="W10" i="111"/>
  <c r="W11" i="111"/>
  <c r="W12" i="111"/>
  <c r="W13" i="111"/>
  <c r="W14" i="111"/>
  <c r="W15" i="111"/>
  <c r="W16" i="111"/>
  <c r="W17" i="111"/>
  <c r="W18" i="111"/>
  <c r="W19" i="111"/>
  <c r="W20" i="111"/>
  <c r="W21" i="111"/>
  <c r="W22" i="111"/>
  <c r="W23" i="111"/>
  <c r="W24" i="111"/>
  <c r="W25" i="111"/>
  <c r="W26" i="111"/>
  <c r="W27" i="111"/>
  <c r="U5" i="111"/>
  <c r="V5" i="111"/>
  <c r="U6" i="111"/>
  <c r="V6" i="111"/>
  <c r="U7" i="111"/>
  <c r="V7" i="111"/>
  <c r="U8" i="111"/>
  <c r="V8" i="111"/>
  <c r="U9" i="111"/>
  <c r="V9" i="111"/>
  <c r="U10" i="111"/>
  <c r="V10" i="111"/>
  <c r="U11" i="111"/>
  <c r="V11" i="111"/>
  <c r="U12" i="111"/>
  <c r="V12" i="111"/>
  <c r="U13" i="111"/>
  <c r="V13" i="111"/>
  <c r="U14" i="111"/>
  <c r="V14" i="111"/>
  <c r="U15" i="111"/>
  <c r="V15" i="111"/>
  <c r="U16" i="111"/>
  <c r="V16" i="111"/>
  <c r="U17" i="111"/>
  <c r="V17" i="111"/>
  <c r="U18" i="111"/>
  <c r="V18" i="111"/>
  <c r="U19" i="111"/>
  <c r="V19" i="111"/>
  <c r="U20" i="111"/>
  <c r="V20" i="111"/>
  <c r="U21" i="111"/>
  <c r="V21" i="111"/>
  <c r="U22" i="111"/>
  <c r="V22" i="111"/>
  <c r="U23" i="111"/>
  <c r="V23" i="111"/>
  <c r="U24" i="111"/>
  <c r="V24" i="111"/>
  <c r="U25" i="111"/>
  <c r="V25" i="111"/>
  <c r="U26" i="111"/>
  <c r="V26" i="111"/>
  <c r="U27" i="111"/>
  <c r="V27" i="111"/>
  <c r="V4" i="111"/>
  <c r="U4" i="111"/>
  <c r="AE48" i="106"/>
  <c r="AF48" i="106"/>
  <c r="AE49" i="106"/>
  <c r="AF49" i="106"/>
  <c r="AE50" i="106"/>
  <c r="AF50" i="106"/>
  <c r="AE51" i="106"/>
  <c r="AF51" i="106"/>
  <c r="AE52" i="106"/>
  <c r="AF52" i="106"/>
  <c r="AE53" i="106"/>
  <c r="AF53" i="106"/>
  <c r="AE54" i="106"/>
  <c r="AF54" i="106"/>
  <c r="AE55" i="106"/>
  <c r="AF55" i="106"/>
  <c r="AE56" i="106"/>
  <c r="AF56" i="106"/>
  <c r="AE57" i="106"/>
  <c r="AF57" i="106"/>
  <c r="AE58" i="106"/>
  <c r="AF58" i="106"/>
  <c r="AE59" i="106"/>
  <c r="AF59" i="106"/>
  <c r="AE60" i="106"/>
  <c r="AF60" i="106"/>
  <c r="AE61" i="106"/>
  <c r="AF61" i="106"/>
  <c r="AE62" i="106"/>
  <c r="AF62" i="106"/>
  <c r="AE63" i="106"/>
  <c r="AF63" i="106"/>
  <c r="AE64" i="106"/>
  <c r="AF64" i="106"/>
  <c r="AE65" i="106"/>
  <c r="AF65" i="106"/>
  <c r="AE66" i="106"/>
  <c r="AF66" i="106"/>
  <c r="AE67" i="106"/>
  <c r="AF67" i="106"/>
  <c r="AE68" i="106"/>
  <c r="AF68" i="106"/>
  <c r="AE69" i="106"/>
  <c r="AF69" i="106"/>
  <c r="AE70" i="106"/>
  <c r="AF70" i="106"/>
  <c r="AF47" i="106"/>
  <c r="AE47" i="106"/>
  <c r="L10" i="111"/>
  <c r="M10" i="111"/>
  <c r="L11" i="111"/>
  <c r="M11" i="111"/>
  <c r="L12" i="111"/>
  <c r="M12" i="111"/>
  <c r="L13" i="111"/>
  <c r="M13" i="111"/>
  <c r="L14" i="111"/>
  <c r="M14" i="111"/>
  <c r="L15" i="111"/>
  <c r="M15" i="111"/>
  <c r="L16" i="111"/>
  <c r="M16" i="111"/>
  <c r="L17" i="111"/>
  <c r="M17" i="111"/>
  <c r="L18" i="111"/>
  <c r="M18" i="111"/>
  <c r="L19" i="111"/>
  <c r="M19" i="111"/>
  <c r="L20" i="111"/>
  <c r="M20" i="111"/>
  <c r="L21" i="111"/>
  <c r="M21" i="111"/>
  <c r="L22" i="111"/>
  <c r="M22" i="111"/>
  <c r="L23" i="111"/>
  <c r="M23" i="111"/>
  <c r="L24" i="111"/>
  <c r="M24" i="111"/>
  <c r="L25" i="111"/>
  <c r="M25" i="111"/>
  <c r="L26" i="111"/>
  <c r="M26" i="111"/>
  <c r="L27" i="111"/>
  <c r="M27" i="111"/>
  <c r="G67" i="106"/>
  <c r="O67" i="106"/>
  <c r="P67" i="106"/>
  <c r="V67" i="106"/>
  <c r="AM67" i="106" s="1"/>
  <c r="AA67" i="106"/>
  <c r="AC67" i="106"/>
  <c r="C137" i="794" s="1"/>
  <c r="G68" i="106"/>
  <c r="D68" i="106" s="1"/>
  <c r="O68" i="106"/>
  <c r="P68" i="106"/>
  <c r="V68" i="106"/>
  <c r="AM68" i="106" s="1"/>
  <c r="AA68" i="106"/>
  <c r="AC68" i="106"/>
  <c r="G69" i="106"/>
  <c r="D69" i="106" s="1"/>
  <c r="O69" i="106"/>
  <c r="P69" i="106"/>
  <c r="V69" i="106"/>
  <c r="AM69" i="106" s="1"/>
  <c r="AA69" i="106"/>
  <c r="AC69" i="106"/>
  <c r="G70" i="106"/>
  <c r="D70" i="106" s="1"/>
  <c r="O70" i="106"/>
  <c r="P70" i="106"/>
  <c r="V70" i="106"/>
  <c r="AM70" i="106" s="1"/>
  <c r="AA70" i="106"/>
  <c r="G140" i="794" s="1"/>
  <c r="AC70" i="106"/>
  <c r="G49" i="106"/>
  <c r="D49" i="106" s="1"/>
  <c r="G48" i="106"/>
  <c r="G55" i="106"/>
  <c r="O48" i="106"/>
  <c r="P48" i="106"/>
  <c r="V48" i="106"/>
  <c r="AM48" i="106" s="1"/>
  <c r="AA48" i="106"/>
  <c r="G118" i="794" s="1"/>
  <c r="H118" i="794" s="1"/>
  <c r="AC48" i="106"/>
  <c r="C118" i="794" s="1"/>
  <c r="O49" i="106"/>
  <c r="P49" i="106"/>
  <c r="V49" i="106"/>
  <c r="AM49" i="106" s="1"/>
  <c r="AA49" i="106"/>
  <c r="G119" i="794" s="1"/>
  <c r="AC49" i="106"/>
  <c r="G50" i="106"/>
  <c r="D50" i="106" s="1"/>
  <c r="O50" i="106"/>
  <c r="P50" i="106"/>
  <c r="V50" i="106"/>
  <c r="AM50" i="106" s="1"/>
  <c r="AA50" i="106"/>
  <c r="AC50" i="106"/>
  <c r="C120" i="794" s="1"/>
  <c r="G51" i="106"/>
  <c r="D51" i="106" s="1"/>
  <c r="O51" i="106"/>
  <c r="P51" i="106"/>
  <c r="V51" i="106"/>
  <c r="AM51" i="106" s="1"/>
  <c r="AA51" i="106"/>
  <c r="G121" i="794" s="1"/>
  <c r="AC51" i="106"/>
  <c r="G52" i="106"/>
  <c r="D52" i="106" s="1"/>
  <c r="O52" i="106"/>
  <c r="P52" i="106"/>
  <c r="V52" i="106"/>
  <c r="AM52" i="106" s="1"/>
  <c r="AA52" i="106"/>
  <c r="G122" i="794" s="1"/>
  <c r="AC52" i="106"/>
  <c r="G53" i="106"/>
  <c r="D53" i="106" s="1"/>
  <c r="O53" i="106"/>
  <c r="P53" i="106"/>
  <c r="V53" i="106"/>
  <c r="AM53" i="106" s="1"/>
  <c r="AA53" i="106"/>
  <c r="G123" i="794" s="1"/>
  <c r="AC53" i="106"/>
  <c r="G54" i="106"/>
  <c r="O54" i="106"/>
  <c r="P54" i="106"/>
  <c r="V54" i="106"/>
  <c r="AM54" i="106" s="1"/>
  <c r="AA54" i="106"/>
  <c r="G124" i="794" s="1"/>
  <c r="AC54" i="106"/>
  <c r="C124" i="794" s="1"/>
  <c r="O55" i="106"/>
  <c r="P55" i="106"/>
  <c r="V55" i="106"/>
  <c r="AM55" i="106" s="1"/>
  <c r="AA55" i="106"/>
  <c r="AC55" i="106"/>
  <c r="C125" i="794" s="1"/>
  <c r="G56" i="106"/>
  <c r="D56" i="106" s="1"/>
  <c r="O56" i="106"/>
  <c r="P56" i="106"/>
  <c r="V56" i="106"/>
  <c r="AM56" i="106" s="1"/>
  <c r="AA56" i="106"/>
  <c r="G126" i="794" s="1"/>
  <c r="AC56" i="106"/>
  <c r="G57" i="106"/>
  <c r="D57" i="106" s="1"/>
  <c r="O57" i="106"/>
  <c r="P57" i="106"/>
  <c r="V57" i="106"/>
  <c r="AM57" i="106" s="1"/>
  <c r="AA57" i="106"/>
  <c r="AC57" i="106"/>
  <c r="G58" i="106"/>
  <c r="D58" i="106" s="1"/>
  <c r="O58" i="106"/>
  <c r="P58" i="106"/>
  <c r="V58" i="106"/>
  <c r="AM58" i="106" s="1"/>
  <c r="AA58" i="106"/>
  <c r="G128" i="794" s="1"/>
  <c r="AC58" i="106"/>
  <c r="C128" i="794" s="1"/>
  <c r="G59" i="106"/>
  <c r="D59" i="106" s="1"/>
  <c r="O59" i="106"/>
  <c r="P59" i="106"/>
  <c r="V59" i="106"/>
  <c r="AM59" i="106" s="1"/>
  <c r="AA59" i="106"/>
  <c r="AC59" i="106"/>
  <c r="C129" i="794" s="1"/>
  <c r="G60" i="106"/>
  <c r="D60" i="106" s="1"/>
  <c r="O60" i="106"/>
  <c r="P60" i="106"/>
  <c r="V60" i="106"/>
  <c r="AM60" i="106" s="1"/>
  <c r="AA60" i="106"/>
  <c r="G130" i="794" s="1"/>
  <c r="AC60" i="106"/>
  <c r="C130" i="794" s="1"/>
  <c r="G61" i="106"/>
  <c r="D61" i="106" s="1"/>
  <c r="O61" i="106"/>
  <c r="P61" i="106"/>
  <c r="V61" i="106"/>
  <c r="AM61" i="106" s="1"/>
  <c r="AA61" i="106"/>
  <c r="AC61" i="106"/>
  <c r="G62" i="106"/>
  <c r="O62" i="106"/>
  <c r="P62" i="106"/>
  <c r="V62" i="106"/>
  <c r="AM62" i="106" s="1"/>
  <c r="AA62" i="106"/>
  <c r="G132" i="794" s="1"/>
  <c r="AC62" i="106"/>
  <c r="C132" i="794" s="1"/>
  <c r="G63" i="106"/>
  <c r="D63" i="106" s="1"/>
  <c r="O63" i="106"/>
  <c r="P63" i="106"/>
  <c r="V63" i="106"/>
  <c r="AM63" i="106" s="1"/>
  <c r="AA63" i="106"/>
  <c r="AC63" i="106"/>
  <c r="G64" i="106"/>
  <c r="O64" i="106"/>
  <c r="P64" i="106"/>
  <c r="V64" i="106"/>
  <c r="AM64" i="106" s="1"/>
  <c r="AA64" i="106"/>
  <c r="AC64" i="106"/>
  <c r="G65" i="106"/>
  <c r="D65" i="106" s="1"/>
  <c r="O65" i="106"/>
  <c r="P65" i="106"/>
  <c r="V65" i="106"/>
  <c r="AM65" i="106" s="1"/>
  <c r="AA65" i="106"/>
  <c r="AC65" i="106"/>
  <c r="G66" i="106"/>
  <c r="D66" i="106" s="1"/>
  <c r="O66" i="106"/>
  <c r="P66" i="106"/>
  <c r="V66" i="106"/>
  <c r="AM66" i="106" s="1"/>
  <c r="AA66" i="106"/>
  <c r="AC66" i="106"/>
  <c r="AA47" i="106"/>
  <c r="G117" i="794" s="1"/>
  <c r="Z47" i="106"/>
  <c r="V47" i="106"/>
  <c r="AM47" i="106" s="1"/>
  <c r="P47" i="106"/>
  <c r="O47" i="106"/>
  <c r="G47" i="106"/>
  <c r="D47" i="106" s="1"/>
  <c r="Z16" i="111"/>
  <c r="Z15" i="111"/>
  <c r="Z14" i="111"/>
  <c r="Z13" i="111"/>
  <c r="Z12" i="111"/>
  <c r="G28" i="111"/>
  <c r="Q13" i="111"/>
  <c r="K14" i="41"/>
  <c r="K18" i="41"/>
  <c r="K17" i="41"/>
  <c r="K15" i="41"/>
  <c r="K16" i="41"/>
  <c r="K20" i="41"/>
  <c r="L20" i="41"/>
  <c r="K19" i="41"/>
  <c r="F12" i="11"/>
  <c r="B36" i="11"/>
  <c r="F28" i="111"/>
  <c r="AC47" i="106"/>
  <c r="C117" i="794" s="1"/>
  <c r="F19" i="527"/>
  <c r="AD5" i="227"/>
  <c r="A9" i="107"/>
  <c r="R16" i="111"/>
  <c r="D95" i="227"/>
  <c r="D140" i="227" s="1"/>
  <c r="C95" i="227"/>
  <c r="C140" i="227" s="1"/>
  <c r="R18" i="111"/>
  <c r="Q10" i="111"/>
  <c r="S7" i="111"/>
  <c r="Q20" i="111"/>
  <c r="R21" i="111"/>
  <c r="S24" i="111"/>
  <c r="Q23" i="111"/>
  <c r="S12" i="111"/>
  <c r="S27" i="111"/>
  <c r="S9" i="111"/>
  <c r="R8" i="111"/>
  <c r="S17" i="111"/>
  <c r="Q27" i="111"/>
  <c r="S19" i="111"/>
  <c r="S21" i="111"/>
  <c r="S25" i="111"/>
  <c r="R20" i="111"/>
  <c r="S23" i="111"/>
  <c r="Q5" i="111"/>
  <c r="Q21" i="111"/>
  <c r="W4" i="111"/>
  <c r="S5" i="111"/>
  <c r="R10" i="111"/>
  <c r="Q22" i="111"/>
  <c r="S14" i="111"/>
  <c r="R13" i="111"/>
  <c r="Q24" i="111"/>
  <c r="R19" i="111"/>
  <c r="S8" i="111"/>
  <c r="R12" i="111"/>
  <c r="R4" i="111"/>
  <c r="Q16" i="111"/>
  <c r="Q6" i="111"/>
  <c r="R22" i="111"/>
  <c r="Q14" i="111"/>
  <c r="R24" i="111"/>
  <c r="R14" i="111"/>
  <c r="Q12" i="111"/>
  <c r="R7" i="111"/>
  <c r="Q26" i="111"/>
  <c r="S16" i="111"/>
  <c r="S20" i="111"/>
  <c r="R27" i="111"/>
  <c r="S6" i="111"/>
  <c r="S26" i="111"/>
  <c r="R11" i="111"/>
  <c r="R15" i="111"/>
  <c r="R26" i="111"/>
  <c r="Q11" i="111"/>
  <c r="S10" i="111"/>
  <c r="R23" i="111"/>
  <c r="R25" i="111"/>
  <c r="Q18" i="111"/>
  <c r="Q19" i="111"/>
  <c r="Q4" i="111"/>
  <c r="S4" i="111"/>
  <c r="Q7" i="111"/>
  <c r="S15" i="111"/>
  <c r="R6" i="111"/>
  <c r="R5" i="111"/>
  <c r="S13" i="111"/>
  <c r="S18" i="111"/>
  <c r="Q8" i="111"/>
  <c r="Q15" i="111"/>
  <c r="Q25" i="111"/>
  <c r="Q9" i="111"/>
  <c r="R17" i="111"/>
  <c r="Q17" i="111"/>
  <c r="S11" i="111"/>
  <c r="S22" i="111"/>
  <c r="R9" i="111"/>
  <c r="AG47" i="106"/>
  <c r="L4" i="111"/>
  <c r="M4" i="111"/>
  <c r="AJ47" i="106"/>
  <c r="AI47" i="106"/>
  <c r="J28" i="111"/>
  <c r="AG48" i="106"/>
  <c r="M5" i="111"/>
  <c r="AJ48" i="106"/>
  <c r="L5" i="111"/>
  <c r="K28" i="111"/>
  <c r="AI48" i="106"/>
  <c r="N28" i="111"/>
  <c r="F11" i="39" s="1"/>
  <c r="FP16" i="227"/>
  <c r="FP13" i="227"/>
  <c r="D45" i="529"/>
  <c r="A6" i="107"/>
  <c r="FP14" i="227"/>
  <c r="FP17" i="227"/>
  <c r="A5" i="107"/>
  <c r="FP15" i="227"/>
  <c r="FP12" i="227"/>
  <c r="A4" i="107"/>
  <c r="DE34" i="528"/>
  <c r="F32" i="527" l="1"/>
  <c r="C7" i="686"/>
  <c r="T19" i="111"/>
  <c r="T12" i="111"/>
  <c r="B76" i="41"/>
  <c r="D76" i="41" s="1"/>
  <c r="D78" i="41" s="1"/>
  <c r="K31" i="107"/>
  <c r="DE36" i="528"/>
  <c r="BZ17" i="528"/>
  <c r="BZ13" i="528"/>
  <c r="BZ11" i="528"/>
  <c r="BZ12" i="528"/>
  <c r="BZ15" i="528"/>
  <c r="BZ16" i="528"/>
  <c r="BZ14" i="528"/>
  <c r="N84" i="687"/>
  <c r="N20" i="687" s="1"/>
  <c r="DE35" i="528"/>
  <c r="DE39" i="528" s="1"/>
  <c r="DE37" i="528"/>
  <c r="EP7" i="227"/>
  <c r="FO44" i="227"/>
  <c r="N20" i="41"/>
  <c r="G21" i="41"/>
  <c r="H123" i="794"/>
  <c r="A118" i="529"/>
  <c r="A119" i="529"/>
  <c r="A120" i="529"/>
  <c r="A121" i="529"/>
  <c r="A114" i="529"/>
  <c r="A122" i="529"/>
  <c r="A115" i="529"/>
  <c r="A113" i="529"/>
  <c r="A116" i="529"/>
  <c r="A117" i="529"/>
  <c r="H126" i="794"/>
  <c r="D32" i="107"/>
  <c r="D30" i="107"/>
  <c r="D31" i="107"/>
  <c r="B118" i="794"/>
  <c r="D48" i="106"/>
  <c r="B132" i="794"/>
  <c r="D62" i="106"/>
  <c r="B134" i="794"/>
  <c r="D64" i="106"/>
  <c r="B137" i="794"/>
  <c r="D67" i="106"/>
  <c r="B125" i="794"/>
  <c r="D55" i="106"/>
  <c r="B60" i="354"/>
  <c r="D54" i="106"/>
  <c r="H140" i="794"/>
  <c r="A201" i="529"/>
  <c r="A209" i="529"/>
  <c r="A202" i="529"/>
  <c r="A210" i="529"/>
  <c r="A203" i="529"/>
  <c r="A206" i="529"/>
  <c r="A207" i="529"/>
  <c r="A200" i="529"/>
  <c r="A204" i="529"/>
  <c r="A199" i="529"/>
  <c r="A208" i="529"/>
  <c r="A205" i="529"/>
  <c r="A197" i="529"/>
  <c r="A198" i="529"/>
  <c r="A140" i="529"/>
  <c r="A148" i="529"/>
  <c r="A144" i="529"/>
  <c r="A153" i="529"/>
  <c r="A141" i="529"/>
  <c r="A149" i="529"/>
  <c r="A150" i="529"/>
  <c r="A142" i="529"/>
  <c r="A145" i="529"/>
  <c r="A146" i="529"/>
  <c r="A147" i="529"/>
  <c r="A143" i="529"/>
  <c r="A151" i="529"/>
  <c r="A152" i="529"/>
  <c r="FP40" i="227"/>
  <c r="B60" i="794"/>
  <c r="FP38" i="227"/>
  <c r="B58" i="794"/>
  <c r="FP37" i="227"/>
  <c r="B56" i="794"/>
  <c r="FP35" i="227"/>
  <c r="B54" i="794"/>
  <c r="G19" i="41"/>
  <c r="H66" i="106"/>
  <c r="B136" i="794"/>
  <c r="AB64" i="106"/>
  <c r="D134" i="794" s="1"/>
  <c r="G134" i="794"/>
  <c r="H130" i="794"/>
  <c r="H58" i="106"/>
  <c r="B128" i="794"/>
  <c r="AW53" i="106"/>
  <c r="C123" i="794"/>
  <c r="AW49" i="106"/>
  <c r="C119" i="794"/>
  <c r="H69" i="106"/>
  <c r="B139" i="794"/>
  <c r="AB67" i="106"/>
  <c r="D137" i="794" s="1"/>
  <c r="G137" i="794"/>
  <c r="Y67" i="106"/>
  <c r="AA73" i="354" s="1"/>
  <c r="F137" i="794"/>
  <c r="Y59" i="106"/>
  <c r="E129" i="794" s="1"/>
  <c r="F129" i="794"/>
  <c r="Y51" i="106"/>
  <c r="O57" i="354" s="1"/>
  <c r="F121" i="794"/>
  <c r="H121" i="794" s="1"/>
  <c r="AW56" i="106"/>
  <c r="C126" i="794"/>
  <c r="AW65" i="106"/>
  <c r="C135" i="794"/>
  <c r="AW61" i="106"/>
  <c r="C131" i="794"/>
  <c r="AW57" i="106"/>
  <c r="C127" i="794"/>
  <c r="H51" i="106"/>
  <c r="B121" i="794"/>
  <c r="AW68" i="106"/>
  <c r="C138" i="794"/>
  <c r="Y66" i="106"/>
  <c r="W72" i="354" s="1"/>
  <c r="F136" i="794"/>
  <c r="Y58" i="106"/>
  <c r="AA64" i="354" s="1"/>
  <c r="F128" i="794"/>
  <c r="H128" i="794" s="1"/>
  <c r="AW64" i="106"/>
  <c r="C134" i="794"/>
  <c r="H54" i="106"/>
  <c r="B124" i="794"/>
  <c r="AB65" i="106"/>
  <c r="D135" i="794" s="1"/>
  <c r="G135" i="794"/>
  <c r="H135" i="794" s="1"/>
  <c r="H63" i="106"/>
  <c r="B133" i="794"/>
  <c r="AB61" i="106"/>
  <c r="D131" i="794" s="1"/>
  <c r="G131" i="794"/>
  <c r="H59" i="106"/>
  <c r="B129" i="794"/>
  <c r="AB57" i="106"/>
  <c r="D127" i="794" s="1"/>
  <c r="G127" i="794"/>
  <c r="H127" i="794" s="1"/>
  <c r="H70" i="106"/>
  <c r="B140" i="794"/>
  <c r="AB68" i="106"/>
  <c r="D138" i="794" s="1"/>
  <c r="G138" i="794"/>
  <c r="Y49" i="106"/>
  <c r="C55" i="354" s="1"/>
  <c r="F119" i="794"/>
  <c r="H119" i="794" s="1"/>
  <c r="AW66" i="106"/>
  <c r="C136" i="794"/>
  <c r="H52" i="106"/>
  <c r="B122" i="794"/>
  <c r="AB50" i="106"/>
  <c r="D120" i="794" s="1"/>
  <c r="G120" i="794"/>
  <c r="H120" i="794" s="1"/>
  <c r="AW69" i="106"/>
  <c r="C139" i="794"/>
  <c r="Y64" i="106"/>
  <c r="AE70" i="354" s="1"/>
  <c r="F134" i="794"/>
  <c r="H50" i="106"/>
  <c r="B120" i="794"/>
  <c r="Y52" i="106"/>
  <c r="AA58" i="354" s="1"/>
  <c r="F122" i="794"/>
  <c r="H122" i="794" s="1"/>
  <c r="AB66" i="106"/>
  <c r="D136" i="794" s="1"/>
  <c r="G136" i="794"/>
  <c r="H60" i="106"/>
  <c r="B130" i="794"/>
  <c r="H56" i="106"/>
  <c r="B126" i="794"/>
  <c r="AW51" i="106"/>
  <c r="C121" i="794"/>
  <c r="H49" i="106"/>
  <c r="B119" i="794"/>
  <c r="AB69" i="106"/>
  <c r="D139" i="794" s="1"/>
  <c r="G139" i="794"/>
  <c r="Y55" i="106"/>
  <c r="E125" i="794" s="1"/>
  <c r="F125" i="794"/>
  <c r="Y68" i="106"/>
  <c r="AE74" i="354" s="1"/>
  <c r="F138" i="794"/>
  <c r="AW63" i="106"/>
  <c r="C133" i="794"/>
  <c r="H53" i="106"/>
  <c r="B123" i="794"/>
  <c r="AW70" i="106"/>
  <c r="C140" i="794"/>
  <c r="Y62" i="106"/>
  <c r="AM68" i="354" s="1"/>
  <c r="F132" i="794"/>
  <c r="H132" i="794" s="1"/>
  <c r="Y54" i="106"/>
  <c r="AU60" i="354" s="1"/>
  <c r="F124" i="794"/>
  <c r="H124" i="794" s="1"/>
  <c r="H65" i="106"/>
  <c r="B135" i="794"/>
  <c r="AB63" i="106"/>
  <c r="D133" i="794" s="1"/>
  <c r="G133" i="794"/>
  <c r="H133" i="794" s="1"/>
  <c r="H61" i="106"/>
  <c r="B131" i="794"/>
  <c r="AB59" i="106"/>
  <c r="D129" i="794" s="1"/>
  <c r="G129" i="794"/>
  <c r="H57" i="106"/>
  <c r="B127" i="794"/>
  <c r="AB55" i="106"/>
  <c r="D125" i="794" s="1"/>
  <c r="G125" i="794"/>
  <c r="AW52" i="106"/>
  <c r="C122" i="794"/>
  <c r="H68" i="106"/>
  <c r="B138" i="794"/>
  <c r="Y69" i="106"/>
  <c r="W75" i="354" s="1"/>
  <c r="F139" i="794"/>
  <c r="Y61" i="106"/>
  <c r="BC67" i="354" s="1"/>
  <c r="F131" i="794"/>
  <c r="Y47" i="106"/>
  <c r="E117" i="794" s="1"/>
  <c r="F117" i="794"/>
  <c r="H117" i="794" s="1"/>
  <c r="H47" i="106"/>
  <c r="B117" i="794"/>
  <c r="B66" i="354"/>
  <c r="R74" i="528"/>
  <c r="CT74" i="528"/>
  <c r="O22" i="688"/>
  <c r="B62" i="354"/>
  <c r="FP42" i="227"/>
  <c r="A39" i="107"/>
  <c r="B73" i="354"/>
  <c r="H67" i="106"/>
  <c r="B68" i="354"/>
  <c r="H62" i="106"/>
  <c r="B70" i="354"/>
  <c r="H64" i="106"/>
  <c r="B61" i="354"/>
  <c r="H55" i="106"/>
  <c r="B54" i="354"/>
  <c r="H48" i="106"/>
  <c r="D4" i="107"/>
  <c r="FO12" i="227" s="1"/>
  <c r="B4" i="107"/>
  <c r="D8" i="107"/>
  <c r="FO16" i="227" s="1"/>
  <c r="B8" i="107"/>
  <c r="M7" i="868" s="1"/>
  <c r="N7" i="868" s="1"/>
  <c r="A31" i="107"/>
  <c r="FP36" i="227"/>
  <c r="D6" i="107"/>
  <c r="FO14" i="227" s="1"/>
  <c r="B6" i="107"/>
  <c r="D9" i="107"/>
  <c r="FO17" i="227" s="1"/>
  <c r="B9" i="107"/>
  <c r="A36" i="107"/>
  <c r="E36" i="107" s="1"/>
  <c r="FP39" i="227"/>
  <c r="O21" i="688"/>
  <c r="D5" i="107"/>
  <c r="FO13" i="227" s="1"/>
  <c r="B5" i="107"/>
  <c r="A38" i="107"/>
  <c r="E38" i="107" s="1"/>
  <c r="FP41" i="227"/>
  <c r="A29" i="107"/>
  <c r="B29" i="107" s="1"/>
  <c r="FP34" i="227"/>
  <c r="O23" i="688"/>
  <c r="T11" i="111"/>
  <c r="T18" i="111"/>
  <c r="A18" i="107"/>
  <c r="B18" i="107" s="1"/>
  <c r="A19" i="107"/>
  <c r="B19" i="107" s="1"/>
  <c r="F20" i="527"/>
  <c r="F21" i="527"/>
  <c r="D211" i="529"/>
  <c r="M16" i="41"/>
  <c r="A32" i="107"/>
  <c r="E32" i="107" s="1"/>
  <c r="FP43" i="227"/>
  <c r="A255" i="529"/>
  <c r="A256" i="529"/>
  <c r="A257" i="529"/>
  <c r="A254" i="529"/>
  <c r="A258" i="529"/>
  <c r="A259" i="529"/>
  <c r="A260" i="529"/>
  <c r="A253" i="529"/>
  <c r="A261" i="529"/>
  <c r="A252" i="529"/>
  <c r="A88" i="529"/>
  <c r="A96" i="529"/>
  <c r="A89" i="529"/>
  <c r="A87" i="529"/>
  <c r="A90" i="529"/>
  <c r="A91" i="529"/>
  <c r="A92" i="529"/>
  <c r="A93" i="529"/>
  <c r="A94" i="529"/>
  <c r="A95" i="529"/>
  <c r="A196" i="529"/>
  <c r="A283" i="529"/>
  <c r="A284" i="529"/>
  <c r="A285" i="529"/>
  <c r="A286" i="529"/>
  <c r="A279" i="529"/>
  <c r="A287" i="529"/>
  <c r="A280" i="529"/>
  <c r="A278" i="529"/>
  <c r="A282" i="529"/>
  <c r="A281" i="529"/>
  <c r="A42" i="529"/>
  <c r="A43" i="529"/>
  <c r="A36" i="529"/>
  <c r="A44" i="529"/>
  <c r="A41" i="529"/>
  <c r="A37" i="529"/>
  <c r="A35" i="529"/>
  <c r="A38" i="529"/>
  <c r="A39" i="529"/>
  <c r="A40" i="529"/>
  <c r="A139" i="529"/>
  <c r="A236" i="529"/>
  <c r="A235" i="529"/>
  <c r="A228" i="529"/>
  <c r="A227" i="529"/>
  <c r="A234" i="529"/>
  <c r="A229" i="529"/>
  <c r="A230" i="529"/>
  <c r="A231" i="529"/>
  <c r="A232" i="529"/>
  <c r="A233" i="529"/>
  <c r="A175" i="529"/>
  <c r="A176" i="529"/>
  <c r="A174" i="529"/>
  <c r="A177" i="529"/>
  <c r="A178" i="529"/>
  <c r="A171" i="529"/>
  <c r="A179" i="529"/>
  <c r="A172" i="529"/>
  <c r="A170" i="529"/>
  <c r="A173" i="529"/>
  <c r="A66" i="529"/>
  <c r="A67" i="529"/>
  <c r="A70" i="529"/>
  <c r="A68" i="529"/>
  <c r="A62" i="529"/>
  <c r="A65" i="529"/>
  <c r="A69" i="529"/>
  <c r="A63" i="529"/>
  <c r="A61" i="529"/>
  <c r="A64" i="529"/>
  <c r="N6" i="689"/>
  <c r="A14" i="107"/>
  <c r="B14" i="107" s="1"/>
  <c r="A13" i="107"/>
  <c r="B13" i="107" s="1"/>
  <c r="A15" i="107"/>
  <c r="B15" i="107" s="1"/>
  <c r="E9" i="107"/>
  <c r="C3" i="107"/>
  <c r="A3" i="107" s="1"/>
  <c r="F281" i="529"/>
  <c r="C276" i="529"/>
  <c r="C250" i="529"/>
  <c r="F237" i="529"/>
  <c r="F235" i="529"/>
  <c r="F228" i="529"/>
  <c r="F236" i="529"/>
  <c r="F229" i="529"/>
  <c r="F227" i="529"/>
  <c r="F230" i="529"/>
  <c r="F231" i="529"/>
  <c r="F232" i="529"/>
  <c r="F233" i="529"/>
  <c r="F234" i="529"/>
  <c r="D35" i="107"/>
  <c r="A37" i="107"/>
  <c r="FP10" i="227"/>
  <c r="A35" i="107"/>
  <c r="B35" i="107" s="1"/>
  <c r="A30" i="107"/>
  <c r="B30" i="107" s="1"/>
  <c r="A2" i="107"/>
  <c r="J60" i="106"/>
  <c r="AW58" i="106"/>
  <c r="AB51" i="106"/>
  <c r="D121" i="794" s="1"/>
  <c r="J69" i="106"/>
  <c r="E8" i="107"/>
  <c r="N84" i="99"/>
  <c r="N20" i="99" s="1"/>
  <c r="AN359" i="679"/>
  <c r="Q152" i="680" s="1"/>
  <c r="AV359" i="679"/>
  <c r="Y152" i="680" s="1"/>
  <c r="AH359" i="679"/>
  <c r="K152" i="680" s="1"/>
  <c r="AO359" i="679"/>
  <c r="R152" i="680" s="1"/>
  <c r="AW359" i="679"/>
  <c r="Z152" i="680" s="1"/>
  <c r="AQ359" i="679"/>
  <c r="T152" i="680" s="1"/>
  <c r="AP359" i="679"/>
  <c r="S152" i="680" s="1"/>
  <c r="AX359" i="679"/>
  <c r="AA152" i="680" s="1"/>
  <c r="AI359" i="679"/>
  <c r="L152" i="680" s="1"/>
  <c r="AY359" i="679"/>
  <c r="AB152" i="680" s="1"/>
  <c r="AJ359" i="679"/>
  <c r="M152" i="680" s="1"/>
  <c r="AR359" i="679"/>
  <c r="U152" i="680" s="1"/>
  <c r="AZ359" i="679"/>
  <c r="AC152" i="680" s="1"/>
  <c r="AK359" i="679"/>
  <c r="N152" i="680" s="1"/>
  <c r="AS359" i="679"/>
  <c r="V152" i="680" s="1"/>
  <c r="BA359" i="679"/>
  <c r="AD152" i="680" s="1"/>
  <c r="AM359" i="679"/>
  <c r="P152" i="680" s="1"/>
  <c r="AU359" i="679"/>
  <c r="X152" i="680" s="1"/>
  <c r="AL359" i="679"/>
  <c r="O152" i="680" s="1"/>
  <c r="AT359" i="679"/>
  <c r="W152" i="680" s="1"/>
  <c r="BB359" i="679"/>
  <c r="AE152" i="680" s="1"/>
  <c r="BC359" i="679"/>
  <c r="AF152" i="680" s="1"/>
  <c r="AL358" i="679"/>
  <c r="O149" i="680" s="1"/>
  <c r="O150" i="680" s="1"/>
  <c r="AT358" i="679"/>
  <c r="W149" i="680" s="1"/>
  <c r="W150" i="680" s="1"/>
  <c r="BB358" i="679"/>
  <c r="AE149" i="680" s="1"/>
  <c r="AE150" i="680" s="1"/>
  <c r="AM358" i="679"/>
  <c r="P149" i="680" s="1"/>
  <c r="P150" i="680" s="1"/>
  <c r="AU358" i="679"/>
  <c r="X149" i="680" s="1"/>
  <c r="X150" i="680" s="1"/>
  <c r="BC358" i="679"/>
  <c r="AF149" i="680" s="1"/>
  <c r="AF150" i="680" s="1"/>
  <c r="AW358" i="679"/>
  <c r="Z149" i="680" s="1"/>
  <c r="Z150" i="680" s="1"/>
  <c r="AN358" i="679"/>
  <c r="Q149" i="680" s="1"/>
  <c r="Q150" i="680" s="1"/>
  <c r="AV358" i="679"/>
  <c r="Y149" i="680" s="1"/>
  <c r="Y150" i="680" s="1"/>
  <c r="AH358" i="679"/>
  <c r="K149" i="680" s="1"/>
  <c r="AO358" i="679"/>
  <c r="R149" i="680" s="1"/>
  <c r="R150" i="680" s="1"/>
  <c r="AP358" i="679"/>
  <c r="S149" i="680" s="1"/>
  <c r="AX358" i="679"/>
  <c r="AA149" i="680" s="1"/>
  <c r="AA150" i="680" s="1"/>
  <c r="AI358" i="679"/>
  <c r="L149" i="680" s="1"/>
  <c r="L150" i="680" s="1"/>
  <c r="AQ358" i="679"/>
  <c r="T149" i="680" s="1"/>
  <c r="T150" i="680" s="1"/>
  <c r="AY358" i="679"/>
  <c r="AB149" i="680" s="1"/>
  <c r="AB150" i="680" s="1"/>
  <c r="AK358" i="679"/>
  <c r="N149" i="680" s="1"/>
  <c r="N150" i="680" s="1"/>
  <c r="AS358" i="679"/>
  <c r="V149" i="680" s="1"/>
  <c r="V150" i="680" s="1"/>
  <c r="AJ358" i="679"/>
  <c r="M149" i="680" s="1"/>
  <c r="M150" i="680" s="1"/>
  <c r="AR358" i="679"/>
  <c r="U149" i="680" s="1"/>
  <c r="AZ358" i="679"/>
  <c r="AC149" i="680" s="1"/>
  <c r="AC150" i="680" s="1"/>
  <c r="BA358" i="679"/>
  <c r="AD149" i="680" s="1"/>
  <c r="AD150" i="680" s="1"/>
  <c r="AM31" i="679"/>
  <c r="AU31" i="679"/>
  <c r="BC31" i="679"/>
  <c r="AI59" i="679"/>
  <c r="AQ59" i="679"/>
  <c r="AY59" i="679"/>
  <c r="AN31" i="679"/>
  <c r="AV31" i="679"/>
  <c r="AJ59" i="679"/>
  <c r="AR59" i="679"/>
  <c r="AZ59" i="679"/>
  <c r="AH59" i="679"/>
  <c r="AT31" i="679"/>
  <c r="AO31" i="679"/>
  <c r="AW31" i="679"/>
  <c r="AK59" i="679"/>
  <c r="AS59" i="679"/>
  <c r="BA59" i="679"/>
  <c r="AL31" i="679"/>
  <c r="AP31" i="679"/>
  <c r="AX31" i="679"/>
  <c r="AL59" i="679"/>
  <c r="AT59" i="679"/>
  <c r="BB59" i="679"/>
  <c r="BB31" i="679"/>
  <c r="AI31" i="679"/>
  <c r="AQ31" i="679"/>
  <c r="AY31" i="679"/>
  <c r="AM59" i="679"/>
  <c r="AU59" i="679"/>
  <c r="BC59" i="679"/>
  <c r="AJ31" i="679"/>
  <c r="AR31" i="679"/>
  <c r="AZ31" i="679"/>
  <c r="AN59" i="679"/>
  <c r="AV59" i="679"/>
  <c r="AH31" i="679"/>
  <c r="AX59" i="679"/>
  <c r="AK31" i="679"/>
  <c r="AS31" i="679"/>
  <c r="BA31" i="679"/>
  <c r="AO59" i="679"/>
  <c r="AW59" i="679"/>
  <c r="AP59" i="679"/>
  <c r="T17" i="111"/>
  <c r="E5" i="107"/>
  <c r="B69" i="354"/>
  <c r="B76" i="354"/>
  <c r="T6" i="111"/>
  <c r="T7" i="111"/>
  <c r="Y57" i="106"/>
  <c r="S63" i="354" s="1"/>
  <c r="T10" i="111"/>
  <c r="T24" i="111"/>
  <c r="T13" i="111"/>
  <c r="T27" i="111"/>
  <c r="T26" i="111"/>
  <c r="T20" i="111"/>
  <c r="J55" i="106"/>
  <c r="B72" i="354"/>
  <c r="AB54" i="106"/>
  <c r="D124" i="794" s="1"/>
  <c r="AB58" i="106"/>
  <c r="D128" i="794" s="1"/>
  <c r="B55" i="354"/>
  <c r="J68" i="106"/>
  <c r="J50" i="106"/>
  <c r="J52" i="106"/>
  <c r="J48" i="106"/>
  <c r="J51" i="106"/>
  <c r="B74" i="354"/>
  <c r="B53" i="354"/>
  <c r="Y65" i="106"/>
  <c r="AB49" i="106"/>
  <c r="D119" i="794" s="1"/>
  <c r="W28" i="111"/>
  <c r="B59" i="354"/>
  <c r="AW62" i="106"/>
  <c r="B56" i="354"/>
  <c r="AW55" i="106"/>
  <c r="B57" i="354"/>
  <c r="B64" i="354"/>
  <c r="Y50" i="106"/>
  <c r="E120" i="794" s="1"/>
  <c r="Q28" i="111"/>
  <c r="AB70" i="106"/>
  <c r="D140" i="794" s="1"/>
  <c r="Y60" i="106"/>
  <c r="E130" i="794" s="1"/>
  <c r="Y56" i="106"/>
  <c r="Y53" i="106"/>
  <c r="AB48" i="106"/>
  <c r="D118" i="794" s="1"/>
  <c r="Y63" i="106"/>
  <c r="Y70" i="106"/>
  <c r="AB62" i="106"/>
  <c r="D132" i="794" s="1"/>
  <c r="J56" i="106"/>
  <c r="J58" i="106"/>
  <c r="J62" i="106"/>
  <c r="J64" i="106"/>
  <c r="J63" i="106"/>
  <c r="S28" i="111"/>
  <c r="AW47" i="106"/>
  <c r="F283" i="529"/>
  <c r="F280" i="529"/>
  <c r="F286" i="529"/>
  <c r="F285" i="529"/>
  <c r="F284" i="529"/>
  <c r="F287" i="529"/>
  <c r="E10" i="107"/>
  <c r="M20" i="41"/>
  <c r="Y48" i="106"/>
  <c r="E118" i="794" s="1"/>
  <c r="B71" i="354"/>
  <c r="B65" i="354"/>
  <c r="B58" i="354"/>
  <c r="AW54" i="106"/>
  <c r="AW48" i="106"/>
  <c r="B75" i="354"/>
  <c r="AW60" i="106"/>
  <c r="F279" i="529"/>
  <c r="F278" i="529"/>
  <c r="F288" i="529"/>
  <c r="F282" i="529"/>
  <c r="FP18" i="227"/>
  <c r="G17" i="41"/>
  <c r="G18" i="41"/>
  <c r="M17" i="41"/>
  <c r="C32" i="41"/>
  <c r="G16" i="41"/>
  <c r="G24" i="41" s="1"/>
  <c r="J59" i="106"/>
  <c r="G22" i="41"/>
  <c r="J57" i="106"/>
  <c r="J54" i="106"/>
  <c r="J66" i="106"/>
  <c r="L19" i="41"/>
  <c r="B32" i="41"/>
  <c r="L14" i="41"/>
  <c r="C6" i="41"/>
  <c r="P114" i="528"/>
  <c r="Q114" i="528" s="1"/>
  <c r="D62" i="528"/>
  <c r="C84" i="99" s="1"/>
  <c r="C20" i="99" s="1"/>
  <c r="E4" i="107"/>
  <c r="AB47" i="106"/>
  <c r="D117" i="794" s="1"/>
  <c r="AB56" i="106"/>
  <c r="D126" i="794" s="1"/>
  <c r="AB53" i="106"/>
  <c r="D123" i="794" s="1"/>
  <c r="AB52" i="106"/>
  <c r="D122" i="794" s="1"/>
  <c r="DR5" i="227"/>
  <c r="Z5" i="227"/>
  <c r="CX5" i="227"/>
  <c r="FB5" i="227"/>
  <c r="BB5" i="227"/>
  <c r="AH5" i="227"/>
  <c r="V5" i="227"/>
  <c r="DV5" i="227"/>
  <c r="DB5" i="227"/>
  <c r="ED5" i="227"/>
  <c r="EX5" i="227"/>
  <c r="CL5" i="227"/>
  <c r="EL5" i="227"/>
  <c r="AL5" i="227"/>
  <c r="CH5" i="227"/>
  <c r="CT5" i="227"/>
  <c r="CP5" i="227"/>
  <c r="CD5" i="227"/>
  <c r="DF5" i="227"/>
  <c r="DJ5" i="227"/>
  <c r="EP5" i="227"/>
  <c r="R5" i="227"/>
  <c r="AT5" i="227"/>
  <c r="FF5" i="227"/>
  <c r="BN5" i="227"/>
  <c r="BJ5" i="227"/>
  <c r="BV5" i="227"/>
  <c r="ET5" i="227"/>
  <c r="AP5" i="227"/>
  <c r="EH5" i="227"/>
  <c r="N5" i="227"/>
  <c r="DZ5" i="227"/>
  <c r="BZ5" i="227"/>
  <c r="DN5" i="227"/>
  <c r="J5" i="227"/>
  <c r="AX5" i="227"/>
  <c r="BR5" i="227"/>
  <c r="BF5" i="227"/>
  <c r="E6" i="107"/>
  <c r="R28" i="111"/>
  <c r="B63" i="354"/>
  <c r="E7" i="107"/>
  <c r="AW67" i="106"/>
  <c r="B67" i="354"/>
  <c r="T8" i="111"/>
  <c r="T5" i="111"/>
  <c r="T16" i="111"/>
  <c r="T15" i="111"/>
  <c r="T25" i="111"/>
  <c r="T4" i="111"/>
  <c r="T22" i="111"/>
  <c r="T23" i="111"/>
  <c r="AW50" i="106"/>
  <c r="T21" i="111"/>
  <c r="T14" i="111"/>
  <c r="J70" i="106"/>
  <c r="J65" i="106"/>
  <c r="J47" i="106"/>
  <c r="J67" i="106"/>
  <c r="J61" i="106"/>
  <c r="J53" i="106"/>
  <c r="J49" i="106"/>
  <c r="T9" i="111"/>
  <c r="AB60" i="106"/>
  <c r="D130" i="794" s="1"/>
  <c r="AW59" i="106"/>
  <c r="D71" i="529"/>
  <c r="O7" i="868" a="1"/>
  <c r="O5" i="868" a="1"/>
  <c r="O17" i="868" a="1"/>
  <c r="O29" i="868" a="1"/>
  <c r="O12" i="868" a="1"/>
  <c r="O25" i="868" a="1"/>
  <c r="O14" i="868" a="1"/>
  <c r="O13" i="868" a="1"/>
  <c r="O20" i="868" a="1"/>
  <c r="O8" i="868" a="1"/>
  <c r="O2" i="868" a="1"/>
  <c r="O30" i="868" a="1"/>
  <c r="O19" i="868" a="1"/>
  <c r="O15" i="868" a="1"/>
  <c r="O4" i="868" a="1"/>
  <c r="O6" i="868" a="1"/>
  <c r="O18" i="868" a="1"/>
  <c r="O28" i="868" a="1"/>
  <c r="O3" i="868" a="1"/>
  <c r="O21" i="868" a="1"/>
  <c r="O24" i="868" a="1"/>
  <c r="O26" i="868" a="1"/>
  <c r="O22" i="868" a="1"/>
  <c r="O27" i="868" a="1"/>
  <c r="O11" i="868" a="1"/>
  <c r="O23" i="868" a="1"/>
  <c r="O9" i="868" a="1"/>
  <c r="O10" i="868" a="1"/>
  <c r="O7" i="868" l="1"/>
  <c r="O3" i="868"/>
  <c r="O5" i="868"/>
  <c r="O18" i="868"/>
  <c r="O10" i="868"/>
  <c r="O15" i="868"/>
  <c r="O26" i="868"/>
  <c r="O30" i="868"/>
  <c r="O19" i="868"/>
  <c r="O12" i="868"/>
  <c r="O25" i="868"/>
  <c r="O20" i="868"/>
  <c r="O2" i="868"/>
  <c r="O17" i="868"/>
  <c r="O24" i="868"/>
  <c r="O8" i="868"/>
  <c r="O6" i="868"/>
  <c r="O23" i="868"/>
  <c r="O22" i="868"/>
  <c r="O13" i="868"/>
  <c r="O21" i="868"/>
  <c r="O14" i="868"/>
  <c r="O28" i="868"/>
  <c r="O4" i="868"/>
  <c r="O9" i="868"/>
  <c r="O27" i="868"/>
  <c r="O11" i="868"/>
  <c r="O29" i="868"/>
  <c r="O41" i="868" a="1"/>
  <c r="O41" i="868" s="1"/>
  <c r="O36" i="868" a="1"/>
  <c r="O36" i="868" s="1"/>
  <c r="O40" i="868" a="1"/>
  <c r="O40" i="868" s="1"/>
  <c r="O38" i="868" a="1"/>
  <c r="O38" i="868" s="1"/>
  <c r="O32" i="868" a="1"/>
  <c r="O32" i="868" s="1"/>
  <c r="O34" i="868" a="1"/>
  <c r="O34" i="868" s="1"/>
  <c r="O37" i="868" a="1"/>
  <c r="O37" i="868" s="1"/>
  <c r="O35" i="868" a="1"/>
  <c r="O35" i="868" s="1"/>
  <c r="O31" i="868" a="1"/>
  <c r="O31" i="868" s="1"/>
  <c r="O47" i="868" a="1"/>
  <c r="O47" i="868" s="1"/>
  <c r="O39" i="868" a="1"/>
  <c r="O39" i="868" s="1"/>
  <c r="O33" i="868" a="1"/>
  <c r="O33" i="868" s="1"/>
  <c r="A40" i="794"/>
  <c r="M12" i="689"/>
  <c r="A45" i="794"/>
  <c r="M18" i="689"/>
  <c r="G55" i="354"/>
  <c r="AA55" i="354"/>
  <c r="B31" i="107"/>
  <c r="A33" i="107"/>
  <c r="A480" i="529"/>
  <c r="N112" i="99"/>
  <c r="N109" i="99"/>
  <c r="N120" i="99"/>
  <c r="N113" i="99"/>
  <c r="N108" i="99"/>
  <c r="N119" i="99"/>
  <c r="N118" i="99"/>
  <c r="N111" i="99"/>
  <c r="N122" i="99"/>
  <c r="N123" i="99" s="1"/>
  <c r="N116" i="99"/>
  <c r="N107" i="99"/>
  <c r="N115" i="99"/>
  <c r="N117" i="99"/>
  <c r="N110" i="99"/>
  <c r="N110" i="687"/>
  <c r="N118" i="687"/>
  <c r="N109" i="687"/>
  <c r="N117" i="687"/>
  <c r="N108" i="687"/>
  <c r="N111" i="687"/>
  <c r="N107" i="687"/>
  <c r="N122" i="687"/>
  <c r="N116" i="687"/>
  <c r="N113" i="687"/>
  <c r="N112" i="687"/>
  <c r="N16" i="41"/>
  <c r="N15" i="41"/>
  <c r="N18" i="41"/>
  <c r="N17" i="41"/>
  <c r="N19" i="41"/>
  <c r="N14" i="41"/>
  <c r="DZ7" i="227"/>
  <c r="FO40" i="227"/>
  <c r="A479" i="529"/>
  <c r="Q115" i="528"/>
  <c r="Q116" i="528" s="1"/>
  <c r="Q117" i="528" s="1"/>
  <c r="S60" i="354"/>
  <c r="AQ64" i="354"/>
  <c r="K64" i="354"/>
  <c r="W57" i="354"/>
  <c r="AI57" i="354"/>
  <c r="AM57" i="354"/>
  <c r="AU64" i="354"/>
  <c r="AE64" i="354"/>
  <c r="D3" i="107"/>
  <c r="AQ75" i="354"/>
  <c r="AE65" i="354"/>
  <c r="O64" i="354"/>
  <c r="K57" i="354"/>
  <c r="O74" i="354"/>
  <c r="AY57" i="354"/>
  <c r="C64" i="354"/>
  <c r="G64" i="354"/>
  <c r="AQ57" i="354"/>
  <c r="S72" i="354"/>
  <c r="BC70" i="354"/>
  <c r="AQ65" i="354"/>
  <c r="AM72" i="354"/>
  <c r="AY65" i="354"/>
  <c r="O55" i="354"/>
  <c r="G72" i="354"/>
  <c r="O70" i="354"/>
  <c r="K65" i="354"/>
  <c r="AQ60" i="354"/>
  <c r="AI55" i="354"/>
  <c r="G60" i="354"/>
  <c r="C75" i="354"/>
  <c r="AM65" i="354"/>
  <c r="W65" i="354"/>
  <c r="AA60" i="354"/>
  <c r="K55" i="354"/>
  <c r="K60" i="354"/>
  <c r="AU75" i="354"/>
  <c r="AU65" i="354"/>
  <c r="AI60" i="354"/>
  <c r="C60" i="354"/>
  <c r="AA65" i="354"/>
  <c r="BC75" i="354"/>
  <c r="AM60" i="354"/>
  <c r="O72" i="354"/>
  <c r="C65" i="354"/>
  <c r="BC60" i="354"/>
  <c r="AI75" i="354"/>
  <c r="BC72" i="354"/>
  <c r="AI65" i="354"/>
  <c r="C72" i="354"/>
  <c r="AE57" i="354"/>
  <c r="BC57" i="354"/>
  <c r="BC64" i="354"/>
  <c r="C57" i="354"/>
  <c r="S57" i="354"/>
  <c r="W64" i="354"/>
  <c r="C67" i="354"/>
  <c r="AM64" i="354"/>
  <c r="G57" i="354"/>
  <c r="AA57" i="354"/>
  <c r="O67" i="354"/>
  <c r="S64" i="354"/>
  <c r="AY53" i="354"/>
  <c r="AI74" i="354"/>
  <c r="AQ74" i="354"/>
  <c r="AA75" i="354"/>
  <c r="AA70" i="354"/>
  <c r="S65" i="354"/>
  <c r="O65" i="354"/>
  <c r="AQ72" i="354"/>
  <c r="K68" i="354"/>
  <c r="K53" i="354"/>
  <c r="G65" i="354"/>
  <c r="BC65" i="354"/>
  <c r="AE68" i="354"/>
  <c r="AU72" i="354"/>
  <c r="FP11" i="227"/>
  <c r="B30" i="794"/>
  <c r="A58" i="794"/>
  <c r="A41" i="794"/>
  <c r="M13" i="689"/>
  <c r="N13" i="689" s="1"/>
  <c r="A32" i="794"/>
  <c r="A55" i="794"/>
  <c r="A54" i="794"/>
  <c r="A53" i="794"/>
  <c r="S53" i="354"/>
  <c r="G68" i="354"/>
  <c r="AQ68" i="354"/>
  <c r="BC53" i="354"/>
  <c r="AY68" i="354"/>
  <c r="W68" i="354"/>
  <c r="O53" i="354"/>
  <c r="AU68" i="354"/>
  <c r="BC68" i="354"/>
  <c r="AA53" i="354"/>
  <c r="AA68" i="354"/>
  <c r="AI53" i="354"/>
  <c r="O68" i="354"/>
  <c r="AM53" i="354"/>
  <c r="S68" i="354"/>
  <c r="AE53" i="354"/>
  <c r="C68" i="354"/>
  <c r="G53" i="354"/>
  <c r="K158" i="680"/>
  <c r="K157" i="680"/>
  <c r="AA158" i="680"/>
  <c r="AA160" i="680" s="1"/>
  <c r="AA157" i="680"/>
  <c r="AB158" i="680"/>
  <c r="AB160" i="680" s="1"/>
  <c r="AB157" i="680"/>
  <c r="S158" i="680"/>
  <c r="S157" i="680"/>
  <c r="T158" i="680"/>
  <c r="T160" i="680" s="1"/>
  <c r="T157" i="680"/>
  <c r="O158" i="680"/>
  <c r="O160" i="680" s="1"/>
  <c r="O157" i="680"/>
  <c r="AF158" i="680"/>
  <c r="AF160" i="680" s="1"/>
  <c r="AF157" i="680"/>
  <c r="AC158" i="680"/>
  <c r="AC160" i="680" s="1"/>
  <c r="AC157" i="680"/>
  <c r="L158" i="680"/>
  <c r="L160" i="680" s="1"/>
  <c r="L157" i="680"/>
  <c r="X158" i="680"/>
  <c r="X160" i="680" s="1"/>
  <c r="X157" i="680"/>
  <c r="AD158" i="680"/>
  <c r="AD160" i="680" s="1"/>
  <c r="AD157" i="680"/>
  <c r="AE158" i="680"/>
  <c r="AE160" i="680" s="1"/>
  <c r="AE157" i="680"/>
  <c r="P158" i="680"/>
  <c r="P160" i="680" s="1"/>
  <c r="P157" i="680"/>
  <c r="U158" i="680"/>
  <c r="U160" i="680" s="1"/>
  <c r="U157" i="680"/>
  <c r="V158" i="680"/>
  <c r="V160" i="680" s="1"/>
  <c r="V157" i="680"/>
  <c r="M158" i="680"/>
  <c r="M160" i="680" s="1"/>
  <c r="M157" i="680"/>
  <c r="Y158" i="680"/>
  <c r="Y160" i="680" s="1"/>
  <c r="Y157" i="680"/>
  <c r="N158" i="680"/>
  <c r="N160" i="680" s="1"/>
  <c r="N157" i="680"/>
  <c r="Z158" i="680"/>
  <c r="Z160" i="680" s="1"/>
  <c r="Z157" i="680"/>
  <c r="Q158" i="680"/>
  <c r="Q160" i="680" s="1"/>
  <c r="Q157" i="680"/>
  <c r="R158" i="680"/>
  <c r="R160" i="680" s="1"/>
  <c r="R157" i="680"/>
  <c r="W158" i="680"/>
  <c r="W160" i="680" s="1"/>
  <c r="W157" i="680"/>
  <c r="S75" i="354"/>
  <c r="G75" i="354"/>
  <c r="AM75" i="354"/>
  <c r="O60" i="354"/>
  <c r="AI72" i="354"/>
  <c r="AM70" i="354"/>
  <c r="AY75" i="354"/>
  <c r="AA72" i="354"/>
  <c r="AY70" i="354"/>
  <c r="AQ63" i="354"/>
  <c r="W60" i="354"/>
  <c r="AE75" i="354"/>
  <c r="AY60" i="354"/>
  <c r="AE72" i="354"/>
  <c r="K70" i="354"/>
  <c r="O75" i="354"/>
  <c r="AY72" i="354"/>
  <c r="H137" i="794"/>
  <c r="A46" i="794"/>
  <c r="A42" i="794"/>
  <c r="A36" i="794"/>
  <c r="A31" i="794"/>
  <c r="A35" i="794"/>
  <c r="A33" i="794"/>
  <c r="W63" i="354"/>
  <c r="AA67" i="354"/>
  <c r="H138" i="794"/>
  <c r="H131" i="794"/>
  <c r="BC63" i="354"/>
  <c r="AM67" i="354"/>
  <c r="AQ67" i="354"/>
  <c r="S67" i="354"/>
  <c r="AU67" i="354"/>
  <c r="W67" i="354"/>
  <c r="AE67" i="354"/>
  <c r="H134" i="794"/>
  <c r="AY67" i="354"/>
  <c r="K67" i="354"/>
  <c r="AI67" i="354"/>
  <c r="AM61" i="354"/>
  <c r="K58" i="354"/>
  <c r="E122" i="794"/>
  <c r="AY58" i="354"/>
  <c r="AU58" i="354"/>
  <c r="AE58" i="354"/>
  <c r="C58" i="354"/>
  <c r="BC58" i="354"/>
  <c r="AM58" i="354"/>
  <c r="AI58" i="354"/>
  <c r="AY73" i="354"/>
  <c r="E137" i="794"/>
  <c r="G73" i="354"/>
  <c r="K61" i="354"/>
  <c r="C73" i="354"/>
  <c r="C70" i="354"/>
  <c r="E139" i="794"/>
  <c r="K75" i="354"/>
  <c r="H139" i="794"/>
  <c r="AE69" i="354"/>
  <c r="E133" i="794"/>
  <c r="AQ73" i="354"/>
  <c r="AY63" i="354"/>
  <c r="E127" i="794"/>
  <c r="AE61" i="354"/>
  <c r="AI73" i="354"/>
  <c r="AI70" i="354"/>
  <c r="G58" i="354"/>
  <c r="AU73" i="354"/>
  <c r="K73" i="354"/>
  <c r="G61" i="354"/>
  <c r="AE60" i="354"/>
  <c r="E124" i="794"/>
  <c r="AI64" i="354"/>
  <c r="E128" i="794"/>
  <c r="AY64" i="354"/>
  <c r="S58" i="354"/>
  <c r="S73" i="354"/>
  <c r="O73" i="354"/>
  <c r="O59" i="354"/>
  <c r="E123" i="794"/>
  <c r="BC61" i="354"/>
  <c r="G70" i="354"/>
  <c r="E134" i="794"/>
  <c r="AU57" i="354"/>
  <c r="E121" i="794"/>
  <c r="W61" i="354"/>
  <c r="AY76" i="354"/>
  <c r="E140" i="794"/>
  <c r="AE73" i="354"/>
  <c r="W73" i="354"/>
  <c r="AI62" i="354"/>
  <c r="E126" i="794"/>
  <c r="S61" i="354"/>
  <c r="S70" i="354"/>
  <c r="AU70" i="354"/>
  <c r="AI68" i="354"/>
  <c r="E132" i="794"/>
  <c r="E138" i="794"/>
  <c r="K74" i="354"/>
  <c r="C74" i="354"/>
  <c r="AA74" i="354"/>
  <c r="G74" i="354"/>
  <c r="AM74" i="354"/>
  <c r="S74" i="354"/>
  <c r="AU74" i="354"/>
  <c r="AY74" i="354"/>
  <c r="W74" i="354"/>
  <c r="BC74" i="354"/>
  <c r="H136" i="794"/>
  <c r="K72" i="354"/>
  <c r="E136" i="794"/>
  <c r="H129" i="794"/>
  <c r="O58" i="354"/>
  <c r="W58" i="354"/>
  <c r="AQ61" i="354"/>
  <c r="BC73" i="354"/>
  <c r="O61" i="354"/>
  <c r="AY61" i="354"/>
  <c r="W70" i="354"/>
  <c r="AQ70" i="354"/>
  <c r="H125" i="794"/>
  <c r="AQ58" i="354"/>
  <c r="AU61" i="354"/>
  <c r="C61" i="354"/>
  <c r="AM73" i="354"/>
  <c r="O71" i="354"/>
  <c r="E135" i="794"/>
  <c r="AI61" i="354"/>
  <c r="AA61" i="354"/>
  <c r="G67" i="354"/>
  <c r="E131" i="794"/>
  <c r="S55" i="354"/>
  <c r="E119" i="794"/>
  <c r="BC55" i="354"/>
  <c r="AY55" i="354"/>
  <c r="AM55" i="354"/>
  <c r="AU55" i="354"/>
  <c r="AQ55" i="354"/>
  <c r="AE55" i="354"/>
  <c r="W55" i="354"/>
  <c r="U150" i="680"/>
  <c r="C53" i="354"/>
  <c r="AU53" i="354"/>
  <c r="W53" i="354"/>
  <c r="AQ53" i="354"/>
  <c r="M7" i="689"/>
  <c r="N7" i="689" s="1"/>
  <c r="M8" i="689"/>
  <c r="N8" i="689" s="1"/>
  <c r="M5" i="689"/>
  <c r="N5" i="689" s="1"/>
  <c r="M4" i="689"/>
  <c r="N4" i="689" s="1"/>
  <c r="M14" i="689"/>
  <c r="N14" i="689" s="1"/>
  <c r="M19" i="689"/>
  <c r="N19" i="689" s="1"/>
  <c r="A482" i="529"/>
  <c r="A478" i="529"/>
  <c r="S76" i="354"/>
  <c r="AM62" i="354"/>
  <c r="AH62" i="528"/>
  <c r="AO62" i="528" s="1"/>
  <c r="CG62" i="528"/>
  <c r="C84" i="687"/>
  <c r="C20" i="687" s="1"/>
  <c r="S74" i="528"/>
  <c r="CU74" i="528"/>
  <c r="E31" i="107"/>
  <c r="E29" i="107"/>
  <c r="M3" i="689"/>
  <c r="N3" i="689" s="1"/>
  <c r="N22" i="689"/>
  <c r="B36" i="107"/>
  <c r="N25" i="689"/>
  <c r="B39" i="107"/>
  <c r="B38" i="107"/>
  <c r="N23" i="689"/>
  <c r="B37" i="107"/>
  <c r="E2" i="107"/>
  <c r="B2" i="107"/>
  <c r="A29" i="794" s="1"/>
  <c r="FO36" i="227"/>
  <c r="DJ7" i="227"/>
  <c r="DF7" i="227"/>
  <c r="FO35" i="227"/>
  <c r="N17" i="689"/>
  <c r="DN7" i="227"/>
  <c r="FO37" i="227"/>
  <c r="N20" i="689"/>
  <c r="B32" i="107"/>
  <c r="N12" i="689"/>
  <c r="A25" i="107"/>
  <c r="A26" i="107"/>
  <c r="A27" i="107"/>
  <c r="B27" i="107" s="1"/>
  <c r="N21" i="689"/>
  <c r="N18" i="689"/>
  <c r="E37" i="107"/>
  <c r="F252" i="529"/>
  <c r="F256" i="529"/>
  <c r="F257" i="529"/>
  <c r="F258" i="529"/>
  <c r="F262" i="529"/>
  <c r="F259" i="529"/>
  <c r="F260" i="529"/>
  <c r="F253" i="529"/>
  <c r="F261" i="529"/>
  <c r="F254" i="529"/>
  <c r="F255" i="529"/>
  <c r="E39" i="107"/>
  <c r="E35" i="107"/>
  <c r="E30" i="107"/>
  <c r="E3" i="107"/>
  <c r="W62" i="354"/>
  <c r="AI63" i="354"/>
  <c r="O69" i="354"/>
  <c r="AY62" i="354"/>
  <c r="AA69" i="354"/>
  <c r="S69" i="354"/>
  <c r="K63" i="354"/>
  <c r="S150" i="680"/>
  <c r="K150" i="680"/>
  <c r="C63" i="354"/>
  <c r="O63" i="354"/>
  <c r="AE63" i="354"/>
  <c r="K59" i="354"/>
  <c r="AU63" i="354"/>
  <c r="AI59" i="354"/>
  <c r="AA66" i="354"/>
  <c r="AY59" i="354"/>
  <c r="C59" i="354"/>
  <c r="AM63" i="354"/>
  <c r="AA63" i="354"/>
  <c r="G63" i="354"/>
  <c r="AI69" i="354"/>
  <c r="G69" i="354"/>
  <c r="AM59" i="354"/>
  <c r="W59" i="354"/>
  <c r="AE59" i="354"/>
  <c r="AA71" i="354"/>
  <c r="AU71" i="354"/>
  <c r="AI71" i="354"/>
  <c r="AQ71" i="354"/>
  <c r="G71" i="354"/>
  <c r="AE71" i="354"/>
  <c r="K71" i="354"/>
  <c r="C71" i="354"/>
  <c r="BC71" i="354"/>
  <c r="AM71" i="354"/>
  <c r="AY71" i="354"/>
  <c r="W71" i="354"/>
  <c r="S66" i="354"/>
  <c r="K69" i="354"/>
  <c r="W69" i="354"/>
  <c r="G59" i="354"/>
  <c r="AQ59" i="354"/>
  <c r="S59" i="354"/>
  <c r="C66" i="354"/>
  <c r="AI76" i="354"/>
  <c r="BC69" i="354"/>
  <c r="W66" i="354"/>
  <c r="C69" i="354"/>
  <c r="AM69" i="354"/>
  <c r="AA59" i="354"/>
  <c r="BC59" i="354"/>
  <c r="AU59" i="354"/>
  <c r="S71" i="354"/>
  <c r="AA76" i="354"/>
  <c r="AU76" i="354"/>
  <c r="AQ76" i="354"/>
  <c r="O76" i="354"/>
  <c r="K76" i="354"/>
  <c r="C76" i="354"/>
  <c r="AM76" i="354"/>
  <c r="W76" i="354"/>
  <c r="G76" i="354"/>
  <c r="AE76" i="354"/>
  <c r="BC76" i="354"/>
  <c r="AY69" i="354"/>
  <c r="AQ69" i="354"/>
  <c r="AU69" i="354"/>
  <c r="AQ66" i="354"/>
  <c r="AI66" i="354"/>
  <c r="AY66" i="354"/>
  <c r="O66" i="354"/>
  <c r="G66" i="354"/>
  <c r="AE66" i="354"/>
  <c r="AU66" i="354"/>
  <c r="AM66" i="354"/>
  <c r="K66" i="354"/>
  <c r="BC66" i="354"/>
  <c r="AA62" i="354"/>
  <c r="O62" i="354"/>
  <c r="C62" i="354"/>
  <c r="BC62" i="354"/>
  <c r="AE62" i="354"/>
  <c r="S62" i="354"/>
  <c r="K62" i="354"/>
  <c r="G62" i="354"/>
  <c r="AU62" i="354"/>
  <c r="AQ62" i="354"/>
  <c r="BC56" i="354"/>
  <c r="C56" i="354"/>
  <c r="AQ56" i="354"/>
  <c r="AE56" i="354"/>
  <c r="K56" i="354"/>
  <c r="AM56" i="354"/>
  <c r="G56" i="354"/>
  <c r="S56" i="354"/>
  <c r="AY56" i="354"/>
  <c r="AU56" i="354"/>
  <c r="AI56" i="354"/>
  <c r="O56" i="354"/>
  <c r="W56" i="354"/>
  <c r="AA56" i="354"/>
  <c r="BC54" i="354"/>
  <c r="K54" i="354"/>
  <c r="AM54" i="354"/>
  <c r="AQ54" i="354"/>
  <c r="AY54" i="354"/>
  <c r="S54" i="354"/>
  <c r="W54" i="354"/>
  <c r="AI54" i="354"/>
  <c r="G54" i="354"/>
  <c r="AE54" i="354"/>
  <c r="AU54" i="354"/>
  <c r="C54" i="354"/>
  <c r="AA54" i="354"/>
  <c r="O54" i="354"/>
  <c r="G27" i="527"/>
  <c r="G13" i="527"/>
  <c r="K6" i="37" l="1"/>
  <c r="H23" i="41"/>
  <c r="B33" i="107"/>
  <c r="E33" i="107"/>
  <c r="N34" i="689"/>
  <c r="FO11" i="227"/>
  <c r="A51" i="794"/>
  <c r="N24" i="689"/>
  <c r="A30" i="794"/>
  <c r="M2" i="689"/>
  <c r="N2" i="689" s="1"/>
  <c r="A61" i="794"/>
  <c r="A56" i="794"/>
  <c r="A59" i="794"/>
  <c r="N32" i="689"/>
  <c r="A60" i="794"/>
  <c r="A62" i="794"/>
  <c r="D36" i="107"/>
  <c r="FP44" i="227"/>
  <c r="N26" i="689"/>
  <c r="B40" i="107"/>
  <c r="N31" i="689"/>
  <c r="E40" i="107"/>
  <c r="AL7" i="227"/>
  <c r="S160" i="680"/>
  <c r="K160" i="680"/>
  <c r="H16" i="41"/>
  <c r="H18" i="41"/>
  <c r="H17" i="41"/>
  <c r="H22" i="41"/>
  <c r="H21" i="41"/>
  <c r="H19" i="41"/>
  <c r="H20" i="41"/>
  <c r="G14" i="527"/>
  <c r="F13" i="527"/>
  <c r="G26" i="527"/>
  <c r="F26" i="527" s="1"/>
  <c r="F27" i="527"/>
  <c r="G28" i="527"/>
  <c r="V67" i="354" l="1"/>
  <c r="Z67" i="354" s="1"/>
  <c r="AD67" i="354" s="1"/>
  <c r="AH67" i="354" s="1"/>
  <c r="AL67" i="354" s="1"/>
  <c r="AP67" i="354" s="1"/>
  <c r="AT67" i="354" s="1"/>
  <c r="AX67" i="354" s="1"/>
  <c r="BB67" i="354" s="1"/>
  <c r="BF67" i="354" s="1"/>
  <c r="V73" i="354"/>
  <c r="Z73" i="354" s="1"/>
  <c r="AD73" i="354" s="1"/>
  <c r="AH73" i="354" s="1"/>
  <c r="AL73" i="354" s="1"/>
  <c r="AP73" i="354" s="1"/>
  <c r="AT73" i="354" s="1"/>
  <c r="AX73" i="354" s="1"/>
  <c r="BB73" i="354" s="1"/>
  <c r="BF73" i="354" s="1"/>
  <c r="V66" i="354"/>
  <c r="Z66" i="354" s="1"/>
  <c r="AD66" i="354" s="1"/>
  <c r="AH66" i="354" s="1"/>
  <c r="AL66" i="354" s="1"/>
  <c r="AP66" i="354" s="1"/>
  <c r="AT66" i="354" s="1"/>
  <c r="AX66" i="354" s="1"/>
  <c r="BB66" i="354" s="1"/>
  <c r="BF66" i="354" s="1"/>
  <c r="V64" i="354"/>
  <c r="Z64" i="354" s="1"/>
  <c r="AD64" i="354" s="1"/>
  <c r="AH64" i="354" s="1"/>
  <c r="AL64" i="354" s="1"/>
  <c r="AP64" i="354" s="1"/>
  <c r="AT64" i="354" s="1"/>
  <c r="AX64" i="354" s="1"/>
  <c r="BB64" i="354" s="1"/>
  <c r="BF64" i="354" s="1"/>
  <c r="V63" i="354"/>
  <c r="Z63" i="354" s="1"/>
  <c r="AD63" i="354" s="1"/>
  <c r="AH63" i="354" s="1"/>
  <c r="AL63" i="354" s="1"/>
  <c r="AP63" i="354" s="1"/>
  <c r="AT63" i="354" s="1"/>
  <c r="AX63" i="354" s="1"/>
  <c r="BB63" i="354" s="1"/>
  <c r="BF63" i="354" s="1"/>
  <c r="V55" i="354"/>
  <c r="Z55" i="354" s="1"/>
  <c r="AD55" i="354" s="1"/>
  <c r="AH55" i="354" s="1"/>
  <c r="AL55" i="354" s="1"/>
  <c r="AP55" i="354" s="1"/>
  <c r="AT55" i="354" s="1"/>
  <c r="AX55" i="354" s="1"/>
  <c r="BB55" i="354" s="1"/>
  <c r="BF55" i="354" s="1"/>
  <c r="V56" i="354"/>
  <c r="Z56" i="354" s="1"/>
  <c r="AD56" i="354" s="1"/>
  <c r="AH56" i="354" s="1"/>
  <c r="AL56" i="354" s="1"/>
  <c r="AP56" i="354" s="1"/>
  <c r="AT56" i="354" s="1"/>
  <c r="AX56" i="354" s="1"/>
  <c r="BB56" i="354" s="1"/>
  <c r="BF56" i="354" s="1"/>
  <c r="V71" i="354"/>
  <c r="Z71" i="354" s="1"/>
  <c r="AD71" i="354" s="1"/>
  <c r="AH71" i="354" s="1"/>
  <c r="AL71" i="354" s="1"/>
  <c r="AP71" i="354" s="1"/>
  <c r="AT71" i="354" s="1"/>
  <c r="AX71" i="354" s="1"/>
  <c r="BB71" i="354" s="1"/>
  <c r="BF71" i="354" s="1"/>
  <c r="V59" i="354"/>
  <c r="Z59" i="354" s="1"/>
  <c r="AD59" i="354" s="1"/>
  <c r="AH59" i="354" s="1"/>
  <c r="AL59" i="354" s="1"/>
  <c r="AP59" i="354" s="1"/>
  <c r="AT59" i="354" s="1"/>
  <c r="AX59" i="354" s="1"/>
  <c r="BB59" i="354" s="1"/>
  <c r="BF59" i="354" s="1"/>
  <c r="V76" i="354"/>
  <c r="Z76" i="354" s="1"/>
  <c r="AD76" i="354" s="1"/>
  <c r="AH76" i="354" s="1"/>
  <c r="AL76" i="354" s="1"/>
  <c r="AP76" i="354" s="1"/>
  <c r="AT76" i="354" s="1"/>
  <c r="AX76" i="354" s="1"/>
  <c r="BB76" i="354" s="1"/>
  <c r="BF76" i="354" s="1"/>
  <c r="V58" i="354"/>
  <c r="Z58" i="354" s="1"/>
  <c r="AD58" i="354" s="1"/>
  <c r="AH58" i="354" s="1"/>
  <c r="AL58" i="354" s="1"/>
  <c r="AP58" i="354" s="1"/>
  <c r="AT58" i="354" s="1"/>
  <c r="AX58" i="354" s="1"/>
  <c r="BB58" i="354" s="1"/>
  <c r="BF58" i="354" s="1"/>
  <c r="V54" i="354"/>
  <c r="Z54" i="354" s="1"/>
  <c r="AD54" i="354" s="1"/>
  <c r="AH54" i="354" s="1"/>
  <c r="AL54" i="354" s="1"/>
  <c r="AP54" i="354" s="1"/>
  <c r="AT54" i="354" s="1"/>
  <c r="AX54" i="354" s="1"/>
  <c r="BB54" i="354" s="1"/>
  <c r="BF54" i="354" s="1"/>
  <c r="V68" i="354"/>
  <c r="Z68" i="354" s="1"/>
  <c r="AD68" i="354" s="1"/>
  <c r="AH68" i="354" s="1"/>
  <c r="AL68" i="354" s="1"/>
  <c r="AP68" i="354" s="1"/>
  <c r="AT68" i="354" s="1"/>
  <c r="AX68" i="354" s="1"/>
  <c r="BB68" i="354" s="1"/>
  <c r="BF68" i="354" s="1"/>
  <c r="V61" i="354"/>
  <c r="Z61" i="354" s="1"/>
  <c r="AD61" i="354" s="1"/>
  <c r="AH61" i="354" s="1"/>
  <c r="AL61" i="354" s="1"/>
  <c r="AP61" i="354" s="1"/>
  <c r="AT61" i="354" s="1"/>
  <c r="AX61" i="354" s="1"/>
  <c r="BB61" i="354" s="1"/>
  <c r="BF61" i="354" s="1"/>
  <c r="V62" i="354"/>
  <c r="Z62" i="354" s="1"/>
  <c r="AD62" i="354" s="1"/>
  <c r="AH62" i="354" s="1"/>
  <c r="AL62" i="354" s="1"/>
  <c r="AP62" i="354" s="1"/>
  <c r="AT62" i="354" s="1"/>
  <c r="AX62" i="354" s="1"/>
  <c r="BB62" i="354" s="1"/>
  <c r="BF62" i="354" s="1"/>
  <c r="V72" i="354"/>
  <c r="Z72" i="354" s="1"/>
  <c r="AD72" i="354" s="1"/>
  <c r="AH72" i="354" s="1"/>
  <c r="AL72" i="354" s="1"/>
  <c r="AP72" i="354" s="1"/>
  <c r="AT72" i="354" s="1"/>
  <c r="AX72" i="354" s="1"/>
  <c r="BB72" i="354" s="1"/>
  <c r="BF72" i="354" s="1"/>
  <c r="V75" i="354"/>
  <c r="Z75" i="354" s="1"/>
  <c r="AD75" i="354" s="1"/>
  <c r="AH75" i="354" s="1"/>
  <c r="AL75" i="354" s="1"/>
  <c r="AP75" i="354" s="1"/>
  <c r="AT75" i="354" s="1"/>
  <c r="AX75" i="354" s="1"/>
  <c r="BB75" i="354" s="1"/>
  <c r="BF75" i="354" s="1"/>
  <c r="V69" i="354"/>
  <c r="Z69" i="354" s="1"/>
  <c r="AD69" i="354" s="1"/>
  <c r="AH69" i="354" s="1"/>
  <c r="AL69" i="354" s="1"/>
  <c r="AP69" i="354" s="1"/>
  <c r="AT69" i="354" s="1"/>
  <c r="AX69" i="354" s="1"/>
  <c r="BB69" i="354" s="1"/>
  <c r="BF69" i="354" s="1"/>
  <c r="V74" i="354"/>
  <c r="Z74" i="354" s="1"/>
  <c r="AD74" i="354" s="1"/>
  <c r="AH74" i="354" s="1"/>
  <c r="AL74" i="354" s="1"/>
  <c r="AP74" i="354" s="1"/>
  <c r="AT74" i="354" s="1"/>
  <c r="AX74" i="354" s="1"/>
  <c r="BB74" i="354" s="1"/>
  <c r="BF74" i="354" s="1"/>
  <c r="V60" i="354"/>
  <c r="Z60" i="354" s="1"/>
  <c r="AD60" i="354" s="1"/>
  <c r="AH60" i="354" s="1"/>
  <c r="AL60" i="354" s="1"/>
  <c r="AP60" i="354" s="1"/>
  <c r="AT60" i="354" s="1"/>
  <c r="AX60" i="354" s="1"/>
  <c r="BB60" i="354" s="1"/>
  <c r="BF60" i="354" s="1"/>
  <c r="V53" i="354"/>
  <c r="Z53" i="354" s="1"/>
  <c r="AD53" i="354" s="1"/>
  <c r="AH53" i="354" s="1"/>
  <c r="AL53" i="354" s="1"/>
  <c r="AP53" i="354" s="1"/>
  <c r="AT53" i="354" s="1"/>
  <c r="AX53" i="354" s="1"/>
  <c r="BB53" i="354" s="1"/>
  <c r="BF53" i="354" s="1"/>
  <c r="V70" i="354"/>
  <c r="Z70" i="354" s="1"/>
  <c r="AD70" i="354" s="1"/>
  <c r="AH70" i="354" s="1"/>
  <c r="AL70" i="354" s="1"/>
  <c r="AP70" i="354" s="1"/>
  <c r="AT70" i="354" s="1"/>
  <c r="AX70" i="354" s="1"/>
  <c r="BB70" i="354" s="1"/>
  <c r="BF70" i="354" s="1"/>
  <c r="V65" i="354"/>
  <c r="Z65" i="354" s="1"/>
  <c r="AD65" i="354" s="1"/>
  <c r="AH65" i="354" s="1"/>
  <c r="AL65" i="354" s="1"/>
  <c r="AP65" i="354" s="1"/>
  <c r="AT65" i="354" s="1"/>
  <c r="AX65" i="354" s="1"/>
  <c r="BB65" i="354" s="1"/>
  <c r="BF65" i="354" s="1"/>
  <c r="V57" i="354"/>
  <c r="Z57" i="354" s="1"/>
  <c r="AD57" i="354" s="1"/>
  <c r="AH57" i="354" s="1"/>
  <c r="AL57" i="354" s="1"/>
  <c r="AP57" i="354" s="1"/>
  <c r="AT57" i="354" s="1"/>
  <c r="AX57" i="354" s="1"/>
  <c r="BB57" i="354" s="1"/>
  <c r="BF57" i="354" s="1"/>
  <c r="N30" i="689"/>
  <c r="FO41" i="227"/>
  <c r="ED7" i="227"/>
  <c r="DD35" i="528"/>
  <c r="DD39" i="528" s="1"/>
  <c r="BG65" i="354"/>
  <c r="BG60" i="354"/>
  <c r="BG68" i="354"/>
  <c r="BG57" i="354"/>
  <c r="BG72" i="354"/>
  <c r="A63" i="794"/>
  <c r="BG75" i="354"/>
  <c r="BG67" i="354"/>
  <c r="BG64" i="354"/>
  <c r="BG55" i="354"/>
  <c r="BG53" i="354"/>
  <c r="BG70" i="354"/>
  <c r="BG73" i="354"/>
  <c r="BG61" i="354"/>
  <c r="BG58" i="354"/>
  <c r="BG74" i="354"/>
  <c r="N35" i="689"/>
  <c r="N27" i="689"/>
  <c r="FP46" i="227"/>
  <c r="FP45" i="227"/>
  <c r="BG63" i="354"/>
  <c r="BG59" i="354"/>
  <c r="BG71" i="354"/>
  <c r="BG62" i="354"/>
  <c r="BG76" i="354"/>
  <c r="BG66" i="354"/>
  <c r="BG69" i="354"/>
  <c r="BG56" i="354"/>
  <c r="BG54" i="354"/>
  <c r="F14" i="527"/>
  <c r="G15" i="527"/>
  <c r="G29" i="527"/>
  <c r="F28" i="527"/>
  <c r="A64" i="794" l="1"/>
  <c r="N28" i="689"/>
  <c r="N36" i="689"/>
  <c r="AH7" i="227"/>
  <c r="Z7" i="227"/>
  <c r="F15" i="527"/>
  <c r="G16" i="527"/>
  <c r="F29" i="527"/>
  <c r="G30" i="527"/>
  <c r="A65" i="794" l="1"/>
  <c r="N29" i="689"/>
  <c r="N37" i="689"/>
  <c r="V7" i="227"/>
  <c r="F30" i="527"/>
  <c r="G33" i="527"/>
  <c r="F33" i="527" s="1"/>
  <c r="F16" i="527"/>
  <c r="G17" i="527"/>
  <c r="F17" i="527" s="1"/>
  <c r="J11" i="528"/>
  <c r="K29" i="528"/>
  <c r="L29" i="528"/>
  <c r="D29" i="528"/>
  <c r="E11" i="528"/>
  <c r="L11" i="528"/>
  <c r="C11" i="528"/>
  <c r="B11" i="528"/>
  <c r="K11" i="528"/>
  <c r="E29" i="528"/>
  <c r="D11" i="528"/>
  <c r="I11" i="528"/>
  <c r="F174" i="857" l="1"/>
  <c r="F169" i="857"/>
  <c r="F164" i="857"/>
  <c r="F159" i="857"/>
  <c r="F209" i="857"/>
  <c r="F204" i="857"/>
  <c r="F199" i="857"/>
  <c r="F194" i="857"/>
  <c r="D34" i="687"/>
  <c r="M11" i="528"/>
  <c r="C29" i="528"/>
  <c r="J29" i="528"/>
  <c r="F11" i="528"/>
  <c r="E15" i="39" s="1"/>
  <c r="D34" i="99"/>
  <c r="A66" i="794"/>
  <c r="N39" i="689"/>
  <c r="N38" i="689"/>
  <c r="N7" i="227"/>
  <c r="C82" i="529" l="1"/>
  <c r="F6" i="107"/>
  <c r="CE49" i="528"/>
  <c r="Q20" i="688"/>
  <c r="CL49" i="528"/>
  <c r="CN49" i="528" s="1"/>
  <c r="CS49" i="528"/>
  <c r="K49" i="528"/>
  <c r="D50" i="687" s="1"/>
  <c r="F50" i="687" s="1"/>
  <c r="E48" i="41"/>
  <c r="C48" i="41" s="1"/>
  <c r="C117" i="41" s="1"/>
  <c r="E60" i="41"/>
  <c r="C60" i="41" s="1"/>
  <c r="I48" i="39" s="1"/>
  <c r="D49" i="528"/>
  <c r="D50" i="99" s="1"/>
  <c r="C83" i="529"/>
  <c r="O49" i="39"/>
  <c r="O11" i="688"/>
  <c r="G15" i="39"/>
  <c r="I15" i="39" s="1"/>
  <c r="J6" i="107" s="1"/>
  <c r="M49" i="39"/>
  <c r="S49" i="39" s="1"/>
  <c r="Q11" i="528"/>
  <c r="AJ11" i="528" s="1"/>
  <c r="O38" i="689" a="1"/>
  <c r="O38" i="689" s="1"/>
  <c r="O35" i="689" a="1"/>
  <c r="O35" i="689" s="1"/>
  <c r="O36" i="689" a="1"/>
  <c r="O36" i="689" s="1"/>
  <c r="O34" i="689" a="1"/>
  <c r="O34" i="689" s="1"/>
  <c r="O33" i="689" a="1"/>
  <c r="O33" i="689" s="1"/>
  <c r="O47" i="689" a="1"/>
  <c r="O47" i="689" s="1"/>
  <c r="O40" i="689" a="1"/>
  <c r="O40" i="689" s="1"/>
  <c r="O37" i="689" a="1"/>
  <c r="O37" i="689" s="1"/>
  <c r="O39" i="689" a="1"/>
  <c r="O39" i="689" s="1"/>
  <c r="O41" i="689" a="1"/>
  <c r="O41" i="689" s="1"/>
  <c r="D20" i="529"/>
  <c r="R62" i="528"/>
  <c r="S62" i="528" s="1"/>
  <c r="O32" i="689" a="1"/>
  <c r="C33" i="794" l="1"/>
  <c r="C84" i="529"/>
  <c r="G48" i="39"/>
  <c r="G60" i="41"/>
  <c r="F50" i="99"/>
  <c r="G48" i="41"/>
  <c r="J16" i="41" s="1"/>
  <c r="CG49" i="528"/>
  <c r="Q49" i="528"/>
  <c r="R49" i="528" s="1"/>
  <c r="S49" i="528" s="1"/>
  <c r="K48" i="39"/>
  <c r="AI11" i="528"/>
  <c r="AI29" i="528" s="1"/>
  <c r="Y29" i="528"/>
  <c r="AH11" i="528"/>
  <c r="AH29" i="528" s="1"/>
  <c r="AF11" i="528"/>
  <c r="CS11" i="528" s="1"/>
  <c r="AG11" i="528"/>
  <c r="P49" i="39"/>
  <c r="R49" i="39" s="1"/>
  <c r="R11" i="528"/>
  <c r="S11" i="528" s="1"/>
  <c r="H15" i="39"/>
  <c r="J15" i="39" s="1"/>
  <c r="O32" i="689"/>
  <c r="AP7" i="227"/>
  <c r="K53" i="39" l="1"/>
  <c r="J53" i="39" s="1"/>
  <c r="H53" i="39" s="1"/>
  <c r="D97" i="529"/>
  <c r="E88" i="529"/>
  <c r="E93" i="529"/>
  <c r="E94" i="529"/>
  <c r="E89" i="529"/>
  <c r="E97" i="529"/>
  <c r="E95" i="529"/>
  <c r="E90" i="529"/>
  <c r="E91" i="529"/>
  <c r="E92" i="529"/>
  <c r="E96" i="529"/>
  <c r="E87" i="529"/>
  <c r="K50" i="39"/>
  <c r="J50" i="39" s="1"/>
  <c r="V50" i="39" s="1"/>
  <c r="CU11" i="528"/>
  <c r="CU29" i="528" s="1"/>
  <c r="AR11" i="528"/>
  <c r="AT29" i="528"/>
  <c r="CV11" i="528"/>
  <c r="CV29" i="528" s="1"/>
  <c r="BL11" i="528"/>
  <c r="AS11" i="528"/>
  <c r="CT11" i="528"/>
  <c r="H50" i="39" l="1"/>
  <c r="CO11" i="528"/>
  <c r="CO29" i="528" s="1"/>
  <c r="AP11" i="528"/>
  <c r="BE11" i="528"/>
  <c r="BC11" i="528"/>
  <c r="BB11" i="528"/>
  <c r="BD11" i="528"/>
  <c r="BF11" i="528"/>
  <c r="BO11" i="528" s="1"/>
  <c r="AT11" i="528"/>
  <c r="H26" i="39" s="1"/>
  <c r="H41" i="39" s="1"/>
  <c r="AP29" i="528" l="1"/>
  <c r="CH29" i="528" s="1"/>
  <c r="F154" i="857"/>
  <c r="BM11" i="528"/>
  <c r="BW11" i="528" s="1"/>
  <c r="BN11" i="528"/>
  <c r="BX11" i="528" s="1"/>
  <c r="BJ11" i="528"/>
  <c r="BK11" i="528"/>
  <c r="CH11" i="528"/>
  <c r="BV11" i="528"/>
  <c r="E41" i="39"/>
  <c r="C437" i="529" s="1"/>
  <c r="BY11" i="528"/>
  <c r="F41" i="39" s="1"/>
  <c r="H25" i="107" s="1"/>
  <c r="I25" i="107" s="1"/>
  <c r="K25" i="107" s="1"/>
  <c r="D180" i="529" l="1"/>
  <c r="E442" i="529"/>
  <c r="E441" i="529"/>
  <c r="E443" i="529"/>
  <c r="E440" i="529"/>
  <c r="CM11" i="528"/>
  <c r="AN11" i="528"/>
  <c r="AO11" i="528"/>
  <c r="F149" i="857" s="1"/>
  <c r="AM11" i="528"/>
  <c r="E26" i="39"/>
  <c r="C317" i="529" s="1"/>
  <c r="CL11" i="528"/>
  <c r="CN11" i="528"/>
  <c r="CN29" i="528" s="1"/>
  <c r="F144" i="857" l="1"/>
  <c r="CE11" i="528"/>
  <c r="F139" i="857"/>
  <c r="CF11" i="528"/>
  <c r="CG11" i="528"/>
  <c r="AO29" i="528"/>
  <c r="CG29" i="528" s="1"/>
  <c r="CP11" i="528"/>
  <c r="CI11" i="528" l="1"/>
  <c r="A12" i="529" l="1"/>
  <c r="A15" i="529"/>
  <c r="A16" i="529"/>
  <c r="A11" i="529"/>
  <c r="A17" i="529"/>
  <c r="A18" i="529"/>
  <c r="A19" i="529"/>
  <c r="A13" i="529"/>
  <c r="A14" i="529"/>
  <c r="A10" i="529"/>
  <c r="AQ11" i="528" l="1"/>
  <c r="R7" i="227" l="1"/>
  <c r="AD7" i="227" l="1"/>
  <c r="Q49" i="39"/>
  <c r="CU49" i="528" l="1"/>
  <c r="H2" i="107" l="1"/>
  <c r="I2" i="107" s="1"/>
  <c r="E48" i="39" l="1"/>
  <c r="D29" i="107" l="1"/>
  <c r="J48" i="39"/>
  <c r="O20" i="688"/>
  <c r="R20" i="688" s="1"/>
  <c r="AF49" i="528"/>
  <c r="E55" i="39"/>
  <c r="V48" i="39" l="1"/>
  <c r="J29" i="107" s="1"/>
  <c r="H48" i="39"/>
  <c r="A477" i="529"/>
  <c r="AM49" i="528"/>
  <c r="F125" i="857" s="1"/>
  <c r="AH49" i="528"/>
  <c r="AO49" i="528" s="1"/>
  <c r="FO34" i="227"/>
  <c r="DB7" i="227"/>
  <c r="G91" i="868" l="1"/>
  <c r="B66" i="868"/>
  <c r="C60" i="868"/>
  <c r="H60" i="868" s="1"/>
  <c r="G89" i="868"/>
  <c r="C70" i="868"/>
  <c r="H70" i="868" s="1"/>
  <c r="C65" i="868"/>
  <c r="H65" i="868" s="1"/>
  <c r="B60" i="868"/>
  <c r="G81" i="868"/>
  <c r="G87" i="868"/>
  <c r="B70" i="868"/>
  <c r="C64" i="868"/>
  <c r="H64" i="868" s="1"/>
  <c r="C59" i="868"/>
  <c r="H59" i="868" s="1"/>
  <c r="G85" i="868"/>
  <c r="C69" i="868"/>
  <c r="H69" i="868" s="1"/>
  <c r="B64" i="868"/>
  <c r="C58" i="868"/>
  <c r="H58" i="868" s="1"/>
  <c r="C62" i="868"/>
  <c r="H62" i="868" s="1"/>
  <c r="G83" i="868"/>
  <c r="C68" i="868"/>
  <c r="H68" i="868" s="1"/>
  <c r="C63" i="868"/>
  <c r="H63" i="868" s="1"/>
  <c r="B58" i="868"/>
  <c r="B68" i="868"/>
  <c r="G79" i="868"/>
  <c r="C67" i="868"/>
  <c r="H67" i="868" s="1"/>
  <c r="B62" i="868"/>
  <c r="C56" i="868"/>
  <c r="H56" i="868" s="1"/>
  <c r="G77" i="868"/>
  <c r="C66" i="868"/>
  <c r="H66" i="868" s="1"/>
  <c r="C61" i="868"/>
  <c r="H61" i="868" s="1"/>
  <c r="B56" i="868"/>
  <c r="C57" i="868"/>
  <c r="H57" i="868" s="1"/>
  <c r="B49" i="868"/>
  <c r="C49" i="868"/>
  <c r="H49" i="868" s="1"/>
  <c r="B35" i="868"/>
  <c r="C45" i="868"/>
  <c r="H45" i="868" s="1"/>
  <c r="B69" i="868"/>
  <c r="G63" i="868"/>
  <c r="B85" i="868"/>
  <c r="C42" i="868"/>
  <c r="H42" i="868" s="1"/>
  <c r="C85" i="868"/>
  <c r="H85" i="868" s="1"/>
  <c r="G56" i="868"/>
  <c r="B80" i="868"/>
  <c r="G70" i="868"/>
  <c r="C78" i="868"/>
  <c r="H78" i="868" s="1"/>
  <c r="B36" i="868"/>
  <c r="G78" i="868"/>
  <c r="C35" i="868"/>
  <c r="G65" i="868"/>
  <c r="B87" i="868"/>
  <c r="C44" i="868"/>
  <c r="H44" i="868" s="1"/>
  <c r="C87" i="868"/>
  <c r="H87" i="868" s="1"/>
  <c r="G58" i="868"/>
  <c r="B82" i="868"/>
  <c r="G60" i="868"/>
  <c r="G66" i="868"/>
  <c r="B78" i="868"/>
  <c r="B90" i="868"/>
  <c r="C80" i="868"/>
  <c r="H80" i="868" s="1"/>
  <c r="B37" i="868"/>
  <c r="B57" i="868"/>
  <c r="G80" i="868"/>
  <c r="C37" i="868"/>
  <c r="H37" i="868" s="1"/>
  <c r="B44" i="868"/>
  <c r="G67" i="868"/>
  <c r="B89" i="868"/>
  <c r="C89" i="868"/>
  <c r="H89" i="868" s="1"/>
  <c r="B84" i="868"/>
  <c r="B42" i="868"/>
  <c r="B83" i="868"/>
  <c r="C82" i="868"/>
  <c r="H82" i="868" s="1"/>
  <c r="B38" i="868"/>
  <c r="B59" i="868"/>
  <c r="G82" i="868"/>
  <c r="C39" i="868"/>
  <c r="H39" i="868" s="1"/>
  <c r="C47" i="868"/>
  <c r="H47" i="868" s="1"/>
  <c r="G69" i="868"/>
  <c r="B91" i="868"/>
  <c r="C91" i="868"/>
  <c r="H91" i="868" s="1"/>
  <c r="G62" i="868"/>
  <c r="B86" i="868"/>
  <c r="B48" i="868"/>
  <c r="C84" i="868"/>
  <c r="H84" i="868" s="1"/>
  <c r="B39" i="868"/>
  <c r="B61" i="868"/>
  <c r="G84" i="868"/>
  <c r="C41" i="868"/>
  <c r="H41" i="868" s="1"/>
  <c r="C48" i="868"/>
  <c r="H48" i="868" s="1"/>
  <c r="B77" i="868"/>
  <c r="B46" i="868"/>
  <c r="C77" i="868"/>
  <c r="H77" i="868" s="1"/>
  <c r="B43" i="868"/>
  <c r="G64" i="868"/>
  <c r="B88" i="868"/>
  <c r="B67" i="868"/>
  <c r="C40" i="868"/>
  <c r="H40" i="868" s="1"/>
  <c r="C86" i="868"/>
  <c r="H86" i="868" s="1"/>
  <c r="B40" i="868"/>
  <c r="B63" i="868"/>
  <c r="G86" i="868"/>
  <c r="G57" i="868"/>
  <c r="B79" i="868"/>
  <c r="C36" i="868"/>
  <c r="H36" i="868" s="1"/>
  <c r="C79" i="868"/>
  <c r="H79" i="868" s="1"/>
  <c r="C46" i="868"/>
  <c r="H46" i="868" s="1"/>
  <c r="C90" i="868"/>
  <c r="H90" i="868" s="1"/>
  <c r="G61" i="868"/>
  <c r="B45" i="868"/>
  <c r="C88" i="868"/>
  <c r="H88" i="868" s="1"/>
  <c r="B41" i="868"/>
  <c r="B65" i="868"/>
  <c r="G88" i="868"/>
  <c r="B47" i="868"/>
  <c r="G59" i="868"/>
  <c r="B81" i="868"/>
  <c r="C38" i="868"/>
  <c r="H38" i="868" s="1"/>
  <c r="C81" i="868"/>
  <c r="H81" i="868" s="1"/>
  <c r="C43" i="868"/>
  <c r="H43" i="868" s="1"/>
  <c r="G68" i="868"/>
  <c r="G90" i="868"/>
  <c r="C83" i="868"/>
  <c r="H83" i="868" s="1"/>
  <c r="C70" i="689"/>
  <c r="H70" i="689" s="1"/>
  <c r="B66" i="689"/>
  <c r="B64" i="689"/>
  <c r="G91" i="689"/>
  <c r="B86" i="689"/>
  <c r="C85" i="689"/>
  <c r="H85" i="689" s="1"/>
  <c r="G60" i="689"/>
  <c r="G40" i="689"/>
  <c r="G46" i="689"/>
  <c r="C46" i="689"/>
  <c r="H46" i="689" s="1"/>
  <c r="C67" i="689"/>
  <c r="H67" i="689" s="1"/>
  <c r="C65" i="689"/>
  <c r="H65" i="689" s="1"/>
  <c r="G78" i="689"/>
  <c r="G90" i="689"/>
  <c r="C82" i="689"/>
  <c r="H82" i="689" s="1"/>
  <c r="G57" i="689"/>
  <c r="G58" i="689"/>
  <c r="G44" i="689"/>
  <c r="G39" i="689"/>
  <c r="B43" i="689"/>
  <c r="B68" i="689"/>
  <c r="C62" i="689"/>
  <c r="H62" i="689" s="1"/>
  <c r="G82" i="689"/>
  <c r="G84" i="689"/>
  <c r="C86" i="689"/>
  <c r="H86" i="689" s="1"/>
  <c r="G61" i="689"/>
  <c r="G70" i="689"/>
  <c r="G41" i="689"/>
  <c r="G43" i="689"/>
  <c r="C43" i="689"/>
  <c r="H43" i="689" s="1"/>
  <c r="C68" i="689"/>
  <c r="H68" i="689" s="1"/>
  <c r="C66" i="689"/>
  <c r="H66" i="689" s="1"/>
  <c r="G86" i="689"/>
  <c r="G88" i="689"/>
  <c r="B83" i="689"/>
  <c r="G65" i="689"/>
  <c r="G59" i="689"/>
  <c r="G45" i="689"/>
  <c r="G47" i="689"/>
  <c r="B44" i="689"/>
  <c r="B69" i="689"/>
  <c r="B63" i="689"/>
  <c r="G83" i="689"/>
  <c r="G81" i="689"/>
  <c r="C83" i="689"/>
  <c r="H83" i="689" s="1"/>
  <c r="G69" i="689"/>
  <c r="G63" i="689"/>
  <c r="G37" i="689"/>
  <c r="G48" i="689"/>
  <c r="C45" i="689"/>
  <c r="H45" i="689" s="1"/>
  <c r="C69" i="689"/>
  <c r="H69" i="689" s="1"/>
  <c r="B65" i="689"/>
  <c r="G87" i="689"/>
  <c r="G80" i="689"/>
  <c r="B84" i="689"/>
  <c r="G62" i="689"/>
  <c r="G64" i="689"/>
  <c r="G49" i="689"/>
  <c r="B42" i="689"/>
  <c r="C44" i="689"/>
  <c r="H44" i="689" s="1"/>
  <c r="B70" i="689"/>
  <c r="C63" i="689"/>
  <c r="H63" i="689" s="1"/>
  <c r="G85" i="689"/>
  <c r="G89" i="689"/>
  <c r="B85" i="689"/>
  <c r="G66" i="689"/>
  <c r="G68" i="689"/>
  <c r="G38" i="689"/>
  <c r="B46" i="689"/>
  <c r="B45" i="689"/>
  <c r="C42" i="689"/>
  <c r="H42" i="689" s="1"/>
  <c r="B67" i="689"/>
  <c r="B62" i="689"/>
  <c r="C64" i="689"/>
  <c r="H64" i="689" s="1"/>
  <c r="G79" i="689"/>
  <c r="B82" i="689"/>
  <c r="C84" i="689"/>
  <c r="H84" i="689" s="1"/>
  <c r="G67" i="689"/>
  <c r="G36" i="689"/>
  <c r="G42" i="689"/>
  <c r="B89" i="689"/>
  <c r="C58" i="689"/>
  <c r="H58" i="689" s="1"/>
  <c r="C91" i="689"/>
  <c r="H91" i="689" s="1"/>
  <c r="B80" i="689"/>
  <c r="C88" i="689"/>
  <c r="H88" i="689" s="1"/>
  <c r="B61" i="689"/>
  <c r="B88" i="689"/>
  <c r="B47" i="689"/>
  <c r="G77" i="689"/>
  <c r="B58" i="689"/>
  <c r="C78" i="689"/>
  <c r="H78" i="689" s="1"/>
  <c r="C49" i="689"/>
  <c r="H49" i="689" s="1"/>
  <c r="C87" i="689"/>
  <c r="H87" i="689" s="1"/>
  <c r="B60" i="689"/>
  <c r="C36" i="689"/>
  <c r="H36" i="689" s="1"/>
  <c r="C79" i="689"/>
  <c r="H79" i="689" s="1"/>
  <c r="C61" i="689"/>
  <c r="H61" i="689" s="1"/>
  <c r="B59" i="689"/>
  <c r="C38" i="689"/>
  <c r="H38" i="689" s="1"/>
  <c r="C60" i="689"/>
  <c r="H60" i="689" s="1"/>
  <c r="B90" i="689"/>
  <c r="C37" i="689"/>
  <c r="H37" i="689" s="1"/>
  <c r="B56" i="689"/>
  <c r="C81" i="689"/>
  <c r="H81" i="689" s="1"/>
  <c r="C89" i="689"/>
  <c r="H89" i="689" s="1"/>
  <c r="B36" i="689"/>
  <c r="C77" i="689"/>
  <c r="H77" i="689" s="1"/>
  <c r="C47" i="689"/>
  <c r="H47" i="689" s="1"/>
  <c r="B78" i="689"/>
  <c r="B40" i="689"/>
  <c r="G35" i="689"/>
  <c r="B57" i="689"/>
  <c r="B41" i="689"/>
  <c r="C39" i="689"/>
  <c r="H39" i="689" s="1"/>
  <c r="B37" i="689"/>
  <c r="C90" i="689"/>
  <c r="H90" i="689" s="1"/>
  <c r="B38" i="689"/>
  <c r="C41" i="689"/>
  <c r="H41" i="689" s="1"/>
  <c r="G56" i="689"/>
  <c r="C48" i="689"/>
  <c r="H48" i="689" s="1"/>
  <c r="B81" i="689"/>
  <c r="C57" i="689"/>
  <c r="H57" i="689" s="1"/>
  <c r="B39" i="689"/>
  <c r="C59" i="689"/>
  <c r="H59" i="689" s="1"/>
  <c r="B87" i="689"/>
  <c r="B91" i="689"/>
  <c r="B49" i="689"/>
  <c r="C80" i="689"/>
  <c r="H80" i="689" s="1"/>
  <c r="C35" i="689"/>
  <c r="H35" i="689" s="1"/>
  <c r="B48" i="689"/>
  <c r="B35" i="689"/>
  <c r="B77" i="689"/>
  <c r="C40" i="689"/>
  <c r="H40" i="689" s="1"/>
  <c r="C56" i="689"/>
  <c r="H56" i="689" s="1"/>
  <c r="B79" i="689"/>
  <c r="C72" i="868" l="1"/>
  <c r="C93" i="868"/>
  <c r="C51" i="689"/>
  <c r="C93" i="689"/>
  <c r="C72" i="689"/>
  <c r="CW11" i="528" l="1"/>
  <c r="G69" i="688" l="1"/>
  <c r="D131" i="848"/>
  <c r="D125" i="848"/>
  <c r="D134" i="848"/>
  <c r="D136" i="848"/>
  <c r="D133" i="848"/>
  <c r="D127" i="848"/>
  <c r="D124" i="848"/>
  <c r="D129" i="848"/>
  <c r="D119" i="848"/>
  <c r="D111" i="848"/>
  <c r="D113" i="848"/>
  <c r="D120" i="848"/>
  <c r="D128" i="848"/>
  <c r="D115" i="848"/>
  <c r="D112" i="848"/>
  <c r="D130" i="848"/>
  <c r="D135" i="848"/>
  <c r="D126" i="848"/>
  <c r="D132" i="848"/>
  <c r="D117" i="848"/>
  <c r="D116" i="848"/>
  <c r="D121" i="848"/>
  <c r="D114" i="848"/>
  <c r="D118" i="848"/>
  <c r="G68" i="688"/>
  <c r="D118" i="847"/>
  <c r="D114" i="847"/>
  <c r="D128" i="847"/>
  <c r="D133" i="847"/>
  <c r="D125" i="847"/>
  <c r="D115" i="847"/>
  <c r="D124" i="847"/>
  <c r="D116" i="847"/>
  <c r="D121" i="847"/>
  <c r="D126" i="847"/>
  <c r="D127" i="847"/>
  <c r="D120" i="847"/>
  <c r="D111" i="847"/>
  <c r="D117" i="847"/>
  <c r="D132" i="847"/>
  <c r="D134" i="847"/>
  <c r="D119" i="847"/>
  <c r="D135" i="847"/>
  <c r="D129" i="847"/>
  <c r="D136" i="847"/>
  <c r="D112" i="847"/>
  <c r="D113" i="847"/>
  <c r="D130" i="847"/>
  <c r="D131" i="847"/>
  <c r="G67" i="688"/>
  <c r="D129" i="846"/>
  <c r="D135" i="846"/>
  <c r="D112" i="846"/>
  <c r="D134" i="846"/>
  <c r="D119" i="846"/>
  <c r="D120" i="846"/>
  <c r="D130" i="846"/>
  <c r="D127" i="846"/>
  <c r="D117" i="846"/>
  <c r="D124" i="846"/>
  <c r="D118" i="846"/>
  <c r="D116" i="846"/>
  <c r="D121" i="846"/>
  <c r="D131" i="846"/>
  <c r="D128" i="846"/>
  <c r="D114" i="846"/>
  <c r="D136" i="846"/>
  <c r="D125" i="846"/>
  <c r="D126" i="846"/>
  <c r="D133" i="846"/>
  <c r="D115" i="846"/>
  <c r="D132" i="846"/>
  <c r="D111" i="846"/>
  <c r="D113" i="846"/>
  <c r="D129" i="845"/>
  <c r="D111" i="845"/>
  <c r="D124" i="845"/>
  <c r="D112" i="845"/>
  <c r="D121" i="845"/>
  <c r="D119" i="845"/>
  <c r="D126" i="845"/>
  <c r="D116" i="845"/>
  <c r="D136" i="845"/>
  <c r="D125" i="845"/>
  <c r="D115" i="845"/>
  <c r="D114" i="845"/>
  <c r="D118" i="845"/>
  <c r="D127" i="845"/>
  <c r="D133" i="845"/>
  <c r="D131" i="845"/>
  <c r="D132" i="845"/>
  <c r="D128" i="845"/>
  <c r="D135" i="845"/>
  <c r="D134" i="845"/>
  <c r="D117" i="845"/>
  <c r="D113" i="845"/>
  <c r="D130" i="845"/>
  <c r="D120" i="845"/>
  <c r="G66" i="688"/>
  <c r="D111" i="843"/>
  <c r="D131" i="843"/>
  <c r="D114" i="843"/>
  <c r="D118" i="843"/>
  <c r="D120" i="843"/>
  <c r="D124" i="843"/>
  <c r="D115" i="843"/>
  <c r="D121" i="843"/>
  <c r="D126" i="843"/>
  <c r="D128" i="843"/>
  <c r="D135" i="843"/>
  <c r="D132" i="843"/>
  <c r="D127" i="843"/>
  <c r="D113" i="843"/>
  <c r="D116" i="843"/>
  <c r="D117" i="843"/>
  <c r="D136" i="843"/>
  <c r="D133" i="843"/>
  <c r="D119" i="843"/>
  <c r="D129" i="843"/>
  <c r="D125" i="843"/>
  <c r="D134" i="843"/>
  <c r="D130" i="843"/>
  <c r="D112" i="843"/>
  <c r="G65" i="688"/>
  <c r="E12" i="39" l="1"/>
  <c r="D123" i="529"/>
  <c r="K49" i="39" l="1"/>
  <c r="J49" i="39" s="1"/>
  <c r="V49" i="39" s="1"/>
  <c r="J13" i="39"/>
  <c r="L6" i="37"/>
  <c r="E14" i="39" l="1"/>
  <c r="E13" i="39"/>
  <c r="F4" i="107" s="1"/>
  <c r="K4" i="107" s="1"/>
  <c r="H49" i="39"/>
  <c r="J30" i="107"/>
  <c r="C31" i="794" l="1"/>
  <c r="H4" i="107"/>
  <c r="I4" i="107" s="1"/>
  <c r="F5" i="107"/>
  <c r="C32" i="794" s="1"/>
  <c r="C56" i="529"/>
  <c r="E18" i="39"/>
  <c r="J21" i="41"/>
  <c r="J32" i="107"/>
  <c r="E16" i="39"/>
  <c r="C165" i="529" l="1"/>
  <c r="C167" i="529" s="1"/>
  <c r="F9" i="107"/>
  <c r="C36" i="794" s="1"/>
  <c r="F13" i="39"/>
  <c r="F7" i="107"/>
  <c r="I16" i="39"/>
  <c r="C108" i="529"/>
  <c r="C110" i="529" s="1"/>
  <c r="O31" i="689" a="1"/>
  <c r="E171" i="529" l="1"/>
  <c r="E176" i="529"/>
  <c r="E178" i="529"/>
  <c r="E172" i="529"/>
  <c r="E175" i="529"/>
  <c r="E179" i="529"/>
  <c r="E180" i="529"/>
  <c r="E170" i="529"/>
  <c r="E177" i="529"/>
  <c r="E173" i="529"/>
  <c r="E174" i="529"/>
  <c r="O31" i="689"/>
  <c r="K51" i="39"/>
  <c r="J51" i="39" s="1"/>
  <c r="E19" i="39"/>
  <c r="J7" i="107"/>
  <c r="E114" i="529"/>
  <c r="E116" i="529"/>
  <c r="E122" i="529"/>
  <c r="E115" i="529"/>
  <c r="E119" i="529"/>
  <c r="E117" i="529"/>
  <c r="E118" i="529"/>
  <c r="E120" i="529"/>
  <c r="E121" i="529"/>
  <c r="E113" i="529"/>
  <c r="E123" i="529"/>
  <c r="C34" i="794"/>
  <c r="C191" i="529" l="1"/>
  <c r="F10" i="107"/>
  <c r="C37" i="794" s="1"/>
  <c r="V51" i="39"/>
  <c r="H51" i="39"/>
  <c r="I62" i="106" l="1"/>
  <c r="I48" i="106"/>
  <c r="I58" i="106"/>
  <c r="I51" i="106"/>
  <c r="I70" i="106"/>
  <c r="D2" i="107"/>
  <c r="I61" i="106"/>
  <c r="I69" i="106"/>
  <c r="I67" i="106"/>
  <c r="I57" i="106"/>
  <c r="I65" i="106"/>
  <c r="I49" i="106"/>
  <c r="I56" i="106"/>
  <c r="I59" i="106"/>
  <c r="I53" i="106"/>
  <c r="I68" i="106"/>
  <c r="I47" i="106"/>
  <c r="I63" i="106"/>
  <c r="I55" i="106"/>
  <c r="I52" i="106"/>
  <c r="D11" i="39"/>
  <c r="I64" i="106"/>
  <c r="I66" i="106"/>
  <c r="I50" i="106"/>
  <c r="I60" i="106"/>
  <c r="I54" i="106"/>
  <c r="F16" i="39"/>
  <c r="F18" i="39"/>
  <c r="F19" i="39"/>
  <c r="AU32" i="354" l="1"/>
  <c r="AQ32" i="354"/>
  <c r="W32" i="354"/>
  <c r="C32" i="354"/>
  <c r="J32" i="354" s="1"/>
  <c r="AA32" i="354"/>
  <c r="AY32" i="354"/>
  <c r="E96" i="794"/>
  <c r="S32" i="354"/>
  <c r="AE32" i="354"/>
  <c r="AM32" i="354"/>
  <c r="O32" i="354"/>
  <c r="AI32" i="354"/>
  <c r="BC32" i="354"/>
  <c r="G32" i="354"/>
  <c r="K32" i="354"/>
  <c r="W10" i="354"/>
  <c r="AY10" i="354"/>
  <c r="AE10" i="354"/>
  <c r="S10" i="354"/>
  <c r="E74" i="794"/>
  <c r="AI10" i="354"/>
  <c r="O10" i="354"/>
  <c r="C10" i="354"/>
  <c r="J10" i="354" s="1"/>
  <c r="AA10" i="354"/>
  <c r="AU10" i="354"/>
  <c r="AM10" i="354"/>
  <c r="AQ10" i="354"/>
  <c r="BC10" i="354"/>
  <c r="K10" i="354"/>
  <c r="G10" i="354"/>
  <c r="C82" i="794"/>
  <c r="AW12" i="106"/>
  <c r="D109" i="794"/>
  <c r="F116" i="794"/>
  <c r="AW7" i="106"/>
  <c r="C77" i="794"/>
  <c r="AY27" i="354"/>
  <c r="W27" i="354"/>
  <c r="AE27" i="354"/>
  <c r="K27" i="354"/>
  <c r="AQ27" i="354"/>
  <c r="C27" i="354"/>
  <c r="J27" i="354" s="1"/>
  <c r="G27" i="354"/>
  <c r="AA27" i="354"/>
  <c r="O27" i="354"/>
  <c r="AI27" i="354"/>
  <c r="AU27" i="354"/>
  <c r="E91" i="794"/>
  <c r="S27" i="354"/>
  <c r="BC27" i="354"/>
  <c r="AM27" i="354"/>
  <c r="D104" i="794"/>
  <c r="D39" i="685" a="1"/>
  <c r="D39" i="685" s="1"/>
  <c r="E72" i="794"/>
  <c r="AW13" i="106"/>
  <c r="C83" i="794"/>
  <c r="F83" i="794"/>
  <c r="BC17" i="354"/>
  <c r="S17" i="354"/>
  <c r="W17" i="354"/>
  <c r="E81" i="794"/>
  <c r="AA17" i="354"/>
  <c r="G17" i="354"/>
  <c r="AQ17" i="354"/>
  <c r="AY17" i="354"/>
  <c r="AU17" i="354"/>
  <c r="AI17" i="354"/>
  <c r="AM17" i="354"/>
  <c r="K17" i="354"/>
  <c r="AE17" i="354"/>
  <c r="O17" i="354"/>
  <c r="C17" i="354"/>
  <c r="J17" i="354" s="1"/>
  <c r="D95" i="794"/>
  <c r="G106" i="794"/>
  <c r="AN36" i="106"/>
  <c r="AE40" i="354"/>
  <c r="S40" i="354"/>
  <c r="AQ40" i="354"/>
  <c r="O40" i="354"/>
  <c r="BC40" i="354"/>
  <c r="AU40" i="354"/>
  <c r="AI40" i="354"/>
  <c r="W40" i="354"/>
  <c r="AA40" i="354"/>
  <c r="E104" i="794"/>
  <c r="G40" i="354"/>
  <c r="C40" i="354"/>
  <c r="J40" i="354" s="1"/>
  <c r="AY40" i="354"/>
  <c r="AM40" i="354"/>
  <c r="K40" i="354"/>
  <c r="G113" i="794"/>
  <c r="AN43" i="106"/>
  <c r="AW42" i="106"/>
  <c r="C112" i="794"/>
  <c r="C100" i="794"/>
  <c r="AW30" i="106"/>
  <c r="AO13" i="106"/>
  <c r="D111" i="794"/>
  <c r="G103" i="794"/>
  <c r="AN33" i="106"/>
  <c r="G9" i="354"/>
  <c r="AA9" i="354"/>
  <c r="BC9" i="354"/>
  <c r="K9" i="354"/>
  <c r="AE9" i="354"/>
  <c r="S9" i="354"/>
  <c r="AM9" i="354"/>
  <c r="AU9" i="354"/>
  <c r="AI9" i="354"/>
  <c r="E73" i="794"/>
  <c r="AQ9" i="354"/>
  <c r="W9" i="354"/>
  <c r="AY9" i="354"/>
  <c r="C9" i="354"/>
  <c r="J9" i="354" s="1"/>
  <c r="O9" i="354"/>
  <c r="AO4" i="106"/>
  <c r="G48" i="354"/>
  <c r="AU48" i="354"/>
  <c r="C48" i="354"/>
  <c r="J48" i="354" s="1"/>
  <c r="AI48" i="354"/>
  <c r="E112" i="794"/>
  <c r="AQ48" i="354"/>
  <c r="AE48" i="354"/>
  <c r="BC48" i="354"/>
  <c r="AY48" i="354"/>
  <c r="W48" i="354"/>
  <c r="O48" i="354"/>
  <c r="AM48" i="354"/>
  <c r="K48" i="354"/>
  <c r="AA48" i="354"/>
  <c r="S48" i="354"/>
  <c r="F96" i="794"/>
  <c r="D73" i="794"/>
  <c r="C91" i="794"/>
  <c r="AW21" i="106"/>
  <c r="AO38" i="106"/>
  <c r="F98" i="794"/>
  <c r="D85" i="794"/>
  <c r="D87" i="794"/>
  <c r="AU37" i="354"/>
  <c r="K37" i="354"/>
  <c r="AE37" i="354"/>
  <c r="AI37" i="354"/>
  <c r="E101" i="794"/>
  <c r="AY37" i="354"/>
  <c r="W37" i="354"/>
  <c r="AQ37" i="354"/>
  <c r="G37" i="354"/>
  <c r="AA37" i="354"/>
  <c r="BC37" i="354"/>
  <c r="AM37" i="354"/>
  <c r="O37" i="354"/>
  <c r="S37" i="354"/>
  <c r="C37" i="354"/>
  <c r="J37" i="354" s="1"/>
  <c r="E99" i="794"/>
  <c r="BC35" i="354"/>
  <c r="AM35" i="354"/>
  <c r="AA35" i="354"/>
  <c r="K35" i="354"/>
  <c r="AE35" i="354"/>
  <c r="G35" i="354"/>
  <c r="W35" i="354"/>
  <c r="O35" i="354"/>
  <c r="AU35" i="354"/>
  <c r="C35" i="354"/>
  <c r="J35" i="354" s="1"/>
  <c r="S35" i="354"/>
  <c r="AQ35" i="354"/>
  <c r="AY35" i="354"/>
  <c r="AI35" i="354"/>
  <c r="D112" i="794"/>
  <c r="AO21" i="106"/>
  <c r="F75" i="794"/>
  <c r="D86" i="794"/>
  <c r="F114" i="794"/>
  <c r="AN20" i="106"/>
  <c r="G90" i="794"/>
  <c r="AO37" i="106"/>
  <c r="AO40" i="106"/>
  <c r="W12" i="354"/>
  <c r="AA12" i="354"/>
  <c r="AM12" i="354"/>
  <c r="E76" i="794"/>
  <c r="C12" i="354"/>
  <c r="J12" i="354" s="1"/>
  <c r="AY12" i="354"/>
  <c r="K12" i="354"/>
  <c r="AI12" i="354"/>
  <c r="AE12" i="354"/>
  <c r="S12" i="354"/>
  <c r="AU12" i="354"/>
  <c r="G12" i="354"/>
  <c r="AQ12" i="354"/>
  <c r="O12" i="354"/>
  <c r="BC12" i="354"/>
  <c r="G78" i="794"/>
  <c r="AN8" i="106"/>
  <c r="G14" i="354"/>
  <c r="C14" i="354"/>
  <c r="J14" i="354" s="1"/>
  <c r="AQ14" i="354"/>
  <c r="AI14" i="354"/>
  <c r="W14" i="354"/>
  <c r="BC14" i="354"/>
  <c r="AU14" i="354"/>
  <c r="O14" i="354"/>
  <c r="AE14" i="354"/>
  <c r="AM14" i="354"/>
  <c r="E78" i="794"/>
  <c r="AA14" i="354"/>
  <c r="K14" i="354"/>
  <c r="AY14" i="354"/>
  <c r="S14" i="354"/>
  <c r="AN42" i="106"/>
  <c r="G112" i="794"/>
  <c r="F97" i="794"/>
  <c r="D76" i="794"/>
  <c r="AO32" i="106"/>
  <c r="F105" i="794"/>
  <c r="AN24" i="106"/>
  <c r="G94" i="794"/>
  <c r="AO39" i="106"/>
  <c r="D89" i="794"/>
  <c r="C108" i="794"/>
  <c r="AW38" i="106"/>
  <c r="AO23" i="106"/>
  <c r="AO42" i="106"/>
  <c r="AQ23" i="354"/>
  <c r="S23" i="354"/>
  <c r="K23" i="354"/>
  <c r="E87" i="794"/>
  <c r="AY23" i="354"/>
  <c r="AU23" i="354"/>
  <c r="AE23" i="354"/>
  <c r="G23" i="354"/>
  <c r="AI23" i="354"/>
  <c r="C23" i="354"/>
  <c r="J23" i="354" s="1"/>
  <c r="BC23" i="354"/>
  <c r="O23" i="354"/>
  <c r="W23" i="354"/>
  <c r="AM23" i="354"/>
  <c r="AA23" i="354"/>
  <c r="F74" i="794"/>
  <c r="G99" i="794"/>
  <c r="AN29" i="106"/>
  <c r="F93" i="794"/>
  <c r="AO8" i="106"/>
  <c r="G77" i="794"/>
  <c r="AN7" i="106"/>
  <c r="AW39" i="106"/>
  <c r="C109" i="794"/>
  <c r="G74" i="794"/>
  <c r="AN4" i="106"/>
  <c r="AO25" i="106"/>
  <c r="G81" i="794"/>
  <c r="AN11" i="106"/>
  <c r="O42" i="354"/>
  <c r="C42" i="354"/>
  <c r="J42" i="354" s="1"/>
  <c r="AQ42" i="354"/>
  <c r="AY42" i="354"/>
  <c r="G42" i="354"/>
  <c r="BC42" i="354"/>
  <c r="AI42" i="354"/>
  <c r="AE42" i="354"/>
  <c r="AU42" i="354"/>
  <c r="K42" i="354"/>
  <c r="AM42" i="354"/>
  <c r="AA42" i="354"/>
  <c r="E106" i="794"/>
  <c r="W42" i="354"/>
  <c r="S42" i="354"/>
  <c r="AO46" i="106"/>
  <c r="C33" i="354"/>
  <c r="J33" i="354" s="1"/>
  <c r="E97" i="794"/>
  <c r="AI33" i="354"/>
  <c r="W33" i="354"/>
  <c r="K33" i="354"/>
  <c r="AA33" i="354"/>
  <c r="AE33" i="354"/>
  <c r="AM33" i="354"/>
  <c r="AQ33" i="354"/>
  <c r="O33" i="354"/>
  <c r="AU33" i="354"/>
  <c r="G33" i="354"/>
  <c r="S33" i="354"/>
  <c r="BC33" i="354"/>
  <c r="AY33" i="354"/>
  <c r="G101" i="794"/>
  <c r="AN31" i="106"/>
  <c r="G92" i="794"/>
  <c r="AN22" i="106"/>
  <c r="D77" i="794"/>
  <c r="F102" i="794"/>
  <c r="C105" i="794"/>
  <c r="AW35" i="106"/>
  <c r="F87" i="794"/>
  <c r="C72" i="794"/>
  <c r="AW2" i="106"/>
  <c r="AN9" i="106"/>
  <c r="G79" i="794"/>
  <c r="F72" i="794"/>
  <c r="E39" i="685"/>
  <c r="G86" i="794"/>
  <c r="AN16" i="106"/>
  <c r="AO26" i="106"/>
  <c r="G115" i="794"/>
  <c r="AN45" i="106"/>
  <c r="AN19" i="106"/>
  <c r="G89" i="794"/>
  <c r="D107" i="794"/>
  <c r="D81" i="794"/>
  <c r="D92" i="794"/>
  <c r="C74" i="794"/>
  <c r="AW4" i="106"/>
  <c r="D83" i="794"/>
  <c r="W49" i="354"/>
  <c r="E113" i="794"/>
  <c r="AQ49" i="354"/>
  <c r="BC49" i="354"/>
  <c r="AI49" i="354"/>
  <c r="O49" i="354"/>
  <c r="G49" i="354"/>
  <c r="AA49" i="354"/>
  <c r="C49" i="354"/>
  <c r="J49" i="354" s="1"/>
  <c r="AM49" i="354"/>
  <c r="AE49" i="354"/>
  <c r="AU49" i="354"/>
  <c r="AY49" i="354"/>
  <c r="S49" i="354"/>
  <c r="K49" i="354"/>
  <c r="AY45" i="354"/>
  <c r="AI45" i="354"/>
  <c r="AE45" i="354"/>
  <c r="AM45" i="354"/>
  <c r="BC45" i="354"/>
  <c r="S45" i="354"/>
  <c r="K45" i="354"/>
  <c r="C45" i="354"/>
  <c r="J45" i="354" s="1"/>
  <c r="O45" i="354"/>
  <c r="AU45" i="354"/>
  <c r="W45" i="354"/>
  <c r="AA45" i="354"/>
  <c r="G45" i="354"/>
  <c r="AQ45" i="354"/>
  <c r="E109" i="794"/>
  <c r="AN35" i="106"/>
  <c r="G105" i="794"/>
  <c r="C94" i="794"/>
  <c r="AW24" i="106"/>
  <c r="F88" i="794"/>
  <c r="AA52" i="354"/>
  <c r="AI52" i="354"/>
  <c r="G52" i="354"/>
  <c r="O52" i="354"/>
  <c r="E116" i="794"/>
  <c r="W52" i="354"/>
  <c r="K52" i="354"/>
  <c r="AY52" i="354"/>
  <c r="S52" i="354"/>
  <c r="C52" i="354"/>
  <c r="J52" i="354" s="1"/>
  <c r="AE52" i="354"/>
  <c r="AU52" i="354"/>
  <c r="AM52" i="354"/>
  <c r="BC52" i="354"/>
  <c r="AQ52" i="354"/>
  <c r="AI31" i="354"/>
  <c r="AE31" i="354"/>
  <c r="AU31" i="354"/>
  <c r="AQ31" i="354"/>
  <c r="K31" i="354"/>
  <c r="C31" i="354"/>
  <c r="J31" i="354" s="1"/>
  <c r="E95" i="794"/>
  <c r="W31" i="354"/>
  <c r="S31" i="354"/>
  <c r="BC31" i="354"/>
  <c r="O31" i="354"/>
  <c r="AA31" i="354"/>
  <c r="G31" i="354"/>
  <c r="AY31" i="354"/>
  <c r="AM31" i="354"/>
  <c r="G97" i="794"/>
  <c r="AN27" i="106"/>
  <c r="AO24" i="106"/>
  <c r="AO7" i="106"/>
  <c r="C107" i="794"/>
  <c r="AW37" i="106"/>
  <c r="F115" i="794"/>
  <c r="AO44" i="106"/>
  <c r="AO34" i="106"/>
  <c r="AW29" i="106"/>
  <c r="C99" i="794"/>
  <c r="AW46" i="106"/>
  <c r="C116" i="794"/>
  <c r="F78" i="794"/>
  <c r="C103" i="794"/>
  <c r="AW33" i="106"/>
  <c r="S20" i="354"/>
  <c r="W20" i="354"/>
  <c r="K20" i="354"/>
  <c r="AA20" i="354"/>
  <c r="C20" i="354"/>
  <c r="J20" i="354" s="1"/>
  <c r="BC20" i="354"/>
  <c r="AU20" i="354"/>
  <c r="E84" i="794"/>
  <c r="AY20" i="354"/>
  <c r="O20" i="354"/>
  <c r="G20" i="354"/>
  <c r="AQ20" i="354"/>
  <c r="AI20" i="354"/>
  <c r="AM20" i="354"/>
  <c r="AE20" i="354"/>
  <c r="F109" i="794"/>
  <c r="F84" i="794"/>
  <c r="O22" i="354"/>
  <c r="K22" i="354"/>
  <c r="AE22" i="354"/>
  <c r="G22" i="354"/>
  <c r="AY22" i="354"/>
  <c r="AI22" i="354"/>
  <c r="W22" i="354"/>
  <c r="S22" i="354"/>
  <c r="AM22" i="354"/>
  <c r="BC22" i="354"/>
  <c r="AA22" i="354"/>
  <c r="AU22" i="354"/>
  <c r="AQ22" i="354"/>
  <c r="C22" i="354"/>
  <c r="J22" i="354" s="1"/>
  <c r="E86" i="794"/>
  <c r="F99" i="794"/>
  <c r="C97" i="794"/>
  <c r="AW27" i="106"/>
  <c r="D105" i="794"/>
  <c r="AN38" i="106"/>
  <c r="G108" i="794"/>
  <c r="C106" i="794"/>
  <c r="AW36" i="106"/>
  <c r="F106" i="794"/>
  <c r="AO10" i="106"/>
  <c r="D93" i="794"/>
  <c r="F101" i="794"/>
  <c r="C34" i="354"/>
  <c r="J34" i="354" s="1"/>
  <c r="S34" i="354"/>
  <c r="G34" i="354"/>
  <c r="AQ34" i="354"/>
  <c r="BC34" i="354"/>
  <c r="AU34" i="354"/>
  <c r="W34" i="354"/>
  <c r="AM34" i="354"/>
  <c r="AY34" i="354"/>
  <c r="AI34" i="354"/>
  <c r="E98" i="794"/>
  <c r="AE34" i="354"/>
  <c r="AA34" i="354"/>
  <c r="K34" i="354"/>
  <c r="O34" i="354"/>
  <c r="BC46" i="354"/>
  <c r="C46" i="354"/>
  <c r="J46" i="354" s="1"/>
  <c r="O46" i="354"/>
  <c r="S46" i="354"/>
  <c r="AY46" i="354"/>
  <c r="W46" i="354"/>
  <c r="G46" i="354"/>
  <c r="AA46" i="354"/>
  <c r="AQ46" i="354"/>
  <c r="E110" i="794"/>
  <c r="K46" i="354"/>
  <c r="AU46" i="354"/>
  <c r="AM46" i="354"/>
  <c r="AE46" i="354"/>
  <c r="AI46" i="354"/>
  <c r="AW41" i="106"/>
  <c r="C111" i="794"/>
  <c r="F110" i="794"/>
  <c r="G75" i="794"/>
  <c r="AN5" i="106"/>
  <c r="AW6" i="106"/>
  <c r="C76" i="794"/>
  <c r="F107" i="794"/>
  <c r="G100" i="794"/>
  <c r="AN30" i="106"/>
  <c r="F94" i="794"/>
  <c r="AI13" i="354"/>
  <c r="BC13" i="354"/>
  <c r="S13" i="354"/>
  <c r="W13" i="354"/>
  <c r="C13" i="354"/>
  <c r="J13" i="354" s="1"/>
  <c r="G13" i="354"/>
  <c r="K13" i="354"/>
  <c r="O13" i="354"/>
  <c r="AY13" i="354"/>
  <c r="E77" i="794"/>
  <c r="AA13" i="354"/>
  <c r="AQ13" i="354"/>
  <c r="AU13" i="354"/>
  <c r="AE13" i="354"/>
  <c r="AM13" i="354"/>
  <c r="AO43" i="106"/>
  <c r="AN18" i="106"/>
  <c r="G88" i="794"/>
  <c r="F108" i="794"/>
  <c r="D106" i="794"/>
  <c r="AY44" i="354"/>
  <c r="AU44" i="354"/>
  <c r="W44" i="354"/>
  <c r="AE44" i="354"/>
  <c r="S44" i="354"/>
  <c r="AQ44" i="354"/>
  <c r="AA44" i="354"/>
  <c r="G44" i="354"/>
  <c r="E108" i="794"/>
  <c r="AI44" i="354"/>
  <c r="O44" i="354"/>
  <c r="BC44" i="354"/>
  <c r="C44" i="354"/>
  <c r="J44" i="354" s="1"/>
  <c r="K44" i="354"/>
  <c r="AM44" i="354"/>
  <c r="D75" i="794"/>
  <c r="AO20" i="106"/>
  <c r="AN12" i="106"/>
  <c r="G82" i="794"/>
  <c r="C88" i="794"/>
  <c r="AW18" i="106"/>
  <c r="AO33" i="106"/>
  <c r="AO41" i="106"/>
  <c r="D74" i="794"/>
  <c r="AO27" i="106"/>
  <c r="C16" i="354"/>
  <c r="J16" i="354" s="1"/>
  <c r="K16" i="354"/>
  <c r="E80" i="794"/>
  <c r="S16" i="354"/>
  <c r="G16" i="354"/>
  <c r="O16" i="354"/>
  <c r="AI16" i="354"/>
  <c r="AM16" i="354"/>
  <c r="AU16" i="354"/>
  <c r="W16" i="354"/>
  <c r="AE16" i="354"/>
  <c r="AQ16" i="354"/>
  <c r="BC16" i="354"/>
  <c r="AA16" i="354"/>
  <c r="AY16" i="354"/>
  <c r="G87" i="794"/>
  <c r="AN17" i="106"/>
  <c r="BC39" i="354"/>
  <c r="AQ39" i="354"/>
  <c r="W39" i="354"/>
  <c r="AY39" i="354"/>
  <c r="O39" i="354"/>
  <c r="S39" i="354"/>
  <c r="AE39" i="354"/>
  <c r="E103" i="794"/>
  <c r="G39" i="354"/>
  <c r="AU39" i="354"/>
  <c r="AM39" i="354"/>
  <c r="C39" i="354"/>
  <c r="J39" i="354" s="1"/>
  <c r="AI39" i="354"/>
  <c r="AA39" i="354"/>
  <c r="K39" i="354"/>
  <c r="F76" i="794"/>
  <c r="D99" i="794"/>
  <c r="F81" i="794"/>
  <c r="G104" i="794"/>
  <c r="AN34" i="106"/>
  <c r="AO9" i="106"/>
  <c r="AN40" i="106"/>
  <c r="G110" i="794"/>
  <c r="AO29" i="106"/>
  <c r="C115" i="794"/>
  <c r="AW45" i="106"/>
  <c r="AN13" i="106"/>
  <c r="G83" i="794"/>
  <c r="H83" i="794" s="1"/>
  <c r="F92" i="794"/>
  <c r="AO36" i="106"/>
  <c r="D91" i="794"/>
  <c r="AW43" i="106"/>
  <c r="C113" i="794"/>
  <c r="AO16" i="106"/>
  <c r="AW34" i="106"/>
  <c r="C104" i="794"/>
  <c r="F103" i="794"/>
  <c r="C73" i="794"/>
  <c r="AW3" i="106"/>
  <c r="AO12" i="106"/>
  <c r="F100" i="794"/>
  <c r="F79" i="794"/>
  <c r="D84" i="794"/>
  <c r="D102" i="794"/>
  <c r="AO22" i="106"/>
  <c r="C90" i="794"/>
  <c r="AW20" i="106"/>
  <c r="AO17" i="106"/>
  <c r="AW17" i="106"/>
  <c r="C87" i="794"/>
  <c r="F73" i="794"/>
  <c r="F90" i="794"/>
  <c r="E115" i="794"/>
  <c r="W51" i="354"/>
  <c r="G51" i="354"/>
  <c r="AA51" i="354"/>
  <c r="AE51" i="354"/>
  <c r="AU51" i="354"/>
  <c r="K51" i="354"/>
  <c r="O51" i="354"/>
  <c r="AQ51" i="354"/>
  <c r="S51" i="354"/>
  <c r="AM51" i="354"/>
  <c r="C51" i="354"/>
  <c r="J51" i="354" s="1"/>
  <c r="AY51" i="354"/>
  <c r="BC51" i="354"/>
  <c r="AI51" i="354"/>
  <c r="F17" i="112" a="1"/>
  <c r="F17" i="112" s="1"/>
  <c r="C92" i="794"/>
  <c r="AW22" i="106"/>
  <c r="AO19" i="106"/>
  <c r="AW11" i="106"/>
  <c r="C81" i="794"/>
  <c r="D94" i="794"/>
  <c r="W19" i="354"/>
  <c r="AU19" i="354"/>
  <c r="O19" i="354"/>
  <c r="AM19" i="354"/>
  <c r="AI19" i="354"/>
  <c r="K19" i="354"/>
  <c r="S19" i="354"/>
  <c r="G19" i="354"/>
  <c r="AE19" i="354"/>
  <c r="AQ19" i="354"/>
  <c r="BC19" i="354"/>
  <c r="AY19" i="354"/>
  <c r="E83" i="794"/>
  <c r="C19" i="354"/>
  <c r="J19" i="354" s="1"/>
  <c r="AA19" i="354"/>
  <c r="AY43" i="354"/>
  <c r="AI43" i="354"/>
  <c r="AA43" i="354"/>
  <c r="E107" i="794"/>
  <c r="AE43" i="354"/>
  <c r="K43" i="354"/>
  <c r="O43" i="354"/>
  <c r="AM43" i="354"/>
  <c r="G43" i="354"/>
  <c r="W43" i="354"/>
  <c r="AQ43" i="354"/>
  <c r="S43" i="354"/>
  <c r="C43" i="354"/>
  <c r="J43" i="354" s="1"/>
  <c r="AU43" i="354"/>
  <c r="BC43" i="354"/>
  <c r="AO11" i="106"/>
  <c r="AW10" i="106"/>
  <c r="C80" i="794"/>
  <c r="AU50" i="354"/>
  <c r="O50" i="354"/>
  <c r="E114" i="794"/>
  <c r="S50" i="354"/>
  <c r="BC50" i="354"/>
  <c r="G50" i="354"/>
  <c r="AA50" i="354"/>
  <c r="K50" i="354"/>
  <c r="AE50" i="354"/>
  <c r="AM50" i="354"/>
  <c r="C50" i="354"/>
  <c r="J50" i="354" s="1"/>
  <c r="W50" i="354"/>
  <c r="AQ50" i="354"/>
  <c r="AI50" i="354"/>
  <c r="AY50" i="354"/>
  <c r="G93" i="794"/>
  <c r="AN23" i="106"/>
  <c r="C17" i="112" a="1"/>
  <c r="C17" i="112" s="1"/>
  <c r="AO2" i="106"/>
  <c r="D17" i="112" a="1"/>
  <c r="D17" i="112" s="1"/>
  <c r="AY41" i="354"/>
  <c r="AA41" i="354"/>
  <c r="E105" i="794"/>
  <c r="AQ41" i="354"/>
  <c r="W41" i="354"/>
  <c r="K41" i="354"/>
  <c r="AE41" i="354"/>
  <c r="AI41" i="354"/>
  <c r="G41" i="354"/>
  <c r="C41" i="354"/>
  <c r="J41" i="354" s="1"/>
  <c r="O41" i="354"/>
  <c r="BC41" i="354"/>
  <c r="S41" i="354"/>
  <c r="AU41" i="354"/>
  <c r="AM41" i="354"/>
  <c r="AN10" i="106"/>
  <c r="G80" i="794"/>
  <c r="AW32" i="106"/>
  <c r="C102" i="794"/>
  <c r="D90" i="794"/>
  <c r="C78" i="794"/>
  <c r="AW8" i="106"/>
  <c r="AW15" i="106"/>
  <c r="C85" i="794"/>
  <c r="D88" i="794"/>
  <c r="C101" i="794"/>
  <c r="AW31" i="106"/>
  <c r="AW16" i="106"/>
  <c r="C86" i="794"/>
  <c r="W29" i="354"/>
  <c r="E93" i="794"/>
  <c r="AI29" i="354"/>
  <c r="O29" i="354"/>
  <c r="AQ29" i="354"/>
  <c r="C29" i="354"/>
  <c r="J29" i="354" s="1"/>
  <c r="AE29" i="354"/>
  <c r="AM29" i="354"/>
  <c r="G29" i="354"/>
  <c r="AY29" i="354"/>
  <c r="K29" i="354"/>
  <c r="S29" i="354"/>
  <c r="BC29" i="354"/>
  <c r="AA29" i="354"/>
  <c r="AU29" i="354"/>
  <c r="AN26" i="106"/>
  <c r="G96" i="794"/>
  <c r="D100" i="794"/>
  <c r="AO30" i="106"/>
  <c r="W21" i="354"/>
  <c r="C21" i="354"/>
  <c r="J21" i="354" s="1"/>
  <c r="AI21" i="354"/>
  <c r="O21" i="354"/>
  <c r="S21" i="354"/>
  <c r="K21" i="354"/>
  <c r="AU21" i="354"/>
  <c r="AY21" i="354"/>
  <c r="AA21" i="354"/>
  <c r="E85" i="794"/>
  <c r="AE21" i="354"/>
  <c r="AQ21" i="354"/>
  <c r="G21" i="354"/>
  <c r="AM21" i="354"/>
  <c r="BC21" i="354"/>
  <c r="D98" i="794"/>
  <c r="F85" i="794"/>
  <c r="AO35" i="106"/>
  <c r="C95" i="794"/>
  <c r="AW25" i="106"/>
  <c r="AO28" i="106"/>
  <c r="E94" i="794"/>
  <c r="BC30" i="354"/>
  <c r="AQ30" i="354"/>
  <c r="AI30" i="354"/>
  <c r="AA30" i="354"/>
  <c r="G30" i="354"/>
  <c r="S30" i="354"/>
  <c r="AE30" i="354"/>
  <c r="K30" i="354"/>
  <c r="AM30" i="354"/>
  <c r="W30" i="354"/>
  <c r="C30" i="354"/>
  <c r="J30" i="354" s="1"/>
  <c r="AU30" i="354"/>
  <c r="AY30" i="354"/>
  <c r="O30" i="354"/>
  <c r="AW26" i="106"/>
  <c r="C96" i="794"/>
  <c r="F86" i="794"/>
  <c r="D113" i="794"/>
  <c r="G91" i="794"/>
  <c r="AN21" i="106"/>
  <c r="F91" i="794"/>
  <c r="AO18" i="106"/>
  <c r="G114" i="794"/>
  <c r="AN44" i="106"/>
  <c r="C84" i="794"/>
  <c r="AW14" i="106"/>
  <c r="AM47" i="354"/>
  <c r="BC47" i="354"/>
  <c r="E111" i="794"/>
  <c r="AE47" i="354"/>
  <c r="AA47" i="354"/>
  <c r="AI47" i="354"/>
  <c r="C47" i="354"/>
  <c r="J47" i="354" s="1"/>
  <c r="G47" i="354"/>
  <c r="W47" i="354"/>
  <c r="AQ47" i="354"/>
  <c r="S47" i="354"/>
  <c r="AU47" i="354"/>
  <c r="AY47" i="354"/>
  <c r="K47" i="354"/>
  <c r="O47" i="354"/>
  <c r="K18" i="354"/>
  <c r="AU18" i="354"/>
  <c r="AQ18" i="354"/>
  <c r="AI18" i="354"/>
  <c r="C18" i="354"/>
  <c r="J18" i="354" s="1"/>
  <c r="S18" i="354"/>
  <c r="AM18" i="354"/>
  <c r="AE18" i="354"/>
  <c r="W18" i="354"/>
  <c r="G18" i="354"/>
  <c r="AA18" i="354"/>
  <c r="O18" i="354"/>
  <c r="AY18" i="354"/>
  <c r="BC18" i="354"/>
  <c r="E82" i="794"/>
  <c r="F80" i="794"/>
  <c r="AO31" i="106"/>
  <c r="AW19" i="106"/>
  <c r="C89" i="794"/>
  <c r="K25" i="354"/>
  <c r="AQ25" i="354"/>
  <c r="S25" i="354"/>
  <c r="AA25" i="354"/>
  <c r="E89" i="794"/>
  <c r="AY25" i="354"/>
  <c r="C25" i="354"/>
  <c r="J25" i="354" s="1"/>
  <c r="AE25" i="354"/>
  <c r="BC25" i="354"/>
  <c r="AU25" i="354"/>
  <c r="AM25" i="354"/>
  <c r="W25" i="354"/>
  <c r="G25" i="354"/>
  <c r="AI25" i="354"/>
  <c r="O25" i="354"/>
  <c r="F89" i="794"/>
  <c r="D116" i="794"/>
  <c r="AO3" i="106"/>
  <c r="D108" i="794"/>
  <c r="AN6" i="106"/>
  <c r="G76" i="794"/>
  <c r="F82" i="794"/>
  <c r="AW9" i="106"/>
  <c r="C79" i="794"/>
  <c r="F77" i="794"/>
  <c r="G85" i="794"/>
  <c r="AN15" i="106"/>
  <c r="D101" i="794"/>
  <c r="D103" i="794"/>
  <c r="AE38" i="354"/>
  <c r="O38" i="354"/>
  <c r="BC38" i="354"/>
  <c r="S38" i="354"/>
  <c r="AM38" i="354"/>
  <c r="AI38" i="354"/>
  <c r="AU38" i="354"/>
  <c r="W38" i="354"/>
  <c r="K38" i="354"/>
  <c r="AY38" i="354"/>
  <c r="AQ38" i="354"/>
  <c r="AA38" i="354"/>
  <c r="E102" i="794"/>
  <c r="C38" i="354"/>
  <c r="J38" i="354" s="1"/>
  <c r="G38" i="354"/>
  <c r="AO5" i="106"/>
  <c r="AI11" i="354"/>
  <c r="K11" i="354"/>
  <c r="AM11" i="354"/>
  <c r="AE11" i="354"/>
  <c r="S11" i="354"/>
  <c r="AY11" i="354"/>
  <c r="AQ11" i="354"/>
  <c r="G11" i="354"/>
  <c r="W11" i="354"/>
  <c r="E75" i="794"/>
  <c r="O11" i="354"/>
  <c r="AU11" i="354"/>
  <c r="BC11" i="354"/>
  <c r="AA11" i="354"/>
  <c r="C11" i="354"/>
  <c r="J11" i="354" s="1"/>
  <c r="G109" i="794"/>
  <c r="AN39" i="106"/>
  <c r="F112" i="794"/>
  <c r="D97" i="794"/>
  <c r="D115" i="794"/>
  <c r="AW28" i="106"/>
  <c r="C98" i="794"/>
  <c r="AO45" i="106"/>
  <c r="AY36" i="354"/>
  <c r="AU36" i="354"/>
  <c r="C36" i="354"/>
  <c r="J36" i="354" s="1"/>
  <c r="AI36" i="354"/>
  <c r="AM36" i="354"/>
  <c r="O36" i="354"/>
  <c r="AE36" i="354"/>
  <c r="AQ36" i="354"/>
  <c r="G36" i="354"/>
  <c r="BC36" i="354"/>
  <c r="W36" i="354"/>
  <c r="S36" i="354"/>
  <c r="E100" i="794"/>
  <c r="AA36" i="354"/>
  <c r="K36" i="354"/>
  <c r="C114" i="794"/>
  <c r="AW44" i="106"/>
  <c r="AO6" i="106"/>
  <c r="C110" i="794"/>
  <c r="AW40" i="106"/>
  <c r="O26" i="354"/>
  <c r="AQ26" i="354"/>
  <c r="AA26" i="354"/>
  <c r="AY26" i="354"/>
  <c r="S26" i="354"/>
  <c r="AE26" i="354"/>
  <c r="AI26" i="354"/>
  <c r="AM26" i="354"/>
  <c r="K26" i="354"/>
  <c r="BC26" i="354"/>
  <c r="W26" i="354"/>
  <c r="E90" i="794"/>
  <c r="AU26" i="354"/>
  <c r="G26" i="354"/>
  <c r="C26" i="354"/>
  <c r="J26" i="354" s="1"/>
  <c r="AN25" i="106"/>
  <c r="G95" i="794"/>
  <c r="AU15" i="354"/>
  <c r="AQ15" i="354"/>
  <c r="G15" i="354"/>
  <c r="S15" i="354"/>
  <c r="O15" i="354"/>
  <c r="AM15" i="354"/>
  <c r="AA15" i="354"/>
  <c r="AY15" i="354"/>
  <c r="K15" i="354"/>
  <c r="BC15" i="354"/>
  <c r="E79" i="794"/>
  <c r="C15" i="354"/>
  <c r="J15" i="354" s="1"/>
  <c r="AE15" i="354"/>
  <c r="AI15" i="354"/>
  <c r="W15" i="354"/>
  <c r="G73" i="794"/>
  <c r="AN3" i="106"/>
  <c r="D114" i="794"/>
  <c r="F111" i="794"/>
  <c r="AW23" i="106"/>
  <c r="C93" i="794"/>
  <c r="AN41" i="106"/>
  <c r="G111" i="794"/>
  <c r="D79" i="794"/>
  <c r="AY24" i="354"/>
  <c r="W24" i="354"/>
  <c r="E88" i="794"/>
  <c r="AI24" i="354"/>
  <c r="K24" i="354"/>
  <c r="C24" i="354"/>
  <c r="J24" i="354" s="1"/>
  <c r="BC24" i="354"/>
  <c r="AQ24" i="354"/>
  <c r="AA24" i="354"/>
  <c r="G24" i="354"/>
  <c r="O24" i="354"/>
  <c r="S24" i="354"/>
  <c r="AU24" i="354"/>
  <c r="AM24" i="354"/>
  <c r="AE24" i="354"/>
  <c r="AN46" i="106"/>
  <c r="G116" i="794"/>
  <c r="D78" i="794"/>
  <c r="AN28" i="106"/>
  <c r="G98" i="794"/>
  <c r="AA28" i="354"/>
  <c r="BC28" i="354"/>
  <c r="C28" i="354"/>
  <c r="J28" i="354" s="1"/>
  <c r="AY28" i="354"/>
  <c r="E92" i="794"/>
  <c r="S28" i="354"/>
  <c r="AM28" i="354"/>
  <c r="O28" i="354"/>
  <c r="W28" i="354"/>
  <c r="G28" i="354"/>
  <c r="AE28" i="354"/>
  <c r="K28" i="354"/>
  <c r="AI28" i="354"/>
  <c r="AU28" i="354"/>
  <c r="AQ28" i="354"/>
  <c r="D96" i="794"/>
  <c r="D82" i="794"/>
  <c r="G84" i="794"/>
  <c r="AN14" i="106"/>
  <c r="F95" i="794"/>
  <c r="D110" i="794"/>
  <c r="AO15" i="106"/>
  <c r="F104" i="794"/>
  <c r="G102" i="794"/>
  <c r="AN32" i="106"/>
  <c r="D72" i="794"/>
  <c r="F37" i="685"/>
  <c r="H37" i="685" s="1"/>
  <c r="H36" i="685" s="1"/>
  <c r="AO14" i="106"/>
  <c r="AW5" i="106"/>
  <c r="C75" i="794"/>
  <c r="AN37" i="106"/>
  <c r="G107" i="794"/>
  <c r="D80" i="794"/>
  <c r="F113" i="794"/>
  <c r="J7" i="227"/>
  <c r="FO10" i="227"/>
  <c r="F15" i="39"/>
  <c r="F14" i="39"/>
  <c r="H96" i="794" l="1"/>
  <c r="N16" i="354"/>
  <c r="R16" i="354" s="1"/>
  <c r="N23" i="354"/>
  <c r="R23" i="354" s="1"/>
  <c r="N35" i="354"/>
  <c r="R35" i="354" s="1"/>
  <c r="V35" i="354" s="1"/>
  <c r="Z35" i="354" s="1"/>
  <c r="AD35" i="354" s="1"/>
  <c r="AH35" i="354" s="1"/>
  <c r="AL35" i="354" s="1"/>
  <c r="AP35" i="354" s="1"/>
  <c r="AT35" i="354" s="1"/>
  <c r="AX35" i="354" s="1"/>
  <c r="BB35" i="354" s="1"/>
  <c r="BF35" i="354" s="1"/>
  <c r="N52" i="354"/>
  <c r="R52" i="354" s="1"/>
  <c r="V52" i="354" s="1"/>
  <c r="Z52" i="354" s="1"/>
  <c r="AD52" i="354" s="1"/>
  <c r="AH52" i="354" s="1"/>
  <c r="AL52" i="354" s="1"/>
  <c r="AP52" i="354" s="1"/>
  <c r="AT52" i="354" s="1"/>
  <c r="AX52" i="354" s="1"/>
  <c r="BB52" i="354" s="1"/>
  <c r="BF52" i="354" s="1"/>
  <c r="N49" i="354"/>
  <c r="R49" i="354" s="1"/>
  <c r="V49" i="354" s="1"/>
  <c r="Z49" i="354" s="1"/>
  <c r="AD49" i="354" s="1"/>
  <c r="AH49" i="354" s="1"/>
  <c r="AL49" i="354" s="1"/>
  <c r="AP49" i="354" s="1"/>
  <c r="AT49" i="354" s="1"/>
  <c r="AX49" i="354" s="1"/>
  <c r="BB49" i="354" s="1"/>
  <c r="BF49" i="354" s="1"/>
  <c r="N43" i="354"/>
  <c r="R43" i="354" s="1"/>
  <c r="BE16" i="354"/>
  <c r="BD16" i="354"/>
  <c r="BE13" i="354"/>
  <c r="BD13" i="354"/>
  <c r="BE36" i="354"/>
  <c r="BD36" i="354"/>
  <c r="BE40" i="354"/>
  <c r="BD40" i="354"/>
  <c r="BE39" i="354"/>
  <c r="BD39" i="354"/>
  <c r="BE46" i="354"/>
  <c r="BD46" i="354"/>
  <c r="BE37" i="354"/>
  <c r="BD37" i="354"/>
  <c r="BE32" i="354"/>
  <c r="BD32" i="354"/>
  <c r="BE28" i="354"/>
  <c r="BD28" i="354"/>
  <c r="BE44" i="354"/>
  <c r="BD44" i="354"/>
  <c r="BE9" i="354"/>
  <c r="BD9" i="354"/>
  <c r="BE15" i="354"/>
  <c r="BD15" i="354"/>
  <c r="BE30" i="354"/>
  <c r="BD30" i="354"/>
  <c r="BE21" i="354"/>
  <c r="BD21" i="354"/>
  <c r="BD50" i="354"/>
  <c r="BE50" i="354"/>
  <c r="BD43" i="354"/>
  <c r="BE43" i="354"/>
  <c r="BE22" i="354"/>
  <c r="BD22" i="354"/>
  <c r="BE31" i="354"/>
  <c r="BD31" i="354"/>
  <c r="BE45" i="354"/>
  <c r="BD45" i="354"/>
  <c r="BE49" i="354"/>
  <c r="BD49" i="354"/>
  <c r="BD10" i="354"/>
  <c r="BE10" i="354"/>
  <c r="BE51" i="354"/>
  <c r="BD51" i="354"/>
  <c r="BD26" i="354"/>
  <c r="BE26" i="354"/>
  <c r="BD11" i="354"/>
  <c r="BE11" i="354"/>
  <c r="BE33" i="354"/>
  <c r="BD33" i="354"/>
  <c r="BD42" i="354"/>
  <c r="BE42" i="354"/>
  <c r="BE23" i="354"/>
  <c r="BD23" i="354"/>
  <c r="BE35" i="354"/>
  <c r="BD35" i="354"/>
  <c r="BD48" i="354"/>
  <c r="BE48" i="354"/>
  <c r="BE20" i="354"/>
  <c r="BD20" i="354"/>
  <c r="BE25" i="354"/>
  <c r="BD25" i="354"/>
  <c r="BD18" i="354"/>
  <c r="BE18" i="354"/>
  <c r="BD34" i="354"/>
  <c r="BE34" i="354"/>
  <c r="BD27" i="354"/>
  <c r="BE27" i="354"/>
  <c r="BE47" i="354"/>
  <c r="BD47" i="354"/>
  <c r="BE29" i="354"/>
  <c r="BD29" i="354"/>
  <c r="BE24" i="354"/>
  <c r="BD24" i="354"/>
  <c r="BE38" i="354"/>
  <c r="BD38" i="354"/>
  <c r="BE41" i="354"/>
  <c r="BD41" i="354"/>
  <c r="BE19" i="354"/>
  <c r="BD19" i="354"/>
  <c r="BE52" i="354"/>
  <c r="BD52" i="354"/>
  <c r="BE14" i="354"/>
  <c r="BD14" i="354"/>
  <c r="BE12" i="354"/>
  <c r="BD12" i="354"/>
  <c r="BE17" i="354"/>
  <c r="BD17" i="354"/>
  <c r="BA28" i="354"/>
  <c r="AZ28" i="354"/>
  <c r="BA47" i="354"/>
  <c r="AZ47" i="354"/>
  <c r="BA20" i="354"/>
  <c r="AZ20" i="354"/>
  <c r="AZ38" i="354"/>
  <c r="BA38" i="354"/>
  <c r="AZ30" i="354"/>
  <c r="BA30" i="354"/>
  <c r="BA39" i="354"/>
  <c r="AZ39" i="354"/>
  <c r="N34" i="354"/>
  <c r="R34" i="354" s="1"/>
  <c r="V34" i="354" s="1"/>
  <c r="Z34" i="354" s="1"/>
  <c r="AD34" i="354" s="1"/>
  <c r="AH34" i="354" s="1"/>
  <c r="AL34" i="354" s="1"/>
  <c r="AP34" i="354" s="1"/>
  <c r="AT34" i="354" s="1"/>
  <c r="AX34" i="354" s="1"/>
  <c r="BB34" i="354" s="1"/>
  <c r="BF34" i="354" s="1"/>
  <c r="BA31" i="354"/>
  <c r="AZ31" i="354"/>
  <c r="BA45" i="354"/>
  <c r="AZ45" i="354"/>
  <c r="BA12" i="354"/>
  <c r="AZ12" i="354"/>
  <c r="AZ37" i="354"/>
  <c r="BA37" i="354"/>
  <c r="BA9" i="354"/>
  <c r="AZ9" i="354"/>
  <c r="BA17" i="354"/>
  <c r="AZ17" i="354"/>
  <c r="AZ35" i="354"/>
  <c r="BA35" i="354"/>
  <c r="BA40" i="354"/>
  <c r="AZ40" i="354"/>
  <c r="BA41" i="354"/>
  <c r="AZ41" i="354"/>
  <c r="BA36" i="354"/>
  <c r="AZ36" i="354"/>
  <c r="AZ50" i="354"/>
  <c r="BA50" i="354"/>
  <c r="BA43" i="354"/>
  <c r="AZ43" i="354"/>
  <c r="AZ34" i="354"/>
  <c r="BA34" i="354"/>
  <c r="BA51" i="354"/>
  <c r="AZ51" i="354"/>
  <c r="BA49" i="354"/>
  <c r="AZ49" i="354"/>
  <c r="BA23" i="354"/>
  <c r="AZ23" i="354"/>
  <c r="BA27" i="354"/>
  <c r="AZ27" i="354"/>
  <c r="BA25" i="354"/>
  <c r="AZ25" i="354"/>
  <c r="BA22" i="354"/>
  <c r="AZ22" i="354"/>
  <c r="BA32" i="354"/>
  <c r="AZ32" i="354"/>
  <c r="AZ26" i="354"/>
  <c r="BA26" i="354"/>
  <c r="BA29" i="354"/>
  <c r="AZ29" i="354"/>
  <c r="BA33" i="354"/>
  <c r="AZ33" i="354"/>
  <c r="BA48" i="354"/>
  <c r="AZ48" i="354"/>
  <c r="AZ21" i="354"/>
  <c r="BA21" i="354"/>
  <c r="AZ11" i="354"/>
  <c r="BA11" i="354"/>
  <c r="BA24" i="354"/>
  <c r="AZ24" i="354"/>
  <c r="BA44" i="354"/>
  <c r="AZ44" i="354"/>
  <c r="BA52" i="354"/>
  <c r="AZ52" i="354"/>
  <c r="AZ13" i="354"/>
  <c r="BA13" i="354"/>
  <c r="BA15" i="354"/>
  <c r="AZ15" i="354"/>
  <c r="BA19" i="354"/>
  <c r="AZ19" i="354"/>
  <c r="BA16" i="354"/>
  <c r="AZ16" i="354"/>
  <c r="AZ18" i="354"/>
  <c r="BA18" i="354"/>
  <c r="BA46" i="354"/>
  <c r="AZ46" i="354"/>
  <c r="AZ42" i="354"/>
  <c r="BA42" i="354"/>
  <c r="AZ14" i="354"/>
  <c r="BA14" i="354"/>
  <c r="AZ10" i="354"/>
  <c r="BA10" i="354"/>
  <c r="AW46" i="354"/>
  <c r="AV46" i="354"/>
  <c r="AW20" i="354"/>
  <c r="AV20" i="354"/>
  <c r="AW33" i="354"/>
  <c r="AV33" i="354"/>
  <c r="AW40" i="354"/>
  <c r="AV40" i="354"/>
  <c r="AW30" i="354"/>
  <c r="AV30" i="354"/>
  <c r="AV26" i="354"/>
  <c r="AW26" i="354"/>
  <c r="AV18" i="354"/>
  <c r="AW18" i="354"/>
  <c r="AV51" i="354"/>
  <c r="AW51" i="354"/>
  <c r="AW22" i="354"/>
  <c r="AV22" i="354"/>
  <c r="AV42" i="354"/>
  <c r="AW42" i="354"/>
  <c r="AW23" i="354"/>
  <c r="AV23" i="354"/>
  <c r="AW28" i="354"/>
  <c r="AV28" i="354"/>
  <c r="AW21" i="354"/>
  <c r="AV21" i="354"/>
  <c r="AW16" i="354"/>
  <c r="AV16" i="354"/>
  <c r="AW44" i="354"/>
  <c r="AV44" i="354"/>
  <c r="AW49" i="354"/>
  <c r="AV49" i="354"/>
  <c r="AV50" i="354"/>
  <c r="AW50" i="354"/>
  <c r="AW19" i="354"/>
  <c r="AV19" i="354"/>
  <c r="AW24" i="354"/>
  <c r="AV24" i="354"/>
  <c r="AW52" i="354"/>
  <c r="AV52" i="354"/>
  <c r="AW27" i="354"/>
  <c r="AV27" i="354"/>
  <c r="AW39" i="354"/>
  <c r="AV39" i="354"/>
  <c r="AW31" i="354"/>
  <c r="AV31" i="354"/>
  <c r="AW12" i="354"/>
  <c r="AV12" i="354"/>
  <c r="AV48" i="354"/>
  <c r="AW48" i="354"/>
  <c r="AW15" i="354"/>
  <c r="AV15" i="354"/>
  <c r="AW25" i="354"/>
  <c r="AV25" i="354"/>
  <c r="AW41" i="354"/>
  <c r="AV41" i="354"/>
  <c r="AW43" i="354"/>
  <c r="AV43" i="354"/>
  <c r="AW13" i="354"/>
  <c r="AV13" i="354"/>
  <c r="AV34" i="354"/>
  <c r="AW34" i="354"/>
  <c r="AV35" i="354"/>
  <c r="AW35" i="354"/>
  <c r="AW37" i="354"/>
  <c r="AV37" i="354"/>
  <c r="AW9" i="354"/>
  <c r="AV9" i="354"/>
  <c r="AW36" i="354"/>
  <c r="AV36" i="354"/>
  <c r="AW38" i="354"/>
  <c r="AV38" i="354"/>
  <c r="AW11" i="354"/>
  <c r="AV11" i="354"/>
  <c r="AW14" i="354"/>
  <c r="AV14" i="354"/>
  <c r="AW47" i="354"/>
  <c r="AV47" i="354"/>
  <c r="AW29" i="354"/>
  <c r="AV29" i="354"/>
  <c r="AW45" i="354"/>
  <c r="AV45" i="354"/>
  <c r="AW17" i="354"/>
  <c r="AV17" i="354"/>
  <c r="AV10" i="354"/>
  <c r="AW10" i="354"/>
  <c r="AV32" i="354"/>
  <c r="AW32" i="354"/>
  <c r="AS41" i="354"/>
  <c r="AR41" i="354"/>
  <c r="AS51" i="354"/>
  <c r="AR51" i="354"/>
  <c r="N28" i="354"/>
  <c r="R28" i="354" s="1"/>
  <c r="V28" i="354" s="1"/>
  <c r="Z28" i="354" s="1"/>
  <c r="AD28" i="354" s="1"/>
  <c r="AH28" i="354" s="1"/>
  <c r="AL28" i="354" s="1"/>
  <c r="AP28" i="354" s="1"/>
  <c r="AT28" i="354" s="1"/>
  <c r="AX28" i="354" s="1"/>
  <c r="BB28" i="354" s="1"/>
  <c r="BF28" i="354" s="1"/>
  <c r="N30" i="354"/>
  <c r="R30" i="354" s="1"/>
  <c r="V30" i="354" s="1"/>
  <c r="Z30" i="354" s="1"/>
  <c r="AD30" i="354" s="1"/>
  <c r="AH30" i="354" s="1"/>
  <c r="AL30" i="354" s="1"/>
  <c r="AP30" i="354" s="1"/>
  <c r="AT30" i="354" s="1"/>
  <c r="AX30" i="354" s="1"/>
  <c r="BB30" i="354" s="1"/>
  <c r="BF30" i="354" s="1"/>
  <c r="AS43" i="354"/>
  <c r="AR43" i="354"/>
  <c r="AS19" i="354"/>
  <c r="AR19" i="354"/>
  <c r="AS44" i="354"/>
  <c r="AR44" i="354"/>
  <c r="AR42" i="354"/>
  <c r="AS42" i="354"/>
  <c r="AR18" i="354"/>
  <c r="AS18" i="354"/>
  <c r="AS47" i="354"/>
  <c r="AR47" i="354"/>
  <c r="AR29" i="354"/>
  <c r="AS29" i="354"/>
  <c r="AS16" i="354"/>
  <c r="AR16" i="354"/>
  <c r="AS22" i="354"/>
  <c r="AR22" i="354"/>
  <c r="AS12" i="354"/>
  <c r="AR12" i="354"/>
  <c r="AS17" i="354"/>
  <c r="AR17" i="354"/>
  <c r="AS31" i="354"/>
  <c r="AR31" i="354"/>
  <c r="AS33" i="354"/>
  <c r="AR33" i="354"/>
  <c r="AS14" i="354"/>
  <c r="AR14" i="354"/>
  <c r="AS35" i="354"/>
  <c r="AR35" i="354"/>
  <c r="AS9" i="354"/>
  <c r="AR9" i="354"/>
  <c r="AS38" i="354"/>
  <c r="AR38" i="354"/>
  <c r="AS28" i="354"/>
  <c r="AR28" i="354"/>
  <c r="AS36" i="354"/>
  <c r="AR36" i="354"/>
  <c r="AS11" i="354"/>
  <c r="AR11" i="354"/>
  <c r="AS30" i="354"/>
  <c r="AR30" i="354"/>
  <c r="AS46" i="354"/>
  <c r="AR46" i="354"/>
  <c r="AS20" i="354"/>
  <c r="AR20" i="354"/>
  <c r="AR45" i="354"/>
  <c r="AS45" i="354"/>
  <c r="AS40" i="354"/>
  <c r="AR40" i="354"/>
  <c r="AR21" i="354"/>
  <c r="AS21" i="354"/>
  <c r="AS39" i="354"/>
  <c r="AR39" i="354"/>
  <c r="AS15" i="354"/>
  <c r="AR15" i="354"/>
  <c r="AR50" i="354"/>
  <c r="AS50" i="354"/>
  <c r="AS49" i="354"/>
  <c r="AR49" i="354"/>
  <c r="AR10" i="354"/>
  <c r="AS10" i="354"/>
  <c r="AR26" i="354"/>
  <c r="AS26" i="354"/>
  <c r="AS25" i="354"/>
  <c r="AR25" i="354"/>
  <c r="AS24" i="354"/>
  <c r="AR24" i="354"/>
  <c r="AR13" i="354"/>
  <c r="AS13" i="354"/>
  <c r="AS52" i="354"/>
  <c r="AR52" i="354"/>
  <c r="AR37" i="354"/>
  <c r="AS37" i="354"/>
  <c r="AS32" i="354"/>
  <c r="AR32" i="354"/>
  <c r="AR34" i="354"/>
  <c r="AS34" i="354"/>
  <c r="AS23" i="354"/>
  <c r="AR23" i="354"/>
  <c r="AS48" i="354"/>
  <c r="AR48" i="354"/>
  <c r="AS27" i="354"/>
  <c r="AR27" i="354"/>
  <c r="AO52" i="354"/>
  <c r="AN52" i="354"/>
  <c r="AO48" i="354"/>
  <c r="AN48" i="354"/>
  <c r="AO47" i="354"/>
  <c r="AN47" i="354"/>
  <c r="AO23" i="354"/>
  <c r="AN23" i="354"/>
  <c r="AN37" i="354"/>
  <c r="AO37" i="354"/>
  <c r="AO39" i="354"/>
  <c r="AN39" i="354"/>
  <c r="AO20" i="354"/>
  <c r="AN20" i="354"/>
  <c r="AO28" i="354"/>
  <c r="AN28" i="354"/>
  <c r="AO43" i="354"/>
  <c r="AN43" i="354"/>
  <c r="AO13" i="354"/>
  <c r="AN13" i="354"/>
  <c r="AN34" i="354"/>
  <c r="AO34" i="354"/>
  <c r="AO33" i="354"/>
  <c r="AN33" i="354"/>
  <c r="AO14" i="354"/>
  <c r="AN14" i="354"/>
  <c r="AO12" i="354"/>
  <c r="AN12" i="354"/>
  <c r="AN40" i="354"/>
  <c r="AO40" i="354"/>
  <c r="AO25" i="354"/>
  <c r="AN25" i="354"/>
  <c r="AO30" i="354"/>
  <c r="AN30" i="354"/>
  <c r="AO41" i="354"/>
  <c r="AN41" i="354"/>
  <c r="AO35" i="354"/>
  <c r="AN35" i="354"/>
  <c r="AO51" i="354"/>
  <c r="AN51" i="354"/>
  <c r="AN16" i="354"/>
  <c r="AO16" i="354"/>
  <c r="AO22" i="354"/>
  <c r="AN22" i="354"/>
  <c r="AN45" i="354"/>
  <c r="AO45" i="354"/>
  <c r="AO17" i="354"/>
  <c r="AN17" i="354"/>
  <c r="AO27" i="354"/>
  <c r="AN27" i="354"/>
  <c r="AN24" i="354"/>
  <c r="AO24" i="354"/>
  <c r="AN42" i="354"/>
  <c r="AO42" i="354"/>
  <c r="AO38" i="354"/>
  <c r="AN38" i="354"/>
  <c r="AN18" i="354"/>
  <c r="AO18" i="354"/>
  <c r="AO36" i="354"/>
  <c r="AN36" i="354"/>
  <c r="AN29" i="354"/>
  <c r="AO29" i="354"/>
  <c r="AO19" i="354"/>
  <c r="AN19" i="354"/>
  <c r="AO49" i="354"/>
  <c r="AN49" i="354"/>
  <c r="AO9" i="354"/>
  <c r="AN9" i="354"/>
  <c r="AN10" i="354"/>
  <c r="AO10" i="354"/>
  <c r="AN32" i="354"/>
  <c r="AO32" i="354"/>
  <c r="AO15" i="354"/>
  <c r="AN15" i="354"/>
  <c r="AN21" i="354"/>
  <c r="AO21" i="354"/>
  <c r="AN26" i="354"/>
  <c r="AO26" i="354"/>
  <c r="AO11" i="354"/>
  <c r="AN11" i="354"/>
  <c r="AN50" i="354"/>
  <c r="AO50" i="354"/>
  <c r="AO44" i="354"/>
  <c r="AN44" i="354"/>
  <c r="AO46" i="354"/>
  <c r="AN46" i="354"/>
  <c r="AO31" i="354"/>
  <c r="AN31" i="354"/>
  <c r="AK33" i="354"/>
  <c r="AJ33" i="354"/>
  <c r="AK25" i="354"/>
  <c r="AJ25" i="354"/>
  <c r="AJ51" i="354"/>
  <c r="AK51" i="354"/>
  <c r="AJ18" i="354"/>
  <c r="AK18" i="354"/>
  <c r="AJ48" i="354"/>
  <c r="AK48" i="354"/>
  <c r="AK37" i="354"/>
  <c r="AJ37" i="354"/>
  <c r="AJ27" i="354"/>
  <c r="AK27" i="354"/>
  <c r="AK29" i="354"/>
  <c r="AJ29" i="354"/>
  <c r="AK41" i="354"/>
  <c r="AJ41" i="354"/>
  <c r="AJ50" i="354"/>
  <c r="AK50" i="354"/>
  <c r="AK52" i="354"/>
  <c r="AJ52" i="354"/>
  <c r="AK49" i="354"/>
  <c r="AJ49" i="354"/>
  <c r="AJ10" i="354"/>
  <c r="AK10" i="354"/>
  <c r="AK15" i="354"/>
  <c r="AJ15" i="354"/>
  <c r="AJ35" i="354"/>
  <c r="AK35" i="354"/>
  <c r="AJ11" i="354"/>
  <c r="AK11" i="354"/>
  <c r="AJ43" i="354"/>
  <c r="AK43" i="354"/>
  <c r="AJ34" i="354"/>
  <c r="AK34" i="354"/>
  <c r="AK38" i="354"/>
  <c r="AJ38" i="354"/>
  <c r="AJ42" i="354"/>
  <c r="AK42" i="354"/>
  <c r="AK28" i="354"/>
  <c r="AJ28" i="354"/>
  <c r="AK47" i="354"/>
  <c r="AJ47" i="354"/>
  <c r="AK19" i="354"/>
  <c r="AJ19" i="354"/>
  <c r="AK46" i="354"/>
  <c r="AJ46" i="354"/>
  <c r="AK31" i="354"/>
  <c r="AJ31" i="354"/>
  <c r="AJ26" i="354"/>
  <c r="AK26" i="354"/>
  <c r="AK13" i="354"/>
  <c r="AJ13" i="354"/>
  <c r="AK14" i="354"/>
  <c r="AJ14" i="354"/>
  <c r="AK30" i="354"/>
  <c r="AJ30" i="354"/>
  <c r="AK20" i="354"/>
  <c r="AJ20" i="354"/>
  <c r="AK44" i="354"/>
  <c r="AJ44" i="354"/>
  <c r="AK32" i="354"/>
  <c r="AJ32" i="354"/>
  <c r="AK16" i="354"/>
  <c r="AJ16" i="354"/>
  <c r="AK12" i="354"/>
  <c r="AJ12" i="354"/>
  <c r="AK17" i="354"/>
  <c r="AJ17" i="354"/>
  <c r="AK21" i="354"/>
  <c r="AJ21" i="354"/>
  <c r="AK22" i="354"/>
  <c r="AJ22" i="354"/>
  <c r="AJ24" i="354"/>
  <c r="AK24" i="354"/>
  <c r="AK9" i="354"/>
  <c r="AJ9" i="354"/>
  <c r="AK36" i="354"/>
  <c r="AJ36" i="354"/>
  <c r="AK39" i="354"/>
  <c r="AJ39" i="354"/>
  <c r="AK45" i="354"/>
  <c r="AJ45" i="354"/>
  <c r="AK23" i="354"/>
  <c r="AJ23" i="354"/>
  <c r="AJ40" i="354"/>
  <c r="AK40" i="354"/>
  <c r="AG20" i="354"/>
  <c r="AF20" i="354"/>
  <c r="AG15" i="354"/>
  <c r="AF15" i="354"/>
  <c r="AG16" i="354"/>
  <c r="AF16" i="354"/>
  <c r="AG44" i="354"/>
  <c r="AF44" i="354"/>
  <c r="AG52" i="354"/>
  <c r="AF52" i="354"/>
  <c r="AG21" i="354"/>
  <c r="AF21" i="354"/>
  <c r="AG9" i="354"/>
  <c r="AF9" i="354"/>
  <c r="AG23" i="354"/>
  <c r="AF23" i="354"/>
  <c r="AG51" i="354"/>
  <c r="AF51" i="354"/>
  <c r="AG22" i="354"/>
  <c r="AF22" i="354"/>
  <c r="AF42" i="354"/>
  <c r="AG42" i="354"/>
  <c r="AF37" i="354"/>
  <c r="AG37" i="354"/>
  <c r="AG17" i="354"/>
  <c r="AF17" i="354"/>
  <c r="AG38" i="354"/>
  <c r="AF38" i="354"/>
  <c r="AG19" i="354"/>
  <c r="AF19" i="354"/>
  <c r="AG35" i="354"/>
  <c r="AF35" i="354"/>
  <c r="AG27" i="354"/>
  <c r="AF27" i="354"/>
  <c r="AG36" i="354"/>
  <c r="AF36" i="354"/>
  <c r="AF18" i="354"/>
  <c r="AG18" i="354"/>
  <c r="AG41" i="354"/>
  <c r="AF41" i="354"/>
  <c r="AF13" i="354"/>
  <c r="AG13" i="354"/>
  <c r="AG31" i="354"/>
  <c r="AF31" i="354"/>
  <c r="AG33" i="354"/>
  <c r="AF33" i="354"/>
  <c r="AG14" i="354"/>
  <c r="AF14" i="354"/>
  <c r="AG39" i="354"/>
  <c r="AF39" i="354"/>
  <c r="AG49" i="354"/>
  <c r="AF49" i="354"/>
  <c r="AG12" i="354"/>
  <c r="AF12" i="354"/>
  <c r="AG40" i="354"/>
  <c r="AF40" i="354"/>
  <c r="AG11" i="354"/>
  <c r="AF11" i="354"/>
  <c r="AG30" i="354"/>
  <c r="AF30" i="354"/>
  <c r="AG43" i="354"/>
  <c r="AF43" i="354"/>
  <c r="AG46" i="354"/>
  <c r="AF46" i="354"/>
  <c r="AF45" i="354"/>
  <c r="AG45" i="354"/>
  <c r="AG48" i="354"/>
  <c r="AF48" i="354"/>
  <c r="AF10" i="354"/>
  <c r="AG10" i="354"/>
  <c r="AF50" i="354"/>
  <c r="AG50" i="354"/>
  <c r="AF26" i="354"/>
  <c r="AG26" i="354"/>
  <c r="AG28" i="354"/>
  <c r="AF28" i="354"/>
  <c r="AG24" i="354"/>
  <c r="AF24" i="354"/>
  <c r="AG25" i="354"/>
  <c r="AF25" i="354"/>
  <c r="AG47" i="354"/>
  <c r="AF47" i="354"/>
  <c r="AF29" i="354"/>
  <c r="AG29" i="354"/>
  <c r="AF34" i="354"/>
  <c r="AG34" i="354"/>
  <c r="AG32" i="354"/>
  <c r="AF32" i="354"/>
  <c r="AB10" i="354"/>
  <c r="AC10" i="354"/>
  <c r="AC41" i="354"/>
  <c r="AB41" i="354"/>
  <c r="AB43" i="354"/>
  <c r="AC43" i="354"/>
  <c r="AC28" i="354"/>
  <c r="AB28" i="354"/>
  <c r="AC30" i="354"/>
  <c r="AB30" i="354"/>
  <c r="AC21" i="354"/>
  <c r="AB21" i="354"/>
  <c r="AB50" i="354"/>
  <c r="AC50" i="354"/>
  <c r="AC31" i="354"/>
  <c r="AB31" i="354"/>
  <c r="AC29" i="354"/>
  <c r="AB29" i="354"/>
  <c r="AC23" i="354"/>
  <c r="AB23" i="354"/>
  <c r="AC14" i="354"/>
  <c r="AB14" i="354"/>
  <c r="AC25" i="354"/>
  <c r="AB25" i="354"/>
  <c r="AB19" i="354"/>
  <c r="AC19" i="354"/>
  <c r="AC22" i="354"/>
  <c r="AB22" i="354"/>
  <c r="AC20" i="354"/>
  <c r="AB20" i="354"/>
  <c r="AB35" i="354"/>
  <c r="AC35" i="354"/>
  <c r="AC9" i="354"/>
  <c r="AB9" i="354"/>
  <c r="AC17" i="354"/>
  <c r="AB17" i="354"/>
  <c r="AC32" i="354"/>
  <c r="AB32" i="354"/>
  <c r="AB51" i="354"/>
  <c r="AC51" i="354"/>
  <c r="AC12" i="354"/>
  <c r="AB12" i="354"/>
  <c r="AB27" i="354"/>
  <c r="AC27" i="354"/>
  <c r="AC46" i="354"/>
  <c r="AB46" i="354"/>
  <c r="AC52" i="354"/>
  <c r="AB52" i="354"/>
  <c r="AC37" i="354"/>
  <c r="AB37" i="354"/>
  <c r="AC24" i="354"/>
  <c r="AB24" i="354"/>
  <c r="AC36" i="354"/>
  <c r="AB36" i="354"/>
  <c r="AB45" i="354"/>
  <c r="AC45" i="354"/>
  <c r="AC33" i="354"/>
  <c r="AB33" i="354"/>
  <c r="AC40" i="354"/>
  <c r="AB40" i="354"/>
  <c r="AB26" i="354"/>
  <c r="AC26" i="354"/>
  <c r="AB11" i="354"/>
  <c r="AC11" i="354"/>
  <c r="AC38" i="354"/>
  <c r="AB38" i="354"/>
  <c r="AC47" i="354"/>
  <c r="AB47" i="354"/>
  <c r="AC39" i="354"/>
  <c r="AB39" i="354"/>
  <c r="AB34" i="354"/>
  <c r="AC34" i="354"/>
  <c r="AC49" i="354"/>
  <c r="AB49" i="354"/>
  <c r="AB18" i="354"/>
  <c r="AC18" i="354"/>
  <c r="AC15" i="354"/>
  <c r="AB15" i="354"/>
  <c r="AC16" i="354"/>
  <c r="AB16" i="354"/>
  <c r="AC44" i="354"/>
  <c r="AB44" i="354"/>
  <c r="AC13" i="354"/>
  <c r="AB13" i="354"/>
  <c r="AB42" i="354"/>
  <c r="AC42" i="354"/>
  <c r="AC48" i="354"/>
  <c r="AB48" i="354"/>
  <c r="Y11" i="354"/>
  <c r="X11" i="354"/>
  <c r="X9" i="354"/>
  <c r="Y9" i="354"/>
  <c r="Y38" i="354"/>
  <c r="X38" i="354"/>
  <c r="Y47" i="354"/>
  <c r="X47" i="354"/>
  <c r="Y21" i="354"/>
  <c r="X21" i="354"/>
  <c r="X27" i="354"/>
  <c r="Y27" i="354"/>
  <c r="Y14" i="354"/>
  <c r="X14" i="354"/>
  <c r="X10" i="354"/>
  <c r="Y10" i="354"/>
  <c r="Y28" i="354"/>
  <c r="X28" i="354"/>
  <c r="Y25" i="354"/>
  <c r="X25" i="354"/>
  <c r="X18" i="354"/>
  <c r="Y18" i="354"/>
  <c r="Y30" i="354"/>
  <c r="X30" i="354"/>
  <c r="X16" i="354"/>
  <c r="Y16" i="354"/>
  <c r="Y44" i="354"/>
  <c r="X44" i="354"/>
  <c r="Y23" i="354"/>
  <c r="X23" i="354"/>
  <c r="Y48" i="354"/>
  <c r="X48" i="354"/>
  <c r="X26" i="354"/>
  <c r="Y26" i="354"/>
  <c r="X34" i="354"/>
  <c r="Y34" i="354"/>
  <c r="Y39" i="354"/>
  <c r="X39" i="354"/>
  <c r="X24" i="354"/>
  <c r="Y24" i="354"/>
  <c r="Y29" i="354"/>
  <c r="X29" i="354"/>
  <c r="X50" i="354"/>
  <c r="Y50" i="354"/>
  <c r="Y20" i="354"/>
  <c r="X20" i="354"/>
  <c r="X42" i="354"/>
  <c r="Y42" i="354"/>
  <c r="Y12" i="354"/>
  <c r="X12" i="354"/>
  <c r="Y17" i="354"/>
  <c r="X17" i="354"/>
  <c r="Y32" i="354"/>
  <c r="X32" i="354"/>
  <c r="Y19" i="354"/>
  <c r="X19" i="354"/>
  <c r="X41" i="354"/>
  <c r="Y41" i="354"/>
  <c r="Y51" i="354"/>
  <c r="X51" i="354"/>
  <c r="Y13" i="354"/>
  <c r="X13" i="354"/>
  <c r="Y46" i="354"/>
  <c r="X46" i="354"/>
  <c r="Y31" i="354"/>
  <c r="X31" i="354"/>
  <c r="Y45" i="354"/>
  <c r="X45" i="354"/>
  <c r="Y40" i="354"/>
  <c r="X40" i="354"/>
  <c r="Y36" i="354"/>
  <c r="X36" i="354"/>
  <c r="Y43" i="354"/>
  <c r="X43" i="354"/>
  <c r="Y15" i="354"/>
  <c r="X15" i="354"/>
  <c r="Y22" i="354"/>
  <c r="X22" i="354"/>
  <c r="Y52" i="354"/>
  <c r="X52" i="354"/>
  <c r="X49" i="354"/>
  <c r="Y49" i="354"/>
  <c r="X33" i="354"/>
  <c r="Y33" i="354"/>
  <c r="Y35" i="354"/>
  <c r="X35" i="354"/>
  <c r="Y37" i="354"/>
  <c r="X37" i="354"/>
  <c r="N14" i="354"/>
  <c r="R14" i="354" s="1"/>
  <c r="V14" i="354" s="1"/>
  <c r="Z14" i="354" s="1"/>
  <c r="AD14" i="354" s="1"/>
  <c r="AH14" i="354" s="1"/>
  <c r="AL14" i="354" s="1"/>
  <c r="AP14" i="354" s="1"/>
  <c r="AT14" i="354" s="1"/>
  <c r="AX14" i="354" s="1"/>
  <c r="BB14" i="354" s="1"/>
  <c r="BF14" i="354" s="1"/>
  <c r="Q41" i="354"/>
  <c r="P41" i="354"/>
  <c r="Q12" i="354"/>
  <c r="P12" i="354"/>
  <c r="Q28" i="354"/>
  <c r="P28" i="354"/>
  <c r="N11" i="354"/>
  <c r="R11" i="354" s="1"/>
  <c r="Q29" i="354"/>
  <c r="P29" i="354"/>
  <c r="P13" i="354"/>
  <c r="Q13" i="354"/>
  <c r="Q49" i="354"/>
  <c r="P49" i="354"/>
  <c r="P42" i="354"/>
  <c r="Q42" i="354"/>
  <c r="Q48" i="354"/>
  <c r="P48" i="354"/>
  <c r="Q40" i="354"/>
  <c r="P40" i="354"/>
  <c r="Q17" i="354"/>
  <c r="P17" i="354"/>
  <c r="P10" i="354"/>
  <c r="Q10" i="354"/>
  <c r="Q45" i="354"/>
  <c r="P45" i="354"/>
  <c r="Q52" i="354"/>
  <c r="P52" i="354"/>
  <c r="Q37" i="354"/>
  <c r="P37" i="354"/>
  <c r="Q24" i="354"/>
  <c r="P24" i="354"/>
  <c r="Q44" i="354"/>
  <c r="P44" i="354"/>
  <c r="Q31" i="354"/>
  <c r="P31" i="354"/>
  <c r="Q27" i="354"/>
  <c r="P27" i="354"/>
  <c r="Q46" i="354"/>
  <c r="P46" i="354"/>
  <c r="Q47" i="354"/>
  <c r="P47" i="354"/>
  <c r="Q43" i="354"/>
  <c r="P43" i="354"/>
  <c r="N13" i="354"/>
  <c r="R13" i="354" s="1"/>
  <c r="P34" i="354"/>
  <c r="Q34" i="354"/>
  <c r="N20" i="354"/>
  <c r="R20" i="354" s="1"/>
  <c r="V20" i="354" s="1"/>
  <c r="Z20" i="354" s="1"/>
  <c r="AD20" i="354" s="1"/>
  <c r="AH20" i="354" s="1"/>
  <c r="AL20" i="354" s="1"/>
  <c r="AP20" i="354" s="1"/>
  <c r="AT20" i="354" s="1"/>
  <c r="AX20" i="354" s="1"/>
  <c r="BB20" i="354" s="1"/>
  <c r="BF20" i="354" s="1"/>
  <c r="Q23" i="354"/>
  <c r="P23" i="354"/>
  <c r="N48" i="354"/>
  <c r="R48" i="354" s="1"/>
  <c r="N9" i="354"/>
  <c r="R9" i="354" s="1"/>
  <c r="V9" i="354" s="1"/>
  <c r="Z9" i="354" s="1"/>
  <c r="AD9" i="354" s="1"/>
  <c r="AH9" i="354" s="1"/>
  <c r="AL9" i="354" s="1"/>
  <c r="AP9" i="354" s="1"/>
  <c r="AT9" i="354" s="1"/>
  <c r="AX9" i="354" s="1"/>
  <c r="BB9" i="354" s="1"/>
  <c r="BF9" i="354" s="1"/>
  <c r="P51" i="354"/>
  <c r="Q51" i="354"/>
  <c r="Q36" i="354"/>
  <c r="P36" i="354"/>
  <c r="P22" i="354"/>
  <c r="Q22" i="354"/>
  <c r="Q20" i="354"/>
  <c r="P20" i="354"/>
  <c r="P14" i="354"/>
  <c r="Q14" i="354"/>
  <c r="N37" i="354"/>
  <c r="R37" i="354" s="1"/>
  <c r="N27" i="354"/>
  <c r="R27" i="354" s="1"/>
  <c r="V27" i="354" s="1"/>
  <c r="Z27" i="354" s="1"/>
  <c r="AD27" i="354" s="1"/>
  <c r="AH27" i="354" s="1"/>
  <c r="AL27" i="354" s="1"/>
  <c r="AP27" i="354" s="1"/>
  <c r="AT27" i="354" s="1"/>
  <c r="AX27" i="354" s="1"/>
  <c r="BB27" i="354" s="1"/>
  <c r="BF27" i="354" s="1"/>
  <c r="Q32" i="354"/>
  <c r="P32" i="354"/>
  <c r="P38" i="354"/>
  <c r="Q38" i="354"/>
  <c r="P18" i="354"/>
  <c r="Q18" i="354"/>
  <c r="Q33" i="354"/>
  <c r="P33" i="354"/>
  <c r="P26" i="354"/>
  <c r="Q26" i="354"/>
  <c r="P35" i="354"/>
  <c r="Q35" i="354"/>
  <c r="Q9" i="354"/>
  <c r="P9" i="354"/>
  <c r="Q25" i="354"/>
  <c r="P25" i="354"/>
  <c r="Q15" i="354"/>
  <c r="P15" i="354"/>
  <c r="P11" i="354"/>
  <c r="Q11" i="354"/>
  <c r="P30" i="354"/>
  <c r="Q30" i="354"/>
  <c r="Q21" i="354"/>
  <c r="P21" i="354"/>
  <c r="P50" i="354"/>
  <c r="Q50" i="354"/>
  <c r="Q19" i="354"/>
  <c r="P19" i="354"/>
  <c r="Q39" i="354"/>
  <c r="P39" i="354"/>
  <c r="Q16" i="354"/>
  <c r="P16" i="354"/>
  <c r="M44" i="354"/>
  <c r="L44" i="354"/>
  <c r="L48" i="354"/>
  <c r="M48" i="354"/>
  <c r="M27" i="354"/>
  <c r="L27" i="354"/>
  <c r="N26" i="354"/>
  <c r="R26" i="354" s="1"/>
  <c r="V26" i="354" s="1"/>
  <c r="Z26" i="354" s="1"/>
  <c r="AD26" i="354" s="1"/>
  <c r="AH26" i="354" s="1"/>
  <c r="AL26" i="354" s="1"/>
  <c r="AP26" i="354" s="1"/>
  <c r="AT26" i="354" s="1"/>
  <c r="AX26" i="354" s="1"/>
  <c r="BB26" i="354" s="1"/>
  <c r="BF26" i="354" s="1"/>
  <c r="M38" i="354"/>
  <c r="L38" i="354"/>
  <c r="N31" i="354"/>
  <c r="R31" i="354" s="1"/>
  <c r="V31" i="354" s="1"/>
  <c r="Z31" i="354" s="1"/>
  <c r="AD31" i="354" s="1"/>
  <c r="AH31" i="354" s="1"/>
  <c r="AL31" i="354" s="1"/>
  <c r="AP31" i="354" s="1"/>
  <c r="AT31" i="354" s="1"/>
  <c r="AX31" i="354" s="1"/>
  <c r="BB31" i="354" s="1"/>
  <c r="BF31" i="354" s="1"/>
  <c r="L49" i="354"/>
  <c r="M49" i="354"/>
  <c r="L42" i="354"/>
  <c r="M42" i="354"/>
  <c r="M9" i="354"/>
  <c r="L9" i="354"/>
  <c r="L32" i="354"/>
  <c r="M32" i="354"/>
  <c r="N36" i="354"/>
  <c r="R36" i="354" s="1"/>
  <c r="V36" i="354" s="1"/>
  <c r="Z36" i="354" s="1"/>
  <c r="AD36" i="354" s="1"/>
  <c r="AH36" i="354" s="1"/>
  <c r="AL36" i="354" s="1"/>
  <c r="AP36" i="354" s="1"/>
  <c r="AT36" i="354" s="1"/>
  <c r="AX36" i="354" s="1"/>
  <c r="BB36" i="354" s="1"/>
  <c r="BF36" i="354" s="1"/>
  <c r="N25" i="354"/>
  <c r="R25" i="354" s="1"/>
  <c r="V25" i="354" s="1"/>
  <c r="Z25" i="354" s="1"/>
  <c r="AD25" i="354" s="1"/>
  <c r="AH25" i="354" s="1"/>
  <c r="AL25" i="354" s="1"/>
  <c r="AP25" i="354" s="1"/>
  <c r="AT25" i="354" s="1"/>
  <c r="AX25" i="354" s="1"/>
  <c r="BB25" i="354" s="1"/>
  <c r="BF25" i="354" s="1"/>
  <c r="N18" i="354"/>
  <c r="R18" i="354" s="1"/>
  <c r="N41" i="354"/>
  <c r="R41" i="354" s="1"/>
  <c r="N19" i="354"/>
  <c r="R19" i="354" s="1"/>
  <c r="V19" i="354" s="1"/>
  <c r="Z19" i="354" s="1"/>
  <c r="AD19" i="354" s="1"/>
  <c r="AH19" i="354" s="1"/>
  <c r="AL19" i="354" s="1"/>
  <c r="AP19" i="354" s="1"/>
  <c r="AT19" i="354" s="1"/>
  <c r="AX19" i="354" s="1"/>
  <c r="BB19" i="354" s="1"/>
  <c r="BF19" i="354" s="1"/>
  <c r="N22" i="354"/>
  <c r="M45" i="354"/>
  <c r="L45" i="354"/>
  <c r="N12" i="354"/>
  <c r="R12" i="354" s="1"/>
  <c r="V12" i="354" s="1"/>
  <c r="Z12" i="354" s="1"/>
  <c r="AD12" i="354" s="1"/>
  <c r="AH12" i="354" s="1"/>
  <c r="AL12" i="354" s="1"/>
  <c r="AP12" i="354" s="1"/>
  <c r="AT12" i="354" s="1"/>
  <c r="AX12" i="354" s="1"/>
  <c r="BB12" i="354" s="1"/>
  <c r="BF12" i="354" s="1"/>
  <c r="M35" i="354"/>
  <c r="L35" i="354"/>
  <c r="N17" i="354"/>
  <c r="R17" i="354" s="1"/>
  <c r="N10" i="354"/>
  <c r="R10" i="354" s="1"/>
  <c r="N32" i="354"/>
  <c r="M24" i="354"/>
  <c r="L24" i="354"/>
  <c r="L50" i="354"/>
  <c r="M50" i="354"/>
  <c r="M51" i="354"/>
  <c r="L51" i="354"/>
  <c r="M46" i="354"/>
  <c r="L46" i="354"/>
  <c r="M31" i="354"/>
  <c r="L31" i="354"/>
  <c r="N15" i="354"/>
  <c r="R15" i="354" s="1"/>
  <c r="N38" i="354"/>
  <c r="R38" i="354" s="1"/>
  <c r="L18" i="354"/>
  <c r="M18" i="354"/>
  <c r="N47" i="354"/>
  <c r="R47" i="354" s="1"/>
  <c r="L29" i="354"/>
  <c r="M29" i="354"/>
  <c r="N50" i="354"/>
  <c r="R50" i="354" s="1"/>
  <c r="N39" i="354"/>
  <c r="R39" i="354" s="1"/>
  <c r="L16" i="354"/>
  <c r="M16" i="354"/>
  <c r="M13" i="354"/>
  <c r="L13" i="354"/>
  <c r="N40" i="354"/>
  <c r="R40" i="354" s="1"/>
  <c r="V40" i="354" s="1"/>
  <c r="Z40" i="354" s="1"/>
  <c r="AD40" i="354" s="1"/>
  <c r="AH40" i="354" s="1"/>
  <c r="AL40" i="354" s="1"/>
  <c r="AP40" i="354" s="1"/>
  <c r="AT40" i="354" s="1"/>
  <c r="AX40" i="354" s="1"/>
  <c r="BB40" i="354" s="1"/>
  <c r="BF40" i="354" s="1"/>
  <c r="L10" i="354"/>
  <c r="M10" i="354"/>
  <c r="M11" i="354"/>
  <c r="L11" i="354"/>
  <c r="M37" i="354"/>
  <c r="L37" i="354"/>
  <c r="M15" i="354"/>
  <c r="L15" i="354"/>
  <c r="M47" i="354"/>
  <c r="L47" i="354"/>
  <c r="L30" i="354"/>
  <c r="M30" i="354"/>
  <c r="M21" i="354"/>
  <c r="L21" i="354"/>
  <c r="N29" i="354"/>
  <c r="R29" i="354" s="1"/>
  <c r="M41" i="354"/>
  <c r="L41" i="354"/>
  <c r="M43" i="354"/>
  <c r="L43" i="354"/>
  <c r="N51" i="354"/>
  <c r="R51" i="354" s="1"/>
  <c r="M39" i="354"/>
  <c r="L39" i="354"/>
  <c r="N46" i="354"/>
  <c r="R46" i="354" s="1"/>
  <c r="L34" i="354"/>
  <c r="M34" i="354"/>
  <c r="M23" i="354"/>
  <c r="L23" i="354"/>
  <c r="N24" i="354"/>
  <c r="M19" i="354"/>
  <c r="L19" i="354"/>
  <c r="L20" i="354"/>
  <c r="M20" i="354"/>
  <c r="M17" i="354"/>
  <c r="L17" i="354"/>
  <c r="M28" i="354"/>
  <c r="L28" i="354"/>
  <c r="L26" i="354"/>
  <c r="M26" i="354"/>
  <c r="M25" i="354"/>
  <c r="L25" i="354"/>
  <c r="N21" i="354"/>
  <c r="R21" i="354" s="1"/>
  <c r="N44" i="354"/>
  <c r="R44" i="354" s="1"/>
  <c r="L52" i="354"/>
  <c r="M52" i="354"/>
  <c r="M33" i="354"/>
  <c r="L33" i="354"/>
  <c r="N42" i="354"/>
  <c r="R42" i="354" s="1"/>
  <c r="M14" i="354"/>
  <c r="L14" i="354"/>
  <c r="L36" i="354"/>
  <c r="M36" i="354"/>
  <c r="M22" i="354"/>
  <c r="L22" i="354"/>
  <c r="N45" i="354"/>
  <c r="R45" i="354" s="1"/>
  <c r="N33" i="354"/>
  <c r="R33" i="354" s="1"/>
  <c r="V33" i="354" s="1"/>
  <c r="Z33" i="354" s="1"/>
  <c r="AD33" i="354" s="1"/>
  <c r="AH33" i="354" s="1"/>
  <c r="AL33" i="354" s="1"/>
  <c r="AP33" i="354" s="1"/>
  <c r="AT33" i="354" s="1"/>
  <c r="AX33" i="354" s="1"/>
  <c r="BB33" i="354" s="1"/>
  <c r="BF33" i="354" s="1"/>
  <c r="M12" i="354"/>
  <c r="L12" i="354"/>
  <c r="M40" i="354"/>
  <c r="L40" i="354"/>
  <c r="I36" i="354"/>
  <c r="H36" i="354"/>
  <c r="I11" i="354"/>
  <c r="H11" i="354"/>
  <c r="H25" i="354"/>
  <c r="I25" i="354"/>
  <c r="H18" i="354"/>
  <c r="I18" i="354"/>
  <c r="H41" i="354"/>
  <c r="I41" i="354"/>
  <c r="I43" i="354"/>
  <c r="H43" i="354"/>
  <c r="I19" i="354"/>
  <c r="H19" i="354"/>
  <c r="I22" i="354"/>
  <c r="H22" i="354"/>
  <c r="I52" i="354"/>
  <c r="H52" i="354"/>
  <c r="I12" i="354"/>
  <c r="H12" i="354"/>
  <c r="H17" i="354"/>
  <c r="I17" i="354"/>
  <c r="H10" i="354"/>
  <c r="I10" i="354"/>
  <c r="H32" i="354"/>
  <c r="I32" i="354"/>
  <c r="H16" i="354"/>
  <c r="I16" i="354"/>
  <c r="I23" i="354"/>
  <c r="H23" i="354"/>
  <c r="I15" i="354"/>
  <c r="H15" i="354"/>
  <c r="I38" i="354"/>
  <c r="H38" i="354"/>
  <c r="I47" i="354"/>
  <c r="H47" i="354"/>
  <c r="H50" i="354"/>
  <c r="I50" i="354"/>
  <c r="I39" i="354"/>
  <c r="H39" i="354"/>
  <c r="H40" i="354"/>
  <c r="I40" i="354"/>
  <c r="I30" i="354"/>
  <c r="H30" i="354"/>
  <c r="H34" i="354"/>
  <c r="I34" i="354"/>
  <c r="H13" i="354"/>
  <c r="I13" i="354"/>
  <c r="I20" i="354"/>
  <c r="H20" i="354"/>
  <c r="I45" i="354"/>
  <c r="H45" i="354"/>
  <c r="I14" i="354"/>
  <c r="H14" i="354"/>
  <c r="H48" i="354"/>
  <c r="I48" i="354"/>
  <c r="H9" i="354"/>
  <c r="I9" i="354"/>
  <c r="H24" i="354"/>
  <c r="I24" i="354"/>
  <c r="H29" i="354"/>
  <c r="I29" i="354"/>
  <c r="I51" i="354"/>
  <c r="H51" i="354"/>
  <c r="I46" i="354"/>
  <c r="H46" i="354"/>
  <c r="H37" i="354"/>
  <c r="I37" i="354"/>
  <c r="I27" i="354"/>
  <c r="H27" i="354"/>
  <c r="I28" i="354"/>
  <c r="H28" i="354"/>
  <c r="H26" i="354"/>
  <c r="I26" i="354"/>
  <c r="H21" i="354"/>
  <c r="I21" i="354"/>
  <c r="I44" i="354"/>
  <c r="H44" i="354"/>
  <c r="H42" i="354"/>
  <c r="I42" i="354"/>
  <c r="I35" i="354"/>
  <c r="H35" i="354"/>
  <c r="I31" i="354"/>
  <c r="H31" i="354"/>
  <c r="H49" i="354"/>
  <c r="I49" i="354"/>
  <c r="I33" i="354"/>
  <c r="H33" i="354"/>
  <c r="E24" i="354"/>
  <c r="D24" i="354"/>
  <c r="E36" i="354"/>
  <c r="D36" i="354"/>
  <c r="E22" i="354"/>
  <c r="D22" i="354"/>
  <c r="E31" i="354"/>
  <c r="D31" i="354"/>
  <c r="E21" i="354"/>
  <c r="D21" i="354"/>
  <c r="E41" i="354"/>
  <c r="D41" i="354"/>
  <c r="E44" i="354"/>
  <c r="D44" i="354"/>
  <c r="E45" i="354"/>
  <c r="D45" i="354"/>
  <c r="D42" i="354"/>
  <c r="E42" i="354"/>
  <c r="E12" i="354"/>
  <c r="D12" i="354"/>
  <c r="E17" i="354"/>
  <c r="D17" i="354"/>
  <c r="D10" i="354"/>
  <c r="E10" i="354"/>
  <c r="D26" i="354"/>
  <c r="E26" i="354"/>
  <c r="E29" i="354"/>
  <c r="D29" i="354"/>
  <c r="D11" i="354"/>
  <c r="E11" i="354"/>
  <c r="E52" i="354"/>
  <c r="D52" i="354"/>
  <c r="E14" i="354"/>
  <c r="D14" i="354"/>
  <c r="E15" i="354"/>
  <c r="D15" i="354"/>
  <c r="E46" i="354"/>
  <c r="D46" i="354"/>
  <c r="E20" i="354"/>
  <c r="D20" i="354"/>
  <c r="E33" i="354"/>
  <c r="D33" i="354"/>
  <c r="D40" i="354"/>
  <c r="E40" i="354"/>
  <c r="E47" i="354"/>
  <c r="D47" i="354"/>
  <c r="E19" i="354"/>
  <c r="D19" i="354"/>
  <c r="E51" i="354"/>
  <c r="D51" i="354"/>
  <c r="D16" i="354"/>
  <c r="E16" i="354"/>
  <c r="D35" i="354"/>
  <c r="E35" i="354"/>
  <c r="D32" i="354"/>
  <c r="E32" i="354"/>
  <c r="E39" i="354"/>
  <c r="D39" i="354"/>
  <c r="E48" i="354"/>
  <c r="D48" i="354"/>
  <c r="E38" i="354"/>
  <c r="D38" i="354"/>
  <c r="E13" i="354"/>
  <c r="D13" i="354"/>
  <c r="E25" i="354"/>
  <c r="D25" i="354"/>
  <c r="E30" i="354"/>
  <c r="D30" i="354"/>
  <c r="D34" i="354"/>
  <c r="E34" i="354"/>
  <c r="D50" i="354"/>
  <c r="E50" i="354"/>
  <c r="D43" i="354"/>
  <c r="E43" i="354"/>
  <c r="E23" i="354"/>
  <c r="D23" i="354"/>
  <c r="D27" i="354"/>
  <c r="E27" i="354"/>
  <c r="E28" i="354"/>
  <c r="D28" i="354"/>
  <c r="D18" i="354"/>
  <c r="E18" i="354"/>
  <c r="E49" i="354"/>
  <c r="D49" i="354"/>
  <c r="E37" i="354"/>
  <c r="D37" i="354"/>
  <c r="E9" i="354"/>
  <c r="D9" i="354"/>
  <c r="T44" i="354"/>
  <c r="U44" i="354"/>
  <c r="U24" i="354"/>
  <c r="T24" i="354"/>
  <c r="T15" i="354"/>
  <c r="U15" i="354"/>
  <c r="T26" i="354"/>
  <c r="U26" i="354"/>
  <c r="T29" i="354"/>
  <c r="U29" i="354"/>
  <c r="T49" i="354"/>
  <c r="U49" i="354"/>
  <c r="T37" i="354"/>
  <c r="U37" i="354"/>
  <c r="U16" i="354"/>
  <c r="T16" i="354"/>
  <c r="T34" i="354"/>
  <c r="U34" i="354"/>
  <c r="T19" i="354"/>
  <c r="U19" i="354"/>
  <c r="T45" i="354"/>
  <c r="U45" i="354"/>
  <c r="T35" i="354"/>
  <c r="U35" i="354"/>
  <c r="T47" i="354"/>
  <c r="U47" i="354"/>
  <c r="U46" i="354"/>
  <c r="T46" i="354"/>
  <c r="U32" i="354"/>
  <c r="T32" i="354"/>
  <c r="T25" i="354"/>
  <c r="U25" i="354"/>
  <c r="T42" i="354"/>
  <c r="U42" i="354"/>
  <c r="T12" i="354"/>
  <c r="U12" i="354"/>
  <c r="U40" i="354"/>
  <c r="T40" i="354"/>
  <c r="U11" i="354"/>
  <c r="T11" i="354"/>
  <c r="T50" i="354"/>
  <c r="U50" i="354"/>
  <c r="T31" i="354"/>
  <c r="U31" i="354"/>
  <c r="T10" i="354"/>
  <c r="U10" i="354"/>
  <c r="U38" i="354"/>
  <c r="T38" i="354"/>
  <c r="T18" i="354"/>
  <c r="U18" i="354"/>
  <c r="T21" i="354"/>
  <c r="U21" i="354"/>
  <c r="T41" i="354"/>
  <c r="U41" i="354"/>
  <c r="U51" i="354"/>
  <c r="T51" i="354"/>
  <c r="T39" i="354"/>
  <c r="U39" i="354"/>
  <c r="U22" i="354"/>
  <c r="T22" i="354"/>
  <c r="T20" i="354"/>
  <c r="U20" i="354"/>
  <c r="T33" i="354"/>
  <c r="U33" i="354"/>
  <c r="T23" i="354"/>
  <c r="U23" i="354"/>
  <c r="U14" i="354"/>
  <c r="T14" i="354"/>
  <c r="U48" i="354"/>
  <c r="T48" i="354"/>
  <c r="T17" i="354"/>
  <c r="U17" i="354"/>
  <c r="T28" i="354"/>
  <c r="U28" i="354"/>
  <c r="T52" i="354"/>
  <c r="U52" i="354"/>
  <c r="T36" i="354"/>
  <c r="U36" i="354"/>
  <c r="U30" i="354"/>
  <c r="T30" i="354"/>
  <c r="T43" i="354"/>
  <c r="U43" i="354"/>
  <c r="T13" i="354"/>
  <c r="U13" i="354"/>
  <c r="T9" i="354"/>
  <c r="U9" i="354"/>
  <c r="U27" i="354"/>
  <c r="T27" i="354"/>
  <c r="H113" i="794"/>
  <c r="F39" i="685"/>
  <c r="H74" i="794"/>
  <c r="H89" i="794"/>
  <c r="H90" i="794"/>
  <c r="H99" i="794"/>
  <c r="H114" i="794"/>
  <c r="H115" i="794"/>
  <c r="H75" i="794"/>
  <c r="H79" i="794"/>
  <c r="H109" i="794"/>
  <c r="H86" i="794"/>
  <c r="H92" i="794"/>
  <c r="H81" i="794"/>
  <c r="H94" i="794"/>
  <c r="H116" i="794"/>
  <c r="H84" i="794"/>
  <c r="H98" i="794"/>
  <c r="H102" i="794"/>
  <c r="H105" i="794"/>
  <c r="H73" i="794"/>
  <c r="H91" i="794"/>
  <c r="H87" i="794"/>
  <c r="H77" i="794"/>
  <c r="H97" i="794"/>
  <c r="E17" i="112"/>
  <c r="G17" i="112" s="1"/>
  <c r="B157" i="794" s="1"/>
  <c r="H76" i="794"/>
  <c r="H88" i="794"/>
  <c r="H107" i="794"/>
  <c r="H80" i="794"/>
  <c r="H100" i="794"/>
  <c r="H110" i="794"/>
  <c r="C10" i="727" a="1"/>
  <c r="C10" i="727" s="1"/>
  <c r="H93" i="794"/>
  <c r="C9" i="727" a="1"/>
  <c r="C9" i="727" s="1"/>
  <c r="H95" i="794"/>
  <c r="H104" i="794"/>
  <c r="H85" i="794"/>
  <c r="H111" i="794"/>
  <c r="C7" i="727" a="1"/>
  <c r="C7" i="727" s="1"/>
  <c r="H103" i="794"/>
  <c r="H106" i="794"/>
  <c r="H108" i="794"/>
  <c r="H78" i="794"/>
  <c r="C5" i="727" a="1"/>
  <c r="C5" i="727" s="1"/>
  <c r="C6" i="727" a="1"/>
  <c r="C6" i="727" s="1"/>
  <c r="H82" i="794"/>
  <c r="H101" i="794"/>
  <c r="C8" i="727" a="1"/>
  <c r="C8" i="727" s="1"/>
  <c r="H112" i="794"/>
  <c r="E71" i="529"/>
  <c r="E61" i="529"/>
  <c r="E65" i="529"/>
  <c r="E63" i="529"/>
  <c r="E62" i="529"/>
  <c r="E70" i="529"/>
  <c r="E67" i="529"/>
  <c r="E68" i="529"/>
  <c r="E64" i="529"/>
  <c r="E69" i="529"/>
  <c r="E66" i="529"/>
  <c r="GE10" i="227"/>
  <c r="FV10" i="227"/>
  <c r="FY10" i="227"/>
  <c r="FS10" i="227"/>
  <c r="GB10" i="227"/>
  <c r="G34" i="107"/>
  <c r="H34" i="107" s="1"/>
  <c r="I34" i="107" s="1"/>
  <c r="G64" i="688" l="1"/>
  <c r="F64" i="688"/>
  <c r="E64" i="688"/>
  <c r="D128" i="734"/>
  <c r="D112" i="734"/>
  <c r="D136" i="734"/>
  <c r="D125" i="734"/>
  <c r="D134" i="734"/>
  <c r="D126" i="734"/>
  <c r="D120" i="734"/>
  <c r="D127" i="734"/>
  <c r="D116" i="734"/>
  <c r="D130" i="734"/>
  <c r="D118" i="734"/>
  <c r="D131" i="734"/>
  <c r="D111" i="734"/>
  <c r="D133" i="734"/>
  <c r="D119" i="734"/>
  <c r="D129" i="734"/>
  <c r="D117" i="734"/>
  <c r="D132" i="734"/>
  <c r="D135" i="734"/>
  <c r="D115" i="734"/>
  <c r="D124" i="734"/>
  <c r="D121" i="734"/>
  <c r="D113" i="734"/>
  <c r="D114" i="734"/>
  <c r="W8" i="354"/>
  <c r="AA8" i="354"/>
  <c r="O8" i="354"/>
  <c r="S8" i="354"/>
  <c r="K8" i="354"/>
  <c r="G8" i="354"/>
  <c r="C8" i="354"/>
  <c r="R22" i="354"/>
  <c r="V22" i="354" s="1"/>
  <c r="V17" i="354"/>
  <c r="Z17" i="354" s="1"/>
  <c r="AD17" i="354" s="1"/>
  <c r="AH17" i="354" s="1"/>
  <c r="V41" i="354"/>
  <c r="V39" i="354"/>
  <c r="Z39" i="354" s="1"/>
  <c r="AD39" i="354" s="1"/>
  <c r="AH39" i="354" s="1"/>
  <c r="AL39" i="354" s="1"/>
  <c r="AP39" i="354" s="1"/>
  <c r="AT39" i="354" s="1"/>
  <c r="AX39" i="354" s="1"/>
  <c r="BB39" i="354" s="1"/>
  <c r="BF39" i="354" s="1"/>
  <c r="V15" i="354"/>
  <c r="V18" i="354"/>
  <c r="R24" i="354"/>
  <c r="V24" i="354" s="1"/>
  <c r="R32" i="354"/>
  <c r="V32" i="354" s="1"/>
  <c r="BG35" i="354"/>
  <c r="V37" i="354"/>
  <c r="V45" i="354"/>
  <c r="V44" i="354"/>
  <c r="V11" i="354"/>
  <c r="V43" i="354"/>
  <c r="V48" i="354"/>
  <c r="V13" i="354"/>
  <c r="V51" i="354"/>
  <c r="V50" i="354"/>
  <c r="V38" i="354"/>
  <c r="V16" i="354"/>
  <c r="V21" i="354"/>
  <c r="V23" i="354"/>
  <c r="V47" i="354"/>
  <c r="V46" i="354"/>
  <c r="V10" i="354"/>
  <c r="V42" i="354"/>
  <c r="V29" i="354"/>
  <c r="D7" i="727"/>
  <c r="F2" i="776" s="1"/>
  <c r="E7" i="727"/>
  <c r="F4" i="776" s="1"/>
  <c r="D9" i="727"/>
  <c r="F2" i="778" s="1"/>
  <c r="E9" i="727"/>
  <c r="F4" i="778" s="1"/>
  <c r="D6" i="727"/>
  <c r="E6" i="727"/>
  <c r="F4" i="775" s="1"/>
  <c r="F6" i="779"/>
  <c r="D10" i="727"/>
  <c r="F2" i="779" s="1"/>
  <c r="E10" i="727"/>
  <c r="F4" i="779" s="1"/>
  <c r="D8" i="727"/>
  <c r="F3" i="777" s="1"/>
  <c r="E8" i="727"/>
  <c r="F4" i="777" s="1"/>
  <c r="D5" i="727"/>
  <c r="F2" i="774" s="1"/>
  <c r="E5" i="727"/>
  <c r="F4" i="774" s="1"/>
  <c r="F9" i="727"/>
  <c r="F7" i="727"/>
  <c r="F5" i="727"/>
  <c r="AQ8" i="354"/>
  <c r="AU8" i="354"/>
  <c r="AI8" i="354"/>
  <c r="AY8" i="354"/>
  <c r="AM8" i="354"/>
  <c r="BC8" i="354"/>
  <c r="AE8" i="354"/>
  <c r="BG9" i="354"/>
  <c r="BG10" i="354"/>
  <c r="BG27" i="354"/>
  <c r="BG42" i="354"/>
  <c r="BG37" i="354"/>
  <c r="BG32" i="354"/>
  <c r="BG11" i="354"/>
  <c r="BG17" i="354"/>
  <c r="BG45" i="354"/>
  <c r="BG33" i="354"/>
  <c r="BG31" i="354"/>
  <c r="BG29" i="354"/>
  <c r="BG49" i="354"/>
  <c r="BG48" i="354"/>
  <c r="BG14" i="354"/>
  <c r="BG12" i="354"/>
  <c r="BG19" i="354"/>
  <c r="BG13" i="354"/>
  <c r="BG39" i="354"/>
  <c r="BG46" i="354"/>
  <c r="BG26" i="354"/>
  <c r="BG44" i="354"/>
  <c r="BG52" i="354"/>
  <c r="BG30" i="354"/>
  <c r="BG51" i="354"/>
  <c r="BG15" i="354"/>
  <c r="BG38" i="354"/>
  <c r="BG20" i="354"/>
  <c r="F10" i="727"/>
  <c r="BG25" i="354"/>
  <c r="BG36" i="354"/>
  <c r="F8" i="727"/>
  <c r="BG47" i="354"/>
  <c r="BG21" i="354"/>
  <c r="BG43" i="354"/>
  <c r="F6" i="777"/>
  <c r="BG34" i="354"/>
  <c r="BG41" i="354"/>
  <c r="BG50" i="354"/>
  <c r="BG28" i="354"/>
  <c r="F6" i="778"/>
  <c r="F6" i="776"/>
  <c r="F6" i="774"/>
  <c r="BG40" i="354"/>
  <c r="BG24" i="354"/>
  <c r="BG22" i="354"/>
  <c r="BG16" i="354"/>
  <c r="BG23" i="354"/>
  <c r="BG18" i="354"/>
  <c r="F6" i="775"/>
  <c r="F2347" i="857" s="1"/>
  <c r="F6" i="727"/>
  <c r="F3555" i="857" l="1"/>
  <c r="F3253" i="857"/>
  <c r="F2951" i="857"/>
  <c r="F2649" i="857"/>
  <c r="F2052" i="857"/>
  <c r="H8" i="354"/>
  <c r="F80" i="354" s="1"/>
  <c r="E80" i="354"/>
  <c r="E82" i="354" s="1"/>
  <c r="I8" i="354"/>
  <c r="M8" i="354"/>
  <c r="I80" i="354"/>
  <c r="L8" i="354"/>
  <c r="T8" i="354"/>
  <c r="Q80" i="354"/>
  <c r="Q82" i="354" s="1"/>
  <c r="U8" i="354"/>
  <c r="Q8" i="354"/>
  <c r="M80" i="354"/>
  <c r="M82" i="354" s="1"/>
  <c r="P8" i="354"/>
  <c r="Y80" i="354"/>
  <c r="Y82" i="354" s="1"/>
  <c r="AC8" i="354"/>
  <c r="AB8" i="354"/>
  <c r="U80" i="354"/>
  <c r="U82" i="354" s="1"/>
  <c r="X8" i="354"/>
  <c r="Y8" i="354"/>
  <c r="J8" i="354"/>
  <c r="E8" i="354"/>
  <c r="D8" i="354"/>
  <c r="C79" i="354" s="1"/>
  <c r="BD8" i="354"/>
  <c r="BE8" i="354"/>
  <c r="BA8" i="354"/>
  <c r="AZ8" i="354"/>
  <c r="AV8" i="354"/>
  <c r="AW8" i="354"/>
  <c r="AS8" i="354"/>
  <c r="AR8" i="354"/>
  <c r="AO8" i="354"/>
  <c r="AN8" i="354"/>
  <c r="AL17" i="354"/>
  <c r="AJ8" i="354"/>
  <c r="AK8" i="354"/>
  <c r="AG8" i="354"/>
  <c r="AF8" i="354"/>
  <c r="Z21" i="354"/>
  <c r="Z38" i="354"/>
  <c r="Z13" i="354"/>
  <c r="Z32" i="354"/>
  <c r="AD32" i="354" s="1"/>
  <c r="AH32" i="354" s="1"/>
  <c r="AL32" i="354" s="1"/>
  <c r="Z16" i="354"/>
  <c r="Z50" i="354"/>
  <c r="Z48" i="354"/>
  <c r="AD48" i="354" s="1"/>
  <c r="Z24" i="354"/>
  <c r="AD24" i="354" s="1"/>
  <c r="AH24" i="354" s="1"/>
  <c r="AL24" i="354" s="1"/>
  <c r="Z29" i="354"/>
  <c r="Z42" i="354"/>
  <c r="Z11" i="354"/>
  <c r="AD11" i="354" s="1"/>
  <c r="AH11" i="354" s="1"/>
  <c r="AL11" i="354" s="1"/>
  <c r="AP11" i="354" s="1"/>
  <c r="AT11" i="354" s="1"/>
  <c r="AX11" i="354" s="1"/>
  <c r="BB11" i="354" s="1"/>
  <c r="BF11" i="354" s="1"/>
  <c r="Z45" i="354"/>
  <c r="AD45" i="354" s="1"/>
  <c r="Z15" i="354"/>
  <c r="Z10" i="354"/>
  <c r="Z37" i="354"/>
  <c r="AD37" i="354" s="1"/>
  <c r="Z43" i="354"/>
  <c r="AD43" i="354" s="1"/>
  <c r="AH43" i="354" s="1"/>
  <c r="AL43" i="354" s="1"/>
  <c r="Z46" i="354"/>
  <c r="Z41" i="354"/>
  <c r="Z18" i="354"/>
  <c r="AD18" i="354" s="1"/>
  <c r="AH18" i="354" s="1"/>
  <c r="Z47" i="354"/>
  <c r="AD47" i="354" s="1"/>
  <c r="Z44" i="354"/>
  <c r="Z23" i="354"/>
  <c r="Z51" i="354"/>
  <c r="AD51" i="354" s="1"/>
  <c r="Z22" i="354"/>
  <c r="AD22" i="354" s="1"/>
  <c r="AH22" i="354" s="1"/>
  <c r="AL22" i="354" s="1"/>
  <c r="F2" i="777"/>
  <c r="BA80" i="354"/>
  <c r="BA82" i="354" s="1"/>
  <c r="AK80" i="354"/>
  <c r="AK82" i="354" s="1"/>
  <c r="AW80" i="354"/>
  <c r="AW82" i="354" s="1"/>
  <c r="AG80" i="354"/>
  <c r="AG82" i="354" s="1"/>
  <c r="AS80" i="354"/>
  <c r="AS82" i="354" s="1"/>
  <c r="AO80" i="354"/>
  <c r="AO82" i="354" s="1"/>
  <c r="AC80" i="354"/>
  <c r="AC82" i="354" s="1"/>
  <c r="E17" i="39"/>
  <c r="F3" i="778"/>
  <c r="F3" i="774"/>
  <c r="F3" i="779"/>
  <c r="F3" i="776"/>
  <c r="F2" i="775"/>
  <c r="F3" i="775"/>
  <c r="DB59" i="528"/>
  <c r="L91" i="774" l="1"/>
  <c r="L88" i="774"/>
  <c r="L96" i="774"/>
  <c r="L93" i="774"/>
  <c r="L90" i="774"/>
  <c r="L89" i="774"/>
  <c r="L87" i="774"/>
  <c r="L92" i="774"/>
  <c r="L95" i="774"/>
  <c r="L94" i="774"/>
  <c r="C80" i="354"/>
  <c r="C83" i="354" s="1"/>
  <c r="Z80" i="354"/>
  <c r="Z82" i="354" s="1"/>
  <c r="AA79" i="354"/>
  <c r="AA80" i="354" s="1"/>
  <c r="S79" i="354"/>
  <c r="S80" i="354" s="1"/>
  <c r="R80" i="354"/>
  <c r="R82" i="354" s="1"/>
  <c r="K79" i="354"/>
  <c r="K80" i="354" s="1"/>
  <c r="J80" i="354"/>
  <c r="I83" i="354"/>
  <c r="M83" i="354" s="1"/>
  <c r="Q83" i="354" s="1"/>
  <c r="U83" i="354" s="1"/>
  <c r="Y83" i="354" s="1"/>
  <c r="AC83" i="354" s="1"/>
  <c r="AG83" i="354" s="1"/>
  <c r="AK83" i="354" s="1"/>
  <c r="AO83" i="354" s="1"/>
  <c r="AS83" i="354" s="1"/>
  <c r="AW83" i="354" s="1"/>
  <c r="BA83" i="354" s="1"/>
  <c r="I82" i="354"/>
  <c r="N80" i="354"/>
  <c r="N82" i="354" s="1"/>
  <c r="O79" i="354"/>
  <c r="O80" i="354" s="1"/>
  <c r="V80" i="354"/>
  <c r="V82" i="354" s="1"/>
  <c r="W79" i="354"/>
  <c r="W80" i="354" s="1"/>
  <c r="G79" i="354"/>
  <c r="G80" i="354" s="1"/>
  <c r="N8" i="354"/>
  <c r="G81" i="354"/>
  <c r="H80" i="354"/>
  <c r="AP32" i="354"/>
  <c r="AP17" i="354"/>
  <c r="AP22" i="354"/>
  <c r="AP43" i="354"/>
  <c r="AP24" i="354"/>
  <c r="AT24" i="354" s="1"/>
  <c r="AL18" i="354"/>
  <c r="AH51" i="354"/>
  <c r="AH37" i="354"/>
  <c r="AH47" i="354"/>
  <c r="AH48" i="354"/>
  <c r="AL48" i="354" s="1"/>
  <c r="AH45" i="354"/>
  <c r="AD44" i="354"/>
  <c r="AD16" i="354"/>
  <c r="AD42" i="354"/>
  <c r="AD29" i="354"/>
  <c r="AD10" i="354"/>
  <c r="AD15" i="354"/>
  <c r="AD41" i="354"/>
  <c r="AD13" i="354"/>
  <c r="AD46" i="354"/>
  <c r="AD38" i="354"/>
  <c r="AD23" i="354"/>
  <c r="AD50" i="354"/>
  <c r="AD21" i="354"/>
  <c r="AP80" i="354"/>
  <c r="AP82" i="354" s="1"/>
  <c r="AQ79" i="354"/>
  <c r="AY79" i="354"/>
  <c r="AX80" i="354"/>
  <c r="AX82" i="354" s="1"/>
  <c r="AL80" i="354"/>
  <c r="AL82" i="354" s="1"/>
  <c r="AM79" i="354"/>
  <c r="AU79" i="354"/>
  <c r="AT80" i="354"/>
  <c r="AT82" i="354" s="1"/>
  <c r="BB80" i="354"/>
  <c r="BB82" i="354" s="1"/>
  <c r="BC79" i="354"/>
  <c r="AH80" i="354"/>
  <c r="AH82" i="354" s="1"/>
  <c r="AI79" i="354"/>
  <c r="AD80" i="354"/>
  <c r="AD82" i="354" s="1"/>
  <c r="AE79" i="354"/>
  <c r="F8" i="107"/>
  <c r="C35" i="794" s="1"/>
  <c r="C134" i="529"/>
  <c r="C136" i="529" s="1"/>
  <c r="I17" i="39"/>
  <c r="J8" i="107" s="1"/>
  <c r="DD61" i="528"/>
  <c r="K93" i="774" l="1"/>
  <c r="K92" i="774"/>
  <c r="K96" i="774"/>
  <c r="K87" i="774"/>
  <c r="K94" i="774"/>
  <c r="K89" i="774"/>
  <c r="K88" i="774"/>
  <c r="K90" i="774"/>
  <c r="K91" i="774"/>
  <c r="K95" i="774"/>
  <c r="G83" i="354"/>
  <c r="K83" i="354" s="1"/>
  <c r="O83" i="354" s="1"/>
  <c r="S83" i="354" s="1"/>
  <c r="W83" i="354" s="1"/>
  <c r="AA83" i="354" s="1"/>
  <c r="F82" i="354"/>
  <c r="G84" i="354"/>
  <c r="C25" i="112"/>
  <c r="C24" i="112"/>
  <c r="J83" i="354"/>
  <c r="N83" i="354" s="1"/>
  <c r="R83" i="354" s="1"/>
  <c r="V83" i="354" s="1"/>
  <c r="Z83" i="354" s="1"/>
  <c r="AD83" i="354" s="1"/>
  <c r="AH83" i="354" s="1"/>
  <c r="AL83" i="354" s="1"/>
  <c r="AP83" i="354" s="1"/>
  <c r="AT83" i="354" s="1"/>
  <c r="AX83" i="354" s="1"/>
  <c r="BB83" i="354" s="1"/>
  <c r="J82" i="354"/>
  <c r="H82" i="354"/>
  <c r="H83" i="354"/>
  <c r="R8" i="354"/>
  <c r="K81" i="354"/>
  <c r="L80" i="354"/>
  <c r="L82" i="354" s="1"/>
  <c r="AX24" i="354"/>
  <c r="AT43" i="354"/>
  <c r="AT22" i="354"/>
  <c r="AT17" i="354"/>
  <c r="AT32" i="354"/>
  <c r="AP48" i="354"/>
  <c r="AP18" i="354"/>
  <c r="AL37" i="354"/>
  <c r="AL47" i="354"/>
  <c r="AL51" i="354"/>
  <c r="AL45" i="354"/>
  <c r="AH29" i="354"/>
  <c r="AH46" i="354"/>
  <c r="AH44" i="354"/>
  <c r="AL44" i="354" s="1"/>
  <c r="AH50" i="354"/>
  <c r="AH38" i="354"/>
  <c r="AL38" i="354" s="1"/>
  <c r="AP38" i="354" s="1"/>
  <c r="AT38" i="354" s="1"/>
  <c r="AH13" i="354"/>
  <c r="AH23" i="354"/>
  <c r="AL23" i="354" s="1"/>
  <c r="AH16" i="354"/>
  <c r="AH41" i="354"/>
  <c r="AL41" i="354" s="1"/>
  <c r="AH15" i="354"/>
  <c r="AH42" i="354"/>
  <c r="AL42" i="354" s="1"/>
  <c r="AH21" i="354"/>
  <c r="AH10" i="354"/>
  <c r="AL10" i="354" s="1"/>
  <c r="G18" i="112"/>
  <c r="I27" i="685"/>
  <c r="E153" i="529"/>
  <c r="G49" i="868" s="1"/>
  <c r="E148" i="529"/>
  <c r="G44" i="868" s="1"/>
  <c r="E145" i="529"/>
  <c r="G41" i="868" s="1"/>
  <c r="E149" i="529"/>
  <c r="G45" i="868" s="1"/>
  <c r="E151" i="529"/>
  <c r="G47" i="868" s="1"/>
  <c r="E144" i="529"/>
  <c r="G40" i="868" s="1"/>
  <c r="E154" i="529"/>
  <c r="E150" i="529"/>
  <c r="G46" i="868" s="1"/>
  <c r="E140" i="529"/>
  <c r="G36" i="868" s="1"/>
  <c r="E142" i="529"/>
  <c r="G38" i="868" s="1"/>
  <c r="E146" i="529"/>
  <c r="G42" i="868" s="1"/>
  <c r="E139" i="529"/>
  <c r="G35" i="868" s="1"/>
  <c r="H35" i="868" s="1"/>
  <c r="E143" i="529"/>
  <c r="G39" i="868" s="1"/>
  <c r="E147" i="529"/>
  <c r="G43" i="868" s="1"/>
  <c r="E152" i="529"/>
  <c r="G48" i="868" s="1"/>
  <c r="E141" i="529"/>
  <c r="G37" i="868" s="1"/>
  <c r="DB32" i="528"/>
  <c r="DF32" i="528" s="1"/>
  <c r="N14" i="39" s="1"/>
  <c r="DB29" i="528"/>
  <c r="DB34" i="528"/>
  <c r="DF34" i="528" s="1"/>
  <c r="N16" i="39" s="1"/>
  <c r="DB30" i="528"/>
  <c r="DF30" i="528" s="1"/>
  <c r="N12" i="39" s="1"/>
  <c r="DB37" i="528"/>
  <c r="DF37" i="528" s="1"/>
  <c r="N19" i="39" s="1"/>
  <c r="DB36" i="528"/>
  <c r="DF36" i="528" s="1"/>
  <c r="N18" i="39" s="1"/>
  <c r="DB33" i="528"/>
  <c r="DF33" i="528" s="1"/>
  <c r="N15" i="39" s="1"/>
  <c r="DB31" i="528"/>
  <c r="DF31" i="528" s="1"/>
  <c r="N13" i="39" s="1"/>
  <c r="DB35" i="528"/>
  <c r="DF35" i="528" s="1"/>
  <c r="N17" i="39" s="1"/>
  <c r="B41" i="41"/>
  <c r="I5" i="727" l="1"/>
  <c r="H5" i="727"/>
  <c r="G5" i="727"/>
  <c r="AM80" i="354"/>
  <c r="K84" i="354"/>
  <c r="V8" i="354"/>
  <c r="O81" i="354"/>
  <c r="P80" i="354"/>
  <c r="P82" i="354" s="1"/>
  <c r="L83" i="354"/>
  <c r="BB24" i="354"/>
  <c r="BF24" i="354" s="1"/>
  <c r="AX32" i="354"/>
  <c r="AX17" i="354"/>
  <c r="AX22" i="354"/>
  <c r="AX43" i="354"/>
  <c r="AX38" i="354"/>
  <c r="AT18" i="354"/>
  <c r="AT48" i="354"/>
  <c r="AP10" i="354"/>
  <c r="AP51" i="354"/>
  <c r="AP47" i="354"/>
  <c r="AT47" i="354" s="1"/>
  <c r="AP42" i="354"/>
  <c r="AP37" i="354"/>
  <c r="AP44" i="354"/>
  <c r="AP41" i="354"/>
  <c r="AT41" i="354" s="1"/>
  <c r="AX41" i="354" s="1"/>
  <c r="AP23" i="354"/>
  <c r="AT23" i="354" s="1"/>
  <c r="AX23" i="354" s="1"/>
  <c r="AP45" i="354"/>
  <c r="AL16" i="354"/>
  <c r="AL21" i="354"/>
  <c r="AL29" i="354"/>
  <c r="AP29" i="354" s="1"/>
  <c r="AT29" i="354" s="1"/>
  <c r="AL15" i="354"/>
  <c r="AL50" i="354"/>
  <c r="AP50" i="354" s="1"/>
  <c r="AL13" i="354"/>
  <c r="AL46" i="354"/>
  <c r="AU80" i="354"/>
  <c r="AY80" i="354"/>
  <c r="BC80" i="354"/>
  <c r="AI80" i="354"/>
  <c r="AQ80" i="354"/>
  <c r="AE80" i="354"/>
  <c r="AE83" i="354" s="1"/>
  <c r="E18" i="112"/>
  <c r="B158" i="794"/>
  <c r="C51" i="868"/>
  <c r="F17" i="39"/>
  <c r="DF29" i="528"/>
  <c r="DB39" i="528"/>
  <c r="E201" i="529"/>
  <c r="E206" i="529"/>
  <c r="E199" i="529"/>
  <c r="E203" i="529"/>
  <c r="E200" i="529"/>
  <c r="E196" i="529"/>
  <c r="E210" i="529"/>
  <c r="E209" i="529"/>
  <c r="E204" i="529"/>
  <c r="E197" i="529"/>
  <c r="E202" i="529"/>
  <c r="E207" i="529"/>
  <c r="E205" i="529"/>
  <c r="E211" i="529"/>
  <c r="E198" i="529"/>
  <c r="E208" i="529"/>
  <c r="G30" i="107"/>
  <c r="G32" i="107"/>
  <c r="O84" i="354" l="1"/>
  <c r="P83" i="354"/>
  <c r="Z8" i="354"/>
  <c r="T80" i="354"/>
  <c r="T82" i="354" s="1"/>
  <c r="S81" i="354"/>
  <c r="BB38" i="354"/>
  <c r="BF38" i="354" s="1"/>
  <c r="BB43" i="354"/>
  <c r="BF43" i="354" s="1"/>
  <c r="BB22" i="354"/>
  <c r="BF22" i="354" s="1"/>
  <c r="BB17" i="354"/>
  <c r="BF17" i="354" s="1"/>
  <c r="BB23" i="354"/>
  <c r="BF23" i="354" s="1"/>
  <c r="BB32" i="354"/>
  <c r="BF32" i="354" s="1"/>
  <c r="BB41" i="354"/>
  <c r="BF41" i="354" s="1"/>
  <c r="AX29" i="354"/>
  <c r="AX48" i="354"/>
  <c r="AX18" i="354"/>
  <c r="AX47" i="354"/>
  <c r="AT50" i="354"/>
  <c r="AT51" i="354"/>
  <c r="AX51" i="354" s="1"/>
  <c r="AT10" i="354"/>
  <c r="AT44" i="354"/>
  <c r="AT37" i="354"/>
  <c r="AT42" i="354"/>
  <c r="AX42" i="354" s="1"/>
  <c r="AT45" i="354"/>
  <c r="AP46" i="354"/>
  <c r="AP21" i="354"/>
  <c r="AP13" i="354"/>
  <c r="AT13" i="354" s="1"/>
  <c r="AP16" i="354"/>
  <c r="AP15" i="354"/>
  <c r="AI83" i="354"/>
  <c r="AM83" i="354" s="1"/>
  <c r="AQ83" i="354" s="1"/>
  <c r="AU83" i="354" s="1"/>
  <c r="AY83" i="354" s="1"/>
  <c r="BC83" i="354" s="1"/>
  <c r="BG8" i="354"/>
  <c r="BE80" i="354" s="1"/>
  <c r="BE83" i="354" s="1"/>
  <c r="D18" i="112"/>
  <c r="DF39" i="528"/>
  <c r="N11" i="39"/>
  <c r="N21" i="39" s="1"/>
  <c r="H32" i="107"/>
  <c r="I32" i="107" s="1"/>
  <c r="H30" i="107"/>
  <c r="I30" i="107" s="1"/>
  <c r="S84" i="354" l="1"/>
  <c r="D25" i="112"/>
  <c r="D24" i="112"/>
  <c r="AD8" i="354"/>
  <c r="W81" i="354"/>
  <c r="X80" i="354"/>
  <c r="X82" i="354" s="1"/>
  <c r="T83" i="354"/>
  <c r="BB29" i="354"/>
  <c r="BF29" i="354" s="1"/>
  <c r="BB51" i="354"/>
  <c r="BF51" i="354" s="1"/>
  <c r="BB47" i="354"/>
  <c r="BF47" i="354" s="1"/>
  <c r="BB42" i="354"/>
  <c r="BF42" i="354" s="1"/>
  <c r="BB18" i="354"/>
  <c r="BF18" i="354" s="1"/>
  <c r="BB48" i="354"/>
  <c r="BF48" i="354" s="1"/>
  <c r="AX13" i="354"/>
  <c r="AX10" i="354"/>
  <c r="AX45" i="354"/>
  <c r="AX50" i="354"/>
  <c r="AX44" i="354"/>
  <c r="AX37" i="354"/>
  <c r="AT21" i="354"/>
  <c r="AT46" i="354"/>
  <c r="AT15" i="354"/>
  <c r="AT16" i="354"/>
  <c r="B8" i="37"/>
  <c r="W84" i="354" l="1"/>
  <c r="X83" i="354"/>
  <c r="AB80" i="354"/>
  <c r="AB82" i="354" s="1"/>
  <c r="AA81" i="354"/>
  <c r="AH8" i="354"/>
  <c r="BB37" i="354"/>
  <c r="BF37" i="354" s="1"/>
  <c r="BB44" i="354"/>
  <c r="BF44" i="354" s="1"/>
  <c r="BB10" i="354"/>
  <c r="BF10" i="354" s="1"/>
  <c r="BB50" i="354"/>
  <c r="BF50" i="354" s="1"/>
  <c r="BB13" i="354"/>
  <c r="BF13" i="354" s="1"/>
  <c r="BB45" i="354"/>
  <c r="BF45" i="354" s="1"/>
  <c r="AX16" i="354"/>
  <c r="AX15" i="354"/>
  <c r="AX46" i="354"/>
  <c r="BB46" i="354" s="1"/>
  <c r="BF46" i="354" s="1"/>
  <c r="AX21" i="354"/>
  <c r="AA84" i="354" l="1"/>
  <c r="AE81" i="354"/>
  <c r="AF80" i="354"/>
  <c r="AF82" i="354" s="1"/>
  <c r="AL8" i="354"/>
  <c r="AB83" i="354"/>
  <c r="BB15" i="354"/>
  <c r="BF15" i="354" s="1"/>
  <c r="BB16" i="354"/>
  <c r="BF16" i="354" s="1"/>
  <c r="BB21" i="354"/>
  <c r="BF21" i="354" s="1"/>
  <c r="F49" i="39"/>
  <c r="F54" i="39"/>
  <c r="P23" i="688" s="1"/>
  <c r="S23" i="688" s="1"/>
  <c r="F51" i="39"/>
  <c r="F48" i="39"/>
  <c r="G29" i="107"/>
  <c r="H29" i="107" s="1"/>
  <c r="I29" i="107" s="1"/>
  <c r="K7" i="107"/>
  <c r="K10" i="107"/>
  <c r="K6" i="107"/>
  <c r="K9" i="107"/>
  <c r="K5" i="107"/>
  <c r="G35" i="107"/>
  <c r="J17" i="41"/>
  <c r="K54" i="39"/>
  <c r="J54" i="39" s="1"/>
  <c r="AE84" i="354" l="1"/>
  <c r="AF83" i="354"/>
  <c r="AJ80" i="354"/>
  <c r="AJ82" i="354" s="1"/>
  <c r="AI81" i="354"/>
  <c r="AP8" i="354"/>
  <c r="K29" i="107"/>
  <c r="P20" i="688"/>
  <c r="S20" i="688" s="1"/>
  <c r="F55" i="39"/>
  <c r="K32" i="107"/>
  <c r="P22" i="688"/>
  <c r="S22" i="688" s="1"/>
  <c r="K30" i="107"/>
  <c r="P21" i="688"/>
  <c r="S21" i="688" s="1"/>
  <c r="J35" i="107"/>
  <c r="K35" i="107" s="1"/>
  <c r="V54" i="39"/>
  <c r="H35" i="107"/>
  <c r="I35" i="107" s="1"/>
  <c r="H54" i="39"/>
  <c r="J19" i="39" l="1"/>
  <c r="AI84" i="354"/>
  <c r="AT8" i="354"/>
  <c r="AM81" i="354"/>
  <c r="AN80" i="354"/>
  <c r="AN82" i="354" s="1"/>
  <c r="AJ83" i="354"/>
  <c r="C41" i="41" l="1"/>
  <c r="AM84" i="354"/>
  <c r="AN83" i="354"/>
  <c r="AX8" i="354"/>
  <c r="AR80" i="354"/>
  <c r="AR82" i="354" s="1"/>
  <c r="AQ81" i="354"/>
  <c r="AQ84" i="354" l="1"/>
  <c r="AR83" i="354"/>
  <c r="AU81" i="354"/>
  <c r="AV80" i="354"/>
  <c r="AV82" i="354" s="1"/>
  <c r="BB8" i="354"/>
  <c r="F26" i="39"/>
  <c r="H13" i="107" s="1"/>
  <c r="I13" i="107" s="1"/>
  <c r="F27" i="39"/>
  <c r="H14" i="107" s="1"/>
  <c r="I14" i="107" s="1"/>
  <c r="F24" i="39"/>
  <c r="H11" i="107" s="1"/>
  <c r="I11" i="107" s="1"/>
  <c r="F25" i="39"/>
  <c r="H12" i="107" s="1"/>
  <c r="I12" i="107" s="1"/>
  <c r="K8" i="107"/>
  <c r="F28" i="39"/>
  <c r="AX31" i="106"/>
  <c r="AX14" i="106"/>
  <c r="D77" i="774"/>
  <c r="O8" i="689" a="1"/>
  <c r="AV36" i="106"/>
  <c r="Z142" i="528"/>
  <c r="AV5" i="106"/>
  <c r="BA20" i="106"/>
  <c r="J76" i="847"/>
  <c r="O29" i="689" a="1"/>
  <c r="A7" i="774"/>
  <c r="BA14" i="106"/>
  <c r="BA37" i="106"/>
  <c r="G14" i="106"/>
  <c r="V7" i="106"/>
  <c r="D77" i="779"/>
  <c r="H24" i="106"/>
  <c r="I12" i="87"/>
  <c r="N44" i="106"/>
  <c r="AK43" i="106"/>
  <c r="B36" i="777"/>
  <c r="V44" i="106"/>
  <c r="B25" i="774"/>
  <c r="G33" i="99"/>
  <c r="M45" i="106"/>
  <c r="J37" i="106"/>
  <c r="AX15" i="106"/>
  <c r="N10" i="106"/>
  <c r="I5" i="106"/>
  <c r="AR62" i="106"/>
  <c r="D83" i="776"/>
  <c r="J74" i="849"/>
  <c r="K20" i="106"/>
  <c r="AX58" i="106"/>
  <c r="AR5" i="106"/>
  <c r="AX54" i="106"/>
  <c r="BA6" i="106"/>
  <c r="D4" i="853"/>
  <c r="B25" i="777"/>
  <c r="D85" i="776"/>
  <c r="L2" i="106"/>
  <c r="D44" i="774"/>
  <c r="W141" i="528"/>
  <c r="C15" i="528"/>
  <c r="G137" i="227"/>
  <c r="AX25" i="106"/>
  <c r="G66" i="227"/>
  <c r="G103" i="227"/>
  <c r="J16" i="106"/>
  <c r="BA3" i="106"/>
  <c r="N61" i="687"/>
  <c r="G24" i="227"/>
  <c r="O9" i="689" a="1"/>
  <c r="O34" i="106"/>
  <c r="P30" i="687"/>
  <c r="O36" i="106"/>
  <c r="G30" i="106"/>
  <c r="G13" i="106"/>
  <c r="O25" i="106"/>
  <c r="I16" i="106"/>
  <c r="AY36" i="106"/>
  <c r="V41" i="106"/>
  <c r="G58" i="227"/>
  <c r="B37" i="777"/>
  <c r="G94" i="227"/>
  <c r="AK31" i="106"/>
  <c r="D86" i="776"/>
  <c r="AK11" i="106"/>
  <c r="P9" i="106"/>
  <c r="BA30" i="106"/>
  <c r="D4" i="845"/>
  <c r="H40" i="106"/>
  <c r="AV27" i="106"/>
  <c r="BA22" i="106"/>
  <c r="L19" i="106"/>
  <c r="B19" i="777"/>
  <c r="G27" i="227"/>
  <c r="J10" i="106"/>
  <c r="G10" i="227"/>
  <c r="G11" i="106"/>
  <c r="K22" i="87"/>
  <c r="J43" i="106"/>
  <c r="AL34" i="106"/>
  <c r="AR31" i="106"/>
  <c r="AX30" i="106"/>
  <c r="AL20" i="106"/>
  <c r="AV43" i="106"/>
  <c r="P144" i="528"/>
  <c r="B37" i="775"/>
  <c r="G65" i="227"/>
  <c r="I15" i="528"/>
  <c r="M30" i="106"/>
  <c r="J37" i="99"/>
  <c r="D79" i="777"/>
  <c r="AR55" i="106"/>
  <c r="J34" i="106"/>
  <c r="P39" i="106"/>
  <c r="K16" i="106"/>
  <c r="N8" i="227"/>
  <c r="BA27" i="106"/>
  <c r="AL30" i="106"/>
  <c r="AR58" i="106"/>
  <c r="D78" i="779"/>
  <c r="O13" i="106"/>
  <c r="I9" i="106"/>
  <c r="G75" i="227"/>
  <c r="N4" i="106"/>
  <c r="D22" i="87"/>
  <c r="G3" i="106"/>
  <c r="K11" i="106"/>
  <c r="C16" i="528"/>
  <c r="I45" i="106"/>
  <c r="AY10" i="106"/>
  <c r="I25" i="106"/>
  <c r="G49" i="227"/>
  <c r="AV16" i="106"/>
  <c r="BB8" i="227"/>
  <c r="V33" i="106"/>
  <c r="B8" i="87"/>
  <c r="V45" i="106"/>
  <c r="N34" i="106"/>
  <c r="B35" i="775"/>
  <c r="FF8" i="227"/>
  <c r="J38" i="106"/>
  <c r="V36" i="106"/>
  <c r="H42" i="106"/>
  <c r="J8" i="227"/>
  <c r="L5" i="106"/>
  <c r="FB8" i="227"/>
  <c r="M34" i="687"/>
  <c r="D80" i="777"/>
  <c r="O31" i="106"/>
  <c r="G36" i="106"/>
  <c r="D12" i="87"/>
  <c r="G69" i="227"/>
  <c r="BA15" i="106"/>
  <c r="AR65" i="106"/>
  <c r="Y140" i="528"/>
  <c r="D16" i="845"/>
  <c r="N22" i="106"/>
  <c r="H30" i="687"/>
  <c r="D10" i="778"/>
  <c r="AR41" i="106"/>
  <c r="E33" i="687"/>
  <c r="R142" i="528"/>
  <c r="L12" i="87"/>
  <c r="B47" i="776"/>
  <c r="AK24" i="106"/>
  <c r="O40" i="106"/>
  <c r="G46" i="106"/>
  <c r="AT8" i="227"/>
  <c r="BA13" i="106"/>
  <c r="G24" i="106"/>
  <c r="Q140" i="528"/>
  <c r="G120" i="227"/>
  <c r="N41" i="106"/>
  <c r="BA11" i="106"/>
  <c r="G13" i="227"/>
  <c r="AX53" i="106"/>
  <c r="AY4" i="106"/>
  <c r="H6" i="106"/>
  <c r="P40" i="106"/>
  <c r="BA19" i="106"/>
  <c r="O17" i="689" a="1"/>
  <c r="AR26" i="106"/>
  <c r="N9" i="106"/>
  <c r="M10" i="106"/>
  <c r="G57" i="227"/>
  <c r="H27" i="106"/>
  <c r="D82" i="778"/>
  <c r="A3" i="778"/>
  <c r="K28" i="106"/>
  <c r="AX29" i="106"/>
  <c r="H44" i="687"/>
  <c r="L33" i="528"/>
  <c r="J9" i="106"/>
  <c r="D16" i="851"/>
  <c r="L29" i="106"/>
  <c r="K8" i="87"/>
  <c r="AR44" i="106"/>
  <c r="Q30" i="687"/>
  <c r="O33" i="106"/>
  <c r="P43" i="106"/>
  <c r="AK6" i="106"/>
  <c r="R30" i="99"/>
  <c r="AR28" i="106"/>
  <c r="AX62" i="106"/>
  <c r="G112" i="227"/>
  <c r="AY18" i="106"/>
  <c r="V8" i="227"/>
  <c r="F44" i="776"/>
  <c r="G130" i="227"/>
  <c r="G8" i="106"/>
  <c r="L22" i="106"/>
  <c r="I15" i="106"/>
  <c r="J5" i="106"/>
  <c r="I51" i="528"/>
  <c r="G41" i="106"/>
  <c r="D84" i="778"/>
  <c r="D44" i="779"/>
  <c r="D40" i="778"/>
  <c r="D80" i="779"/>
  <c r="S144" i="528"/>
  <c r="L32" i="106"/>
  <c r="G133" i="227"/>
  <c r="AY13" i="106"/>
  <c r="U143" i="528"/>
  <c r="W143" i="528"/>
  <c r="AK29" i="106"/>
  <c r="M23" i="106"/>
  <c r="E8" i="774"/>
  <c r="K32" i="106"/>
  <c r="L7" i="106"/>
  <c r="K14" i="106"/>
  <c r="G15" i="227"/>
  <c r="G32" i="106"/>
  <c r="D8" i="849"/>
  <c r="AY20" i="106"/>
  <c r="BA5" i="106"/>
  <c r="O8" i="106"/>
  <c r="AL41" i="106"/>
  <c r="AV39" i="106"/>
  <c r="B41" i="775"/>
  <c r="L33" i="687"/>
  <c r="L15" i="106"/>
  <c r="B24" i="774"/>
  <c r="M33" i="106"/>
  <c r="AR59" i="106"/>
  <c r="AY24" i="106"/>
  <c r="AK18" i="106"/>
  <c r="N6" i="106"/>
  <c r="N36" i="106"/>
  <c r="L28" i="106"/>
  <c r="O19" i="106"/>
  <c r="AY43" i="106"/>
  <c r="AV30" i="106"/>
  <c r="K6" i="106"/>
  <c r="D40" i="776"/>
  <c r="L15" i="528"/>
  <c r="K12" i="106"/>
  <c r="AK12" i="106"/>
  <c r="B10" i="778"/>
  <c r="I50" i="528"/>
  <c r="K45" i="106"/>
  <c r="L17" i="106"/>
  <c r="K46" i="106"/>
  <c r="AV38" i="106"/>
  <c r="Y141" i="528"/>
  <c r="O12" i="689" a="1"/>
  <c r="BA16" i="106"/>
  <c r="B36" i="774"/>
  <c r="D26" i="87"/>
  <c r="L42" i="106"/>
  <c r="V28" i="106"/>
  <c r="BA12" i="106"/>
  <c r="AX3" i="106"/>
  <c r="L38" i="106"/>
  <c r="E30" i="99"/>
  <c r="E34" i="528"/>
  <c r="D22" i="845"/>
  <c r="AL11" i="106"/>
  <c r="A3" i="775"/>
  <c r="AV33" i="106"/>
  <c r="AY41" i="106"/>
  <c r="I16" i="528"/>
  <c r="H38" i="106"/>
  <c r="V141" i="528"/>
  <c r="E12" i="87"/>
  <c r="N42" i="106"/>
  <c r="AI66" i="528"/>
  <c r="N24" i="106"/>
  <c r="O46" i="106"/>
  <c r="AR24" i="106"/>
  <c r="G51" i="227"/>
  <c r="AR15" i="106"/>
  <c r="O14" i="106"/>
  <c r="AL7" i="106"/>
  <c r="R143" i="528"/>
  <c r="AR39" i="106"/>
  <c r="I11" i="106"/>
  <c r="BA39" i="106"/>
  <c r="AY25" i="106"/>
  <c r="K43" i="106"/>
  <c r="I3" i="106"/>
  <c r="L34" i="99"/>
  <c r="P31" i="106"/>
  <c r="G18" i="106"/>
  <c r="AX41" i="106"/>
  <c r="O28" i="106"/>
  <c r="G102" i="227"/>
  <c r="O4" i="106"/>
  <c r="AV42" i="106"/>
  <c r="P28" i="106"/>
  <c r="M6" i="106"/>
  <c r="K31" i="106"/>
  <c r="J14" i="106"/>
  <c r="N37" i="106"/>
  <c r="CX8" i="227"/>
  <c r="M43" i="106"/>
  <c r="D38" i="687"/>
  <c r="AY12" i="106"/>
  <c r="G136" i="227"/>
  <c r="D83" i="779"/>
  <c r="U140" i="528"/>
  <c r="AX47" i="106"/>
  <c r="D82" i="777"/>
  <c r="B37" i="778"/>
  <c r="G39" i="227"/>
  <c r="G85" i="227"/>
  <c r="V27" i="106"/>
  <c r="AR37" i="106"/>
  <c r="AL19" i="106"/>
  <c r="H35" i="106"/>
  <c r="H8" i="106"/>
  <c r="L35" i="106"/>
  <c r="AK44" i="106"/>
  <c r="BA35" i="106"/>
  <c r="J36" i="106"/>
  <c r="AV4" i="106"/>
  <c r="O23" i="106"/>
  <c r="L61" i="687"/>
  <c r="AK8" i="106"/>
  <c r="G64" i="227"/>
  <c r="D46" i="849"/>
  <c r="B35" i="776"/>
  <c r="AL42" i="106"/>
  <c r="G48" i="227"/>
  <c r="G25" i="106"/>
  <c r="H45" i="106"/>
  <c r="DF8" i="227"/>
  <c r="P44" i="106"/>
  <c r="BA45" i="106"/>
  <c r="AX63" i="106"/>
  <c r="B40" i="774"/>
  <c r="Y143" i="528"/>
  <c r="D81" i="777"/>
  <c r="AL23" i="106"/>
  <c r="G42" i="106"/>
  <c r="H16" i="106"/>
  <c r="G114" i="227"/>
  <c r="N31" i="106"/>
  <c r="G30" i="227"/>
  <c r="H3" i="106"/>
  <c r="AY38" i="106"/>
  <c r="M9" i="106"/>
  <c r="O10" i="106"/>
  <c r="N16" i="106"/>
  <c r="P37" i="106"/>
  <c r="G40" i="227"/>
  <c r="G108" i="227"/>
  <c r="G20" i="227"/>
  <c r="J12" i="106"/>
  <c r="L33" i="99"/>
  <c r="N17" i="106"/>
  <c r="M15" i="106"/>
  <c r="J44" i="106"/>
  <c r="M26" i="106"/>
  <c r="C8" i="87"/>
  <c r="D77" i="778"/>
  <c r="K38" i="106"/>
  <c r="B13" i="774"/>
  <c r="B47" i="778"/>
  <c r="M34" i="106"/>
  <c r="O44" i="99"/>
  <c r="N3" i="106"/>
  <c r="AR64" i="106"/>
  <c r="O14" i="689" a="1"/>
  <c r="V2" i="106"/>
  <c r="AR54" i="106"/>
  <c r="AY28" i="106"/>
  <c r="K37" i="106"/>
  <c r="D82" i="776"/>
  <c r="D78" i="775"/>
  <c r="O37" i="99"/>
  <c r="AL5" i="106"/>
  <c r="L26" i="106"/>
  <c r="B35" i="779"/>
  <c r="D79" i="778"/>
  <c r="G16" i="227"/>
  <c r="B41" i="779"/>
  <c r="H19" i="106"/>
  <c r="K24" i="106"/>
  <c r="A7" i="776"/>
  <c r="L66" i="528"/>
  <c r="G28" i="227"/>
  <c r="AX61" i="106"/>
  <c r="AR23" i="106"/>
  <c r="I26" i="106"/>
  <c r="M29" i="106"/>
  <c r="G23" i="227"/>
  <c r="G42" i="227"/>
  <c r="G2" i="106"/>
  <c r="AY42" i="106"/>
  <c r="B40" i="778"/>
  <c r="D86" i="775"/>
  <c r="I22" i="106"/>
  <c r="O7" i="689" a="1"/>
  <c r="AR14" i="106"/>
  <c r="U141" i="528"/>
  <c r="D86" i="778"/>
  <c r="O39" i="106"/>
  <c r="G38" i="687"/>
  <c r="H43" i="106"/>
  <c r="AL18" i="106"/>
  <c r="B41" i="778"/>
  <c r="O35" i="106"/>
  <c r="AR30" i="106"/>
  <c r="A7" i="777"/>
  <c r="K4" i="106"/>
  <c r="B44" i="776"/>
  <c r="AV15" i="106"/>
  <c r="BA8" i="106"/>
  <c r="N5" i="106"/>
  <c r="D83" i="775"/>
  <c r="G101" i="227"/>
  <c r="J23" i="106"/>
  <c r="AK16" i="106"/>
  <c r="H7" i="106"/>
  <c r="AK4" i="106"/>
  <c r="D77" i="777"/>
  <c r="B40" i="776"/>
  <c r="G30" i="687"/>
  <c r="AX21" i="106"/>
  <c r="AR32" i="106"/>
  <c r="BR8" i="227"/>
  <c r="H26" i="106"/>
  <c r="Z140" i="528"/>
  <c r="AP8" i="227"/>
  <c r="AK38" i="106"/>
  <c r="O41" i="99"/>
  <c r="B36" i="778"/>
  <c r="D10" i="847"/>
  <c r="D22" i="851"/>
  <c r="V4" i="106"/>
  <c r="BA38" i="106"/>
  <c r="BA18" i="106"/>
  <c r="E66" i="528"/>
  <c r="O24" i="106"/>
  <c r="P141" i="528"/>
  <c r="G110" i="227"/>
  <c r="B47" i="779"/>
  <c r="G81" i="227"/>
  <c r="P13" i="106"/>
  <c r="F34" i="99"/>
  <c r="G68" i="227"/>
  <c r="D78" i="774"/>
  <c r="G89" i="227"/>
  <c r="AX44" i="106"/>
  <c r="P25" i="106"/>
  <c r="H61" i="687"/>
  <c r="J25" i="106"/>
  <c r="N39" i="106"/>
  <c r="G71" i="227"/>
  <c r="G37" i="106"/>
  <c r="V38" i="106"/>
  <c r="I17" i="106"/>
  <c r="CD8" i="227"/>
  <c r="V20" i="106"/>
  <c r="G118" i="227"/>
  <c r="B15" i="528"/>
  <c r="G59" i="227"/>
  <c r="AF74" i="528"/>
  <c r="I14" i="106"/>
  <c r="P22" i="106"/>
  <c r="AX7" i="106"/>
  <c r="K34" i="528"/>
  <c r="O42" i="106"/>
  <c r="R140" i="528"/>
  <c r="L37" i="106"/>
  <c r="M17" i="106"/>
  <c r="V21" i="106"/>
  <c r="J76" i="851"/>
  <c r="AX2" i="106"/>
  <c r="V24" i="106"/>
  <c r="AX10" i="106"/>
  <c r="G15" i="106"/>
  <c r="G26" i="106"/>
  <c r="H33" i="687"/>
  <c r="D85" i="775"/>
  <c r="AX9" i="106"/>
  <c r="ET8" i="227"/>
  <c r="O17" i="106"/>
  <c r="G143" i="227"/>
  <c r="G117" i="227"/>
  <c r="I37" i="687"/>
  <c r="AX17" i="106"/>
  <c r="P33" i="99"/>
  <c r="G92" i="227"/>
  <c r="BZ8" i="227"/>
  <c r="G116" i="227"/>
  <c r="AV26" i="106"/>
  <c r="K19" i="106"/>
  <c r="B26" i="778"/>
  <c r="AR49" i="106"/>
  <c r="V35" i="106"/>
  <c r="G80" i="227"/>
  <c r="B25" i="775"/>
  <c r="P16" i="106"/>
  <c r="P2" i="106"/>
  <c r="K26" i="87"/>
  <c r="O15" i="106"/>
  <c r="D79" i="774"/>
  <c r="AV19" i="106"/>
  <c r="L10" i="106"/>
  <c r="AK36" i="106"/>
  <c r="AX26" i="106"/>
  <c r="AR46" i="106"/>
  <c r="K15" i="106"/>
  <c r="G29" i="106"/>
  <c r="AY15" i="106"/>
  <c r="AX42" i="106"/>
  <c r="B2" i="475"/>
  <c r="D44" i="775"/>
  <c r="G63" i="227"/>
  <c r="B19" i="776"/>
  <c r="AL33" i="106"/>
  <c r="P19" i="106"/>
  <c r="B13" i="775"/>
  <c r="G142" i="227"/>
  <c r="G5" i="106"/>
  <c r="B26" i="777"/>
  <c r="M31" i="106"/>
  <c r="E8" i="87"/>
  <c r="L24" i="106"/>
  <c r="BA7" i="106"/>
  <c r="D83" i="774"/>
  <c r="DE66" i="528"/>
  <c r="J19" i="106"/>
  <c r="R141" i="528"/>
  <c r="AL44" i="106"/>
  <c r="A3" i="777"/>
  <c r="H34" i="99"/>
  <c r="I39" i="106"/>
  <c r="AL9" i="106"/>
  <c r="K42" i="106"/>
  <c r="I12" i="528"/>
  <c r="I37" i="106"/>
  <c r="Q144" i="528"/>
  <c r="N25" i="106"/>
  <c r="AV41" i="106"/>
  <c r="P42" i="106"/>
  <c r="N13" i="106"/>
  <c r="B24" i="779"/>
  <c r="AV12" i="106"/>
  <c r="I4" i="106"/>
  <c r="AK9" i="106"/>
  <c r="G29" i="227"/>
  <c r="V5" i="106"/>
  <c r="Z141" i="528"/>
  <c r="E32" i="528"/>
  <c r="W144" i="528"/>
  <c r="V143" i="528"/>
  <c r="D16" i="853"/>
  <c r="D85" i="777"/>
  <c r="AY30" i="106"/>
  <c r="K44" i="106"/>
  <c r="V19" i="106"/>
  <c r="AY34" i="106"/>
  <c r="AX32" i="106"/>
  <c r="B19" i="779"/>
  <c r="D40" i="774"/>
  <c r="O9" i="106"/>
  <c r="BA10" i="106"/>
  <c r="D85" i="779"/>
  <c r="L8" i="106"/>
  <c r="H32" i="106"/>
  <c r="CP8" i="227"/>
  <c r="AV14" i="106"/>
  <c r="AX50" i="106"/>
  <c r="L14" i="106"/>
  <c r="D78" i="776"/>
  <c r="R30" i="687"/>
  <c r="D78" i="777"/>
  <c r="V11" i="106"/>
  <c r="AR27" i="106"/>
  <c r="B47" i="777"/>
  <c r="H20" i="106"/>
  <c r="M11" i="106"/>
  <c r="AV22" i="106"/>
  <c r="BA9" i="106"/>
  <c r="I23" i="106"/>
  <c r="C12" i="87"/>
  <c r="O11" i="689" a="1"/>
  <c r="DN8" i="227"/>
  <c r="AY7" i="106"/>
  <c r="J8" i="87"/>
  <c r="D40" i="779"/>
  <c r="G37" i="99"/>
  <c r="O13" i="689" a="1"/>
  <c r="I9" i="87"/>
  <c r="G43" i="227"/>
  <c r="AX28" i="106"/>
  <c r="AR40" i="106"/>
  <c r="F33" i="99"/>
  <c r="AK26" i="106"/>
  <c r="L16" i="106"/>
  <c r="H14" i="106"/>
  <c r="B47" i="774"/>
  <c r="L44" i="106"/>
  <c r="AR21" i="106"/>
  <c r="G141" i="227"/>
  <c r="P34" i="687"/>
  <c r="I10" i="87"/>
  <c r="AK28" i="106"/>
  <c r="BA42" i="106"/>
  <c r="AK46" i="106"/>
  <c r="AR67" i="106"/>
  <c r="G11" i="227"/>
  <c r="D46" i="853"/>
  <c r="AV46" i="106"/>
  <c r="O5" i="106"/>
  <c r="AR53" i="106"/>
  <c r="AX22" i="106"/>
  <c r="EX8" i="227"/>
  <c r="AY8" i="106"/>
  <c r="N8" i="106"/>
  <c r="BA32" i="106"/>
  <c r="D82" i="774"/>
  <c r="I12" i="106"/>
  <c r="AR19" i="106"/>
  <c r="P7" i="106"/>
  <c r="V15" i="106"/>
  <c r="B13" i="779"/>
  <c r="E8" i="777"/>
  <c r="AX70" i="106"/>
  <c r="AL24" i="106"/>
  <c r="N7" i="106"/>
  <c r="P11" i="106"/>
  <c r="P3" i="106"/>
  <c r="F33" i="687"/>
  <c r="M41" i="106"/>
  <c r="I21" i="106"/>
  <c r="AL8" i="106"/>
  <c r="M44" i="106"/>
  <c r="G21" i="779"/>
  <c r="V18" i="106"/>
  <c r="O44" i="687"/>
  <c r="M16" i="106"/>
  <c r="P38" i="106"/>
  <c r="AX23" i="106"/>
  <c r="M7" i="106"/>
  <c r="G35" i="227"/>
  <c r="AR38" i="106"/>
  <c r="AY17" i="106"/>
  <c r="M19" i="106"/>
  <c r="O32" i="106"/>
  <c r="W140" i="528"/>
  <c r="B10" i="777"/>
  <c r="B41" i="774"/>
  <c r="P41" i="106"/>
  <c r="V40" i="106"/>
  <c r="D80" i="774"/>
  <c r="U144" i="528"/>
  <c r="M18" i="106"/>
  <c r="H22" i="106"/>
  <c r="AX24" i="106"/>
  <c r="I6" i="106"/>
  <c r="H30" i="106"/>
  <c r="G21" i="106"/>
  <c r="P29" i="106"/>
  <c r="E15" i="528"/>
  <c r="O11" i="106"/>
  <c r="K39" i="106"/>
  <c r="AL8" i="227"/>
  <c r="AR56" i="106"/>
  <c r="AX56" i="106"/>
  <c r="D84" i="774"/>
  <c r="G27" i="106"/>
  <c r="K41" i="106"/>
  <c r="I24" i="106"/>
  <c r="G96" i="227"/>
  <c r="O22" i="106"/>
  <c r="P18" i="106"/>
  <c r="B26" i="779"/>
  <c r="I36" i="106"/>
  <c r="AR4" i="106"/>
  <c r="AX8" i="227"/>
  <c r="D46" i="851"/>
  <c r="P26" i="106"/>
  <c r="B44" i="778"/>
  <c r="D8" i="851"/>
  <c r="G9" i="106"/>
  <c r="V26" i="106"/>
  <c r="AL14" i="106"/>
  <c r="I43" i="106"/>
  <c r="P6" i="106"/>
  <c r="K9" i="106"/>
  <c r="AK10" i="106"/>
  <c r="J76" i="845"/>
  <c r="B41" i="777"/>
  <c r="B24" i="775"/>
  <c r="O38" i="106"/>
  <c r="A3" i="779"/>
  <c r="B24" i="778"/>
  <c r="BA36" i="106"/>
  <c r="AV10" i="106"/>
  <c r="AR13" i="106"/>
  <c r="N18" i="106"/>
  <c r="AY46" i="106"/>
  <c r="B25" i="776"/>
  <c r="AK42" i="106"/>
  <c r="G84" i="227"/>
  <c r="AV37" i="106"/>
  <c r="S140" i="528"/>
  <c r="G79" i="227"/>
  <c r="G41" i="227"/>
  <c r="AX5" i="106"/>
  <c r="ED8" i="227"/>
  <c r="M36" i="106"/>
  <c r="AX65" i="106"/>
  <c r="G37" i="687"/>
  <c r="G60" i="227"/>
  <c r="G126" i="227"/>
  <c r="AL36" i="106"/>
  <c r="B9" i="87"/>
  <c r="AD8" i="227"/>
  <c r="D10" i="851"/>
  <c r="AK40" i="106"/>
  <c r="I11" i="87"/>
  <c r="AY21" i="106"/>
  <c r="D10" i="853"/>
  <c r="G23" i="106"/>
  <c r="B35" i="778"/>
  <c r="P32" i="106"/>
  <c r="N28" i="106"/>
  <c r="O5" i="689" a="1"/>
  <c r="M8" i="106"/>
  <c r="AY14" i="106"/>
  <c r="D80" i="776"/>
  <c r="V43" i="106"/>
  <c r="BF8" i="227"/>
  <c r="Y142" i="528"/>
  <c r="G21" i="777"/>
  <c r="AR68" i="106"/>
  <c r="G21" i="774"/>
  <c r="F61" i="687"/>
  <c r="T142" i="528"/>
  <c r="AR17" i="106"/>
  <c r="BA2" i="106"/>
  <c r="AR20" i="106"/>
  <c r="N45" i="106"/>
  <c r="BA31" i="106"/>
  <c r="T144" i="528"/>
  <c r="K18" i="106"/>
  <c r="M13" i="106"/>
  <c r="K40" i="106"/>
  <c r="AY27" i="106"/>
  <c r="B37" i="779"/>
  <c r="AX66" i="106"/>
  <c r="A7" i="779"/>
  <c r="G12" i="227"/>
  <c r="E34" i="687"/>
  <c r="O28" i="689" a="1"/>
  <c r="M25" i="106"/>
  <c r="N14" i="106"/>
  <c r="AR6" i="106"/>
  <c r="G97" i="227"/>
  <c r="P45" i="106"/>
  <c r="AX57" i="106"/>
  <c r="G39" i="106"/>
  <c r="K5" i="106"/>
  <c r="H30" i="99"/>
  <c r="N12" i="106"/>
  <c r="AX49" i="106"/>
  <c r="AR18" i="106"/>
  <c r="AK41" i="106"/>
  <c r="D8" i="847"/>
  <c r="I35" i="106"/>
  <c r="AV9" i="106"/>
  <c r="G99" i="227"/>
  <c r="J40" i="106"/>
  <c r="J74" i="851"/>
  <c r="BA46" i="106"/>
  <c r="K7" i="106"/>
  <c r="D80" i="778"/>
  <c r="K13" i="106"/>
  <c r="B40" i="775"/>
  <c r="J42" i="106"/>
  <c r="AX48" i="106"/>
  <c r="AX39" i="106"/>
  <c r="G77" i="227"/>
  <c r="V29" i="106"/>
  <c r="K36" i="106"/>
  <c r="O45" i="106"/>
  <c r="J35" i="106"/>
  <c r="G22" i="227"/>
  <c r="P35" i="106"/>
  <c r="J17" i="106"/>
  <c r="N29" i="106"/>
  <c r="G34" i="99"/>
  <c r="M3" i="106"/>
  <c r="AL2" i="106"/>
  <c r="AR66" i="106"/>
  <c r="B43" i="777"/>
  <c r="H21" i="106"/>
  <c r="G33" i="106"/>
  <c r="Q142" i="528"/>
  <c r="V142" i="528"/>
  <c r="AV25" i="106"/>
  <c r="B51" i="528"/>
  <c r="G19" i="227"/>
  <c r="B43" i="775"/>
  <c r="AX45" i="106"/>
  <c r="L12" i="106"/>
  <c r="B44" i="774"/>
  <c r="AL16" i="106"/>
  <c r="D6" i="687"/>
  <c r="B26" i="776"/>
  <c r="CT8" i="227"/>
  <c r="V39" i="106"/>
  <c r="J76" i="849"/>
  <c r="H36" i="106"/>
  <c r="B47" i="775"/>
  <c r="J26" i="106"/>
  <c r="P5" i="106"/>
  <c r="AX59" i="106"/>
  <c r="G82" i="227"/>
  <c r="L41" i="106"/>
  <c r="K26" i="106"/>
  <c r="B16" i="528"/>
  <c r="A3" i="776"/>
  <c r="C53" i="528"/>
  <c r="DB8" i="227"/>
  <c r="G122" i="227"/>
  <c r="J61" i="687"/>
  <c r="X141" i="528"/>
  <c r="G45" i="106"/>
  <c r="AX51" i="106"/>
  <c r="AR22" i="106"/>
  <c r="AL39" i="106"/>
  <c r="B26" i="775"/>
  <c r="X140" i="528"/>
  <c r="AL13" i="106"/>
  <c r="L39" i="106"/>
  <c r="B13" i="777"/>
  <c r="L45" i="106"/>
  <c r="BA44" i="106"/>
  <c r="I32" i="106"/>
  <c r="B10" i="775"/>
  <c r="G46" i="227"/>
  <c r="AL3" i="106"/>
  <c r="AL22" i="106"/>
  <c r="G10" i="106"/>
  <c r="D10" i="775"/>
  <c r="L20" i="106"/>
  <c r="L17" i="528"/>
  <c r="BA26" i="106"/>
  <c r="H39" i="106"/>
  <c r="G52" i="227"/>
  <c r="G9" i="227"/>
  <c r="F34" i="687"/>
  <c r="AK17" i="106"/>
  <c r="J20" i="106"/>
  <c r="L11" i="106"/>
  <c r="D81" i="775"/>
  <c r="H2" i="106"/>
  <c r="O26" i="689" a="1"/>
  <c r="BV8" i="227"/>
  <c r="I18" i="106"/>
  <c r="K33" i="106"/>
  <c r="AY2" i="106"/>
  <c r="B36" i="776"/>
  <c r="G47" i="227"/>
  <c r="L46" i="106"/>
  <c r="AV3" i="106"/>
  <c r="AL28" i="106"/>
  <c r="AR35" i="106"/>
  <c r="G35" i="106"/>
  <c r="H11" i="106"/>
  <c r="L33" i="106"/>
  <c r="AL6" i="106"/>
  <c r="P140" i="528"/>
  <c r="BA29" i="106"/>
  <c r="J41" i="106"/>
  <c r="AR12" i="106"/>
  <c r="G115" i="227"/>
  <c r="J38" i="687"/>
  <c r="AV31" i="106"/>
  <c r="BA23" i="106"/>
  <c r="AK34" i="106"/>
  <c r="AL38" i="106"/>
  <c r="B19" i="778"/>
  <c r="AK7" i="106"/>
  <c r="G119" i="227"/>
  <c r="P23" i="106"/>
  <c r="G7" i="106"/>
  <c r="G70" i="227"/>
  <c r="K27" i="106"/>
  <c r="AX33" i="106"/>
  <c r="D34" i="528"/>
  <c r="B43" i="774"/>
  <c r="F44" i="778"/>
  <c r="AK22" i="106"/>
  <c r="AL40" i="106"/>
  <c r="H29" i="106"/>
  <c r="AV2" i="106"/>
  <c r="AY39" i="106"/>
  <c r="B41" i="776"/>
  <c r="AK45" i="106"/>
  <c r="AH8" i="227"/>
  <c r="I8" i="87"/>
  <c r="G38" i="99"/>
  <c r="J39" i="106"/>
  <c r="D40" i="777"/>
  <c r="G135" i="227"/>
  <c r="M28" i="106"/>
  <c r="BA17" i="106"/>
  <c r="G37" i="774"/>
  <c r="O24" i="689" a="1"/>
  <c r="V10" i="106"/>
  <c r="O2" i="689" a="1"/>
  <c r="N23" i="106"/>
  <c r="K29" i="106"/>
  <c r="AR70" i="106"/>
  <c r="AV45" i="106"/>
  <c r="AV34" i="106"/>
  <c r="O23" i="689" a="1"/>
  <c r="G28" i="106"/>
  <c r="O20" i="106"/>
  <c r="J32" i="106"/>
  <c r="O7" i="106"/>
  <c r="G18" i="227"/>
  <c r="J38" i="99"/>
  <c r="I10" i="106"/>
  <c r="P34" i="99"/>
  <c r="D16" i="847"/>
  <c r="L34" i="528"/>
  <c r="AX36" i="106"/>
  <c r="B13" i="776"/>
  <c r="D17" i="528"/>
  <c r="M32" i="106"/>
  <c r="T143" i="528"/>
  <c r="DJ8" i="227"/>
  <c r="O30" i="689" a="1"/>
  <c r="P143" i="528"/>
  <c r="G54" i="227"/>
  <c r="G34" i="227"/>
  <c r="O10" i="689" a="1"/>
  <c r="O27" i="106"/>
  <c r="I8" i="106"/>
  <c r="K17" i="106"/>
  <c r="B37" i="776"/>
  <c r="H28" i="106"/>
  <c r="D8" i="845"/>
  <c r="BA43" i="106"/>
  <c r="AK15" i="106"/>
  <c r="P15" i="106"/>
  <c r="H41" i="106"/>
  <c r="H18" i="106"/>
  <c r="J31" i="106"/>
  <c r="AV11" i="106"/>
  <c r="B12" i="528"/>
  <c r="AR52" i="106"/>
  <c r="G128" i="227"/>
  <c r="B10" i="774"/>
  <c r="B11" i="87"/>
  <c r="G138" i="227"/>
  <c r="BA24" i="106"/>
  <c r="L40" i="106"/>
  <c r="D10" i="776"/>
  <c r="L8" i="87"/>
  <c r="D77" i="775"/>
  <c r="AX55" i="106"/>
  <c r="O4" i="689" a="1"/>
  <c r="J3" i="106"/>
  <c r="J74" i="845"/>
  <c r="H37" i="106"/>
  <c r="D44" i="776"/>
  <c r="AK14" i="106"/>
  <c r="AK5" i="106"/>
  <c r="I13" i="106"/>
  <c r="Z143" i="528"/>
  <c r="G140" i="227"/>
  <c r="D10" i="777"/>
  <c r="AV17" i="106"/>
  <c r="B36" i="775"/>
  <c r="O12" i="106"/>
  <c r="D10" i="845"/>
  <c r="G86" i="227"/>
  <c r="D82" i="775"/>
  <c r="I2" i="106"/>
  <c r="DR8" i="227"/>
  <c r="EH8" i="227"/>
  <c r="AR61" i="106"/>
  <c r="AX27" i="106"/>
  <c r="V42" i="106"/>
  <c r="B40" i="777"/>
  <c r="AR42" i="106"/>
  <c r="E30" i="687"/>
  <c r="G38" i="106"/>
  <c r="AR11" i="106"/>
  <c r="AL45" i="106"/>
  <c r="B19" i="774"/>
  <c r="AK33" i="106"/>
  <c r="D79" i="775"/>
  <c r="AL27" i="106"/>
  <c r="AR45" i="106"/>
  <c r="AX60" i="106"/>
  <c r="O19" i="689" a="1"/>
  <c r="G131" i="227"/>
  <c r="P10" i="106"/>
  <c r="E33" i="99"/>
  <c r="J54" i="528"/>
  <c r="V17" i="106"/>
  <c r="D78" i="778"/>
  <c r="C52" i="528"/>
  <c r="V22" i="106"/>
  <c r="J21" i="106"/>
  <c r="DZ8" i="227"/>
  <c r="I37" i="99"/>
  <c r="P33" i="687"/>
  <c r="AL25" i="106"/>
  <c r="AK30" i="106"/>
  <c r="L23" i="106"/>
  <c r="H17" i="106"/>
  <c r="G76" i="227"/>
  <c r="I34" i="106"/>
  <c r="M14" i="106"/>
  <c r="N30" i="106"/>
  <c r="N11" i="106"/>
  <c r="P14" i="106"/>
  <c r="X143" i="528"/>
  <c r="Z8" i="227"/>
  <c r="AL15" i="106"/>
  <c r="L36" i="106"/>
  <c r="S141" i="528"/>
  <c r="J52" i="528"/>
  <c r="G34" i="687"/>
  <c r="G123" i="227"/>
  <c r="G93" i="227"/>
  <c r="N19" i="106"/>
  <c r="AY29" i="106"/>
  <c r="AV20" i="106"/>
  <c r="D8" i="853"/>
  <c r="AR60" i="106"/>
  <c r="AL17" i="106"/>
  <c r="B43" i="778"/>
  <c r="G91" i="227"/>
  <c r="AV24" i="106"/>
  <c r="I30" i="106"/>
  <c r="O6" i="106"/>
  <c r="N33" i="106"/>
  <c r="AK32" i="106"/>
  <c r="J2" i="106"/>
  <c r="AV40" i="106"/>
  <c r="M4" i="106"/>
  <c r="E8" i="778"/>
  <c r="AX69" i="106"/>
  <c r="M39" i="106"/>
  <c r="D86" i="774"/>
  <c r="E69" i="528"/>
  <c r="O16" i="106"/>
  <c r="AK3" i="106"/>
  <c r="AK27" i="106"/>
  <c r="N2" i="106"/>
  <c r="E16" i="528"/>
  <c r="L34" i="687"/>
  <c r="CL8" i="227"/>
  <c r="P36" i="106"/>
  <c r="K12" i="87"/>
  <c r="J8" i="106"/>
  <c r="F44" i="775"/>
  <c r="V13" i="106"/>
  <c r="N15" i="106"/>
  <c r="AK2" i="106"/>
  <c r="B44" i="777"/>
  <c r="L43" i="106"/>
  <c r="G72" i="227"/>
  <c r="AR43" i="106"/>
  <c r="AL46" i="106"/>
  <c r="E8" i="775"/>
  <c r="B26" i="774"/>
  <c r="R144" i="528"/>
  <c r="V144" i="528"/>
  <c r="AY45" i="106"/>
  <c r="AR48" i="106"/>
  <c r="D46" i="847"/>
  <c r="AV44" i="106"/>
  <c r="G55" i="227"/>
  <c r="BA28" i="106"/>
  <c r="AX40" i="106"/>
  <c r="H34" i="106"/>
  <c r="AK23" i="106"/>
  <c r="B43" i="779"/>
  <c r="AX13" i="106"/>
  <c r="H10" i="106"/>
  <c r="D79" i="779"/>
  <c r="V16" i="106"/>
  <c r="AR63" i="106"/>
  <c r="AR33" i="106"/>
  <c r="B25" i="779"/>
  <c r="E26" i="87"/>
  <c r="O43" i="106"/>
  <c r="AY22" i="106"/>
  <c r="O15" i="689" a="1"/>
  <c r="B44" i="775"/>
  <c r="AR25" i="106"/>
  <c r="M34" i="99"/>
  <c r="AR16" i="106"/>
  <c r="L30" i="106"/>
  <c r="N27" i="106"/>
  <c r="P17" i="106"/>
  <c r="K2" i="106"/>
  <c r="G19" i="106"/>
  <c r="V31" i="106"/>
  <c r="P142" i="528"/>
  <c r="EP8" i="227"/>
  <c r="G105" i="227"/>
  <c r="M12" i="106"/>
  <c r="AI69" i="528"/>
  <c r="I29" i="106"/>
  <c r="M42" i="106"/>
  <c r="EL8" i="227"/>
  <c r="B74" i="528"/>
  <c r="P21" i="106"/>
  <c r="G104" i="227"/>
  <c r="AX12" i="106"/>
  <c r="AY6" i="106"/>
  <c r="J18" i="106"/>
  <c r="G132" i="227"/>
  <c r="J27" i="106"/>
  <c r="D40" i="775"/>
  <c r="G107" i="227"/>
  <c r="D84" i="777"/>
  <c r="L21" i="106"/>
  <c r="G98" i="227"/>
  <c r="H5" i="106"/>
  <c r="D85" i="778"/>
  <c r="Z144" i="528"/>
  <c r="D10" i="849"/>
  <c r="N38" i="106"/>
  <c r="G121" i="227"/>
  <c r="V34" i="106"/>
  <c r="B50" i="528"/>
  <c r="G78" i="227"/>
  <c r="J15" i="528"/>
  <c r="D84" i="775"/>
  <c r="L4" i="106"/>
  <c r="I74" i="528"/>
  <c r="BJ8" i="227"/>
  <c r="AX18" i="106"/>
  <c r="AX35" i="106"/>
  <c r="G50" i="227"/>
  <c r="N37" i="687"/>
  <c r="O21" i="106"/>
  <c r="K15" i="528"/>
  <c r="D22" i="849"/>
  <c r="L6" i="106"/>
  <c r="O18" i="689" a="1"/>
  <c r="BA25" i="106"/>
  <c r="AR7" i="106"/>
  <c r="G74" i="227"/>
  <c r="AX46" i="106"/>
  <c r="M22" i="106"/>
  <c r="E17" i="528"/>
  <c r="S142" i="528"/>
  <c r="AA2" i="106"/>
  <c r="J22" i="106"/>
  <c r="G100" i="227"/>
  <c r="M61" i="687"/>
  <c r="AV29" i="106"/>
  <c r="AV28" i="106"/>
  <c r="G4" i="106"/>
  <c r="AR51" i="106"/>
  <c r="L3" i="106"/>
  <c r="AL43" i="106"/>
  <c r="AR57" i="106"/>
  <c r="J16" i="528"/>
  <c r="AX52" i="106"/>
  <c r="M5" i="106"/>
  <c r="D85" i="774"/>
  <c r="AV7" i="106"/>
  <c r="G21" i="775"/>
  <c r="G61" i="687"/>
  <c r="V3" i="106"/>
  <c r="AV32" i="106"/>
  <c r="G88" i="227"/>
  <c r="AL10" i="106"/>
  <c r="G33" i="687"/>
  <c r="AY32" i="106"/>
  <c r="J76" i="853"/>
  <c r="I40" i="106"/>
  <c r="G17" i="106"/>
  <c r="V37" i="106"/>
  <c r="N46" i="106"/>
  <c r="Q141" i="528"/>
  <c r="G106" i="227"/>
  <c r="G61" i="227"/>
  <c r="J24" i="106"/>
  <c r="Q30" i="99"/>
  <c r="AL35" i="106"/>
  <c r="AV6" i="106"/>
  <c r="G33" i="227"/>
  <c r="G111" i="227"/>
  <c r="AY35" i="106"/>
  <c r="E8" i="779"/>
  <c r="X144" i="528"/>
  <c r="L30" i="99"/>
  <c r="Y144" i="528"/>
  <c r="N20" i="106"/>
  <c r="M21" i="106"/>
  <c r="H9" i="106"/>
  <c r="DV8" i="227"/>
  <c r="K21" i="106"/>
  <c r="L25" i="106"/>
  <c r="AY23" i="106"/>
  <c r="D81" i="776"/>
  <c r="AK20" i="106"/>
  <c r="B37" i="774"/>
  <c r="AL32" i="106"/>
  <c r="K33" i="528"/>
  <c r="B24" i="777"/>
  <c r="D8" i="87"/>
  <c r="M20" i="106"/>
  <c r="D33" i="528"/>
  <c r="L34" i="106"/>
  <c r="G87" i="227"/>
  <c r="X142" i="528"/>
  <c r="B24" i="776"/>
  <c r="G22" i="106"/>
  <c r="D44" i="777"/>
  <c r="AX8" i="106"/>
  <c r="P33" i="106"/>
  <c r="H15" i="106"/>
  <c r="AK13" i="106"/>
  <c r="O61" i="687"/>
  <c r="D10" i="779"/>
  <c r="V23" i="106"/>
  <c r="AL31" i="106"/>
  <c r="AR50" i="106"/>
  <c r="L18" i="106"/>
  <c r="J29" i="106"/>
  <c r="B12" i="87"/>
  <c r="J4" i="106"/>
  <c r="G37" i="227"/>
  <c r="J30" i="106"/>
  <c r="A7" i="778"/>
  <c r="B36" i="779"/>
  <c r="D86" i="777"/>
  <c r="G32" i="227"/>
  <c r="O3" i="106"/>
  <c r="D22" i="847"/>
  <c r="H33" i="106"/>
  <c r="I46" i="106"/>
  <c r="B40" i="779"/>
  <c r="DE69" i="528"/>
  <c r="D84" i="776"/>
  <c r="P8" i="106"/>
  <c r="G21" i="778"/>
  <c r="H31" i="106"/>
  <c r="J53" i="528"/>
  <c r="G40" i="106"/>
  <c r="E34" i="99"/>
  <c r="H13" i="106"/>
  <c r="Q143" i="528"/>
  <c r="D4" i="847"/>
  <c r="G129" i="227"/>
  <c r="O27" i="689" a="1"/>
  <c r="O20" i="689" a="1"/>
  <c r="C54" i="528"/>
  <c r="D81" i="774"/>
  <c r="D83" i="777"/>
  <c r="P24" i="106"/>
  <c r="M24" i="106"/>
  <c r="L16" i="528"/>
  <c r="AX68" i="106"/>
  <c r="K22" i="106"/>
  <c r="D10" i="774"/>
  <c r="V12" i="106"/>
  <c r="B10" i="87"/>
  <c r="AX34" i="106"/>
  <c r="AX38" i="106"/>
  <c r="AL12" i="106"/>
  <c r="BA33" i="106"/>
  <c r="AL21" i="106"/>
  <c r="G17" i="227"/>
  <c r="H46" i="106"/>
  <c r="AY44" i="106"/>
  <c r="K30" i="106"/>
  <c r="G44" i="227"/>
  <c r="G16" i="106"/>
  <c r="G56" i="227"/>
  <c r="AR69" i="106"/>
  <c r="G113" i="227"/>
  <c r="M35" i="106"/>
  <c r="P46" i="106"/>
  <c r="N43" i="106"/>
  <c r="O3" i="689" a="1"/>
  <c r="BA34" i="106"/>
  <c r="I33" i="106"/>
  <c r="K23" i="106"/>
  <c r="N32" i="106"/>
  <c r="B43" i="776"/>
  <c r="J12" i="87"/>
  <c r="J46" i="106"/>
  <c r="J44" i="99"/>
  <c r="AK21" i="106"/>
  <c r="AR36" i="106"/>
  <c r="D44" i="778"/>
  <c r="R8" i="227"/>
  <c r="F38" i="99"/>
  <c r="G20" i="106"/>
  <c r="J37" i="687"/>
  <c r="D82" i="779"/>
  <c r="H23" i="106"/>
  <c r="I20" i="106"/>
  <c r="J45" i="106"/>
  <c r="L69" i="528"/>
  <c r="BA21" i="106"/>
  <c r="D80" i="775"/>
  <c r="D86" i="779"/>
  <c r="V30" i="106"/>
  <c r="M37" i="106"/>
  <c r="G21" i="776"/>
  <c r="J33" i="106"/>
  <c r="AK39" i="106"/>
  <c r="BA41" i="106"/>
  <c r="E8" i="776"/>
  <c r="M27" i="106"/>
  <c r="I31" i="106"/>
  <c r="G44" i="106"/>
  <c r="BN8" i="227"/>
  <c r="P12" i="106"/>
  <c r="G21" i="227"/>
  <c r="AX6" i="106"/>
  <c r="I38" i="99"/>
  <c r="AY40" i="106"/>
  <c r="AV8" i="106"/>
  <c r="G67" i="227"/>
  <c r="B44" i="779"/>
  <c r="AX19" i="106"/>
  <c r="AX16" i="106"/>
  <c r="AV35" i="106"/>
  <c r="K34" i="106"/>
  <c r="D83" i="778"/>
  <c r="G124" i="227"/>
  <c r="D81" i="779"/>
  <c r="V9" i="106"/>
  <c r="N26" i="106"/>
  <c r="P4" i="106"/>
  <c r="V25" i="106"/>
  <c r="AY37" i="106"/>
  <c r="D46" i="845"/>
  <c r="AR29" i="106"/>
  <c r="P27" i="106"/>
  <c r="N40" i="106"/>
  <c r="D22" i="853"/>
  <c r="G34" i="106"/>
  <c r="E22" i="87"/>
  <c r="H12" i="106"/>
  <c r="G31" i="106"/>
  <c r="N21" i="106"/>
  <c r="BA4" i="106"/>
  <c r="AX43" i="106"/>
  <c r="B35" i="777"/>
  <c r="L9" i="106"/>
  <c r="P30" i="106"/>
  <c r="T141" i="528"/>
  <c r="O6" i="689" a="1"/>
  <c r="I41" i="106"/>
  <c r="G30" i="99"/>
  <c r="D4" i="851"/>
  <c r="P30" i="99"/>
  <c r="G95" i="227"/>
  <c r="L22" i="87"/>
  <c r="O18" i="106"/>
  <c r="G139" i="227"/>
  <c r="G38" i="227"/>
  <c r="G43" i="106"/>
  <c r="B19" i="775"/>
  <c r="G134" i="227"/>
  <c r="F38" i="687"/>
  <c r="M38" i="106"/>
  <c r="G31" i="227"/>
  <c r="V14" i="106"/>
  <c r="B13" i="778"/>
  <c r="D79" i="776"/>
  <c r="G25" i="227"/>
  <c r="I19" i="106"/>
  <c r="V6" i="106"/>
  <c r="A3" i="774"/>
  <c r="D77" i="776"/>
  <c r="J7" i="106"/>
  <c r="I27" i="106"/>
  <c r="O25" i="689" a="1"/>
  <c r="AK19" i="106"/>
  <c r="K10" i="106"/>
  <c r="AR47" i="106"/>
  <c r="L13" i="106"/>
  <c r="I38" i="687"/>
  <c r="G62" i="227"/>
  <c r="G12" i="106"/>
  <c r="D15" i="528"/>
  <c r="AY33" i="106"/>
  <c r="O30" i="106"/>
  <c r="M40" i="106"/>
  <c r="O44" i="106"/>
  <c r="T140" i="528"/>
  <c r="N35" i="106"/>
  <c r="B10" i="779"/>
  <c r="J15" i="106"/>
  <c r="J6" i="106"/>
  <c r="AX67" i="106"/>
  <c r="H25" i="106"/>
  <c r="H4" i="106"/>
  <c r="S143" i="528"/>
  <c r="L27" i="106"/>
  <c r="AL29" i="106"/>
  <c r="AL4" i="106"/>
  <c r="G36" i="227"/>
  <c r="AR34" i="106"/>
  <c r="U142" i="528"/>
  <c r="AK35" i="106"/>
  <c r="B10" i="776"/>
  <c r="O41" i="106"/>
  <c r="D6" i="99"/>
  <c r="G53" i="227"/>
  <c r="AV21" i="106"/>
  <c r="M2" i="106"/>
  <c r="AR2" i="106" s="1"/>
  <c r="AL37" i="106"/>
  <c r="I38" i="106"/>
  <c r="I44" i="106"/>
  <c r="A7" i="775"/>
  <c r="AV13" i="106"/>
  <c r="AX37" i="106"/>
  <c r="AX20" i="106"/>
  <c r="O37" i="106"/>
  <c r="F44" i="777"/>
  <c r="B25" i="778"/>
  <c r="L30" i="687"/>
  <c r="AY31" i="106"/>
  <c r="I28" i="106"/>
  <c r="D16" i="849"/>
  <c r="G83" i="227"/>
  <c r="AX64" i="106"/>
  <c r="G125" i="227"/>
  <c r="AK37" i="106"/>
  <c r="I42" i="106"/>
  <c r="AR10" i="106"/>
  <c r="AY26" i="106"/>
  <c r="K8" i="106"/>
  <c r="F44" i="779"/>
  <c r="K35" i="106"/>
  <c r="K25" i="106"/>
  <c r="O29" i="106"/>
  <c r="AR9" i="106"/>
  <c r="M46" i="106"/>
  <c r="J13" i="106"/>
  <c r="H44" i="106"/>
  <c r="BA40" i="106"/>
  <c r="J28" i="106"/>
  <c r="AV18" i="106"/>
  <c r="J74" i="853"/>
  <c r="G90" i="227"/>
  <c r="AR8" i="106"/>
  <c r="O2" i="106"/>
  <c r="AY3" i="106"/>
  <c r="AX4" i="106"/>
  <c r="O21" i="689" a="1"/>
  <c r="P34" i="106"/>
  <c r="D84" i="779"/>
  <c r="H34" i="687"/>
  <c r="AX11" i="106"/>
  <c r="AY9" i="106"/>
  <c r="J11" i="106"/>
  <c r="K3" i="106"/>
  <c r="I7" i="106"/>
  <c r="J74" i="847"/>
  <c r="AY11" i="106"/>
  <c r="E33" i="528"/>
  <c r="L32" i="528"/>
  <c r="B35" i="774"/>
  <c r="AY16" i="106"/>
  <c r="G127" i="227"/>
  <c r="D4" i="849"/>
  <c r="AK25" i="106"/>
  <c r="G14" i="227"/>
  <c r="F44" i="774"/>
  <c r="P20" i="106"/>
  <c r="G73" i="227"/>
  <c r="AL26" i="106"/>
  <c r="V32" i="106"/>
  <c r="D81" i="778"/>
  <c r="G6" i="106"/>
  <c r="AR3" i="106"/>
  <c r="AV23" i="106"/>
  <c r="O26" i="106"/>
  <c r="W142" i="528"/>
  <c r="G109" i="227"/>
  <c r="V8" i="106"/>
  <c r="H33" i="99"/>
  <c r="L31" i="106"/>
  <c r="G26" i="227"/>
  <c r="D38" i="99"/>
  <c r="O22" i="689" a="1"/>
  <c r="AY19" i="106"/>
  <c r="CH8" i="227"/>
  <c r="AY5" i="106"/>
  <c r="V46" i="106"/>
  <c r="V140" i="528"/>
  <c r="O25" i="689" l="1"/>
  <c r="F1192" i="857"/>
  <c r="E132" i="227"/>
  <c r="F132" i="227" s="1"/>
  <c r="F1139" i="857"/>
  <c r="F1093" i="857"/>
  <c r="F1124" i="857"/>
  <c r="E117" i="227"/>
  <c r="F117" i="227" s="1"/>
  <c r="AS69" i="106"/>
  <c r="D52" i="227"/>
  <c r="D97" i="227" s="1"/>
  <c r="D142" i="227" s="1"/>
  <c r="F924" i="857"/>
  <c r="I116" i="99"/>
  <c r="F1170" i="857"/>
  <c r="AI27" i="106"/>
  <c r="F951" i="857"/>
  <c r="E34" i="227"/>
  <c r="F34" i="227" s="1"/>
  <c r="AG27" i="106"/>
  <c r="AH27" i="106"/>
  <c r="C32" i="227"/>
  <c r="C77" i="227" s="1"/>
  <c r="C122" i="227" s="1"/>
  <c r="B95" i="794"/>
  <c r="B31" i="354"/>
  <c r="F859" i="857"/>
  <c r="D13" i="87"/>
  <c r="F106" i="857"/>
  <c r="D93" i="847"/>
  <c r="D6" i="847"/>
  <c r="D95" i="847"/>
  <c r="D97" i="847"/>
  <c r="AS43" i="106"/>
  <c r="E81" i="776"/>
  <c r="F2794" i="857" s="1"/>
  <c r="F2774" i="857"/>
  <c r="L81" i="776"/>
  <c r="E62" i="227"/>
  <c r="F62" i="227" s="1"/>
  <c r="F1024" i="857"/>
  <c r="F1047" i="857"/>
  <c r="E85" i="227"/>
  <c r="F85" i="227" s="1"/>
  <c r="O20" i="689"/>
  <c r="F976" i="857"/>
  <c r="F1141" i="857"/>
  <c r="E134" i="227"/>
  <c r="F134" i="227" s="1"/>
  <c r="AH18" i="106"/>
  <c r="AI18" i="106"/>
  <c r="E25" i="227"/>
  <c r="F25" i="227" s="1"/>
  <c r="F942" i="857"/>
  <c r="AG18" i="106"/>
  <c r="F1532" i="857"/>
  <c r="AM23" i="106"/>
  <c r="F982" i="857"/>
  <c r="C29" i="227"/>
  <c r="C74" i="227" s="1"/>
  <c r="C119" i="227" s="1"/>
  <c r="F856" i="857"/>
  <c r="B92" i="794"/>
  <c r="B28" i="354"/>
  <c r="F1102" i="857"/>
  <c r="E60" i="227"/>
  <c r="F60" i="227" s="1"/>
  <c r="F1022" i="857"/>
  <c r="BV54" i="227"/>
  <c r="BW54" i="227" s="1"/>
  <c r="BX54" i="227" s="1"/>
  <c r="BV55" i="227"/>
  <c r="BW55" i="227" s="1"/>
  <c r="BX55" i="227" s="1"/>
  <c r="BV14" i="227"/>
  <c r="BW14" i="227" s="1"/>
  <c r="BX14" i="227" s="1"/>
  <c r="BV15" i="227"/>
  <c r="BW15" i="227" s="1"/>
  <c r="BX15" i="227" s="1"/>
  <c r="BV50" i="227"/>
  <c r="BW50" i="227" s="1"/>
  <c r="BX50" i="227" s="1"/>
  <c r="BV68" i="227"/>
  <c r="BW68" i="227" s="1"/>
  <c r="BX68" i="227" s="1"/>
  <c r="BV67" i="227"/>
  <c r="BW67" i="227" s="1"/>
  <c r="BX67" i="227" s="1"/>
  <c r="BV41" i="227"/>
  <c r="BW41" i="227" s="1"/>
  <c r="BX41" i="227" s="1"/>
  <c r="BV59" i="227"/>
  <c r="BW59" i="227" s="1"/>
  <c r="BX59" i="227" s="1"/>
  <c r="BV47" i="227"/>
  <c r="BW47" i="227" s="1"/>
  <c r="BX47" i="227" s="1"/>
  <c r="BV20" i="227"/>
  <c r="BW20" i="227" s="1"/>
  <c r="BX20" i="227" s="1"/>
  <c r="BV25" i="227"/>
  <c r="BW25" i="227" s="1"/>
  <c r="BX25" i="227" s="1"/>
  <c r="BV51" i="227"/>
  <c r="BW51" i="227" s="1"/>
  <c r="BX51" i="227" s="1"/>
  <c r="BV43" i="227"/>
  <c r="BW43" i="227" s="1"/>
  <c r="BX43" i="227" s="1"/>
  <c r="BV39" i="227"/>
  <c r="BW39" i="227" s="1"/>
  <c r="BX39" i="227" s="1"/>
  <c r="BV32" i="227"/>
  <c r="BW32" i="227" s="1"/>
  <c r="BX32" i="227" s="1"/>
  <c r="BV63" i="227"/>
  <c r="BW63" i="227" s="1"/>
  <c r="BX63" i="227" s="1"/>
  <c r="BV49" i="227"/>
  <c r="BW49" i="227" s="1"/>
  <c r="BX49" i="227" s="1"/>
  <c r="BV46" i="227"/>
  <c r="BW46" i="227" s="1"/>
  <c r="BX46" i="227" s="1"/>
  <c r="BV12" i="227"/>
  <c r="BW12" i="227" s="1"/>
  <c r="BX12" i="227" s="1"/>
  <c r="BV62" i="227"/>
  <c r="BW62" i="227" s="1"/>
  <c r="BX62" i="227" s="1"/>
  <c r="BV42" i="227"/>
  <c r="BW42" i="227" s="1"/>
  <c r="BX42" i="227" s="1"/>
  <c r="BV57" i="227"/>
  <c r="BW57" i="227" s="1"/>
  <c r="BX57" i="227" s="1"/>
  <c r="BV21" i="227"/>
  <c r="BW21" i="227" s="1"/>
  <c r="BX21" i="227" s="1"/>
  <c r="BV33" i="227"/>
  <c r="BW33" i="227" s="1"/>
  <c r="BX33" i="227" s="1"/>
  <c r="BV56" i="227"/>
  <c r="BW56" i="227" s="1"/>
  <c r="BX56" i="227" s="1"/>
  <c r="BV34" i="227"/>
  <c r="BW34" i="227" s="1"/>
  <c r="BX34" i="227" s="1"/>
  <c r="BV48" i="227"/>
  <c r="BW48" i="227" s="1"/>
  <c r="BX48" i="227" s="1"/>
  <c r="BV13" i="227"/>
  <c r="BW13" i="227" s="1"/>
  <c r="BX13" i="227" s="1"/>
  <c r="BV37" i="227"/>
  <c r="BW37" i="227" s="1"/>
  <c r="BX37" i="227" s="1"/>
  <c r="BV29" i="227"/>
  <c r="BW29" i="227" s="1"/>
  <c r="BX29" i="227" s="1"/>
  <c r="BV64" i="227"/>
  <c r="BW64" i="227" s="1"/>
  <c r="BX64" i="227" s="1"/>
  <c r="BV53" i="227"/>
  <c r="BW53" i="227" s="1"/>
  <c r="BX53" i="227" s="1"/>
  <c r="BV26" i="227"/>
  <c r="BW26" i="227" s="1"/>
  <c r="BX26" i="227" s="1"/>
  <c r="BV65" i="227"/>
  <c r="BW65" i="227" s="1"/>
  <c r="BX65" i="227" s="1"/>
  <c r="BV44" i="227"/>
  <c r="BW44" i="227" s="1"/>
  <c r="BX44" i="227" s="1"/>
  <c r="BV40" i="227"/>
  <c r="BW40" i="227" s="1"/>
  <c r="BX40" i="227" s="1"/>
  <c r="BV52" i="227"/>
  <c r="BW52" i="227" s="1"/>
  <c r="BX52" i="227" s="1"/>
  <c r="BV31" i="227"/>
  <c r="BW31" i="227" s="1"/>
  <c r="BX31" i="227" s="1"/>
  <c r="BV35" i="227"/>
  <c r="BW35" i="227" s="1"/>
  <c r="BX35" i="227" s="1"/>
  <c r="BV11" i="227"/>
  <c r="BW11" i="227" s="1"/>
  <c r="BX11" i="227" s="1"/>
  <c r="BV38" i="227"/>
  <c r="BW38" i="227" s="1"/>
  <c r="BX38" i="227" s="1"/>
  <c r="BV16" i="227"/>
  <c r="BW16" i="227" s="1"/>
  <c r="BX16" i="227" s="1"/>
  <c r="BV17" i="227"/>
  <c r="BW17" i="227" s="1"/>
  <c r="BX17" i="227" s="1"/>
  <c r="BV22" i="227"/>
  <c r="BW22" i="227" s="1"/>
  <c r="BX22" i="227" s="1"/>
  <c r="BV36" i="227"/>
  <c r="BW36" i="227" s="1"/>
  <c r="BX36" i="227" s="1"/>
  <c r="BV18" i="227"/>
  <c r="BW18" i="227" s="1"/>
  <c r="BX18" i="227" s="1"/>
  <c r="BV60" i="227"/>
  <c r="BW60" i="227" s="1"/>
  <c r="BX60" i="227" s="1"/>
  <c r="BV69" i="227"/>
  <c r="BW69" i="227" s="1"/>
  <c r="BX69" i="227" s="1"/>
  <c r="BV28" i="227"/>
  <c r="BW28" i="227" s="1"/>
  <c r="BX28" i="227" s="1"/>
  <c r="BV27" i="227"/>
  <c r="BW27" i="227" s="1"/>
  <c r="BX27" i="227" s="1"/>
  <c r="BV58" i="227"/>
  <c r="BW58" i="227" s="1"/>
  <c r="BX58" i="227" s="1"/>
  <c r="BV24" i="227"/>
  <c r="BW24" i="227" s="1"/>
  <c r="BX24" i="227" s="1"/>
  <c r="BV23" i="227"/>
  <c r="BW23" i="227" s="1"/>
  <c r="BX23" i="227" s="1"/>
  <c r="BY18" i="227" s="1" a="1"/>
  <c r="BY18" i="227" s="1"/>
  <c r="BV10" i="227"/>
  <c r="BW10" i="227" s="1"/>
  <c r="BX10" i="227" s="1"/>
  <c r="BV66" i="227"/>
  <c r="BW66" i="227" s="1"/>
  <c r="BX66" i="227" s="1"/>
  <c r="BV61" i="227"/>
  <c r="BW61" i="227" s="1"/>
  <c r="BX61" i="227" s="1"/>
  <c r="BV30" i="227"/>
  <c r="BW30" i="227" s="1"/>
  <c r="BX30" i="227" s="1"/>
  <c r="BV19" i="227"/>
  <c r="BW19" i="227" s="1"/>
  <c r="BX19" i="227" s="1"/>
  <c r="BV71" i="227"/>
  <c r="BW71" i="227" s="1"/>
  <c r="BX71" i="227" s="1"/>
  <c r="BV72" i="227"/>
  <c r="BW72" i="227" s="1"/>
  <c r="BX72" i="227" s="1"/>
  <c r="BV70" i="227"/>
  <c r="BW70" i="227" s="1"/>
  <c r="BX70" i="227" s="1"/>
  <c r="F63" i="687"/>
  <c r="P61" i="687"/>
  <c r="P63" i="687" s="1"/>
  <c r="F1002" i="857"/>
  <c r="F1539" i="857"/>
  <c r="AM30" i="106"/>
  <c r="O27" i="689"/>
  <c r="F1084" i="857"/>
  <c r="O26" i="689"/>
  <c r="E143" i="227"/>
  <c r="F143" i="227" s="1"/>
  <c r="F1150" i="857"/>
  <c r="B101" i="794"/>
  <c r="C38" i="227"/>
  <c r="C83" i="227" s="1"/>
  <c r="C128" i="227" s="1"/>
  <c r="B37" i="354"/>
  <c r="F865" i="857"/>
  <c r="F2770" i="857"/>
  <c r="E77" i="776"/>
  <c r="F2790" i="857" s="1"/>
  <c r="L77" i="776"/>
  <c r="L86" i="779"/>
  <c r="F3685" i="857"/>
  <c r="E86" i="779"/>
  <c r="F3705" i="857" s="1"/>
  <c r="D5" i="112"/>
  <c r="D7" i="112"/>
  <c r="C157" i="794"/>
  <c r="C15" i="112"/>
  <c r="C155" i="794"/>
  <c r="C8" i="112"/>
  <c r="D10" i="688"/>
  <c r="D9" i="688"/>
  <c r="D18" i="688" s="1"/>
  <c r="D32" i="688"/>
  <c r="D33" i="688"/>
  <c r="D12" i="688"/>
  <c r="F11" i="112"/>
  <c r="D14" i="688"/>
  <c r="F881" i="857"/>
  <c r="D13" i="112"/>
  <c r="F15" i="112"/>
  <c r="C145" i="794"/>
  <c r="C11" i="112"/>
  <c r="D17" i="688"/>
  <c r="D38" i="688"/>
  <c r="H38" i="688" s="1"/>
  <c r="F5" i="112"/>
  <c r="C149" i="794"/>
  <c r="D30" i="688"/>
  <c r="D39" i="688"/>
  <c r="C147" i="794"/>
  <c r="D16" i="688"/>
  <c r="C10" i="112"/>
  <c r="C13" i="112"/>
  <c r="D36" i="688"/>
  <c r="D13" i="688"/>
  <c r="D31" i="688"/>
  <c r="C151" i="794"/>
  <c r="C156" i="794"/>
  <c r="D34" i="688"/>
  <c r="D55" i="688" a="1"/>
  <c r="D55" i="688" s="1"/>
  <c r="D9" i="112"/>
  <c r="F7" i="112"/>
  <c r="D8" i="688"/>
  <c r="F9" i="112"/>
  <c r="D8" i="112"/>
  <c r="C7" i="112"/>
  <c r="D41" i="688"/>
  <c r="F8" i="112"/>
  <c r="D9" i="227"/>
  <c r="D54" i="227" s="1"/>
  <c r="D99" i="227" s="1"/>
  <c r="C5" i="112"/>
  <c r="D40" i="688"/>
  <c r="D15" i="688"/>
  <c r="C148" i="794"/>
  <c r="D11" i="688"/>
  <c r="C150" i="794"/>
  <c r="D35" i="688"/>
  <c r="D29" i="688"/>
  <c r="D11" i="112"/>
  <c r="C9" i="112"/>
  <c r="D15" i="112"/>
  <c r="C154" i="794"/>
  <c r="F16" i="112"/>
  <c r="C16" i="112" a="1"/>
  <c r="C16" i="112" s="1"/>
  <c r="D16" i="112" a="1"/>
  <c r="D16" i="112" s="1"/>
  <c r="D54" i="688" a="1"/>
  <c r="D54" i="688" s="1"/>
  <c r="D14" i="112"/>
  <c r="F13" i="112"/>
  <c r="C153" i="794"/>
  <c r="F14" i="112"/>
  <c r="C14" i="112"/>
  <c r="D37" i="688"/>
  <c r="D10" i="112"/>
  <c r="F10" i="112"/>
  <c r="AS68" i="106"/>
  <c r="F1035" i="857"/>
  <c r="E73" i="227"/>
  <c r="F73" i="227" s="1"/>
  <c r="F96" i="857"/>
  <c r="F8" i="87"/>
  <c r="B13" i="87"/>
  <c r="F100" i="857"/>
  <c r="F12" i="87"/>
  <c r="B18" i="528"/>
  <c r="D37" i="687"/>
  <c r="D37" i="99"/>
  <c r="F1164" i="857"/>
  <c r="F2472" i="857"/>
  <c r="L81" i="775"/>
  <c r="E81" i="775"/>
  <c r="F2492" i="857" s="1"/>
  <c r="B114" i="794"/>
  <c r="C51" i="227"/>
  <c r="C96" i="227" s="1"/>
  <c r="C141" i="227" s="1"/>
  <c r="B50" i="354"/>
  <c r="F878" i="857"/>
  <c r="F1162" i="857"/>
  <c r="AS10" i="106"/>
  <c r="F1285" i="857"/>
  <c r="AM33" i="106"/>
  <c r="F1542" i="857"/>
  <c r="F1522" i="857"/>
  <c r="AM13" i="106"/>
  <c r="E80" i="775"/>
  <c r="F2491" i="857" s="1"/>
  <c r="L80" i="775"/>
  <c r="F2471" i="857"/>
  <c r="F1070" i="857"/>
  <c r="F1281" i="857"/>
  <c r="D20" i="227"/>
  <c r="D65" i="227" s="1"/>
  <c r="D110" i="227" s="1"/>
  <c r="F892" i="857"/>
  <c r="Q61" i="687"/>
  <c r="Q63" i="687" s="1"/>
  <c r="L63" i="687"/>
  <c r="DV38" i="227"/>
  <c r="DW38" i="227" s="1"/>
  <c r="DX38" i="227" s="1"/>
  <c r="DV72" i="227"/>
  <c r="DW72" i="227" s="1"/>
  <c r="DX72" i="227" s="1"/>
  <c r="DV40" i="227"/>
  <c r="DW40" i="227" s="1"/>
  <c r="DX40" i="227" s="1"/>
  <c r="DV69" i="227"/>
  <c r="DW69" i="227" s="1"/>
  <c r="DX69" i="227" s="1"/>
  <c r="DV48" i="227"/>
  <c r="DW48" i="227" s="1"/>
  <c r="DX48" i="227" s="1"/>
  <c r="DV28" i="227"/>
  <c r="DW28" i="227" s="1"/>
  <c r="DX28" i="227" s="1"/>
  <c r="DV17" i="227"/>
  <c r="DW17" i="227" s="1"/>
  <c r="DX17" i="227" s="1"/>
  <c r="DV49" i="227"/>
  <c r="DW49" i="227" s="1"/>
  <c r="DX49" i="227" s="1"/>
  <c r="DV16" i="227"/>
  <c r="DW16" i="227" s="1"/>
  <c r="DX16" i="227" s="1"/>
  <c r="DV71" i="227"/>
  <c r="DW71" i="227" s="1"/>
  <c r="DX71" i="227" s="1"/>
  <c r="DV12" i="227"/>
  <c r="DW12" i="227" s="1"/>
  <c r="DX12" i="227" s="1"/>
  <c r="DV54" i="227"/>
  <c r="DW54" i="227" s="1"/>
  <c r="DX54" i="227" s="1"/>
  <c r="DV58" i="227"/>
  <c r="DW58" i="227" s="1"/>
  <c r="DX58" i="227" s="1"/>
  <c r="DV24" i="227"/>
  <c r="DW24" i="227" s="1"/>
  <c r="DX24" i="227" s="1"/>
  <c r="DV70" i="227"/>
  <c r="DW70" i="227" s="1"/>
  <c r="DX70" i="227" s="1"/>
  <c r="DV62" i="227"/>
  <c r="DW62" i="227" s="1"/>
  <c r="DX62" i="227" s="1"/>
  <c r="DV31" i="227"/>
  <c r="DW31" i="227" s="1"/>
  <c r="DX31" i="227" s="1"/>
  <c r="DV25" i="227"/>
  <c r="DW25" i="227" s="1"/>
  <c r="DX25" i="227" s="1"/>
  <c r="DV23" i="227"/>
  <c r="DW23" i="227" s="1"/>
  <c r="DX23" i="227" s="1"/>
  <c r="DV47" i="227"/>
  <c r="DW47" i="227" s="1"/>
  <c r="DX47" i="227" s="1"/>
  <c r="DV46" i="227"/>
  <c r="DW46" i="227" s="1"/>
  <c r="DX46" i="227" s="1"/>
  <c r="DV26" i="227"/>
  <c r="DW26" i="227" s="1"/>
  <c r="DX26" i="227" s="1"/>
  <c r="DV52" i="227"/>
  <c r="DW52" i="227" s="1"/>
  <c r="DX52" i="227" s="1"/>
  <c r="DV27" i="227"/>
  <c r="DW27" i="227" s="1"/>
  <c r="DX27" i="227" s="1"/>
  <c r="DV41" i="227"/>
  <c r="DW41" i="227" s="1"/>
  <c r="DX41" i="227" s="1"/>
  <c r="DV36" i="227"/>
  <c r="DW36" i="227" s="1"/>
  <c r="DX36" i="227" s="1"/>
  <c r="DV56" i="227"/>
  <c r="DW56" i="227" s="1"/>
  <c r="DX56" i="227" s="1"/>
  <c r="DV53" i="227"/>
  <c r="DW53" i="227" s="1"/>
  <c r="DX53" i="227" s="1"/>
  <c r="DV67" i="227"/>
  <c r="DW67" i="227" s="1"/>
  <c r="DX67" i="227" s="1"/>
  <c r="DV33" i="227"/>
  <c r="DW33" i="227" s="1"/>
  <c r="DX33" i="227" s="1"/>
  <c r="DV61" i="227"/>
  <c r="DW61" i="227" s="1"/>
  <c r="DX61" i="227" s="1"/>
  <c r="DV63" i="227"/>
  <c r="DW63" i="227" s="1"/>
  <c r="DX63" i="227" s="1"/>
  <c r="DV66" i="227"/>
  <c r="DW66" i="227" s="1"/>
  <c r="DX66" i="227" s="1"/>
  <c r="DV42" i="227"/>
  <c r="DW42" i="227" s="1"/>
  <c r="DX42" i="227" s="1"/>
  <c r="DV20" i="227"/>
  <c r="DW20" i="227" s="1"/>
  <c r="DX20" i="227" s="1"/>
  <c r="DV21" i="227"/>
  <c r="DW21" i="227" s="1"/>
  <c r="DX21" i="227" s="1"/>
  <c r="DV51" i="227"/>
  <c r="DW51" i="227" s="1"/>
  <c r="DX51" i="227" s="1"/>
  <c r="DV22" i="227"/>
  <c r="DW22" i="227" s="1"/>
  <c r="DX22" i="227" s="1"/>
  <c r="DV32" i="227"/>
  <c r="DW32" i="227" s="1"/>
  <c r="DX32" i="227" s="1"/>
  <c r="DV37" i="227"/>
  <c r="DW37" i="227" s="1"/>
  <c r="DX37" i="227" s="1"/>
  <c r="DV57" i="227"/>
  <c r="DW57" i="227" s="1"/>
  <c r="DX57" i="227" s="1"/>
  <c r="DV19" i="227"/>
  <c r="DW19" i="227" s="1"/>
  <c r="DX19" i="227" s="1"/>
  <c r="DV30" i="227"/>
  <c r="DW30" i="227" s="1"/>
  <c r="DX30" i="227" s="1"/>
  <c r="DV14" i="227"/>
  <c r="DW14" i="227" s="1"/>
  <c r="DX14" i="227" s="1"/>
  <c r="DV43" i="227"/>
  <c r="DW43" i="227" s="1"/>
  <c r="DX43" i="227" s="1"/>
  <c r="DV64" i="227"/>
  <c r="DW64" i="227" s="1"/>
  <c r="DX64" i="227" s="1"/>
  <c r="DV39" i="227"/>
  <c r="DW39" i="227" s="1"/>
  <c r="DX39" i="227" s="1"/>
  <c r="DV68" i="227"/>
  <c r="DW68" i="227" s="1"/>
  <c r="DX68" i="227" s="1"/>
  <c r="DV34" i="227"/>
  <c r="DW34" i="227" s="1"/>
  <c r="DX34" i="227" s="1"/>
  <c r="DV55" i="227"/>
  <c r="DW55" i="227" s="1"/>
  <c r="DX55" i="227" s="1"/>
  <c r="DV15" i="227"/>
  <c r="DW15" i="227" s="1"/>
  <c r="DX15" i="227" s="1"/>
  <c r="DV29" i="227"/>
  <c r="DW29" i="227" s="1"/>
  <c r="DX29" i="227" s="1"/>
  <c r="DV44" i="227"/>
  <c r="DW44" i="227" s="1"/>
  <c r="DX44" i="227" s="1"/>
  <c r="DV35" i="227"/>
  <c r="DW35" i="227" s="1"/>
  <c r="DX35" i="227" s="1"/>
  <c r="DV59" i="227"/>
  <c r="DW59" i="227" s="1"/>
  <c r="DX59" i="227" s="1"/>
  <c r="DV18" i="227"/>
  <c r="DW18" i="227" s="1"/>
  <c r="DX18" i="227" s="1"/>
  <c r="DV13" i="227"/>
  <c r="DW13" i="227" s="1"/>
  <c r="DX13" i="227" s="1"/>
  <c r="DV50" i="227"/>
  <c r="DW50" i="227" s="1"/>
  <c r="DX50" i="227" s="1"/>
  <c r="DV65" i="227"/>
  <c r="DW65" i="227" s="1"/>
  <c r="DX65" i="227" s="1"/>
  <c r="DV10" i="227"/>
  <c r="DW10" i="227" s="1"/>
  <c r="DX10" i="227" s="1"/>
  <c r="DV11" i="227"/>
  <c r="DW11" i="227" s="1"/>
  <c r="DX11" i="227" s="1"/>
  <c r="DY42" i="227" s="1" a="1"/>
  <c r="DY42" i="227" s="1"/>
  <c r="DV60" i="227"/>
  <c r="DW60" i="227" s="1"/>
  <c r="DX60" i="227" s="1"/>
  <c r="BB71" i="227"/>
  <c r="BC71" i="227" s="1"/>
  <c r="BD71" i="227" s="1"/>
  <c r="BB65" i="227"/>
  <c r="BC65" i="227" s="1"/>
  <c r="BD65" i="227" s="1"/>
  <c r="BB36" i="227"/>
  <c r="BC36" i="227" s="1"/>
  <c r="BD36" i="227" s="1"/>
  <c r="BB11" i="227"/>
  <c r="BC11" i="227" s="1"/>
  <c r="BD11" i="227" s="1"/>
  <c r="BB67" i="227"/>
  <c r="BC67" i="227" s="1"/>
  <c r="BD67" i="227" s="1"/>
  <c r="BB21" i="227"/>
  <c r="BC21" i="227" s="1"/>
  <c r="BD21" i="227" s="1"/>
  <c r="BB41" i="227"/>
  <c r="BC41" i="227" s="1"/>
  <c r="BD41" i="227" s="1"/>
  <c r="BB31" i="227"/>
  <c r="BC31" i="227" s="1"/>
  <c r="BD31" i="227" s="1"/>
  <c r="BB52" i="227"/>
  <c r="BC52" i="227" s="1"/>
  <c r="BD52" i="227" s="1"/>
  <c r="BB12" i="227"/>
  <c r="BC12" i="227" s="1"/>
  <c r="BD12" i="227" s="1"/>
  <c r="BB10" i="227"/>
  <c r="BC10" i="227" s="1"/>
  <c r="BD10" i="227" s="1"/>
  <c r="BE47" i="227" s="1" a="1"/>
  <c r="BE47" i="227" s="1"/>
  <c r="BB42" i="227"/>
  <c r="BC42" i="227" s="1"/>
  <c r="BD42" i="227" s="1"/>
  <c r="BB72" i="227"/>
  <c r="BC72" i="227" s="1"/>
  <c r="BD72" i="227" s="1"/>
  <c r="BB25" i="227"/>
  <c r="BC25" i="227" s="1"/>
  <c r="BD25" i="227" s="1"/>
  <c r="BB35" i="227"/>
  <c r="BC35" i="227" s="1"/>
  <c r="BD35" i="227" s="1"/>
  <c r="BB62" i="227"/>
  <c r="BC62" i="227" s="1"/>
  <c r="BD62" i="227" s="1"/>
  <c r="BB49" i="227"/>
  <c r="BC49" i="227" s="1"/>
  <c r="BD49" i="227" s="1"/>
  <c r="BB14" i="227"/>
  <c r="BC14" i="227" s="1"/>
  <c r="BD14" i="227" s="1"/>
  <c r="BB20" i="227"/>
  <c r="BC20" i="227" s="1"/>
  <c r="BD20" i="227" s="1"/>
  <c r="BB63" i="227"/>
  <c r="BC63" i="227" s="1"/>
  <c r="BD63" i="227" s="1"/>
  <c r="BB24" i="227"/>
  <c r="BC24" i="227" s="1"/>
  <c r="BD24" i="227" s="1"/>
  <c r="BB40" i="227"/>
  <c r="BC40" i="227" s="1"/>
  <c r="BD40" i="227" s="1"/>
  <c r="BB43" i="227"/>
  <c r="BC43" i="227" s="1"/>
  <c r="BD43" i="227" s="1"/>
  <c r="BB69" i="227"/>
  <c r="BC69" i="227" s="1"/>
  <c r="BD69" i="227" s="1"/>
  <c r="BB61" i="227"/>
  <c r="BC61" i="227" s="1"/>
  <c r="BD61" i="227" s="1"/>
  <c r="BB22" i="227"/>
  <c r="BC22" i="227" s="1"/>
  <c r="BD22" i="227" s="1"/>
  <c r="BB64" i="227"/>
  <c r="BC64" i="227" s="1"/>
  <c r="BD64" i="227" s="1"/>
  <c r="BB56" i="227"/>
  <c r="BC56" i="227" s="1"/>
  <c r="BD56" i="227" s="1"/>
  <c r="BB33" i="227"/>
  <c r="BC33" i="227" s="1"/>
  <c r="BD33" i="227" s="1"/>
  <c r="BB38" i="227"/>
  <c r="BC38" i="227" s="1"/>
  <c r="BD38" i="227" s="1"/>
  <c r="BB27" i="227"/>
  <c r="BC27" i="227" s="1"/>
  <c r="BD27" i="227" s="1"/>
  <c r="BB18" i="227"/>
  <c r="BC18" i="227" s="1"/>
  <c r="BD18" i="227" s="1"/>
  <c r="BB26" i="227"/>
  <c r="BC26" i="227" s="1"/>
  <c r="BD26" i="227" s="1"/>
  <c r="BB15" i="227"/>
  <c r="BC15" i="227" s="1"/>
  <c r="BD15" i="227" s="1"/>
  <c r="BB23" i="227"/>
  <c r="BC23" i="227" s="1"/>
  <c r="BD23" i="227" s="1"/>
  <c r="BB51" i="227"/>
  <c r="BC51" i="227" s="1"/>
  <c r="BD51" i="227" s="1"/>
  <c r="BB37" i="227"/>
  <c r="BC37" i="227" s="1"/>
  <c r="BD37" i="227" s="1"/>
  <c r="BB60" i="227"/>
  <c r="BC60" i="227" s="1"/>
  <c r="BD60" i="227" s="1"/>
  <c r="BB46" i="227"/>
  <c r="BC46" i="227" s="1"/>
  <c r="BD46" i="227" s="1"/>
  <c r="BB19" i="227"/>
  <c r="BC19" i="227" s="1"/>
  <c r="BD19" i="227" s="1"/>
  <c r="BB28" i="227"/>
  <c r="BC28" i="227" s="1"/>
  <c r="BD28" i="227" s="1"/>
  <c r="BB68" i="227"/>
  <c r="BC68" i="227" s="1"/>
  <c r="BD68" i="227" s="1"/>
  <c r="BB34" i="227"/>
  <c r="BC34" i="227" s="1"/>
  <c r="BD34" i="227" s="1"/>
  <c r="BB13" i="227"/>
  <c r="BC13" i="227" s="1"/>
  <c r="BD13" i="227" s="1"/>
  <c r="BB50" i="227"/>
  <c r="BC50" i="227" s="1"/>
  <c r="BD50" i="227" s="1"/>
  <c r="BB48" i="227"/>
  <c r="BC48" i="227" s="1"/>
  <c r="BD48" i="227" s="1"/>
  <c r="BB54" i="227"/>
  <c r="BC54" i="227" s="1"/>
  <c r="BD54" i="227" s="1"/>
  <c r="BB32" i="227"/>
  <c r="BC32" i="227" s="1"/>
  <c r="BD32" i="227" s="1"/>
  <c r="BB58" i="227"/>
  <c r="BC58" i="227" s="1"/>
  <c r="BD58" i="227" s="1"/>
  <c r="BB47" i="227"/>
  <c r="BC47" i="227" s="1"/>
  <c r="BD47" i="227" s="1"/>
  <c r="BB53" i="227"/>
  <c r="BC53" i="227" s="1"/>
  <c r="BD53" i="227" s="1"/>
  <c r="BB17" i="227"/>
  <c r="BC17" i="227" s="1"/>
  <c r="BD17" i="227" s="1"/>
  <c r="BB59" i="227"/>
  <c r="BC59" i="227" s="1"/>
  <c r="BD59" i="227" s="1"/>
  <c r="BB29" i="227"/>
  <c r="BC29" i="227" s="1"/>
  <c r="BD29" i="227" s="1"/>
  <c r="BB16" i="227"/>
  <c r="BC16" i="227" s="1"/>
  <c r="BD16" i="227" s="1"/>
  <c r="BB55" i="227"/>
  <c r="BC55" i="227" s="1"/>
  <c r="BD55" i="227" s="1"/>
  <c r="BB57" i="227"/>
  <c r="BC57" i="227" s="1"/>
  <c r="BD57" i="227" s="1"/>
  <c r="BB70" i="227"/>
  <c r="BC70" i="227" s="1"/>
  <c r="BD70" i="227" s="1"/>
  <c r="BB66" i="227"/>
  <c r="BC66" i="227" s="1"/>
  <c r="BD66" i="227" s="1"/>
  <c r="BB30" i="227"/>
  <c r="BC30" i="227" s="1"/>
  <c r="BD30" i="227" s="1"/>
  <c r="BB39" i="227"/>
  <c r="BC39" i="227" s="1"/>
  <c r="BD39" i="227" s="1"/>
  <c r="BB44" i="227"/>
  <c r="BC44" i="227" s="1"/>
  <c r="BD44" i="227" s="1"/>
  <c r="AM46" i="106"/>
  <c r="F1555" i="857"/>
  <c r="O6" i="689"/>
  <c r="F989" i="857"/>
  <c r="BF22" i="227"/>
  <c r="BG22" i="227" s="1"/>
  <c r="BH22" i="227" s="1"/>
  <c r="BF20" i="227"/>
  <c r="BG20" i="227" s="1"/>
  <c r="BH20" i="227" s="1"/>
  <c r="BF17" i="227"/>
  <c r="BG17" i="227" s="1"/>
  <c r="BH17" i="227" s="1"/>
  <c r="BF24" i="227"/>
  <c r="BG24" i="227" s="1"/>
  <c r="BH24" i="227" s="1"/>
  <c r="BF59" i="227"/>
  <c r="BG59" i="227" s="1"/>
  <c r="BH59" i="227" s="1"/>
  <c r="BF48" i="227"/>
  <c r="BG48" i="227" s="1"/>
  <c r="BH48" i="227" s="1"/>
  <c r="BF47" i="227"/>
  <c r="BG47" i="227" s="1"/>
  <c r="BH47" i="227" s="1"/>
  <c r="BF55" i="227"/>
  <c r="BG55" i="227" s="1"/>
  <c r="BH55" i="227" s="1"/>
  <c r="BF37" i="227"/>
  <c r="BG37" i="227" s="1"/>
  <c r="BH37" i="227" s="1"/>
  <c r="BF18" i="227"/>
  <c r="BG18" i="227" s="1"/>
  <c r="BH18" i="227" s="1"/>
  <c r="BF64" i="227"/>
  <c r="BG64" i="227" s="1"/>
  <c r="BH64" i="227" s="1"/>
  <c r="BF23" i="227"/>
  <c r="BG23" i="227" s="1"/>
  <c r="BH23" i="227" s="1"/>
  <c r="BF66" i="227"/>
  <c r="BG66" i="227" s="1"/>
  <c r="BH66" i="227" s="1"/>
  <c r="BF21" i="227"/>
  <c r="BG21" i="227" s="1"/>
  <c r="BH21" i="227" s="1"/>
  <c r="BF69" i="227"/>
  <c r="BG69" i="227" s="1"/>
  <c r="BH69" i="227" s="1"/>
  <c r="BF26" i="227"/>
  <c r="BG26" i="227" s="1"/>
  <c r="BH26" i="227" s="1"/>
  <c r="BF33" i="227"/>
  <c r="BG33" i="227" s="1"/>
  <c r="BH33" i="227" s="1"/>
  <c r="BF16" i="227"/>
  <c r="BG16" i="227" s="1"/>
  <c r="BH16" i="227" s="1"/>
  <c r="BF19" i="227"/>
  <c r="BG19" i="227" s="1"/>
  <c r="BH19" i="227" s="1"/>
  <c r="BF63" i="227"/>
  <c r="BG63" i="227" s="1"/>
  <c r="BH63" i="227" s="1"/>
  <c r="BF60" i="227"/>
  <c r="BG60" i="227" s="1"/>
  <c r="BH60" i="227" s="1"/>
  <c r="BF15" i="227"/>
  <c r="BG15" i="227" s="1"/>
  <c r="BH15" i="227" s="1"/>
  <c r="BF50" i="227"/>
  <c r="BG50" i="227" s="1"/>
  <c r="BH50" i="227" s="1"/>
  <c r="BF28" i="227"/>
  <c r="BG28" i="227" s="1"/>
  <c r="BH28" i="227" s="1"/>
  <c r="BF57" i="227"/>
  <c r="BG57" i="227" s="1"/>
  <c r="BH57" i="227" s="1"/>
  <c r="BF68" i="227"/>
  <c r="BG68" i="227" s="1"/>
  <c r="BH68" i="227" s="1"/>
  <c r="BF39" i="227"/>
  <c r="BG39" i="227" s="1"/>
  <c r="BH39" i="227" s="1"/>
  <c r="BF42" i="227"/>
  <c r="BG42" i="227" s="1"/>
  <c r="BH42" i="227" s="1"/>
  <c r="BF36" i="227"/>
  <c r="BG36" i="227" s="1"/>
  <c r="BH36" i="227" s="1"/>
  <c r="BF51" i="227"/>
  <c r="BG51" i="227" s="1"/>
  <c r="BH51" i="227" s="1"/>
  <c r="BF14" i="227"/>
  <c r="BG14" i="227" s="1"/>
  <c r="BH14" i="227" s="1"/>
  <c r="BF65" i="227"/>
  <c r="BG65" i="227" s="1"/>
  <c r="BH65" i="227" s="1"/>
  <c r="BF61" i="227"/>
  <c r="BG61" i="227" s="1"/>
  <c r="BH61" i="227" s="1"/>
  <c r="BF35" i="227"/>
  <c r="BG35" i="227" s="1"/>
  <c r="BH35" i="227" s="1"/>
  <c r="BF62" i="227"/>
  <c r="BG62" i="227" s="1"/>
  <c r="BH62" i="227" s="1"/>
  <c r="BF31" i="227"/>
  <c r="BG31" i="227" s="1"/>
  <c r="BH31" i="227" s="1"/>
  <c r="BF58" i="227"/>
  <c r="BG58" i="227" s="1"/>
  <c r="BH58" i="227" s="1"/>
  <c r="BF43" i="227"/>
  <c r="BG43" i="227" s="1"/>
  <c r="BH43" i="227" s="1"/>
  <c r="BF54" i="227"/>
  <c r="BG54" i="227" s="1"/>
  <c r="BH54" i="227" s="1"/>
  <c r="BF13" i="227"/>
  <c r="BG13" i="227" s="1"/>
  <c r="BH13" i="227" s="1"/>
  <c r="BF10" i="227"/>
  <c r="BG10" i="227" s="1"/>
  <c r="BH10" i="227" s="1"/>
  <c r="BI15" i="227" s="1" a="1"/>
  <c r="BI15" i="227" s="1"/>
  <c r="BF25" i="227"/>
  <c r="BG25" i="227" s="1"/>
  <c r="BH25" i="227" s="1"/>
  <c r="BF32" i="227"/>
  <c r="BG32" i="227" s="1"/>
  <c r="BH32" i="227" s="1"/>
  <c r="BF67" i="227"/>
  <c r="BG67" i="227" s="1"/>
  <c r="BH67" i="227" s="1"/>
  <c r="BF44" i="227"/>
  <c r="BG44" i="227" s="1"/>
  <c r="BH44" i="227" s="1"/>
  <c r="BF49" i="227"/>
  <c r="BG49" i="227" s="1"/>
  <c r="BH49" i="227" s="1"/>
  <c r="BF70" i="227"/>
  <c r="BG70" i="227" s="1"/>
  <c r="BH70" i="227" s="1"/>
  <c r="BF38" i="227"/>
  <c r="BG38" i="227" s="1"/>
  <c r="BH38" i="227" s="1"/>
  <c r="BF53" i="227"/>
  <c r="BG53" i="227" s="1"/>
  <c r="BH53" i="227" s="1"/>
  <c r="BF30" i="227"/>
  <c r="BG30" i="227" s="1"/>
  <c r="BH30" i="227" s="1"/>
  <c r="BF41" i="227"/>
  <c r="BG41" i="227" s="1"/>
  <c r="BH41" i="227" s="1"/>
  <c r="BF34" i="227"/>
  <c r="BG34" i="227" s="1"/>
  <c r="BH34" i="227" s="1"/>
  <c r="BF29" i="227"/>
  <c r="BG29" i="227" s="1"/>
  <c r="BH29" i="227" s="1"/>
  <c r="BF40" i="227"/>
  <c r="BG40" i="227" s="1"/>
  <c r="BH40" i="227" s="1"/>
  <c r="BF56" i="227"/>
  <c r="BG56" i="227" s="1"/>
  <c r="BH56" i="227" s="1"/>
  <c r="BF46" i="227"/>
  <c r="BG46" i="227" s="1"/>
  <c r="BH46" i="227" s="1"/>
  <c r="BF72" i="227"/>
  <c r="BG72" i="227" s="1"/>
  <c r="BH72" i="227" s="1"/>
  <c r="BF12" i="227"/>
  <c r="BG12" i="227" s="1"/>
  <c r="BH12" i="227" s="1"/>
  <c r="BF52" i="227"/>
  <c r="BG52" i="227" s="1"/>
  <c r="BH52" i="227" s="1"/>
  <c r="BF27" i="227"/>
  <c r="BG27" i="227" s="1"/>
  <c r="BH27" i="227" s="1"/>
  <c r="BF71" i="227"/>
  <c r="BG71" i="227" s="1"/>
  <c r="BH71" i="227" s="1"/>
  <c r="BF11" i="227"/>
  <c r="BG11" i="227" s="1"/>
  <c r="BH11" i="227" s="1"/>
  <c r="F966" i="857"/>
  <c r="AI42" i="106"/>
  <c r="E50" i="227"/>
  <c r="F50" i="227" s="1"/>
  <c r="AH42" i="106"/>
  <c r="AG42" i="106"/>
  <c r="F1217" i="857"/>
  <c r="E124" i="227"/>
  <c r="F124" i="227" s="1"/>
  <c r="F1131" i="857"/>
  <c r="AM6" i="106"/>
  <c r="F1515" i="857"/>
  <c r="F977" i="857"/>
  <c r="D19" i="227"/>
  <c r="D64" i="227" s="1"/>
  <c r="D109" i="227" s="1"/>
  <c r="F891" i="857"/>
  <c r="AM43" i="106"/>
  <c r="F1552" i="857"/>
  <c r="F850" i="857"/>
  <c r="B22" i="354"/>
  <c r="BH22" i="354" s="1"/>
  <c r="C23" i="227"/>
  <c r="C68" i="227" s="1"/>
  <c r="C113" i="227" s="1"/>
  <c r="B86" i="794"/>
  <c r="F1174" i="857"/>
  <c r="E112" i="99"/>
  <c r="S34" i="99"/>
  <c r="D16" i="227"/>
  <c r="D61" i="227" s="1"/>
  <c r="D106" i="227" s="1"/>
  <c r="F888" i="857"/>
  <c r="F86" i="857"/>
  <c r="K18" i="528"/>
  <c r="D51" i="227"/>
  <c r="D96" i="227" s="1"/>
  <c r="D141" i="227" s="1"/>
  <c r="F923" i="857"/>
  <c r="O63" i="687"/>
  <c r="F112" i="687"/>
  <c r="L80" i="776"/>
  <c r="F2773" i="857"/>
  <c r="E80" i="776"/>
  <c r="F2793" i="857" s="1"/>
  <c r="E87" i="227"/>
  <c r="F87" i="227" s="1"/>
  <c r="F1049" i="857"/>
  <c r="F1005" i="857"/>
  <c r="F1086" i="857"/>
  <c r="F949" i="857"/>
  <c r="AH25" i="106"/>
  <c r="AI25" i="106"/>
  <c r="AG25" i="106"/>
  <c r="E32" i="227"/>
  <c r="F32" i="227" s="1"/>
  <c r="E26" i="227"/>
  <c r="F26" i="227" s="1"/>
  <c r="AI19" i="106"/>
  <c r="AG19" i="106"/>
  <c r="AH19" i="106"/>
  <c r="F943" i="857"/>
  <c r="F1275" i="857"/>
  <c r="E27" i="87"/>
  <c r="I72" i="528"/>
  <c r="DB71" i="528"/>
  <c r="DD71" i="528" s="1"/>
  <c r="I69" i="528"/>
  <c r="DB69" i="528"/>
  <c r="I70" i="528"/>
  <c r="DB70" i="528"/>
  <c r="DD70" i="528" s="1"/>
  <c r="I71" i="528"/>
  <c r="DB72" i="528"/>
  <c r="DD72" i="528" s="1"/>
  <c r="CO69" i="528"/>
  <c r="AI37" i="106"/>
  <c r="AH37" i="106"/>
  <c r="E44" i="227"/>
  <c r="F44" i="227" s="1"/>
  <c r="F961" i="857"/>
  <c r="AG37" i="106"/>
  <c r="B46" i="354"/>
  <c r="F874" i="857"/>
  <c r="B110" i="794"/>
  <c r="C48" i="227"/>
  <c r="C92" i="227" s="1"/>
  <c r="C137" i="227" s="1"/>
  <c r="E118" i="227"/>
  <c r="F118" i="227" s="1"/>
  <c r="F1125" i="857"/>
  <c r="CL51" i="227"/>
  <c r="CM51" i="227" s="1"/>
  <c r="CN51" i="227" s="1"/>
  <c r="CL41" i="227"/>
  <c r="CM41" i="227" s="1"/>
  <c r="CN41" i="227" s="1"/>
  <c r="CL22" i="227"/>
  <c r="CM22" i="227" s="1"/>
  <c r="CN22" i="227" s="1"/>
  <c r="CL17" i="227"/>
  <c r="CM17" i="227" s="1"/>
  <c r="CN17" i="227" s="1"/>
  <c r="CL47" i="227"/>
  <c r="CM47" i="227" s="1"/>
  <c r="CN47" i="227" s="1"/>
  <c r="CL54" i="227"/>
  <c r="CM54" i="227" s="1"/>
  <c r="CN54" i="227" s="1"/>
  <c r="CL46" i="227"/>
  <c r="CM46" i="227" s="1"/>
  <c r="CN46" i="227" s="1"/>
  <c r="CL21" i="227"/>
  <c r="CM21" i="227" s="1"/>
  <c r="CN21" i="227" s="1"/>
  <c r="CL58" i="227"/>
  <c r="CM58" i="227" s="1"/>
  <c r="CN58" i="227" s="1"/>
  <c r="CL68" i="227"/>
  <c r="CM68" i="227" s="1"/>
  <c r="CN68" i="227" s="1"/>
  <c r="CL53" i="227"/>
  <c r="CM53" i="227" s="1"/>
  <c r="CN53" i="227" s="1"/>
  <c r="CL10" i="227"/>
  <c r="CM10" i="227" s="1"/>
  <c r="CN10" i="227" s="1"/>
  <c r="CL12" i="227"/>
  <c r="CM12" i="227" s="1"/>
  <c r="CN12" i="227" s="1"/>
  <c r="CL28" i="227"/>
  <c r="CM28" i="227" s="1"/>
  <c r="CN28" i="227" s="1"/>
  <c r="CL71" i="227"/>
  <c r="CM71" i="227" s="1"/>
  <c r="CN71" i="227" s="1"/>
  <c r="CL27" i="227"/>
  <c r="CM27" i="227" s="1"/>
  <c r="CN27" i="227" s="1"/>
  <c r="CL38" i="227"/>
  <c r="CM38" i="227" s="1"/>
  <c r="CN38" i="227" s="1"/>
  <c r="CL33" i="227"/>
  <c r="CM33" i="227" s="1"/>
  <c r="CN33" i="227" s="1"/>
  <c r="CO11" i="227" s="1" a="1"/>
  <c r="CO11" i="227" s="1"/>
  <c r="CL19" i="227"/>
  <c r="CM19" i="227" s="1"/>
  <c r="CN19" i="227" s="1"/>
  <c r="CL29" i="227"/>
  <c r="CM29" i="227" s="1"/>
  <c r="CN29" i="227" s="1"/>
  <c r="CL52" i="227"/>
  <c r="CM52" i="227" s="1"/>
  <c r="CN52" i="227" s="1"/>
  <c r="CL59" i="227"/>
  <c r="CM59" i="227" s="1"/>
  <c r="CN59" i="227" s="1"/>
  <c r="CL62" i="227"/>
  <c r="CM62" i="227" s="1"/>
  <c r="CN62" i="227" s="1"/>
  <c r="CL11" i="227"/>
  <c r="CM11" i="227" s="1"/>
  <c r="CN11" i="227" s="1"/>
  <c r="CL70" i="227"/>
  <c r="CM70" i="227" s="1"/>
  <c r="CN70" i="227" s="1"/>
  <c r="CL60" i="227"/>
  <c r="CM60" i="227" s="1"/>
  <c r="CN60" i="227" s="1"/>
  <c r="CL32" i="227"/>
  <c r="CM32" i="227" s="1"/>
  <c r="CN32" i="227" s="1"/>
  <c r="CL23" i="227"/>
  <c r="CM23" i="227" s="1"/>
  <c r="CN23" i="227" s="1"/>
  <c r="CL42" i="227"/>
  <c r="CM42" i="227" s="1"/>
  <c r="CN42" i="227" s="1"/>
  <c r="CL56" i="227"/>
  <c r="CM56" i="227" s="1"/>
  <c r="CN56" i="227" s="1"/>
  <c r="CL44" i="227"/>
  <c r="CM44" i="227" s="1"/>
  <c r="CN44" i="227" s="1"/>
  <c r="CL34" i="227"/>
  <c r="CM34" i="227" s="1"/>
  <c r="CN34" i="227" s="1"/>
  <c r="CL65" i="227"/>
  <c r="CM65" i="227" s="1"/>
  <c r="CN65" i="227" s="1"/>
  <c r="CL25" i="227"/>
  <c r="CM25" i="227" s="1"/>
  <c r="CN25" i="227" s="1"/>
  <c r="CL43" i="227"/>
  <c r="CM43" i="227" s="1"/>
  <c r="CN43" i="227" s="1"/>
  <c r="CL26" i="227"/>
  <c r="CM26" i="227" s="1"/>
  <c r="CN26" i="227" s="1"/>
  <c r="CL20" i="227"/>
  <c r="CM20" i="227" s="1"/>
  <c r="CN20" i="227" s="1"/>
  <c r="CL13" i="227"/>
  <c r="CM13" i="227" s="1"/>
  <c r="CN13" i="227" s="1"/>
  <c r="CL37" i="227"/>
  <c r="CM37" i="227" s="1"/>
  <c r="CN37" i="227" s="1"/>
  <c r="CL72" i="227"/>
  <c r="CM72" i="227" s="1"/>
  <c r="CN72" i="227" s="1"/>
  <c r="CL30" i="227"/>
  <c r="CM30" i="227" s="1"/>
  <c r="CN30" i="227" s="1"/>
  <c r="CL40" i="227"/>
  <c r="CM40" i="227" s="1"/>
  <c r="CN40" i="227" s="1"/>
  <c r="CL55" i="227"/>
  <c r="CM55" i="227" s="1"/>
  <c r="CN55" i="227" s="1"/>
  <c r="CL64" i="227"/>
  <c r="CM64" i="227" s="1"/>
  <c r="CN64" i="227" s="1"/>
  <c r="CL69" i="227"/>
  <c r="CM69" i="227" s="1"/>
  <c r="CN69" i="227" s="1"/>
  <c r="CL31" i="227"/>
  <c r="CM31" i="227" s="1"/>
  <c r="CN31" i="227" s="1"/>
  <c r="CL15" i="227"/>
  <c r="CM15" i="227" s="1"/>
  <c r="CN15" i="227" s="1"/>
  <c r="CL48" i="227"/>
  <c r="CM48" i="227" s="1"/>
  <c r="CN48" i="227" s="1"/>
  <c r="CL39" i="227"/>
  <c r="CM39" i="227" s="1"/>
  <c r="CN39" i="227" s="1"/>
  <c r="CL66" i="227"/>
  <c r="CM66" i="227" s="1"/>
  <c r="CN66" i="227" s="1"/>
  <c r="CL67" i="227"/>
  <c r="CM67" i="227" s="1"/>
  <c r="CN67" i="227" s="1"/>
  <c r="CL35" i="227"/>
  <c r="CM35" i="227" s="1"/>
  <c r="CN35" i="227" s="1"/>
  <c r="CL24" i="227"/>
  <c r="CM24" i="227" s="1"/>
  <c r="CN24" i="227" s="1"/>
  <c r="CL49" i="227"/>
  <c r="CM49" i="227" s="1"/>
  <c r="CN49" i="227" s="1"/>
  <c r="CL63" i="227"/>
  <c r="CM63" i="227" s="1"/>
  <c r="CN63" i="227" s="1"/>
  <c r="CL61" i="227"/>
  <c r="CM61" i="227" s="1"/>
  <c r="CN61" i="227" s="1"/>
  <c r="CL16" i="227"/>
  <c r="CM16" i="227" s="1"/>
  <c r="CN16" i="227" s="1"/>
  <c r="CL14" i="227"/>
  <c r="CM14" i="227" s="1"/>
  <c r="CN14" i="227" s="1"/>
  <c r="CL57" i="227"/>
  <c r="CM57" i="227" s="1"/>
  <c r="CN57" i="227" s="1"/>
  <c r="CL36" i="227"/>
  <c r="CM36" i="227" s="1"/>
  <c r="CN36" i="227" s="1"/>
  <c r="CL50" i="227"/>
  <c r="CM50" i="227" s="1"/>
  <c r="CN50" i="227" s="1"/>
  <c r="CL18" i="227"/>
  <c r="CM18" i="227" s="1"/>
  <c r="CN18" i="227" s="1"/>
  <c r="O22" i="689"/>
  <c r="E105" i="227"/>
  <c r="F105" i="227" s="1"/>
  <c r="F1112" i="857"/>
  <c r="F160" i="857"/>
  <c r="AI45" i="106"/>
  <c r="AG45" i="106"/>
  <c r="E52" i="227"/>
  <c r="F52" i="227" s="1"/>
  <c r="F969" i="857"/>
  <c r="AH45" i="106"/>
  <c r="L112" i="687"/>
  <c r="C41" i="227"/>
  <c r="C86" i="227" s="1"/>
  <c r="C131" i="227" s="1"/>
  <c r="F868" i="857"/>
  <c r="B40" i="354"/>
  <c r="B104" i="794"/>
  <c r="F1014" i="857"/>
  <c r="D47" i="227"/>
  <c r="D91" i="227" s="1"/>
  <c r="D136" i="227" s="1"/>
  <c r="F918" i="857"/>
  <c r="O5" i="689"/>
  <c r="F1044" i="857"/>
  <c r="E82" i="227"/>
  <c r="F82" i="227" s="1"/>
  <c r="AS2" i="106"/>
  <c r="F191" i="857"/>
  <c r="CT53" i="528"/>
  <c r="AG53" i="528"/>
  <c r="AN53" i="528" s="1"/>
  <c r="F136" i="857" s="1"/>
  <c r="CF53" i="528"/>
  <c r="CM53" i="528"/>
  <c r="CN53" i="528" s="1"/>
  <c r="K53" i="528"/>
  <c r="F1094" i="857"/>
  <c r="F1169" i="857"/>
  <c r="C34" i="528"/>
  <c r="F202" i="857"/>
  <c r="F2056" i="857"/>
  <c r="F212" i="857"/>
  <c r="F998" i="857"/>
  <c r="S38" i="99"/>
  <c r="F1177" i="857"/>
  <c r="AS9" i="106"/>
  <c r="E94" i="227"/>
  <c r="F94" i="227" s="1"/>
  <c r="F1056" i="857"/>
  <c r="D15" i="227"/>
  <c r="D60" i="227" s="1"/>
  <c r="D105" i="227" s="1"/>
  <c r="F887" i="857"/>
  <c r="E63" i="227"/>
  <c r="F63" i="227" s="1"/>
  <c r="F1025" i="857"/>
  <c r="AI40" i="106"/>
  <c r="AG40" i="106"/>
  <c r="AH40" i="106"/>
  <c r="F964" i="857"/>
  <c r="E48" i="227"/>
  <c r="F48" i="227" s="1"/>
  <c r="F1151" i="857"/>
  <c r="F883" i="857"/>
  <c r="D11" i="227"/>
  <c r="D56" i="227" s="1"/>
  <c r="D101" i="227" s="1"/>
  <c r="L79" i="776"/>
  <c r="E79" i="776"/>
  <c r="F2792" i="857" s="1"/>
  <c r="F2772" i="857"/>
  <c r="F178" i="857"/>
  <c r="L35" i="528"/>
  <c r="D32" i="41"/>
  <c r="K75" i="528"/>
  <c r="CN75" i="528" s="1"/>
  <c r="F1271" i="857"/>
  <c r="AG20" i="106"/>
  <c r="E27" i="227"/>
  <c r="F27" i="227" s="1"/>
  <c r="AH20" i="106"/>
  <c r="F944" i="857"/>
  <c r="AI20" i="106"/>
  <c r="F914" i="857"/>
  <c r="D42" i="227"/>
  <c r="D87" i="227" s="1"/>
  <c r="D132" i="227" s="1"/>
  <c r="B9" i="354"/>
  <c r="BH9" i="354" s="1"/>
  <c r="B73" i="794"/>
  <c r="F837" i="857"/>
  <c r="C10" i="227"/>
  <c r="C55" i="227" s="1"/>
  <c r="C100" i="227" s="1"/>
  <c r="D38" i="227"/>
  <c r="D83" i="227" s="1"/>
  <c r="D128" i="227" s="1"/>
  <c r="F910" i="857"/>
  <c r="F1079" i="857"/>
  <c r="D93" i="849"/>
  <c r="D97" i="849"/>
  <c r="D95" i="849"/>
  <c r="D6" i="849"/>
  <c r="AH39" i="106"/>
  <c r="E47" i="227"/>
  <c r="F47" i="227" s="1"/>
  <c r="AI39" i="106"/>
  <c r="AG39" i="106"/>
  <c r="F963" i="857"/>
  <c r="D27" i="87"/>
  <c r="B93" i="794"/>
  <c r="C30" i="227"/>
  <c r="C75" i="227" s="1"/>
  <c r="C120" i="227" s="1"/>
  <c r="B29" i="354"/>
  <c r="F857" i="857"/>
  <c r="D32" i="227"/>
  <c r="D77" i="227" s="1"/>
  <c r="D122" i="227" s="1"/>
  <c r="F904" i="857"/>
  <c r="H112" i="99"/>
  <c r="AS37" i="106"/>
  <c r="F1189" i="857"/>
  <c r="F1153" i="857"/>
  <c r="G111" i="687"/>
  <c r="F1210" i="857"/>
  <c r="D30" i="227"/>
  <c r="D75" i="227" s="1"/>
  <c r="D120" i="227" s="1"/>
  <c r="F902" i="857"/>
  <c r="D53" i="227"/>
  <c r="D98" i="227" s="1"/>
  <c r="D143" i="227" s="1"/>
  <c r="F925" i="857"/>
  <c r="F844" i="857"/>
  <c r="B16" i="354"/>
  <c r="BH16" i="354" s="1"/>
  <c r="C17" i="227"/>
  <c r="C62" i="227" s="1"/>
  <c r="C107" i="227" s="1"/>
  <c r="B80" i="794"/>
  <c r="D103" i="853"/>
  <c r="D105" i="853"/>
  <c r="D104" i="853"/>
  <c r="L108" i="99"/>
  <c r="L29" i="99"/>
  <c r="L107" i="99" s="1"/>
  <c r="AM27" i="106"/>
  <c r="F1536" i="857"/>
  <c r="C71" i="528"/>
  <c r="B71" i="528"/>
  <c r="D71" i="528" s="1"/>
  <c r="B69" i="528"/>
  <c r="C70" i="528"/>
  <c r="C72" i="528"/>
  <c r="B72" i="528"/>
  <c r="D72" i="528" s="1"/>
  <c r="C69" i="528"/>
  <c r="B70" i="528"/>
  <c r="D70" i="528" s="1"/>
  <c r="F1090" i="857"/>
  <c r="AH31" i="106"/>
  <c r="AG31" i="106"/>
  <c r="AI31" i="106"/>
  <c r="E38" i="227"/>
  <c r="F38" i="227" s="1"/>
  <c r="F955" i="857"/>
  <c r="D19" i="849"/>
  <c r="E16" i="227"/>
  <c r="F16" i="227" s="1"/>
  <c r="AG9" i="106"/>
  <c r="AI9" i="106"/>
  <c r="F933" i="857"/>
  <c r="AH9" i="106"/>
  <c r="L86" i="774"/>
  <c r="F2175" i="857"/>
  <c r="AM14" i="106"/>
  <c r="F1523" i="857"/>
  <c r="F1266" i="857"/>
  <c r="F75" i="857"/>
  <c r="M11" i="87"/>
  <c r="E82" i="779"/>
  <c r="F3701" i="857" s="1"/>
  <c r="L82" i="779"/>
  <c r="F3681" i="857"/>
  <c r="F1247" i="857"/>
  <c r="F1207" i="857"/>
  <c r="E136" i="227"/>
  <c r="F136" i="227" s="1"/>
  <c r="F1143" i="857"/>
  <c r="F1077" i="857"/>
  <c r="H111" i="99"/>
  <c r="F988" i="857"/>
  <c r="F894" i="857"/>
  <c r="D22" i="227"/>
  <c r="D67" i="227" s="1"/>
  <c r="D112" i="227" s="1"/>
  <c r="E78" i="779"/>
  <c r="F3697" i="857" s="1"/>
  <c r="L78" i="779"/>
  <c r="F3677" i="857"/>
  <c r="AM3" i="106"/>
  <c r="F1512" i="857"/>
  <c r="AG28" i="106"/>
  <c r="AH28" i="106"/>
  <c r="E35" i="227"/>
  <c r="F35" i="227" s="1"/>
  <c r="F952" i="857"/>
  <c r="AI28" i="106"/>
  <c r="F975" i="857"/>
  <c r="D103" i="851"/>
  <c r="D105" i="851"/>
  <c r="D104" i="851"/>
  <c r="AS29" i="106"/>
  <c r="F3077" i="857"/>
  <c r="L82" i="777"/>
  <c r="E82" i="777"/>
  <c r="F3097" i="857" s="1"/>
  <c r="J115" i="687"/>
  <c r="AS58" i="106"/>
  <c r="G63" i="687"/>
  <c r="F2777" i="857"/>
  <c r="E84" i="776"/>
  <c r="F2797" i="857" s="1"/>
  <c r="L84" i="776"/>
  <c r="E39" i="227"/>
  <c r="F39" i="227" s="1"/>
  <c r="AG32" i="106"/>
  <c r="AH32" i="106"/>
  <c r="AI32" i="106"/>
  <c r="F956" i="857"/>
  <c r="AD71" i="227"/>
  <c r="AE71" i="227" s="1"/>
  <c r="AF71" i="227" s="1"/>
  <c r="AD68" i="227"/>
  <c r="AE68" i="227" s="1"/>
  <c r="AF68" i="227" s="1"/>
  <c r="AD55" i="227"/>
  <c r="AE55" i="227" s="1"/>
  <c r="AF55" i="227" s="1"/>
  <c r="AD48" i="227"/>
  <c r="AE48" i="227" s="1"/>
  <c r="AF48" i="227" s="1"/>
  <c r="AD64" i="227"/>
  <c r="AE64" i="227" s="1"/>
  <c r="AF64" i="227" s="1"/>
  <c r="AD47" i="227"/>
  <c r="AE47" i="227" s="1"/>
  <c r="AF47" i="227" s="1"/>
  <c r="AD40" i="227"/>
  <c r="AE40" i="227" s="1"/>
  <c r="AF40" i="227" s="1"/>
  <c r="AD15" i="227"/>
  <c r="AE15" i="227" s="1"/>
  <c r="AF15" i="227" s="1"/>
  <c r="AD56" i="227"/>
  <c r="AE56" i="227" s="1"/>
  <c r="AF56" i="227" s="1"/>
  <c r="AD22" i="227"/>
  <c r="AE22" i="227" s="1"/>
  <c r="AF22" i="227" s="1"/>
  <c r="AD66" i="227"/>
  <c r="AE66" i="227" s="1"/>
  <c r="AF66" i="227" s="1"/>
  <c r="AD32" i="227"/>
  <c r="AE32" i="227" s="1"/>
  <c r="AF32" i="227" s="1"/>
  <c r="AD63" i="227"/>
  <c r="AE63" i="227" s="1"/>
  <c r="AF63" i="227" s="1"/>
  <c r="AD44" i="227"/>
  <c r="AE44" i="227" s="1"/>
  <c r="AF44" i="227" s="1"/>
  <c r="AD19" i="227"/>
  <c r="AE19" i="227" s="1"/>
  <c r="AF19" i="227" s="1"/>
  <c r="AD46" i="227"/>
  <c r="AE46" i="227" s="1"/>
  <c r="AF46" i="227" s="1"/>
  <c r="AD42" i="227"/>
  <c r="AE42" i="227" s="1"/>
  <c r="AF42" i="227" s="1"/>
  <c r="AD35" i="227"/>
  <c r="AE35" i="227" s="1"/>
  <c r="AF35" i="227" s="1"/>
  <c r="AD59" i="227"/>
  <c r="AE59" i="227" s="1"/>
  <c r="AF59" i="227" s="1"/>
  <c r="AD17" i="227"/>
  <c r="AE17" i="227" s="1"/>
  <c r="AF17" i="227" s="1"/>
  <c r="AD33" i="227"/>
  <c r="AE33" i="227" s="1"/>
  <c r="AF33" i="227" s="1"/>
  <c r="AD69" i="227"/>
  <c r="AE69" i="227" s="1"/>
  <c r="AF69" i="227" s="1"/>
  <c r="AD67" i="227"/>
  <c r="AE67" i="227" s="1"/>
  <c r="AF67" i="227" s="1"/>
  <c r="AD27" i="227"/>
  <c r="AE27" i="227" s="1"/>
  <c r="AF27" i="227" s="1"/>
  <c r="AD60" i="227"/>
  <c r="AE60" i="227" s="1"/>
  <c r="AF60" i="227" s="1"/>
  <c r="AD39" i="227"/>
  <c r="AE39" i="227" s="1"/>
  <c r="AF39" i="227" s="1"/>
  <c r="AD62" i="227"/>
  <c r="AE62" i="227" s="1"/>
  <c r="AF62" i="227" s="1"/>
  <c r="AD70" i="227"/>
  <c r="AE70" i="227" s="1"/>
  <c r="AF70" i="227" s="1"/>
  <c r="AD49" i="227"/>
  <c r="AE49" i="227" s="1"/>
  <c r="AF49" i="227" s="1"/>
  <c r="AD18" i="227"/>
  <c r="AE18" i="227" s="1"/>
  <c r="AF18" i="227" s="1"/>
  <c r="AG19" i="227" s="1" a="1"/>
  <c r="AG19" i="227" s="1"/>
  <c r="AD34" i="227"/>
  <c r="AE34" i="227" s="1"/>
  <c r="AF34" i="227" s="1"/>
  <c r="AD61" i="227"/>
  <c r="AE61" i="227" s="1"/>
  <c r="AF61" i="227" s="1"/>
  <c r="AD16" i="227"/>
  <c r="AE16" i="227" s="1"/>
  <c r="AF16" i="227" s="1"/>
  <c r="AD31" i="227"/>
  <c r="AE31" i="227" s="1"/>
  <c r="AF31" i="227" s="1"/>
  <c r="AD12" i="227"/>
  <c r="AE12" i="227" s="1"/>
  <c r="AF12" i="227" s="1"/>
  <c r="AD13" i="227"/>
  <c r="AE13" i="227" s="1"/>
  <c r="AF13" i="227" s="1"/>
  <c r="AD53" i="227"/>
  <c r="AE53" i="227" s="1"/>
  <c r="AF53" i="227" s="1"/>
  <c r="AD25" i="227"/>
  <c r="AE25" i="227" s="1"/>
  <c r="AF25" i="227" s="1"/>
  <c r="AD72" i="227"/>
  <c r="AE72" i="227" s="1"/>
  <c r="AF72" i="227" s="1"/>
  <c r="AD20" i="227"/>
  <c r="AE20" i="227" s="1"/>
  <c r="AF20" i="227" s="1"/>
  <c r="AD43" i="227"/>
  <c r="AE43" i="227" s="1"/>
  <c r="AF43" i="227" s="1"/>
  <c r="AD51" i="227"/>
  <c r="AE51" i="227" s="1"/>
  <c r="AF51" i="227" s="1"/>
  <c r="AD21" i="227"/>
  <c r="AE21" i="227" s="1"/>
  <c r="AF21" i="227" s="1"/>
  <c r="AD58" i="227"/>
  <c r="AE58" i="227" s="1"/>
  <c r="AF58" i="227" s="1"/>
  <c r="AD38" i="227"/>
  <c r="AE38" i="227" s="1"/>
  <c r="AF38" i="227" s="1"/>
  <c r="AD10" i="227"/>
  <c r="AE10" i="227" s="1"/>
  <c r="AF10" i="227" s="1"/>
  <c r="AD65" i="227"/>
  <c r="AE65" i="227" s="1"/>
  <c r="AF65" i="227" s="1"/>
  <c r="AD57" i="227"/>
  <c r="AE57" i="227" s="1"/>
  <c r="AF57" i="227" s="1"/>
  <c r="AD50" i="227"/>
  <c r="AE50" i="227" s="1"/>
  <c r="AF50" i="227" s="1"/>
  <c r="AD29" i="227"/>
  <c r="AE29" i="227" s="1"/>
  <c r="AF29" i="227" s="1"/>
  <c r="AD54" i="227"/>
  <c r="AE54" i="227" s="1"/>
  <c r="AF54" i="227" s="1"/>
  <c r="AD14" i="227"/>
  <c r="AE14" i="227" s="1"/>
  <c r="AF14" i="227" s="1"/>
  <c r="AD26" i="227"/>
  <c r="AE26" i="227" s="1"/>
  <c r="AF26" i="227" s="1"/>
  <c r="AD24" i="227"/>
  <c r="AE24" i="227" s="1"/>
  <c r="AF24" i="227" s="1"/>
  <c r="AD52" i="227"/>
  <c r="AE52" i="227" s="1"/>
  <c r="AF52" i="227" s="1"/>
  <c r="AD41" i="227"/>
  <c r="AE41" i="227" s="1"/>
  <c r="AF41" i="227" s="1"/>
  <c r="AD23" i="227"/>
  <c r="AE23" i="227" s="1"/>
  <c r="AF23" i="227" s="1"/>
  <c r="AD30" i="227"/>
  <c r="AE30" i="227" s="1"/>
  <c r="AF30" i="227" s="1"/>
  <c r="AD28" i="227"/>
  <c r="AE28" i="227" s="1"/>
  <c r="AF28" i="227" s="1"/>
  <c r="AD37" i="227"/>
  <c r="AE37" i="227" s="1"/>
  <c r="AF37" i="227" s="1"/>
  <c r="AD36" i="227"/>
  <c r="AE36" i="227" s="1"/>
  <c r="AF36" i="227" s="1"/>
  <c r="AD11" i="227"/>
  <c r="AE11" i="227" s="1"/>
  <c r="AF11" i="227" s="1"/>
  <c r="F2172" i="857"/>
  <c r="L83" i="774"/>
  <c r="F1517" i="857"/>
  <c r="AM8" i="106"/>
  <c r="F1108" i="857"/>
  <c r="E101" i="227"/>
  <c r="F101" i="227" s="1"/>
  <c r="O3" i="689"/>
  <c r="F9" i="87"/>
  <c r="F97" i="857"/>
  <c r="F984" i="857"/>
  <c r="F1142" i="857"/>
  <c r="E135" i="227"/>
  <c r="F135" i="227" s="1"/>
  <c r="B26" i="354"/>
  <c r="BH26" i="354" s="1"/>
  <c r="C27" i="227"/>
  <c r="C72" i="227" s="1"/>
  <c r="C117" i="227" s="1"/>
  <c r="F854" i="857"/>
  <c r="B90" i="794"/>
  <c r="F1104" i="857"/>
  <c r="F1083" i="857"/>
  <c r="F3682" i="857"/>
  <c r="E83" i="779"/>
  <c r="F3702" i="857" s="1"/>
  <c r="L83" i="779"/>
  <c r="N31" i="227"/>
  <c r="O31" i="227" s="1"/>
  <c r="P31" i="227" s="1"/>
  <c r="N68" i="227"/>
  <c r="O68" i="227" s="1"/>
  <c r="P68" i="227" s="1"/>
  <c r="N22" i="227"/>
  <c r="O22" i="227" s="1"/>
  <c r="P22" i="227" s="1"/>
  <c r="N17" i="227"/>
  <c r="O17" i="227" s="1"/>
  <c r="P17" i="227" s="1"/>
  <c r="N13" i="227"/>
  <c r="O13" i="227" s="1"/>
  <c r="P13" i="227" s="1"/>
  <c r="N54" i="227"/>
  <c r="O54" i="227" s="1"/>
  <c r="P54" i="227" s="1"/>
  <c r="N67" i="227"/>
  <c r="O67" i="227" s="1"/>
  <c r="P67" i="227" s="1"/>
  <c r="N18" i="227"/>
  <c r="O18" i="227" s="1"/>
  <c r="P18" i="227" s="1"/>
  <c r="N30" i="227"/>
  <c r="O30" i="227" s="1"/>
  <c r="P30" i="227" s="1"/>
  <c r="N47" i="227"/>
  <c r="O47" i="227" s="1"/>
  <c r="P47" i="227" s="1"/>
  <c r="N20" i="227"/>
  <c r="O20" i="227" s="1"/>
  <c r="P20" i="227" s="1"/>
  <c r="N16" i="227"/>
  <c r="O16" i="227" s="1"/>
  <c r="P16" i="227" s="1"/>
  <c r="N71" i="227"/>
  <c r="O71" i="227" s="1"/>
  <c r="P71" i="227" s="1"/>
  <c r="N27" i="227"/>
  <c r="O27" i="227" s="1"/>
  <c r="P27" i="227" s="1"/>
  <c r="N55" i="227"/>
  <c r="O55" i="227" s="1"/>
  <c r="P55" i="227" s="1"/>
  <c r="N39" i="227"/>
  <c r="O39" i="227" s="1"/>
  <c r="P39" i="227" s="1"/>
  <c r="N46" i="227"/>
  <c r="O46" i="227" s="1"/>
  <c r="P46" i="227" s="1"/>
  <c r="N51" i="227"/>
  <c r="O51" i="227" s="1"/>
  <c r="P51" i="227" s="1"/>
  <c r="N15" i="227"/>
  <c r="O15" i="227" s="1"/>
  <c r="P15" i="227" s="1"/>
  <c r="N59" i="227"/>
  <c r="O59" i="227" s="1"/>
  <c r="P59" i="227" s="1"/>
  <c r="N61" i="227"/>
  <c r="O61" i="227" s="1"/>
  <c r="P61" i="227" s="1"/>
  <c r="N42" i="227"/>
  <c r="O42" i="227" s="1"/>
  <c r="P42" i="227" s="1"/>
  <c r="N70" i="227"/>
  <c r="O70" i="227" s="1"/>
  <c r="P70" i="227" s="1"/>
  <c r="N23" i="227"/>
  <c r="O23" i="227" s="1"/>
  <c r="P23" i="227" s="1"/>
  <c r="N21" i="227"/>
  <c r="O21" i="227" s="1"/>
  <c r="P21" i="227" s="1"/>
  <c r="N58" i="227"/>
  <c r="O58" i="227" s="1"/>
  <c r="P58" i="227" s="1"/>
  <c r="N56" i="227"/>
  <c r="O56" i="227" s="1"/>
  <c r="P56" i="227" s="1"/>
  <c r="N33" i="227"/>
  <c r="O33" i="227" s="1"/>
  <c r="P33" i="227" s="1"/>
  <c r="N49" i="227"/>
  <c r="O49" i="227" s="1"/>
  <c r="P49" i="227" s="1"/>
  <c r="N72" i="227"/>
  <c r="O72" i="227" s="1"/>
  <c r="P72" i="227" s="1"/>
  <c r="N32" i="227"/>
  <c r="O32" i="227" s="1"/>
  <c r="P32" i="227" s="1"/>
  <c r="N29" i="227"/>
  <c r="O29" i="227" s="1"/>
  <c r="P29" i="227" s="1"/>
  <c r="N25" i="227"/>
  <c r="O25" i="227" s="1"/>
  <c r="P25" i="227" s="1"/>
  <c r="N60" i="227"/>
  <c r="O60" i="227" s="1"/>
  <c r="P60" i="227" s="1"/>
  <c r="N26" i="227"/>
  <c r="O26" i="227" s="1"/>
  <c r="P26" i="227" s="1"/>
  <c r="N34" i="227"/>
  <c r="O34" i="227" s="1"/>
  <c r="P34" i="227" s="1"/>
  <c r="N19" i="227"/>
  <c r="O19" i="227" s="1"/>
  <c r="P19" i="227" s="1"/>
  <c r="N64" i="227"/>
  <c r="O64" i="227" s="1"/>
  <c r="P64" i="227" s="1"/>
  <c r="N52" i="227"/>
  <c r="O52" i="227" s="1"/>
  <c r="P52" i="227" s="1"/>
  <c r="N43" i="227"/>
  <c r="O43" i="227" s="1"/>
  <c r="P43" i="227" s="1"/>
  <c r="N14" i="227"/>
  <c r="O14" i="227" s="1"/>
  <c r="P14" i="227" s="1"/>
  <c r="N24" i="227"/>
  <c r="O24" i="227" s="1"/>
  <c r="P24" i="227" s="1"/>
  <c r="N35" i="227"/>
  <c r="O35" i="227" s="1"/>
  <c r="P35" i="227" s="1"/>
  <c r="N66" i="227"/>
  <c r="O66" i="227" s="1"/>
  <c r="P66" i="227" s="1"/>
  <c r="N41" i="227"/>
  <c r="O41" i="227" s="1"/>
  <c r="P41" i="227" s="1"/>
  <c r="N48" i="227"/>
  <c r="O48" i="227" s="1"/>
  <c r="P48" i="227" s="1"/>
  <c r="N28" i="227"/>
  <c r="O28" i="227" s="1"/>
  <c r="P28" i="227" s="1"/>
  <c r="N37" i="227"/>
  <c r="O37" i="227" s="1"/>
  <c r="P37" i="227" s="1"/>
  <c r="N69" i="227"/>
  <c r="O69" i="227" s="1"/>
  <c r="P69" i="227" s="1"/>
  <c r="N12" i="227"/>
  <c r="O12" i="227" s="1"/>
  <c r="P12" i="227" s="1"/>
  <c r="N11" i="227"/>
  <c r="O11" i="227" s="1"/>
  <c r="P11" i="227" s="1"/>
  <c r="N57" i="227"/>
  <c r="O57" i="227" s="1"/>
  <c r="P57" i="227" s="1"/>
  <c r="N53" i="227"/>
  <c r="O53" i="227" s="1"/>
  <c r="P53" i="227" s="1"/>
  <c r="N36" i="227"/>
  <c r="O36" i="227" s="1"/>
  <c r="P36" i="227" s="1"/>
  <c r="N10" i="227"/>
  <c r="O10" i="227" s="1"/>
  <c r="P10" i="227" s="1"/>
  <c r="Q31" i="227" s="1" a="1"/>
  <c r="Q31" i="227" s="1"/>
  <c r="N40" i="227"/>
  <c r="O40" i="227" s="1"/>
  <c r="P40" i="227" s="1"/>
  <c r="N50" i="227"/>
  <c r="O50" i="227" s="1"/>
  <c r="P50" i="227" s="1"/>
  <c r="N62" i="227"/>
  <c r="O62" i="227" s="1"/>
  <c r="P62" i="227" s="1"/>
  <c r="N44" i="227"/>
  <c r="O44" i="227" s="1"/>
  <c r="P44" i="227" s="1"/>
  <c r="N63" i="227"/>
  <c r="O63" i="227" s="1"/>
  <c r="P63" i="227" s="1"/>
  <c r="N38" i="227"/>
  <c r="O38" i="227" s="1"/>
  <c r="P38" i="227" s="1"/>
  <c r="N65" i="227"/>
  <c r="O65" i="227" s="1"/>
  <c r="P65" i="227" s="1"/>
  <c r="F2174" i="857"/>
  <c r="L85" i="774"/>
  <c r="F971" i="857"/>
  <c r="F111" i="857"/>
  <c r="E13" i="87"/>
  <c r="E13" i="528" s="1"/>
  <c r="B44" i="87"/>
  <c r="E14" i="227"/>
  <c r="F14" i="227" s="1"/>
  <c r="AG7" i="106"/>
  <c r="AI7" i="106"/>
  <c r="AH7" i="106"/>
  <c r="F931" i="857"/>
  <c r="L29" i="687"/>
  <c r="L107" i="687" s="1"/>
  <c r="L108" i="687"/>
  <c r="F1030" i="857"/>
  <c r="E68" i="227"/>
  <c r="F68" i="227" s="1"/>
  <c r="E102" i="227"/>
  <c r="F102" i="227" s="1"/>
  <c r="F1109" i="857"/>
  <c r="F116" i="687"/>
  <c r="F1098" i="857"/>
  <c r="F1135" i="857"/>
  <c r="E128" i="227"/>
  <c r="F128" i="227" s="1"/>
  <c r="F116" i="99"/>
  <c r="F1278" i="857"/>
  <c r="F1182" i="857"/>
  <c r="G115" i="687"/>
  <c r="F2955" i="857"/>
  <c r="BR51" i="227"/>
  <c r="BS51" i="227" s="1"/>
  <c r="BT51" i="227" s="1"/>
  <c r="BR56" i="227"/>
  <c r="BS56" i="227" s="1"/>
  <c r="BT56" i="227" s="1"/>
  <c r="BR28" i="227"/>
  <c r="BS28" i="227" s="1"/>
  <c r="BT28" i="227" s="1"/>
  <c r="BR15" i="227"/>
  <c r="BS15" i="227" s="1"/>
  <c r="BT15" i="227" s="1"/>
  <c r="BR57" i="227"/>
  <c r="BS57" i="227" s="1"/>
  <c r="BT57" i="227" s="1"/>
  <c r="BR50" i="227"/>
  <c r="BS50" i="227" s="1"/>
  <c r="BT50" i="227" s="1"/>
  <c r="BR62" i="227"/>
  <c r="BS62" i="227" s="1"/>
  <c r="BT62" i="227" s="1"/>
  <c r="BR21" i="227"/>
  <c r="BS21" i="227" s="1"/>
  <c r="BT21" i="227" s="1"/>
  <c r="BR37" i="227"/>
  <c r="BS37" i="227" s="1"/>
  <c r="BT37" i="227" s="1"/>
  <c r="BR54" i="227"/>
  <c r="BS54" i="227" s="1"/>
  <c r="BT54" i="227" s="1"/>
  <c r="BR48" i="227"/>
  <c r="BS48" i="227" s="1"/>
  <c r="BT48" i="227" s="1"/>
  <c r="BR42" i="227"/>
  <c r="BS42" i="227" s="1"/>
  <c r="BT42" i="227" s="1"/>
  <c r="BR23" i="227"/>
  <c r="BS23" i="227" s="1"/>
  <c r="BT23" i="227" s="1"/>
  <c r="BR19" i="227"/>
  <c r="BS19" i="227" s="1"/>
  <c r="BT19" i="227" s="1"/>
  <c r="BR44" i="227"/>
  <c r="BS44" i="227" s="1"/>
  <c r="BT44" i="227" s="1"/>
  <c r="BR30" i="227"/>
  <c r="BS30" i="227" s="1"/>
  <c r="BT30" i="227" s="1"/>
  <c r="BR27" i="227"/>
  <c r="BS27" i="227" s="1"/>
  <c r="BT27" i="227" s="1"/>
  <c r="BR38" i="227"/>
  <c r="BS38" i="227" s="1"/>
  <c r="BT38" i="227" s="1"/>
  <c r="BR24" i="227"/>
  <c r="BS24" i="227" s="1"/>
  <c r="BT24" i="227" s="1"/>
  <c r="BR47" i="227"/>
  <c r="BS47" i="227" s="1"/>
  <c r="BT47" i="227" s="1"/>
  <c r="BR65" i="227"/>
  <c r="BS65" i="227" s="1"/>
  <c r="BT65" i="227" s="1"/>
  <c r="BR49" i="227"/>
  <c r="BS49" i="227" s="1"/>
  <c r="BT49" i="227" s="1"/>
  <c r="BR11" i="227"/>
  <c r="BS11" i="227" s="1"/>
  <c r="BT11" i="227" s="1"/>
  <c r="BR67" i="227"/>
  <c r="BS67" i="227" s="1"/>
  <c r="BT67" i="227" s="1"/>
  <c r="BR55" i="227"/>
  <c r="BS55" i="227" s="1"/>
  <c r="BT55" i="227" s="1"/>
  <c r="BR22" i="227"/>
  <c r="BS22" i="227" s="1"/>
  <c r="BT22" i="227" s="1"/>
  <c r="BR10" i="227"/>
  <c r="BS10" i="227" s="1"/>
  <c r="BT10" i="227" s="1"/>
  <c r="BU15" i="227" s="1" a="1"/>
  <c r="BU15" i="227" s="1"/>
  <c r="BR32" i="227"/>
  <c r="BS32" i="227" s="1"/>
  <c r="BT32" i="227" s="1"/>
  <c r="BR34" i="227"/>
  <c r="BS34" i="227" s="1"/>
  <c r="BT34" i="227" s="1"/>
  <c r="BR16" i="227"/>
  <c r="BS16" i="227" s="1"/>
  <c r="BT16" i="227" s="1"/>
  <c r="BR64" i="227"/>
  <c r="BS64" i="227" s="1"/>
  <c r="BT64" i="227" s="1"/>
  <c r="BR36" i="227"/>
  <c r="BS36" i="227" s="1"/>
  <c r="BT36" i="227" s="1"/>
  <c r="BR13" i="227"/>
  <c r="BS13" i="227" s="1"/>
  <c r="BT13" i="227" s="1"/>
  <c r="BR70" i="227"/>
  <c r="BS70" i="227" s="1"/>
  <c r="BT70" i="227" s="1"/>
  <c r="BR72" i="227"/>
  <c r="BS72" i="227" s="1"/>
  <c r="BT72" i="227" s="1"/>
  <c r="BR17" i="227"/>
  <c r="BS17" i="227" s="1"/>
  <c r="BT17" i="227" s="1"/>
  <c r="BR68" i="227"/>
  <c r="BS68" i="227" s="1"/>
  <c r="BT68" i="227" s="1"/>
  <c r="BR60" i="227"/>
  <c r="BS60" i="227" s="1"/>
  <c r="BT60" i="227" s="1"/>
  <c r="BR31" i="227"/>
  <c r="BS31" i="227" s="1"/>
  <c r="BT31" i="227" s="1"/>
  <c r="BR40" i="227"/>
  <c r="BS40" i="227" s="1"/>
  <c r="BT40" i="227" s="1"/>
  <c r="BR71" i="227"/>
  <c r="BS71" i="227" s="1"/>
  <c r="BT71" i="227" s="1"/>
  <c r="BR33" i="227"/>
  <c r="BS33" i="227" s="1"/>
  <c r="BT33" i="227" s="1"/>
  <c r="BR35" i="227"/>
  <c r="BS35" i="227" s="1"/>
  <c r="BT35" i="227" s="1"/>
  <c r="BR53" i="227"/>
  <c r="BS53" i="227" s="1"/>
  <c r="BT53" i="227" s="1"/>
  <c r="BR14" i="227"/>
  <c r="BS14" i="227" s="1"/>
  <c r="BT14" i="227" s="1"/>
  <c r="BR41" i="227"/>
  <c r="BS41" i="227" s="1"/>
  <c r="BT41" i="227" s="1"/>
  <c r="BR46" i="227"/>
  <c r="BS46" i="227" s="1"/>
  <c r="BT46" i="227" s="1"/>
  <c r="BR39" i="227"/>
  <c r="BS39" i="227" s="1"/>
  <c r="BT39" i="227" s="1"/>
  <c r="BR18" i="227"/>
  <c r="BS18" i="227" s="1"/>
  <c r="BT18" i="227" s="1"/>
  <c r="BR58" i="227"/>
  <c r="BS58" i="227" s="1"/>
  <c r="BT58" i="227" s="1"/>
  <c r="BR12" i="227"/>
  <c r="BS12" i="227" s="1"/>
  <c r="BT12" i="227" s="1"/>
  <c r="BR25" i="227"/>
  <c r="BS25" i="227" s="1"/>
  <c r="BT25" i="227" s="1"/>
  <c r="BR66" i="227"/>
  <c r="BS66" i="227" s="1"/>
  <c r="BT66" i="227" s="1"/>
  <c r="BR61" i="227"/>
  <c r="BS61" i="227" s="1"/>
  <c r="BT61" i="227" s="1"/>
  <c r="BR20" i="227"/>
  <c r="BS20" i="227" s="1"/>
  <c r="BT20" i="227" s="1"/>
  <c r="BR52" i="227"/>
  <c r="BS52" i="227" s="1"/>
  <c r="BT52" i="227" s="1"/>
  <c r="BR59" i="227"/>
  <c r="BS59" i="227" s="1"/>
  <c r="BT59" i="227" s="1"/>
  <c r="BR29" i="227"/>
  <c r="BS29" i="227" s="1"/>
  <c r="BT29" i="227" s="1"/>
  <c r="BR26" i="227"/>
  <c r="BS26" i="227" s="1"/>
  <c r="BT26" i="227" s="1"/>
  <c r="BR69" i="227"/>
  <c r="BS69" i="227" s="1"/>
  <c r="BT69" i="227" s="1"/>
  <c r="BR63" i="227"/>
  <c r="BS63" i="227" s="1"/>
  <c r="BT63" i="227" s="1"/>
  <c r="BR43" i="227"/>
  <c r="BS43" i="227" s="1"/>
  <c r="BT43" i="227" s="1"/>
  <c r="S38" i="687"/>
  <c r="F1003" i="857"/>
  <c r="CM16" i="528"/>
  <c r="J34" i="528"/>
  <c r="F167" i="857"/>
  <c r="F1200" i="857"/>
  <c r="F1223" i="857"/>
  <c r="F1017" i="857"/>
  <c r="E55" i="227"/>
  <c r="F55" i="227" s="1"/>
  <c r="B75" i="794"/>
  <c r="C12" i="227"/>
  <c r="C57" i="227" s="1"/>
  <c r="C102" i="227" s="1"/>
  <c r="B11" i="354"/>
  <c r="BH11" i="354" s="1"/>
  <c r="F839" i="857"/>
  <c r="F1283" i="857"/>
  <c r="E140" i="227"/>
  <c r="F140" i="227" s="1"/>
  <c r="F1147" i="857"/>
  <c r="F1184" i="857"/>
  <c r="AS55" i="106"/>
  <c r="AS57" i="106"/>
  <c r="E37" i="227"/>
  <c r="F37" i="227" s="1"/>
  <c r="AG30" i="106"/>
  <c r="AH30" i="106"/>
  <c r="AI30" i="106"/>
  <c r="F954" i="857"/>
  <c r="F1534" i="857"/>
  <c r="AM25" i="106"/>
  <c r="F2351" i="857"/>
  <c r="E133" i="227"/>
  <c r="F133" i="227" s="1"/>
  <c r="F1140" i="857"/>
  <c r="R17" i="227"/>
  <c r="S17" i="227" s="1"/>
  <c r="T17" i="227" s="1"/>
  <c r="R33" i="227"/>
  <c r="S33" i="227" s="1"/>
  <c r="T33" i="227" s="1"/>
  <c r="R35" i="227"/>
  <c r="S35" i="227" s="1"/>
  <c r="T35" i="227" s="1"/>
  <c r="R20" i="227"/>
  <c r="S20" i="227" s="1"/>
  <c r="T20" i="227" s="1"/>
  <c r="R13" i="227"/>
  <c r="S13" i="227" s="1"/>
  <c r="T13" i="227" s="1"/>
  <c r="R53" i="227"/>
  <c r="S53" i="227" s="1"/>
  <c r="T53" i="227" s="1"/>
  <c r="R72" i="227"/>
  <c r="S72" i="227" s="1"/>
  <c r="T72" i="227" s="1"/>
  <c r="R15" i="227"/>
  <c r="S15" i="227" s="1"/>
  <c r="T15" i="227" s="1"/>
  <c r="U57" i="227" s="1" a="1"/>
  <c r="U57" i="227" s="1"/>
  <c r="R12" i="227"/>
  <c r="S12" i="227" s="1"/>
  <c r="T12" i="227" s="1"/>
  <c r="R64" i="227"/>
  <c r="S64" i="227" s="1"/>
  <c r="T64" i="227" s="1"/>
  <c r="R39" i="227"/>
  <c r="S39" i="227" s="1"/>
  <c r="T39" i="227" s="1"/>
  <c r="R56" i="227"/>
  <c r="S56" i="227" s="1"/>
  <c r="T56" i="227" s="1"/>
  <c r="R62" i="227"/>
  <c r="S62" i="227" s="1"/>
  <c r="T62" i="227" s="1"/>
  <c r="R67" i="227"/>
  <c r="S67" i="227" s="1"/>
  <c r="T67" i="227" s="1"/>
  <c r="R38" i="227"/>
  <c r="S38" i="227" s="1"/>
  <c r="T38" i="227" s="1"/>
  <c r="R69" i="227"/>
  <c r="S69" i="227" s="1"/>
  <c r="T69" i="227" s="1"/>
  <c r="R10" i="227"/>
  <c r="S10" i="227" s="1"/>
  <c r="T10" i="227" s="1"/>
  <c r="R65" i="227"/>
  <c r="S65" i="227" s="1"/>
  <c r="T65" i="227" s="1"/>
  <c r="R29" i="227"/>
  <c r="S29" i="227" s="1"/>
  <c r="T29" i="227" s="1"/>
  <c r="R48" i="227"/>
  <c r="S48" i="227" s="1"/>
  <c r="T48" i="227" s="1"/>
  <c r="R71" i="227"/>
  <c r="S71" i="227" s="1"/>
  <c r="T71" i="227" s="1"/>
  <c r="R14" i="227"/>
  <c r="S14" i="227" s="1"/>
  <c r="T14" i="227" s="1"/>
  <c r="R42" i="227"/>
  <c r="S42" i="227" s="1"/>
  <c r="T42" i="227" s="1"/>
  <c r="R70" i="227"/>
  <c r="S70" i="227" s="1"/>
  <c r="T70" i="227" s="1"/>
  <c r="R34" i="227"/>
  <c r="S34" i="227" s="1"/>
  <c r="T34" i="227" s="1"/>
  <c r="R46" i="227"/>
  <c r="S46" i="227" s="1"/>
  <c r="T46" i="227" s="1"/>
  <c r="R27" i="227"/>
  <c r="S27" i="227" s="1"/>
  <c r="T27" i="227" s="1"/>
  <c r="R68" i="227"/>
  <c r="S68" i="227" s="1"/>
  <c r="T68" i="227" s="1"/>
  <c r="R40" i="227"/>
  <c r="S40" i="227" s="1"/>
  <c r="T40" i="227" s="1"/>
  <c r="R24" i="227"/>
  <c r="S24" i="227" s="1"/>
  <c r="T24" i="227" s="1"/>
  <c r="R37" i="227"/>
  <c r="S37" i="227" s="1"/>
  <c r="T37" i="227" s="1"/>
  <c r="R30" i="227"/>
  <c r="S30" i="227" s="1"/>
  <c r="T30" i="227" s="1"/>
  <c r="R43" i="227"/>
  <c r="S43" i="227" s="1"/>
  <c r="T43" i="227" s="1"/>
  <c r="R63" i="227"/>
  <c r="S63" i="227" s="1"/>
  <c r="T63" i="227" s="1"/>
  <c r="R47" i="227"/>
  <c r="S47" i="227" s="1"/>
  <c r="T47" i="227" s="1"/>
  <c r="R61" i="227"/>
  <c r="S61" i="227" s="1"/>
  <c r="T61" i="227" s="1"/>
  <c r="R57" i="227"/>
  <c r="S57" i="227" s="1"/>
  <c r="T57" i="227" s="1"/>
  <c r="R49" i="227"/>
  <c r="S49" i="227" s="1"/>
  <c r="T49" i="227" s="1"/>
  <c r="R58" i="227"/>
  <c r="S58" i="227" s="1"/>
  <c r="T58" i="227" s="1"/>
  <c r="R36" i="227"/>
  <c r="S36" i="227" s="1"/>
  <c r="T36" i="227" s="1"/>
  <c r="R41" i="227"/>
  <c r="S41" i="227" s="1"/>
  <c r="T41" i="227" s="1"/>
  <c r="R59" i="227"/>
  <c r="S59" i="227" s="1"/>
  <c r="T59" i="227" s="1"/>
  <c r="R28" i="227"/>
  <c r="S28" i="227" s="1"/>
  <c r="T28" i="227" s="1"/>
  <c r="R52" i="227"/>
  <c r="S52" i="227" s="1"/>
  <c r="T52" i="227" s="1"/>
  <c r="R21" i="227"/>
  <c r="S21" i="227" s="1"/>
  <c r="T21" i="227" s="1"/>
  <c r="R31" i="227"/>
  <c r="S31" i="227" s="1"/>
  <c r="T31" i="227" s="1"/>
  <c r="R51" i="227"/>
  <c r="S51" i="227" s="1"/>
  <c r="T51" i="227" s="1"/>
  <c r="R60" i="227"/>
  <c r="S60" i="227" s="1"/>
  <c r="T60" i="227" s="1"/>
  <c r="R11" i="227"/>
  <c r="S11" i="227" s="1"/>
  <c r="T11" i="227" s="1"/>
  <c r="R66" i="227"/>
  <c r="S66" i="227" s="1"/>
  <c r="T66" i="227" s="1"/>
  <c r="R18" i="227"/>
  <c r="S18" i="227" s="1"/>
  <c r="T18" i="227" s="1"/>
  <c r="R25" i="227"/>
  <c r="S25" i="227" s="1"/>
  <c r="T25" i="227" s="1"/>
  <c r="R44" i="227"/>
  <c r="S44" i="227" s="1"/>
  <c r="T44" i="227" s="1"/>
  <c r="R54" i="227"/>
  <c r="S54" i="227" s="1"/>
  <c r="T54" i="227" s="1"/>
  <c r="R22" i="227"/>
  <c r="S22" i="227" s="1"/>
  <c r="T22" i="227" s="1"/>
  <c r="R19" i="227"/>
  <c r="S19" i="227" s="1"/>
  <c r="T19" i="227" s="1"/>
  <c r="R16" i="227"/>
  <c r="S16" i="227" s="1"/>
  <c r="T16" i="227" s="1"/>
  <c r="R32" i="227"/>
  <c r="S32" i="227" s="1"/>
  <c r="T32" i="227" s="1"/>
  <c r="R23" i="227"/>
  <c r="S23" i="227" s="1"/>
  <c r="T23" i="227" s="1"/>
  <c r="R26" i="227"/>
  <c r="S26" i="227" s="1"/>
  <c r="T26" i="227" s="1"/>
  <c r="R50" i="227"/>
  <c r="S50" i="227" s="1"/>
  <c r="T50" i="227" s="1"/>
  <c r="R55" i="227"/>
  <c r="S55" i="227" s="1"/>
  <c r="T55" i="227" s="1"/>
  <c r="AS32" i="106"/>
  <c r="CX36" i="227"/>
  <c r="CY36" i="227" s="1"/>
  <c r="CZ36" i="227" s="1"/>
  <c r="CX46" i="227"/>
  <c r="CY46" i="227" s="1"/>
  <c r="CZ46" i="227" s="1"/>
  <c r="CX10" i="227"/>
  <c r="CY10" i="227" s="1"/>
  <c r="CZ10" i="227" s="1"/>
  <c r="CX24" i="227"/>
  <c r="CY24" i="227" s="1"/>
  <c r="CZ24" i="227" s="1"/>
  <c r="CX29" i="227"/>
  <c r="CY29" i="227" s="1"/>
  <c r="CZ29" i="227" s="1"/>
  <c r="CX63" i="227"/>
  <c r="CY63" i="227" s="1"/>
  <c r="CZ63" i="227" s="1"/>
  <c r="CX66" i="227"/>
  <c r="CY66" i="227" s="1"/>
  <c r="CZ66" i="227" s="1"/>
  <c r="CX65" i="227"/>
  <c r="CY65" i="227" s="1"/>
  <c r="CZ65" i="227" s="1"/>
  <c r="CX31" i="227"/>
  <c r="CY31" i="227" s="1"/>
  <c r="CZ31" i="227" s="1"/>
  <c r="CX71" i="227"/>
  <c r="CY71" i="227" s="1"/>
  <c r="CZ71" i="227" s="1"/>
  <c r="CX59" i="227"/>
  <c r="CY59" i="227" s="1"/>
  <c r="CZ59" i="227" s="1"/>
  <c r="CX72" i="227"/>
  <c r="CY72" i="227" s="1"/>
  <c r="CZ72" i="227" s="1"/>
  <c r="CX44" i="227"/>
  <c r="CY44" i="227" s="1"/>
  <c r="CZ44" i="227" s="1"/>
  <c r="CX54" i="227"/>
  <c r="CY54" i="227" s="1"/>
  <c r="CZ54" i="227" s="1"/>
  <c r="CX48" i="227"/>
  <c r="CY48" i="227" s="1"/>
  <c r="CZ48" i="227" s="1"/>
  <c r="CX43" i="227"/>
  <c r="CY43" i="227" s="1"/>
  <c r="CZ43" i="227" s="1"/>
  <c r="CX56" i="227"/>
  <c r="CY56" i="227" s="1"/>
  <c r="CZ56" i="227" s="1"/>
  <c r="CX52" i="227"/>
  <c r="CY52" i="227" s="1"/>
  <c r="CZ52" i="227" s="1"/>
  <c r="CX38" i="227"/>
  <c r="CY38" i="227" s="1"/>
  <c r="CZ38" i="227" s="1"/>
  <c r="CX34" i="227"/>
  <c r="CY34" i="227" s="1"/>
  <c r="CZ34" i="227" s="1"/>
  <c r="CX70" i="227"/>
  <c r="CY70" i="227" s="1"/>
  <c r="CZ70" i="227" s="1"/>
  <c r="CX49" i="227"/>
  <c r="CY49" i="227" s="1"/>
  <c r="CZ49" i="227" s="1"/>
  <c r="CX17" i="227"/>
  <c r="CY17" i="227" s="1"/>
  <c r="CZ17" i="227" s="1"/>
  <c r="CX32" i="227"/>
  <c r="CY32" i="227" s="1"/>
  <c r="CZ32" i="227" s="1"/>
  <c r="CX15" i="227"/>
  <c r="CY15" i="227" s="1"/>
  <c r="CZ15" i="227" s="1"/>
  <c r="CX26" i="227"/>
  <c r="CY26" i="227" s="1"/>
  <c r="CZ26" i="227" s="1"/>
  <c r="CX64" i="227"/>
  <c r="CY64" i="227" s="1"/>
  <c r="CZ64" i="227" s="1"/>
  <c r="CX61" i="227"/>
  <c r="CY61" i="227" s="1"/>
  <c r="CZ61" i="227" s="1"/>
  <c r="CX12" i="227"/>
  <c r="CY12" i="227" s="1"/>
  <c r="CZ12" i="227" s="1"/>
  <c r="DA23" i="227" s="1" a="1"/>
  <c r="DA23" i="227" s="1"/>
  <c r="CX28" i="227"/>
  <c r="CY28" i="227" s="1"/>
  <c r="CZ28" i="227" s="1"/>
  <c r="CX50" i="227"/>
  <c r="CY50" i="227" s="1"/>
  <c r="CZ50" i="227" s="1"/>
  <c r="CX51" i="227"/>
  <c r="CY51" i="227" s="1"/>
  <c r="CZ51" i="227" s="1"/>
  <c r="CX23" i="227"/>
  <c r="CY23" i="227" s="1"/>
  <c r="CZ23" i="227" s="1"/>
  <c r="CX21" i="227"/>
  <c r="CY21" i="227" s="1"/>
  <c r="CZ21" i="227" s="1"/>
  <c r="CX57" i="227"/>
  <c r="CY57" i="227" s="1"/>
  <c r="CZ57" i="227" s="1"/>
  <c r="CX37" i="227"/>
  <c r="CY37" i="227" s="1"/>
  <c r="CZ37" i="227" s="1"/>
  <c r="CX18" i="227"/>
  <c r="CY18" i="227" s="1"/>
  <c r="CZ18" i="227" s="1"/>
  <c r="CX60" i="227"/>
  <c r="CY60" i="227" s="1"/>
  <c r="CZ60" i="227" s="1"/>
  <c r="CX55" i="227"/>
  <c r="CY55" i="227" s="1"/>
  <c r="CZ55" i="227" s="1"/>
  <c r="CX41" i="227"/>
  <c r="CY41" i="227" s="1"/>
  <c r="CZ41" i="227" s="1"/>
  <c r="CX22" i="227"/>
  <c r="CY22" i="227" s="1"/>
  <c r="CZ22" i="227" s="1"/>
  <c r="CX11" i="227"/>
  <c r="CY11" i="227" s="1"/>
  <c r="CZ11" i="227" s="1"/>
  <c r="CX20" i="227"/>
  <c r="CY20" i="227" s="1"/>
  <c r="CZ20" i="227" s="1"/>
  <c r="CX30" i="227"/>
  <c r="CY30" i="227" s="1"/>
  <c r="CZ30" i="227" s="1"/>
  <c r="CX14" i="227"/>
  <c r="CY14" i="227" s="1"/>
  <c r="CZ14" i="227" s="1"/>
  <c r="CX62" i="227"/>
  <c r="CY62" i="227" s="1"/>
  <c r="CZ62" i="227" s="1"/>
  <c r="CX35" i="227"/>
  <c r="CY35" i="227" s="1"/>
  <c r="CZ35" i="227" s="1"/>
  <c r="CX69" i="227"/>
  <c r="CY69" i="227" s="1"/>
  <c r="CZ69" i="227" s="1"/>
  <c r="CX27" i="227"/>
  <c r="CY27" i="227" s="1"/>
  <c r="CZ27" i="227" s="1"/>
  <c r="CX53" i="227"/>
  <c r="CY53" i="227" s="1"/>
  <c r="CZ53" i="227" s="1"/>
  <c r="CX16" i="227"/>
  <c r="CY16" i="227" s="1"/>
  <c r="CZ16" i="227" s="1"/>
  <c r="CX68" i="227"/>
  <c r="CY68" i="227" s="1"/>
  <c r="CZ68" i="227" s="1"/>
  <c r="CX40" i="227"/>
  <c r="CY40" i="227" s="1"/>
  <c r="CZ40" i="227" s="1"/>
  <c r="CX58" i="227"/>
  <c r="CY58" i="227" s="1"/>
  <c r="CZ58" i="227" s="1"/>
  <c r="CX19" i="227"/>
  <c r="CY19" i="227" s="1"/>
  <c r="CZ19" i="227" s="1"/>
  <c r="CX47" i="227"/>
  <c r="CY47" i="227" s="1"/>
  <c r="CZ47" i="227" s="1"/>
  <c r="CX33" i="227"/>
  <c r="CY33" i="227" s="1"/>
  <c r="CZ33" i="227" s="1"/>
  <c r="CX25" i="227"/>
  <c r="CY25" i="227" s="1"/>
  <c r="CZ25" i="227" s="1"/>
  <c r="CX67" i="227"/>
  <c r="CY67" i="227" s="1"/>
  <c r="CZ67" i="227" s="1"/>
  <c r="CX42" i="227"/>
  <c r="CY42" i="227" s="1"/>
  <c r="CZ42" i="227" s="1"/>
  <c r="CX13" i="227"/>
  <c r="CY13" i="227" s="1"/>
  <c r="CZ13" i="227" s="1"/>
  <c r="CX39" i="227"/>
  <c r="CY39" i="227" s="1"/>
  <c r="CZ39" i="227" s="1"/>
  <c r="L79" i="777"/>
  <c r="F3074" i="857"/>
  <c r="E79" i="777"/>
  <c r="F3094" i="857" s="1"/>
  <c r="F970" i="857"/>
  <c r="AG46" i="106"/>
  <c r="AH46" i="106"/>
  <c r="AI46" i="106"/>
  <c r="E53" i="227"/>
  <c r="F53" i="227" s="1"/>
  <c r="ED27" i="227"/>
  <c r="EE27" i="227" s="1"/>
  <c r="EF27" i="227" s="1"/>
  <c r="ED19" i="227"/>
  <c r="EE19" i="227" s="1"/>
  <c r="EF19" i="227" s="1"/>
  <c r="ED10" i="227"/>
  <c r="EE10" i="227" s="1"/>
  <c r="EF10" i="227" s="1"/>
  <c r="ED48" i="227"/>
  <c r="EE48" i="227" s="1"/>
  <c r="EF48" i="227" s="1"/>
  <c r="ED44" i="227"/>
  <c r="EE44" i="227" s="1"/>
  <c r="EF44" i="227" s="1"/>
  <c r="ED28" i="227"/>
  <c r="EE28" i="227" s="1"/>
  <c r="EF28" i="227" s="1"/>
  <c r="ED53" i="227"/>
  <c r="EE53" i="227" s="1"/>
  <c r="EF53" i="227" s="1"/>
  <c r="ED54" i="227"/>
  <c r="EE54" i="227" s="1"/>
  <c r="EF54" i="227" s="1"/>
  <c r="ED25" i="227"/>
  <c r="EE25" i="227" s="1"/>
  <c r="EF25" i="227" s="1"/>
  <c r="ED20" i="227"/>
  <c r="EE20" i="227" s="1"/>
  <c r="EF20" i="227" s="1"/>
  <c r="ED56" i="227"/>
  <c r="EE56" i="227" s="1"/>
  <c r="EF56" i="227" s="1"/>
  <c r="ED32" i="227"/>
  <c r="EE32" i="227" s="1"/>
  <c r="EF32" i="227" s="1"/>
  <c r="ED70" i="227"/>
  <c r="EE70" i="227" s="1"/>
  <c r="EF70" i="227" s="1"/>
  <c r="ED24" i="227"/>
  <c r="EE24" i="227" s="1"/>
  <c r="EF24" i="227" s="1"/>
  <c r="ED66" i="227"/>
  <c r="EE66" i="227" s="1"/>
  <c r="EF66" i="227" s="1"/>
  <c r="ED49" i="227"/>
  <c r="EE49" i="227" s="1"/>
  <c r="EF49" i="227" s="1"/>
  <c r="ED51" i="227"/>
  <c r="EE51" i="227" s="1"/>
  <c r="EF51" i="227" s="1"/>
  <c r="ED46" i="227"/>
  <c r="EE46" i="227" s="1"/>
  <c r="EF46" i="227" s="1"/>
  <c r="ED68" i="227"/>
  <c r="EE68" i="227" s="1"/>
  <c r="EF68" i="227" s="1"/>
  <c r="ED65" i="227"/>
  <c r="EE65" i="227" s="1"/>
  <c r="EF65" i="227" s="1"/>
  <c r="ED71" i="227"/>
  <c r="EE71" i="227" s="1"/>
  <c r="EF71" i="227" s="1"/>
  <c r="ED16" i="227"/>
  <c r="EE16" i="227" s="1"/>
  <c r="EF16" i="227" s="1"/>
  <c r="ED12" i="227"/>
  <c r="EE12" i="227" s="1"/>
  <c r="EF12" i="227" s="1"/>
  <c r="ED72" i="227"/>
  <c r="EE72" i="227" s="1"/>
  <c r="EF72" i="227" s="1"/>
  <c r="ED47" i="227"/>
  <c r="EE47" i="227" s="1"/>
  <c r="EF47" i="227" s="1"/>
  <c r="ED33" i="227"/>
  <c r="EE33" i="227" s="1"/>
  <c r="EF33" i="227" s="1"/>
  <c r="ED30" i="227"/>
  <c r="EE30" i="227" s="1"/>
  <c r="EF30" i="227" s="1"/>
  <c r="ED36" i="227"/>
  <c r="EE36" i="227" s="1"/>
  <c r="EF36" i="227" s="1"/>
  <c r="ED29" i="227"/>
  <c r="EE29" i="227" s="1"/>
  <c r="EF29" i="227" s="1"/>
  <c r="ED64" i="227"/>
  <c r="EE64" i="227" s="1"/>
  <c r="EF64" i="227" s="1"/>
  <c r="ED14" i="227"/>
  <c r="EE14" i="227" s="1"/>
  <c r="EF14" i="227" s="1"/>
  <c r="EG34" i="227" s="1" a="1"/>
  <c r="EG34" i="227" s="1"/>
  <c r="ED55" i="227"/>
  <c r="EE55" i="227" s="1"/>
  <c r="EF55" i="227" s="1"/>
  <c r="ED67" i="227"/>
  <c r="EE67" i="227" s="1"/>
  <c r="EF67" i="227" s="1"/>
  <c r="ED61" i="227"/>
  <c r="EE61" i="227" s="1"/>
  <c r="EF61" i="227" s="1"/>
  <c r="ED13" i="227"/>
  <c r="EE13" i="227" s="1"/>
  <c r="EF13" i="227" s="1"/>
  <c r="ED52" i="227"/>
  <c r="EE52" i="227" s="1"/>
  <c r="EF52" i="227" s="1"/>
  <c r="ED40" i="227"/>
  <c r="EE40" i="227" s="1"/>
  <c r="EF40" i="227" s="1"/>
  <c r="ED35" i="227"/>
  <c r="EE35" i="227" s="1"/>
  <c r="EF35" i="227" s="1"/>
  <c r="ED60" i="227"/>
  <c r="EE60" i="227" s="1"/>
  <c r="EF60" i="227" s="1"/>
  <c r="ED58" i="227"/>
  <c r="EE58" i="227" s="1"/>
  <c r="EF58" i="227" s="1"/>
  <c r="ED18" i="227"/>
  <c r="EE18" i="227" s="1"/>
  <c r="EF18" i="227" s="1"/>
  <c r="ED17" i="227"/>
  <c r="EE17" i="227" s="1"/>
  <c r="EF17" i="227" s="1"/>
  <c r="ED37" i="227"/>
  <c r="EE37" i="227" s="1"/>
  <c r="EF37" i="227" s="1"/>
  <c r="ED41" i="227"/>
  <c r="EE41" i="227" s="1"/>
  <c r="EF41" i="227" s="1"/>
  <c r="ED57" i="227"/>
  <c r="EE57" i="227" s="1"/>
  <c r="EF57" i="227" s="1"/>
  <c r="ED34" i="227"/>
  <c r="EE34" i="227" s="1"/>
  <c r="EF34" i="227" s="1"/>
  <c r="ED22" i="227"/>
  <c r="EE22" i="227" s="1"/>
  <c r="EF22" i="227" s="1"/>
  <c r="ED11" i="227"/>
  <c r="EE11" i="227" s="1"/>
  <c r="EF11" i="227" s="1"/>
  <c r="ED26" i="227"/>
  <c r="EE26" i="227" s="1"/>
  <c r="EF26" i="227" s="1"/>
  <c r="ED21" i="227"/>
  <c r="EE21" i="227" s="1"/>
  <c r="EF21" i="227" s="1"/>
  <c r="ED63" i="227"/>
  <c r="EE63" i="227" s="1"/>
  <c r="EF63" i="227" s="1"/>
  <c r="ED39" i="227"/>
  <c r="EE39" i="227" s="1"/>
  <c r="EF39" i="227" s="1"/>
  <c r="ED62" i="227"/>
  <c r="EE62" i="227" s="1"/>
  <c r="EF62" i="227" s="1"/>
  <c r="ED59" i="227"/>
  <c r="EE59" i="227" s="1"/>
  <c r="EF59" i="227" s="1"/>
  <c r="ED69" i="227"/>
  <c r="EE69" i="227" s="1"/>
  <c r="EF69" i="227" s="1"/>
  <c r="ED31" i="227"/>
  <c r="EE31" i="227" s="1"/>
  <c r="EF31" i="227" s="1"/>
  <c r="ED38" i="227"/>
  <c r="EE38" i="227" s="1"/>
  <c r="EF38" i="227" s="1"/>
  <c r="ED43" i="227"/>
  <c r="EE43" i="227" s="1"/>
  <c r="EF43" i="227" s="1"/>
  <c r="ED15" i="227"/>
  <c r="EE15" i="227" s="1"/>
  <c r="EF15" i="227" s="1"/>
  <c r="ED50" i="227"/>
  <c r="EE50" i="227" s="1"/>
  <c r="EF50" i="227" s="1"/>
  <c r="ED42" i="227"/>
  <c r="EE42" i="227" s="1"/>
  <c r="EF42" i="227" s="1"/>
  <c r="ED23" i="227"/>
  <c r="EE23" i="227" s="1"/>
  <c r="EF23" i="227" s="1"/>
  <c r="AS50" i="106"/>
  <c r="F1186" i="857"/>
  <c r="F1220" i="857"/>
  <c r="J115" i="99"/>
  <c r="F1062" i="857"/>
  <c r="F1272" i="857"/>
  <c r="F980" i="857"/>
  <c r="AS22" i="106"/>
  <c r="F1258" i="857"/>
  <c r="G29" i="687"/>
  <c r="G107" i="687" s="1"/>
  <c r="G108" i="687"/>
  <c r="F983" i="857"/>
  <c r="F1134" i="857"/>
  <c r="E127" i="227"/>
  <c r="F127" i="227" s="1"/>
  <c r="AS51" i="106"/>
  <c r="F2348" i="857"/>
  <c r="F1243" i="857"/>
  <c r="E83" i="227"/>
  <c r="F83" i="227" s="1"/>
  <c r="F1045" i="857"/>
  <c r="M15" i="528"/>
  <c r="F161" i="857"/>
  <c r="D33" i="687"/>
  <c r="S33" i="687" s="1"/>
  <c r="C11" i="227"/>
  <c r="C56" i="227" s="1"/>
  <c r="C101" i="227" s="1"/>
  <c r="B74" i="794"/>
  <c r="B10" i="354"/>
  <c r="BH10" i="354" s="1"/>
  <c r="F838" i="857"/>
  <c r="D40" i="227"/>
  <c r="D85" i="227" s="1"/>
  <c r="D130" i="227" s="1"/>
  <c r="F912" i="857"/>
  <c r="C52" i="227"/>
  <c r="C97" i="227" s="1"/>
  <c r="C142" i="227" s="1"/>
  <c r="B115" i="794"/>
  <c r="F879" i="857"/>
  <c r="B51" i="354"/>
  <c r="F2650" i="857"/>
  <c r="DF57" i="227"/>
  <c r="DG57" i="227" s="1"/>
  <c r="DH57" i="227" s="1"/>
  <c r="DF28" i="227"/>
  <c r="DG28" i="227" s="1"/>
  <c r="DH28" i="227" s="1"/>
  <c r="DF18" i="227"/>
  <c r="DG18" i="227" s="1"/>
  <c r="DH18" i="227" s="1"/>
  <c r="DF59" i="227"/>
  <c r="DG59" i="227" s="1"/>
  <c r="DH59" i="227" s="1"/>
  <c r="DF70" i="227"/>
  <c r="DG70" i="227" s="1"/>
  <c r="DH70" i="227" s="1"/>
  <c r="DF14" i="227"/>
  <c r="DG14" i="227" s="1"/>
  <c r="DH14" i="227" s="1"/>
  <c r="DF27" i="227"/>
  <c r="DG27" i="227" s="1"/>
  <c r="DH27" i="227" s="1"/>
  <c r="DF51" i="227"/>
  <c r="DG51" i="227" s="1"/>
  <c r="DH51" i="227" s="1"/>
  <c r="DF48" i="227"/>
  <c r="DG48" i="227" s="1"/>
  <c r="DH48" i="227" s="1"/>
  <c r="DF21" i="227"/>
  <c r="DG21" i="227" s="1"/>
  <c r="DH21" i="227" s="1"/>
  <c r="DF23" i="227"/>
  <c r="DG23" i="227" s="1"/>
  <c r="DH23" i="227" s="1"/>
  <c r="DF43" i="227"/>
  <c r="DG43" i="227" s="1"/>
  <c r="DH43" i="227" s="1"/>
  <c r="DF69" i="227"/>
  <c r="DG69" i="227" s="1"/>
  <c r="DH69" i="227" s="1"/>
  <c r="DF35" i="227"/>
  <c r="DG35" i="227" s="1"/>
  <c r="DH35" i="227" s="1"/>
  <c r="DF62" i="227"/>
  <c r="DG62" i="227" s="1"/>
  <c r="DH62" i="227" s="1"/>
  <c r="DF37" i="227"/>
  <c r="DG37" i="227" s="1"/>
  <c r="DH37" i="227" s="1"/>
  <c r="DF19" i="227"/>
  <c r="DG19" i="227" s="1"/>
  <c r="DH19" i="227" s="1"/>
  <c r="DF66" i="227"/>
  <c r="DG66" i="227" s="1"/>
  <c r="DH66" i="227" s="1"/>
  <c r="DF10" i="227"/>
  <c r="DG10" i="227" s="1"/>
  <c r="DH10" i="227" s="1"/>
  <c r="DF68" i="227"/>
  <c r="DG68" i="227" s="1"/>
  <c r="DH68" i="227" s="1"/>
  <c r="DF47" i="227"/>
  <c r="DG47" i="227" s="1"/>
  <c r="DH47" i="227" s="1"/>
  <c r="DF52" i="227"/>
  <c r="DG52" i="227" s="1"/>
  <c r="DH52" i="227" s="1"/>
  <c r="DF36" i="227"/>
  <c r="DG36" i="227" s="1"/>
  <c r="DH36" i="227" s="1"/>
  <c r="DF31" i="227"/>
  <c r="DG31" i="227" s="1"/>
  <c r="DH31" i="227" s="1"/>
  <c r="DF71" i="227"/>
  <c r="DG71" i="227" s="1"/>
  <c r="DH71" i="227" s="1"/>
  <c r="DF39" i="227"/>
  <c r="DG39" i="227" s="1"/>
  <c r="DH39" i="227" s="1"/>
  <c r="DF16" i="227"/>
  <c r="DG16" i="227" s="1"/>
  <c r="DH16" i="227" s="1"/>
  <c r="DF33" i="227"/>
  <c r="DG33" i="227" s="1"/>
  <c r="DH33" i="227" s="1"/>
  <c r="DF11" i="227"/>
  <c r="DG11" i="227" s="1"/>
  <c r="DH11" i="227" s="1"/>
  <c r="DF46" i="227"/>
  <c r="DG46" i="227" s="1"/>
  <c r="DH46" i="227" s="1"/>
  <c r="DF25" i="227"/>
  <c r="DG25" i="227" s="1"/>
  <c r="DH25" i="227" s="1"/>
  <c r="DF65" i="227"/>
  <c r="DG65" i="227" s="1"/>
  <c r="DH65" i="227" s="1"/>
  <c r="DF41" i="227"/>
  <c r="DG41" i="227" s="1"/>
  <c r="DH41" i="227" s="1"/>
  <c r="DF54" i="227"/>
  <c r="DG54" i="227" s="1"/>
  <c r="DH54" i="227" s="1"/>
  <c r="DF26" i="227"/>
  <c r="DG26" i="227" s="1"/>
  <c r="DH26" i="227" s="1"/>
  <c r="DF17" i="227"/>
  <c r="DG17" i="227" s="1"/>
  <c r="DH17" i="227" s="1"/>
  <c r="DF42" i="227"/>
  <c r="DG42" i="227" s="1"/>
  <c r="DH42" i="227" s="1"/>
  <c r="DF67" i="227"/>
  <c r="DG67" i="227" s="1"/>
  <c r="DH67" i="227" s="1"/>
  <c r="DF55" i="227"/>
  <c r="DG55" i="227" s="1"/>
  <c r="DH55" i="227" s="1"/>
  <c r="DF15" i="227"/>
  <c r="DG15" i="227" s="1"/>
  <c r="DH15" i="227" s="1"/>
  <c r="DF12" i="227"/>
  <c r="DG12" i="227" s="1"/>
  <c r="DH12" i="227" s="1"/>
  <c r="DF32" i="227"/>
  <c r="DG32" i="227" s="1"/>
  <c r="DH32" i="227" s="1"/>
  <c r="DF24" i="227"/>
  <c r="DG24" i="227" s="1"/>
  <c r="DH24" i="227" s="1"/>
  <c r="DF20" i="227"/>
  <c r="DG20" i="227" s="1"/>
  <c r="DH20" i="227" s="1"/>
  <c r="DI22" i="227" s="1" a="1"/>
  <c r="DI22" i="227" s="1"/>
  <c r="DF58" i="227"/>
  <c r="DG58" i="227" s="1"/>
  <c r="DH58" i="227" s="1"/>
  <c r="DF53" i="227"/>
  <c r="DG53" i="227" s="1"/>
  <c r="DH53" i="227" s="1"/>
  <c r="DF34" i="227"/>
  <c r="DG34" i="227" s="1"/>
  <c r="DH34" i="227" s="1"/>
  <c r="DF56" i="227"/>
  <c r="DG56" i="227" s="1"/>
  <c r="DH56" i="227" s="1"/>
  <c r="DF72" i="227"/>
  <c r="DG72" i="227" s="1"/>
  <c r="DH72" i="227" s="1"/>
  <c r="DF22" i="227"/>
  <c r="DG22" i="227" s="1"/>
  <c r="DH22" i="227" s="1"/>
  <c r="DF30" i="227"/>
  <c r="DG30" i="227" s="1"/>
  <c r="DH30" i="227" s="1"/>
  <c r="DF38" i="227"/>
  <c r="DG38" i="227" s="1"/>
  <c r="DH38" i="227" s="1"/>
  <c r="DF49" i="227"/>
  <c r="DG49" i="227" s="1"/>
  <c r="DH49" i="227" s="1"/>
  <c r="DF13" i="227"/>
  <c r="DG13" i="227" s="1"/>
  <c r="DH13" i="227" s="1"/>
  <c r="DF50" i="227"/>
  <c r="DG50" i="227" s="1"/>
  <c r="DH50" i="227" s="1"/>
  <c r="DF29" i="227"/>
  <c r="DG29" i="227" s="1"/>
  <c r="DH29" i="227" s="1"/>
  <c r="DF64" i="227"/>
  <c r="DG64" i="227" s="1"/>
  <c r="DH64" i="227" s="1"/>
  <c r="DF63" i="227"/>
  <c r="DG63" i="227" s="1"/>
  <c r="DH63" i="227" s="1"/>
  <c r="DF44" i="227"/>
  <c r="DG44" i="227" s="1"/>
  <c r="DH44" i="227" s="1"/>
  <c r="DF60" i="227"/>
  <c r="DG60" i="227" s="1"/>
  <c r="DH60" i="227" s="1"/>
  <c r="DF40" i="227"/>
  <c r="DG40" i="227" s="1"/>
  <c r="DH40" i="227" s="1"/>
  <c r="DF61" i="227"/>
  <c r="DG61" i="227" s="1"/>
  <c r="DH61" i="227" s="1"/>
  <c r="F1110" i="857"/>
  <c r="E103" i="227"/>
  <c r="F103" i="227" s="1"/>
  <c r="AS60" i="106"/>
  <c r="F1251" i="857"/>
  <c r="F1231" i="857"/>
  <c r="E77" i="777"/>
  <c r="F3092" i="857" s="1"/>
  <c r="L77" i="777"/>
  <c r="F3072" i="857"/>
  <c r="F1267" i="857"/>
  <c r="F1238" i="857"/>
  <c r="B49" i="354"/>
  <c r="B113" i="794"/>
  <c r="F877" i="857"/>
  <c r="F1175" i="857"/>
  <c r="J63" i="687"/>
  <c r="AS36" i="106"/>
  <c r="F98" i="857"/>
  <c r="F10" i="87"/>
  <c r="C6" i="529" s="1"/>
  <c r="M63" i="687"/>
  <c r="F886" i="857"/>
  <c r="D14" i="227"/>
  <c r="D59" i="227" s="1"/>
  <c r="D104" i="227" s="1"/>
  <c r="F1198" i="857"/>
  <c r="AS3" i="106"/>
  <c r="F1269" i="857"/>
  <c r="DB39" i="227"/>
  <c r="DC39" i="227" s="1"/>
  <c r="DD39" i="227" s="1"/>
  <c r="DB58" i="227"/>
  <c r="DC58" i="227" s="1"/>
  <c r="DD58" i="227" s="1"/>
  <c r="DB40" i="227"/>
  <c r="DC40" i="227" s="1"/>
  <c r="DD40" i="227" s="1"/>
  <c r="DB24" i="227"/>
  <c r="DC24" i="227" s="1"/>
  <c r="DD24" i="227" s="1"/>
  <c r="DB27" i="227"/>
  <c r="DC27" i="227" s="1"/>
  <c r="DD27" i="227" s="1"/>
  <c r="DB44" i="227"/>
  <c r="DC44" i="227" s="1"/>
  <c r="DD44" i="227" s="1"/>
  <c r="DB16" i="227"/>
  <c r="DC16" i="227" s="1"/>
  <c r="DD16" i="227" s="1"/>
  <c r="DB25" i="227"/>
  <c r="DC25" i="227" s="1"/>
  <c r="DD25" i="227" s="1"/>
  <c r="DB55" i="227"/>
  <c r="DC55" i="227" s="1"/>
  <c r="DD55" i="227" s="1"/>
  <c r="DB14" i="227"/>
  <c r="DC14" i="227" s="1"/>
  <c r="DD14" i="227" s="1"/>
  <c r="DB66" i="227"/>
  <c r="DC66" i="227" s="1"/>
  <c r="DD66" i="227" s="1"/>
  <c r="DB68" i="227"/>
  <c r="DC68" i="227" s="1"/>
  <c r="DD68" i="227" s="1"/>
  <c r="DB26" i="227"/>
  <c r="DC26" i="227" s="1"/>
  <c r="DD26" i="227" s="1"/>
  <c r="DB65" i="227"/>
  <c r="DC65" i="227" s="1"/>
  <c r="DD65" i="227" s="1"/>
  <c r="DB42" i="227"/>
  <c r="DC42" i="227" s="1"/>
  <c r="DD42" i="227" s="1"/>
  <c r="DB41" i="227"/>
  <c r="DC41" i="227" s="1"/>
  <c r="DD41" i="227" s="1"/>
  <c r="DB35" i="227"/>
  <c r="DC35" i="227" s="1"/>
  <c r="DD35" i="227" s="1"/>
  <c r="DB20" i="227"/>
  <c r="DC20" i="227" s="1"/>
  <c r="DD20" i="227" s="1"/>
  <c r="DB10" i="227"/>
  <c r="DC10" i="227" s="1"/>
  <c r="DD10" i="227" s="1"/>
  <c r="DB43" i="227"/>
  <c r="DC43" i="227" s="1"/>
  <c r="DD43" i="227" s="1"/>
  <c r="DB54" i="227"/>
  <c r="DC54" i="227" s="1"/>
  <c r="DD54" i="227" s="1"/>
  <c r="DB60" i="227"/>
  <c r="DC60" i="227" s="1"/>
  <c r="DD60" i="227" s="1"/>
  <c r="DB51" i="227"/>
  <c r="DC51" i="227" s="1"/>
  <c r="DD51" i="227" s="1"/>
  <c r="DB34" i="227"/>
  <c r="DC34" i="227" s="1"/>
  <c r="DD34" i="227" s="1"/>
  <c r="DB23" i="227"/>
  <c r="DC23" i="227" s="1"/>
  <c r="DD23" i="227" s="1"/>
  <c r="DB46" i="227"/>
  <c r="DC46" i="227" s="1"/>
  <c r="DD46" i="227" s="1"/>
  <c r="DB59" i="227"/>
  <c r="DC59" i="227" s="1"/>
  <c r="DD59" i="227" s="1"/>
  <c r="DB28" i="227"/>
  <c r="DC28" i="227" s="1"/>
  <c r="DD28" i="227" s="1"/>
  <c r="DB11" i="227"/>
  <c r="DC11" i="227" s="1"/>
  <c r="DD11" i="227" s="1"/>
  <c r="DB72" i="227"/>
  <c r="DC72" i="227" s="1"/>
  <c r="DD72" i="227" s="1"/>
  <c r="DB57" i="227"/>
  <c r="DC57" i="227" s="1"/>
  <c r="DD57" i="227" s="1"/>
  <c r="DB50" i="227"/>
  <c r="DC50" i="227" s="1"/>
  <c r="DD50" i="227" s="1"/>
  <c r="DB21" i="227"/>
  <c r="DC21" i="227" s="1"/>
  <c r="DD21" i="227" s="1"/>
  <c r="DB29" i="227"/>
  <c r="DC29" i="227" s="1"/>
  <c r="DD29" i="227" s="1"/>
  <c r="DB53" i="227"/>
  <c r="DC53" i="227" s="1"/>
  <c r="DD53" i="227" s="1"/>
  <c r="DB70" i="227"/>
  <c r="DC70" i="227" s="1"/>
  <c r="DD70" i="227" s="1"/>
  <c r="DB36" i="227"/>
  <c r="DC36" i="227" s="1"/>
  <c r="DD36" i="227" s="1"/>
  <c r="DB19" i="227"/>
  <c r="DC19" i="227" s="1"/>
  <c r="DD19" i="227" s="1"/>
  <c r="DB56" i="227"/>
  <c r="DC56" i="227" s="1"/>
  <c r="DD56" i="227" s="1"/>
  <c r="DB22" i="227"/>
  <c r="DC22" i="227" s="1"/>
  <c r="DD22" i="227" s="1"/>
  <c r="DB52" i="227"/>
  <c r="DC52" i="227" s="1"/>
  <c r="DD52" i="227" s="1"/>
  <c r="DB48" i="227"/>
  <c r="DC48" i="227" s="1"/>
  <c r="DD48" i="227" s="1"/>
  <c r="DB37" i="227"/>
  <c r="DC37" i="227" s="1"/>
  <c r="DD37" i="227" s="1"/>
  <c r="DB32" i="227"/>
  <c r="DC32" i="227" s="1"/>
  <c r="DD32" i="227" s="1"/>
  <c r="DB67" i="227"/>
  <c r="DC67" i="227" s="1"/>
  <c r="DD67" i="227" s="1"/>
  <c r="DB64" i="227"/>
  <c r="DC64" i="227" s="1"/>
  <c r="DD64" i="227" s="1"/>
  <c r="DB15" i="227"/>
  <c r="DC15" i="227" s="1"/>
  <c r="DD15" i="227" s="1"/>
  <c r="DB30" i="227"/>
  <c r="DC30" i="227" s="1"/>
  <c r="DD30" i="227" s="1"/>
  <c r="DB12" i="227"/>
  <c r="DC12" i="227" s="1"/>
  <c r="DD12" i="227" s="1"/>
  <c r="DB62" i="227"/>
  <c r="DC62" i="227" s="1"/>
  <c r="DD62" i="227" s="1"/>
  <c r="DB13" i="227"/>
  <c r="DC13" i="227" s="1"/>
  <c r="DD13" i="227" s="1"/>
  <c r="DB31" i="227"/>
  <c r="DC31" i="227" s="1"/>
  <c r="DD31" i="227" s="1"/>
  <c r="DB63" i="227"/>
  <c r="DC63" i="227" s="1"/>
  <c r="DD63" i="227" s="1"/>
  <c r="DB33" i="227"/>
  <c r="DC33" i="227" s="1"/>
  <c r="DD33" i="227" s="1"/>
  <c r="DB18" i="227"/>
  <c r="DC18" i="227" s="1"/>
  <c r="DD18" i="227" s="1"/>
  <c r="DB71" i="227"/>
  <c r="DC71" i="227" s="1"/>
  <c r="DD71" i="227" s="1"/>
  <c r="DB69" i="227"/>
  <c r="DC69" i="227" s="1"/>
  <c r="DD69" i="227" s="1"/>
  <c r="DB17" i="227"/>
  <c r="DC17" i="227" s="1"/>
  <c r="DD17" i="227" s="1"/>
  <c r="DB61" i="227"/>
  <c r="DC61" i="227" s="1"/>
  <c r="DD61" i="227" s="1"/>
  <c r="DB38" i="227"/>
  <c r="DC38" i="227" s="1"/>
  <c r="DD38" i="227" s="1"/>
  <c r="DB49" i="227"/>
  <c r="DC49" i="227" s="1"/>
  <c r="DD49" i="227" s="1"/>
  <c r="DB47" i="227"/>
  <c r="DC47" i="227" s="1"/>
  <c r="DD47" i="227" s="1"/>
  <c r="F1144" i="857"/>
  <c r="E137" i="227"/>
  <c r="F137" i="227" s="1"/>
  <c r="F991" i="857"/>
  <c r="F1168" i="857"/>
  <c r="F1518" i="857"/>
  <c r="AM9" i="106"/>
  <c r="F226" i="857"/>
  <c r="D53" i="528"/>
  <c r="F992" i="857"/>
  <c r="F1222" i="857"/>
  <c r="F1091" i="857"/>
  <c r="G72" i="794"/>
  <c r="H72" i="794" s="1"/>
  <c r="F1736" i="857"/>
  <c r="AN2" i="106"/>
  <c r="F1521" i="857"/>
  <c r="AM12" i="106"/>
  <c r="F1197" i="857"/>
  <c r="B99" i="794"/>
  <c r="B35" i="354"/>
  <c r="C36" i="227"/>
  <c r="C81" i="227" s="1"/>
  <c r="C126" i="227" s="1"/>
  <c r="F863" i="857"/>
  <c r="AS31" i="106"/>
  <c r="Q29" i="99"/>
  <c r="Q107" i="99" s="1"/>
  <c r="Q35" i="99"/>
  <c r="Q113" i="99" s="1"/>
  <c r="Q123" i="99" s="1"/>
  <c r="Q108" i="99"/>
  <c r="F197" i="857"/>
  <c r="D44" i="99"/>
  <c r="F1167" i="857"/>
  <c r="CH51" i="227"/>
  <c r="CI51" i="227" s="1"/>
  <c r="CJ51" i="227" s="1"/>
  <c r="CH47" i="227"/>
  <c r="CI47" i="227" s="1"/>
  <c r="CJ47" i="227" s="1"/>
  <c r="CH57" i="227"/>
  <c r="CI57" i="227" s="1"/>
  <c r="CJ57" i="227" s="1"/>
  <c r="CH71" i="227"/>
  <c r="CI71" i="227" s="1"/>
  <c r="CJ71" i="227" s="1"/>
  <c r="CH17" i="227"/>
  <c r="CI17" i="227" s="1"/>
  <c r="CJ17" i="227" s="1"/>
  <c r="CH12" i="227"/>
  <c r="CI12" i="227" s="1"/>
  <c r="CJ12" i="227" s="1"/>
  <c r="CH53" i="227"/>
  <c r="CI53" i="227" s="1"/>
  <c r="CJ53" i="227" s="1"/>
  <c r="CH27" i="227"/>
  <c r="CI27" i="227" s="1"/>
  <c r="CJ27" i="227" s="1"/>
  <c r="CH48" i="227"/>
  <c r="CI48" i="227" s="1"/>
  <c r="CJ48" i="227" s="1"/>
  <c r="CH36" i="227"/>
  <c r="CI36" i="227" s="1"/>
  <c r="CJ36" i="227" s="1"/>
  <c r="CH58" i="227"/>
  <c r="CI58" i="227" s="1"/>
  <c r="CJ58" i="227" s="1"/>
  <c r="CH14" i="227"/>
  <c r="CI14" i="227" s="1"/>
  <c r="CJ14" i="227" s="1"/>
  <c r="CK16" i="227" s="1" a="1"/>
  <c r="CK16" i="227" s="1"/>
  <c r="CH16" i="227"/>
  <c r="CI16" i="227" s="1"/>
  <c r="CJ16" i="227" s="1"/>
  <c r="CH62" i="227"/>
  <c r="CI62" i="227" s="1"/>
  <c r="CJ62" i="227" s="1"/>
  <c r="CH33" i="227"/>
  <c r="CI33" i="227" s="1"/>
  <c r="CJ33" i="227" s="1"/>
  <c r="CH19" i="227"/>
  <c r="CI19" i="227" s="1"/>
  <c r="CJ19" i="227" s="1"/>
  <c r="CH25" i="227"/>
  <c r="CI25" i="227" s="1"/>
  <c r="CJ25" i="227" s="1"/>
  <c r="CH49" i="227"/>
  <c r="CI49" i="227" s="1"/>
  <c r="CJ49" i="227" s="1"/>
  <c r="CH18" i="227"/>
  <c r="CI18" i="227" s="1"/>
  <c r="CJ18" i="227" s="1"/>
  <c r="CH28" i="227"/>
  <c r="CI28" i="227" s="1"/>
  <c r="CJ28" i="227" s="1"/>
  <c r="CH15" i="227"/>
  <c r="CI15" i="227" s="1"/>
  <c r="CJ15" i="227" s="1"/>
  <c r="CH65" i="227"/>
  <c r="CI65" i="227" s="1"/>
  <c r="CJ65" i="227" s="1"/>
  <c r="CH55" i="227"/>
  <c r="CI55" i="227" s="1"/>
  <c r="CJ55" i="227" s="1"/>
  <c r="CH29" i="227"/>
  <c r="CI29" i="227" s="1"/>
  <c r="CJ29" i="227" s="1"/>
  <c r="CH54" i="227"/>
  <c r="CI54" i="227" s="1"/>
  <c r="CJ54" i="227" s="1"/>
  <c r="CH59" i="227"/>
  <c r="CI59" i="227" s="1"/>
  <c r="CJ59" i="227" s="1"/>
  <c r="CH37" i="227"/>
  <c r="CI37" i="227" s="1"/>
  <c r="CJ37" i="227" s="1"/>
  <c r="CH61" i="227"/>
  <c r="CI61" i="227" s="1"/>
  <c r="CJ61" i="227" s="1"/>
  <c r="CH67" i="227"/>
  <c r="CI67" i="227" s="1"/>
  <c r="CJ67" i="227" s="1"/>
  <c r="CH72" i="227"/>
  <c r="CI72" i="227" s="1"/>
  <c r="CJ72" i="227" s="1"/>
  <c r="CH20" i="227"/>
  <c r="CI20" i="227" s="1"/>
  <c r="CJ20" i="227" s="1"/>
  <c r="CH63" i="227"/>
  <c r="CI63" i="227" s="1"/>
  <c r="CJ63" i="227" s="1"/>
  <c r="CH42" i="227"/>
  <c r="CI42" i="227" s="1"/>
  <c r="CJ42" i="227" s="1"/>
  <c r="CH40" i="227"/>
  <c r="CI40" i="227" s="1"/>
  <c r="CJ40" i="227" s="1"/>
  <c r="CH44" i="227"/>
  <c r="CI44" i="227" s="1"/>
  <c r="CJ44" i="227" s="1"/>
  <c r="CH22" i="227"/>
  <c r="CI22" i="227" s="1"/>
  <c r="CJ22" i="227" s="1"/>
  <c r="CH69" i="227"/>
  <c r="CI69" i="227" s="1"/>
  <c r="CJ69" i="227" s="1"/>
  <c r="CH68" i="227"/>
  <c r="CI68" i="227" s="1"/>
  <c r="CJ68" i="227" s="1"/>
  <c r="CH13" i="227"/>
  <c r="CI13" i="227" s="1"/>
  <c r="CJ13" i="227" s="1"/>
  <c r="CH35" i="227"/>
  <c r="CI35" i="227" s="1"/>
  <c r="CJ35" i="227" s="1"/>
  <c r="CH34" i="227"/>
  <c r="CI34" i="227" s="1"/>
  <c r="CJ34" i="227" s="1"/>
  <c r="CH31" i="227"/>
  <c r="CI31" i="227" s="1"/>
  <c r="CJ31" i="227" s="1"/>
  <c r="CH24" i="227"/>
  <c r="CI24" i="227" s="1"/>
  <c r="CJ24" i="227" s="1"/>
  <c r="CH26" i="227"/>
  <c r="CI26" i="227" s="1"/>
  <c r="CJ26" i="227" s="1"/>
  <c r="CH46" i="227"/>
  <c r="CI46" i="227" s="1"/>
  <c r="CJ46" i="227" s="1"/>
  <c r="CH41" i="227"/>
  <c r="CI41" i="227" s="1"/>
  <c r="CJ41" i="227" s="1"/>
  <c r="CH56" i="227"/>
  <c r="CI56" i="227" s="1"/>
  <c r="CJ56" i="227" s="1"/>
  <c r="CH66" i="227"/>
  <c r="CI66" i="227" s="1"/>
  <c r="CJ66" i="227" s="1"/>
  <c r="CH64" i="227"/>
  <c r="CI64" i="227" s="1"/>
  <c r="CJ64" i="227" s="1"/>
  <c r="CH38" i="227"/>
  <c r="CI38" i="227" s="1"/>
  <c r="CJ38" i="227" s="1"/>
  <c r="CH11" i="227"/>
  <c r="CI11" i="227" s="1"/>
  <c r="CJ11" i="227" s="1"/>
  <c r="CH10" i="227"/>
  <c r="CI10" i="227" s="1"/>
  <c r="CJ10" i="227" s="1"/>
  <c r="CH50" i="227"/>
  <c r="CI50" i="227" s="1"/>
  <c r="CJ50" i="227" s="1"/>
  <c r="CH60" i="227"/>
  <c r="CI60" i="227" s="1"/>
  <c r="CJ60" i="227" s="1"/>
  <c r="CH52" i="227"/>
  <c r="CI52" i="227" s="1"/>
  <c r="CJ52" i="227" s="1"/>
  <c r="CH43" i="227"/>
  <c r="CI43" i="227" s="1"/>
  <c r="CJ43" i="227" s="1"/>
  <c r="CH32" i="227"/>
  <c r="CI32" i="227" s="1"/>
  <c r="CJ32" i="227" s="1"/>
  <c r="CH23" i="227"/>
  <c r="CI23" i="227" s="1"/>
  <c r="CJ23" i="227" s="1"/>
  <c r="CH30" i="227"/>
  <c r="CI30" i="227" s="1"/>
  <c r="CJ30" i="227" s="1"/>
  <c r="CH39" i="227"/>
  <c r="CI39" i="227" s="1"/>
  <c r="CJ39" i="227" s="1"/>
  <c r="CH21" i="227"/>
  <c r="CI21" i="227" s="1"/>
  <c r="CJ21" i="227" s="1"/>
  <c r="CH70" i="227"/>
  <c r="CI70" i="227" s="1"/>
  <c r="CJ70" i="227" s="1"/>
  <c r="F1029" i="857"/>
  <c r="E67" i="227"/>
  <c r="F67" i="227" s="1"/>
  <c r="F2474" i="857"/>
  <c r="E83" i="775"/>
  <c r="F2494" i="857" s="1"/>
  <c r="L83" i="775"/>
  <c r="B24" i="354"/>
  <c r="BH24" i="354" s="1"/>
  <c r="B88" i="794"/>
  <c r="F852" i="857"/>
  <c r="C25" i="227"/>
  <c r="C70" i="227" s="1"/>
  <c r="C115" i="227" s="1"/>
  <c r="E80" i="779"/>
  <c r="F3699" i="857" s="1"/>
  <c r="F3679" i="857"/>
  <c r="L80" i="779"/>
  <c r="F213" i="857"/>
  <c r="D75" i="528"/>
  <c r="E35" i="528"/>
  <c r="G112" i="687"/>
  <c r="B12" i="354"/>
  <c r="BH12" i="354" s="1"/>
  <c r="B76" i="794"/>
  <c r="F840" i="857"/>
  <c r="C13" i="227"/>
  <c r="C58" i="227" s="1"/>
  <c r="C103" i="227" s="1"/>
  <c r="F1040" i="857"/>
  <c r="E78" i="227"/>
  <c r="F78" i="227" s="1"/>
  <c r="AS13" i="106"/>
  <c r="AS46" i="106"/>
  <c r="F1154" i="857"/>
  <c r="F1270" i="857"/>
  <c r="F1012" i="857"/>
  <c r="E119" i="227"/>
  <c r="F119" i="227" s="1"/>
  <c r="F1126" i="857"/>
  <c r="F190" i="857"/>
  <c r="CF52" i="528"/>
  <c r="F53" i="41"/>
  <c r="AG52" i="528"/>
  <c r="CM52" i="528"/>
  <c r="CN52" i="528" s="1"/>
  <c r="CT52" i="528"/>
  <c r="K52" i="528"/>
  <c r="CG52" i="528" s="1"/>
  <c r="G31" i="107"/>
  <c r="H31" i="107" s="1"/>
  <c r="I31" i="107" s="1"/>
  <c r="H112" i="687"/>
  <c r="F1100" i="857"/>
  <c r="L112" i="99"/>
  <c r="K27" i="87"/>
  <c r="K31" i="528" s="1"/>
  <c r="F1224" i="857"/>
  <c r="F907" i="857"/>
  <c r="D35" i="227"/>
  <c r="D80" i="227" s="1"/>
  <c r="D125" i="227" s="1"/>
  <c r="E10" i="227"/>
  <c r="F10" i="227" s="1"/>
  <c r="AI3" i="106"/>
  <c r="F927" i="857"/>
  <c r="AH3" i="106"/>
  <c r="AG3" i="106"/>
  <c r="E84" i="778"/>
  <c r="F3401" i="857" s="1"/>
  <c r="F3381" i="857"/>
  <c r="L84" i="778"/>
  <c r="F845" i="857"/>
  <c r="B17" i="354"/>
  <c r="BH17" i="354" s="1"/>
  <c r="B81" i="794"/>
  <c r="C18" i="227"/>
  <c r="C63" i="227" s="1"/>
  <c r="C108" i="227" s="1"/>
  <c r="F1095" i="857"/>
  <c r="L81" i="779"/>
  <c r="E81" i="779"/>
  <c r="F3700" i="857" s="1"/>
  <c r="F3680" i="857"/>
  <c r="J122" i="99"/>
  <c r="F1069" i="857"/>
  <c r="E95" i="227"/>
  <c r="F95" i="227" s="1"/>
  <c r="F1057" i="857"/>
  <c r="B111" i="794"/>
  <c r="F875" i="857"/>
  <c r="B47" i="354"/>
  <c r="C49" i="227"/>
  <c r="C93" i="227" s="1"/>
  <c r="C138" i="227" s="1"/>
  <c r="AS7" i="106"/>
  <c r="E69" i="227"/>
  <c r="F69" i="227" s="1"/>
  <c r="F1031" i="857"/>
  <c r="F1244" i="857"/>
  <c r="F1018" i="857"/>
  <c r="E56" i="227"/>
  <c r="F56" i="227" s="1"/>
  <c r="AF51" i="528"/>
  <c r="E54" i="41"/>
  <c r="CL51" i="528"/>
  <c r="CN51" i="528" s="1"/>
  <c r="CS51" i="528"/>
  <c r="CU51" i="528" s="1"/>
  <c r="Q21" i="688"/>
  <c r="R21" i="688" s="1"/>
  <c r="F182" i="857"/>
  <c r="K51" i="528"/>
  <c r="CE51" i="528"/>
  <c r="F979" i="857"/>
  <c r="Z65" i="227"/>
  <c r="AA65" i="227" s="1"/>
  <c r="AB65" i="227" s="1"/>
  <c r="Z57" i="227"/>
  <c r="AA57" i="227" s="1"/>
  <c r="AB57" i="227" s="1"/>
  <c r="Z23" i="227"/>
  <c r="AA23" i="227" s="1"/>
  <c r="AB23" i="227" s="1"/>
  <c r="Z25" i="227"/>
  <c r="AA25" i="227" s="1"/>
  <c r="AB25" i="227" s="1"/>
  <c r="Z17" i="227"/>
  <c r="AA17" i="227" s="1"/>
  <c r="AB17" i="227" s="1"/>
  <c r="Z11" i="227"/>
  <c r="AA11" i="227" s="1"/>
  <c r="AB11" i="227" s="1"/>
  <c r="Z61" i="227"/>
  <c r="AA61" i="227" s="1"/>
  <c r="AB61" i="227" s="1"/>
  <c r="Z53" i="227"/>
  <c r="AA53" i="227" s="1"/>
  <c r="AB53" i="227" s="1"/>
  <c r="Z21" i="227"/>
  <c r="AA21" i="227" s="1"/>
  <c r="AB21" i="227" s="1"/>
  <c r="Z37" i="227"/>
  <c r="AA37" i="227" s="1"/>
  <c r="AB37" i="227" s="1"/>
  <c r="Z49" i="227"/>
  <c r="AA49" i="227" s="1"/>
  <c r="AB49" i="227" s="1"/>
  <c r="Z33" i="227"/>
  <c r="AA33" i="227" s="1"/>
  <c r="AB33" i="227" s="1"/>
  <c r="Z48" i="227"/>
  <c r="AA48" i="227" s="1"/>
  <c r="AB48" i="227" s="1"/>
  <c r="Z14" i="227"/>
  <c r="AA14" i="227" s="1"/>
  <c r="AB14" i="227" s="1"/>
  <c r="Z22" i="227"/>
  <c r="AA22" i="227" s="1"/>
  <c r="AB22" i="227" s="1"/>
  <c r="Z16" i="227"/>
  <c r="AA16" i="227" s="1"/>
  <c r="AB16" i="227" s="1"/>
  <c r="Z31" i="227"/>
  <c r="AA31" i="227" s="1"/>
  <c r="AB31" i="227" s="1"/>
  <c r="Z68" i="227"/>
  <c r="AA68" i="227" s="1"/>
  <c r="AB68" i="227" s="1"/>
  <c r="Z28" i="227"/>
  <c r="AA28" i="227" s="1"/>
  <c r="AB28" i="227" s="1"/>
  <c r="Z44" i="227"/>
  <c r="AA44" i="227" s="1"/>
  <c r="AB44" i="227" s="1"/>
  <c r="Z35" i="227"/>
  <c r="AA35" i="227" s="1"/>
  <c r="AB35" i="227" s="1"/>
  <c r="Z34" i="227"/>
  <c r="AA34" i="227" s="1"/>
  <c r="AB34" i="227" s="1"/>
  <c r="Z19" i="227"/>
  <c r="AA19" i="227" s="1"/>
  <c r="AB19" i="227" s="1"/>
  <c r="AC16" i="227" s="1" a="1"/>
  <c r="AC16" i="227" s="1"/>
  <c r="Z63" i="227"/>
  <c r="AA63" i="227" s="1"/>
  <c r="AB63" i="227" s="1"/>
  <c r="Z46" i="227"/>
  <c r="AA46" i="227" s="1"/>
  <c r="AB46" i="227" s="1"/>
  <c r="Z70" i="227"/>
  <c r="AA70" i="227" s="1"/>
  <c r="AB70" i="227" s="1"/>
  <c r="Z30" i="227"/>
  <c r="AA30" i="227" s="1"/>
  <c r="AB30" i="227" s="1"/>
  <c r="Z58" i="227"/>
  <c r="AA58" i="227" s="1"/>
  <c r="AB58" i="227" s="1"/>
  <c r="Z40" i="227"/>
  <c r="AA40" i="227" s="1"/>
  <c r="AB40" i="227" s="1"/>
  <c r="Z59" i="227"/>
  <c r="AA59" i="227" s="1"/>
  <c r="AB59" i="227" s="1"/>
  <c r="Z32" i="227"/>
  <c r="AA32" i="227" s="1"/>
  <c r="AB32" i="227" s="1"/>
  <c r="Z12" i="227"/>
  <c r="AA12" i="227" s="1"/>
  <c r="AB12" i="227" s="1"/>
  <c r="Z41" i="227"/>
  <c r="AA41" i="227" s="1"/>
  <c r="AB41" i="227" s="1"/>
  <c r="Z26" i="227"/>
  <c r="AA26" i="227" s="1"/>
  <c r="AB26" i="227" s="1"/>
  <c r="Z67" i="227"/>
  <c r="AA67" i="227" s="1"/>
  <c r="AB67" i="227" s="1"/>
  <c r="Z24" i="227"/>
  <c r="AA24" i="227" s="1"/>
  <c r="AB24" i="227" s="1"/>
  <c r="Z15" i="227"/>
  <c r="AA15" i="227" s="1"/>
  <c r="AB15" i="227" s="1"/>
  <c r="Z29" i="227"/>
  <c r="AA29" i="227" s="1"/>
  <c r="AB29" i="227" s="1"/>
  <c r="Z51" i="227"/>
  <c r="AA51" i="227" s="1"/>
  <c r="AB51" i="227" s="1"/>
  <c r="Z10" i="227"/>
  <c r="AA10" i="227" s="1"/>
  <c r="AB10" i="227" s="1"/>
  <c r="Z55" i="227"/>
  <c r="AA55" i="227" s="1"/>
  <c r="AB55" i="227" s="1"/>
  <c r="Z60" i="227"/>
  <c r="AA60" i="227" s="1"/>
  <c r="AB60" i="227" s="1"/>
  <c r="Z64" i="227"/>
  <c r="AA64" i="227" s="1"/>
  <c r="AB64" i="227" s="1"/>
  <c r="Z42" i="227"/>
  <c r="AA42" i="227" s="1"/>
  <c r="AB42" i="227" s="1"/>
  <c r="Z62" i="227"/>
  <c r="AA62" i="227" s="1"/>
  <c r="AB62" i="227" s="1"/>
  <c r="Z18" i="227"/>
  <c r="AA18" i="227" s="1"/>
  <c r="AB18" i="227" s="1"/>
  <c r="Z36" i="227"/>
  <c r="AA36" i="227" s="1"/>
  <c r="AB36" i="227" s="1"/>
  <c r="Z66" i="227"/>
  <c r="AA66" i="227" s="1"/>
  <c r="AB66" i="227" s="1"/>
  <c r="Z71" i="227"/>
  <c r="AA71" i="227" s="1"/>
  <c r="AB71" i="227" s="1"/>
  <c r="Z20" i="227"/>
  <c r="AA20" i="227" s="1"/>
  <c r="AB20" i="227" s="1"/>
  <c r="Z52" i="227"/>
  <c r="AA52" i="227" s="1"/>
  <c r="AB52" i="227" s="1"/>
  <c r="Z72" i="227"/>
  <c r="AA72" i="227" s="1"/>
  <c r="AB72" i="227" s="1"/>
  <c r="Z54" i="227"/>
  <c r="AA54" i="227" s="1"/>
  <c r="AB54" i="227" s="1"/>
  <c r="Z27" i="227"/>
  <c r="AA27" i="227" s="1"/>
  <c r="AB27" i="227" s="1"/>
  <c r="Z56" i="227"/>
  <c r="AA56" i="227" s="1"/>
  <c r="AB56" i="227" s="1"/>
  <c r="Z38" i="227"/>
  <c r="AA38" i="227" s="1"/>
  <c r="AB38" i="227" s="1"/>
  <c r="Z39" i="227"/>
  <c r="AA39" i="227" s="1"/>
  <c r="AB39" i="227" s="1"/>
  <c r="Z43" i="227"/>
  <c r="AA43" i="227" s="1"/>
  <c r="AB43" i="227" s="1"/>
  <c r="Z50" i="227"/>
  <c r="AA50" i="227" s="1"/>
  <c r="AB50" i="227" s="1"/>
  <c r="Z13" i="227"/>
  <c r="AA13" i="227" s="1"/>
  <c r="AB13" i="227" s="1"/>
  <c r="Z69" i="227"/>
  <c r="AA69" i="227" s="1"/>
  <c r="AB69" i="227" s="1"/>
  <c r="Z47" i="227"/>
  <c r="AA47" i="227" s="1"/>
  <c r="AB47" i="227" s="1"/>
  <c r="F993" i="857"/>
  <c r="AI8" i="106"/>
  <c r="F932" i="857"/>
  <c r="AG8" i="106"/>
  <c r="E15" i="227"/>
  <c r="F15" i="227" s="1"/>
  <c r="AH8" i="106"/>
  <c r="F995" i="857"/>
  <c r="F1232" i="857"/>
  <c r="F2168" i="857"/>
  <c r="L79" i="774"/>
  <c r="F974" i="857"/>
  <c r="O18" i="689"/>
  <c r="E81" i="778"/>
  <c r="F3398" i="857" s="1"/>
  <c r="L81" i="778"/>
  <c r="F3378" i="857"/>
  <c r="F1221" i="857"/>
  <c r="F1068" i="857"/>
  <c r="F1209" i="857"/>
  <c r="AS30" i="106"/>
  <c r="E18" i="227"/>
  <c r="F18" i="227" s="1"/>
  <c r="F935" i="857"/>
  <c r="AI11" i="106"/>
  <c r="AG11" i="106"/>
  <c r="AH11" i="106"/>
  <c r="F939" i="857"/>
  <c r="AG15" i="106"/>
  <c r="AI15" i="106"/>
  <c r="AH15" i="106"/>
  <c r="E22" i="227"/>
  <c r="F22" i="227" s="1"/>
  <c r="F2952" i="857"/>
  <c r="F1065" i="857"/>
  <c r="F1253" i="857"/>
  <c r="L84" i="779"/>
  <c r="E84" i="779"/>
  <c r="F3703" i="857" s="1"/>
  <c r="F3683" i="857"/>
  <c r="O10" i="689"/>
  <c r="D43" i="227"/>
  <c r="D88" i="227" s="1"/>
  <c r="D133" i="227" s="1"/>
  <c r="F915" i="857"/>
  <c r="K36" i="528"/>
  <c r="F1229" i="857"/>
  <c r="AS39" i="106"/>
  <c r="F1081" i="857"/>
  <c r="F1078" i="857"/>
  <c r="F1160" i="857"/>
  <c r="F1212" i="857"/>
  <c r="F1241" i="857"/>
  <c r="B14" i="354"/>
  <c r="BH14" i="354" s="1"/>
  <c r="F842" i="857"/>
  <c r="B78" i="794"/>
  <c r="C15" i="227"/>
  <c r="C60" i="227" s="1"/>
  <c r="C105" i="227" s="1"/>
  <c r="F171" i="857"/>
  <c r="F1179" i="857"/>
  <c r="AM39" i="106"/>
  <c r="F1548" i="857"/>
  <c r="F1015" i="857"/>
  <c r="F1255" i="857"/>
  <c r="F1215" i="857"/>
  <c r="E111" i="227"/>
  <c r="F111" i="227" s="1"/>
  <c r="F1118" i="857"/>
  <c r="E74" i="227"/>
  <c r="F74" i="227" s="1"/>
  <c r="F1036" i="857"/>
  <c r="CT17" i="227"/>
  <c r="CU17" i="227" s="1"/>
  <c r="CV17" i="227" s="1"/>
  <c r="CT18" i="227"/>
  <c r="CU18" i="227" s="1"/>
  <c r="CV18" i="227" s="1"/>
  <c r="CT25" i="227"/>
  <c r="CU25" i="227" s="1"/>
  <c r="CV25" i="227" s="1"/>
  <c r="CT52" i="227"/>
  <c r="CU52" i="227" s="1"/>
  <c r="CV52" i="227" s="1"/>
  <c r="CT20" i="227"/>
  <c r="CU20" i="227" s="1"/>
  <c r="CV20" i="227" s="1"/>
  <c r="CT35" i="227"/>
  <c r="CU35" i="227" s="1"/>
  <c r="CV35" i="227" s="1"/>
  <c r="CT41" i="227"/>
  <c r="CU41" i="227" s="1"/>
  <c r="CV41" i="227" s="1"/>
  <c r="CT42" i="227"/>
  <c r="CU42" i="227" s="1"/>
  <c r="CV42" i="227" s="1"/>
  <c r="CT56" i="227"/>
  <c r="CU56" i="227" s="1"/>
  <c r="CV56" i="227" s="1"/>
  <c r="CT16" i="227"/>
  <c r="CU16" i="227" s="1"/>
  <c r="CV16" i="227" s="1"/>
  <c r="CT46" i="227"/>
  <c r="CU46" i="227" s="1"/>
  <c r="CV46" i="227" s="1"/>
  <c r="CT44" i="227"/>
  <c r="CU44" i="227" s="1"/>
  <c r="CV44" i="227" s="1"/>
  <c r="CT12" i="227"/>
  <c r="CU12" i="227" s="1"/>
  <c r="CV12" i="227" s="1"/>
  <c r="CT10" i="227"/>
  <c r="CU10" i="227" s="1"/>
  <c r="CV10" i="227" s="1"/>
  <c r="CT40" i="227"/>
  <c r="CU40" i="227" s="1"/>
  <c r="CV40" i="227" s="1"/>
  <c r="CT27" i="227"/>
  <c r="CU27" i="227" s="1"/>
  <c r="CV27" i="227" s="1"/>
  <c r="CT11" i="227"/>
  <c r="CU11" i="227" s="1"/>
  <c r="CV11" i="227" s="1"/>
  <c r="CT38" i="227"/>
  <c r="CU38" i="227" s="1"/>
  <c r="CV38" i="227" s="1"/>
  <c r="CT54" i="227"/>
  <c r="CU54" i="227" s="1"/>
  <c r="CV54" i="227" s="1"/>
  <c r="CT70" i="227"/>
  <c r="CU70" i="227" s="1"/>
  <c r="CV70" i="227" s="1"/>
  <c r="CT68" i="227"/>
  <c r="CU68" i="227" s="1"/>
  <c r="CV68" i="227" s="1"/>
  <c r="CT69" i="227"/>
  <c r="CU69" i="227" s="1"/>
  <c r="CV69" i="227" s="1"/>
  <c r="CT59" i="227"/>
  <c r="CU59" i="227" s="1"/>
  <c r="CV59" i="227" s="1"/>
  <c r="CT61" i="227"/>
  <c r="CU61" i="227" s="1"/>
  <c r="CV61" i="227" s="1"/>
  <c r="CT51" i="227"/>
  <c r="CU51" i="227" s="1"/>
  <c r="CV51" i="227" s="1"/>
  <c r="CT39" i="227"/>
  <c r="CU39" i="227" s="1"/>
  <c r="CV39" i="227" s="1"/>
  <c r="CT28" i="227"/>
  <c r="CU28" i="227" s="1"/>
  <c r="CV28" i="227" s="1"/>
  <c r="CT24" i="227"/>
  <c r="CU24" i="227" s="1"/>
  <c r="CV24" i="227" s="1"/>
  <c r="CT63" i="227"/>
  <c r="CU63" i="227" s="1"/>
  <c r="CV63" i="227" s="1"/>
  <c r="CT49" i="227"/>
  <c r="CU49" i="227" s="1"/>
  <c r="CV49" i="227" s="1"/>
  <c r="CT55" i="227"/>
  <c r="CU55" i="227" s="1"/>
  <c r="CV55" i="227" s="1"/>
  <c r="CT14" i="227"/>
  <c r="CU14" i="227" s="1"/>
  <c r="CV14" i="227" s="1"/>
  <c r="CW60" i="227" s="1" a="1"/>
  <c r="CW60" i="227" s="1"/>
  <c r="CT23" i="227"/>
  <c r="CU23" i="227" s="1"/>
  <c r="CV23" i="227" s="1"/>
  <c r="CT66" i="227"/>
  <c r="CU66" i="227" s="1"/>
  <c r="CV66" i="227" s="1"/>
  <c r="CT65" i="227"/>
  <c r="CU65" i="227" s="1"/>
  <c r="CV65" i="227" s="1"/>
  <c r="CT32" i="227"/>
  <c r="CU32" i="227" s="1"/>
  <c r="CV32" i="227" s="1"/>
  <c r="CT21" i="227"/>
  <c r="CU21" i="227" s="1"/>
  <c r="CV21" i="227" s="1"/>
  <c r="CT48" i="227"/>
  <c r="CU48" i="227" s="1"/>
  <c r="CV48" i="227" s="1"/>
  <c r="CT15" i="227"/>
  <c r="CU15" i="227" s="1"/>
  <c r="CV15" i="227" s="1"/>
  <c r="CT72" i="227"/>
  <c r="CU72" i="227" s="1"/>
  <c r="CV72" i="227" s="1"/>
  <c r="CT67" i="227"/>
  <c r="CU67" i="227" s="1"/>
  <c r="CV67" i="227" s="1"/>
  <c r="CT57" i="227"/>
  <c r="CU57" i="227" s="1"/>
  <c r="CV57" i="227" s="1"/>
  <c r="CT26" i="227"/>
  <c r="CU26" i="227" s="1"/>
  <c r="CV26" i="227" s="1"/>
  <c r="CT64" i="227"/>
  <c r="CU64" i="227" s="1"/>
  <c r="CV64" i="227" s="1"/>
  <c r="CT43" i="227"/>
  <c r="CU43" i="227" s="1"/>
  <c r="CV43" i="227" s="1"/>
  <c r="CT22" i="227"/>
  <c r="CU22" i="227" s="1"/>
  <c r="CV22" i="227" s="1"/>
  <c r="CT71" i="227"/>
  <c r="CU71" i="227" s="1"/>
  <c r="CV71" i="227" s="1"/>
  <c r="CT33" i="227"/>
  <c r="CU33" i="227" s="1"/>
  <c r="CV33" i="227" s="1"/>
  <c r="CT47" i="227"/>
  <c r="CU47" i="227" s="1"/>
  <c r="CV47" i="227" s="1"/>
  <c r="CT29" i="227"/>
  <c r="CU29" i="227" s="1"/>
  <c r="CV29" i="227" s="1"/>
  <c r="CT50" i="227"/>
  <c r="CU50" i="227" s="1"/>
  <c r="CV50" i="227" s="1"/>
  <c r="CT37" i="227"/>
  <c r="CU37" i="227" s="1"/>
  <c r="CV37" i="227" s="1"/>
  <c r="CT60" i="227"/>
  <c r="CU60" i="227" s="1"/>
  <c r="CV60" i="227" s="1"/>
  <c r="CT13" i="227"/>
  <c r="CU13" i="227" s="1"/>
  <c r="CV13" i="227" s="1"/>
  <c r="CT34" i="227"/>
  <c r="CU34" i="227" s="1"/>
  <c r="CV34" i="227" s="1"/>
  <c r="CT62" i="227"/>
  <c r="CU62" i="227" s="1"/>
  <c r="CV62" i="227" s="1"/>
  <c r="CT30" i="227"/>
  <c r="CU30" i="227" s="1"/>
  <c r="CV30" i="227" s="1"/>
  <c r="CT19" i="227"/>
  <c r="CU19" i="227" s="1"/>
  <c r="CV19" i="227" s="1"/>
  <c r="CT58" i="227"/>
  <c r="CU58" i="227" s="1"/>
  <c r="CV58" i="227" s="1"/>
  <c r="CT31" i="227"/>
  <c r="CU31" i="227" s="1"/>
  <c r="CV31" i="227" s="1"/>
  <c r="CT53" i="227"/>
  <c r="CU53" i="227" s="1"/>
  <c r="CV53" i="227" s="1"/>
  <c r="CT36" i="227"/>
  <c r="CU36" i="227" s="1"/>
  <c r="CV36" i="227" s="1"/>
  <c r="F1023" i="857"/>
  <c r="E61" i="227"/>
  <c r="F61" i="227" s="1"/>
  <c r="F3081" i="857"/>
  <c r="E86" i="777"/>
  <c r="F3101" i="857" s="1"/>
  <c r="L86" i="777"/>
  <c r="F922" i="857"/>
  <c r="F1208" i="857"/>
  <c r="D48" i="227"/>
  <c r="D92" i="227" s="1"/>
  <c r="D137" i="227" s="1"/>
  <c r="F919" i="857"/>
  <c r="N115" i="687"/>
  <c r="F958" i="857"/>
  <c r="AI34" i="106"/>
  <c r="AG34" i="106"/>
  <c r="E41" i="227"/>
  <c r="F41" i="227" s="1"/>
  <c r="AH34" i="106"/>
  <c r="O30" i="689"/>
  <c r="F2653" i="857"/>
  <c r="F1245" i="857"/>
  <c r="G116" i="687"/>
  <c r="AS15" i="106"/>
  <c r="V33" i="227"/>
  <c r="W33" i="227" s="1"/>
  <c r="X33" i="227" s="1"/>
  <c r="V52" i="227"/>
  <c r="W52" i="227" s="1"/>
  <c r="X52" i="227" s="1"/>
  <c r="V34" i="227"/>
  <c r="W34" i="227" s="1"/>
  <c r="X34" i="227" s="1"/>
  <c r="V61" i="227"/>
  <c r="W61" i="227" s="1"/>
  <c r="X61" i="227" s="1"/>
  <c r="V10" i="227"/>
  <c r="W10" i="227" s="1"/>
  <c r="X10" i="227" s="1"/>
  <c r="V67" i="227"/>
  <c r="W67" i="227" s="1"/>
  <c r="X67" i="227" s="1"/>
  <c r="V14" i="227"/>
  <c r="W14" i="227" s="1"/>
  <c r="X14" i="227" s="1"/>
  <c r="V30" i="227"/>
  <c r="W30" i="227" s="1"/>
  <c r="X30" i="227" s="1"/>
  <c r="V17" i="227"/>
  <c r="W17" i="227" s="1"/>
  <c r="X17" i="227" s="1"/>
  <c r="V48" i="227"/>
  <c r="W48" i="227" s="1"/>
  <c r="X48" i="227" s="1"/>
  <c r="V64" i="227"/>
  <c r="W64" i="227" s="1"/>
  <c r="X64" i="227" s="1"/>
  <c r="V42" i="227"/>
  <c r="W42" i="227" s="1"/>
  <c r="X42" i="227" s="1"/>
  <c r="V40" i="227"/>
  <c r="W40" i="227" s="1"/>
  <c r="X40" i="227" s="1"/>
  <c r="V63" i="227"/>
  <c r="W63" i="227" s="1"/>
  <c r="X63" i="227" s="1"/>
  <c r="V62" i="227"/>
  <c r="W62" i="227" s="1"/>
  <c r="X62" i="227" s="1"/>
  <c r="V56" i="227"/>
  <c r="W56" i="227" s="1"/>
  <c r="X56" i="227" s="1"/>
  <c r="V12" i="227"/>
  <c r="W12" i="227" s="1"/>
  <c r="X12" i="227" s="1"/>
  <c r="V57" i="227"/>
  <c r="W57" i="227" s="1"/>
  <c r="X57" i="227" s="1"/>
  <c r="V51" i="227"/>
  <c r="W51" i="227" s="1"/>
  <c r="X51" i="227" s="1"/>
  <c r="V36" i="227"/>
  <c r="W36" i="227" s="1"/>
  <c r="X36" i="227" s="1"/>
  <c r="V72" i="227"/>
  <c r="W72" i="227" s="1"/>
  <c r="X72" i="227" s="1"/>
  <c r="V32" i="227"/>
  <c r="W32" i="227" s="1"/>
  <c r="X32" i="227" s="1"/>
  <c r="V60" i="227"/>
  <c r="W60" i="227" s="1"/>
  <c r="X60" i="227" s="1"/>
  <c r="V69" i="227"/>
  <c r="W69" i="227" s="1"/>
  <c r="X69" i="227" s="1"/>
  <c r="V21" i="227"/>
  <c r="W21" i="227" s="1"/>
  <c r="X21" i="227" s="1"/>
  <c r="V22" i="227"/>
  <c r="W22" i="227" s="1"/>
  <c r="X22" i="227" s="1"/>
  <c r="V11" i="227"/>
  <c r="W11" i="227" s="1"/>
  <c r="X11" i="227" s="1"/>
  <c r="V13" i="227"/>
  <c r="W13" i="227" s="1"/>
  <c r="X13" i="227" s="1"/>
  <c r="V50" i="227"/>
  <c r="W50" i="227" s="1"/>
  <c r="X50" i="227" s="1"/>
  <c r="V53" i="227"/>
  <c r="W53" i="227" s="1"/>
  <c r="X53" i="227" s="1"/>
  <c r="V20" i="227"/>
  <c r="W20" i="227" s="1"/>
  <c r="X20" i="227" s="1"/>
  <c r="V38" i="227"/>
  <c r="W38" i="227" s="1"/>
  <c r="X38" i="227" s="1"/>
  <c r="V24" i="227"/>
  <c r="W24" i="227" s="1"/>
  <c r="X24" i="227" s="1"/>
  <c r="V25" i="227"/>
  <c r="W25" i="227" s="1"/>
  <c r="X25" i="227" s="1"/>
  <c r="Y53" i="227" s="1" a="1"/>
  <c r="Y53" i="227" s="1"/>
  <c r="V43" i="227"/>
  <c r="W43" i="227" s="1"/>
  <c r="X43" i="227" s="1"/>
  <c r="V55" i="227"/>
  <c r="W55" i="227" s="1"/>
  <c r="X55" i="227" s="1"/>
  <c r="V16" i="227"/>
  <c r="W16" i="227" s="1"/>
  <c r="X16" i="227" s="1"/>
  <c r="V71" i="227"/>
  <c r="W71" i="227" s="1"/>
  <c r="X71" i="227" s="1"/>
  <c r="V18" i="227"/>
  <c r="W18" i="227" s="1"/>
  <c r="X18" i="227" s="1"/>
  <c r="V28" i="227"/>
  <c r="W28" i="227" s="1"/>
  <c r="X28" i="227" s="1"/>
  <c r="V44" i="227"/>
  <c r="W44" i="227" s="1"/>
  <c r="X44" i="227" s="1"/>
  <c r="V59" i="227"/>
  <c r="W59" i="227" s="1"/>
  <c r="X59" i="227" s="1"/>
  <c r="V29" i="227"/>
  <c r="W29" i="227" s="1"/>
  <c r="X29" i="227" s="1"/>
  <c r="V58" i="227"/>
  <c r="W58" i="227" s="1"/>
  <c r="X58" i="227" s="1"/>
  <c r="V31" i="227"/>
  <c r="W31" i="227" s="1"/>
  <c r="X31" i="227" s="1"/>
  <c r="V41" i="227"/>
  <c r="W41" i="227" s="1"/>
  <c r="X41" i="227" s="1"/>
  <c r="V54" i="227"/>
  <c r="W54" i="227" s="1"/>
  <c r="X54" i="227" s="1"/>
  <c r="V27" i="227"/>
  <c r="W27" i="227" s="1"/>
  <c r="X27" i="227" s="1"/>
  <c r="V23" i="227"/>
  <c r="W23" i="227" s="1"/>
  <c r="X23" i="227" s="1"/>
  <c r="V47" i="227"/>
  <c r="W47" i="227" s="1"/>
  <c r="X47" i="227" s="1"/>
  <c r="V49" i="227"/>
  <c r="W49" i="227" s="1"/>
  <c r="X49" i="227" s="1"/>
  <c r="V15" i="227"/>
  <c r="W15" i="227" s="1"/>
  <c r="X15" i="227" s="1"/>
  <c r="V46" i="227"/>
  <c r="W46" i="227" s="1"/>
  <c r="X46" i="227" s="1"/>
  <c r="V65" i="227"/>
  <c r="W65" i="227" s="1"/>
  <c r="X65" i="227" s="1"/>
  <c r="V37" i="227"/>
  <c r="W37" i="227" s="1"/>
  <c r="X37" i="227" s="1"/>
  <c r="V35" i="227"/>
  <c r="W35" i="227" s="1"/>
  <c r="X35" i="227" s="1"/>
  <c r="V19" i="227"/>
  <c r="W19" i="227" s="1"/>
  <c r="X19" i="227" s="1"/>
  <c r="V39" i="227"/>
  <c r="W39" i="227" s="1"/>
  <c r="X39" i="227" s="1"/>
  <c r="V68" i="227"/>
  <c r="W68" i="227" s="1"/>
  <c r="X68" i="227" s="1"/>
  <c r="V26" i="227"/>
  <c r="W26" i="227" s="1"/>
  <c r="X26" i="227" s="1"/>
  <c r="V70" i="227"/>
  <c r="W70" i="227" s="1"/>
  <c r="X70" i="227" s="1"/>
  <c r="V66" i="227"/>
  <c r="W66" i="227" s="1"/>
  <c r="X66" i="227" s="1"/>
  <c r="D97" i="845"/>
  <c r="D95" i="845"/>
  <c r="D93" i="845"/>
  <c r="D6" i="845"/>
  <c r="F1235" i="857"/>
  <c r="DJ20" i="227"/>
  <c r="DK20" i="227" s="1"/>
  <c r="DL20" i="227" s="1"/>
  <c r="DJ52" i="227"/>
  <c r="DK52" i="227" s="1"/>
  <c r="DL52" i="227" s="1"/>
  <c r="DJ61" i="227"/>
  <c r="DK61" i="227" s="1"/>
  <c r="DL61" i="227" s="1"/>
  <c r="DJ36" i="227"/>
  <c r="DK36" i="227" s="1"/>
  <c r="DL36" i="227" s="1"/>
  <c r="DJ12" i="227"/>
  <c r="DK12" i="227" s="1"/>
  <c r="DL12" i="227" s="1"/>
  <c r="DJ65" i="227"/>
  <c r="DK65" i="227" s="1"/>
  <c r="DL65" i="227" s="1"/>
  <c r="DJ43" i="227"/>
  <c r="DK43" i="227" s="1"/>
  <c r="DL43" i="227" s="1"/>
  <c r="DJ54" i="227"/>
  <c r="DK54" i="227" s="1"/>
  <c r="DL54" i="227" s="1"/>
  <c r="DJ68" i="227"/>
  <c r="DK68" i="227" s="1"/>
  <c r="DL68" i="227" s="1"/>
  <c r="DJ31" i="227"/>
  <c r="DK31" i="227" s="1"/>
  <c r="DL31" i="227" s="1"/>
  <c r="DJ37" i="227"/>
  <c r="DK37" i="227" s="1"/>
  <c r="DL37" i="227" s="1"/>
  <c r="DJ67" i="227"/>
  <c r="DK67" i="227" s="1"/>
  <c r="DL67" i="227" s="1"/>
  <c r="DJ69" i="227"/>
  <c r="DK69" i="227" s="1"/>
  <c r="DL69" i="227" s="1"/>
  <c r="DJ13" i="227"/>
  <c r="DK13" i="227" s="1"/>
  <c r="DL13" i="227" s="1"/>
  <c r="DJ23" i="227"/>
  <c r="DK23" i="227" s="1"/>
  <c r="DL23" i="227" s="1"/>
  <c r="DM46" i="227" s="1" a="1"/>
  <c r="DM46" i="227" s="1"/>
  <c r="DJ47" i="227"/>
  <c r="DK47" i="227" s="1"/>
  <c r="DL47" i="227" s="1"/>
  <c r="DJ32" i="227"/>
  <c r="DK32" i="227" s="1"/>
  <c r="DL32" i="227" s="1"/>
  <c r="DJ50" i="227"/>
  <c r="DK50" i="227" s="1"/>
  <c r="DL50" i="227" s="1"/>
  <c r="DJ30" i="227"/>
  <c r="DK30" i="227" s="1"/>
  <c r="DL30" i="227" s="1"/>
  <c r="DJ53" i="227"/>
  <c r="DK53" i="227" s="1"/>
  <c r="DL53" i="227" s="1"/>
  <c r="DJ44" i="227"/>
  <c r="DK44" i="227" s="1"/>
  <c r="DL44" i="227" s="1"/>
  <c r="DJ35" i="227"/>
  <c r="DK35" i="227" s="1"/>
  <c r="DL35" i="227" s="1"/>
  <c r="DJ11" i="227"/>
  <c r="DK11" i="227" s="1"/>
  <c r="DL11" i="227" s="1"/>
  <c r="DJ46" i="227"/>
  <c r="DK46" i="227" s="1"/>
  <c r="DL46" i="227" s="1"/>
  <c r="DJ19" i="227"/>
  <c r="DK19" i="227" s="1"/>
  <c r="DL19" i="227" s="1"/>
  <c r="DJ15" i="227"/>
  <c r="DK15" i="227" s="1"/>
  <c r="DL15" i="227" s="1"/>
  <c r="DJ64" i="227"/>
  <c r="DK64" i="227" s="1"/>
  <c r="DL64" i="227" s="1"/>
  <c r="DJ28" i="227"/>
  <c r="DK28" i="227" s="1"/>
  <c r="DL28" i="227" s="1"/>
  <c r="DJ72" i="227"/>
  <c r="DK72" i="227" s="1"/>
  <c r="DL72" i="227" s="1"/>
  <c r="DJ41" i="227"/>
  <c r="DK41" i="227" s="1"/>
  <c r="DL41" i="227" s="1"/>
  <c r="DJ48" i="227"/>
  <c r="DK48" i="227" s="1"/>
  <c r="DL48" i="227" s="1"/>
  <c r="DJ10" i="227"/>
  <c r="DK10" i="227" s="1"/>
  <c r="DL10" i="227" s="1"/>
  <c r="DJ17" i="227"/>
  <c r="DK17" i="227" s="1"/>
  <c r="DL17" i="227" s="1"/>
  <c r="DJ25" i="227"/>
  <c r="DK25" i="227" s="1"/>
  <c r="DL25" i="227" s="1"/>
  <c r="DJ16" i="227"/>
  <c r="DK16" i="227" s="1"/>
  <c r="DL16" i="227" s="1"/>
  <c r="DJ58" i="227"/>
  <c r="DK58" i="227" s="1"/>
  <c r="DL58" i="227" s="1"/>
  <c r="DJ22" i="227"/>
  <c r="DK22" i="227" s="1"/>
  <c r="DL22" i="227" s="1"/>
  <c r="DJ49" i="227"/>
  <c r="DK49" i="227" s="1"/>
  <c r="DL49" i="227" s="1"/>
  <c r="DJ66" i="227"/>
  <c r="DK66" i="227" s="1"/>
  <c r="DL66" i="227" s="1"/>
  <c r="DJ29" i="227"/>
  <c r="DK29" i="227" s="1"/>
  <c r="DL29" i="227" s="1"/>
  <c r="DJ26" i="227"/>
  <c r="DK26" i="227" s="1"/>
  <c r="DL26" i="227" s="1"/>
  <c r="DJ56" i="227"/>
  <c r="DK56" i="227" s="1"/>
  <c r="DL56" i="227" s="1"/>
  <c r="DJ59" i="227"/>
  <c r="DK59" i="227" s="1"/>
  <c r="DL59" i="227" s="1"/>
  <c r="DJ70" i="227"/>
  <c r="DK70" i="227" s="1"/>
  <c r="DL70" i="227" s="1"/>
  <c r="DJ38" i="227"/>
  <c r="DK38" i="227" s="1"/>
  <c r="DL38" i="227" s="1"/>
  <c r="DJ55" i="227"/>
  <c r="DK55" i="227" s="1"/>
  <c r="DL55" i="227" s="1"/>
  <c r="DJ21" i="227"/>
  <c r="DK21" i="227" s="1"/>
  <c r="DL21" i="227" s="1"/>
  <c r="DJ24" i="227"/>
  <c r="DK24" i="227" s="1"/>
  <c r="DL24" i="227" s="1"/>
  <c r="DJ39" i="227"/>
  <c r="DK39" i="227" s="1"/>
  <c r="DL39" i="227" s="1"/>
  <c r="DJ40" i="227"/>
  <c r="DK40" i="227" s="1"/>
  <c r="DL40" i="227" s="1"/>
  <c r="DJ34" i="227"/>
  <c r="DK34" i="227" s="1"/>
  <c r="DL34" i="227" s="1"/>
  <c r="DJ27" i="227"/>
  <c r="DK27" i="227" s="1"/>
  <c r="DL27" i="227" s="1"/>
  <c r="DJ18" i="227"/>
  <c r="DK18" i="227" s="1"/>
  <c r="DL18" i="227" s="1"/>
  <c r="DJ63" i="227"/>
  <c r="DK63" i="227" s="1"/>
  <c r="DL63" i="227" s="1"/>
  <c r="DJ33" i="227"/>
  <c r="DK33" i="227" s="1"/>
  <c r="DL33" i="227" s="1"/>
  <c r="DJ62" i="227"/>
  <c r="DK62" i="227" s="1"/>
  <c r="DL62" i="227" s="1"/>
  <c r="DJ71" i="227"/>
  <c r="DK71" i="227" s="1"/>
  <c r="DL71" i="227" s="1"/>
  <c r="DJ57" i="227"/>
  <c r="DK57" i="227" s="1"/>
  <c r="DL57" i="227" s="1"/>
  <c r="DJ51" i="227"/>
  <c r="DK51" i="227" s="1"/>
  <c r="DL51" i="227" s="1"/>
  <c r="DJ42" i="227"/>
  <c r="DK42" i="227" s="1"/>
  <c r="DL42" i="227" s="1"/>
  <c r="DJ60" i="227"/>
  <c r="DK60" i="227" s="1"/>
  <c r="DL60" i="227" s="1"/>
  <c r="DJ14" i="227"/>
  <c r="DK14" i="227" s="1"/>
  <c r="DL14" i="227" s="1"/>
  <c r="AI43" i="106"/>
  <c r="AG43" i="106"/>
  <c r="AH43" i="106"/>
  <c r="F967" i="857"/>
  <c r="EX11" i="227"/>
  <c r="EY11" i="227" s="1"/>
  <c r="EZ11" i="227" s="1"/>
  <c r="EX65" i="227"/>
  <c r="EY65" i="227" s="1"/>
  <c r="EZ65" i="227" s="1"/>
  <c r="EX71" i="227"/>
  <c r="EY71" i="227" s="1"/>
  <c r="EZ71" i="227" s="1"/>
  <c r="EX21" i="227"/>
  <c r="EY21" i="227" s="1"/>
  <c r="EZ21" i="227" s="1"/>
  <c r="EX32" i="227"/>
  <c r="EY32" i="227" s="1"/>
  <c r="EZ32" i="227" s="1"/>
  <c r="EX33" i="227"/>
  <c r="EY33" i="227" s="1"/>
  <c r="EZ33" i="227" s="1"/>
  <c r="EX39" i="227"/>
  <c r="EY39" i="227" s="1"/>
  <c r="EZ39" i="227" s="1"/>
  <c r="EX54" i="227"/>
  <c r="EY54" i="227" s="1"/>
  <c r="EZ54" i="227" s="1"/>
  <c r="EX52" i="227"/>
  <c r="EY52" i="227" s="1"/>
  <c r="EZ52" i="227" s="1"/>
  <c r="EX59" i="227"/>
  <c r="EY59" i="227" s="1"/>
  <c r="EZ59" i="227" s="1"/>
  <c r="EX40" i="227"/>
  <c r="EY40" i="227" s="1"/>
  <c r="EZ40" i="227" s="1"/>
  <c r="EX44" i="227"/>
  <c r="EY44" i="227" s="1"/>
  <c r="EZ44" i="227" s="1"/>
  <c r="EX27" i="227"/>
  <c r="EY27" i="227" s="1"/>
  <c r="EZ27" i="227" s="1"/>
  <c r="EX17" i="227"/>
  <c r="EY17" i="227" s="1"/>
  <c r="EZ17" i="227" s="1"/>
  <c r="EX69" i="227"/>
  <c r="EY69" i="227" s="1"/>
  <c r="EZ69" i="227" s="1"/>
  <c r="EX22" i="227"/>
  <c r="EY22" i="227" s="1"/>
  <c r="EZ22" i="227" s="1"/>
  <c r="EX15" i="227"/>
  <c r="EY15" i="227" s="1"/>
  <c r="EZ15" i="227" s="1"/>
  <c r="EX49" i="227"/>
  <c r="EY49" i="227" s="1"/>
  <c r="EZ49" i="227" s="1"/>
  <c r="EX38" i="227"/>
  <c r="EY38" i="227" s="1"/>
  <c r="EZ38" i="227" s="1"/>
  <c r="EX25" i="227"/>
  <c r="EY25" i="227" s="1"/>
  <c r="EZ25" i="227" s="1"/>
  <c r="EX35" i="227"/>
  <c r="EY35" i="227" s="1"/>
  <c r="EZ35" i="227" s="1"/>
  <c r="FA11" i="227" s="1" a="1"/>
  <c r="FA11" i="227" s="1"/>
  <c r="EX24" i="227"/>
  <c r="EY24" i="227" s="1"/>
  <c r="EZ24" i="227" s="1"/>
  <c r="EX18" i="227"/>
  <c r="EY18" i="227" s="1"/>
  <c r="EZ18" i="227" s="1"/>
  <c r="EX26" i="227"/>
  <c r="EY26" i="227" s="1"/>
  <c r="EZ26" i="227" s="1"/>
  <c r="EX19" i="227"/>
  <c r="EY19" i="227" s="1"/>
  <c r="EZ19" i="227" s="1"/>
  <c r="EX51" i="227"/>
  <c r="EY51" i="227" s="1"/>
  <c r="EZ51" i="227" s="1"/>
  <c r="EX10" i="227"/>
  <c r="EY10" i="227" s="1"/>
  <c r="EZ10" i="227" s="1"/>
  <c r="EX31" i="227"/>
  <c r="EY31" i="227" s="1"/>
  <c r="EZ31" i="227" s="1"/>
  <c r="EX43" i="227"/>
  <c r="EY43" i="227" s="1"/>
  <c r="EZ43" i="227" s="1"/>
  <c r="EX50" i="227"/>
  <c r="EY50" i="227" s="1"/>
  <c r="EZ50" i="227" s="1"/>
  <c r="EX70" i="227"/>
  <c r="EY70" i="227" s="1"/>
  <c r="EZ70" i="227" s="1"/>
  <c r="EX47" i="227"/>
  <c r="EY47" i="227" s="1"/>
  <c r="EZ47" i="227" s="1"/>
  <c r="EX61" i="227"/>
  <c r="EY61" i="227" s="1"/>
  <c r="EZ61" i="227" s="1"/>
  <c r="EX67" i="227"/>
  <c r="EY67" i="227" s="1"/>
  <c r="EZ67" i="227" s="1"/>
  <c r="EX34" i="227"/>
  <c r="EY34" i="227" s="1"/>
  <c r="EZ34" i="227" s="1"/>
  <c r="EX63" i="227"/>
  <c r="EY63" i="227" s="1"/>
  <c r="EZ63" i="227" s="1"/>
  <c r="EX37" i="227"/>
  <c r="EY37" i="227" s="1"/>
  <c r="EZ37" i="227" s="1"/>
  <c r="EX29" i="227"/>
  <c r="EY29" i="227" s="1"/>
  <c r="EZ29" i="227" s="1"/>
  <c r="EX23" i="227"/>
  <c r="EY23" i="227" s="1"/>
  <c r="EZ23" i="227" s="1"/>
  <c r="EX55" i="227"/>
  <c r="EY55" i="227" s="1"/>
  <c r="EZ55" i="227" s="1"/>
  <c r="EX62" i="227"/>
  <c r="EY62" i="227" s="1"/>
  <c r="EZ62" i="227" s="1"/>
  <c r="EX20" i="227"/>
  <c r="EY20" i="227" s="1"/>
  <c r="EZ20" i="227" s="1"/>
  <c r="EX58" i="227"/>
  <c r="EY58" i="227" s="1"/>
  <c r="EZ58" i="227" s="1"/>
  <c r="EX66" i="227"/>
  <c r="EY66" i="227" s="1"/>
  <c r="EZ66" i="227" s="1"/>
  <c r="EX48" i="227"/>
  <c r="EY48" i="227" s="1"/>
  <c r="EZ48" i="227" s="1"/>
  <c r="EX68" i="227"/>
  <c r="EY68" i="227" s="1"/>
  <c r="EZ68" i="227" s="1"/>
  <c r="EX72" i="227"/>
  <c r="EY72" i="227" s="1"/>
  <c r="EZ72" i="227" s="1"/>
  <c r="EX46" i="227"/>
  <c r="EY46" i="227" s="1"/>
  <c r="EZ46" i="227" s="1"/>
  <c r="EX56" i="227"/>
  <c r="EY56" i="227" s="1"/>
  <c r="EZ56" i="227" s="1"/>
  <c r="EX57" i="227"/>
  <c r="EY57" i="227" s="1"/>
  <c r="EZ57" i="227" s="1"/>
  <c r="EX60" i="227"/>
  <c r="EY60" i="227" s="1"/>
  <c r="EZ60" i="227" s="1"/>
  <c r="EX16" i="227"/>
  <c r="EY16" i="227" s="1"/>
  <c r="EZ16" i="227" s="1"/>
  <c r="EX28" i="227"/>
  <c r="EY28" i="227" s="1"/>
  <c r="EZ28" i="227" s="1"/>
  <c r="EX36" i="227"/>
  <c r="EY36" i="227" s="1"/>
  <c r="EZ36" i="227" s="1"/>
  <c r="EX30" i="227"/>
  <c r="EY30" i="227" s="1"/>
  <c r="EZ30" i="227" s="1"/>
  <c r="EX41" i="227"/>
  <c r="EY41" i="227" s="1"/>
  <c r="EZ41" i="227" s="1"/>
  <c r="EX42" i="227"/>
  <c r="EY42" i="227" s="1"/>
  <c r="EZ42" i="227" s="1"/>
  <c r="EX12" i="227"/>
  <c r="EY12" i="227" s="1"/>
  <c r="EZ12" i="227" s="1"/>
  <c r="EX13" i="227"/>
  <c r="EY13" i="227" s="1"/>
  <c r="EZ13" i="227" s="1"/>
  <c r="EX53" i="227"/>
  <c r="EY53" i="227" s="1"/>
  <c r="EZ53" i="227" s="1"/>
  <c r="EX64" i="227"/>
  <c r="EY64" i="227" s="1"/>
  <c r="EZ64" i="227" s="1"/>
  <c r="EX14" i="227"/>
  <c r="EY14" i="227" s="1"/>
  <c r="EZ14" i="227" s="1"/>
  <c r="F1544" i="857"/>
  <c r="AM35" i="106"/>
  <c r="F1233" i="857"/>
  <c r="D24" i="227"/>
  <c r="D69" i="227" s="1"/>
  <c r="D114" i="227" s="1"/>
  <c r="F896" i="857"/>
  <c r="AM32" i="106"/>
  <c r="F1541" i="857"/>
  <c r="AS49" i="106"/>
  <c r="E86" i="778"/>
  <c r="F3403" i="857" s="1"/>
  <c r="F3383" i="857"/>
  <c r="L86" i="778"/>
  <c r="AS24" i="106"/>
  <c r="F1248" i="857"/>
  <c r="F1082" i="857"/>
  <c r="E129" i="227"/>
  <c r="F129" i="227" s="1"/>
  <c r="F1136" i="857"/>
  <c r="AM26" i="106"/>
  <c r="F1535" i="857"/>
  <c r="AS53" i="106"/>
  <c r="F3257" i="857"/>
  <c r="F1240" i="857"/>
  <c r="BJ29" i="227"/>
  <c r="BK29" i="227" s="1"/>
  <c r="BL29" i="227" s="1"/>
  <c r="BJ46" i="227"/>
  <c r="BK46" i="227" s="1"/>
  <c r="BL46" i="227" s="1"/>
  <c r="BJ26" i="227"/>
  <c r="BK26" i="227" s="1"/>
  <c r="BL26" i="227" s="1"/>
  <c r="BJ38" i="227"/>
  <c r="BK38" i="227" s="1"/>
  <c r="BL38" i="227" s="1"/>
  <c r="BJ51" i="227"/>
  <c r="BK51" i="227" s="1"/>
  <c r="BL51" i="227" s="1"/>
  <c r="BJ62" i="227"/>
  <c r="BK62" i="227" s="1"/>
  <c r="BL62" i="227" s="1"/>
  <c r="BJ43" i="227"/>
  <c r="BK43" i="227" s="1"/>
  <c r="BL43" i="227" s="1"/>
  <c r="BJ63" i="227"/>
  <c r="BK63" i="227" s="1"/>
  <c r="BL63" i="227" s="1"/>
  <c r="BJ21" i="227"/>
  <c r="BK21" i="227" s="1"/>
  <c r="BL21" i="227" s="1"/>
  <c r="BJ65" i="227"/>
  <c r="BK65" i="227" s="1"/>
  <c r="BL65" i="227" s="1"/>
  <c r="BJ13" i="227"/>
  <c r="BK13" i="227" s="1"/>
  <c r="BL13" i="227" s="1"/>
  <c r="BJ59" i="227"/>
  <c r="BK59" i="227" s="1"/>
  <c r="BL59" i="227" s="1"/>
  <c r="BJ40" i="227"/>
  <c r="BK40" i="227" s="1"/>
  <c r="BL40" i="227" s="1"/>
  <c r="BJ72" i="227"/>
  <c r="BK72" i="227" s="1"/>
  <c r="BL72" i="227" s="1"/>
  <c r="BJ48" i="227"/>
  <c r="BK48" i="227" s="1"/>
  <c r="BL48" i="227" s="1"/>
  <c r="BJ22" i="227"/>
  <c r="BK22" i="227" s="1"/>
  <c r="BL22" i="227" s="1"/>
  <c r="BJ35" i="227"/>
  <c r="BK35" i="227" s="1"/>
  <c r="BL35" i="227" s="1"/>
  <c r="BJ55" i="227"/>
  <c r="BK55" i="227" s="1"/>
  <c r="BL55" i="227" s="1"/>
  <c r="BJ44" i="227"/>
  <c r="BK44" i="227" s="1"/>
  <c r="BL44" i="227" s="1"/>
  <c r="BJ49" i="227"/>
  <c r="BK49" i="227" s="1"/>
  <c r="BL49" i="227" s="1"/>
  <c r="BJ32" i="227"/>
  <c r="BK32" i="227" s="1"/>
  <c r="BL32" i="227" s="1"/>
  <c r="BJ14" i="227"/>
  <c r="BK14" i="227" s="1"/>
  <c r="BL14" i="227" s="1"/>
  <c r="BM18" i="227" s="1" a="1"/>
  <c r="BM18" i="227" s="1"/>
  <c r="BJ42" i="227"/>
  <c r="BK42" i="227" s="1"/>
  <c r="BL42" i="227" s="1"/>
  <c r="BJ24" i="227"/>
  <c r="BK24" i="227" s="1"/>
  <c r="BL24" i="227" s="1"/>
  <c r="BJ17" i="227"/>
  <c r="BK17" i="227" s="1"/>
  <c r="BL17" i="227" s="1"/>
  <c r="BJ11" i="227"/>
  <c r="BK11" i="227" s="1"/>
  <c r="BL11" i="227" s="1"/>
  <c r="BJ19" i="227"/>
  <c r="BK19" i="227" s="1"/>
  <c r="BL19" i="227" s="1"/>
  <c r="BJ30" i="227"/>
  <c r="BK30" i="227" s="1"/>
  <c r="BL30" i="227" s="1"/>
  <c r="BJ57" i="227"/>
  <c r="BK57" i="227" s="1"/>
  <c r="BL57" i="227" s="1"/>
  <c r="BJ15" i="227"/>
  <c r="BK15" i="227" s="1"/>
  <c r="BL15" i="227" s="1"/>
  <c r="BJ20" i="227"/>
  <c r="BK20" i="227" s="1"/>
  <c r="BL20" i="227" s="1"/>
  <c r="BJ28" i="227"/>
  <c r="BK28" i="227" s="1"/>
  <c r="BL28" i="227" s="1"/>
  <c r="BJ50" i="227"/>
  <c r="BK50" i="227" s="1"/>
  <c r="BL50" i="227" s="1"/>
  <c r="BJ23" i="227"/>
  <c r="BK23" i="227" s="1"/>
  <c r="BL23" i="227" s="1"/>
  <c r="BJ64" i="227"/>
  <c r="BK64" i="227" s="1"/>
  <c r="BL64" i="227" s="1"/>
  <c r="BJ39" i="227"/>
  <c r="BK39" i="227" s="1"/>
  <c r="BL39" i="227" s="1"/>
  <c r="BJ41" i="227"/>
  <c r="BK41" i="227" s="1"/>
  <c r="BL41" i="227" s="1"/>
  <c r="BJ31" i="227"/>
  <c r="BK31" i="227" s="1"/>
  <c r="BL31" i="227" s="1"/>
  <c r="BJ56" i="227"/>
  <c r="BK56" i="227" s="1"/>
  <c r="BL56" i="227" s="1"/>
  <c r="BJ18" i="227"/>
  <c r="BK18" i="227" s="1"/>
  <c r="BL18" i="227" s="1"/>
  <c r="BJ66" i="227"/>
  <c r="BK66" i="227" s="1"/>
  <c r="BL66" i="227" s="1"/>
  <c r="BJ25" i="227"/>
  <c r="BK25" i="227" s="1"/>
  <c r="BL25" i="227" s="1"/>
  <c r="BJ69" i="227"/>
  <c r="BK69" i="227" s="1"/>
  <c r="BL69" i="227" s="1"/>
  <c r="BJ16" i="227"/>
  <c r="BK16" i="227" s="1"/>
  <c r="BL16" i="227" s="1"/>
  <c r="BJ61" i="227"/>
  <c r="BK61" i="227" s="1"/>
  <c r="BL61" i="227" s="1"/>
  <c r="BJ47" i="227"/>
  <c r="BK47" i="227" s="1"/>
  <c r="BL47" i="227" s="1"/>
  <c r="BJ67" i="227"/>
  <c r="BK67" i="227" s="1"/>
  <c r="BL67" i="227" s="1"/>
  <c r="BJ58" i="227"/>
  <c r="BK58" i="227" s="1"/>
  <c r="BL58" i="227" s="1"/>
  <c r="BJ71" i="227"/>
  <c r="BK71" i="227" s="1"/>
  <c r="BL71" i="227" s="1"/>
  <c r="BJ52" i="227"/>
  <c r="BK52" i="227" s="1"/>
  <c r="BL52" i="227" s="1"/>
  <c r="BJ37" i="227"/>
  <c r="BK37" i="227" s="1"/>
  <c r="BL37" i="227" s="1"/>
  <c r="BJ70" i="227"/>
  <c r="BK70" i="227" s="1"/>
  <c r="BL70" i="227" s="1"/>
  <c r="BJ27" i="227"/>
  <c r="BK27" i="227" s="1"/>
  <c r="BL27" i="227" s="1"/>
  <c r="BJ53" i="227"/>
  <c r="BK53" i="227" s="1"/>
  <c r="BL53" i="227" s="1"/>
  <c r="BJ10" i="227"/>
  <c r="BK10" i="227" s="1"/>
  <c r="BL10" i="227" s="1"/>
  <c r="BJ60" i="227"/>
  <c r="BK60" i="227" s="1"/>
  <c r="BL60" i="227" s="1"/>
  <c r="BJ34" i="227"/>
  <c r="BK34" i="227" s="1"/>
  <c r="BL34" i="227" s="1"/>
  <c r="BJ33" i="227"/>
  <c r="BK33" i="227" s="1"/>
  <c r="BL33" i="227" s="1"/>
  <c r="BJ54" i="227"/>
  <c r="BK54" i="227" s="1"/>
  <c r="BL54" i="227" s="1"/>
  <c r="BJ68" i="227"/>
  <c r="BK68" i="227" s="1"/>
  <c r="BL68" i="227" s="1"/>
  <c r="BJ12" i="227"/>
  <c r="BK12" i="227" s="1"/>
  <c r="BL12" i="227" s="1"/>
  <c r="BJ36" i="227"/>
  <c r="BK36" i="227" s="1"/>
  <c r="BL36" i="227" s="1"/>
  <c r="F1273" i="857"/>
  <c r="F208" i="857"/>
  <c r="F1071" i="857"/>
  <c r="B79" i="794"/>
  <c r="B15" i="354"/>
  <c r="BH15" i="354" s="1"/>
  <c r="C16" i="227"/>
  <c r="C61" i="227" s="1"/>
  <c r="C106" i="227" s="1"/>
  <c r="F843" i="857"/>
  <c r="F1199" i="857"/>
  <c r="E71" i="227"/>
  <c r="F71" i="227" s="1"/>
  <c r="F1033" i="857"/>
  <c r="AS14" i="106"/>
  <c r="F1173" i="857"/>
  <c r="AS28" i="106"/>
  <c r="L86" i="776"/>
  <c r="E86" i="776"/>
  <c r="F2799" i="857" s="1"/>
  <c r="F2779" i="857"/>
  <c r="CL74" i="528"/>
  <c r="O7" i="689"/>
  <c r="AP66" i="528"/>
  <c r="R35" i="99"/>
  <c r="R45" i="99" s="1"/>
  <c r="R108" i="99"/>
  <c r="R29" i="99"/>
  <c r="R107" i="99" s="1"/>
  <c r="F1063" i="857"/>
  <c r="P111" i="687"/>
  <c r="F206" i="857"/>
  <c r="AH22" i="106"/>
  <c r="AG22" i="106"/>
  <c r="E29" i="227"/>
  <c r="F29" i="227" s="1"/>
  <c r="AI22" i="106"/>
  <c r="F946" i="857"/>
  <c r="F1191" i="857"/>
  <c r="E84" i="775"/>
  <c r="F2495" i="857" s="1"/>
  <c r="L84" i="775"/>
  <c r="F2475" i="857"/>
  <c r="I115" i="99"/>
  <c r="F1265" i="857"/>
  <c r="BZ23" i="227"/>
  <c r="CA23" i="227" s="1"/>
  <c r="CB23" i="227" s="1"/>
  <c r="BZ54" i="227"/>
  <c r="CA54" i="227" s="1"/>
  <c r="CB54" i="227" s="1"/>
  <c r="BZ44" i="227"/>
  <c r="CA44" i="227" s="1"/>
  <c r="CB44" i="227" s="1"/>
  <c r="BZ69" i="227"/>
  <c r="CA69" i="227" s="1"/>
  <c r="CB69" i="227" s="1"/>
  <c r="BZ40" i="227"/>
  <c r="CA40" i="227" s="1"/>
  <c r="CB40" i="227" s="1"/>
  <c r="BZ12" i="227"/>
  <c r="CA12" i="227" s="1"/>
  <c r="CB12" i="227" s="1"/>
  <c r="BZ16" i="227"/>
  <c r="CA16" i="227" s="1"/>
  <c r="CB16" i="227" s="1"/>
  <c r="BZ31" i="227"/>
  <c r="CA31" i="227" s="1"/>
  <c r="CB31" i="227" s="1"/>
  <c r="CC47" i="227" s="1" a="1"/>
  <c r="CC47" i="227" s="1"/>
  <c r="BZ32" i="227"/>
  <c r="CA32" i="227" s="1"/>
  <c r="CB32" i="227" s="1"/>
  <c r="BZ21" i="227"/>
  <c r="CA21" i="227" s="1"/>
  <c r="CB21" i="227" s="1"/>
  <c r="BZ71" i="227"/>
  <c r="CA71" i="227" s="1"/>
  <c r="CB71" i="227" s="1"/>
  <c r="BZ22" i="227"/>
  <c r="CA22" i="227" s="1"/>
  <c r="CB22" i="227" s="1"/>
  <c r="BZ27" i="227"/>
  <c r="CA27" i="227" s="1"/>
  <c r="CB27" i="227" s="1"/>
  <c r="BZ26" i="227"/>
  <c r="CA26" i="227" s="1"/>
  <c r="CB26" i="227" s="1"/>
  <c r="BZ59" i="227"/>
  <c r="CA59" i="227" s="1"/>
  <c r="CB59" i="227" s="1"/>
  <c r="BZ28" i="227"/>
  <c r="CA28" i="227" s="1"/>
  <c r="CB28" i="227" s="1"/>
  <c r="BZ47" i="227"/>
  <c r="CA47" i="227" s="1"/>
  <c r="CB47" i="227" s="1"/>
  <c r="BZ50" i="227"/>
  <c r="CA50" i="227" s="1"/>
  <c r="CB50" i="227" s="1"/>
  <c r="BZ19" i="227"/>
  <c r="CA19" i="227" s="1"/>
  <c r="CB19" i="227" s="1"/>
  <c r="BZ38" i="227"/>
  <c r="CA38" i="227" s="1"/>
  <c r="CB38" i="227" s="1"/>
  <c r="BZ70" i="227"/>
  <c r="CA70" i="227" s="1"/>
  <c r="CB70" i="227" s="1"/>
  <c r="BZ34" i="227"/>
  <c r="CA34" i="227" s="1"/>
  <c r="CB34" i="227" s="1"/>
  <c r="BZ24" i="227"/>
  <c r="CA24" i="227" s="1"/>
  <c r="CB24" i="227" s="1"/>
  <c r="BZ58" i="227"/>
  <c r="CA58" i="227" s="1"/>
  <c r="CB58" i="227" s="1"/>
  <c r="BZ68" i="227"/>
  <c r="CA68" i="227" s="1"/>
  <c r="CB68" i="227" s="1"/>
  <c r="BZ37" i="227"/>
  <c r="CA37" i="227" s="1"/>
  <c r="CB37" i="227" s="1"/>
  <c r="BZ35" i="227"/>
  <c r="CA35" i="227" s="1"/>
  <c r="CB35" i="227" s="1"/>
  <c r="BZ66" i="227"/>
  <c r="CA66" i="227" s="1"/>
  <c r="CB66" i="227" s="1"/>
  <c r="BZ14" i="227"/>
  <c r="CA14" i="227" s="1"/>
  <c r="CB14" i="227" s="1"/>
  <c r="BZ67" i="227"/>
  <c r="CA67" i="227" s="1"/>
  <c r="CB67" i="227" s="1"/>
  <c r="BZ63" i="227"/>
  <c r="CA63" i="227" s="1"/>
  <c r="CB63" i="227" s="1"/>
  <c r="BZ41" i="227"/>
  <c r="CA41" i="227" s="1"/>
  <c r="CB41" i="227" s="1"/>
  <c r="BZ33" i="227"/>
  <c r="CA33" i="227" s="1"/>
  <c r="CB33" i="227" s="1"/>
  <c r="BZ49" i="227"/>
  <c r="CA49" i="227" s="1"/>
  <c r="CB49" i="227" s="1"/>
  <c r="BZ53" i="227"/>
  <c r="CA53" i="227" s="1"/>
  <c r="CB53" i="227" s="1"/>
  <c r="BZ10" i="227"/>
  <c r="CA10" i="227" s="1"/>
  <c r="CB10" i="227" s="1"/>
  <c r="BZ11" i="227"/>
  <c r="CA11" i="227" s="1"/>
  <c r="CB11" i="227" s="1"/>
  <c r="BZ43" i="227"/>
  <c r="CA43" i="227" s="1"/>
  <c r="CB43" i="227" s="1"/>
  <c r="BZ20" i="227"/>
  <c r="CA20" i="227" s="1"/>
  <c r="CB20" i="227" s="1"/>
  <c r="BZ29" i="227"/>
  <c r="CA29" i="227" s="1"/>
  <c r="CB29" i="227" s="1"/>
  <c r="BZ72" i="227"/>
  <c r="CA72" i="227" s="1"/>
  <c r="CB72" i="227" s="1"/>
  <c r="BZ46" i="227"/>
  <c r="CA46" i="227" s="1"/>
  <c r="CB46" i="227" s="1"/>
  <c r="BZ51" i="227"/>
  <c r="CA51" i="227" s="1"/>
  <c r="CB51" i="227" s="1"/>
  <c r="BZ60" i="227"/>
  <c r="CA60" i="227" s="1"/>
  <c r="CB60" i="227" s="1"/>
  <c r="BZ18" i="227"/>
  <c r="CA18" i="227" s="1"/>
  <c r="CB18" i="227" s="1"/>
  <c r="BZ64" i="227"/>
  <c r="CA64" i="227" s="1"/>
  <c r="CB64" i="227" s="1"/>
  <c r="BZ17" i="227"/>
  <c r="CA17" i="227" s="1"/>
  <c r="CB17" i="227" s="1"/>
  <c r="BZ15" i="227"/>
  <c r="CA15" i="227" s="1"/>
  <c r="CB15" i="227" s="1"/>
  <c r="BZ25" i="227"/>
  <c r="CA25" i="227" s="1"/>
  <c r="CB25" i="227" s="1"/>
  <c r="BZ52" i="227"/>
  <c r="CA52" i="227" s="1"/>
  <c r="CB52" i="227" s="1"/>
  <c r="BZ39" i="227"/>
  <c r="CA39" i="227" s="1"/>
  <c r="CB39" i="227" s="1"/>
  <c r="BZ61" i="227"/>
  <c r="CA61" i="227" s="1"/>
  <c r="CB61" i="227" s="1"/>
  <c r="BZ62" i="227"/>
  <c r="CA62" i="227" s="1"/>
  <c r="CB62" i="227" s="1"/>
  <c r="BZ36" i="227"/>
  <c r="CA36" i="227" s="1"/>
  <c r="CB36" i="227" s="1"/>
  <c r="BZ56" i="227"/>
  <c r="CA56" i="227" s="1"/>
  <c r="CB56" i="227" s="1"/>
  <c r="BZ48" i="227"/>
  <c r="CA48" i="227" s="1"/>
  <c r="CB48" i="227" s="1"/>
  <c r="BZ65" i="227"/>
  <c r="CA65" i="227" s="1"/>
  <c r="CB65" i="227" s="1"/>
  <c r="BZ42" i="227"/>
  <c r="CA42" i="227" s="1"/>
  <c r="CB42" i="227" s="1"/>
  <c r="BZ13" i="227"/>
  <c r="CA13" i="227" s="1"/>
  <c r="CB13" i="227" s="1"/>
  <c r="BZ30" i="227"/>
  <c r="CA30" i="227" s="1"/>
  <c r="CB30" i="227" s="1"/>
  <c r="BZ55" i="227"/>
  <c r="CA55" i="227" s="1"/>
  <c r="CB55" i="227" s="1"/>
  <c r="BZ57" i="227"/>
  <c r="CA57" i="227" s="1"/>
  <c r="CB57" i="227" s="1"/>
  <c r="F2477" i="857"/>
  <c r="L86" i="775"/>
  <c r="E86" i="775"/>
  <c r="F2497" i="857" s="1"/>
  <c r="F115" i="857"/>
  <c r="F1282" i="857"/>
  <c r="F166" i="857"/>
  <c r="J33" i="528"/>
  <c r="DZ10" i="227"/>
  <c r="EA10" i="227" s="1"/>
  <c r="EB10" i="227" s="1"/>
  <c r="DZ64" i="227"/>
  <c r="EA64" i="227" s="1"/>
  <c r="EB64" i="227" s="1"/>
  <c r="DZ50" i="227"/>
  <c r="EA50" i="227" s="1"/>
  <c r="EB50" i="227" s="1"/>
  <c r="DZ13" i="227"/>
  <c r="EA13" i="227" s="1"/>
  <c r="EB13" i="227" s="1"/>
  <c r="DZ26" i="227"/>
  <c r="EA26" i="227" s="1"/>
  <c r="EB26" i="227" s="1"/>
  <c r="DZ72" i="227"/>
  <c r="EA72" i="227" s="1"/>
  <c r="EB72" i="227" s="1"/>
  <c r="DZ56" i="227"/>
  <c r="EA56" i="227" s="1"/>
  <c r="EB56" i="227" s="1"/>
  <c r="DZ39" i="227"/>
  <c r="EA39" i="227" s="1"/>
  <c r="EB39" i="227" s="1"/>
  <c r="DZ11" i="227"/>
  <c r="EA11" i="227" s="1"/>
  <c r="EB11" i="227" s="1"/>
  <c r="DZ12" i="227"/>
  <c r="EA12" i="227" s="1"/>
  <c r="EB12" i="227" s="1"/>
  <c r="DZ51" i="227"/>
  <c r="EA51" i="227" s="1"/>
  <c r="EB51" i="227" s="1"/>
  <c r="DZ34" i="227"/>
  <c r="EA34" i="227" s="1"/>
  <c r="EB34" i="227" s="1"/>
  <c r="DZ58" i="227"/>
  <c r="EA58" i="227" s="1"/>
  <c r="EB58" i="227" s="1"/>
  <c r="DZ41" i="227"/>
  <c r="EA41" i="227" s="1"/>
  <c r="EB41" i="227" s="1"/>
  <c r="DZ38" i="227"/>
  <c r="EA38" i="227" s="1"/>
  <c r="EB38" i="227" s="1"/>
  <c r="DZ66" i="227"/>
  <c r="EA66" i="227" s="1"/>
  <c r="EB66" i="227" s="1"/>
  <c r="DZ37" i="227"/>
  <c r="EA37" i="227" s="1"/>
  <c r="EB37" i="227" s="1"/>
  <c r="DZ43" i="227"/>
  <c r="EA43" i="227" s="1"/>
  <c r="EB43" i="227" s="1"/>
  <c r="DZ70" i="227"/>
  <c r="EA70" i="227" s="1"/>
  <c r="EB70" i="227" s="1"/>
  <c r="DZ62" i="227"/>
  <c r="EA62" i="227" s="1"/>
  <c r="EB62" i="227" s="1"/>
  <c r="DZ68" i="227"/>
  <c r="EA68" i="227" s="1"/>
  <c r="EB68" i="227" s="1"/>
  <c r="DZ55" i="227"/>
  <c r="EA55" i="227" s="1"/>
  <c r="EB55" i="227" s="1"/>
  <c r="DZ63" i="227"/>
  <c r="EA63" i="227" s="1"/>
  <c r="EB63" i="227" s="1"/>
  <c r="DZ71" i="227"/>
  <c r="EA71" i="227" s="1"/>
  <c r="EB71" i="227" s="1"/>
  <c r="DZ60" i="227"/>
  <c r="EA60" i="227" s="1"/>
  <c r="EB60" i="227" s="1"/>
  <c r="DZ32" i="227"/>
  <c r="EA32" i="227" s="1"/>
  <c r="EB32" i="227" s="1"/>
  <c r="DZ29" i="227"/>
  <c r="EA29" i="227" s="1"/>
  <c r="EB29" i="227" s="1"/>
  <c r="DZ19" i="227"/>
  <c r="EA19" i="227" s="1"/>
  <c r="EB19" i="227" s="1"/>
  <c r="DZ53" i="227"/>
  <c r="EA53" i="227" s="1"/>
  <c r="EB53" i="227" s="1"/>
  <c r="DZ67" i="227"/>
  <c r="EA67" i="227" s="1"/>
  <c r="EB67" i="227" s="1"/>
  <c r="DZ59" i="227"/>
  <c r="EA59" i="227" s="1"/>
  <c r="EB59" i="227" s="1"/>
  <c r="DZ65" i="227"/>
  <c r="EA65" i="227" s="1"/>
  <c r="EB65" i="227" s="1"/>
  <c r="DZ27" i="227"/>
  <c r="EA27" i="227" s="1"/>
  <c r="EB27" i="227" s="1"/>
  <c r="DZ20" i="227"/>
  <c r="EA20" i="227" s="1"/>
  <c r="EB20" i="227" s="1"/>
  <c r="DZ25" i="227"/>
  <c r="EA25" i="227" s="1"/>
  <c r="EB25" i="227" s="1"/>
  <c r="EC62" i="227" s="1" a="1"/>
  <c r="EC62" i="227" s="1"/>
  <c r="DZ48" i="227"/>
  <c r="EA48" i="227" s="1"/>
  <c r="EB48" i="227" s="1"/>
  <c r="DZ15" i="227"/>
  <c r="EA15" i="227" s="1"/>
  <c r="EB15" i="227" s="1"/>
  <c r="DZ14" i="227"/>
  <c r="EA14" i="227" s="1"/>
  <c r="EB14" i="227" s="1"/>
  <c r="DZ24" i="227"/>
  <c r="EA24" i="227" s="1"/>
  <c r="EB24" i="227" s="1"/>
  <c r="DZ17" i="227"/>
  <c r="EA17" i="227" s="1"/>
  <c r="EB17" i="227" s="1"/>
  <c r="DZ44" i="227"/>
  <c r="EA44" i="227" s="1"/>
  <c r="EB44" i="227" s="1"/>
  <c r="DZ54" i="227"/>
  <c r="EA54" i="227" s="1"/>
  <c r="EB54" i="227" s="1"/>
  <c r="DZ28" i="227"/>
  <c r="EA28" i="227" s="1"/>
  <c r="EB28" i="227" s="1"/>
  <c r="DZ18" i="227"/>
  <c r="EA18" i="227" s="1"/>
  <c r="EB18" i="227" s="1"/>
  <c r="DZ30" i="227"/>
  <c r="EA30" i="227" s="1"/>
  <c r="EB30" i="227" s="1"/>
  <c r="DZ42" i="227"/>
  <c r="EA42" i="227" s="1"/>
  <c r="EB42" i="227" s="1"/>
  <c r="DZ31" i="227"/>
  <c r="EA31" i="227" s="1"/>
  <c r="EB31" i="227" s="1"/>
  <c r="DZ22" i="227"/>
  <c r="EA22" i="227" s="1"/>
  <c r="EB22" i="227" s="1"/>
  <c r="DZ47" i="227"/>
  <c r="EA47" i="227" s="1"/>
  <c r="EB47" i="227" s="1"/>
  <c r="DZ57" i="227"/>
  <c r="EA57" i="227" s="1"/>
  <c r="EB57" i="227" s="1"/>
  <c r="DZ35" i="227"/>
  <c r="EA35" i="227" s="1"/>
  <c r="EB35" i="227" s="1"/>
  <c r="DZ33" i="227"/>
  <c r="EA33" i="227" s="1"/>
  <c r="EB33" i="227" s="1"/>
  <c r="DZ23" i="227"/>
  <c r="EA23" i="227" s="1"/>
  <c r="EB23" i="227" s="1"/>
  <c r="DZ69" i="227"/>
  <c r="EA69" i="227" s="1"/>
  <c r="EB69" i="227" s="1"/>
  <c r="DZ46" i="227"/>
  <c r="EA46" i="227" s="1"/>
  <c r="EB46" i="227" s="1"/>
  <c r="DZ16" i="227"/>
  <c r="EA16" i="227" s="1"/>
  <c r="EB16" i="227" s="1"/>
  <c r="DZ36" i="227"/>
  <c r="EA36" i="227" s="1"/>
  <c r="EB36" i="227" s="1"/>
  <c r="DZ21" i="227"/>
  <c r="EA21" i="227" s="1"/>
  <c r="EB21" i="227" s="1"/>
  <c r="DZ40" i="227"/>
  <c r="EA40" i="227" s="1"/>
  <c r="EB40" i="227" s="1"/>
  <c r="DZ52" i="227"/>
  <c r="EA52" i="227" s="1"/>
  <c r="EB52" i="227" s="1"/>
  <c r="DZ61" i="227"/>
  <c r="EA61" i="227" s="1"/>
  <c r="EB61" i="227" s="1"/>
  <c r="DZ49" i="227"/>
  <c r="EA49" i="227" s="1"/>
  <c r="EB49" i="227" s="1"/>
  <c r="L83" i="778"/>
  <c r="F3380" i="857"/>
  <c r="E83" i="778"/>
  <c r="F3400" i="857" s="1"/>
  <c r="D19" i="847"/>
  <c r="E66" i="41"/>
  <c r="D51" i="528"/>
  <c r="F217" i="857"/>
  <c r="AS67" i="106"/>
  <c r="F1227" i="857"/>
  <c r="F990" i="857"/>
  <c r="J18" i="528"/>
  <c r="J26" i="87"/>
  <c r="F81" i="857"/>
  <c r="X26" i="87"/>
  <c r="P112" i="99"/>
  <c r="AX12" i="227"/>
  <c r="AY12" i="227" s="1"/>
  <c r="AZ12" i="227" s="1"/>
  <c r="AX15" i="227"/>
  <c r="AY15" i="227" s="1"/>
  <c r="AZ15" i="227" s="1"/>
  <c r="AX36" i="227"/>
  <c r="AY36" i="227" s="1"/>
  <c r="AZ36" i="227" s="1"/>
  <c r="AX27" i="227"/>
  <c r="AY27" i="227" s="1"/>
  <c r="AZ27" i="227" s="1"/>
  <c r="AX10" i="227"/>
  <c r="AY10" i="227" s="1"/>
  <c r="AZ10" i="227" s="1"/>
  <c r="AX14" i="227"/>
  <c r="AY14" i="227" s="1"/>
  <c r="AZ14" i="227" s="1"/>
  <c r="AX40" i="227"/>
  <c r="AY40" i="227" s="1"/>
  <c r="AZ40" i="227" s="1"/>
  <c r="AX53" i="227"/>
  <c r="AY53" i="227" s="1"/>
  <c r="AZ53" i="227" s="1"/>
  <c r="AX18" i="227"/>
  <c r="AY18" i="227" s="1"/>
  <c r="AZ18" i="227" s="1"/>
  <c r="AX70" i="227"/>
  <c r="AY70" i="227" s="1"/>
  <c r="AZ70" i="227" s="1"/>
  <c r="AX16" i="227"/>
  <c r="AY16" i="227" s="1"/>
  <c r="AZ16" i="227" s="1"/>
  <c r="AX23" i="227"/>
  <c r="AY23" i="227" s="1"/>
  <c r="AZ23" i="227" s="1"/>
  <c r="AX69" i="227"/>
  <c r="AY69" i="227" s="1"/>
  <c r="AZ69" i="227" s="1"/>
  <c r="AX20" i="227"/>
  <c r="AY20" i="227" s="1"/>
  <c r="AZ20" i="227" s="1"/>
  <c r="AX48" i="227"/>
  <c r="AY48" i="227" s="1"/>
  <c r="AZ48" i="227" s="1"/>
  <c r="AX50" i="227"/>
  <c r="AY50" i="227" s="1"/>
  <c r="AZ50" i="227" s="1"/>
  <c r="AX21" i="227"/>
  <c r="AY21" i="227" s="1"/>
  <c r="AZ21" i="227" s="1"/>
  <c r="AX37" i="227"/>
  <c r="AY37" i="227" s="1"/>
  <c r="AZ37" i="227" s="1"/>
  <c r="AX22" i="227"/>
  <c r="AY22" i="227" s="1"/>
  <c r="AZ22" i="227" s="1"/>
  <c r="AX31" i="227"/>
  <c r="AY31" i="227" s="1"/>
  <c r="AZ31" i="227" s="1"/>
  <c r="AX57" i="227"/>
  <c r="AY57" i="227" s="1"/>
  <c r="AZ57" i="227" s="1"/>
  <c r="AX56" i="227"/>
  <c r="AY56" i="227" s="1"/>
  <c r="AZ56" i="227" s="1"/>
  <c r="AX42" i="227"/>
  <c r="AY42" i="227" s="1"/>
  <c r="AZ42" i="227" s="1"/>
  <c r="AX32" i="227"/>
  <c r="AY32" i="227" s="1"/>
  <c r="AZ32" i="227" s="1"/>
  <c r="AX25" i="227"/>
  <c r="AY25" i="227" s="1"/>
  <c r="AZ25" i="227" s="1"/>
  <c r="AX35" i="227"/>
  <c r="AY35" i="227" s="1"/>
  <c r="AZ35" i="227" s="1"/>
  <c r="AX28" i="227"/>
  <c r="AY28" i="227" s="1"/>
  <c r="AZ28" i="227" s="1"/>
  <c r="AX72" i="227"/>
  <c r="AY72" i="227" s="1"/>
  <c r="AZ72" i="227" s="1"/>
  <c r="AX34" i="227"/>
  <c r="AY34" i="227" s="1"/>
  <c r="AZ34" i="227" s="1"/>
  <c r="AX64" i="227"/>
  <c r="AY64" i="227" s="1"/>
  <c r="AZ64" i="227" s="1"/>
  <c r="AX58" i="227"/>
  <c r="AY58" i="227" s="1"/>
  <c r="AZ58" i="227" s="1"/>
  <c r="AX39" i="227"/>
  <c r="AY39" i="227" s="1"/>
  <c r="AZ39" i="227" s="1"/>
  <c r="AX68" i="227"/>
  <c r="AY68" i="227" s="1"/>
  <c r="AZ68" i="227" s="1"/>
  <c r="AX13" i="227"/>
  <c r="AY13" i="227" s="1"/>
  <c r="AZ13" i="227" s="1"/>
  <c r="AX60" i="227"/>
  <c r="AY60" i="227" s="1"/>
  <c r="AZ60" i="227" s="1"/>
  <c r="AX49" i="227"/>
  <c r="AY49" i="227" s="1"/>
  <c r="AZ49" i="227" s="1"/>
  <c r="AX44" i="227"/>
  <c r="AY44" i="227" s="1"/>
  <c r="AZ44" i="227" s="1"/>
  <c r="AX11" i="227"/>
  <c r="AY11" i="227" s="1"/>
  <c r="AZ11" i="227" s="1"/>
  <c r="AX71" i="227"/>
  <c r="AY71" i="227" s="1"/>
  <c r="AZ71" i="227" s="1"/>
  <c r="AX17" i="227"/>
  <c r="AY17" i="227" s="1"/>
  <c r="AZ17" i="227" s="1"/>
  <c r="AX54" i="227"/>
  <c r="AY54" i="227" s="1"/>
  <c r="AZ54" i="227" s="1"/>
  <c r="AX52" i="227"/>
  <c r="AY52" i="227" s="1"/>
  <c r="AZ52" i="227" s="1"/>
  <c r="AX38" i="227"/>
  <c r="AY38" i="227" s="1"/>
  <c r="AZ38" i="227" s="1"/>
  <c r="AX63" i="227"/>
  <c r="AY63" i="227" s="1"/>
  <c r="AZ63" i="227" s="1"/>
  <c r="AX62" i="227"/>
  <c r="AY62" i="227" s="1"/>
  <c r="AZ62" i="227" s="1"/>
  <c r="AX55" i="227"/>
  <c r="AY55" i="227" s="1"/>
  <c r="AZ55" i="227" s="1"/>
  <c r="AX66" i="227"/>
  <c r="AY66" i="227" s="1"/>
  <c r="AZ66" i="227" s="1"/>
  <c r="AX29" i="227"/>
  <c r="AY29" i="227" s="1"/>
  <c r="AZ29" i="227" s="1"/>
  <c r="AX51" i="227"/>
  <c r="AY51" i="227" s="1"/>
  <c r="AZ51" i="227" s="1"/>
  <c r="AX30" i="227"/>
  <c r="AY30" i="227" s="1"/>
  <c r="AZ30" i="227" s="1"/>
  <c r="AX46" i="227"/>
  <c r="AY46" i="227" s="1"/>
  <c r="AZ46" i="227" s="1"/>
  <c r="AX41" i="227"/>
  <c r="AY41" i="227" s="1"/>
  <c r="AZ41" i="227" s="1"/>
  <c r="AX24" i="227"/>
  <c r="AY24" i="227" s="1"/>
  <c r="AZ24" i="227" s="1"/>
  <c r="AX65" i="227"/>
  <c r="AY65" i="227" s="1"/>
  <c r="AZ65" i="227" s="1"/>
  <c r="AX19" i="227"/>
  <c r="AY19" i="227" s="1"/>
  <c r="AZ19" i="227" s="1"/>
  <c r="AX33" i="227"/>
  <c r="AY33" i="227" s="1"/>
  <c r="AZ33" i="227" s="1"/>
  <c r="AX26" i="227"/>
  <c r="AY26" i="227" s="1"/>
  <c r="AZ26" i="227" s="1"/>
  <c r="AX43" i="227"/>
  <c r="AY43" i="227" s="1"/>
  <c r="AZ43" i="227" s="1"/>
  <c r="AX47" i="227"/>
  <c r="AY47" i="227" s="1"/>
  <c r="AZ47" i="227" s="1"/>
  <c r="AX67" i="227"/>
  <c r="AY67" i="227" s="1"/>
  <c r="AZ67" i="227" s="1"/>
  <c r="AX59" i="227"/>
  <c r="AY59" i="227" s="1"/>
  <c r="AZ59" i="227" s="1"/>
  <c r="AX61" i="227"/>
  <c r="AY61" i="227" s="1"/>
  <c r="AZ61" i="227" s="1"/>
  <c r="P111" i="99"/>
  <c r="F917" i="857"/>
  <c r="D46" i="227"/>
  <c r="D90" i="227" s="1"/>
  <c r="D135" i="227" s="1"/>
  <c r="Q29" i="687"/>
  <c r="Q107" i="687" s="1"/>
  <c r="Q35" i="687"/>
  <c r="Q108" i="687"/>
  <c r="F1550" i="857"/>
  <c r="AM41" i="106"/>
  <c r="F216" i="857"/>
  <c r="D50" i="528"/>
  <c r="D51" i="99" s="1"/>
  <c r="E61" i="41"/>
  <c r="G61" i="41" s="1"/>
  <c r="F1531" i="857"/>
  <c r="AM22" i="106"/>
  <c r="E17" i="227"/>
  <c r="F17" i="227" s="1"/>
  <c r="AH10" i="106"/>
  <c r="F934" i="857"/>
  <c r="AG10" i="106"/>
  <c r="AI10" i="106"/>
  <c r="AS4" i="106"/>
  <c r="D104" i="843"/>
  <c r="D104" i="852"/>
  <c r="D104" i="848"/>
  <c r="FZ10" i="227"/>
  <c r="D104" i="850"/>
  <c r="D103" i="846"/>
  <c r="FW10" i="227"/>
  <c r="FT10" i="227"/>
  <c r="D105" i="852"/>
  <c r="FQ10" i="227"/>
  <c r="GC10" i="227"/>
  <c r="D103" i="848"/>
  <c r="C9" i="227"/>
  <c r="C54" i="227" s="1"/>
  <c r="C99" i="227" s="1"/>
  <c r="D104" i="854"/>
  <c r="D103" i="852"/>
  <c r="F836" i="857"/>
  <c r="D105" i="848"/>
  <c r="D105" i="850"/>
  <c r="D104" i="846"/>
  <c r="D103" i="843"/>
  <c r="D103" i="850"/>
  <c r="D105" i="846"/>
  <c r="D103" i="854"/>
  <c r="D105" i="854"/>
  <c r="D103" i="734"/>
  <c r="B72" i="794"/>
  <c r="D105" i="843"/>
  <c r="B8" i="354"/>
  <c r="BH8" i="354" s="1"/>
  <c r="CL16" i="528"/>
  <c r="F162" i="857"/>
  <c r="D44" i="687"/>
  <c r="AS44" i="106"/>
  <c r="AM34" i="106"/>
  <c r="F1543" i="857"/>
  <c r="F225" i="857"/>
  <c r="F65" i="41"/>
  <c r="D52" i="528"/>
  <c r="Q52" i="528" s="1"/>
  <c r="R52" i="528" s="1"/>
  <c r="S52" i="528" s="1"/>
  <c r="J116" i="99"/>
  <c r="AG36" i="106"/>
  <c r="E43" i="227"/>
  <c r="F43" i="227" s="1"/>
  <c r="AI36" i="106"/>
  <c r="F960" i="857"/>
  <c r="AH36" i="106"/>
  <c r="I115" i="687"/>
  <c r="Y22" i="87"/>
  <c r="K13" i="87"/>
  <c r="K13" i="528" s="1"/>
  <c r="F82" i="857"/>
  <c r="AH16" i="106"/>
  <c r="AG16" i="106"/>
  <c r="AI16" i="106"/>
  <c r="F940" i="857"/>
  <c r="E23" i="227"/>
  <c r="F23" i="227" s="1"/>
  <c r="L78" i="778"/>
  <c r="F3375" i="857"/>
  <c r="E78" i="778"/>
  <c r="F3395" i="857" s="1"/>
  <c r="F867" i="857"/>
  <c r="C40" i="227"/>
  <c r="C85" i="227" s="1"/>
  <c r="C130" i="227" s="1"/>
  <c r="B103" i="794"/>
  <c r="B39" i="354"/>
  <c r="F3559" i="857"/>
  <c r="F74" i="857"/>
  <c r="M10" i="87"/>
  <c r="Y10" i="87" s="1"/>
  <c r="F1088" i="857"/>
  <c r="F1219" i="857"/>
  <c r="F1187" i="857"/>
  <c r="AM17" i="106"/>
  <c r="F1526" i="857"/>
  <c r="F62" i="41"/>
  <c r="F227" i="857"/>
  <c r="D54" i="528"/>
  <c r="F1201" i="857"/>
  <c r="F900" i="857"/>
  <c r="D28" i="227"/>
  <c r="D73" i="227" s="1"/>
  <c r="D118" i="227" s="1"/>
  <c r="F1257" i="857"/>
  <c r="P112" i="687"/>
  <c r="E126" i="227"/>
  <c r="F126" i="227" s="1"/>
  <c r="F1133" i="857"/>
  <c r="D19" i="851"/>
  <c r="B83" i="794"/>
  <c r="B19" i="354"/>
  <c r="BH19" i="354" s="1"/>
  <c r="F847" i="857"/>
  <c r="C20" i="227"/>
  <c r="C65" i="227" s="1"/>
  <c r="C110" i="227" s="1"/>
  <c r="D103" i="849"/>
  <c r="D104" i="849"/>
  <c r="D105" i="849"/>
  <c r="CT54" i="528"/>
  <c r="CU54" i="528" s="1"/>
  <c r="F50" i="41"/>
  <c r="D50" i="41" s="1"/>
  <c r="D119" i="41" s="1"/>
  <c r="AN54" i="528"/>
  <c r="F137" i="857" s="1"/>
  <c r="CM54" i="528"/>
  <c r="CN54" i="528" s="1"/>
  <c r="K54" i="528"/>
  <c r="CF54" i="528"/>
  <c r="F192" i="857"/>
  <c r="AG54" i="528"/>
  <c r="AH54" i="528" s="1"/>
  <c r="AO54" i="528" s="1"/>
  <c r="F1001" i="857"/>
  <c r="F1216" i="857"/>
  <c r="F1211" i="857"/>
  <c r="AI26" i="106"/>
  <c r="F950" i="857"/>
  <c r="AG26" i="106"/>
  <c r="AH26" i="106"/>
  <c r="E33" i="227"/>
  <c r="F33" i="227" s="1"/>
  <c r="F978" i="857"/>
  <c r="B36" i="354"/>
  <c r="B100" i="794"/>
  <c r="C37" i="227"/>
  <c r="C82" i="227" s="1"/>
  <c r="C127" i="227" s="1"/>
  <c r="F864" i="857"/>
  <c r="E111" i="99"/>
  <c r="F1214" i="857"/>
  <c r="AS66" i="106"/>
  <c r="AS21" i="106"/>
  <c r="ET17" i="227"/>
  <c r="EU17" i="227" s="1"/>
  <c r="EV17" i="227" s="1"/>
  <c r="ET23" i="227"/>
  <c r="EU23" i="227" s="1"/>
  <c r="EV23" i="227" s="1"/>
  <c r="ET13" i="227"/>
  <c r="EU13" i="227" s="1"/>
  <c r="EV13" i="227" s="1"/>
  <c r="ET66" i="227"/>
  <c r="EU66" i="227" s="1"/>
  <c r="EV66" i="227" s="1"/>
  <c r="ET55" i="227"/>
  <c r="EU55" i="227" s="1"/>
  <c r="EV55" i="227" s="1"/>
  <c r="ET36" i="227"/>
  <c r="EU36" i="227" s="1"/>
  <c r="EV36" i="227" s="1"/>
  <c r="ET68" i="227"/>
  <c r="EU68" i="227" s="1"/>
  <c r="EV68" i="227" s="1"/>
  <c r="ET63" i="227"/>
  <c r="EU63" i="227" s="1"/>
  <c r="EV63" i="227" s="1"/>
  <c r="ET50" i="227"/>
  <c r="EU50" i="227" s="1"/>
  <c r="EV50" i="227" s="1"/>
  <c r="ET22" i="227"/>
  <c r="EU22" i="227" s="1"/>
  <c r="EV22" i="227" s="1"/>
  <c r="ET69" i="227"/>
  <c r="EU69" i="227" s="1"/>
  <c r="EV69" i="227" s="1"/>
  <c r="ET62" i="227"/>
  <c r="EU62" i="227" s="1"/>
  <c r="EV62" i="227" s="1"/>
  <c r="ET30" i="227"/>
  <c r="EU30" i="227" s="1"/>
  <c r="EV30" i="227" s="1"/>
  <c r="ET10" i="227"/>
  <c r="EU10" i="227" s="1"/>
  <c r="EV10" i="227" s="1"/>
  <c r="ET32" i="227"/>
  <c r="EU32" i="227" s="1"/>
  <c r="EV32" i="227" s="1"/>
  <c r="ET28" i="227"/>
  <c r="EU28" i="227" s="1"/>
  <c r="EV28" i="227" s="1"/>
  <c r="ET33" i="227"/>
  <c r="EU33" i="227" s="1"/>
  <c r="EV33" i="227" s="1"/>
  <c r="ET11" i="227"/>
  <c r="EU11" i="227" s="1"/>
  <c r="EV11" i="227" s="1"/>
  <c r="ET40" i="227"/>
  <c r="EU40" i="227" s="1"/>
  <c r="EV40" i="227" s="1"/>
  <c r="ET54" i="227"/>
  <c r="EU54" i="227" s="1"/>
  <c r="EV54" i="227" s="1"/>
  <c r="ET26" i="227"/>
  <c r="EU26" i="227" s="1"/>
  <c r="EV26" i="227" s="1"/>
  <c r="ET71" i="227"/>
  <c r="EU71" i="227" s="1"/>
  <c r="EV71" i="227" s="1"/>
  <c r="ET19" i="227"/>
  <c r="EU19" i="227" s="1"/>
  <c r="EV19" i="227" s="1"/>
  <c r="ET72" i="227"/>
  <c r="EU72" i="227" s="1"/>
  <c r="EV72" i="227" s="1"/>
  <c r="ET35" i="227"/>
  <c r="EU35" i="227" s="1"/>
  <c r="EV35" i="227" s="1"/>
  <c r="ET59" i="227"/>
  <c r="EU59" i="227" s="1"/>
  <c r="EV59" i="227" s="1"/>
  <c r="ET49" i="227"/>
  <c r="EU49" i="227" s="1"/>
  <c r="EV49" i="227" s="1"/>
  <c r="ET43" i="227"/>
  <c r="EU43" i="227" s="1"/>
  <c r="EV43" i="227" s="1"/>
  <c r="ET18" i="227"/>
  <c r="EU18" i="227" s="1"/>
  <c r="EV18" i="227" s="1"/>
  <c r="ET31" i="227"/>
  <c r="EU31" i="227" s="1"/>
  <c r="EV31" i="227" s="1"/>
  <c r="ET24" i="227"/>
  <c r="EU24" i="227" s="1"/>
  <c r="EV24" i="227" s="1"/>
  <c r="ET21" i="227"/>
  <c r="EU21" i="227" s="1"/>
  <c r="EV21" i="227" s="1"/>
  <c r="ET14" i="227"/>
  <c r="EU14" i="227" s="1"/>
  <c r="EV14" i="227" s="1"/>
  <c r="ET65" i="227"/>
  <c r="EU65" i="227" s="1"/>
  <c r="EV65" i="227" s="1"/>
  <c r="ET61" i="227"/>
  <c r="EU61" i="227" s="1"/>
  <c r="EV61" i="227" s="1"/>
  <c r="ET64" i="227"/>
  <c r="EU64" i="227" s="1"/>
  <c r="EV64" i="227" s="1"/>
  <c r="ET70" i="227"/>
  <c r="EU70" i="227" s="1"/>
  <c r="EV70" i="227" s="1"/>
  <c r="ET15" i="227"/>
  <c r="EU15" i="227" s="1"/>
  <c r="EV15" i="227" s="1"/>
  <c r="ET41" i="227"/>
  <c r="EU41" i="227" s="1"/>
  <c r="EV41" i="227" s="1"/>
  <c r="ET57" i="227"/>
  <c r="EU57" i="227" s="1"/>
  <c r="EV57" i="227" s="1"/>
  <c r="ET38" i="227"/>
  <c r="EU38" i="227" s="1"/>
  <c r="EV38" i="227" s="1"/>
  <c r="ET56" i="227"/>
  <c r="EU56" i="227" s="1"/>
  <c r="EV56" i="227" s="1"/>
  <c r="ET58" i="227"/>
  <c r="EU58" i="227" s="1"/>
  <c r="EV58" i="227" s="1"/>
  <c r="ET20" i="227"/>
  <c r="EU20" i="227" s="1"/>
  <c r="EV20" i="227" s="1"/>
  <c r="ET29" i="227"/>
  <c r="EU29" i="227" s="1"/>
  <c r="EV29" i="227" s="1"/>
  <c r="ET52" i="227"/>
  <c r="EU52" i="227" s="1"/>
  <c r="EV52" i="227" s="1"/>
  <c r="ET47" i="227"/>
  <c r="EU47" i="227" s="1"/>
  <c r="EV47" i="227" s="1"/>
  <c r="ET48" i="227"/>
  <c r="EU48" i="227" s="1"/>
  <c r="EV48" i="227" s="1"/>
  <c r="ET16" i="227"/>
  <c r="EU16" i="227" s="1"/>
  <c r="EV16" i="227" s="1"/>
  <c r="ET27" i="227"/>
  <c r="EU27" i="227" s="1"/>
  <c r="EV27" i="227" s="1"/>
  <c r="ET12" i="227"/>
  <c r="EU12" i="227" s="1"/>
  <c r="EV12" i="227" s="1"/>
  <c r="ET44" i="227"/>
  <c r="EU44" i="227" s="1"/>
  <c r="EV44" i="227" s="1"/>
  <c r="ET51" i="227"/>
  <c r="EU51" i="227" s="1"/>
  <c r="EV51" i="227" s="1"/>
  <c r="ET34" i="227"/>
  <c r="EU34" i="227" s="1"/>
  <c r="EV34" i="227" s="1"/>
  <c r="ET60" i="227"/>
  <c r="EU60" i="227" s="1"/>
  <c r="EV60" i="227" s="1"/>
  <c r="ET46" i="227"/>
  <c r="EU46" i="227" s="1"/>
  <c r="EV46" i="227" s="1"/>
  <c r="ET67" i="227"/>
  <c r="EU67" i="227" s="1"/>
  <c r="EV67" i="227" s="1"/>
  <c r="ET25" i="227"/>
  <c r="EU25" i="227" s="1"/>
  <c r="EV25" i="227" s="1"/>
  <c r="ET42" i="227"/>
  <c r="EU42" i="227" s="1"/>
  <c r="EV42" i="227" s="1"/>
  <c r="ET53" i="227"/>
  <c r="EU53" i="227" s="1"/>
  <c r="EV53" i="227" s="1"/>
  <c r="ET39" i="227"/>
  <c r="EU39" i="227" s="1"/>
  <c r="EV39" i="227" s="1"/>
  <c r="ET37" i="227"/>
  <c r="EU37" i="227" s="1"/>
  <c r="EV37" i="227" s="1"/>
  <c r="AS23" i="106"/>
  <c r="F1230" i="857"/>
  <c r="F3382" i="857"/>
  <c r="E85" i="778"/>
  <c r="F3402" i="857" s="1"/>
  <c r="L85" i="778"/>
  <c r="F1249" i="857"/>
  <c r="O21" i="689"/>
  <c r="F862" i="857"/>
  <c r="B34" i="354"/>
  <c r="C35" i="227"/>
  <c r="C80" i="227" s="1"/>
  <c r="C125" i="227" s="1"/>
  <c r="B98" i="794"/>
  <c r="D58" i="688"/>
  <c r="F948" i="857"/>
  <c r="AG24" i="106"/>
  <c r="E31" i="227"/>
  <c r="F31" i="227" s="1"/>
  <c r="AH24" i="106"/>
  <c r="AI24" i="106"/>
  <c r="F1103" i="857"/>
  <c r="H122" i="687"/>
  <c r="P108" i="687"/>
  <c r="P29" i="687"/>
  <c r="P107" i="687" s="1"/>
  <c r="F884" i="857"/>
  <c r="D12" i="227"/>
  <c r="D57" i="227" s="1"/>
  <c r="D102" i="227" s="1"/>
  <c r="AH44" i="106"/>
  <c r="AI44" i="106"/>
  <c r="F968" i="857"/>
  <c r="E51" i="227"/>
  <c r="F51" i="227" s="1"/>
  <c r="AG44" i="106"/>
  <c r="O23" i="689"/>
  <c r="E100" i="227"/>
  <c r="F100" i="227" s="1"/>
  <c r="F1107" i="857"/>
  <c r="E93" i="227"/>
  <c r="F93" i="227" s="1"/>
  <c r="F1055" i="857"/>
  <c r="L85" i="775"/>
  <c r="F2476" i="857"/>
  <c r="E85" i="775"/>
  <c r="F2496" i="857" s="1"/>
  <c r="E29" i="99"/>
  <c r="E107" i="99" s="1"/>
  <c r="E108" i="99"/>
  <c r="F1228" i="857"/>
  <c r="O19" i="689"/>
  <c r="F846" i="857"/>
  <c r="B82" i="794"/>
  <c r="B18" i="354"/>
  <c r="BH18" i="354" s="1"/>
  <c r="C19" i="227"/>
  <c r="C64" i="227" s="1"/>
  <c r="C109" i="227" s="1"/>
  <c r="G112" i="99"/>
  <c r="B33" i="354"/>
  <c r="C34" i="227"/>
  <c r="C79" i="227" s="1"/>
  <c r="C124" i="227" s="1"/>
  <c r="F861" i="857"/>
  <c r="B97" i="794"/>
  <c r="F893" i="857"/>
  <c r="D21" i="227"/>
  <c r="D66" i="227" s="1"/>
  <c r="D111" i="227" s="1"/>
  <c r="H111" i="687"/>
  <c r="DC67" i="528"/>
  <c r="DC57" i="528" s="1"/>
  <c r="J67" i="528"/>
  <c r="CO66" i="528"/>
  <c r="DC68" i="528"/>
  <c r="DC58" i="528" s="1"/>
  <c r="I67" i="528"/>
  <c r="AF67" i="528" s="1"/>
  <c r="DC66" i="528"/>
  <c r="DC56" i="528" s="1"/>
  <c r="I66" i="528"/>
  <c r="I56" i="528" s="1"/>
  <c r="J66" i="528"/>
  <c r="J68" i="528"/>
  <c r="J58" i="528" s="1"/>
  <c r="DB66" i="528"/>
  <c r="DB67" i="528"/>
  <c r="DB57" i="528" s="1"/>
  <c r="I68" i="528"/>
  <c r="CL68" i="528" s="1"/>
  <c r="DB68" i="528"/>
  <c r="F1097" i="857"/>
  <c r="F1042" i="857"/>
  <c r="E80" i="227"/>
  <c r="F80" i="227" s="1"/>
  <c r="O9" i="689"/>
  <c r="F1080" i="857"/>
  <c r="F1178" i="857"/>
  <c r="L84" i="774"/>
  <c r="F2173" i="857"/>
  <c r="F1075" i="857"/>
  <c r="B32" i="354"/>
  <c r="F860" i="857"/>
  <c r="B96" i="794"/>
  <c r="C33" i="227"/>
  <c r="C78" i="227" s="1"/>
  <c r="C123" i="227" s="1"/>
  <c r="E84" i="777"/>
  <c r="F3099" i="857" s="1"/>
  <c r="L84" i="777"/>
  <c r="F3079" i="857"/>
  <c r="AS45" i="106"/>
  <c r="F1048" i="857"/>
  <c r="E86" i="227"/>
  <c r="F86" i="227" s="1"/>
  <c r="AS70" i="106"/>
  <c r="F986" i="857"/>
  <c r="F849" i="857"/>
  <c r="B85" i="794"/>
  <c r="C22" i="227"/>
  <c r="C67" i="227" s="1"/>
  <c r="C112" i="227" s="1"/>
  <c r="B21" i="354"/>
  <c r="BH21" i="354" s="1"/>
  <c r="E76" i="227"/>
  <c r="F76" i="227" s="1"/>
  <c r="F1038" i="857"/>
  <c r="E82" i="778"/>
  <c r="F3399" i="857" s="1"/>
  <c r="L82" i="778"/>
  <c r="F3379" i="857"/>
  <c r="N63" i="687"/>
  <c r="E81" i="227"/>
  <c r="F81" i="227" s="1"/>
  <c r="F1043" i="857"/>
  <c r="F1274" i="857"/>
  <c r="AS56" i="106"/>
  <c r="F111" i="99"/>
  <c r="F898" i="857"/>
  <c r="D26" i="227"/>
  <c r="D71" i="227" s="1"/>
  <c r="D116" i="227" s="1"/>
  <c r="AM28" i="106"/>
  <c r="F1537" i="857"/>
  <c r="D34" i="227"/>
  <c r="D79" i="227" s="1"/>
  <c r="D124" i="227" s="1"/>
  <c r="F906" i="857"/>
  <c r="F2470" i="857"/>
  <c r="L79" i="775"/>
  <c r="E79" i="775"/>
  <c r="F2490" i="857" s="1"/>
  <c r="CO16" i="528"/>
  <c r="CO34" i="528" s="1"/>
  <c r="F177" i="857"/>
  <c r="AI34" i="528"/>
  <c r="F1172" i="857"/>
  <c r="AL61" i="227"/>
  <c r="AM61" i="227" s="1"/>
  <c r="AN61" i="227" s="1"/>
  <c r="AL12" i="227"/>
  <c r="AM12" i="227" s="1"/>
  <c r="AN12" i="227" s="1"/>
  <c r="AL47" i="227"/>
  <c r="AM47" i="227" s="1"/>
  <c r="AN47" i="227" s="1"/>
  <c r="AL65" i="227"/>
  <c r="AM65" i="227" s="1"/>
  <c r="AN65" i="227" s="1"/>
  <c r="AL36" i="227"/>
  <c r="AM36" i="227" s="1"/>
  <c r="AN36" i="227" s="1"/>
  <c r="AL54" i="227"/>
  <c r="AM54" i="227" s="1"/>
  <c r="AN54" i="227" s="1"/>
  <c r="AL57" i="227"/>
  <c r="AM57" i="227" s="1"/>
  <c r="AN57" i="227" s="1"/>
  <c r="AL67" i="227"/>
  <c r="AM67" i="227" s="1"/>
  <c r="AN67" i="227" s="1"/>
  <c r="AL60" i="227"/>
  <c r="AM60" i="227" s="1"/>
  <c r="AN60" i="227" s="1"/>
  <c r="AL17" i="227"/>
  <c r="AM17" i="227" s="1"/>
  <c r="AN17" i="227" s="1"/>
  <c r="AL25" i="227"/>
  <c r="AM25" i="227" s="1"/>
  <c r="AN25" i="227" s="1"/>
  <c r="AL56" i="227"/>
  <c r="AM56" i="227" s="1"/>
  <c r="AN56" i="227" s="1"/>
  <c r="AL27" i="227"/>
  <c r="AM27" i="227" s="1"/>
  <c r="AN27" i="227" s="1"/>
  <c r="AL70" i="227"/>
  <c r="AM70" i="227" s="1"/>
  <c r="AN70" i="227" s="1"/>
  <c r="AL51" i="227"/>
  <c r="AM51" i="227" s="1"/>
  <c r="AN51" i="227" s="1"/>
  <c r="AL58" i="227"/>
  <c r="AM58" i="227" s="1"/>
  <c r="AN58" i="227" s="1"/>
  <c r="AL11" i="227"/>
  <c r="AM11" i="227" s="1"/>
  <c r="AN11" i="227" s="1"/>
  <c r="AL24" i="227"/>
  <c r="AM24" i="227" s="1"/>
  <c r="AN24" i="227" s="1"/>
  <c r="AL55" i="227"/>
  <c r="AM55" i="227" s="1"/>
  <c r="AN55" i="227" s="1"/>
  <c r="AL34" i="227"/>
  <c r="AM34" i="227" s="1"/>
  <c r="AN34" i="227" s="1"/>
  <c r="AL63" i="227"/>
  <c r="AM63" i="227" s="1"/>
  <c r="AN63" i="227" s="1"/>
  <c r="AL21" i="227"/>
  <c r="AM21" i="227" s="1"/>
  <c r="AN21" i="227" s="1"/>
  <c r="AL26" i="227"/>
  <c r="AM26" i="227" s="1"/>
  <c r="AN26" i="227" s="1"/>
  <c r="AL46" i="227"/>
  <c r="AM46" i="227" s="1"/>
  <c r="AN46" i="227" s="1"/>
  <c r="AL18" i="227"/>
  <c r="AM18" i="227" s="1"/>
  <c r="AN18" i="227" s="1"/>
  <c r="AL23" i="227"/>
  <c r="AM23" i="227" s="1"/>
  <c r="AN23" i="227" s="1"/>
  <c r="AL35" i="227"/>
  <c r="AM35" i="227" s="1"/>
  <c r="AN35" i="227" s="1"/>
  <c r="AL71" i="227"/>
  <c r="AM71" i="227" s="1"/>
  <c r="AN71" i="227" s="1"/>
  <c r="AL10" i="227"/>
  <c r="AM10" i="227" s="1"/>
  <c r="AN10" i="227" s="1"/>
  <c r="AL62" i="227"/>
  <c r="AM62" i="227" s="1"/>
  <c r="AN62" i="227" s="1"/>
  <c r="AL30" i="227"/>
  <c r="AM30" i="227" s="1"/>
  <c r="AN30" i="227" s="1"/>
  <c r="AL13" i="227"/>
  <c r="AM13" i="227" s="1"/>
  <c r="AN13" i="227" s="1"/>
  <c r="AL19" i="227"/>
  <c r="AM19" i="227" s="1"/>
  <c r="AN19" i="227" s="1"/>
  <c r="AL38" i="227"/>
  <c r="AM38" i="227" s="1"/>
  <c r="AN38" i="227" s="1"/>
  <c r="AL37" i="227"/>
  <c r="AM37" i="227" s="1"/>
  <c r="AN37" i="227" s="1"/>
  <c r="AL52" i="227"/>
  <c r="AM52" i="227" s="1"/>
  <c r="AN52" i="227" s="1"/>
  <c r="AL40" i="227"/>
  <c r="AM40" i="227" s="1"/>
  <c r="AN40" i="227" s="1"/>
  <c r="AL59" i="227"/>
  <c r="AM59" i="227" s="1"/>
  <c r="AN59" i="227" s="1"/>
  <c r="AL39" i="227"/>
  <c r="AM39" i="227" s="1"/>
  <c r="AN39" i="227" s="1"/>
  <c r="AL44" i="227"/>
  <c r="AM44" i="227" s="1"/>
  <c r="AN44" i="227" s="1"/>
  <c r="AL15" i="227"/>
  <c r="AM15" i="227" s="1"/>
  <c r="AN15" i="227" s="1"/>
  <c r="AL48" i="227"/>
  <c r="AM48" i="227" s="1"/>
  <c r="AN48" i="227" s="1"/>
  <c r="AL42" i="227"/>
  <c r="AM42" i="227" s="1"/>
  <c r="AN42" i="227" s="1"/>
  <c r="AL33" i="227"/>
  <c r="AM33" i="227" s="1"/>
  <c r="AN33" i="227" s="1"/>
  <c r="AL31" i="227"/>
  <c r="AM31" i="227" s="1"/>
  <c r="AN31" i="227" s="1"/>
  <c r="AL16" i="227"/>
  <c r="AM16" i="227" s="1"/>
  <c r="AN16" i="227" s="1"/>
  <c r="AL50" i="227"/>
  <c r="AM50" i="227" s="1"/>
  <c r="AN50" i="227" s="1"/>
  <c r="AL64" i="227"/>
  <c r="AM64" i="227" s="1"/>
  <c r="AN64" i="227" s="1"/>
  <c r="AL69" i="227"/>
  <c r="AM69" i="227" s="1"/>
  <c r="AN69" i="227" s="1"/>
  <c r="AL32" i="227"/>
  <c r="AM32" i="227" s="1"/>
  <c r="AN32" i="227" s="1"/>
  <c r="AL49" i="227"/>
  <c r="AM49" i="227" s="1"/>
  <c r="AN49" i="227" s="1"/>
  <c r="AL14" i="227"/>
  <c r="AM14" i="227" s="1"/>
  <c r="AN14" i="227" s="1"/>
  <c r="AL53" i="227"/>
  <c r="AM53" i="227" s="1"/>
  <c r="AN53" i="227" s="1"/>
  <c r="AL28" i="227"/>
  <c r="AM28" i="227" s="1"/>
  <c r="AN28" i="227" s="1"/>
  <c r="AL43" i="227"/>
  <c r="AM43" i="227" s="1"/>
  <c r="AN43" i="227" s="1"/>
  <c r="AL29" i="227"/>
  <c r="AM29" i="227" s="1"/>
  <c r="AN29" i="227" s="1"/>
  <c r="AL20" i="227"/>
  <c r="AM20" i="227" s="1"/>
  <c r="AN20" i="227" s="1"/>
  <c r="AL66" i="227"/>
  <c r="AM66" i="227" s="1"/>
  <c r="AN66" i="227" s="1"/>
  <c r="AL22" i="227"/>
  <c r="AM22" i="227" s="1"/>
  <c r="AN22" i="227" s="1"/>
  <c r="AO72" i="227" s="1" a="1"/>
  <c r="AO72" i="227" s="1"/>
  <c r="AL68" i="227"/>
  <c r="AM68" i="227" s="1"/>
  <c r="AN68" i="227" s="1"/>
  <c r="AL72" i="227"/>
  <c r="AM72" i="227" s="1"/>
  <c r="AN72" i="227" s="1"/>
  <c r="AL41" i="227"/>
  <c r="AM41" i="227" s="1"/>
  <c r="AN41" i="227" s="1"/>
  <c r="AS40" i="106"/>
  <c r="AM24" i="106"/>
  <c r="F1533" i="857"/>
  <c r="F1101" i="857"/>
  <c r="F985" i="857"/>
  <c r="F996" i="857"/>
  <c r="O2" i="689"/>
  <c r="F1004" i="857"/>
  <c r="E91" i="227"/>
  <c r="F91" i="227" s="1"/>
  <c r="F1053" i="857"/>
  <c r="D52" i="688" a="1"/>
  <c r="D52" i="688" s="1"/>
  <c r="D36" i="528"/>
  <c r="F1114" i="857"/>
  <c r="E107" i="227"/>
  <c r="F107" i="227" s="1"/>
  <c r="F2053" i="857"/>
  <c r="F1519" i="857"/>
  <c r="AM10" i="106"/>
  <c r="F1239" i="857"/>
  <c r="F1205" i="857"/>
  <c r="L79" i="778"/>
  <c r="E79" i="778"/>
  <c r="F3396" i="857" s="1"/>
  <c r="F3376" i="857"/>
  <c r="F1158" i="857"/>
  <c r="F987" i="857"/>
  <c r="O24" i="689"/>
  <c r="E88" i="227"/>
  <c r="F88" i="227" s="1"/>
  <c r="F1050" i="857"/>
  <c r="F211" i="857"/>
  <c r="F73" i="857"/>
  <c r="M9" i="87"/>
  <c r="F1530" i="857"/>
  <c r="AM21" i="106"/>
  <c r="AS26" i="106"/>
  <c r="AS11" i="106"/>
  <c r="F1538" i="857"/>
  <c r="AM29" i="106"/>
  <c r="F1268" i="857"/>
  <c r="O13" i="689"/>
  <c r="E114" i="227"/>
  <c r="F114" i="227" s="1"/>
  <c r="F1121" i="857"/>
  <c r="F1085" i="857"/>
  <c r="O12" i="689"/>
  <c r="O17" i="689"/>
  <c r="B108" i="794"/>
  <c r="F872" i="857"/>
  <c r="C46" i="227"/>
  <c r="C90" i="227" s="1"/>
  <c r="C135" i="227" s="1"/>
  <c r="B44" i="354"/>
  <c r="AS34" i="106"/>
  <c r="B91" i="794"/>
  <c r="F855" i="857"/>
  <c r="C28" i="227"/>
  <c r="C73" i="227" s="1"/>
  <c r="C118" i="227" s="1"/>
  <c r="B27" i="354"/>
  <c r="BH27" i="354" s="1"/>
  <c r="G115" i="99"/>
  <c r="F1096" i="857"/>
  <c r="F201" i="857"/>
  <c r="C33" i="528"/>
  <c r="E108" i="687"/>
  <c r="E29" i="687"/>
  <c r="E107" i="687" s="1"/>
  <c r="F1132" i="857"/>
  <c r="E125" i="227"/>
  <c r="F125" i="227" s="1"/>
  <c r="F909" i="857"/>
  <c r="D37" i="227"/>
  <c r="D82" i="227" s="1"/>
  <c r="D127" i="227" s="1"/>
  <c r="O42" i="99"/>
  <c r="O120" i="99" s="1"/>
  <c r="O115" i="99"/>
  <c r="F1279" i="857"/>
  <c r="F1260" i="857"/>
  <c r="AS42" i="106"/>
  <c r="AG38" i="106"/>
  <c r="AH38" i="106"/>
  <c r="E46" i="227"/>
  <c r="F46" i="227" s="1"/>
  <c r="F962" i="857"/>
  <c r="AI38" i="106"/>
  <c r="AH6" i="106"/>
  <c r="F930" i="857"/>
  <c r="AI6" i="106"/>
  <c r="E13" i="227"/>
  <c r="F13" i="227" s="1"/>
  <c r="AG6" i="106"/>
  <c r="X22" i="87"/>
  <c r="F77" i="857"/>
  <c r="J22" i="87"/>
  <c r="J13" i="87"/>
  <c r="J13" i="528" s="1"/>
  <c r="J31" i="528" s="1"/>
  <c r="F1236" i="857"/>
  <c r="E78" i="775"/>
  <c r="F2489" i="857" s="1"/>
  <c r="F2469" i="857"/>
  <c r="L78" i="775"/>
  <c r="F1060" i="857"/>
  <c r="E98" i="227"/>
  <c r="F98" i="227" s="1"/>
  <c r="D13" i="227"/>
  <c r="D58" i="227" s="1"/>
  <c r="D103" i="227" s="1"/>
  <c r="F885" i="857"/>
  <c r="F1011" i="857"/>
  <c r="L82" i="776"/>
  <c r="E82" i="776"/>
  <c r="F2795" i="857" s="1"/>
  <c r="F2775" i="857"/>
  <c r="F1076" i="857"/>
  <c r="F1061" i="857"/>
  <c r="EL46" i="227"/>
  <c r="EM46" i="227" s="1"/>
  <c r="EN46" i="227" s="1"/>
  <c r="EL28" i="227"/>
  <c r="EM28" i="227" s="1"/>
  <c r="EN28" i="227" s="1"/>
  <c r="EL62" i="227"/>
  <c r="EM62" i="227" s="1"/>
  <c r="EN62" i="227" s="1"/>
  <c r="EL18" i="227"/>
  <c r="EM18" i="227" s="1"/>
  <c r="EN18" i="227" s="1"/>
  <c r="EL37" i="227"/>
  <c r="EM37" i="227" s="1"/>
  <c r="EN37" i="227" s="1"/>
  <c r="EL31" i="227"/>
  <c r="EM31" i="227" s="1"/>
  <c r="EN31" i="227" s="1"/>
  <c r="EL59" i="227"/>
  <c r="EM59" i="227" s="1"/>
  <c r="EN59" i="227" s="1"/>
  <c r="EL34" i="227"/>
  <c r="EM34" i="227" s="1"/>
  <c r="EN34" i="227" s="1"/>
  <c r="EL58" i="227"/>
  <c r="EM58" i="227" s="1"/>
  <c r="EN58" i="227" s="1"/>
  <c r="EL27" i="227"/>
  <c r="EM27" i="227" s="1"/>
  <c r="EN27" i="227" s="1"/>
  <c r="EL52" i="227"/>
  <c r="EM52" i="227" s="1"/>
  <c r="EN52" i="227" s="1"/>
  <c r="EL71" i="227"/>
  <c r="EM71" i="227" s="1"/>
  <c r="EN71" i="227" s="1"/>
  <c r="EL42" i="227"/>
  <c r="EM42" i="227" s="1"/>
  <c r="EN42" i="227" s="1"/>
  <c r="EL50" i="227"/>
  <c r="EM50" i="227" s="1"/>
  <c r="EN50" i="227" s="1"/>
  <c r="EL16" i="227"/>
  <c r="EM16" i="227" s="1"/>
  <c r="EN16" i="227" s="1"/>
  <c r="EL36" i="227"/>
  <c r="EM36" i="227" s="1"/>
  <c r="EN36" i="227" s="1"/>
  <c r="EL11" i="227"/>
  <c r="EM11" i="227" s="1"/>
  <c r="EN11" i="227" s="1"/>
  <c r="EL26" i="227"/>
  <c r="EM26" i="227" s="1"/>
  <c r="EN26" i="227" s="1"/>
  <c r="EL49" i="227"/>
  <c r="EM49" i="227" s="1"/>
  <c r="EN49" i="227" s="1"/>
  <c r="EL57" i="227"/>
  <c r="EM57" i="227" s="1"/>
  <c r="EN57" i="227" s="1"/>
  <c r="EL65" i="227"/>
  <c r="EM65" i="227" s="1"/>
  <c r="EN65" i="227" s="1"/>
  <c r="EL23" i="227"/>
  <c r="EM23" i="227" s="1"/>
  <c r="EN23" i="227" s="1"/>
  <c r="EL44" i="227"/>
  <c r="EM44" i="227" s="1"/>
  <c r="EN44" i="227" s="1"/>
  <c r="EL32" i="227"/>
  <c r="EM32" i="227" s="1"/>
  <c r="EN32" i="227" s="1"/>
  <c r="EL39" i="227"/>
  <c r="EM39" i="227" s="1"/>
  <c r="EN39" i="227" s="1"/>
  <c r="EL69" i="227"/>
  <c r="EM69" i="227" s="1"/>
  <c r="EN69" i="227" s="1"/>
  <c r="EL53" i="227"/>
  <c r="EM53" i="227" s="1"/>
  <c r="EN53" i="227" s="1"/>
  <c r="EL63" i="227"/>
  <c r="EM63" i="227" s="1"/>
  <c r="EN63" i="227" s="1"/>
  <c r="EL48" i="227"/>
  <c r="EM48" i="227" s="1"/>
  <c r="EN48" i="227" s="1"/>
  <c r="EL30" i="227"/>
  <c r="EM30" i="227" s="1"/>
  <c r="EN30" i="227" s="1"/>
  <c r="EL51" i="227"/>
  <c r="EM51" i="227" s="1"/>
  <c r="EN51" i="227" s="1"/>
  <c r="EL66" i="227"/>
  <c r="EM66" i="227" s="1"/>
  <c r="EN66" i="227" s="1"/>
  <c r="EL24" i="227"/>
  <c r="EM24" i="227" s="1"/>
  <c r="EN24" i="227" s="1"/>
  <c r="EL17" i="227"/>
  <c r="EM17" i="227" s="1"/>
  <c r="EN17" i="227" s="1"/>
  <c r="EL35" i="227"/>
  <c r="EM35" i="227" s="1"/>
  <c r="EN35" i="227" s="1"/>
  <c r="EL38" i="227"/>
  <c r="EM38" i="227" s="1"/>
  <c r="EN38" i="227" s="1"/>
  <c r="EL15" i="227"/>
  <c r="EM15" i="227" s="1"/>
  <c r="EN15" i="227" s="1"/>
  <c r="EL33" i="227"/>
  <c r="EM33" i="227" s="1"/>
  <c r="EN33" i="227" s="1"/>
  <c r="EL10" i="227"/>
  <c r="EM10" i="227" s="1"/>
  <c r="EN10" i="227" s="1"/>
  <c r="EL68" i="227"/>
  <c r="EM68" i="227" s="1"/>
  <c r="EN68" i="227" s="1"/>
  <c r="EL21" i="227"/>
  <c r="EM21" i="227" s="1"/>
  <c r="EN21" i="227" s="1"/>
  <c r="EL14" i="227"/>
  <c r="EM14" i="227" s="1"/>
  <c r="EN14" i="227" s="1"/>
  <c r="EL41" i="227"/>
  <c r="EM41" i="227" s="1"/>
  <c r="EN41" i="227" s="1"/>
  <c r="EL25" i="227"/>
  <c r="EM25" i="227" s="1"/>
  <c r="EN25" i="227" s="1"/>
  <c r="EL72" i="227"/>
  <c r="EM72" i="227" s="1"/>
  <c r="EN72" i="227" s="1"/>
  <c r="EL19" i="227"/>
  <c r="EM19" i="227" s="1"/>
  <c r="EN19" i="227" s="1"/>
  <c r="EL64" i="227"/>
  <c r="EM64" i="227" s="1"/>
  <c r="EN64" i="227" s="1"/>
  <c r="EL70" i="227"/>
  <c r="EM70" i="227" s="1"/>
  <c r="EN70" i="227" s="1"/>
  <c r="EL56" i="227"/>
  <c r="EM56" i="227" s="1"/>
  <c r="EN56" i="227" s="1"/>
  <c r="EL43" i="227"/>
  <c r="EM43" i="227" s="1"/>
  <c r="EN43" i="227" s="1"/>
  <c r="EL40" i="227"/>
  <c r="EM40" i="227" s="1"/>
  <c r="EN40" i="227" s="1"/>
  <c r="EL22" i="227"/>
  <c r="EM22" i="227" s="1"/>
  <c r="EN22" i="227" s="1"/>
  <c r="EL60" i="227"/>
  <c r="EM60" i="227" s="1"/>
  <c r="EN60" i="227" s="1"/>
  <c r="EL12" i="227"/>
  <c r="EM12" i="227" s="1"/>
  <c r="EN12" i="227" s="1"/>
  <c r="EL13" i="227"/>
  <c r="EM13" i="227" s="1"/>
  <c r="EN13" i="227" s="1"/>
  <c r="EL54" i="227"/>
  <c r="EM54" i="227" s="1"/>
  <c r="EN54" i="227" s="1"/>
  <c r="EL29" i="227"/>
  <c r="EM29" i="227" s="1"/>
  <c r="EN29" i="227" s="1"/>
  <c r="EL61" i="227"/>
  <c r="EM61" i="227" s="1"/>
  <c r="EN61" i="227" s="1"/>
  <c r="EL20" i="227"/>
  <c r="EM20" i="227" s="1"/>
  <c r="EN20" i="227" s="1"/>
  <c r="EL67" i="227"/>
  <c r="EM67" i="227" s="1"/>
  <c r="EN67" i="227" s="1"/>
  <c r="EL55" i="227"/>
  <c r="EM55" i="227" s="1"/>
  <c r="EN55" i="227" s="1"/>
  <c r="EL47" i="227"/>
  <c r="EM47" i="227" s="1"/>
  <c r="EN47" i="227" s="1"/>
  <c r="AM42" i="106"/>
  <c r="F1551" i="857"/>
  <c r="P108" i="99"/>
  <c r="P29" i="99"/>
  <c r="P107" i="99" s="1"/>
  <c r="F1008" i="857"/>
  <c r="D29" i="227"/>
  <c r="D74" i="227" s="1"/>
  <c r="D119" i="227" s="1"/>
  <c r="F901" i="857"/>
  <c r="DN48" i="227"/>
  <c r="DO48" i="227" s="1"/>
  <c r="DP48" i="227" s="1"/>
  <c r="DN33" i="227"/>
  <c r="DO33" i="227" s="1"/>
  <c r="DP33" i="227" s="1"/>
  <c r="DN57" i="227"/>
  <c r="DO57" i="227" s="1"/>
  <c r="DP57" i="227" s="1"/>
  <c r="DN38" i="227"/>
  <c r="DO38" i="227" s="1"/>
  <c r="DP38" i="227" s="1"/>
  <c r="DN27" i="227"/>
  <c r="DO27" i="227" s="1"/>
  <c r="DP27" i="227" s="1"/>
  <c r="DN44" i="227"/>
  <c r="DO44" i="227" s="1"/>
  <c r="DP44" i="227" s="1"/>
  <c r="DN66" i="227"/>
  <c r="DO66" i="227" s="1"/>
  <c r="DP66" i="227" s="1"/>
  <c r="DN51" i="227"/>
  <c r="DO51" i="227" s="1"/>
  <c r="DP51" i="227" s="1"/>
  <c r="DN43" i="227"/>
  <c r="DO43" i="227" s="1"/>
  <c r="DP43" i="227" s="1"/>
  <c r="DN41" i="227"/>
  <c r="DO41" i="227" s="1"/>
  <c r="DP41" i="227" s="1"/>
  <c r="DN12" i="227"/>
  <c r="DO12" i="227" s="1"/>
  <c r="DP12" i="227" s="1"/>
  <c r="DN72" i="227"/>
  <c r="DO72" i="227" s="1"/>
  <c r="DP72" i="227" s="1"/>
  <c r="DN40" i="227"/>
  <c r="DO40" i="227" s="1"/>
  <c r="DP40" i="227" s="1"/>
  <c r="DN32" i="227"/>
  <c r="DO32" i="227" s="1"/>
  <c r="DP32" i="227" s="1"/>
  <c r="DN18" i="227"/>
  <c r="DO18" i="227" s="1"/>
  <c r="DP18" i="227" s="1"/>
  <c r="DN53" i="227"/>
  <c r="DO53" i="227" s="1"/>
  <c r="DP53" i="227" s="1"/>
  <c r="DN21" i="227"/>
  <c r="DO21" i="227" s="1"/>
  <c r="DP21" i="227" s="1"/>
  <c r="DN26" i="227"/>
  <c r="DO26" i="227" s="1"/>
  <c r="DP26" i="227" s="1"/>
  <c r="DN39" i="227"/>
  <c r="DO39" i="227" s="1"/>
  <c r="DP39" i="227" s="1"/>
  <c r="DN29" i="227"/>
  <c r="DO29" i="227" s="1"/>
  <c r="DP29" i="227" s="1"/>
  <c r="DN54" i="227"/>
  <c r="DO54" i="227" s="1"/>
  <c r="DP54" i="227" s="1"/>
  <c r="DN35" i="227"/>
  <c r="DO35" i="227" s="1"/>
  <c r="DP35" i="227" s="1"/>
  <c r="DN49" i="227"/>
  <c r="DO49" i="227" s="1"/>
  <c r="DP49" i="227" s="1"/>
  <c r="DN58" i="227"/>
  <c r="DO58" i="227" s="1"/>
  <c r="DP58" i="227" s="1"/>
  <c r="DN46" i="227"/>
  <c r="DO46" i="227" s="1"/>
  <c r="DP46" i="227" s="1"/>
  <c r="DN61" i="227"/>
  <c r="DO61" i="227" s="1"/>
  <c r="DP61" i="227" s="1"/>
  <c r="DN14" i="227"/>
  <c r="DO14" i="227" s="1"/>
  <c r="DP14" i="227" s="1"/>
  <c r="DN16" i="227"/>
  <c r="DO16" i="227" s="1"/>
  <c r="DP16" i="227" s="1"/>
  <c r="DN47" i="227"/>
  <c r="DO47" i="227" s="1"/>
  <c r="DP47" i="227" s="1"/>
  <c r="DN20" i="227"/>
  <c r="DO20" i="227" s="1"/>
  <c r="DP20" i="227" s="1"/>
  <c r="DN19" i="227"/>
  <c r="DO19" i="227" s="1"/>
  <c r="DP19" i="227" s="1"/>
  <c r="DN37" i="227"/>
  <c r="DO37" i="227" s="1"/>
  <c r="DP37" i="227" s="1"/>
  <c r="DN67" i="227"/>
  <c r="DO67" i="227" s="1"/>
  <c r="DP67" i="227" s="1"/>
  <c r="DN64" i="227"/>
  <c r="DO64" i="227" s="1"/>
  <c r="DP64" i="227" s="1"/>
  <c r="DN23" i="227"/>
  <c r="DO23" i="227" s="1"/>
  <c r="DP23" i="227" s="1"/>
  <c r="DN65" i="227"/>
  <c r="DO65" i="227" s="1"/>
  <c r="DP65" i="227" s="1"/>
  <c r="DN59" i="227"/>
  <c r="DO59" i="227" s="1"/>
  <c r="DP59" i="227" s="1"/>
  <c r="DN24" i="227"/>
  <c r="DO24" i="227" s="1"/>
  <c r="DP24" i="227" s="1"/>
  <c r="DN22" i="227"/>
  <c r="DO22" i="227" s="1"/>
  <c r="DP22" i="227" s="1"/>
  <c r="DN50" i="227"/>
  <c r="DO50" i="227" s="1"/>
  <c r="DP50" i="227" s="1"/>
  <c r="DN60" i="227"/>
  <c r="DO60" i="227" s="1"/>
  <c r="DP60" i="227" s="1"/>
  <c r="DN17" i="227"/>
  <c r="DO17" i="227" s="1"/>
  <c r="DP17" i="227" s="1"/>
  <c r="DN42" i="227"/>
  <c r="DO42" i="227" s="1"/>
  <c r="DP42" i="227" s="1"/>
  <c r="DN31" i="227"/>
  <c r="DO31" i="227" s="1"/>
  <c r="DP31" i="227" s="1"/>
  <c r="DN30" i="227"/>
  <c r="DO30" i="227" s="1"/>
  <c r="DP30" i="227" s="1"/>
  <c r="DN28" i="227"/>
  <c r="DO28" i="227" s="1"/>
  <c r="DP28" i="227" s="1"/>
  <c r="DN36" i="227"/>
  <c r="DO36" i="227" s="1"/>
  <c r="DP36" i="227" s="1"/>
  <c r="DN11" i="227"/>
  <c r="DO11" i="227" s="1"/>
  <c r="DP11" i="227" s="1"/>
  <c r="DN34" i="227"/>
  <c r="DO34" i="227" s="1"/>
  <c r="DP34" i="227" s="1"/>
  <c r="DN55" i="227"/>
  <c r="DO55" i="227" s="1"/>
  <c r="DP55" i="227" s="1"/>
  <c r="DN56" i="227"/>
  <c r="DO56" i="227" s="1"/>
  <c r="DP56" i="227" s="1"/>
  <c r="DN13" i="227"/>
  <c r="DO13" i="227" s="1"/>
  <c r="DP13" i="227" s="1"/>
  <c r="DN62" i="227"/>
  <c r="DO62" i="227" s="1"/>
  <c r="DP62" i="227" s="1"/>
  <c r="DN15" i="227"/>
  <c r="DO15" i="227" s="1"/>
  <c r="DP15" i="227" s="1"/>
  <c r="DN25" i="227"/>
  <c r="DO25" i="227" s="1"/>
  <c r="DP25" i="227" s="1"/>
  <c r="DN69" i="227"/>
  <c r="DO69" i="227" s="1"/>
  <c r="DP69" i="227" s="1"/>
  <c r="DN63" i="227"/>
  <c r="DO63" i="227" s="1"/>
  <c r="DP63" i="227" s="1"/>
  <c r="DN71" i="227"/>
  <c r="DO71" i="227" s="1"/>
  <c r="DP71" i="227" s="1"/>
  <c r="DN10" i="227"/>
  <c r="DO10" i="227" s="1"/>
  <c r="DP10" i="227" s="1"/>
  <c r="DN70" i="227"/>
  <c r="DO70" i="227" s="1"/>
  <c r="DP70" i="227" s="1"/>
  <c r="DN52" i="227"/>
  <c r="DO52" i="227" s="1"/>
  <c r="DP52" i="227" s="1"/>
  <c r="DN68" i="227"/>
  <c r="DO68" i="227" s="1"/>
  <c r="DP68" i="227" s="1"/>
  <c r="F1051" i="857"/>
  <c r="E89" i="227"/>
  <c r="F89" i="227" s="1"/>
  <c r="E97" i="227"/>
  <c r="F97" i="227" s="1"/>
  <c r="F1059" i="857"/>
  <c r="L85" i="776"/>
  <c r="E85" i="776"/>
  <c r="F2798" i="857" s="1"/>
  <c r="F2778" i="857"/>
  <c r="E139" i="227"/>
  <c r="F139" i="227" s="1"/>
  <c r="F1146" i="857"/>
  <c r="G116" i="99"/>
  <c r="F1027" i="857"/>
  <c r="E65" i="227"/>
  <c r="F65" i="227" s="1"/>
  <c r="F1122" i="857"/>
  <c r="E115" i="227"/>
  <c r="F115" i="227" s="1"/>
  <c r="O11" i="689"/>
  <c r="F1261" i="857"/>
  <c r="AF50" i="528"/>
  <c r="F181" i="857"/>
  <c r="E49" i="41"/>
  <c r="CL50" i="528"/>
  <c r="CE50" i="528"/>
  <c r="Q23" i="688"/>
  <c r="R23" i="688" s="1"/>
  <c r="CS50" i="528"/>
  <c r="CU50" i="528" s="1"/>
  <c r="K50" i="528"/>
  <c r="AG29" i="106"/>
  <c r="F953" i="857"/>
  <c r="AI29" i="106"/>
  <c r="E36" i="227"/>
  <c r="F36" i="227" s="1"/>
  <c r="AH29" i="106"/>
  <c r="AS61" i="106"/>
  <c r="F1181" i="857"/>
  <c r="F72" i="857"/>
  <c r="M8" i="87"/>
  <c r="I13" i="87"/>
  <c r="L45" i="87" s="1"/>
  <c r="F3377" i="857"/>
  <c r="L80" i="778"/>
  <c r="E80" i="778"/>
  <c r="F3397" i="857" s="1"/>
  <c r="F37" i="99"/>
  <c r="C18" i="528"/>
  <c r="F105" i="857"/>
  <c r="C26" i="87"/>
  <c r="F37" i="687"/>
  <c r="AH14" i="106"/>
  <c r="AI14" i="106"/>
  <c r="AG14" i="106"/>
  <c r="E21" i="227"/>
  <c r="F21" i="227" s="1"/>
  <c r="F938" i="857"/>
  <c r="AS54" i="106"/>
  <c r="D97" i="853"/>
  <c r="D95" i="853"/>
  <c r="D93" i="853"/>
  <c r="D6" i="853"/>
  <c r="AP69" i="528"/>
  <c r="EH21" i="227"/>
  <c r="EI21" i="227" s="1"/>
  <c r="EJ21" i="227" s="1"/>
  <c r="EH16" i="227"/>
  <c r="EI16" i="227" s="1"/>
  <c r="EJ16" i="227" s="1"/>
  <c r="EH58" i="227"/>
  <c r="EI58" i="227" s="1"/>
  <c r="EJ58" i="227" s="1"/>
  <c r="EH39" i="227"/>
  <c r="EI39" i="227" s="1"/>
  <c r="EJ39" i="227" s="1"/>
  <c r="EH11" i="227"/>
  <c r="EI11" i="227" s="1"/>
  <c r="EJ11" i="227" s="1"/>
  <c r="EH42" i="227"/>
  <c r="EI42" i="227" s="1"/>
  <c r="EJ42" i="227" s="1"/>
  <c r="EH14" i="227"/>
  <c r="EI14" i="227" s="1"/>
  <c r="EJ14" i="227" s="1"/>
  <c r="EH56" i="227"/>
  <c r="EI56" i="227" s="1"/>
  <c r="EJ56" i="227" s="1"/>
  <c r="EH67" i="227"/>
  <c r="EI67" i="227" s="1"/>
  <c r="EJ67" i="227" s="1"/>
  <c r="EH40" i="227"/>
  <c r="EI40" i="227" s="1"/>
  <c r="EJ40" i="227" s="1"/>
  <c r="EH35" i="227"/>
  <c r="EI35" i="227" s="1"/>
  <c r="EJ35" i="227" s="1"/>
  <c r="EH29" i="227"/>
  <c r="EI29" i="227" s="1"/>
  <c r="EJ29" i="227" s="1"/>
  <c r="EH15" i="227"/>
  <c r="EI15" i="227" s="1"/>
  <c r="EJ15" i="227" s="1"/>
  <c r="EH62" i="227"/>
  <c r="EI62" i="227" s="1"/>
  <c r="EJ62" i="227" s="1"/>
  <c r="EH48" i="227"/>
  <c r="EI48" i="227" s="1"/>
  <c r="EJ48" i="227" s="1"/>
  <c r="EH49" i="227"/>
  <c r="EI49" i="227" s="1"/>
  <c r="EJ49" i="227" s="1"/>
  <c r="EH13" i="227"/>
  <c r="EI13" i="227" s="1"/>
  <c r="EJ13" i="227" s="1"/>
  <c r="EH69" i="227"/>
  <c r="EI69" i="227" s="1"/>
  <c r="EJ69" i="227" s="1"/>
  <c r="EH26" i="227"/>
  <c r="EI26" i="227" s="1"/>
  <c r="EJ26" i="227" s="1"/>
  <c r="EH61" i="227"/>
  <c r="EI61" i="227" s="1"/>
  <c r="EJ61" i="227" s="1"/>
  <c r="EH28" i="227"/>
  <c r="EI28" i="227" s="1"/>
  <c r="EJ28" i="227" s="1"/>
  <c r="EH70" i="227"/>
  <c r="EI70" i="227" s="1"/>
  <c r="EJ70" i="227" s="1"/>
  <c r="EH37" i="227"/>
  <c r="EI37" i="227" s="1"/>
  <c r="EJ37" i="227" s="1"/>
  <c r="EH64" i="227"/>
  <c r="EI64" i="227" s="1"/>
  <c r="EJ64" i="227" s="1"/>
  <c r="EH20" i="227"/>
  <c r="EI20" i="227" s="1"/>
  <c r="EJ20" i="227" s="1"/>
  <c r="EH31" i="227"/>
  <c r="EI31" i="227" s="1"/>
  <c r="EJ31" i="227" s="1"/>
  <c r="EH34" i="227"/>
  <c r="EI34" i="227" s="1"/>
  <c r="EJ34" i="227" s="1"/>
  <c r="EH36" i="227"/>
  <c r="EI36" i="227" s="1"/>
  <c r="EJ36" i="227" s="1"/>
  <c r="EH25" i="227"/>
  <c r="EI25" i="227" s="1"/>
  <c r="EJ25" i="227" s="1"/>
  <c r="EH41" i="227"/>
  <c r="EI41" i="227" s="1"/>
  <c r="EJ41" i="227" s="1"/>
  <c r="EK18" i="227" s="1" a="1"/>
  <c r="EK18" i="227" s="1"/>
  <c r="EH19" i="227"/>
  <c r="EI19" i="227" s="1"/>
  <c r="EJ19" i="227" s="1"/>
  <c r="EH71" i="227"/>
  <c r="EI71" i="227" s="1"/>
  <c r="EJ71" i="227" s="1"/>
  <c r="EH18" i="227"/>
  <c r="EI18" i="227" s="1"/>
  <c r="EJ18" i="227" s="1"/>
  <c r="EH24" i="227"/>
  <c r="EI24" i="227" s="1"/>
  <c r="EJ24" i="227" s="1"/>
  <c r="EH52" i="227"/>
  <c r="EI52" i="227" s="1"/>
  <c r="EJ52" i="227" s="1"/>
  <c r="EH17" i="227"/>
  <c r="EI17" i="227" s="1"/>
  <c r="EJ17" i="227" s="1"/>
  <c r="EH22" i="227"/>
  <c r="EI22" i="227" s="1"/>
  <c r="EJ22" i="227" s="1"/>
  <c r="EH46" i="227"/>
  <c r="EI46" i="227" s="1"/>
  <c r="EJ46" i="227" s="1"/>
  <c r="EH66" i="227"/>
  <c r="EI66" i="227" s="1"/>
  <c r="EJ66" i="227" s="1"/>
  <c r="EH10" i="227"/>
  <c r="EI10" i="227" s="1"/>
  <c r="EJ10" i="227" s="1"/>
  <c r="EH30" i="227"/>
  <c r="EI30" i="227" s="1"/>
  <c r="EJ30" i="227" s="1"/>
  <c r="EH47" i="227"/>
  <c r="EI47" i="227" s="1"/>
  <c r="EJ47" i="227" s="1"/>
  <c r="EH12" i="227"/>
  <c r="EI12" i="227" s="1"/>
  <c r="EJ12" i="227" s="1"/>
  <c r="EH57" i="227"/>
  <c r="EI57" i="227" s="1"/>
  <c r="EJ57" i="227" s="1"/>
  <c r="EH55" i="227"/>
  <c r="EI55" i="227" s="1"/>
  <c r="EJ55" i="227" s="1"/>
  <c r="EH51" i="227"/>
  <c r="EI51" i="227" s="1"/>
  <c r="EJ51" i="227" s="1"/>
  <c r="EH54" i="227"/>
  <c r="EI54" i="227" s="1"/>
  <c r="EJ54" i="227" s="1"/>
  <c r="EH33" i="227"/>
  <c r="EI33" i="227" s="1"/>
  <c r="EJ33" i="227" s="1"/>
  <c r="EH23" i="227"/>
  <c r="EI23" i="227" s="1"/>
  <c r="EJ23" i="227" s="1"/>
  <c r="EH44" i="227"/>
  <c r="EI44" i="227" s="1"/>
  <c r="EJ44" i="227" s="1"/>
  <c r="EH50" i="227"/>
  <c r="EI50" i="227" s="1"/>
  <c r="EJ50" i="227" s="1"/>
  <c r="EH32" i="227"/>
  <c r="EI32" i="227" s="1"/>
  <c r="EJ32" i="227" s="1"/>
  <c r="EH68" i="227"/>
  <c r="EI68" i="227" s="1"/>
  <c r="EJ68" i="227" s="1"/>
  <c r="EH53" i="227"/>
  <c r="EI53" i="227" s="1"/>
  <c r="EJ53" i="227" s="1"/>
  <c r="EH38" i="227"/>
  <c r="EI38" i="227" s="1"/>
  <c r="EJ38" i="227" s="1"/>
  <c r="EH63" i="227"/>
  <c r="EI63" i="227" s="1"/>
  <c r="EJ63" i="227" s="1"/>
  <c r="EH65" i="227"/>
  <c r="EI65" i="227" s="1"/>
  <c r="EJ65" i="227" s="1"/>
  <c r="EH60" i="227"/>
  <c r="EI60" i="227" s="1"/>
  <c r="EJ60" i="227" s="1"/>
  <c r="EH43" i="227"/>
  <c r="EI43" i="227" s="1"/>
  <c r="EJ43" i="227" s="1"/>
  <c r="EH59" i="227"/>
  <c r="EI59" i="227" s="1"/>
  <c r="EJ59" i="227" s="1"/>
  <c r="EH72" i="227"/>
  <c r="EI72" i="227" s="1"/>
  <c r="EJ72" i="227" s="1"/>
  <c r="EH27" i="227"/>
  <c r="EI27" i="227" s="1"/>
  <c r="EJ27" i="227" s="1"/>
  <c r="E121" i="227"/>
  <c r="F121" i="227" s="1"/>
  <c r="F1128" i="857"/>
  <c r="AH60" i="227"/>
  <c r="AI60" i="227" s="1"/>
  <c r="AJ60" i="227" s="1"/>
  <c r="AH67" i="227"/>
  <c r="AI67" i="227" s="1"/>
  <c r="AJ67" i="227" s="1"/>
  <c r="AH61" i="227"/>
  <c r="AI61" i="227" s="1"/>
  <c r="AJ61" i="227" s="1"/>
  <c r="AH14" i="227"/>
  <c r="AI14" i="227" s="1"/>
  <c r="AJ14" i="227" s="1"/>
  <c r="AH22" i="227"/>
  <c r="AI22" i="227" s="1"/>
  <c r="AJ22" i="227" s="1"/>
  <c r="AH69" i="227"/>
  <c r="AI69" i="227" s="1"/>
  <c r="AJ69" i="227" s="1"/>
  <c r="AH35" i="227"/>
  <c r="AI35" i="227" s="1"/>
  <c r="AJ35" i="227" s="1"/>
  <c r="AH62" i="227"/>
  <c r="AI62" i="227" s="1"/>
  <c r="AJ62" i="227" s="1"/>
  <c r="AH26" i="227"/>
  <c r="AI26" i="227" s="1"/>
  <c r="AJ26" i="227" s="1"/>
  <c r="AH24" i="227"/>
  <c r="AI24" i="227" s="1"/>
  <c r="AJ24" i="227" s="1"/>
  <c r="AH51" i="227"/>
  <c r="AI51" i="227" s="1"/>
  <c r="AJ51" i="227" s="1"/>
  <c r="AH28" i="227"/>
  <c r="AI28" i="227" s="1"/>
  <c r="AJ28" i="227" s="1"/>
  <c r="AH50" i="227"/>
  <c r="AI50" i="227" s="1"/>
  <c r="AJ50" i="227" s="1"/>
  <c r="AH54" i="227"/>
  <c r="AI54" i="227" s="1"/>
  <c r="AJ54" i="227" s="1"/>
  <c r="AH25" i="227"/>
  <c r="AI25" i="227" s="1"/>
  <c r="AJ25" i="227" s="1"/>
  <c r="AH56" i="227"/>
  <c r="AI56" i="227" s="1"/>
  <c r="AJ56" i="227" s="1"/>
  <c r="AH17" i="227"/>
  <c r="AI17" i="227" s="1"/>
  <c r="AJ17" i="227" s="1"/>
  <c r="AH27" i="227"/>
  <c r="AI27" i="227" s="1"/>
  <c r="AJ27" i="227" s="1"/>
  <c r="AH58" i="227"/>
  <c r="AI58" i="227" s="1"/>
  <c r="AJ58" i="227" s="1"/>
  <c r="AH30" i="227"/>
  <c r="AI30" i="227" s="1"/>
  <c r="AJ30" i="227" s="1"/>
  <c r="AH31" i="227"/>
  <c r="AI31" i="227" s="1"/>
  <c r="AJ31" i="227" s="1"/>
  <c r="AH13" i="227"/>
  <c r="AI13" i="227" s="1"/>
  <c r="AJ13" i="227" s="1"/>
  <c r="AH36" i="227"/>
  <c r="AI36" i="227" s="1"/>
  <c r="AJ36" i="227" s="1"/>
  <c r="AH43" i="227"/>
  <c r="AI43" i="227" s="1"/>
  <c r="AJ43" i="227" s="1"/>
  <c r="AH68" i="227"/>
  <c r="AI68" i="227" s="1"/>
  <c r="AJ68" i="227" s="1"/>
  <c r="AH63" i="227"/>
  <c r="AI63" i="227" s="1"/>
  <c r="AJ63" i="227" s="1"/>
  <c r="AH46" i="227"/>
  <c r="AI46" i="227" s="1"/>
  <c r="AJ46" i="227" s="1"/>
  <c r="AH55" i="227"/>
  <c r="AI55" i="227" s="1"/>
  <c r="AJ55" i="227" s="1"/>
  <c r="AH29" i="227"/>
  <c r="AI29" i="227" s="1"/>
  <c r="AJ29" i="227" s="1"/>
  <c r="AH52" i="227"/>
  <c r="AI52" i="227" s="1"/>
  <c r="AJ52" i="227" s="1"/>
  <c r="AH19" i="227"/>
  <c r="AI19" i="227" s="1"/>
  <c r="AJ19" i="227" s="1"/>
  <c r="AH72" i="227"/>
  <c r="AI72" i="227" s="1"/>
  <c r="AJ72" i="227" s="1"/>
  <c r="AH42" i="227"/>
  <c r="AI42" i="227" s="1"/>
  <c r="AJ42" i="227" s="1"/>
  <c r="AH34" i="227"/>
  <c r="AI34" i="227" s="1"/>
  <c r="AJ34" i="227" s="1"/>
  <c r="AH10" i="227"/>
  <c r="AI10" i="227" s="1"/>
  <c r="AJ10" i="227" s="1"/>
  <c r="AH20" i="227"/>
  <c r="AI20" i="227" s="1"/>
  <c r="AJ20" i="227" s="1"/>
  <c r="AH71" i="227"/>
  <c r="AI71" i="227" s="1"/>
  <c r="AJ71" i="227" s="1"/>
  <c r="AH37" i="227"/>
  <c r="AI37" i="227" s="1"/>
  <c r="AJ37" i="227" s="1"/>
  <c r="AH59" i="227"/>
  <c r="AI59" i="227" s="1"/>
  <c r="AJ59" i="227" s="1"/>
  <c r="AH15" i="227"/>
  <c r="AI15" i="227" s="1"/>
  <c r="AJ15" i="227" s="1"/>
  <c r="AH38" i="227"/>
  <c r="AI38" i="227" s="1"/>
  <c r="AJ38" i="227" s="1"/>
  <c r="AH16" i="227"/>
  <c r="AI16" i="227" s="1"/>
  <c r="AJ16" i="227" s="1"/>
  <c r="AH33" i="227"/>
  <c r="AI33" i="227" s="1"/>
  <c r="AJ33" i="227" s="1"/>
  <c r="AH18" i="227"/>
  <c r="AI18" i="227" s="1"/>
  <c r="AJ18" i="227" s="1"/>
  <c r="AH64" i="227"/>
  <c r="AI64" i="227" s="1"/>
  <c r="AJ64" i="227" s="1"/>
  <c r="AH32" i="227"/>
  <c r="AI32" i="227" s="1"/>
  <c r="AJ32" i="227" s="1"/>
  <c r="AH41" i="227"/>
  <c r="AI41" i="227" s="1"/>
  <c r="AJ41" i="227" s="1"/>
  <c r="AH11" i="227"/>
  <c r="AI11" i="227" s="1"/>
  <c r="AJ11" i="227" s="1"/>
  <c r="AH47" i="227"/>
  <c r="AI47" i="227" s="1"/>
  <c r="AJ47" i="227" s="1"/>
  <c r="AH48" i="227"/>
  <c r="AI48" i="227" s="1"/>
  <c r="AJ48" i="227" s="1"/>
  <c r="AH39" i="227"/>
  <c r="AI39" i="227" s="1"/>
  <c r="AJ39" i="227" s="1"/>
  <c r="AH70" i="227"/>
  <c r="AI70" i="227" s="1"/>
  <c r="AJ70" i="227" s="1"/>
  <c r="AH12" i="227"/>
  <c r="AI12" i="227" s="1"/>
  <c r="AJ12" i="227" s="1"/>
  <c r="AH44" i="227"/>
  <c r="AI44" i="227" s="1"/>
  <c r="AJ44" i="227" s="1"/>
  <c r="AH23" i="227"/>
  <c r="AI23" i="227" s="1"/>
  <c r="AJ23" i="227" s="1"/>
  <c r="AH65" i="227"/>
  <c r="AI65" i="227" s="1"/>
  <c r="AJ65" i="227" s="1"/>
  <c r="AH40" i="227"/>
  <c r="AI40" i="227" s="1"/>
  <c r="AJ40" i="227" s="1"/>
  <c r="AH49" i="227"/>
  <c r="AI49" i="227" s="1"/>
  <c r="AJ49" i="227" s="1"/>
  <c r="AH66" i="227"/>
  <c r="AI66" i="227" s="1"/>
  <c r="AJ66" i="227" s="1"/>
  <c r="AH53" i="227"/>
  <c r="AI53" i="227" s="1"/>
  <c r="AJ53" i="227" s="1"/>
  <c r="AH21" i="227"/>
  <c r="AI21" i="227" s="1"/>
  <c r="AJ21" i="227" s="1"/>
  <c r="AH57" i="227"/>
  <c r="AI57" i="227" s="1"/>
  <c r="AJ57" i="227" s="1"/>
  <c r="F1021" i="857"/>
  <c r="E59" i="227"/>
  <c r="F59" i="227" s="1"/>
  <c r="F2169" i="857"/>
  <c r="L80" i="774"/>
  <c r="AI23" i="106"/>
  <c r="AG23" i="106"/>
  <c r="E30" i="227"/>
  <c r="F30" i="227" s="1"/>
  <c r="F947" i="857"/>
  <c r="AH23" i="106"/>
  <c r="AM74" i="528"/>
  <c r="F1511" i="857"/>
  <c r="AM2" i="106"/>
  <c r="F1190" i="857"/>
  <c r="F1116" i="857"/>
  <c r="E109" i="227"/>
  <c r="F109" i="227" s="1"/>
  <c r="DR31" i="227"/>
  <c r="DS31" i="227" s="1"/>
  <c r="DT31" i="227" s="1"/>
  <c r="DR38" i="227"/>
  <c r="DS38" i="227" s="1"/>
  <c r="DT38" i="227" s="1"/>
  <c r="DR41" i="227"/>
  <c r="DS41" i="227" s="1"/>
  <c r="DT41" i="227" s="1"/>
  <c r="DR11" i="227"/>
  <c r="DS11" i="227" s="1"/>
  <c r="DT11" i="227" s="1"/>
  <c r="DR24" i="227"/>
  <c r="DS24" i="227" s="1"/>
  <c r="DT24" i="227" s="1"/>
  <c r="DR28" i="227"/>
  <c r="DS28" i="227" s="1"/>
  <c r="DT28" i="227" s="1"/>
  <c r="DR15" i="227"/>
  <c r="DS15" i="227" s="1"/>
  <c r="DT15" i="227" s="1"/>
  <c r="DR20" i="227"/>
  <c r="DS20" i="227" s="1"/>
  <c r="DT20" i="227" s="1"/>
  <c r="DR39" i="227"/>
  <c r="DS39" i="227" s="1"/>
  <c r="DT39" i="227" s="1"/>
  <c r="DR71" i="227"/>
  <c r="DS71" i="227" s="1"/>
  <c r="DT71" i="227" s="1"/>
  <c r="DR57" i="227"/>
  <c r="DS57" i="227" s="1"/>
  <c r="DT57" i="227" s="1"/>
  <c r="DR12" i="227"/>
  <c r="DS12" i="227" s="1"/>
  <c r="DT12" i="227" s="1"/>
  <c r="DR40" i="227"/>
  <c r="DS40" i="227" s="1"/>
  <c r="DT40" i="227" s="1"/>
  <c r="DR18" i="227"/>
  <c r="DS18" i="227" s="1"/>
  <c r="DT18" i="227" s="1"/>
  <c r="DR60" i="227"/>
  <c r="DS60" i="227" s="1"/>
  <c r="DT60" i="227" s="1"/>
  <c r="DR53" i="227"/>
  <c r="DS53" i="227" s="1"/>
  <c r="DT53" i="227" s="1"/>
  <c r="DR13" i="227"/>
  <c r="DS13" i="227" s="1"/>
  <c r="DT13" i="227" s="1"/>
  <c r="DR59" i="227"/>
  <c r="DS59" i="227" s="1"/>
  <c r="DT59" i="227" s="1"/>
  <c r="DR65" i="227"/>
  <c r="DS65" i="227" s="1"/>
  <c r="DT65" i="227" s="1"/>
  <c r="DR72" i="227"/>
  <c r="DS72" i="227" s="1"/>
  <c r="DT72" i="227" s="1"/>
  <c r="DR14" i="227"/>
  <c r="DS14" i="227" s="1"/>
  <c r="DT14" i="227" s="1"/>
  <c r="DR63" i="227"/>
  <c r="DS63" i="227" s="1"/>
  <c r="DT63" i="227" s="1"/>
  <c r="DR16" i="227"/>
  <c r="DS16" i="227" s="1"/>
  <c r="DT16" i="227" s="1"/>
  <c r="DR62" i="227"/>
  <c r="DS62" i="227" s="1"/>
  <c r="DT62" i="227" s="1"/>
  <c r="DR56" i="227"/>
  <c r="DS56" i="227" s="1"/>
  <c r="DT56" i="227" s="1"/>
  <c r="DR67" i="227"/>
  <c r="DS67" i="227" s="1"/>
  <c r="DT67" i="227" s="1"/>
  <c r="DR21" i="227"/>
  <c r="DS21" i="227" s="1"/>
  <c r="DT21" i="227" s="1"/>
  <c r="DR68" i="227"/>
  <c r="DS68" i="227" s="1"/>
  <c r="DT68" i="227" s="1"/>
  <c r="DR26" i="227"/>
  <c r="DS26" i="227" s="1"/>
  <c r="DT26" i="227" s="1"/>
  <c r="DR51" i="227"/>
  <c r="DS51" i="227" s="1"/>
  <c r="DT51" i="227" s="1"/>
  <c r="DR64" i="227"/>
  <c r="DS64" i="227" s="1"/>
  <c r="DT64" i="227" s="1"/>
  <c r="DR23" i="227"/>
  <c r="DS23" i="227" s="1"/>
  <c r="DT23" i="227" s="1"/>
  <c r="DR10" i="227"/>
  <c r="DS10" i="227" s="1"/>
  <c r="DT10" i="227" s="1"/>
  <c r="DR48" i="227"/>
  <c r="DS48" i="227" s="1"/>
  <c r="DT48" i="227" s="1"/>
  <c r="DR22" i="227"/>
  <c r="DS22" i="227" s="1"/>
  <c r="DT22" i="227" s="1"/>
  <c r="DR43" i="227"/>
  <c r="DS43" i="227" s="1"/>
  <c r="DT43" i="227" s="1"/>
  <c r="DR30" i="227"/>
  <c r="DS30" i="227" s="1"/>
  <c r="DT30" i="227" s="1"/>
  <c r="DR50" i="227"/>
  <c r="DS50" i="227" s="1"/>
  <c r="DT50" i="227" s="1"/>
  <c r="DR29" i="227"/>
  <c r="DS29" i="227" s="1"/>
  <c r="DT29" i="227" s="1"/>
  <c r="DR49" i="227"/>
  <c r="DS49" i="227" s="1"/>
  <c r="DT49" i="227" s="1"/>
  <c r="DR17" i="227"/>
  <c r="DS17" i="227" s="1"/>
  <c r="DT17" i="227" s="1"/>
  <c r="DR35" i="227"/>
  <c r="DS35" i="227" s="1"/>
  <c r="DT35" i="227" s="1"/>
  <c r="DR33" i="227"/>
  <c r="DS33" i="227" s="1"/>
  <c r="DT33" i="227" s="1"/>
  <c r="DR58" i="227"/>
  <c r="DS58" i="227" s="1"/>
  <c r="DT58" i="227" s="1"/>
  <c r="DR66" i="227"/>
  <c r="DS66" i="227" s="1"/>
  <c r="DT66" i="227" s="1"/>
  <c r="DR36" i="227"/>
  <c r="DS36" i="227" s="1"/>
  <c r="DT36" i="227" s="1"/>
  <c r="DR37" i="227"/>
  <c r="DS37" i="227" s="1"/>
  <c r="DT37" i="227" s="1"/>
  <c r="DR69" i="227"/>
  <c r="DS69" i="227" s="1"/>
  <c r="DT69" i="227" s="1"/>
  <c r="DR34" i="227"/>
  <c r="DS34" i="227" s="1"/>
  <c r="DT34" i="227" s="1"/>
  <c r="DR27" i="227"/>
  <c r="DS27" i="227" s="1"/>
  <c r="DT27" i="227" s="1"/>
  <c r="DR46" i="227"/>
  <c r="DS46" i="227" s="1"/>
  <c r="DT46" i="227" s="1"/>
  <c r="DR52" i="227"/>
  <c r="DS52" i="227" s="1"/>
  <c r="DT52" i="227" s="1"/>
  <c r="DR61" i="227"/>
  <c r="DS61" i="227" s="1"/>
  <c r="DT61" i="227" s="1"/>
  <c r="DR44" i="227"/>
  <c r="DS44" i="227" s="1"/>
  <c r="DT44" i="227" s="1"/>
  <c r="DR32" i="227"/>
  <c r="DS32" i="227" s="1"/>
  <c r="DT32" i="227" s="1"/>
  <c r="DR42" i="227"/>
  <c r="DS42" i="227" s="1"/>
  <c r="DT42" i="227" s="1"/>
  <c r="DR55" i="227"/>
  <c r="DS55" i="227" s="1"/>
  <c r="DT55" i="227" s="1"/>
  <c r="DR54" i="227"/>
  <c r="DS54" i="227" s="1"/>
  <c r="DT54" i="227" s="1"/>
  <c r="DR47" i="227"/>
  <c r="DS47" i="227" s="1"/>
  <c r="DT47" i="227" s="1"/>
  <c r="DR70" i="227"/>
  <c r="DS70" i="227" s="1"/>
  <c r="DT70" i="227" s="1"/>
  <c r="DR19" i="227"/>
  <c r="DS19" i="227" s="1"/>
  <c r="DT19" i="227" s="1"/>
  <c r="DR25" i="227"/>
  <c r="DS25" i="227" s="1"/>
  <c r="DT25" i="227" s="1"/>
  <c r="F999" i="857"/>
  <c r="AM40" i="106"/>
  <c r="F1549" i="857"/>
  <c r="O14" i="689"/>
  <c r="E64" i="227"/>
  <c r="F64" i="227" s="1"/>
  <c r="F1026" i="857"/>
  <c r="L47" i="107"/>
  <c r="L40" i="107"/>
  <c r="E9" i="227"/>
  <c r="F9" i="227" s="1"/>
  <c r="L38" i="107"/>
  <c r="L22" i="107"/>
  <c r="L8" i="107"/>
  <c r="L46" i="107"/>
  <c r="L21" i="107"/>
  <c r="L30" i="107"/>
  <c r="L6" i="107"/>
  <c r="L24" i="107"/>
  <c r="L42" i="107"/>
  <c r="L31" i="107"/>
  <c r="L19" i="107"/>
  <c r="F926" i="857"/>
  <c r="L34" i="107"/>
  <c r="L35" i="107"/>
  <c r="L9" i="107"/>
  <c r="L43" i="107"/>
  <c r="L10" i="107"/>
  <c r="L48" i="107"/>
  <c r="L17" i="107"/>
  <c r="L15" i="107"/>
  <c r="L39" i="107"/>
  <c r="L3" i="107"/>
  <c r="L23" i="107"/>
  <c r="L33" i="107"/>
  <c r="L20" i="107"/>
  <c r="L12" i="107"/>
  <c r="L36" i="107"/>
  <c r="L25" i="107"/>
  <c r="L41" i="107"/>
  <c r="L18" i="107"/>
  <c r="L4" i="107"/>
  <c r="L13" i="107"/>
  <c r="L32" i="107"/>
  <c r="L14" i="107"/>
  <c r="L16" i="107"/>
  <c r="L37" i="107"/>
  <c r="L44" i="107"/>
  <c r="L5" i="107"/>
  <c r="L11" i="107"/>
  <c r="L27" i="107"/>
  <c r="L28" i="107"/>
  <c r="L7" i="107"/>
  <c r="L26" i="107"/>
  <c r="L29" i="107"/>
  <c r="L45" i="107"/>
  <c r="F1195" i="857"/>
  <c r="F1280" i="857"/>
  <c r="D33" i="99"/>
  <c r="S33" i="99" s="1"/>
  <c r="F15" i="528"/>
  <c r="G17" i="39" s="1"/>
  <c r="F196" i="857"/>
  <c r="AS64" i="106"/>
  <c r="CO15" i="528"/>
  <c r="CO33" i="528" s="1"/>
  <c r="F176" i="857"/>
  <c r="AS5" i="106"/>
  <c r="EP27" i="227"/>
  <c r="EQ27" i="227" s="1"/>
  <c r="ER27" i="227" s="1"/>
  <c r="EP57" i="227"/>
  <c r="EQ57" i="227" s="1"/>
  <c r="ER57" i="227" s="1"/>
  <c r="EP72" i="227"/>
  <c r="EQ72" i="227" s="1"/>
  <c r="ER72" i="227" s="1"/>
  <c r="EP15" i="227"/>
  <c r="EQ15" i="227" s="1"/>
  <c r="ER15" i="227" s="1"/>
  <c r="EP65" i="227"/>
  <c r="EQ65" i="227" s="1"/>
  <c r="ER65" i="227" s="1"/>
  <c r="EP68" i="227"/>
  <c r="EQ68" i="227" s="1"/>
  <c r="ER68" i="227" s="1"/>
  <c r="EP37" i="227"/>
  <c r="EQ37" i="227" s="1"/>
  <c r="ER37" i="227" s="1"/>
  <c r="EP13" i="227"/>
  <c r="EQ13" i="227" s="1"/>
  <c r="ER13" i="227" s="1"/>
  <c r="EP67" i="227"/>
  <c r="EQ67" i="227" s="1"/>
  <c r="ER67" i="227" s="1"/>
  <c r="EP21" i="227"/>
  <c r="EQ21" i="227" s="1"/>
  <c r="ER21" i="227" s="1"/>
  <c r="EP14" i="227"/>
  <c r="EQ14" i="227" s="1"/>
  <c r="ER14" i="227" s="1"/>
  <c r="EP47" i="227"/>
  <c r="EQ47" i="227" s="1"/>
  <c r="ER47" i="227" s="1"/>
  <c r="EP42" i="227"/>
  <c r="EQ42" i="227" s="1"/>
  <c r="ER42" i="227" s="1"/>
  <c r="EP40" i="227"/>
  <c r="EQ40" i="227" s="1"/>
  <c r="ER40" i="227" s="1"/>
  <c r="EP51" i="227"/>
  <c r="EQ51" i="227" s="1"/>
  <c r="ER51" i="227" s="1"/>
  <c r="EP60" i="227"/>
  <c r="EQ60" i="227" s="1"/>
  <c r="ER60" i="227" s="1"/>
  <c r="EP48" i="227"/>
  <c r="EQ48" i="227" s="1"/>
  <c r="ER48" i="227" s="1"/>
  <c r="EP19" i="227"/>
  <c r="EQ19" i="227" s="1"/>
  <c r="ER19" i="227" s="1"/>
  <c r="EP35" i="227"/>
  <c r="EQ35" i="227" s="1"/>
  <c r="ER35" i="227" s="1"/>
  <c r="EP36" i="227"/>
  <c r="EQ36" i="227" s="1"/>
  <c r="ER36" i="227" s="1"/>
  <c r="EP34" i="227"/>
  <c r="EQ34" i="227" s="1"/>
  <c r="ER34" i="227" s="1"/>
  <c r="EP38" i="227"/>
  <c r="EQ38" i="227" s="1"/>
  <c r="ER38" i="227" s="1"/>
  <c r="EP71" i="227"/>
  <c r="EQ71" i="227" s="1"/>
  <c r="ER71" i="227" s="1"/>
  <c r="EP54" i="227"/>
  <c r="EQ54" i="227" s="1"/>
  <c r="ER54" i="227" s="1"/>
  <c r="EP46" i="227"/>
  <c r="EQ46" i="227" s="1"/>
  <c r="ER46" i="227" s="1"/>
  <c r="EP70" i="227"/>
  <c r="EQ70" i="227" s="1"/>
  <c r="ER70" i="227" s="1"/>
  <c r="EP59" i="227"/>
  <c r="EQ59" i="227" s="1"/>
  <c r="ER59" i="227" s="1"/>
  <c r="EP32" i="227"/>
  <c r="EQ32" i="227" s="1"/>
  <c r="ER32" i="227" s="1"/>
  <c r="EP53" i="227"/>
  <c r="EQ53" i="227" s="1"/>
  <c r="ER53" i="227" s="1"/>
  <c r="EP66" i="227"/>
  <c r="EQ66" i="227" s="1"/>
  <c r="ER66" i="227" s="1"/>
  <c r="EP55" i="227"/>
  <c r="EQ55" i="227" s="1"/>
  <c r="ER55" i="227" s="1"/>
  <c r="EP61" i="227"/>
  <c r="EQ61" i="227" s="1"/>
  <c r="ER61" i="227" s="1"/>
  <c r="EP49" i="227"/>
  <c r="EQ49" i="227" s="1"/>
  <c r="ER49" i="227" s="1"/>
  <c r="EP62" i="227"/>
  <c r="EQ62" i="227" s="1"/>
  <c r="ER62" i="227" s="1"/>
  <c r="EP23" i="227"/>
  <c r="EQ23" i="227" s="1"/>
  <c r="ER23" i="227" s="1"/>
  <c r="EP56" i="227"/>
  <c r="EQ56" i="227" s="1"/>
  <c r="ER56" i="227" s="1"/>
  <c r="EP16" i="227"/>
  <c r="EQ16" i="227" s="1"/>
  <c r="ER16" i="227" s="1"/>
  <c r="EP31" i="227"/>
  <c r="EQ31" i="227" s="1"/>
  <c r="ER31" i="227" s="1"/>
  <c r="EP43" i="227"/>
  <c r="EQ43" i="227" s="1"/>
  <c r="ER43" i="227" s="1"/>
  <c r="EP20" i="227"/>
  <c r="EQ20" i="227" s="1"/>
  <c r="ER20" i="227" s="1"/>
  <c r="EP12" i="227"/>
  <c r="EQ12" i="227" s="1"/>
  <c r="ER12" i="227" s="1"/>
  <c r="EP29" i="227"/>
  <c r="EQ29" i="227" s="1"/>
  <c r="ER29" i="227" s="1"/>
  <c r="EP64" i="227"/>
  <c r="EQ64" i="227" s="1"/>
  <c r="ER64" i="227" s="1"/>
  <c r="EP25" i="227"/>
  <c r="EQ25" i="227" s="1"/>
  <c r="ER25" i="227" s="1"/>
  <c r="EP11" i="227"/>
  <c r="EQ11" i="227" s="1"/>
  <c r="ER11" i="227" s="1"/>
  <c r="EP39" i="227"/>
  <c r="EQ39" i="227" s="1"/>
  <c r="ER39" i="227" s="1"/>
  <c r="EP58" i="227"/>
  <c r="EQ58" i="227" s="1"/>
  <c r="ER58" i="227" s="1"/>
  <c r="EP26" i="227"/>
  <c r="EQ26" i="227" s="1"/>
  <c r="ER26" i="227" s="1"/>
  <c r="EP17" i="227"/>
  <c r="EQ17" i="227" s="1"/>
  <c r="ER17" i="227" s="1"/>
  <c r="EP30" i="227"/>
  <c r="EQ30" i="227" s="1"/>
  <c r="ER30" i="227" s="1"/>
  <c r="EP69" i="227"/>
  <c r="EQ69" i="227" s="1"/>
  <c r="ER69" i="227" s="1"/>
  <c r="EP22" i="227"/>
  <c r="EQ22" i="227" s="1"/>
  <c r="ER22" i="227" s="1"/>
  <c r="EP18" i="227"/>
  <c r="EQ18" i="227" s="1"/>
  <c r="ER18" i="227" s="1"/>
  <c r="EP44" i="227"/>
  <c r="EQ44" i="227" s="1"/>
  <c r="ER44" i="227" s="1"/>
  <c r="EP41" i="227"/>
  <c r="EQ41" i="227" s="1"/>
  <c r="ER41" i="227" s="1"/>
  <c r="EP33" i="227"/>
  <c r="EQ33" i="227" s="1"/>
  <c r="ER33" i="227" s="1"/>
  <c r="EP63" i="227"/>
  <c r="EQ63" i="227" s="1"/>
  <c r="ER63" i="227" s="1"/>
  <c r="EP50" i="227"/>
  <c r="EQ50" i="227" s="1"/>
  <c r="ER50" i="227" s="1"/>
  <c r="EP28" i="227"/>
  <c r="EQ28" i="227" s="1"/>
  <c r="ER28" i="227" s="1"/>
  <c r="EP52" i="227"/>
  <c r="EQ52" i="227" s="1"/>
  <c r="ER52" i="227" s="1"/>
  <c r="EP24" i="227"/>
  <c r="EQ24" i="227" s="1"/>
  <c r="ER24" i="227" s="1"/>
  <c r="EP10" i="227"/>
  <c r="EQ10" i="227" s="1"/>
  <c r="ER10" i="227" s="1"/>
  <c r="E82" i="775"/>
  <c r="F2493" i="857" s="1"/>
  <c r="F2473" i="857"/>
  <c r="L82" i="775"/>
  <c r="F1009" i="857"/>
  <c r="F1115" i="857"/>
  <c r="E108" i="227"/>
  <c r="F108" i="227" s="1"/>
  <c r="F1152" i="857"/>
  <c r="B94" i="794"/>
  <c r="B30" i="354"/>
  <c r="C31" i="227"/>
  <c r="C76" i="227" s="1"/>
  <c r="C121" i="227" s="1"/>
  <c r="F858" i="857"/>
  <c r="F1259" i="857"/>
  <c r="F899" i="857"/>
  <c r="D27" i="227"/>
  <c r="D72" i="227" s="1"/>
  <c r="D117" i="227" s="1"/>
  <c r="AM20" i="106"/>
  <c r="F1529" i="857"/>
  <c r="O122" i="99"/>
  <c r="E58" i="227"/>
  <c r="F58" i="227" s="1"/>
  <c r="F1020" i="857"/>
  <c r="F1034" i="857"/>
  <c r="E72" i="227"/>
  <c r="F72" i="227" s="1"/>
  <c r="F1540" i="857"/>
  <c r="AM31" i="106"/>
  <c r="D105" i="845"/>
  <c r="D103" i="845"/>
  <c r="D104" i="845"/>
  <c r="D36" i="227"/>
  <c r="D81" i="227" s="1"/>
  <c r="D126" i="227" s="1"/>
  <c r="F908" i="857"/>
  <c r="CD34" i="227"/>
  <c r="CE34" i="227" s="1"/>
  <c r="CF34" i="227" s="1"/>
  <c r="CD16" i="227"/>
  <c r="CE16" i="227" s="1"/>
  <c r="CF16" i="227" s="1"/>
  <c r="CD67" i="227"/>
  <c r="CE67" i="227" s="1"/>
  <c r="CF67" i="227" s="1"/>
  <c r="CD44" i="227"/>
  <c r="CE44" i="227" s="1"/>
  <c r="CF44" i="227" s="1"/>
  <c r="CD57" i="227"/>
  <c r="CE57" i="227" s="1"/>
  <c r="CF57" i="227" s="1"/>
  <c r="CD65" i="227"/>
  <c r="CE65" i="227" s="1"/>
  <c r="CF65" i="227" s="1"/>
  <c r="CD10" i="227"/>
  <c r="CE10" i="227" s="1"/>
  <c r="CF10" i="227" s="1"/>
  <c r="CD68" i="227"/>
  <c r="CE68" i="227" s="1"/>
  <c r="CF68" i="227" s="1"/>
  <c r="CD55" i="227"/>
  <c r="CE55" i="227" s="1"/>
  <c r="CF55" i="227" s="1"/>
  <c r="CD14" i="227"/>
  <c r="CE14" i="227" s="1"/>
  <c r="CF14" i="227" s="1"/>
  <c r="CD48" i="227"/>
  <c r="CE48" i="227" s="1"/>
  <c r="CF48" i="227" s="1"/>
  <c r="CD33" i="227"/>
  <c r="CE33" i="227" s="1"/>
  <c r="CF33" i="227" s="1"/>
  <c r="CD17" i="227"/>
  <c r="CE17" i="227" s="1"/>
  <c r="CF17" i="227" s="1"/>
  <c r="CD19" i="227"/>
  <c r="CE19" i="227" s="1"/>
  <c r="CF19" i="227" s="1"/>
  <c r="CD52" i="227"/>
  <c r="CE52" i="227" s="1"/>
  <c r="CF52" i="227" s="1"/>
  <c r="CD29" i="227"/>
  <c r="CE29" i="227" s="1"/>
  <c r="CF29" i="227" s="1"/>
  <c r="CD25" i="227"/>
  <c r="CE25" i="227" s="1"/>
  <c r="CF25" i="227" s="1"/>
  <c r="CD43" i="227"/>
  <c r="CE43" i="227" s="1"/>
  <c r="CF43" i="227" s="1"/>
  <c r="CD70" i="227"/>
  <c r="CE70" i="227" s="1"/>
  <c r="CF70" i="227" s="1"/>
  <c r="CD59" i="227"/>
  <c r="CE59" i="227" s="1"/>
  <c r="CF59" i="227" s="1"/>
  <c r="CD23" i="227"/>
  <c r="CE23" i="227" s="1"/>
  <c r="CF23" i="227" s="1"/>
  <c r="CD58" i="227"/>
  <c r="CE58" i="227" s="1"/>
  <c r="CF58" i="227" s="1"/>
  <c r="CD13" i="227"/>
  <c r="CE13" i="227" s="1"/>
  <c r="CF13" i="227" s="1"/>
  <c r="CD72" i="227"/>
  <c r="CE72" i="227" s="1"/>
  <c r="CF72" i="227" s="1"/>
  <c r="CD41" i="227"/>
  <c r="CE41" i="227" s="1"/>
  <c r="CF41" i="227" s="1"/>
  <c r="CD36" i="227"/>
  <c r="CE36" i="227" s="1"/>
  <c r="CF36" i="227" s="1"/>
  <c r="CD42" i="227"/>
  <c r="CE42" i="227" s="1"/>
  <c r="CF42" i="227" s="1"/>
  <c r="CD62" i="227"/>
  <c r="CE62" i="227" s="1"/>
  <c r="CF62" i="227" s="1"/>
  <c r="CD49" i="227"/>
  <c r="CE49" i="227" s="1"/>
  <c r="CF49" i="227" s="1"/>
  <c r="CD37" i="227"/>
  <c r="CE37" i="227" s="1"/>
  <c r="CF37" i="227" s="1"/>
  <c r="CD63" i="227"/>
  <c r="CE63" i="227" s="1"/>
  <c r="CF63" i="227" s="1"/>
  <c r="CD46" i="227"/>
  <c r="CE46" i="227" s="1"/>
  <c r="CF46" i="227" s="1"/>
  <c r="CD32" i="227"/>
  <c r="CE32" i="227" s="1"/>
  <c r="CF32" i="227" s="1"/>
  <c r="CD56" i="227"/>
  <c r="CE56" i="227" s="1"/>
  <c r="CF56" i="227" s="1"/>
  <c r="CD30" i="227"/>
  <c r="CE30" i="227" s="1"/>
  <c r="CF30" i="227" s="1"/>
  <c r="CD15" i="227"/>
  <c r="CE15" i="227" s="1"/>
  <c r="CF15" i="227" s="1"/>
  <c r="CD21" i="227"/>
  <c r="CE21" i="227" s="1"/>
  <c r="CF21" i="227" s="1"/>
  <c r="CD18" i="227"/>
  <c r="CE18" i="227" s="1"/>
  <c r="CF18" i="227" s="1"/>
  <c r="CD39" i="227"/>
  <c r="CE39" i="227" s="1"/>
  <c r="CF39" i="227" s="1"/>
  <c r="CD26" i="227"/>
  <c r="CE26" i="227" s="1"/>
  <c r="CF26" i="227" s="1"/>
  <c r="CD24" i="227"/>
  <c r="CE24" i="227" s="1"/>
  <c r="CF24" i="227" s="1"/>
  <c r="CD64" i="227"/>
  <c r="CE64" i="227" s="1"/>
  <c r="CF64" i="227" s="1"/>
  <c r="CD69" i="227"/>
  <c r="CE69" i="227" s="1"/>
  <c r="CF69" i="227" s="1"/>
  <c r="CD60" i="227"/>
  <c r="CE60" i="227" s="1"/>
  <c r="CF60" i="227" s="1"/>
  <c r="CD66" i="227"/>
  <c r="CE66" i="227" s="1"/>
  <c r="CF66" i="227" s="1"/>
  <c r="CD38" i="227"/>
  <c r="CE38" i="227" s="1"/>
  <c r="CF38" i="227" s="1"/>
  <c r="CD40" i="227"/>
  <c r="CE40" i="227" s="1"/>
  <c r="CF40" i="227" s="1"/>
  <c r="CD12" i="227"/>
  <c r="CE12" i="227" s="1"/>
  <c r="CF12" i="227" s="1"/>
  <c r="CD53" i="227"/>
  <c r="CE53" i="227" s="1"/>
  <c r="CF53" i="227" s="1"/>
  <c r="CD20" i="227"/>
  <c r="CE20" i="227" s="1"/>
  <c r="CF20" i="227" s="1"/>
  <c r="CD31" i="227"/>
  <c r="CE31" i="227" s="1"/>
  <c r="CF31" i="227" s="1"/>
  <c r="CD71" i="227"/>
  <c r="CE71" i="227" s="1"/>
  <c r="CF71" i="227" s="1"/>
  <c r="CD28" i="227"/>
  <c r="CE28" i="227" s="1"/>
  <c r="CF28" i="227" s="1"/>
  <c r="CD22" i="227"/>
  <c r="CE22" i="227" s="1"/>
  <c r="CF22" i="227" s="1"/>
  <c r="CD11" i="227"/>
  <c r="CE11" i="227" s="1"/>
  <c r="CF11" i="227" s="1"/>
  <c r="CD50" i="227"/>
  <c r="CE50" i="227" s="1"/>
  <c r="CF50" i="227" s="1"/>
  <c r="CD47" i="227"/>
  <c r="CE47" i="227" s="1"/>
  <c r="CF47" i="227" s="1"/>
  <c r="CD54" i="227"/>
  <c r="CE54" i="227" s="1"/>
  <c r="CF54" i="227" s="1"/>
  <c r="CD35" i="227"/>
  <c r="CE35" i="227" s="1"/>
  <c r="CF35" i="227" s="1"/>
  <c r="CD61" i="227"/>
  <c r="CE61" i="227" s="1"/>
  <c r="CF61" i="227" s="1"/>
  <c r="CD27" i="227"/>
  <c r="CE27" i="227" s="1"/>
  <c r="CF27" i="227" s="1"/>
  <c r="CD51" i="227"/>
  <c r="CE51" i="227" s="1"/>
  <c r="CF51" i="227" s="1"/>
  <c r="F1138" i="857"/>
  <c r="E131" i="227"/>
  <c r="F131" i="227" s="1"/>
  <c r="AT27" i="227"/>
  <c r="AU27" i="227" s="1"/>
  <c r="AV27" i="227" s="1"/>
  <c r="AT42" i="227"/>
  <c r="AU42" i="227" s="1"/>
  <c r="AV42" i="227" s="1"/>
  <c r="AT13" i="227"/>
  <c r="AU13" i="227" s="1"/>
  <c r="AV13" i="227" s="1"/>
  <c r="AT35" i="227"/>
  <c r="AU35" i="227" s="1"/>
  <c r="AV35" i="227" s="1"/>
  <c r="AT23" i="227"/>
  <c r="AU23" i="227" s="1"/>
  <c r="AV23" i="227" s="1"/>
  <c r="AT50" i="227"/>
  <c r="AU50" i="227" s="1"/>
  <c r="AV50" i="227" s="1"/>
  <c r="AT72" i="227"/>
  <c r="AU72" i="227" s="1"/>
  <c r="AV72" i="227" s="1"/>
  <c r="AT57" i="227"/>
  <c r="AU57" i="227" s="1"/>
  <c r="AV57" i="227" s="1"/>
  <c r="AT24" i="227"/>
  <c r="AU24" i="227" s="1"/>
  <c r="AV24" i="227" s="1"/>
  <c r="AT71" i="227"/>
  <c r="AU71" i="227" s="1"/>
  <c r="AV71" i="227" s="1"/>
  <c r="AT28" i="227"/>
  <c r="AU28" i="227" s="1"/>
  <c r="AV28" i="227" s="1"/>
  <c r="AT21" i="227"/>
  <c r="AU21" i="227" s="1"/>
  <c r="AV21" i="227" s="1"/>
  <c r="AT20" i="227"/>
  <c r="AU20" i="227" s="1"/>
  <c r="AV20" i="227" s="1"/>
  <c r="AT52" i="227"/>
  <c r="AU52" i="227" s="1"/>
  <c r="AV52" i="227" s="1"/>
  <c r="AT53" i="227"/>
  <c r="AU53" i="227" s="1"/>
  <c r="AV53" i="227" s="1"/>
  <c r="AT56" i="227"/>
  <c r="AU56" i="227" s="1"/>
  <c r="AV56" i="227" s="1"/>
  <c r="AT26" i="227"/>
  <c r="AU26" i="227" s="1"/>
  <c r="AV26" i="227" s="1"/>
  <c r="AT32" i="227"/>
  <c r="AU32" i="227" s="1"/>
  <c r="AV32" i="227" s="1"/>
  <c r="AT65" i="227"/>
  <c r="AU65" i="227" s="1"/>
  <c r="AV65" i="227" s="1"/>
  <c r="AT58" i="227"/>
  <c r="AU58" i="227" s="1"/>
  <c r="AV58" i="227" s="1"/>
  <c r="AT46" i="227"/>
  <c r="AU46" i="227" s="1"/>
  <c r="AV46" i="227" s="1"/>
  <c r="AT59" i="227"/>
  <c r="AU59" i="227" s="1"/>
  <c r="AV59" i="227" s="1"/>
  <c r="AT17" i="227"/>
  <c r="AU17" i="227" s="1"/>
  <c r="AV17" i="227" s="1"/>
  <c r="AT25" i="227"/>
  <c r="AU25" i="227" s="1"/>
  <c r="AV25" i="227" s="1"/>
  <c r="AT33" i="227"/>
  <c r="AU33" i="227" s="1"/>
  <c r="AV33" i="227" s="1"/>
  <c r="AT66" i="227"/>
  <c r="AU66" i="227" s="1"/>
  <c r="AV66" i="227" s="1"/>
  <c r="AT55" i="227"/>
  <c r="AU55" i="227" s="1"/>
  <c r="AV55" i="227" s="1"/>
  <c r="AT69" i="227"/>
  <c r="AU69" i="227" s="1"/>
  <c r="AV69" i="227" s="1"/>
  <c r="AT37" i="227"/>
  <c r="AU37" i="227" s="1"/>
  <c r="AV37" i="227" s="1"/>
  <c r="AT63" i="227"/>
  <c r="AU63" i="227" s="1"/>
  <c r="AV63" i="227" s="1"/>
  <c r="AT16" i="227"/>
  <c r="AU16" i="227" s="1"/>
  <c r="AV16" i="227" s="1"/>
  <c r="AT54" i="227"/>
  <c r="AU54" i="227" s="1"/>
  <c r="AV54" i="227" s="1"/>
  <c r="AT39" i="227"/>
  <c r="AU39" i="227" s="1"/>
  <c r="AV39" i="227" s="1"/>
  <c r="AT30" i="227"/>
  <c r="AU30" i="227" s="1"/>
  <c r="AV30" i="227" s="1"/>
  <c r="AT64" i="227"/>
  <c r="AU64" i="227" s="1"/>
  <c r="AV64" i="227" s="1"/>
  <c r="AT31" i="227"/>
  <c r="AU31" i="227" s="1"/>
  <c r="AV31" i="227" s="1"/>
  <c r="AT62" i="227"/>
  <c r="AU62" i="227" s="1"/>
  <c r="AV62" i="227" s="1"/>
  <c r="AT68" i="227"/>
  <c r="AU68" i="227" s="1"/>
  <c r="AV68" i="227" s="1"/>
  <c r="AT48" i="227"/>
  <c r="AU48" i="227" s="1"/>
  <c r="AV48" i="227" s="1"/>
  <c r="AT19" i="227"/>
  <c r="AU19" i="227" s="1"/>
  <c r="AV19" i="227" s="1"/>
  <c r="AT15" i="227"/>
  <c r="AU15" i="227" s="1"/>
  <c r="AV15" i="227" s="1"/>
  <c r="AT60" i="227"/>
  <c r="AU60" i="227" s="1"/>
  <c r="AV60" i="227" s="1"/>
  <c r="AT10" i="227"/>
  <c r="AU10" i="227" s="1"/>
  <c r="AV10" i="227" s="1"/>
  <c r="AT12" i="227"/>
  <c r="AU12" i="227" s="1"/>
  <c r="AV12" i="227" s="1"/>
  <c r="AT67" i="227"/>
  <c r="AU67" i="227" s="1"/>
  <c r="AV67" i="227" s="1"/>
  <c r="AT18" i="227"/>
  <c r="AU18" i="227" s="1"/>
  <c r="AV18" i="227" s="1"/>
  <c r="AT36" i="227"/>
  <c r="AU36" i="227" s="1"/>
  <c r="AV36" i="227" s="1"/>
  <c r="AT41" i="227"/>
  <c r="AU41" i="227" s="1"/>
  <c r="AV41" i="227" s="1"/>
  <c r="AT29" i="227"/>
  <c r="AU29" i="227" s="1"/>
  <c r="AV29" i="227" s="1"/>
  <c r="AT14" i="227"/>
  <c r="AU14" i="227" s="1"/>
  <c r="AV14" i="227" s="1"/>
  <c r="AT47" i="227"/>
  <c r="AU47" i="227" s="1"/>
  <c r="AV47" i="227" s="1"/>
  <c r="AT34" i="227"/>
  <c r="AU34" i="227" s="1"/>
  <c r="AV34" i="227" s="1"/>
  <c r="AT70" i="227"/>
  <c r="AU70" i="227" s="1"/>
  <c r="AV70" i="227" s="1"/>
  <c r="AT11" i="227"/>
  <c r="AU11" i="227" s="1"/>
  <c r="AV11" i="227" s="1"/>
  <c r="AT22" i="227"/>
  <c r="AU22" i="227" s="1"/>
  <c r="AV22" i="227" s="1"/>
  <c r="AT49" i="227"/>
  <c r="AU49" i="227" s="1"/>
  <c r="AV49" i="227" s="1"/>
  <c r="AT43" i="227"/>
  <c r="AU43" i="227" s="1"/>
  <c r="AV43" i="227" s="1"/>
  <c r="AT40" i="227"/>
  <c r="AU40" i="227" s="1"/>
  <c r="AV40" i="227" s="1"/>
  <c r="AT44" i="227"/>
  <c r="AU44" i="227" s="1"/>
  <c r="AV44" i="227" s="1"/>
  <c r="AT61" i="227"/>
  <c r="AU61" i="227" s="1"/>
  <c r="AV61" i="227" s="1"/>
  <c r="AT38" i="227"/>
  <c r="AU38" i="227" s="1"/>
  <c r="AV38" i="227" s="1"/>
  <c r="AT51" i="227"/>
  <c r="AU51" i="227" s="1"/>
  <c r="AV51" i="227" s="1"/>
  <c r="B89" i="794"/>
  <c r="F853" i="857"/>
  <c r="B25" i="354"/>
  <c r="BH25" i="354" s="1"/>
  <c r="C26" i="227"/>
  <c r="C71" i="227" s="1"/>
  <c r="C116" i="227" s="1"/>
  <c r="F1206" i="857"/>
  <c r="F959" i="857"/>
  <c r="AG35" i="106"/>
  <c r="AI35" i="106"/>
  <c r="AH35" i="106"/>
  <c r="E42" i="227"/>
  <c r="F42" i="227" s="1"/>
  <c r="F1226" i="857"/>
  <c r="AS27" i="106"/>
  <c r="AG17" i="106"/>
  <c r="E24" i="227"/>
  <c r="F24" i="227" s="1"/>
  <c r="F941" i="857"/>
  <c r="AI17" i="106"/>
  <c r="AH17" i="106"/>
  <c r="C53" i="227"/>
  <c r="C98" i="227" s="1"/>
  <c r="C143" i="227" s="1"/>
  <c r="B116" i="794"/>
  <c r="F880" i="857"/>
  <c r="B52" i="354"/>
  <c r="F2776" i="857"/>
  <c r="L83" i="776"/>
  <c r="E83" i="776"/>
  <c r="F2796" i="857" s="1"/>
  <c r="E54" i="227"/>
  <c r="F54" i="227" s="1"/>
  <c r="F1016" i="857"/>
  <c r="F1123" i="857"/>
  <c r="E116" i="227"/>
  <c r="F116" i="227" s="1"/>
  <c r="AM11" i="106"/>
  <c r="F1520" i="857"/>
  <c r="AM38" i="106"/>
  <c r="F1547" i="857"/>
  <c r="F1213" i="857"/>
  <c r="F1234" i="857"/>
  <c r="AS62" i="106"/>
  <c r="F1256" i="857"/>
  <c r="I116" i="687"/>
  <c r="L78" i="777"/>
  <c r="F3073" i="857"/>
  <c r="E78" i="777"/>
  <c r="F3093" i="857" s="1"/>
  <c r="B43" i="354"/>
  <c r="F871" i="857"/>
  <c r="C44" i="227"/>
  <c r="C89" i="227" s="1"/>
  <c r="C134" i="227" s="1"/>
  <c r="B107" i="794"/>
  <c r="E90" i="227"/>
  <c r="F90" i="227" s="1"/>
  <c r="F1052" i="857"/>
  <c r="F1087" i="857"/>
  <c r="E12" i="227"/>
  <c r="F12" i="227" s="1"/>
  <c r="AG5" i="106"/>
  <c r="AI5" i="106"/>
  <c r="AH5" i="106"/>
  <c r="F929" i="857"/>
  <c r="F1176" i="857"/>
  <c r="D95" i="851"/>
  <c r="D93" i="851"/>
  <c r="D6" i="851"/>
  <c r="D97" i="851"/>
  <c r="AS18" i="106"/>
  <c r="AS38" i="106"/>
  <c r="R35" i="687"/>
  <c r="R113" i="687" s="1"/>
  <c r="R123" i="687" s="1"/>
  <c r="R29" i="687"/>
  <c r="R107" i="687" s="1"/>
  <c r="R108" i="687"/>
  <c r="E77" i="778"/>
  <c r="F3394" i="857" s="1"/>
  <c r="F3374" i="857"/>
  <c r="L77" i="778"/>
  <c r="F1185" i="857"/>
  <c r="F1159" i="857"/>
  <c r="F1089" i="857"/>
  <c r="F2771" i="857"/>
  <c r="L78" i="776"/>
  <c r="E78" i="776"/>
  <c r="F2791" i="857" s="1"/>
  <c r="F1188" i="857"/>
  <c r="C22" i="87"/>
  <c r="F101" i="857"/>
  <c r="C13" i="87"/>
  <c r="C13" i="528" s="1"/>
  <c r="F1155" i="857"/>
  <c r="F91" i="857"/>
  <c r="L26" i="87"/>
  <c r="L27" i="87" s="1"/>
  <c r="L18" i="528"/>
  <c r="L19" i="528" s="1"/>
  <c r="AS16" i="106"/>
  <c r="E75" i="227"/>
  <c r="F75" i="227" s="1"/>
  <c r="F1037" i="857"/>
  <c r="F1161" i="857"/>
  <c r="F1111" i="857"/>
  <c r="E104" i="227"/>
  <c r="F104" i="227" s="1"/>
  <c r="F1073" i="857"/>
  <c r="F994" i="857"/>
  <c r="E123" i="227"/>
  <c r="F123" i="227" s="1"/>
  <c r="F1130" i="857"/>
  <c r="F1006" i="857"/>
  <c r="M35" i="99"/>
  <c r="M112" i="99"/>
  <c r="E20" i="227"/>
  <c r="F20" i="227" s="1"/>
  <c r="AI13" i="106"/>
  <c r="F937" i="857"/>
  <c r="AH13" i="106"/>
  <c r="AG13" i="106"/>
  <c r="F1263" i="857"/>
  <c r="E79" i="227"/>
  <c r="F79" i="227" s="1"/>
  <c r="F1041" i="857"/>
  <c r="H29" i="99"/>
  <c r="H107" i="99" s="1"/>
  <c r="H108" i="99"/>
  <c r="H63" i="687"/>
  <c r="F1013" i="857"/>
  <c r="E111" i="687"/>
  <c r="E142" i="227"/>
  <c r="F142" i="227" s="1"/>
  <c r="F1149" i="857"/>
  <c r="AS25" i="106"/>
  <c r="E57" i="227"/>
  <c r="F57" i="227" s="1"/>
  <c r="F1019" i="857"/>
  <c r="F1277" i="857"/>
  <c r="F1264" i="857"/>
  <c r="E112" i="227"/>
  <c r="F112" i="227" s="1"/>
  <c r="F1119" i="857"/>
  <c r="AS59" i="106"/>
  <c r="AS41" i="106"/>
  <c r="G111" i="99"/>
  <c r="AM37" i="106"/>
  <c r="F1546" i="857"/>
  <c r="B13" i="354"/>
  <c r="BH13" i="354" s="1"/>
  <c r="C14" i="227"/>
  <c r="C59" i="227" s="1"/>
  <c r="C104" i="227" s="1"/>
  <c r="B77" i="794"/>
  <c r="F841" i="857"/>
  <c r="C47" i="227"/>
  <c r="C91" i="227" s="1"/>
  <c r="C136" i="227" s="1"/>
  <c r="F873" i="857"/>
  <c r="B109" i="794"/>
  <c r="B45" i="354"/>
  <c r="E113" i="227"/>
  <c r="F113" i="227" s="1"/>
  <c r="F1120" i="857"/>
  <c r="CP62" i="227"/>
  <c r="CQ62" i="227" s="1"/>
  <c r="CR62" i="227" s="1"/>
  <c r="CP21" i="227"/>
  <c r="CQ21" i="227" s="1"/>
  <c r="CR21" i="227" s="1"/>
  <c r="CP23" i="227"/>
  <c r="CQ23" i="227" s="1"/>
  <c r="CR23" i="227" s="1"/>
  <c r="CP64" i="227"/>
  <c r="CQ64" i="227" s="1"/>
  <c r="CR64" i="227" s="1"/>
  <c r="CP31" i="227"/>
  <c r="CQ31" i="227" s="1"/>
  <c r="CR31" i="227" s="1"/>
  <c r="CP22" i="227"/>
  <c r="CQ22" i="227" s="1"/>
  <c r="CR22" i="227" s="1"/>
  <c r="CP54" i="227"/>
  <c r="CQ54" i="227" s="1"/>
  <c r="CR54" i="227" s="1"/>
  <c r="CP57" i="227"/>
  <c r="CQ57" i="227" s="1"/>
  <c r="CR57" i="227" s="1"/>
  <c r="CP60" i="227"/>
  <c r="CQ60" i="227" s="1"/>
  <c r="CR60" i="227" s="1"/>
  <c r="CP11" i="227"/>
  <c r="CQ11" i="227" s="1"/>
  <c r="CR11" i="227" s="1"/>
  <c r="CP39" i="227"/>
  <c r="CQ39" i="227" s="1"/>
  <c r="CR39" i="227" s="1"/>
  <c r="CP18" i="227"/>
  <c r="CQ18" i="227" s="1"/>
  <c r="CR18" i="227" s="1"/>
  <c r="CP58" i="227"/>
  <c r="CQ58" i="227" s="1"/>
  <c r="CR58" i="227" s="1"/>
  <c r="CP70" i="227"/>
  <c r="CQ70" i="227" s="1"/>
  <c r="CR70" i="227" s="1"/>
  <c r="CP61" i="227"/>
  <c r="CQ61" i="227" s="1"/>
  <c r="CR61" i="227" s="1"/>
  <c r="CP10" i="227"/>
  <c r="CQ10" i="227" s="1"/>
  <c r="CR10" i="227" s="1"/>
  <c r="CP63" i="227"/>
  <c r="CQ63" i="227" s="1"/>
  <c r="CR63" i="227" s="1"/>
  <c r="CP35" i="227"/>
  <c r="CQ35" i="227" s="1"/>
  <c r="CR35" i="227" s="1"/>
  <c r="CP14" i="227"/>
  <c r="CQ14" i="227" s="1"/>
  <c r="CR14" i="227" s="1"/>
  <c r="CP49" i="227"/>
  <c r="CQ49" i="227" s="1"/>
  <c r="CR49" i="227" s="1"/>
  <c r="CP19" i="227"/>
  <c r="CQ19" i="227" s="1"/>
  <c r="CR19" i="227" s="1"/>
  <c r="CP12" i="227"/>
  <c r="CQ12" i="227" s="1"/>
  <c r="CR12" i="227" s="1"/>
  <c r="CP37" i="227"/>
  <c r="CQ37" i="227" s="1"/>
  <c r="CR37" i="227" s="1"/>
  <c r="CP24" i="227"/>
  <c r="CQ24" i="227" s="1"/>
  <c r="CR24" i="227" s="1"/>
  <c r="CP69" i="227"/>
  <c r="CQ69" i="227" s="1"/>
  <c r="CR69" i="227" s="1"/>
  <c r="CP32" i="227"/>
  <c r="CQ32" i="227" s="1"/>
  <c r="CR32" i="227" s="1"/>
  <c r="CP26" i="227"/>
  <c r="CQ26" i="227" s="1"/>
  <c r="CR26" i="227" s="1"/>
  <c r="CP15" i="227"/>
  <c r="CQ15" i="227" s="1"/>
  <c r="CR15" i="227" s="1"/>
  <c r="CP67" i="227"/>
  <c r="CQ67" i="227" s="1"/>
  <c r="CR67" i="227" s="1"/>
  <c r="CP48" i="227"/>
  <c r="CQ48" i="227" s="1"/>
  <c r="CR48" i="227" s="1"/>
  <c r="CP41" i="227"/>
  <c r="CQ41" i="227" s="1"/>
  <c r="CR41" i="227" s="1"/>
  <c r="CP28" i="227"/>
  <c r="CQ28" i="227" s="1"/>
  <c r="CR28" i="227" s="1"/>
  <c r="CP50" i="227"/>
  <c r="CQ50" i="227" s="1"/>
  <c r="CR50" i="227" s="1"/>
  <c r="CP47" i="227"/>
  <c r="CQ47" i="227" s="1"/>
  <c r="CR47" i="227" s="1"/>
  <c r="CP30" i="227"/>
  <c r="CQ30" i="227" s="1"/>
  <c r="CR30" i="227" s="1"/>
  <c r="CP20" i="227"/>
  <c r="CQ20" i="227" s="1"/>
  <c r="CR20" i="227" s="1"/>
  <c r="CP17" i="227"/>
  <c r="CQ17" i="227" s="1"/>
  <c r="CR17" i="227" s="1"/>
  <c r="CP38" i="227"/>
  <c r="CQ38" i="227" s="1"/>
  <c r="CR38" i="227" s="1"/>
  <c r="CP68" i="227"/>
  <c r="CQ68" i="227" s="1"/>
  <c r="CR68" i="227" s="1"/>
  <c r="CP44" i="227"/>
  <c r="CQ44" i="227" s="1"/>
  <c r="CR44" i="227" s="1"/>
  <c r="CP34" i="227"/>
  <c r="CQ34" i="227" s="1"/>
  <c r="CR34" i="227" s="1"/>
  <c r="CP25" i="227"/>
  <c r="CQ25" i="227" s="1"/>
  <c r="CR25" i="227" s="1"/>
  <c r="CP27" i="227"/>
  <c r="CQ27" i="227" s="1"/>
  <c r="CR27" i="227" s="1"/>
  <c r="CP13" i="227"/>
  <c r="CQ13" i="227" s="1"/>
  <c r="CR13" i="227" s="1"/>
  <c r="CP51" i="227"/>
  <c r="CQ51" i="227" s="1"/>
  <c r="CR51" i="227" s="1"/>
  <c r="CP53" i="227"/>
  <c r="CQ53" i="227" s="1"/>
  <c r="CR53" i="227" s="1"/>
  <c r="CP71" i="227"/>
  <c r="CQ71" i="227" s="1"/>
  <c r="CR71" i="227" s="1"/>
  <c r="CP59" i="227"/>
  <c r="CQ59" i="227" s="1"/>
  <c r="CR59" i="227" s="1"/>
  <c r="CP42" i="227"/>
  <c r="CQ42" i="227" s="1"/>
  <c r="CR42" i="227" s="1"/>
  <c r="CP33" i="227"/>
  <c r="CQ33" i="227" s="1"/>
  <c r="CR33" i="227" s="1"/>
  <c r="CP55" i="227"/>
  <c r="CQ55" i="227" s="1"/>
  <c r="CR55" i="227" s="1"/>
  <c r="CP36" i="227"/>
  <c r="CQ36" i="227" s="1"/>
  <c r="CR36" i="227" s="1"/>
  <c r="CP40" i="227"/>
  <c r="CQ40" i="227" s="1"/>
  <c r="CR40" i="227" s="1"/>
  <c r="CP56" i="227"/>
  <c r="CQ56" i="227" s="1"/>
  <c r="CR56" i="227" s="1"/>
  <c r="CP65" i="227"/>
  <c r="CQ65" i="227" s="1"/>
  <c r="CR65" i="227" s="1"/>
  <c r="CP16" i="227"/>
  <c r="CQ16" i="227" s="1"/>
  <c r="CR16" i="227" s="1"/>
  <c r="CP43" i="227"/>
  <c r="CQ43" i="227" s="1"/>
  <c r="CR43" i="227" s="1"/>
  <c r="CP46" i="227"/>
  <c r="CQ46" i="227" s="1"/>
  <c r="CR46" i="227" s="1"/>
  <c r="CP52" i="227"/>
  <c r="CQ52" i="227" s="1"/>
  <c r="CR52" i="227" s="1"/>
  <c r="CP29" i="227"/>
  <c r="CQ29" i="227" s="1"/>
  <c r="CR29" i="227" s="1"/>
  <c r="CP66" i="227"/>
  <c r="CQ66" i="227" s="1"/>
  <c r="CR66" i="227" s="1"/>
  <c r="CP72" i="227"/>
  <c r="CQ72" i="227" s="1"/>
  <c r="CR72" i="227" s="1"/>
  <c r="F1166" i="857"/>
  <c r="E130" i="227"/>
  <c r="F130" i="227" s="1"/>
  <c r="F1137" i="857"/>
  <c r="O15" i="689"/>
  <c r="F997" i="857"/>
  <c r="F1262" i="857"/>
  <c r="O122" i="687"/>
  <c r="O123" i="687" s="1"/>
  <c r="O45" i="687"/>
  <c r="F911" i="857"/>
  <c r="D39" i="227"/>
  <c r="D84" i="227" s="1"/>
  <c r="D129" i="227" s="1"/>
  <c r="L111" i="99"/>
  <c r="H108" i="687"/>
  <c r="H29" i="687"/>
  <c r="H107" i="687" s="1"/>
  <c r="F1553" i="857"/>
  <c r="AM44" i="106"/>
  <c r="D44" i="227"/>
  <c r="D89" i="227" s="1"/>
  <c r="D134" i="227" s="1"/>
  <c r="F916" i="857"/>
  <c r="F1284" i="857"/>
  <c r="AM18" i="106"/>
  <c r="F1527" i="857"/>
  <c r="F1067" i="857"/>
  <c r="F2167" i="857"/>
  <c r="L78" i="774"/>
  <c r="F981" i="857"/>
  <c r="F1074" i="857"/>
  <c r="F1171" i="857"/>
  <c r="F1237" i="857"/>
  <c r="E77" i="227"/>
  <c r="F77" i="227" s="1"/>
  <c r="F1039" i="857"/>
  <c r="E85" i="779"/>
  <c r="F3704" i="857" s="1"/>
  <c r="L85" i="779"/>
  <c r="F3684" i="857"/>
  <c r="L111" i="687"/>
  <c r="D19" i="845"/>
  <c r="F972" i="857"/>
  <c r="F1196" i="857"/>
  <c r="F3254" i="857"/>
  <c r="AS6" i="106"/>
  <c r="E141" i="227"/>
  <c r="F141" i="227" s="1"/>
  <c r="F1148" i="857"/>
  <c r="F112" i="99"/>
  <c r="F1193" i="857"/>
  <c r="O4" i="689"/>
  <c r="E99" i="227"/>
  <c r="F99" i="227" s="1"/>
  <c r="F1106" i="857"/>
  <c r="F1163" i="857"/>
  <c r="F1203" i="857"/>
  <c r="F1252" i="857"/>
  <c r="AS65" i="106"/>
  <c r="I18" i="528"/>
  <c r="M12" i="87"/>
  <c r="F76" i="857"/>
  <c r="AS33" i="106"/>
  <c r="F1072" i="857"/>
  <c r="E122" i="227"/>
  <c r="F122" i="227" s="1"/>
  <c r="F1129" i="857"/>
  <c r="AH21" i="106"/>
  <c r="F945" i="857"/>
  <c r="E28" i="227"/>
  <c r="F28" i="227" s="1"/>
  <c r="AI21" i="106"/>
  <c r="AG21" i="106"/>
  <c r="F1276" i="857"/>
  <c r="F903" i="857"/>
  <c r="D31" i="227"/>
  <c r="D76" i="227" s="1"/>
  <c r="D121" i="227" s="1"/>
  <c r="AS63" i="106"/>
  <c r="L77" i="775"/>
  <c r="F2468" i="857"/>
  <c r="E77" i="775"/>
  <c r="F2488" i="857" s="1"/>
  <c r="G29" i="99"/>
  <c r="G107" i="99" s="1"/>
  <c r="G108" i="99"/>
  <c r="O28" i="689"/>
  <c r="E138" i="227"/>
  <c r="F138" i="227" s="1"/>
  <c r="F1145" i="857"/>
  <c r="F3556" i="857"/>
  <c r="F1165" i="857"/>
  <c r="F1202" i="857"/>
  <c r="E77" i="779"/>
  <c r="F3696" i="857" s="1"/>
  <c r="L77" i="779"/>
  <c r="F3676" i="857"/>
  <c r="AM16" i="106"/>
  <c r="F1525" i="857"/>
  <c r="Z22" i="87"/>
  <c r="L13" i="87"/>
  <c r="I44" i="87" s="1"/>
  <c r="F87" i="857"/>
  <c r="S34" i="687"/>
  <c r="E112" i="687"/>
  <c r="F111" i="687"/>
  <c r="F1204" i="857"/>
  <c r="F110" i="857"/>
  <c r="D18" i="528"/>
  <c r="E18" i="528" s="1"/>
  <c r="E36" i="528" s="1"/>
  <c r="AM7" i="106"/>
  <c r="F1516" i="857"/>
  <c r="E79" i="779"/>
  <c r="F3698" i="857" s="1"/>
  <c r="F3678" i="857"/>
  <c r="L79" i="779"/>
  <c r="AG33" i="106"/>
  <c r="AH33" i="106"/>
  <c r="F957" i="857"/>
  <c r="E40" i="227"/>
  <c r="F40" i="227" s="1"/>
  <c r="AI33" i="106"/>
  <c r="J116" i="687"/>
  <c r="F1242" i="857"/>
  <c r="E106" i="227"/>
  <c r="F106" i="227" s="1"/>
  <c r="F1113" i="857"/>
  <c r="C43" i="227"/>
  <c r="C88" i="227" s="1"/>
  <c r="C133" i="227" s="1"/>
  <c r="B42" i="354"/>
  <c r="F870" i="857"/>
  <c r="B106" i="794"/>
  <c r="B84" i="794"/>
  <c r="C21" i="227"/>
  <c r="C66" i="227" s="1"/>
  <c r="C111" i="227" s="1"/>
  <c r="B20" i="354"/>
  <c r="BH20" i="354" s="1"/>
  <c r="F848" i="857"/>
  <c r="D17" i="227"/>
  <c r="D62" i="227" s="1"/>
  <c r="D107" i="227" s="1"/>
  <c r="F889" i="857"/>
  <c r="F1099" i="857"/>
  <c r="E83" i="777"/>
  <c r="F3098" i="857" s="1"/>
  <c r="L83" i="777"/>
  <c r="F3078" i="857"/>
  <c r="F1250" i="857"/>
  <c r="AM19" i="106"/>
  <c r="F1528" i="857"/>
  <c r="F1218" i="857"/>
  <c r="F1225" i="857"/>
  <c r="F973" i="857"/>
  <c r="AS12" i="106"/>
  <c r="F1156" i="857"/>
  <c r="F1058" i="857"/>
  <c r="E96" i="227"/>
  <c r="F96" i="227" s="1"/>
  <c r="B67" i="528"/>
  <c r="C66" i="528"/>
  <c r="C56" i="528" s="1"/>
  <c r="B68" i="528"/>
  <c r="B58" i="528" s="1"/>
  <c r="E63" i="41" s="1"/>
  <c r="C68" i="528"/>
  <c r="C58" i="528" s="1"/>
  <c r="F63" i="41" s="1"/>
  <c r="C67" i="528"/>
  <c r="C57" i="528" s="1"/>
  <c r="B66" i="528"/>
  <c r="D10" i="227"/>
  <c r="D55" i="227" s="1"/>
  <c r="D100" i="227" s="1"/>
  <c r="F882" i="857"/>
  <c r="B38" i="354"/>
  <c r="F866" i="857"/>
  <c r="B102" i="794"/>
  <c r="C39" i="227"/>
  <c r="C84" i="227" s="1"/>
  <c r="C129" i="227" s="1"/>
  <c r="L80" i="777"/>
  <c r="F3075" i="857"/>
  <c r="E80" i="777"/>
  <c r="F3095" i="857" s="1"/>
  <c r="B87" i="794"/>
  <c r="C24" i="227"/>
  <c r="C69" i="227" s="1"/>
  <c r="C114" i="227" s="1"/>
  <c r="B23" i="354"/>
  <c r="BH23" i="354" s="1"/>
  <c r="F851" i="857"/>
  <c r="F1010" i="857"/>
  <c r="M35" i="687"/>
  <c r="M45" i="687" s="1"/>
  <c r="M112" i="687"/>
  <c r="F11" i="87"/>
  <c r="G13" i="39" s="1"/>
  <c r="I13" i="39" s="1"/>
  <c r="J4" i="107" s="1"/>
  <c r="D31" i="687"/>
  <c r="S31" i="687" s="1"/>
  <c r="F99" i="857"/>
  <c r="D31" i="99"/>
  <c r="S31" i="99" s="1"/>
  <c r="F3080" i="857"/>
  <c r="L85" i="777"/>
  <c r="E85" i="777"/>
  <c r="F3100" i="857" s="1"/>
  <c r="F1180" i="857"/>
  <c r="E66" i="227"/>
  <c r="F66" i="227" s="1"/>
  <c r="F1028" i="857"/>
  <c r="FB65" i="227"/>
  <c r="FC65" i="227" s="1"/>
  <c r="FD65" i="227" s="1"/>
  <c r="FB62" i="227"/>
  <c r="FC62" i="227" s="1"/>
  <c r="FD62" i="227" s="1"/>
  <c r="FB56" i="227"/>
  <c r="FC56" i="227" s="1"/>
  <c r="FD56" i="227" s="1"/>
  <c r="FB11" i="227"/>
  <c r="FC11" i="227" s="1"/>
  <c r="FD11" i="227" s="1"/>
  <c r="FB63" i="227"/>
  <c r="FC63" i="227" s="1"/>
  <c r="FD63" i="227" s="1"/>
  <c r="FB52" i="227"/>
  <c r="FC52" i="227" s="1"/>
  <c r="FD52" i="227" s="1"/>
  <c r="FB12" i="227"/>
  <c r="FC12" i="227" s="1"/>
  <c r="FD12" i="227" s="1"/>
  <c r="FB32" i="227"/>
  <c r="FC32" i="227" s="1"/>
  <c r="FD32" i="227" s="1"/>
  <c r="FB41" i="227"/>
  <c r="FC41" i="227" s="1"/>
  <c r="FD41" i="227" s="1"/>
  <c r="FB40" i="227"/>
  <c r="FC40" i="227" s="1"/>
  <c r="FD40" i="227" s="1"/>
  <c r="FB37" i="227"/>
  <c r="FC37" i="227" s="1"/>
  <c r="FD37" i="227" s="1"/>
  <c r="FB23" i="227"/>
  <c r="FC23" i="227" s="1"/>
  <c r="FD23" i="227" s="1"/>
  <c r="FB16" i="227"/>
  <c r="FC16" i="227" s="1"/>
  <c r="FD16" i="227" s="1"/>
  <c r="FB66" i="227"/>
  <c r="FC66" i="227" s="1"/>
  <c r="FD66" i="227" s="1"/>
  <c r="FB38" i="227"/>
  <c r="FC38" i="227" s="1"/>
  <c r="FD38" i="227" s="1"/>
  <c r="FB25" i="227"/>
  <c r="FC25" i="227" s="1"/>
  <c r="FD25" i="227" s="1"/>
  <c r="FB69" i="227"/>
  <c r="FC69" i="227" s="1"/>
  <c r="FD69" i="227" s="1"/>
  <c r="FB20" i="227"/>
  <c r="FC20" i="227" s="1"/>
  <c r="FD20" i="227" s="1"/>
  <c r="FB70" i="227"/>
  <c r="FC70" i="227" s="1"/>
  <c r="FD70" i="227" s="1"/>
  <c r="FB47" i="227"/>
  <c r="FC47" i="227" s="1"/>
  <c r="FD47" i="227" s="1"/>
  <c r="FB33" i="227"/>
  <c r="FC33" i="227" s="1"/>
  <c r="FD33" i="227" s="1"/>
  <c r="FB61" i="227"/>
  <c r="FC61" i="227" s="1"/>
  <c r="FD61" i="227" s="1"/>
  <c r="FB18" i="227"/>
  <c r="FC18" i="227" s="1"/>
  <c r="FD18" i="227" s="1"/>
  <c r="FB49" i="227"/>
  <c r="FC49" i="227" s="1"/>
  <c r="FD49" i="227" s="1"/>
  <c r="FB58" i="227"/>
  <c r="FC58" i="227" s="1"/>
  <c r="FD58" i="227" s="1"/>
  <c r="FB13" i="227"/>
  <c r="FC13" i="227" s="1"/>
  <c r="FD13" i="227" s="1"/>
  <c r="FB64" i="227"/>
  <c r="FC64" i="227" s="1"/>
  <c r="FD64" i="227" s="1"/>
  <c r="FB28" i="227"/>
  <c r="FC28" i="227" s="1"/>
  <c r="FD28" i="227" s="1"/>
  <c r="FB51" i="227"/>
  <c r="FC51" i="227" s="1"/>
  <c r="FD51" i="227" s="1"/>
  <c r="FB55" i="227"/>
  <c r="FC55" i="227" s="1"/>
  <c r="FD55" i="227" s="1"/>
  <c r="FB14" i="227"/>
  <c r="FC14" i="227" s="1"/>
  <c r="FD14" i="227" s="1"/>
  <c r="FB35" i="227"/>
  <c r="FC35" i="227" s="1"/>
  <c r="FD35" i="227" s="1"/>
  <c r="FB57" i="227"/>
  <c r="FC57" i="227" s="1"/>
  <c r="FD57" i="227" s="1"/>
  <c r="FB10" i="227"/>
  <c r="FC10" i="227" s="1"/>
  <c r="FD10" i="227" s="1"/>
  <c r="FB19" i="227"/>
  <c r="FC19" i="227" s="1"/>
  <c r="FD19" i="227" s="1"/>
  <c r="FB30" i="227"/>
  <c r="FC30" i="227" s="1"/>
  <c r="FD30" i="227" s="1"/>
  <c r="FB44" i="227"/>
  <c r="FC44" i="227" s="1"/>
  <c r="FD44" i="227" s="1"/>
  <c r="FB43" i="227"/>
  <c r="FC43" i="227" s="1"/>
  <c r="FD43" i="227" s="1"/>
  <c r="FB42" i="227"/>
  <c r="FC42" i="227" s="1"/>
  <c r="FD42" i="227" s="1"/>
  <c r="FB71" i="227"/>
  <c r="FC71" i="227" s="1"/>
  <c r="FD71" i="227" s="1"/>
  <c r="FB24" i="227"/>
  <c r="FC24" i="227" s="1"/>
  <c r="FD24" i="227" s="1"/>
  <c r="FB22" i="227"/>
  <c r="FC22" i="227" s="1"/>
  <c r="FD22" i="227" s="1"/>
  <c r="FB72" i="227"/>
  <c r="FC72" i="227" s="1"/>
  <c r="FD72" i="227" s="1"/>
  <c r="FB27" i="227"/>
  <c r="FC27" i="227" s="1"/>
  <c r="FD27" i="227" s="1"/>
  <c r="FB48" i="227"/>
  <c r="FC48" i="227" s="1"/>
  <c r="FD48" i="227" s="1"/>
  <c r="FB29" i="227"/>
  <c r="FC29" i="227" s="1"/>
  <c r="FD29" i="227" s="1"/>
  <c r="FB17" i="227"/>
  <c r="FC17" i="227" s="1"/>
  <c r="FD17" i="227" s="1"/>
  <c r="FB59" i="227"/>
  <c r="FC59" i="227" s="1"/>
  <c r="FD59" i="227" s="1"/>
  <c r="FB15" i="227"/>
  <c r="FC15" i="227" s="1"/>
  <c r="FD15" i="227" s="1"/>
  <c r="FB34" i="227"/>
  <c r="FC34" i="227" s="1"/>
  <c r="FD34" i="227" s="1"/>
  <c r="FB36" i="227"/>
  <c r="FC36" i="227" s="1"/>
  <c r="FD36" i="227" s="1"/>
  <c r="FB21" i="227"/>
  <c r="FC21" i="227" s="1"/>
  <c r="FD21" i="227" s="1"/>
  <c r="FB39" i="227"/>
  <c r="FC39" i="227" s="1"/>
  <c r="FD39" i="227" s="1"/>
  <c r="FB68" i="227"/>
  <c r="FC68" i="227" s="1"/>
  <c r="FD68" i="227" s="1"/>
  <c r="FB26" i="227"/>
  <c r="FC26" i="227" s="1"/>
  <c r="FD26" i="227" s="1"/>
  <c r="FB53" i="227"/>
  <c r="FC53" i="227" s="1"/>
  <c r="FD53" i="227" s="1"/>
  <c r="FB54" i="227"/>
  <c r="FC54" i="227" s="1"/>
  <c r="FD54" i="227" s="1"/>
  <c r="FB50" i="227"/>
  <c r="FC50" i="227" s="1"/>
  <c r="FD50" i="227" s="1"/>
  <c r="FB31" i="227"/>
  <c r="FC31" i="227" s="1"/>
  <c r="FD31" i="227" s="1"/>
  <c r="FB67" i="227"/>
  <c r="FC67" i="227" s="1"/>
  <c r="FD67" i="227" s="1"/>
  <c r="FB60" i="227"/>
  <c r="FC60" i="227" s="1"/>
  <c r="FD60" i="227" s="1"/>
  <c r="FB46" i="227"/>
  <c r="FC46" i="227" s="1"/>
  <c r="FD46" i="227" s="1"/>
  <c r="O29" i="689"/>
  <c r="D41" i="227"/>
  <c r="D86" i="227" s="1"/>
  <c r="D131" i="227" s="1"/>
  <c r="F913" i="857"/>
  <c r="F1054" i="857"/>
  <c r="E92" i="227"/>
  <c r="F92" i="227" s="1"/>
  <c r="D19" i="853"/>
  <c r="AM4" i="106"/>
  <c r="F1513" i="857"/>
  <c r="F1066" i="857"/>
  <c r="F1064" i="857"/>
  <c r="BN14" i="227"/>
  <c r="BO14" i="227" s="1"/>
  <c r="BP14" i="227" s="1"/>
  <c r="BN37" i="227"/>
  <c r="BO37" i="227" s="1"/>
  <c r="BP37" i="227" s="1"/>
  <c r="BN59" i="227"/>
  <c r="BO59" i="227" s="1"/>
  <c r="BP59" i="227" s="1"/>
  <c r="BN29" i="227"/>
  <c r="BO29" i="227" s="1"/>
  <c r="BP29" i="227" s="1"/>
  <c r="BN18" i="227"/>
  <c r="BO18" i="227" s="1"/>
  <c r="BP18" i="227" s="1"/>
  <c r="BN42" i="227"/>
  <c r="BO42" i="227" s="1"/>
  <c r="BP42" i="227" s="1"/>
  <c r="BN55" i="227"/>
  <c r="BO55" i="227" s="1"/>
  <c r="BP55" i="227" s="1"/>
  <c r="BN15" i="227"/>
  <c r="BO15" i="227" s="1"/>
  <c r="BP15" i="227" s="1"/>
  <c r="BN30" i="227"/>
  <c r="BO30" i="227" s="1"/>
  <c r="BP30" i="227" s="1"/>
  <c r="BN28" i="227"/>
  <c r="BO28" i="227" s="1"/>
  <c r="BP28" i="227" s="1"/>
  <c r="BN34" i="227"/>
  <c r="BO34" i="227" s="1"/>
  <c r="BP34" i="227" s="1"/>
  <c r="BN66" i="227"/>
  <c r="BO66" i="227" s="1"/>
  <c r="BP66" i="227" s="1"/>
  <c r="BN22" i="227"/>
  <c r="BO22" i="227" s="1"/>
  <c r="BP22" i="227" s="1"/>
  <c r="BN19" i="227"/>
  <c r="BO19" i="227" s="1"/>
  <c r="BP19" i="227" s="1"/>
  <c r="BN71" i="227"/>
  <c r="BO71" i="227" s="1"/>
  <c r="BP71" i="227" s="1"/>
  <c r="BN20" i="227"/>
  <c r="BO20" i="227" s="1"/>
  <c r="BP20" i="227" s="1"/>
  <c r="BN57" i="227"/>
  <c r="BO57" i="227" s="1"/>
  <c r="BP57" i="227" s="1"/>
  <c r="BN27" i="227"/>
  <c r="BO27" i="227" s="1"/>
  <c r="BP27" i="227" s="1"/>
  <c r="BN40" i="227"/>
  <c r="BO40" i="227" s="1"/>
  <c r="BP40" i="227" s="1"/>
  <c r="BN12" i="227"/>
  <c r="BO12" i="227" s="1"/>
  <c r="BP12" i="227" s="1"/>
  <c r="BN26" i="227"/>
  <c r="BO26" i="227" s="1"/>
  <c r="BP26" i="227" s="1"/>
  <c r="BN63" i="227"/>
  <c r="BO63" i="227" s="1"/>
  <c r="BP63" i="227" s="1"/>
  <c r="BN47" i="227"/>
  <c r="BO47" i="227" s="1"/>
  <c r="BP47" i="227" s="1"/>
  <c r="BN32" i="227"/>
  <c r="BO32" i="227" s="1"/>
  <c r="BP32" i="227" s="1"/>
  <c r="BN44" i="227"/>
  <c r="BO44" i="227" s="1"/>
  <c r="BP44" i="227" s="1"/>
  <c r="BN33" i="227"/>
  <c r="BO33" i="227" s="1"/>
  <c r="BP33" i="227" s="1"/>
  <c r="BN49" i="227"/>
  <c r="BO49" i="227" s="1"/>
  <c r="BP49" i="227" s="1"/>
  <c r="BN36" i="227"/>
  <c r="BO36" i="227" s="1"/>
  <c r="BP36" i="227" s="1"/>
  <c r="BN56" i="227"/>
  <c r="BO56" i="227" s="1"/>
  <c r="BP56" i="227" s="1"/>
  <c r="BN13" i="227"/>
  <c r="BO13" i="227" s="1"/>
  <c r="BP13" i="227" s="1"/>
  <c r="BN68" i="227"/>
  <c r="BO68" i="227" s="1"/>
  <c r="BP68" i="227" s="1"/>
  <c r="BN35" i="227"/>
  <c r="BO35" i="227" s="1"/>
  <c r="BP35" i="227" s="1"/>
  <c r="BN21" i="227"/>
  <c r="BO21" i="227" s="1"/>
  <c r="BP21" i="227" s="1"/>
  <c r="BN61" i="227"/>
  <c r="BO61" i="227" s="1"/>
  <c r="BP61" i="227" s="1"/>
  <c r="BN50" i="227"/>
  <c r="BO50" i="227" s="1"/>
  <c r="BP50" i="227" s="1"/>
  <c r="BN48" i="227"/>
  <c r="BO48" i="227" s="1"/>
  <c r="BP48" i="227" s="1"/>
  <c r="BN16" i="227"/>
  <c r="BO16" i="227" s="1"/>
  <c r="BP16" i="227" s="1"/>
  <c r="BN51" i="227"/>
  <c r="BO51" i="227" s="1"/>
  <c r="BP51" i="227" s="1"/>
  <c r="BN46" i="227"/>
  <c r="BO46" i="227" s="1"/>
  <c r="BP46" i="227" s="1"/>
  <c r="BN72" i="227"/>
  <c r="BO72" i="227" s="1"/>
  <c r="BP72" i="227" s="1"/>
  <c r="BN52" i="227"/>
  <c r="BO52" i="227" s="1"/>
  <c r="BP52" i="227" s="1"/>
  <c r="BN65" i="227"/>
  <c r="BO65" i="227" s="1"/>
  <c r="BP65" i="227" s="1"/>
  <c r="BN43" i="227"/>
  <c r="BO43" i="227" s="1"/>
  <c r="BP43" i="227" s="1"/>
  <c r="BN67" i="227"/>
  <c r="BO67" i="227" s="1"/>
  <c r="BP67" i="227" s="1"/>
  <c r="BN70" i="227"/>
  <c r="BO70" i="227" s="1"/>
  <c r="BP70" i="227" s="1"/>
  <c r="BN38" i="227"/>
  <c r="BO38" i="227" s="1"/>
  <c r="BP38" i="227" s="1"/>
  <c r="BN39" i="227"/>
  <c r="BO39" i="227" s="1"/>
  <c r="BP39" i="227" s="1"/>
  <c r="BN17" i="227"/>
  <c r="BO17" i="227" s="1"/>
  <c r="BP17" i="227" s="1"/>
  <c r="BN69" i="227"/>
  <c r="BO69" i="227" s="1"/>
  <c r="BP69" i="227" s="1"/>
  <c r="BN31" i="227"/>
  <c r="BO31" i="227" s="1"/>
  <c r="BP31" i="227" s="1"/>
  <c r="BN25" i="227"/>
  <c r="BO25" i="227" s="1"/>
  <c r="BP25" i="227" s="1"/>
  <c r="BN24" i="227"/>
  <c r="BO24" i="227" s="1"/>
  <c r="BP24" i="227" s="1"/>
  <c r="BN54" i="227"/>
  <c r="BO54" i="227" s="1"/>
  <c r="BP54" i="227" s="1"/>
  <c r="BN53" i="227"/>
  <c r="BO53" i="227" s="1"/>
  <c r="BP53" i="227" s="1"/>
  <c r="BN62" i="227"/>
  <c r="BO62" i="227" s="1"/>
  <c r="BP62" i="227" s="1"/>
  <c r="BN41" i="227"/>
  <c r="BO41" i="227" s="1"/>
  <c r="BP41" i="227" s="1"/>
  <c r="BN60" i="227"/>
  <c r="BO60" i="227" s="1"/>
  <c r="BP60" i="227" s="1"/>
  <c r="BN10" i="227"/>
  <c r="BO10" i="227" s="1"/>
  <c r="BP10" i="227" s="1"/>
  <c r="BN11" i="227"/>
  <c r="BO11" i="227" s="1"/>
  <c r="BP11" i="227" s="1"/>
  <c r="BN64" i="227"/>
  <c r="BO64" i="227" s="1"/>
  <c r="BP64" i="227" s="1"/>
  <c r="BN23" i="227"/>
  <c r="BO23" i="227" s="1"/>
  <c r="BP23" i="227" s="1"/>
  <c r="BN58" i="227"/>
  <c r="BO58" i="227" s="1"/>
  <c r="BP58" i="227" s="1"/>
  <c r="F1117" i="857"/>
  <c r="E110" i="227"/>
  <c r="F110" i="227" s="1"/>
  <c r="F895" i="857"/>
  <c r="D23" i="227"/>
  <c r="D68" i="227" s="1"/>
  <c r="D113" i="227" s="1"/>
  <c r="E84" i="227"/>
  <c r="F84" i="227" s="1"/>
  <c r="F1046" i="857"/>
  <c r="J70" i="227"/>
  <c r="K70" i="227" s="1"/>
  <c r="L70" i="227" s="1"/>
  <c r="J41" i="227"/>
  <c r="K41" i="227" s="1"/>
  <c r="L41" i="227" s="1"/>
  <c r="J31" i="227"/>
  <c r="K31" i="227" s="1"/>
  <c r="L31" i="227" s="1"/>
  <c r="J43" i="227"/>
  <c r="K43" i="227" s="1"/>
  <c r="L43" i="227" s="1"/>
  <c r="J54" i="227"/>
  <c r="K54" i="227" s="1"/>
  <c r="L54" i="227" s="1"/>
  <c r="J65" i="227"/>
  <c r="K65" i="227" s="1"/>
  <c r="L65" i="227" s="1"/>
  <c r="J19" i="227"/>
  <c r="K19" i="227" s="1"/>
  <c r="L19" i="227" s="1"/>
  <c r="J42" i="227"/>
  <c r="K42" i="227" s="1"/>
  <c r="L42" i="227" s="1"/>
  <c r="J18" i="227"/>
  <c r="K18" i="227" s="1"/>
  <c r="L18" i="227" s="1"/>
  <c r="J29" i="227"/>
  <c r="K29" i="227" s="1"/>
  <c r="L29" i="227" s="1"/>
  <c r="J39" i="227"/>
  <c r="K39" i="227" s="1"/>
  <c r="L39" i="227" s="1"/>
  <c r="J50" i="227"/>
  <c r="K50" i="227" s="1"/>
  <c r="L50" i="227" s="1"/>
  <c r="J22" i="227"/>
  <c r="K22" i="227" s="1"/>
  <c r="L22" i="227" s="1"/>
  <c r="J12" i="227"/>
  <c r="K12" i="227" s="1"/>
  <c r="L12" i="227" s="1"/>
  <c r="J16" i="227"/>
  <c r="K16" i="227" s="1"/>
  <c r="L16" i="227" s="1"/>
  <c r="J63" i="227"/>
  <c r="K63" i="227" s="1"/>
  <c r="L63" i="227" s="1"/>
  <c r="J28" i="227"/>
  <c r="K28" i="227" s="1"/>
  <c r="L28" i="227" s="1"/>
  <c r="J32" i="227"/>
  <c r="K32" i="227" s="1"/>
  <c r="L32" i="227" s="1"/>
  <c r="J66" i="227"/>
  <c r="K66" i="227" s="1"/>
  <c r="L66" i="227" s="1"/>
  <c r="J47" i="227"/>
  <c r="K47" i="227" s="1"/>
  <c r="L47" i="227" s="1"/>
  <c r="J59" i="227"/>
  <c r="K59" i="227" s="1"/>
  <c r="L59" i="227" s="1"/>
  <c r="J57" i="227"/>
  <c r="K57" i="227" s="1"/>
  <c r="L57" i="227" s="1"/>
  <c r="J23" i="227"/>
  <c r="K23" i="227" s="1"/>
  <c r="L23" i="227" s="1"/>
  <c r="J62" i="227"/>
  <c r="K62" i="227" s="1"/>
  <c r="L62" i="227" s="1"/>
  <c r="J44" i="227"/>
  <c r="K44" i="227" s="1"/>
  <c r="L44" i="227" s="1"/>
  <c r="J40" i="227"/>
  <c r="K40" i="227" s="1"/>
  <c r="L40" i="227" s="1"/>
  <c r="J37" i="227"/>
  <c r="K37" i="227" s="1"/>
  <c r="L37" i="227" s="1"/>
  <c r="J49" i="227"/>
  <c r="K49" i="227" s="1"/>
  <c r="L49" i="227" s="1"/>
  <c r="J58" i="227"/>
  <c r="K58" i="227" s="1"/>
  <c r="L58" i="227" s="1"/>
  <c r="J25" i="227"/>
  <c r="K25" i="227" s="1"/>
  <c r="L25" i="227" s="1"/>
  <c r="J69" i="227"/>
  <c r="K69" i="227" s="1"/>
  <c r="L69" i="227" s="1"/>
  <c r="J64" i="227"/>
  <c r="K64" i="227" s="1"/>
  <c r="L64" i="227" s="1"/>
  <c r="J55" i="227"/>
  <c r="K55" i="227" s="1"/>
  <c r="L55" i="227" s="1"/>
  <c r="J60" i="227"/>
  <c r="K60" i="227" s="1"/>
  <c r="L60" i="227" s="1"/>
  <c r="J24" i="227"/>
  <c r="K24" i="227" s="1"/>
  <c r="L24" i="227" s="1"/>
  <c r="J52" i="227"/>
  <c r="K52" i="227" s="1"/>
  <c r="L52" i="227" s="1"/>
  <c r="J51" i="227"/>
  <c r="K51" i="227" s="1"/>
  <c r="L51" i="227" s="1"/>
  <c r="J11" i="227"/>
  <c r="K11" i="227" s="1"/>
  <c r="L11" i="227" s="1"/>
  <c r="J26" i="227"/>
  <c r="K26" i="227" s="1"/>
  <c r="L26" i="227" s="1"/>
  <c r="J61" i="227"/>
  <c r="K61" i="227" s="1"/>
  <c r="L61" i="227" s="1"/>
  <c r="J67" i="227"/>
  <c r="K67" i="227" s="1"/>
  <c r="L67" i="227" s="1"/>
  <c r="J48" i="227"/>
  <c r="K48" i="227" s="1"/>
  <c r="L48" i="227" s="1"/>
  <c r="J13" i="227"/>
  <c r="K13" i="227" s="1"/>
  <c r="L13" i="227" s="1"/>
  <c r="J46" i="227"/>
  <c r="K46" i="227" s="1"/>
  <c r="L46" i="227" s="1"/>
  <c r="J30" i="227"/>
  <c r="K30" i="227" s="1"/>
  <c r="L30" i="227" s="1"/>
  <c r="J53" i="227"/>
  <c r="K53" i="227" s="1"/>
  <c r="L53" i="227" s="1"/>
  <c r="J20" i="227"/>
  <c r="K20" i="227" s="1"/>
  <c r="L20" i="227" s="1"/>
  <c r="J15" i="227"/>
  <c r="K15" i="227" s="1"/>
  <c r="L15" i="227" s="1"/>
  <c r="J35" i="227"/>
  <c r="K35" i="227" s="1"/>
  <c r="L35" i="227" s="1"/>
  <c r="J36" i="227"/>
  <c r="K36" i="227" s="1"/>
  <c r="L36" i="227" s="1"/>
  <c r="J71" i="227"/>
  <c r="K71" i="227" s="1"/>
  <c r="L71" i="227" s="1"/>
  <c r="J17" i="227"/>
  <c r="K17" i="227" s="1"/>
  <c r="L17" i="227" s="1"/>
  <c r="J21" i="227"/>
  <c r="K21" i="227" s="1"/>
  <c r="L21" i="227" s="1"/>
  <c r="J33" i="227"/>
  <c r="K33" i="227" s="1"/>
  <c r="L33" i="227" s="1"/>
  <c r="J56" i="227"/>
  <c r="K56" i="227" s="1"/>
  <c r="L56" i="227" s="1"/>
  <c r="J27" i="227"/>
  <c r="K27" i="227" s="1"/>
  <c r="L27" i="227" s="1"/>
  <c r="J38" i="227"/>
  <c r="K38" i="227" s="1"/>
  <c r="L38" i="227" s="1"/>
  <c r="J10" i="227"/>
  <c r="K10" i="227" s="1"/>
  <c r="L10" i="227" s="1"/>
  <c r="J72" i="227"/>
  <c r="K72" i="227" s="1"/>
  <c r="L72" i="227" s="1"/>
  <c r="J68" i="227"/>
  <c r="K68" i="227" s="1"/>
  <c r="L68" i="227" s="1"/>
  <c r="J34" i="227"/>
  <c r="K34" i="227" s="1"/>
  <c r="L34" i="227" s="1"/>
  <c r="J14" i="227"/>
  <c r="K14" i="227" s="1"/>
  <c r="L14" i="227" s="1"/>
  <c r="AS52" i="106"/>
  <c r="AS8" i="106"/>
  <c r="F1092" i="857"/>
  <c r="F1032" i="857"/>
  <c r="E70" i="227"/>
  <c r="F70" i="227" s="1"/>
  <c r="F1524" i="857"/>
  <c r="AM15" i="106"/>
  <c r="D103" i="847"/>
  <c r="D105" i="847"/>
  <c r="D104" i="847"/>
  <c r="C50" i="227"/>
  <c r="C94" i="227" s="1"/>
  <c r="C139" i="227" s="1"/>
  <c r="B112" i="794"/>
  <c r="F876" i="857"/>
  <c r="B48" i="354"/>
  <c r="D50" i="227"/>
  <c r="D94" i="227" s="1"/>
  <c r="D139" i="227" s="1"/>
  <c r="F921" i="857"/>
  <c r="F195" i="857"/>
  <c r="D18" i="227"/>
  <c r="D63" i="227" s="1"/>
  <c r="D108" i="227" s="1"/>
  <c r="F890" i="857"/>
  <c r="F1246" i="857"/>
  <c r="F1127" i="857"/>
  <c r="E120" i="227"/>
  <c r="F120" i="227" s="1"/>
  <c r="F1545" i="857"/>
  <c r="AM36" i="106"/>
  <c r="AS47" i="106"/>
  <c r="C42" i="227"/>
  <c r="C87" i="227" s="1"/>
  <c r="C132" i="227" s="1"/>
  <c r="B105" i="794"/>
  <c r="B41" i="354"/>
  <c r="F869" i="857"/>
  <c r="AS19" i="106"/>
  <c r="O119" i="99"/>
  <c r="F3076" i="857"/>
  <c r="L81" i="777"/>
  <c r="E81" i="777"/>
  <c r="F3096" i="857" s="1"/>
  <c r="F1007" i="857"/>
  <c r="F1000" i="857"/>
  <c r="E49" i="227"/>
  <c r="F49" i="227" s="1"/>
  <c r="AI41" i="106"/>
  <c r="AH41" i="106"/>
  <c r="F965" i="857"/>
  <c r="AG41" i="106"/>
  <c r="AS35" i="106"/>
  <c r="F1194" i="857"/>
  <c r="AG12" i="106"/>
  <c r="F936" i="857"/>
  <c r="E19" i="227"/>
  <c r="F19" i="227" s="1"/>
  <c r="AI12" i="106"/>
  <c r="AH12" i="106"/>
  <c r="AM5" i="106"/>
  <c r="F1514" i="857"/>
  <c r="FF38" i="227"/>
  <c r="FG38" i="227" s="1"/>
  <c r="FH38" i="227" s="1"/>
  <c r="FF31" i="227"/>
  <c r="FG31" i="227" s="1"/>
  <c r="FH31" i="227" s="1"/>
  <c r="FF27" i="227"/>
  <c r="FG27" i="227" s="1"/>
  <c r="FH27" i="227" s="1"/>
  <c r="FF29" i="227"/>
  <c r="FG29" i="227" s="1"/>
  <c r="FH29" i="227" s="1"/>
  <c r="FF15" i="227"/>
  <c r="FG15" i="227" s="1"/>
  <c r="FH15" i="227" s="1"/>
  <c r="FF21" i="227"/>
  <c r="FG21" i="227" s="1"/>
  <c r="FH21" i="227" s="1"/>
  <c r="FF34" i="227"/>
  <c r="FG34" i="227" s="1"/>
  <c r="FH34" i="227" s="1"/>
  <c r="FF20" i="227"/>
  <c r="FG20" i="227" s="1"/>
  <c r="FH20" i="227" s="1"/>
  <c r="FF25" i="227"/>
  <c r="FG25" i="227" s="1"/>
  <c r="FH25" i="227" s="1"/>
  <c r="FF49" i="227"/>
  <c r="FG49" i="227" s="1"/>
  <c r="FH49" i="227" s="1"/>
  <c r="FF51" i="227"/>
  <c r="FG51" i="227" s="1"/>
  <c r="FH51" i="227" s="1"/>
  <c r="FF19" i="227"/>
  <c r="FG19" i="227" s="1"/>
  <c r="FH19" i="227" s="1"/>
  <c r="FF14" i="227"/>
  <c r="FG14" i="227" s="1"/>
  <c r="FH14" i="227" s="1"/>
  <c r="FF32" i="227"/>
  <c r="FG32" i="227" s="1"/>
  <c r="FH32" i="227" s="1"/>
  <c r="FF30" i="227"/>
  <c r="FG30" i="227" s="1"/>
  <c r="FH30" i="227" s="1"/>
  <c r="FF42" i="227"/>
  <c r="FG42" i="227" s="1"/>
  <c r="FH42" i="227" s="1"/>
  <c r="FF12" i="227"/>
  <c r="FG12" i="227" s="1"/>
  <c r="FH12" i="227" s="1"/>
  <c r="FF62" i="227"/>
  <c r="FG62" i="227" s="1"/>
  <c r="FH62" i="227" s="1"/>
  <c r="FF55" i="227"/>
  <c r="FG55" i="227" s="1"/>
  <c r="FH55" i="227" s="1"/>
  <c r="FF59" i="227"/>
  <c r="FG59" i="227" s="1"/>
  <c r="FH59" i="227" s="1"/>
  <c r="FF22" i="227"/>
  <c r="FG22" i="227" s="1"/>
  <c r="FH22" i="227" s="1"/>
  <c r="FF35" i="227"/>
  <c r="FG35" i="227" s="1"/>
  <c r="FH35" i="227" s="1"/>
  <c r="FF23" i="227"/>
  <c r="FG23" i="227" s="1"/>
  <c r="FH23" i="227" s="1"/>
  <c r="FF44" i="227"/>
  <c r="FG44" i="227" s="1"/>
  <c r="FH44" i="227" s="1"/>
  <c r="FF26" i="227"/>
  <c r="FG26" i="227" s="1"/>
  <c r="FH26" i="227" s="1"/>
  <c r="FF33" i="227"/>
  <c r="FG33" i="227" s="1"/>
  <c r="FH33" i="227" s="1"/>
  <c r="FF67" i="227"/>
  <c r="FG67" i="227" s="1"/>
  <c r="FH67" i="227" s="1"/>
  <c r="FF70" i="227"/>
  <c r="FG70" i="227" s="1"/>
  <c r="FH70" i="227" s="1"/>
  <c r="FF71" i="227"/>
  <c r="FG71" i="227" s="1"/>
  <c r="FH71" i="227" s="1"/>
  <c r="FF39" i="227"/>
  <c r="FG39" i="227" s="1"/>
  <c r="FH39" i="227" s="1"/>
  <c r="FF43" i="227"/>
  <c r="FG43" i="227" s="1"/>
  <c r="FH43" i="227" s="1"/>
  <c r="FF53" i="227"/>
  <c r="FG53" i="227" s="1"/>
  <c r="FH53" i="227" s="1"/>
  <c r="FF16" i="227"/>
  <c r="FG16" i="227" s="1"/>
  <c r="FH16" i="227" s="1"/>
  <c r="FF50" i="227"/>
  <c r="FG50" i="227" s="1"/>
  <c r="FH50" i="227" s="1"/>
  <c r="FF57" i="227"/>
  <c r="FG57" i="227" s="1"/>
  <c r="FH57" i="227" s="1"/>
  <c r="FF37" i="227"/>
  <c r="FG37" i="227" s="1"/>
  <c r="FH37" i="227" s="1"/>
  <c r="FF47" i="227"/>
  <c r="FG47" i="227" s="1"/>
  <c r="FH47" i="227" s="1"/>
  <c r="FF64" i="227"/>
  <c r="FG64" i="227" s="1"/>
  <c r="FH64" i="227" s="1"/>
  <c r="FF52" i="227"/>
  <c r="FG52" i="227" s="1"/>
  <c r="FH52" i="227" s="1"/>
  <c r="FF54" i="227"/>
  <c r="FG54" i="227" s="1"/>
  <c r="FH54" i="227" s="1"/>
  <c r="FF69" i="227"/>
  <c r="FG69" i="227" s="1"/>
  <c r="FH69" i="227" s="1"/>
  <c r="FF28" i="227"/>
  <c r="FG28" i="227" s="1"/>
  <c r="FH28" i="227" s="1"/>
  <c r="FF48" i="227"/>
  <c r="FG48" i="227" s="1"/>
  <c r="FH48" i="227" s="1"/>
  <c r="FF40" i="227"/>
  <c r="FG40" i="227" s="1"/>
  <c r="FH40" i="227" s="1"/>
  <c r="FF65" i="227"/>
  <c r="FG65" i="227" s="1"/>
  <c r="FH65" i="227" s="1"/>
  <c r="FF11" i="227"/>
  <c r="FG11" i="227" s="1"/>
  <c r="FH11" i="227" s="1"/>
  <c r="FF46" i="227"/>
  <c r="FG46" i="227" s="1"/>
  <c r="FH46" i="227" s="1"/>
  <c r="FF18" i="227"/>
  <c r="FG18" i="227" s="1"/>
  <c r="FH18" i="227" s="1"/>
  <c r="FF10" i="227"/>
  <c r="FG10" i="227" s="1"/>
  <c r="FH10" i="227" s="1"/>
  <c r="FF60" i="227"/>
  <c r="FG60" i="227" s="1"/>
  <c r="FH60" i="227" s="1"/>
  <c r="FF68" i="227"/>
  <c r="FG68" i="227" s="1"/>
  <c r="FH68" i="227" s="1"/>
  <c r="FF24" i="227"/>
  <c r="FG24" i="227" s="1"/>
  <c r="FH24" i="227" s="1"/>
  <c r="FF72" i="227"/>
  <c r="FG72" i="227" s="1"/>
  <c r="FH72" i="227" s="1"/>
  <c r="FF66" i="227"/>
  <c r="FG66" i="227" s="1"/>
  <c r="FH66" i="227" s="1"/>
  <c r="FF17" i="227"/>
  <c r="FG17" i="227" s="1"/>
  <c r="FH17" i="227" s="1"/>
  <c r="FF56" i="227"/>
  <c r="FG56" i="227" s="1"/>
  <c r="FH56" i="227" s="1"/>
  <c r="FF13" i="227"/>
  <c r="FG13" i="227" s="1"/>
  <c r="FH13" i="227" s="1"/>
  <c r="FF41" i="227"/>
  <c r="FG41" i="227" s="1"/>
  <c r="FH41" i="227" s="1"/>
  <c r="FF58" i="227"/>
  <c r="FG58" i="227" s="1"/>
  <c r="FH58" i="227" s="1"/>
  <c r="FF63" i="227"/>
  <c r="FG63" i="227" s="1"/>
  <c r="FH63" i="227" s="1"/>
  <c r="FF61" i="227"/>
  <c r="FG61" i="227" s="1"/>
  <c r="FH61" i="227" s="1"/>
  <c r="FF36" i="227"/>
  <c r="FG36" i="227" s="1"/>
  <c r="FH36" i="227" s="1"/>
  <c r="O8" i="689"/>
  <c r="AS48" i="106"/>
  <c r="F897" i="857"/>
  <c r="D25" i="227"/>
  <c r="D70" i="227" s="1"/>
  <c r="D115" i="227" s="1"/>
  <c r="AS20" i="106"/>
  <c r="F2171" i="857"/>
  <c r="L82" i="774"/>
  <c r="AP69" i="227"/>
  <c r="AQ69" i="227" s="1"/>
  <c r="AR69" i="227" s="1"/>
  <c r="AP46" i="227"/>
  <c r="AQ46" i="227" s="1"/>
  <c r="AR46" i="227" s="1"/>
  <c r="AP66" i="227"/>
  <c r="AQ66" i="227" s="1"/>
  <c r="AR66" i="227" s="1"/>
  <c r="AP36" i="227"/>
  <c r="AQ36" i="227" s="1"/>
  <c r="AR36" i="227" s="1"/>
  <c r="AP27" i="227"/>
  <c r="AQ27" i="227" s="1"/>
  <c r="AR27" i="227" s="1"/>
  <c r="AP22" i="227"/>
  <c r="AQ22" i="227" s="1"/>
  <c r="AR22" i="227" s="1"/>
  <c r="AP54" i="227"/>
  <c r="AQ54" i="227" s="1"/>
  <c r="AR54" i="227" s="1"/>
  <c r="AP53" i="227"/>
  <c r="AQ53" i="227" s="1"/>
  <c r="AR53" i="227" s="1"/>
  <c r="AP38" i="227"/>
  <c r="AQ38" i="227" s="1"/>
  <c r="AR38" i="227" s="1"/>
  <c r="AP49" i="227"/>
  <c r="AQ49" i="227" s="1"/>
  <c r="AR49" i="227" s="1"/>
  <c r="AP37" i="227"/>
  <c r="AQ37" i="227" s="1"/>
  <c r="AR37" i="227" s="1"/>
  <c r="AP50" i="227"/>
  <c r="AQ50" i="227" s="1"/>
  <c r="AR50" i="227" s="1"/>
  <c r="AP47" i="227"/>
  <c r="AQ47" i="227" s="1"/>
  <c r="AR47" i="227" s="1"/>
  <c r="AP51" i="227"/>
  <c r="AQ51" i="227" s="1"/>
  <c r="AR51" i="227" s="1"/>
  <c r="AP62" i="227"/>
  <c r="AQ62" i="227" s="1"/>
  <c r="AR62" i="227" s="1"/>
  <c r="AP17" i="227"/>
  <c r="AQ17" i="227" s="1"/>
  <c r="AR17" i="227" s="1"/>
  <c r="AP60" i="227"/>
  <c r="AQ60" i="227" s="1"/>
  <c r="AR60" i="227" s="1"/>
  <c r="AP72" i="227"/>
  <c r="AQ72" i="227" s="1"/>
  <c r="AR72" i="227" s="1"/>
  <c r="AP20" i="227"/>
  <c r="AQ20" i="227" s="1"/>
  <c r="AR20" i="227" s="1"/>
  <c r="AP34" i="227"/>
  <c r="AQ34" i="227" s="1"/>
  <c r="AR34" i="227" s="1"/>
  <c r="AP35" i="227"/>
  <c r="AQ35" i="227" s="1"/>
  <c r="AR35" i="227" s="1"/>
  <c r="AP28" i="227"/>
  <c r="AQ28" i="227" s="1"/>
  <c r="AR28" i="227" s="1"/>
  <c r="AP43" i="227"/>
  <c r="AQ43" i="227" s="1"/>
  <c r="AR43" i="227" s="1"/>
  <c r="AP48" i="227"/>
  <c r="AQ48" i="227" s="1"/>
  <c r="AR48" i="227" s="1"/>
  <c r="AP56" i="227"/>
  <c r="AQ56" i="227" s="1"/>
  <c r="AR56" i="227" s="1"/>
  <c r="AP24" i="227"/>
  <c r="AQ24" i="227" s="1"/>
  <c r="AR24" i="227" s="1"/>
  <c r="AP23" i="227"/>
  <c r="AQ23" i="227" s="1"/>
  <c r="AR23" i="227" s="1"/>
  <c r="AP63" i="227"/>
  <c r="AQ63" i="227" s="1"/>
  <c r="AR63" i="227" s="1"/>
  <c r="AP71" i="227"/>
  <c r="AQ71" i="227" s="1"/>
  <c r="AR71" i="227" s="1"/>
  <c r="AP42" i="227"/>
  <c r="AQ42" i="227" s="1"/>
  <c r="AR42" i="227" s="1"/>
  <c r="AP44" i="227"/>
  <c r="AQ44" i="227" s="1"/>
  <c r="AR44" i="227" s="1"/>
  <c r="AP30" i="227"/>
  <c r="AQ30" i="227" s="1"/>
  <c r="AR30" i="227" s="1"/>
  <c r="AP29" i="227"/>
  <c r="AQ29" i="227" s="1"/>
  <c r="AR29" i="227" s="1"/>
  <c r="AP32" i="227"/>
  <c r="AQ32" i="227" s="1"/>
  <c r="AR32" i="227" s="1"/>
  <c r="AP64" i="227"/>
  <c r="AQ64" i="227" s="1"/>
  <c r="AR64" i="227" s="1"/>
  <c r="AP10" i="227"/>
  <c r="AQ10" i="227" s="1"/>
  <c r="AR10" i="227" s="1"/>
  <c r="AP14" i="227"/>
  <c r="AQ14" i="227" s="1"/>
  <c r="AR14" i="227" s="1"/>
  <c r="AP61" i="227"/>
  <c r="AQ61" i="227" s="1"/>
  <c r="AR61" i="227" s="1"/>
  <c r="AP21" i="227"/>
  <c r="AQ21" i="227" s="1"/>
  <c r="AR21" i="227" s="1"/>
  <c r="AP70" i="227"/>
  <c r="AQ70" i="227" s="1"/>
  <c r="AR70" i="227" s="1"/>
  <c r="AP65" i="227"/>
  <c r="AQ65" i="227" s="1"/>
  <c r="AR65" i="227" s="1"/>
  <c r="AP31" i="227"/>
  <c r="AQ31" i="227" s="1"/>
  <c r="AR31" i="227" s="1"/>
  <c r="AP12" i="227"/>
  <c r="AQ12" i="227" s="1"/>
  <c r="AR12" i="227" s="1"/>
  <c r="AP39" i="227"/>
  <c r="AQ39" i="227" s="1"/>
  <c r="AR39" i="227" s="1"/>
  <c r="AP26" i="227"/>
  <c r="AQ26" i="227" s="1"/>
  <c r="AR26" i="227" s="1"/>
  <c r="AP18" i="227"/>
  <c r="AQ18" i="227" s="1"/>
  <c r="AR18" i="227" s="1"/>
  <c r="AP25" i="227"/>
  <c r="AQ25" i="227" s="1"/>
  <c r="AR25" i="227" s="1"/>
  <c r="AP15" i="227"/>
  <c r="AQ15" i="227" s="1"/>
  <c r="AR15" i="227" s="1"/>
  <c r="AP67" i="227"/>
  <c r="AQ67" i="227" s="1"/>
  <c r="AR67" i="227" s="1"/>
  <c r="AP52" i="227"/>
  <c r="AQ52" i="227" s="1"/>
  <c r="AR52" i="227" s="1"/>
  <c r="AP55" i="227"/>
  <c r="AQ55" i="227" s="1"/>
  <c r="AR55" i="227" s="1"/>
  <c r="AP57" i="227"/>
  <c r="AQ57" i="227" s="1"/>
  <c r="AR57" i="227" s="1"/>
  <c r="AP68" i="227"/>
  <c r="AQ68" i="227" s="1"/>
  <c r="AR68" i="227" s="1"/>
  <c r="AP40" i="227"/>
  <c r="AQ40" i="227" s="1"/>
  <c r="AR40" i="227" s="1"/>
  <c r="AP11" i="227"/>
  <c r="AQ11" i="227" s="1"/>
  <c r="AR11" i="227" s="1"/>
  <c r="AP41" i="227"/>
  <c r="AQ41" i="227" s="1"/>
  <c r="AR41" i="227" s="1"/>
  <c r="AP19" i="227"/>
  <c r="AQ19" i="227" s="1"/>
  <c r="AR19" i="227" s="1"/>
  <c r="AP16" i="227"/>
  <c r="AQ16" i="227" s="1"/>
  <c r="AR16" i="227" s="1"/>
  <c r="AP33" i="227"/>
  <c r="AQ33" i="227" s="1"/>
  <c r="AR33" i="227" s="1"/>
  <c r="AP13" i="227"/>
  <c r="AQ13" i="227" s="1"/>
  <c r="AR13" i="227" s="1"/>
  <c r="AP59" i="227"/>
  <c r="AQ59" i="227" s="1"/>
  <c r="AR59" i="227" s="1"/>
  <c r="AP58" i="227"/>
  <c r="AQ58" i="227" s="1"/>
  <c r="AR58" i="227" s="1"/>
  <c r="F2166" i="857"/>
  <c r="L77" i="774"/>
  <c r="F920" i="857"/>
  <c r="D49" i="227"/>
  <c r="D93" i="227" s="1"/>
  <c r="D138" i="227" s="1"/>
  <c r="F1183" i="857"/>
  <c r="F1254" i="857"/>
  <c r="F2170" i="857"/>
  <c r="L81" i="774"/>
  <c r="F1105" i="857"/>
  <c r="AS17" i="106"/>
  <c r="F1157" i="857"/>
  <c r="AG4" i="106"/>
  <c r="AH4" i="106"/>
  <c r="F928" i="857"/>
  <c r="AI4" i="106"/>
  <c r="E11" i="227"/>
  <c r="F11" i="227" s="1"/>
  <c r="D33" i="227"/>
  <c r="D78" i="227" s="1"/>
  <c r="D123" i="227" s="1"/>
  <c r="F905" i="857"/>
  <c r="F1554" i="857"/>
  <c r="AM45" i="106"/>
  <c r="X27" i="87"/>
  <c r="DC55" i="528"/>
  <c r="DC59" i="528" s="1"/>
  <c r="DD59" i="528" s="1"/>
  <c r="DD60" i="528" s="1"/>
  <c r="J36" i="528"/>
  <c r="J27" i="87"/>
  <c r="CN50" i="528"/>
  <c r="W10" i="87"/>
  <c r="K67" i="528"/>
  <c r="CN67" i="528" s="1"/>
  <c r="I57" i="528"/>
  <c r="CS57" i="528" s="1"/>
  <c r="CL67" i="528"/>
  <c r="X10" i="87"/>
  <c r="D12" i="112"/>
  <c r="C61" i="41"/>
  <c r="C146" i="794"/>
  <c r="E15" i="112"/>
  <c r="E13" i="112"/>
  <c r="G13" i="112" s="1"/>
  <c r="B153" i="794" s="1"/>
  <c r="E5" i="112"/>
  <c r="G5" i="112" s="1"/>
  <c r="B145" i="794" s="1"/>
  <c r="S37" i="687"/>
  <c r="C12" i="112"/>
  <c r="E11" i="112"/>
  <c r="G11" i="112" s="1"/>
  <c r="B151" i="794" s="1"/>
  <c r="CU52" i="528"/>
  <c r="C73" i="528"/>
  <c r="E9" i="112"/>
  <c r="G9" i="112" s="1"/>
  <c r="B149" i="794" s="1"/>
  <c r="D13" i="528"/>
  <c r="K16" i="87"/>
  <c r="K17" i="87" s="1"/>
  <c r="K18" i="87" s="1"/>
  <c r="G54" i="41"/>
  <c r="J22" i="41" s="1"/>
  <c r="C54" i="41"/>
  <c r="G32" i="688"/>
  <c r="F32" i="688"/>
  <c r="H32" i="688"/>
  <c r="E32" i="688"/>
  <c r="G10" i="688"/>
  <c r="E10" i="688"/>
  <c r="H10" i="688"/>
  <c r="I10" i="688"/>
  <c r="F10" i="688"/>
  <c r="I73" i="528"/>
  <c r="CL69" i="528"/>
  <c r="AF69" i="528"/>
  <c r="K69" i="528"/>
  <c r="CN69" i="528" s="1"/>
  <c r="CG53" i="528"/>
  <c r="G50" i="41"/>
  <c r="J18" i="41" s="1"/>
  <c r="G53" i="39"/>
  <c r="AG67" i="528"/>
  <c r="AN67" i="528" s="1"/>
  <c r="J57" i="528"/>
  <c r="CM67" i="528"/>
  <c r="M55" i="39"/>
  <c r="Q15" i="528"/>
  <c r="D66" i="528"/>
  <c r="B56" i="528"/>
  <c r="AM51" i="528"/>
  <c r="F127" i="857" s="1"/>
  <c r="AH51" i="528"/>
  <c r="AO51" i="528" s="1"/>
  <c r="Z10" i="87"/>
  <c r="AA10" i="87"/>
  <c r="Q113" i="687"/>
  <c r="Q123" i="687" s="1"/>
  <c r="Q45" i="687"/>
  <c r="F115" i="687"/>
  <c r="E37" i="688"/>
  <c r="F37" i="688"/>
  <c r="H37" i="688"/>
  <c r="G37" i="688"/>
  <c r="F12" i="112"/>
  <c r="F54" i="688"/>
  <c r="H54" i="688"/>
  <c r="E54" i="688"/>
  <c r="G54" i="688"/>
  <c r="D31" i="528"/>
  <c r="K30" i="87"/>
  <c r="K31" i="87" s="1"/>
  <c r="K32" i="87" s="1"/>
  <c r="Q54" i="528"/>
  <c r="R54" i="528" s="1"/>
  <c r="S54" i="528" s="1"/>
  <c r="E16" i="112"/>
  <c r="G16" i="112" s="1"/>
  <c r="B156" i="794" s="1"/>
  <c r="F29" i="688"/>
  <c r="H29" i="688"/>
  <c r="G29" i="688"/>
  <c r="E29" i="688"/>
  <c r="E35" i="688"/>
  <c r="G35" i="688"/>
  <c r="H35" i="688"/>
  <c r="F35" i="688"/>
  <c r="AF72" i="528"/>
  <c r="K72" i="528"/>
  <c r="CL72" i="528"/>
  <c r="Q45" i="99"/>
  <c r="AN52" i="528"/>
  <c r="AH52" i="528"/>
  <c r="AO52" i="528" s="1"/>
  <c r="Q8" i="87"/>
  <c r="R8" i="87" s="1"/>
  <c r="S8" i="87" s="1"/>
  <c r="C72" i="41"/>
  <c r="D63" i="41"/>
  <c r="CG51" i="528"/>
  <c r="D52" i="687"/>
  <c r="F52" i="687" s="1"/>
  <c r="Q50" i="528"/>
  <c r="R50" i="528" s="1"/>
  <c r="S50" i="528" s="1"/>
  <c r="M45" i="99"/>
  <c r="M113" i="99"/>
  <c r="M123" i="99" s="1"/>
  <c r="BU57" i="227" a="1"/>
  <c r="BU57" i="227" s="1"/>
  <c r="E11" i="688"/>
  <c r="I11" i="688"/>
  <c r="H11" i="688"/>
  <c r="G11" i="688"/>
  <c r="H15" i="688"/>
  <c r="E15" i="688"/>
  <c r="G15" i="688"/>
  <c r="J15" i="688"/>
  <c r="K15" i="688"/>
  <c r="F15" i="688"/>
  <c r="H40" i="688"/>
  <c r="E40" i="688"/>
  <c r="F40" i="688"/>
  <c r="G40" i="688"/>
  <c r="F41" i="688"/>
  <c r="E41" i="688"/>
  <c r="H41" i="688"/>
  <c r="G41" i="688"/>
  <c r="E32" i="41"/>
  <c r="D39" i="41"/>
  <c r="D41" i="41" s="1"/>
  <c r="F32" i="41"/>
  <c r="AH53" i="528"/>
  <c r="AO53" i="528" s="1"/>
  <c r="I13" i="528"/>
  <c r="Q51" i="528"/>
  <c r="R51" i="528" s="1"/>
  <c r="S51" i="528" s="1"/>
  <c r="D52" i="99"/>
  <c r="F52" i="99" s="1"/>
  <c r="I58" i="528"/>
  <c r="K68" i="528"/>
  <c r="DD67" i="528"/>
  <c r="AM50" i="528"/>
  <c r="AH50" i="528"/>
  <c r="AO50" i="528" s="1"/>
  <c r="G62" i="41"/>
  <c r="D62" i="41"/>
  <c r="C6" i="112"/>
  <c r="E8" i="112"/>
  <c r="G8" i="112" s="1"/>
  <c r="B148" i="794" s="1"/>
  <c r="G8" i="688"/>
  <c r="E8" i="688"/>
  <c r="I8" i="688"/>
  <c r="H8" i="688"/>
  <c r="F8" i="688"/>
  <c r="F6" i="112"/>
  <c r="G55" i="688"/>
  <c r="E55" i="688"/>
  <c r="H55" i="688"/>
  <c r="F55" i="688"/>
  <c r="E31" i="528"/>
  <c r="E30" i="528" s="1"/>
  <c r="E39" i="528" s="1"/>
  <c r="L42" i="528" s="1"/>
  <c r="L43" i="528" s="1"/>
  <c r="L44" i="528" s="1"/>
  <c r="AF71" i="528"/>
  <c r="K71" i="528"/>
  <c r="CL71" i="528"/>
  <c r="N3" i="107"/>
  <c r="AA8" i="87"/>
  <c r="Y8" i="87"/>
  <c r="W8" i="87"/>
  <c r="Z8" i="87"/>
  <c r="M13" i="87"/>
  <c r="P9" i="87" s="1"/>
  <c r="X8" i="87"/>
  <c r="O3" i="107"/>
  <c r="G66" i="41"/>
  <c r="C66" i="41"/>
  <c r="I49" i="39" s="1"/>
  <c r="DD66" i="528"/>
  <c r="DB56" i="528"/>
  <c r="B13" i="528"/>
  <c r="E45" i="87"/>
  <c r="I16" i="87"/>
  <c r="I17" i="87" s="1"/>
  <c r="I18" i="87" s="1"/>
  <c r="D51" i="687"/>
  <c r="CG50" i="528"/>
  <c r="C36" i="528"/>
  <c r="O45" i="99"/>
  <c r="E31" i="688"/>
  <c r="H31" i="688"/>
  <c r="F31" i="688"/>
  <c r="G31" i="688"/>
  <c r="G13" i="688"/>
  <c r="I13" i="688"/>
  <c r="H13" i="688"/>
  <c r="E13" i="688"/>
  <c r="F13" i="688"/>
  <c r="H36" i="688"/>
  <c r="G36" i="688"/>
  <c r="F36" i="688"/>
  <c r="E36" i="688"/>
  <c r="E10" i="112"/>
  <c r="H16" i="688"/>
  <c r="F16" i="688"/>
  <c r="E16" i="688"/>
  <c r="K16" i="688"/>
  <c r="G16" i="688"/>
  <c r="G14" i="39"/>
  <c r="I14" i="39" s="1"/>
  <c r="J5" i="107" s="1"/>
  <c r="X12" i="87"/>
  <c r="Y12" i="87"/>
  <c r="Y26" i="87" s="1"/>
  <c r="O5" i="107"/>
  <c r="N5" i="107"/>
  <c r="W12" i="87"/>
  <c r="AA12" i="87"/>
  <c r="Z12" i="87"/>
  <c r="Z26" i="87" s="1"/>
  <c r="Z27" i="87" s="1"/>
  <c r="Q50" i="227" a="1"/>
  <c r="Q50" i="227" s="1"/>
  <c r="AH31" i="528"/>
  <c r="CG54" i="528"/>
  <c r="AG66" i="528"/>
  <c r="AN66" i="528" s="1"/>
  <c r="CM66" i="528"/>
  <c r="J56" i="528"/>
  <c r="K66" i="528"/>
  <c r="CL66" i="528"/>
  <c r="AF66" i="528"/>
  <c r="H52" i="688"/>
  <c r="F52" i="688"/>
  <c r="E52" i="688"/>
  <c r="G52" i="688"/>
  <c r="W9" i="87"/>
  <c r="Y9" i="87"/>
  <c r="AA9" i="87"/>
  <c r="X9" i="87" s="1"/>
  <c r="Z9" i="87"/>
  <c r="F39" i="688"/>
  <c r="H39" i="688"/>
  <c r="E39" i="688"/>
  <c r="G39" i="688"/>
  <c r="G30" i="688"/>
  <c r="F30" i="688"/>
  <c r="F17" i="688"/>
  <c r="G17" i="688"/>
  <c r="K17" i="688"/>
  <c r="E17" i="688"/>
  <c r="H17" i="688"/>
  <c r="C135" i="529"/>
  <c r="U14" i="227" a="1"/>
  <c r="U14" i="227" s="1"/>
  <c r="D69" i="528"/>
  <c r="D57" i="688"/>
  <c r="J14" i="688"/>
  <c r="K14" i="688"/>
  <c r="G14" i="688"/>
  <c r="H14" i="688"/>
  <c r="F14" i="688"/>
  <c r="E14" i="688"/>
  <c r="G12" i="688"/>
  <c r="F12" i="688"/>
  <c r="I12" i="688"/>
  <c r="H12" i="688"/>
  <c r="E12" i="688"/>
  <c r="G33" i="688"/>
  <c r="E33" i="688"/>
  <c r="F33" i="688"/>
  <c r="H33" i="688"/>
  <c r="AA11" i="87"/>
  <c r="CN36" i="528"/>
  <c r="AH36" i="528"/>
  <c r="CU36" i="528"/>
  <c r="BY18" i="528"/>
  <c r="AM67" i="528"/>
  <c r="AH67" i="528"/>
  <c r="AO67" i="528" s="1"/>
  <c r="AU84" i="354"/>
  <c r="AV83" i="354"/>
  <c r="BF8" i="354"/>
  <c r="AZ80" i="354"/>
  <c r="AZ82" i="354" s="1"/>
  <c r="AY81" i="354"/>
  <c r="H15" i="107"/>
  <c r="I15" i="107" s="1"/>
  <c r="K15" i="107" s="1"/>
  <c r="B85" i="774"/>
  <c r="B81" i="778"/>
  <c r="B82" i="778"/>
  <c r="GD12" i="227"/>
  <c r="B83" i="774"/>
  <c r="I17" i="528"/>
  <c r="B78" i="776"/>
  <c r="B79" i="777"/>
  <c r="B77" i="775"/>
  <c r="N41" i="687"/>
  <c r="B81" i="779"/>
  <c r="B77" i="779"/>
  <c r="H32" i="99"/>
  <c r="FU46" i="227"/>
  <c r="B85" i="777"/>
  <c r="E32" i="687"/>
  <c r="B79" i="774"/>
  <c r="J44" i="687"/>
  <c r="J41" i="687"/>
  <c r="B86" i="776"/>
  <c r="B80" i="779"/>
  <c r="B79" i="775"/>
  <c r="B80" i="776"/>
  <c r="K32" i="528"/>
  <c r="B83" i="778"/>
  <c r="K17" i="528"/>
  <c r="B84" i="779"/>
  <c r="L32" i="687"/>
  <c r="H44" i="99"/>
  <c r="B79" i="779"/>
  <c r="B81" i="777"/>
  <c r="H32" i="687"/>
  <c r="B78" i="774"/>
  <c r="J14" i="528"/>
  <c r="B82" i="775"/>
  <c r="B85" i="779"/>
  <c r="F30" i="687"/>
  <c r="B86" i="775"/>
  <c r="B86" i="777"/>
  <c r="B81" i="774"/>
  <c r="E32" i="99"/>
  <c r="K16" i="528"/>
  <c r="B85" i="775"/>
  <c r="B79" i="778"/>
  <c r="D30" i="687"/>
  <c r="B77" i="778"/>
  <c r="B81" i="775"/>
  <c r="G41" i="99"/>
  <c r="B83" i="777"/>
  <c r="B80" i="775"/>
  <c r="B85" i="778"/>
  <c r="B80" i="778"/>
  <c r="B78" i="779"/>
  <c r="B82" i="776"/>
  <c r="FU30" i="227"/>
  <c r="B84" i="777"/>
  <c r="B84" i="776"/>
  <c r="L32" i="99"/>
  <c r="B77" i="774"/>
  <c r="B82" i="779"/>
  <c r="B84" i="774"/>
  <c r="I41" i="687"/>
  <c r="B84" i="775"/>
  <c r="G32" i="99"/>
  <c r="B81" i="776"/>
  <c r="C17" i="528"/>
  <c r="B77" i="777"/>
  <c r="K14" i="528"/>
  <c r="K37" i="528"/>
  <c r="B82" i="774"/>
  <c r="B78" i="775"/>
  <c r="G32" i="687"/>
  <c r="B83" i="779"/>
  <c r="D16" i="528"/>
  <c r="B85" i="776"/>
  <c r="B78" i="778"/>
  <c r="G41" i="687"/>
  <c r="B80" i="774"/>
  <c r="B83" i="776"/>
  <c r="B17" i="528"/>
  <c r="B84" i="778"/>
  <c r="P32" i="99"/>
  <c r="J41" i="99"/>
  <c r="B79" i="776"/>
  <c r="B83" i="775"/>
  <c r="I41" i="99"/>
  <c r="B86" i="774"/>
  <c r="B86" i="779"/>
  <c r="B82" i="777"/>
  <c r="B86" i="778"/>
  <c r="B78" i="777"/>
  <c r="D37" i="528"/>
  <c r="B80" i="777"/>
  <c r="P32" i="687"/>
  <c r="B77" i="776"/>
  <c r="Q69" i="227" l="1" a="1"/>
  <c r="Q69" i="227" s="1"/>
  <c r="DE19" i="227" a="1"/>
  <c r="DE19" i="227" s="1"/>
  <c r="AO13" i="227" a="1"/>
  <c r="AO13" i="227" s="1"/>
  <c r="CO23" i="227" a="1"/>
  <c r="CO23" i="227" s="1"/>
  <c r="CK34" i="227" a="1"/>
  <c r="CK34" i="227" s="1"/>
  <c r="Q34" i="227" a="1"/>
  <c r="Q34" i="227" s="1"/>
  <c r="BM25" i="227" a="1"/>
  <c r="BM25" i="227" s="1"/>
  <c r="CW51" i="227" a="1"/>
  <c r="CW51" i="227" s="1"/>
  <c r="AG31" i="227" a="1"/>
  <c r="AG31" i="227" s="1"/>
  <c r="CK49" i="227" a="1"/>
  <c r="CK49" i="227" s="1"/>
  <c r="AC36" i="227" a="1"/>
  <c r="AC36" i="227" s="1"/>
  <c r="BM47" i="227" a="1"/>
  <c r="BM47" i="227" s="1"/>
  <c r="EG15" i="227" a="1"/>
  <c r="EG15" i="227" s="1"/>
  <c r="EW10" i="227" a="1"/>
  <c r="EW10" i="227" s="1"/>
  <c r="DI41" i="227" a="1"/>
  <c r="DI41" i="227" s="1"/>
  <c r="AG28" i="227" a="1"/>
  <c r="AG28" i="227" s="1"/>
  <c r="DI11" i="227" a="1"/>
  <c r="DI11" i="227" s="1"/>
  <c r="CK57" i="227" a="1"/>
  <c r="CK57" i="227" s="1"/>
  <c r="AC54" i="227" a="1"/>
  <c r="AC54" i="227" s="1"/>
  <c r="EG64" i="227" a="1"/>
  <c r="EG64" i="227" s="1"/>
  <c r="DE60" i="227" a="1"/>
  <c r="DE60" i="227" s="1"/>
  <c r="CK71" i="227" a="1"/>
  <c r="CK71" i="227" s="1"/>
  <c r="DI68" i="227" a="1"/>
  <c r="DI68" i="227" s="1"/>
  <c r="G63" i="41"/>
  <c r="AG42" i="227" a="1"/>
  <c r="AG42" i="227" s="1"/>
  <c r="DY63" i="227" a="1"/>
  <c r="DY63" i="227" s="1"/>
  <c r="DI56" i="227" a="1"/>
  <c r="DI56" i="227" s="1"/>
  <c r="BY25" i="227" a="1"/>
  <c r="BY25" i="227" s="1"/>
  <c r="DY69" i="227" a="1"/>
  <c r="DY69" i="227" s="1"/>
  <c r="AG26" i="227" a="1"/>
  <c r="AG26" i="227" s="1"/>
  <c r="CC12" i="227" a="1"/>
  <c r="CC12" i="227" s="1"/>
  <c r="AG49" i="227" a="1"/>
  <c r="AG49" i="227" s="1"/>
  <c r="U53" i="227" a="1"/>
  <c r="U53" i="227" s="1"/>
  <c r="BY38" i="227" a="1"/>
  <c r="BY38" i="227" s="1"/>
  <c r="BE15" i="227" a="1"/>
  <c r="BE15" i="227" s="1"/>
  <c r="DI14" i="227" a="1"/>
  <c r="DI14" i="227" s="1"/>
  <c r="U54" i="227" a="1"/>
  <c r="U54" i="227" s="1"/>
  <c r="CO26" i="227" a="1"/>
  <c r="CO26" i="227" s="1"/>
  <c r="BY46" i="227" a="1"/>
  <c r="BY46" i="227" s="1"/>
  <c r="CC61" i="227" a="1"/>
  <c r="CC61" i="227" s="1"/>
  <c r="BY35" i="227" a="1"/>
  <c r="BY35" i="227" s="1"/>
  <c r="AG24" i="227" a="1"/>
  <c r="AG24" i="227" s="1"/>
  <c r="U67" i="227" a="1"/>
  <c r="U67" i="227" s="1"/>
  <c r="BY11" i="227" a="1"/>
  <c r="BY11" i="227" s="1"/>
  <c r="BI62" i="227" a="1"/>
  <c r="BI62" i="227" s="1"/>
  <c r="CC41" i="227" a="1"/>
  <c r="CC41" i="227" s="1"/>
  <c r="U19" i="227" a="1"/>
  <c r="U19" i="227" s="1"/>
  <c r="BU52" i="227" a="1"/>
  <c r="BU52" i="227" s="1"/>
  <c r="J29" i="111"/>
  <c r="C11" i="39" s="1"/>
  <c r="E11" i="39" s="1"/>
  <c r="CE57" i="528"/>
  <c r="AG35" i="227" a="1"/>
  <c r="AG35" i="227" s="1"/>
  <c r="AG12" i="227" a="1"/>
  <c r="AG12" i="227" s="1"/>
  <c r="AG18" i="227" a="1"/>
  <c r="AG18" i="227" s="1"/>
  <c r="AG69" i="227" a="1"/>
  <c r="AG69" i="227" s="1"/>
  <c r="AG55" i="227" a="1"/>
  <c r="AG55" i="227" s="1"/>
  <c r="AO30" i="227" a="1"/>
  <c r="AO30" i="227" s="1"/>
  <c r="DI63" i="227" a="1"/>
  <c r="DI63" i="227" s="1"/>
  <c r="DI19" i="227" a="1"/>
  <c r="DI19" i="227" s="1"/>
  <c r="DI34" i="227" a="1"/>
  <c r="DI34" i="227" s="1"/>
  <c r="DI32" i="227" a="1"/>
  <c r="DI32" i="227" s="1"/>
  <c r="DI28" i="227" a="1"/>
  <c r="DI28" i="227" s="1"/>
  <c r="U41" i="227" a="1"/>
  <c r="U41" i="227" s="1"/>
  <c r="U21" i="227" a="1"/>
  <c r="U21" i="227" s="1"/>
  <c r="U26" i="227" a="1"/>
  <c r="U26" i="227" s="1"/>
  <c r="U27" i="227" a="1"/>
  <c r="U27" i="227" s="1"/>
  <c r="U37" i="227" a="1"/>
  <c r="U37" i="227" s="1"/>
  <c r="CK48" i="227" a="1"/>
  <c r="CK48" i="227" s="1"/>
  <c r="CK25" i="227" a="1"/>
  <c r="CK25" i="227" s="1"/>
  <c r="CK37" i="227" a="1"/>
  <c r="CK37" i="227" s="1"/>
  <c r="CK27" i="227" a="1"/>
  <c r="CK27" i="227" s="1"/>
  <c r="E38" i="688"/>
  <c r="CC51" i="227" a="1"/>
  <c r="CC51" i="227" s="1"/>
  <c r="CC13" i="227" a="1"/>
  <c r="CC13" i="227" s="1"/>
  <c r="CC53" i="227" a="1"/>
  <c r="CC53" i="227" s="1"/>
  <c r="Q32" i="227" a="1"/>
  <c r="Q32" i="227" s="1"/>
  <c r="Q21" i="227" a="1"/>
  <c r="Q21" i="227" s="1"/>
  <c r="Q48" i="227" a="1"/>
  <c r="Q48" i="227" s="1"/>
  <c r="Q11" i="227" a="1"/>
  <c r="Q11" i="227" s="1"/>
  <c r="AC46" i="227" a="1"/>
  <c r="AC46" i="227" s="1"/>
  <c r="AC44" i="227" a="1"/>
  <c r="AC44" i="227" s="1"/>
  <c r="BY15" i="227" a="1"/>
  <c r="BY15" i="227" s="1"/>
  <c r="BY68" i="227" a="1"/>
  <c r="BY68" i="227" s="1"/>
  <c r="BY28" i="227" a="1"/>
  <c r="BY28" i="227" s="1"/>
  <c r="BY47" i="227" a="1"/>
  <c r="BY47" i="227" s="1"/>
  <c r="BY52" i="227" a="1"/>
  <c r="BY52" i="227" s="1"/>
  <c r="BM48" i="227" a="1"/>
  <c r="BM48" i="227" s="1"/>
  <c r="BM35" i="227" a="1"/>
  <c r="BM35" i="227" s="1"/>
  <c r="CO12" i="227" a="1"/>
  <c r="CO12" i="227" s="1"/>
  <c r="CO71" i="227" a="1"/>
  <c r="CO71" i="227" s="1"/>
  <c r="BU13" i="227" a="1"/>
  <c r="BU13" i="227" s="1"/>
  <c r="BU17" i="227" a="1"/>
  <c r="BU17" i="227" s="1"/>
  <c r="EG65" i="227" a="1"/>
  <c r="EG65" i="227" s="1"/>
  <c r="EG66" i="227" a="1"/>
  <c r="EG66" i="227" s="1"/>
  <c r="EG68" i="227" a="1"/>
  <c r="EG68" i="227" s="1"/>
  <c r="C5" i="529"/>
  <c r="C7" i="529" s="1"/>
  <c r="DY49" i="227" a="1"/>
  <c r="DY49" i="227" s="1"/>
  <c r="DY22" i="227" a="1"/>
  <c r="DY22" i="227" s="1"/>
  <c r="BE68" i="227" a="1"/>
  <c r="BE68" i="227" s="1"/>
  <c r="DM50" i="227" a="1"/>
  <c r="DM50" i="227" s="1"/>
  <c r="BI41" i="227" a="1"/>
  <c r="BI41" i="227" s="1"/>
  <c r="DE12" i="227" a="1"/>
  <c r="DE12" i="227" s="1"/>
  <c r="CW57" i="227" a="1"/>
  <c r="CW57" i="227" s="1"/>
  <c r="AC31" i="227" a="1"/>
  <c r="AC31" i="227" s="1"/>
  <c r="EK32" i="227" a="1"/>
  <c r="EK32" i="227" s="1"/>
  <c r="EW28" i="227" a="1"/>
  <c r="EW28" i="227" s="1"/>
  <c r="F67" i="41"/>
  <c r="BA32" i="227" a="1"/>
  <c r="BA32" i="227" s="1"/>
  <c r="EC59" i="227" a="1"/>
  <c r="EC59" i="227" s="1"/>
  <c r="CW28" i="227" a="1"/>
  <c r="CW28" i="227" s="1"/>
  <c r="AF57" i="528"/>
  <c r="AG30" i="227" a="1"/>
  <c r="AG30" i="227" s="1"/>
  <c r="AG32" i="227" a="1"/>
  <c r="AG32" i="227" s="1"/>
  <c r="AG47" i="227" a="1"/>
  <c r="AG47" i="227" s="1"/>
  <c r="AG65" i="227" a="1"/>
  <c r="AG65" i="227" s="1"/>
  <c r="AG29" i="227" a="1"/>
  <c r="AG29" i="227" s="1"/>
  <c r="AO49" i="227" a="1"/>
  <c r="AO49" i="227" s="1"/>
  <c r="DI13" i="227" a="1"/>
  <c r="DI13" i="227" s="1"/>
  <c r="DI30" i="227" a="1"/>
  <c r="DI30" i="227" s="1"/>
  <c r="DI18" i="227" a="1"/>
  <c r="DI18" i="227" s="1"/>
  <c r="DI10" i="227" a="1"/>
  <c r="DI10" i="227" s="1"/>
  <c r="DI66" i="227" a="1"/>
  <c r="DI66" i="227" s="1"/>
  <c r="U32" i="227" a="1"/>
  <c r="U32" i="227" s="1"/>
  <c r="U15" i="227" a="1"/>
  <c r="U15" i="227" s="1"/>
  <c r="U47" i="227" a="1"/>
  <c r="U47" i="227" s="1"/>
  <c r="U28" i="227" a="1"/>
  <c r="U28" i="227" s="1"/>
  <c r="U39" i="227" a="1"/>
  <c r="U39" i="227" s="1"/>
  <c r="CK61" i="227" a="1"/>
  <c r="CK61" i="227" s="1"/>
  <c r="CK50" i="227" a="1"/>
  <c r="CK50" i="227" s="1"/>
  <c r="CK31" i="227" a="1"/>
  <c r="CK31" i="227" s="1"/>
  <c r="CK72" i="227" a="1"/>
  <c r="CK72" i="227" s="1"/>
  <c r="G38" i="688"/>
  <c r="CC39" i="227" a="1"/>
  <c r="CC39" i="227" s="1"/>
  <c r="CC16" i="227" a="1"/>
  <c r="CC16" i="227" s="1"/>
  <c r="CC70" i="227" a="1"/>
  <c r="CC70" i="227" s="1"/>
  <c r="Q62" i="227" a="1"/>
  <c r="Q62" i="227" s="1"/>
  <c r="Q56" i="227" a="1"/>
  <c r="Q56" i="227" s="1"/>
  <c r="Q27" i="227" a="1"/>
  <c r="Q27" i="227" s="1"/>
  <c r="Q15" i="227" a="1"/>
  <c r="Q15" i="227" s="1"/>
  <c r="AC27" i="227" a="1"/>
  <c r="AC27" i="227" s="1"/>
  <c r="AC39" i="227" a="1"/>
  <c r="AC39" i="227" s="1"/>
  <c r="BY67" i="227" a="1"/>
  <c r="BY67" i="227" s="1"/>
  <c r="BY72" i="227" a="1"/>
  <c r="BY72" i="227" s="1"/>
  <c r="BY49" i="227" a="1"/>
  <c r="BY49" i="227" s="1"/>
  <c r="BY50" i="227" a="1"/>
  <c r="BY50" i="227" s="1"/>
  <c r="BY32" i="227" a="1"/>
  <c r="BY32" i="227" s="1"/>
  <c r="BM68" i="227" a="1"/>
  <c r="BM68" i="227" s="1"/>
  <c r="BM34" i="227" a="1"/>
  <c r="BM34" i="227" s="1"/>
  <c r="CO22" i="227" a="1"/>
  <c r="CO22" i="227" s="1"/>
  <c r="CO13" i="227" a="1"/>
  <c r="CO13" i="227" s="1"/>
  <c r="BU33" i="227" a="1"/>
  <c r="BU33" i="227" s="1"/>
  <c r="BU39" i="227" a="1"/>
  <c r="BU39" i="227" s="1"/>
  <c r="EG44" i="227" a="1"/>
  <c r="EG44" i="227" s="1"/>
  <c r="EG40" i="227" a="1"/>
  <c r="EG40" i="227" s="1"/>
  <c r="EG30" i="227" a="1"/>
  <c r="EG30" i="227" s="1"/>
  <c r="DY59" i="227" a="1"/>
  <c r="DY59" i="227" s="1"/>
  <c r="DY55" i="227" a="1"/>
  <c r="DY55" i="227" s="1"/>
  <c r="BE25" i="227" a="1"/>
  <c r="BE25" i="227" s="1"/>
  <c r="BI37" i="227" a="1"/>
  <c r="BI37" i="227" s="1"/>
  <c r="DE53" i="227" a="1"/>
  <c r="DE53" i="227" s="1"/>
  <c r="CW46" i="227" a="1"/>
  <c r="CW46" i="227" s="1"/>
  <c r="DA33" i="227" a="1"/>
  <c r="DA33" i="227" s="1"/>
  <c r="DE38" i="227" a="1"/>
  <c r="DE38" i="227" s="1"/>
  <c r="AG62" i="227" a="1"/>
  <c r="AG62" i="227" s="1"/>
  <c r="AG10" i="227" a="1"/>
  <c r="AG10" i="227" s="1"/>
  <c r="AG50" i="227" a="1"/>
  <c r="AG50" i="227" s="1"/>
  <c r="AG33" i="227" a="1"/>
  <c r="AG33" i="227" s="1"/>
  <c r="AG56" i="227" a="1"/>
  <c r="AG56" i="227" s="1"/>
  <c r="AO67" i="227" a="1"/>
  <c r="AO67" i="227" s="1"/>
  <c r="DI20" i="227" a="1"/>
  <c r="DI20" i="227" s="1"/>
  <c r="DI37" i="227" a="1"/>
  <c r="DI37" i="227" s="1"/>
  <c r="DI60" i="227" a="1"/>
  <c r="DI60" i="227" s="1"/>
  <c r="DI25" i="227" a="1"/>
  <c r="DI25" i="227" s="1"/>
  <c r="DI54" i="227" a="1"/>
  <c r="DI54" i="227" s="1"/>
  <c r="U62" i="227" a="1"/>
  <c r="U62" i="227" s="1"/>
  <c r="U18" i="227" a="1"/>
  <c r="U18" i="227" s="1"/>
  <c r="U43" i="227" a="1"/>
  <c r="U43" i="227" s="1"/>
  <c r="U44" i="227" a="1"/>
  <c r="U44" i="227" s="1"/>
  <c r="U52" i="227" a="1"/>
  <c r="U52" i="227" s="1"/>
  <c r="CK69" i="227" a="1"/>
  <c r="CK69" i="227" s="1"/>
  <c r="CK41" i="227" a="1"/>
  <c r="CK41" i="227" s="1"/>
  <c r="CK68" i="227" a="1"/>
  <c r="CK68" i="227" s="1"/>
  <c r="CK20" i="227" a="1"/>
  <c r="CK20" i="227" s="1"/>
  <c r="F38" i="688"/>
  <c r="CC21" i="227" a="1"/>
  <c r="CC21" i="227" s="1"/>
  <c r="CC67" i="227" a="1"/>
  <c r="CC67" i="227" s="1"/>
  <c r="CC43" i="227" a="1"/>
  <c r="CC43" i="227" s="1"/>
  <c r="Q70" i="227" a="1"/>
  <c r="Q70" i="227" s="1"/>
  <c r="Q41" i="227" a="1"/>
  <c r="Q41" i="227" s="1"/>
  <c r="Q14" i="227" a="1"/>
  <c r="Q14" i="227" s="1"/>
  <c r="AC25" i="227" a="1"/>
  <c r="AC25" i="227" s="1"/>
  <c r="AC64" i="227" a="1"/>
  <c r="AC64" i="227" s="1"/>
  <c r="AC35" i="227" a="1"/>
  <c r="AC35" i="227" s="1"/>
  <c r="BY57" i="227" a="1"/>
  <c r="BY57" i="227" s="1"/>
  <c r="BY51" i="227" a="1"/>
  <c r="BY51" i="227" s="1"/>
  <c r="BY63" i="227" a="1"/>
  <c r="BY63" i="227" s="1"/>
  <c r="BY71" i="227" a="1"/>
  <c r="BY71" i="227" s="1"/>
  <c r="BY55" i="227" a="1"/>
  <c r="BY55" i="227" s="1"/>
  <c r="BM22" i="227" a="1"/>
  <c r="BM22" i="227" s="1"/>
  <c r="CO70" i="227" a="1"/>
  <c r="CO70" i="227" s="1"/>
  <c r="CO54" i="227" a="1"/>
  <c r="CO54" i="227" s="1"/>
  <c r="BU51" i="227" a="1"/>
  <c r="BU51" i="227" s="1"/>
  <c r="BU29" i="227" a="1"/>
  <c r="BU29" i="227" s="1"/>
  <c r="EG14" i="227" a="1"/>
  <c r="EG14" i="227" s="1"/>
  <c r="EG54" i="227" a="1"/>
  <c r="EG54" i="227" s="1"/>
  <c r="EG67" i="227" a="1"/>
  <c r="EG67" i="227" s="1"/>
  <c r="DY20" i="227" a="1"/>
  <c r="DY20" i="227" s="1"/>
  <c r="DY18" i="227" a="1"/>
  <c r="DY18" i="227" s="1"/>
  <c r="J16" i="87"/>
  <c r="J17" i="87" s="1"/>
  <c r="J18" i="87" s="1"/>
  <c r="AG23" i="227" a="1"/>
  <c r="AG23" i="227" s="1"/>
  <c r="AG64" i="227" a="1"/>
  <c r="AG64" i="227" s="1"/>
  <c r="AG11" i="227" a="1"/>
  <c r="AG11" i="227" s="1"/>
  <c r="AG39" i="227" a="1"/>
  <c r="AG39" i="227" s="1"/>
  <c r="AG34" i="227" a="1"/>
  <c r="AG34" i="227" s="1"/>
  <c r="EK16" i="227" a="1"/>
  <c r="EK16" i="227" s="1"/>
  <c r="AO32" i="227" a="1"/>
  <c r="AO32" i="227" s="1"/>
  <c r="DI46" i="227" a="1"/>
  <c r="DI46" i="227" s="1"/>
  <c r="DI44" i="227" a="1"/>
  <c r="DI44" i="227" s="1"/>
  <c r="DI48" i="227" a="1"/>
  <c r="DI48" i="227" s="1"/>
  <c r="DI69" i="227" a="1"/>
  <c r="DI69" i="227" s="1"/>
  <c r="DI35" i="227" a="1"/>
  <c r="DI35" i="227" s="1"/>
  <c r="U49" i="227" a="1"/>
  <c r="U49" i="227" s="1"/>
  <c r="U29" i="227" a="1"/>
  <c r="U29" i="227" s="1"/>
  <c r="U20" i="227" a="1"/>
  <c r="U20" i="227" s="1"/>
  <c r="U42" i="227" a="1"/>
  <c r="U42" i="227" s="1"/>
  <c r="U63" i="227" a="1"/>
  <c r="U63" i="227" s="1"/>
  <c r="CK13" i="227" a="1"/>
  <c r="CK13" i="227" s="1"/>
  <c r="CK70" i="227" a="1"/>
  <c r="CK70" i="227" s="1"/>
  <c r="CK33" i="227" a="1"/>
  <c r="CK33" i="227" s="1"/>
  <c r="CK40" i="227" a="1"/>
  <c r="CK40" i="227" s="1"/>
  <c r="CC18" i="227" a="1"/>
  <c r="CC18" i="227" s="1"/>
  <c r="CC28" i="227" a="1"/>
  <c r="CC28" i="227" s="1"/>
  <c r="CC72" i="227" a="1"/>
  <c r="CC72" i="227" s="1"/>
  <c r="Q38" i="227" a="1"/>
  <c r="Q38" i="227" s="1"/>
  <c r="Q63" i="227" a="1"/>
  <c r="Q63" i="227" s="1"/>
  <c r="Q54" i="227" a="1"/>
  <c r="Q54" i="227" s="1"/>
  <c r="G10" i="112"/>
  <c r="B150" i="794" s="1"/>
  <c r="AC47" i="227" a="1"/>
  <c r="AC47" i="227" s="1"/>
  <c r="AC56" i="227" a="1"/>
  <c r="AC56" i="227" s="1"/>
  <c r="AC67" i="227" a="1"/>
  <c r="AC67" i="227" s="1"/>
  <c r="BY20" i="227" a="1"/>
  <c r="BY20" i="227" s="1"/>
  <c r="BY23" i="227" a="1"/>
  <c r="BY23" i="227" s="1"/>
  <c r="BY70" i="227" a="1"/>
  <c r="BY70" i="227" s="1"/>
  <c r="BY10" i="227" a="1"/>
  <c r="BY10" i="227" s="1"/>
  <c r="BY64" i="227" a="1"/>
  <c r="BY64" i="227" s="1"/>
  <c r="BM40" i="227" a="1"/>
  <c r="BM40" i="227" s="1"/>
  <c r="CO57" i="227" a="1"/>
  <c r="CO57" i="227" s="1"/>
  <c r="BU59" i="227" a="1"/>
  <c r="BU59" i="227" s="1"/>
  <c r="BU36" i="227" a="1"/>
  <c r="BU36" i="227" s="1"/>
  <c r="BU55" i="227" a="1"/>
  <c r="BU55" i="227" s="1"/>
  <c r="EG29" i="227" a="1"/>
  <c r="EG29" i="227" s="1"/>
  <c r="EG17" i="227" a="1"/>
  <c r="EG17" i="227" s="1"/>
  <c r="EG19" i="227" a="1"/>
  <c r="EG19" i="227" s="1"/>
  <c r="DY64" i="227" a="1"/>
  <c r="DY64" i="227" s="1"/>
  <c r="BE34" i="227" a="1"/>
  <c r="BE34" i="227" s="1"/>
  <c r="AC28" i="227" a="1"/>
  <c r="AC28" i="227" s="1"/>
  <c r="AG60" i="227" a="1"/>
  <c r="AG60" i="227" s="1"/>
  <c r="AG46" i="227" a="1"/>
  <c r="AG46" i="227" s="1"/>
  <c r="AG58" i="227" a="1"/>
  <c r="AG58" i="227" s="1"/>
  <c r="AG68" i="227" a="1"/>
  <c r="AG68" i="227" s="1"/>
  <c r="AG57" i="227" a="1"/>
  <c r="AG57" i="227" s="1"/>
  <c r="AO59" i="227" a="1"/>
  <c r="AO59" i="227" s="1"/>
  <c r="DI61" i="227" a="1"/>
  <c r="DI61" i="227" s="1"/>
  <c r="DI16" i="227" a="1"/>
  <c r="DI16" i="227" s="1"/>
  <c r="DI52" i="227" a="1"/>
  <c r="DI52" i="227" s="1"/>
  <c r="DI70" i="227" a="1"/>
  <c r="DI70" i="227" s="1"/>
  <c r="DI12" i="227" a="1"/>
  <c r="DI12" i="227" s="1"/>
  <c r="U35" i="227" a="1"/>
  <c r="U35" i="227" s="1"/>
  <c r="U25" i="227" a="1"/>
  <c r="U25" i="227" s="1"/>
  <c r="U11" i="227" a="1"/>
  <c r="U11" i="227" s="1"/>
  <c r="U70" i="227" a="1"/>
  <c r="U70" i="227" s="1"/>
  <c r="U59" i="227" a="1"/>
  <c r="U59" i="227" s="1"/>
  <c r="CK36" i="227" a="1"/>
  <c r="CK36" i="227" s="1"/>
  <c r="CK11" i="227" a="1"/>
  <c r="CK11" i="227" s="1"/>
  <c r="CK30" i="227" a="1"/>
  <c r="CK30" i="227" s="1"/>
  <c r="CK60" i="227" a="1"/>
  <c r="CK60" i="227" s="1"/>
  <c r="CC22" i="227" a="1"/>
  <c r="CC22" i="227" s="1"/>
  <c r="CC48" i="227" a="1"/>
  <c r="CC48" i="227" s="1"/>
  <c r="CC17" i="227" a="1"/>
  <c r="CC17" i="227" s="1"/>
  <c r="Q17" i="227" a="1"/>
  <c r="Q17" i="227" s="1"/>
  <c r="Q65" i="227" a="1"/>
  <c r="Q65" i="227" s="1"/>
  <c r="Q43" i="227" a="1"/>
  <c r="Q43" i="227" s="1"/>
  <c r="AC60" i="227" a="1"/>
  <c r="AC60" i="227" s="1"/>
  <c r="AC38" i="227" a="1"/>
  <c r="AC38" i="227" s="1"/>
  <c r="AC71" i="227" a="1"/>
  <c r="AC71" i="227" s="1"/>
  <c r="BY53" i="227" a="1"/>
  <c r="BY53" i="227" s="1"/>
  <c r="BY31" i="227" a="1"/>
  <c r="BY31" i="227" s="1"/>
  <c r="BY17" i="227" a="1"/>
  <c r="BY17" i="227" s="1"/>
  <c r="BY59" i="227" a="1"/>
  <c r="BY59" i="227" s="1"/>
  <c r="BY33" i="227" a="1"/>
  <c r="BY33" i="227" s="1"/>
  <c r="BM58" i="227" a="1"/>
  <c r="BM58" i="227" s="1"/>
  <c r="CO24" i="227" a="1"/>
  <c r="CO24" i="227" s="1"/>
  <c r="BU14" i="227" a="1"/>
  <c r="BU14" i="227" s="1"/>
  <c r="BU66" i="227" a="1"/>
  <c r="BU66" i="227" s="1"/>
  <c r="BU37" i="227" a="1"/>
  <c r="BU37" i="227" s="1"/>
  <c r="EG18" i="227" a="1"/>
  <c r="EG18" i="227" s="1"/>
  <c r="EG43" i="227" a="1"/>
  <c r="EG43" i="227" s="1"/>
  <c r="EG60" i="227" a="1"/>
  <c r="EG60" i="227" s="1"/>
  <c r="DY24" i="227" a="1"/>
  <c r="DY24" i="227" s="1"/>
  <c r="BE23" i="227" a="1"/>
  <c r="BE23" i="227" s="1"/>
  <c r="DA63" i="227" a="1"/>
  <c r="DA63" i="227" s="1"/>
  <c r="DA69" i="227" a="1"/>
  <c r="DA69" i="227" s="1"/>
  <c r="AG21" i="227" a="1"/>
  <c r="AG21" i="227" s="1"/>
  <c r="AG13" i="227" a="1"/>
  <c r="AG13" i="227" s="1"/>
  <c r="B73" i="528"/>
  <c r="DI58" i="227" a="1"/>
  <c r="DI58" i="227" s="1"/>
  <c r="DI17" i="227" a="1"/>
  <c r="DI17" i="227" s="1"/>
  <c r="DI39" i="227" a="1"/>
  <c r="DI39" i="227" s="1"/>
  <c r="DI38" i="227" a="1"/>
  <c r="DI38" i="227" s="1"/>
  <c r="DI51" i="227" a="1"/>
  <c r="DI51" i="227" s="1"/>
  <c r="U31" i="227" a="1"/>
  <c r="U31" i="227" s="1"/>
  <c r="U10" i="227" a="1"/>
  <c r="U10" i="227" s="1"/>
  <c r="U33" i="227" a="1"/>
  <c r="U33" i="227" s="1"/>
  <c r="U65" i="227" a="1"/>
  <c r="U65" i="227" s="1"/>
  <c r="U64" i="227" a="1"/>
  <c r="U64" i="227" s="1"/>
  <c r="CK39" i="227" a="1"/>
  <c r="CK39" i="227" s="1"/>
  <c r="CK55" i="227" a="1"/>
  <c r="CK55" i="227" s="1"/>
  <c r="CK59" i="227" a="1"/>
  <c r="CK59" i="227" s="1"/>
  <c r="CK19" i="227" a="1"/>
  <c r="CK19" i="227" s="1"/>
  <c r="CC52" i="227" a="1"/>
  <c r="CC52" i="227" s="1"/>
  <c r="CC14" i="227" a="1"/>
  <c r="CC14" i="227" s="1"/>
  <c r="CC64" i="227" a="1"/>
  <c r="CC64" i="227" s="1"/>
  <c r="Q22" i="227" a="1"/>
  <c r="Q22" i="227" s="1"/>
  <c r="Q39" i="227" a="1"/>
  <c r="Q39" i="227" s="1"/>
  <c r="Q12" i="227" a="1"/>
  <c r="Q12" i="227" s="1"/>
  <c r="AC33" i="227" a="1"/>
  <c r="AC33" i="227" s="1"/>
  <c r="AC57" i="227" a="1"/>
  <c r="AC57" i="227" s="1"/>
  <c r="BY61" i="227" a="1"/>
  <c r="BY61" i="227" s="1"/>
  <c r="BY43" i="227" a="1"/>
  <c r="BY43" i="227" s="1"/>
  <c r="BY41" i="227" a="1"/>
  <c r="BY41" i="227" s="1"/>
  <c r="BY27" i="227" a="1"/>
  <c r="BY27" i="227" s="1"/>
  <c r="BY39" i="227" a="1"/>
  <c r="BY39" i="227" s="1"/>
  <c r="BM29" i="227" a="1"/>
  <c r="BM29" i="227" s="1"/>
  <c r="CO10" i="227" a="1"/>
  <c r="CO10" i="227" s="1"/>
  <c r="BU53" i="227" a="1"/>
  <c r="BU53" i="227" s="1"/>
  <c r="BU63" i="227" a="1"/>
  <c r="BU63" i="227" s="1"/>
  <c r="BU56" i="227" a="1"/>
  <c r="BU56" i="227" s="1"/>
  <c r="EG41" i="227" a="1"/>
  <c r="EG41" i="227" s="1"/>
  <c r="EG48" i="227" a="1"/>
  <c r="EG48" i="227" s="1"/>
  <c r="DY68" i="227" a="1"/>
  <c r="DY68" i="227" s="1"/>
  <c r="BE63" i="227" a="1"/>
  <c r="BE63" i="227" s="1"/>
  <c r="DA16" i="227" a="1"/>
  <c r="DA16" i="227" s="1"/>
  <c r="I46" i="87"/>
  <c r="AO15" i="227" a="1"/>
  <c r="AO15" i="227" s="1"/>
  <c r="CC29" i="227" a="1"/>
  <c r="CC29" i="227" s="1"/>
  <c r="CC46" i="227" a="1"/>
  <c r="CC46" i="227" s="1"/>
  <c r="BM15" i="227" a="1"/>
  <c r="BM15" i="227" s="1"/>
  <c r="DM19" i="227" a="1"/>
  <c r="DM19" i="227" s="1"/>
  <c r="AG70" i="227" a="1"/>
  <c r="AG70" i="227" s="1"/>
  <c r="AG38" i="227" a="1"/>
  <c r="AG38" i="227" s="1"/>
  <c r="AG20" i="227" a="1"/>
  <c r="AG20" i="227" s="1"/>
  <c r="DI31" i="227" a="1"/>
  <c r="DI31" i="227" s="1"/>
  <c r="DI36" i="227" a="1"/>
  <c r="DI36" i="227" s="1"/>
  <c r="U51" i="227" a="1"/>
  <c r="U51" i="227" s="1"/>
  <c r="U61" i="227" a="1"/>
  <c r="U61" i="227" s="1"/>
  <c r="U17" i="227" a="1"/>
  <c r="U17" i="227" s="1"/>
  <c r="CK66" i="227" a="1"/>
  <c r="CK66" i="227" s="1"/>
  <c r="CK64" i="227" a="1"/>
  <c r="CK64" i="227" s="1"/>
  <c r="CC60" i="227" a="1"/>
  <c r="CC60" i="227" s="1"/>
  <c r="CC26" i="227" a="1"/>
  <c r="CC26" i="227" s="1"/>
  <c r="Q66" i="227" a="1"/>
  <c r="Q66" i="227" s="1"/>
  <c r="AC63" i="227" a="1"/>
  <c r="AC63" i="227" s="1"/>
  <c r="BY54" i="227" a="1"/>
  <c r="BY54" i="227" s="1"/>
  <c r="BM50" i="227" a="1"/>
  <c r="BM50" i="227" s="1"/>
  <c r="CO36" i="227" a="1"/>
  <c r="CO36" i="227" s="1"/>
  <c r="BU65" i="227" a="1"/>
  <c r="BU65" i="227" s="1"/>
  <c r="EG56" i="227" a="1"/>
  <c r="EG56" i="227" s="1"/>
  <c r="DY60" i="227" a="1"/>
  <c r="DY60" i="227" s="1"/>
  <c r="BI17" i="227" a="1"/>
  <c r="BI17" i="227" s="1"/>
  <c r="Q10" i="87"/>
  <c r="R10" i="87" s="1"/>
  <c r="S10" i="87" s="1"/>
  <c r="AG17" i="227" a="1"/>
  <c r="AG17" i="227" s="1"/>
  <c r="AG16" i="227" a="1"/>
  <c r="AG16" i="227" s="1"/>
  <c r="AG54" i="227" a="1"/>
  <c r="AG54" i="227" s="1"/>
  <c r="AO14" i="227" a="1"/>
  <c r="AO14" i="227" s="1"/>
  <c r="DI29" i="227" a="1"/>
  <c r="DI29" i="227" s="1"/>
  <c r="DI33" i="227" a="1"/>
  <c r="DI33" i="227" s="1"/>
  <c r="DI27" i="227" a="1"/>
  <c r="DI27" i="227" s="1"/>
  <c r="U58" i="227" a="1"/>
  <c r="U58" i="227" s="1"/>
  <c r="U16" i="227" a="1"/>
  <c r="U16" i="227" s="1"/>
  <c r="CK17" i="227" a="1"/>
  <c r="CK17" i="227" s="1"/>
  <c r="CK26" i="227" a="1"/>
  <c r="CK26" i="227" s="1"/>
  <c r="CC65" i="227" a="1"/>
  <c r="CC65" i="227" s="1"/>
  <c r="Q68" i="227" a="1"/>
  <c r="Q68" i="227" s="1"/>
  <c r="Q26" i="227" a="1"/>
  <c r="Q26" i="227" s="1"/>
  <c r="AC32" i="227" a="1"/>
  <c r="AC32" i="227" s="1"/>
  <c r="BY69" i="227" a="1"/>
  <c r="BY69" i="227" s="1"/>
  <c r="BY65" i="227" a="1"/>
  <c r="BY65" i="227" s="1"/>
  <c r="BY62" i="227" a="1"/>
  <c r="BY62" i="227" s="1"/>
  <c r="FA10" i="227" a="1"/>
  <c r="FA10" i="227" s="1"/>
  <c r="BU42" i="227" a="1"/>
  <c r="BU42" i="227" s="1"/>
  <c r="BU41" i="227" a="1"/>
  <c r="BU41" i="227" s="1"/>
  <c r="EG23" i="227" a="1"/>
  <c r="EG23" i="227" s="1"/>
  <c r="R113" i="99"/>
  <c r="R123" i="99" s="1"/>
  <c r="BE66" i="227" a="1"/>
  <c r="BE66" i="227" s="1"/>
  <c r="AG52" i="227" a="1"/>
  <c r="AG52" i="227" s="1"/>
  <c r="AG27" i="227" a="1"/>
  <c r="AG27" i="227" s="1"/>
  <c r="AG63" i="227" a="1"/>
  <c r="AG63" i="227" s="1"/>
  <c r="AG53" i="227" a="1"/>
  <c r="AG53" i="227" s="1"/>
  <c r="AG48" i="227" a="1"/>
  <c r="AG48" i="227" s="1"/>
  <c r="AO34" i="227" a="1"/>
  <c r="AO34" i="227" s="1"/>
  <c r="DI40" i="227" a="1"/>
  <c r="DI40" i="227" s="1"/>
  <c r="DI67" i="227" a="1"/>
  <c r="DI67" i="227" s="1"/>
  <c r="DI57" i="227" a="1"/>
  <c r="DI57" i="227" s="1"/>
  <c r="DI71" i="227" a="1"/>
  <c r="DI71" i="227" s="1"/>
  <c r="DI49" i="227" a="1"/>
  <c r="DI49" i="227" s="1"/>
  <c r="U56" i="227" a="1"/>
  <c r="U56" i="227" s="1"/>
  <c r="U23" i="227" a="1"/>
  <c r="U23" i="227" s="1"/>
  <c r="U69" i="227" a="1"/>
  <c r="U69" i="227" s="1"/>
  <c r="U66" i="227" a="1"/>
  <c r="U66" i="227" s="1"/>
  <c r="CK18" i="227" a="1"/>
  <c r="CK18" i="227" s="1"/>
  <c r="CK53" i="227" a="1"/>
  <c r="CK53" i="227" s="1"/>
  <c r="CK52" i="227" a="1"/>
  <c r="CK52" i="227" s="1"/>
  <c r="CC68" i="227" a="1"/>
  <c r="CC68" i="227" s="1"/>
  <c r="CC31" i="227" a="1"/>
  <c r="CC31" i="227" s="1"/>
  <c r="CC33" i="227" a="1"/>
  <c r="CC33" i="227" s="1"/>
  <c r="Q18" i="227" a="1"/>
  <c r="Q18" i="227" s="1"/>
  <c r="Q71" i="227" a="1"/>
  <c r="Q71" i="227" s="1"/>
  <c r="Q59" i="227" a="1"/>
  <c r="Q59" i="227" s="1"/>
  <c r="Y27" i="87"/>
  <c r="AC43" i="227" a="1"/>
  <c r="AC43" i="227" s="1"/>
  <c r="AC41" i="227" a="1"/>
  <c r="AC41" i="227" s="1"/>
  <c r="BY16" i="227" a="1"/>
  <c r="BY16" i="227" s="1"/>
  <c r="BY60" i="227" a="1"/>
  <c r="BY60" i="227" s="1"/>
  <c r="BY40" i="227" a="1"/>
  <c r="BY40" i="227" s="1"/>
  <c r="BY56" i="227" a="1"/>
  <c r="BY56" i="227" s="1"/>
  <c r="BY66" i="227" a="1"/>
  <c r="BY66" i="227" s="1"/>
  <c r="BM61" i="227" a="1"/>
  <c r="BM61" i="227" s="1"/>
  <c r="CO32" i="227" a="1"/>
  <c r="CO32" i="227" s="1"/>
  <c r="FA14" i="227" a="1"/>
  <c r="FA14" i="227" s="1"/>
  <c r="BU26" i="227" a="1"/>
  <c r="BU26" i="227" s="1"/>
  <c r="BU32" i="227" a="1"/>
  <c r="BU32" i="227" s="1"/>
  <c r="BU31" i="227" a="1"/>
  <c r="BU31" i="227" s="1"/>
  <c r="EG20" i="227" a="1"/>
  <c r="EG20" i="227" s="1"/>
  <c r="EG50" i="227" a="1"/>
  <c r="EG50" i="227" s="1"/>
  <c r="DY33" i="227" a="1"/>
  <c r="DY33" i="227" s="1"/>
  <c r="BE43" i="227" a="1"/>
  <c r="BE43" i="227" s="1"/>
  <c r="BI27" i="227" a="1"/>
  <c r="BI27" i="227" s="1"/>
  <c r="AG25" i="227" a="1"/>
  <c r="AG25" i="227" s="1"/>
  <c r="AO68" i="227" a="1"/>
  <c r="AO68" i="227" s="1"/>
  <c r="DI65" i="227" a="1"/>
  <c r="DI65" i="227" s="1"/>
  <c r="U40" i="227" a="1"/>
  <c r="U40" i="227" s="1"/>
  <c r="CK28" i="227" a="1"/>
  <c r="CK28" i="227" s="1"/>
  <c r="Q29" i="227" a="1"/>
  <c r="Q29" i="227" s="1"/>
  <c r="BY42" i="227" a="1"/>
  <c r="BY42" i="227" s="1"/>
  <c r="CO33" i="227" a="1"/>
  <c r="CO33" i="227" s="1"/>
  <c r="DY38" i="227" a="1"/>
  <c r="DY38" i="227" s="1"/>
  <c r="AG59" i="227" a="1"/>
  <c r="AG59" i="227" s="1"/>
  <c r="AG67" i="227" a="1"/>
  <c r="AG67" i="227" s="1"/>
  <c r="AG66" i="227" a="1"/>
  <c r="AG66" i="227" s="1"/>
  <c r="DI55" i="227" a="1"/>
  <c r="DI55" i="227" s="1"/>
  <c r="DI24" i="227" a="1"/>
  <c r="DI24" i="227" s="1"/>
  <c r="U46" i="227" a="1"/>
  <c r="U46" i="227" s="1"/>
  <c r="U13" i="227" a="1"/>
  <c r="U13" i="227" s="1"/>
  <c r="CK38" i="227" a="1"/>
  <c r="CK38" i="227" s="1"/>
  <c r="CC71" i="227" a="1"/>
  <c r="CC71" i="227" s="1"/>
  <c r="Q67" i="227" a="1"/>
  <c r="Q67" i="227" s="1"/>
  <c r="AC53" i="227" a="1"/>
  <c r="AC53" i="227" s="1"/>
  <c r="BY24" i="227" a="1"/>
  <c r="BY24" i="227" s="1"/>
  <c r="BY36" i="227" a="1"/>
  <c r="BY36" i="227" s="1"/>
  <c r="BU25" i="227" a="1"/>
  <c r="BU25" i="227" s="1"/>
  <c r="BU35" i="227" a="1"/>
  <c r="BU35" i="227" s="1"/>
  <c r="EG38" i="227" a="1"/>
  <c r="EG38" i="227" s="1"/>
  <c r="BE20" i="227" a="1"/>
  <c r="BE20" i="227" s="1"/>
  <c r="BI29" i="227" a="1"/>
  <c r="BI29" i="227" s="1"/>
  <c r="AG36" i="227" a="1"/>
  <c r="AG36" i="227" s="1"/>
  <c r="AG71" i="227" a="1"/>
  <c r="AG71" i="227" s="1"/>
  <c r="AG41" i="227" a="1"/>
  <c r="AG41" i="227" s="1"/>
  <c r="AG44" i="227" a="1"/>
  <c r="AG44" i="227" s="1"/>
  <c r="AG37" i="227" a="1"/>
  <c r="AG37" i="227" s="1"/>
  <c r="AO11" i="227" a="1"/>
  <c r="AO11" i="227" s="1"/>
  <c r="DI64" i="227" a="1"/>
  <c r="DI64" i="227" s="1"/>
  <c r="DI26" i="227" a="1"/>
  <c r="DI26" i="227" s="1"/>
  <c r="DI62" i="227" a="1"/>
  <c r="DI62" i="227" s="1"/>
  <c r="DI15" i="227" a="1"/>
  <c r="DI15" i="227" s="1"/>
  <c r="DI59" i="227" a="1"/>
  <c r="DI59" i="227" s="1"/>
  <c r="DI53" i="227" a="1"/>
  <c r="DI53" i="227" s="1"/>
  <c r="U50" i="227" a="1"/>
  <c r="U50" i="227" s="1"/>
  <c r="U68" i="227" a="1"/>
  <c r="U68" i="227" s="1"/>
  <c r="U48" i="227" a="1"/>
  <c r="U48" i="227" s="1"/>
  <c r="U30" i="227" a="1"/>
  <c r="U30" i="227" s="1"/>
  <c r="CK63" i="227" a="1"/>
  <c r="CK63" i="227" s="1"/>
  <c r="CK46" i="227" a="1"/>
  <c r="CK46" i="227" s="1"/>
  <c r="CK21" i="227" a="1"/>
  <c r="CK21" i="227" s="1"/>
  <c r="CK35" i="227" a="1"/>
  <c r="CK35" i="227" s="1"/>
  <c r="CC57" i="227" a="1"/>
  <c r="CC57" i="227" s="1"/>
  <c r="CC50" i="227" a="1"/>
  <c r="CC50" i="227" s="1"/>
  <c r="Q28" i="227" a="1"/>
  <c r="Q28" i="227" s="1"/>
  <c r="Q19" i="227" a="1"/>
  <c r="Q19" i="227" s="1"/>
  <c r="Q16" i="227" a="1"/>
  <c r="Q16" i="227" s="1"/>
  <c r="AC61" i="227" a="1"/>
  <c r="AC61" i="227" s="1"/>
  <c r="AC49" i="227" a="1"/>
  <c r="AC49" i="227" s="1"/>
  <c r="BY22" i="227" a="1"/>
  <c r="BY22" i="227" s="1"/>
  <c r="BY12" i="227" a="1"/>
  <c r="BY12" i="227" s="1"/>
  <c r="BY26" i="227" a="1"/>
  <c r="BY26" i="227" s="1"/>
  <c r="BY48" i="227" a="1"/>
  <c r="BY48" i="227" s="1"/>
  <c r="BY44" i="227" a="1"/>
  <c r="BY44" i="227" s="1"/>
  <c r="BM70" i="227" a="1"/>
  <c r="BM70" i="227" s="1"/>
  <c r="CO68" i="227" a="1"/>
  <c r="CO68" i="227" s="1"/>
  <c r="BU67" i="227" a="1"/>
  <c r="BU67" i="227" s="1"/>
  <c r="BU28" i="227" a="1"/>
  <c r="BU28" i="227" s="1"/>
  <c r="BU44" i="227" a="1"/>
  <c r="BU44" i="227" s="1"/>
  <c r="EG10" i="227" a="1"/>
  <c r="EG10" i="227" s="1"/>
  <c r="EG24" i="227" a="1"/>
  <c r="EG24" i="227" s="1"/>
  <c r="DY58" i="227" a="1"/>
  <c r="DY58" i="227" s="1"/>
  <c r="BE58" i="227" a="1"/>
  <c r="BE58" i="227" s="1"/>
  <c r="BI46" i="227" a="1"/>
  <c r="BI46" i="227" s="1"/>
  <c r="DE49" i="227" a="1"/>
  <c r="DE49" i="227" s="1"/>
  <c r="DA25" i="227" a="1"/>
  <c r="DA25" i="227" s="1"/>
  <c r="AG72" i="227" a="1"/>
  <c r="AG72" i="227" s="1"/>
  <c r="AG22" i="227" a="1"/>
  <c r="AG22" i="227" s="1"/>
  <c r="AG43" i="227" a="1"/>
  <c r="AG43" i="227" s="1"/>
  <c r="DI47" i="227" a="1"/>
  <c r="DI47" i="227" s="1"/>
  <c r="DI23" i="227" a="1"/>
  <c r="DI23" i="227" s="1"/>
  <c r="DI42" i="227" a="1"/>
  <c r="DI42" i="227" s="1"/>
  <c r="U60" i="227" a="1"/>
  <c r="U60" i="227" s="1"/>
  <c r="CK24" i="227" a="1"/>
  <c r="CK24" i="227" s="1"/>
  <c r="CK65" i="227" a="1"/>
  <c r="CK65" i="227" s="1"/>
  <c r="CC42" i="227" a="1"/>
  <c r="CC42" i="227" s="1"/>
  <c r="Q30" i="227" a="1"/>
  <c r="Q30" i="227" s="1"/>
  <c r="AC22" i="227" a="1"/>
  <c r="AC22" i="227" s="1"/>
  <c r="BY19" i="227" a="1"/>
  <c r="BY19" i="227" s="1"/>
  <c r="BY30" i="227" a="1"/>
  <c r="BY30" i="227" s="1"/>
  <c r="BM36" i="227" a="1"/>
  <c r="BM36" i="227" s="1"/>
  <c r="BU60" i="227" a="1"/>
  <c r="BU60" i="227" s="1"/>
  <c r="EG51" i="227" a="1"/>
  <c r="EG51" i="227" s="1"/>
  <c r="AG61" i="227" a="1"/>
  <c r="AG61" i="227" s="1"/>
  <c r="AG51" i="227" a="1"/>
  <c r="AG51" i="227" s="1"/>
  <c r="AG14" i="227" a="1"/>
  <c r="AG14" i="227" s="1"/>
  <c r="AG15" i="227" a="1"/>
  <c r="AG15" i="227" s="1"/>
  <c r="AG40" i="227" a="1"/>
  <c r="AG40" i="227" s="1"/>
  <c r="DI50" i="227" a="1"/>
  <c r="DI50" i="227" s="1"/>
  <c r="DI21" i="227" a="1"/>
  <c r="DI21" i="227" s="1"/>
  <c r="DI72" i="227" a="1"/>
  <c r="DI72" i="227" s="1"/>
  <c r="DI43" i="227" a="1"/>
  <c r="DI43" i="227" s="1"/>
  <c r="U38" i="227" a="1"/>
  <c r="U38" i="227" s="1"/>
  <c r="U71" i="227" a="1"/>
  <c r="U71" i="227" s="1"/>
  <c r="U55" i="227" a="1"/>
  <c r="U55" i="227" s="1"/>
  <c r="U24" i="227" a="1"/>
  <c r="U24" i="227" s="1"/>
  <c r="CK32" i="227" a="1"/>
  <c r="CK32" i="227" s="1"/>
  <c r="CK23" i="227" a="1"/>
  <c r="CK23" i="227" s="1"/>
  <c r="CK22" i="227" a="1"/>
  <c r="CK22" i="227" s="1"/>
  <c r="CC32" i="227" a="1"/>
  <c r="CC32" i="227" s="1"/>
  <c r="CC44" i="227" a="1"/>
  <c r="CC44" i="227" s="1"/>
  <c r="Q64" i="227" a="1"/>
  <c r="Q64" i="227" s="1"/>
  <c r="Q13" i="227" a="1"/>
  <c r="Q13" i="227" s="1"/>
  <c r="AC65" i="227" a="1"/>
  <c r="AC65" i="227" s="1"/>
  <c r="BY13" i="227" a="1"/>
  <c r="BY13" i="227" s="1"/>
  <c r="BY58" i="227" a="1"/>
  <c r="BY58" i="227" s="1"/>
  <c r="BY21" i="227" a="1"/>
  <c r="BY21" i="227" s="1"/>
  <c r="BY14" i="227" a="1"/>
  <c r="BY14" i="227" s="1"/>
  <c r="BU16" i="227" a="1"/>
  <c r="BU16" i="227" s="1"/>
  <c r="EG13" i="227" a="1"/>
  <c r="EG13" i="227" s="1"/>
  <c r="EG59" i="227" a="1"/>
  <c r="EG59" i="227" s="1"/>
  <c r="DY11" i="227" a="1"/>
  <c r="DY11" i="227" s="1"/>
  <c r="B72" i="41"/>
  <c r="AO23" i="227" a="1"/>
  <c r="AO23" i="227" s="1"/>
  <c r="CC36" i="227" a="1"/>
  <c r="CC36" i="227" s="1"/>
  <c r="CC49" i="227" a="1"/>
  <c r="CC49" i="227" s="1"/>
  <c r="I53" i="39"/>
  <c r="BM53" i="227" a="1"/>
  <c r="BM53" i="227" s="1"/>
  <c r="CW10" i="227" a="1"/>
  <c r="CW10" i="227" s="1"/>
  <c r="E67" i="41"/>
  <c r="C27" i="87"/>
  <c r="E7" i="112"/>
  <c r="G7" i="112" s="1"/>
  <c r="B147" i="794" s="1"/>
  <c r="C63" i="41"/>
  <c r="AO57" i="227" a="1"/>
  <c r="AO57" i="227" s="1"/>
  <c r="CC24" i="227" a="1"/>
  <c r="CC24" i="227" s="1"/>
  <c r="BM44" i="227" a="1"/>
  <c r="BM44" i="227" s="1"/>
  <c r="BM63" i="227" a="1"/>
  <c r="BM63" i="227" s="1"/>
  <c r="D68" i="528"/>
  <c r="Q75" i="528"/>
  <c r="Q53" i="528"/>
  <c r="R53" i="528" s="1"/>
  <c r="S53" i="528" s="1"/>
  <c r="L13" i="528"/>
  <c r="FA18" i="227" a="1"/>
  <c r="FA18" i="227" s="1"/>
  <c r="EC60" i="227" a="1"/>
  <c r="EC60" i="227" s="1"/>
  <c r="EC26" i="227" a="1"/>
  <c r="EC26" i="227" s="1"/>
  <c r="AO38" i="227" a="1"/>
  <c r="AO38" i="227" s="1"/>
  <c r="BM66" i="227" a="1"/>
  <c r="BM66" i="227" s="1"/>
  <c r="D19" i="528"/>
  <c r="E14" i="112"/>
  <c r="FE23" i="227" a="1"/>
  <c r="FE23" i="227" s="1"/>
  <c r="Y37" i="227" a="1"/>
  <c r="Y37" i="227" s="1"/>
  <c r="L16" i="87"/>
  <c r="L17" i="87" s="1"/>
  <c r="L18" i="87" s="1"/>
  <c r="Q61" i="227" a="1"/>
  <c r="Q61" i="227" s="1"/>
  <c r="F12" i="39"/>
  <c r="F20" i="39" s="1"/>
  <c r="CO42" i="227" a="1"/>
  <c r="CO42" i="227" s="1"/>
  <c r="C152" i="794"/>
  <c r="C159" i="794" s="1"/>
  <c r="D42" i="688"/>
  <c r="ES10" i="227" a="1"/>
  <c r="ES10" i="227" s="1"/>
  <c r="M113" i="687"/>
  <c r="M123" i="687" s="1"/>
  <c r="L36" i="528"/>
  <c r="R45" i="687"/>
  <c r="ES32" i="227" a="1"/>
  <c r="ES32" i="227" s="1"/>
  <c r="CO36" i="528"/>
  <c r="ES38" i="227" a="1"/>
  <c r="ES38" i="227" s="1"/>
  <c r="DU57" i="227" a="1"/>
  <c r="DU57" i="227" s="1"/>
  <c r="AK42" i="227" a="1"/>
  <c r="AK42" i="227" s="1"/>
  <c r="G49" i="41"/>
  <c r="C49" i="41"/>
  <c r="C118" i="41" s="1"/>
  <c r="DQ55" i="227" a="1"/>
  <c r="DQ55" i="227" s="1"/>
  <c r="DQ56" i="227" a="1"/>
  <c r="DQ56" i="227" s="1"/>
  <c r="DQ27" i="227" a="1"/>
  <c r="DQ27" i="227" s="1"/>
  <c r="EO27" i="227" a="1"/>
  <c r="EO27" i="227" s="1"/>
  <c r="FA15" i="227" a="1"/>
  <c r="FA15" i="227" s="1"/>
  <c r="EW48" i="227" a="1"/>
  <c r="EW48" i="227" s="1"/>
  <c r="EW59" i="227" a="1"/>
  <c r="EW59" i="227" s="1"/>
  <c r="EW50" i="227" a="1"/>
  <c r="EW50" i="227" s="1"/>
  <c r="FA33" i="227" a="1"/>
  <c r="FA33" i="227" s="1"/>
  <c r="EW19" i="227" a="1"/>
  <c r="EW19" i="227" s="1"/>
  <c r="BA13" i="227" a="1"/>
  <c r="BA13" i="227" s="1"/>
  <c r="BA61" i="227" a="1"/>
  <c r="BA61" i="227" s="1"/>
  <c r="BA50" i="227" a="1"/>
  <c r="BA50" i="227" s="1"/>
  <c r="BA60" i="227" a="1"/>
  <c r="BA60" i="227" s="1"/>
  <c r="BA35" i="227" a="1"/>
  <c r="BA35" i="227" s="1"/>
  <c r="BA57" i="227" a="1"/>
  <c r="BA57" i="227" s="1"/>
  <c r="BA69" i="227" a="1"/>
  <c r="BA69" i="227" s="1"/>
  <c r="BA66" i="227" a="1"/>
  <c r="BA66" i="227" s="1"/>
  <c r="BA29" i="227" a="1"/>
  <c r="BA29" i="227" s="1"/>
  <c r="BA39" i="227" a="1"/>
  <c r="BA39" i="227" s="1"/>
  <c r="BA33" i="227" a="1"/>
  <c r="BA33" i="227" s="1"/>
  <c r="BA65" i="227" a="1"/>
  <c r="BA65" i="227" s="1"/>
  <c r="BA64" i="227" a="1"/>
  <c r="BA64" i="227" s="1"/>
  <c r="BA72" i="227" a="1"/>
  <c r="BA72" i="227" s="1"/>
  <c r="BA10" i="227" a="1"/>
  <c r="BA10" i="227" s="1"/>
  <c r="BA11" i="227" a="1"/>
  <c r="BA11" i="227" s="1"/>
  <c r="BA23" i="227" a="1"/>
  <c r="BA23" i="227" s="1"/>
  <c r="BA51" i="227" a="1"/>
  <c r="BA51" i="227" s="1"/>
  <c r="BA19" i="227" a="1"/>
  <c r="BA19" i="227" s="1"/>
  <c r="BA22" i="227" a="1"/>
  <c r="BA22" i="227" s="1"/>
  <c r="BA27" i="227" a="1"/>
  <c r="BA27" i="227" s="1"/>
  <c r="BA26" i="227" a="1"/>
  <c r="BA26" i="227" s="1"/>
  <c r="BA59" i="227" a="1"/>
  <c r="BA59" i="227" s="1"/>
  <c r="BA17" i="227" a="1"/>
  <c r="BA17" i="227" s="1"/>
  <c r="BA16" i="227" a="1"/>
  <c r="BA16" i="227" s="1"/>
  <c r="BA46" i="227" a="1"/>
  <c r="BA46" i="227" s="1"/>
  <c r="BA41" i="227" a="1"/>
  <c r="BA41" i="227" s="1"/>
  <c r="BA25" i="227" a="1"/>
  <c r="BA25" i="227" s="1"/>
  <c r="BA12" i="227" a="1"/>
  <c r="BA12" i="227" s="1"/>
  <c r="BA49" i="227" a="1"/>
  <c r="BA49" i="227" s="1"/>
  <c r="BA37" i="227" a="1"/>
  <c r="BA37" i="227" s="1"/>
  <c r="BA44" i="227" a="1"/>
  <c r="BA44" i="227" s="1"/>
  <c r="BA62" i="227" a="1"/>
  <c r="BA62" i="227" s="1"/>
  <c r="BA70" i="227" a="1"/>
  <c r="BA70" i="227" s="1"/>
  <c r="BA55" i="227" a="1"/>
  <c r="BA55" i="227" s="1"/>
  <c r="BA56" i="227" a="1"/>
  <c r="BA56" i="227" s="1"/>
  <c r="BA36" i="227" a="1"/>
  <c r="BA36" i="227" s="1"/>
  <c r="BA63" i="227" a="1"/>
  <c r="BA63" i="227" s="1"/>
  <c r="BA14" i="227" a="1"/>
  <c r="BA14" i="227" s="1"/>
  <c r="BA34" i="227" a="1"/>
  <c r="BA34" i="227" s="1"/>
  <c r="BA54" i="227" a="1"/>
  <c r="BA54" i="227" s="1"/>
  <c r="BA43" i="227" a="1"/>
  <c r="BA43" i="227" s="1"/>
  <c r="BA28" i="227" a="1"/>
  <c r="BA28" i="227" s="1"/>
  <c r="BA30" i="227" a="1"/>
  <c r="BA30" i="227" s="1"/>
  <c r="BA15" i="227" a="1"/>
  <c r="BA15" i="227" s="1"/>
  <c r="BA42" i="227" a="1"/>
  <c r="BA42" i="227" s="1"/>
  <c r="BA71" i="227" a="1"/>
  <c r="BA71" i="227" s="1"/>
  <c r="BA47" i="227" a="1"/>
  <c r="BA47" i="227" s="1"/>
  <c r="EC67" i="227" a="1"/>
  <c r="EC67" i="227" s="1"/>
  <c r="EC18" i="227" a="1"/>
  <c r="EC18" i="227" s="1"/>
  <c r="EC40" i="227" a="1"/>
  <c r="EC40" i="227" s="1"/>
  <c r="EC48" i="227" a="1"/>
  <c r="EC48" i="227" s="1"/>
  <c r="EC52" i="227" a="1"/>
  <c r="EC52" i="227" s="1"/>
  <c r="EC17" i="227" a="1"/>
  <c r="EC17" i="227" s="1"/>
  <c r="EC29" i="227" a="1"/>
  <c r="EC29" i="227" s="1"/>
  <c r="EC58" i="227" a="1"/>
  <c r="EC58" i="227" s="1"/>
  <c r="EC16" i="227" a="1"/>
  <c r="EC16" i="227" s="1"/>
  <c r="EC44" i="227" a="1"/>
  <c r="EC44" i="227" s="1"/>
  <c r="EC11" i="227" a="1"/>
  <c r="EC11" i="227" s="1"/>
  <c r="EC37" i="227" a="1"/>
  <c r="EC37" i="227" s="1"/>
  <c r="EC15" i="227" a="1"/>
  <c r="EC15" i="227" s="1"/>
  <c r="EC19" i="227" a="1"/>
  <c r="EC19" i="227" s="1"/>
  <c r="EC51" i="227" a="1"/>
  <c r="EC51" i="227" s="1"/>
  <c r="EC72" i="227" a="1"/>
  <c r="EC72" i="227" s="1"/>
  <c r="EC23" i="227" a="1"/>
  <c r="EC23" i="227" s="1"/>
  <c r="EC43" i="227" a="1"/>
  <c r="EC43" i="227" s="1"/>
  <c r="EC21" i="227" a="1"/>
  <c r="EC21" i="227" s="1"/>
  <c r="EC10" i="227" a="1"/>
  <c r="EC10" i="227" s="1"/>
  <c r="EC57" i="227" a="1"/>
  <c r="EC57" i="227" s="1"/>
  <c r="EC32" i="227" a="1"/>
  <c r="EC32" i="227" s="1"/>
  <c r="EC66" i="227" a="1"/>
  <c r="EC66" i="227" s="1"/>
  <c r="EC22" i="227" a="1"/>
  <c r="EC22" i="227" s="1"/>
  <c r="EC56" i="227" a="1"/>
  <c r="EC56" i="227" s="1"/>
  <c r="EC27" i="227" a="1"/>
  <c r="EC27" i="227" s="1"/>
  <c r="EC53" i="227" a="1"/>
  <c r="EC53" i="227" s="1"/>
  <c r="EC54" i="227" a="1"/>
  <c r="EC54" i="227" s="1"/>
  <c r="EC49" i="227" a="1"/>
  <c r="EC49" i="227" s="1"/>
  <c r="EC50" i="227" a="1"/>
  <c r="EC50" i="227" s="1"/>
  <c r="EC47" i="227" a="1"/>
  <c r="EC47" i="227" s="1"/>
  <c r="EC20" i="227" a="1"/>
  <c r="EC20" i="227" s="1"/>
  <c r="EC14" i="227" a="1"/>
  <c r="EC14" i="227" s="1"/>
  <c r="EC38" i="227" a="1"/>
  <c r="EC38" i="227" s="1"/>
  <c r="EC63" i="227" a="1"/>
  <c r="EC63" i="227" s="1"/>
  <c r="EC31" i="227" a="1"/>
  <c r="EC31" i="227" s="1"/>
  <c r="EC55" i="227" a="1"/>
  <c r="EC55" i="227" s="1"/>
  <c r="EC68" i="227" a="1"/>
  <c r="EC68" i="227" s="1"/>
  <c r="EC69" i="227" a="1"/>
  <c r="EC69" i="227" s="1"/>
  <c r="EC70" i="227" a="1"/>
  <c r="EC70" i="227" s="1"/>
  <c r="EC28" i="227" a="1"/>
  <c r="EC28" i="227" s="1"/>
  <c r="EC36" i="227" a="1"/>
  <c r="EC36" i="227" s="1"/>
  <c r="EC41" i="227" a="1"/>
  <c r="EC41" i="227" s="1"/>
  <c r="EC65" i="227" a="1"/>
  <c r="EC65" i="227" s="1"/>
  <c r="EC42" i="227" a="1"/>
  <c r="EC42" i="227" s="1"/>
  <c r="EC13" i="227" a="1"/>
  <c r="EC13" i="227" s="1"/>
  <c r="CC37" i="227" a="1"/>
  <c r="CC37" i="227" s="1"/>
  <c r="CC27" i="227" a="1"/>
  <c r="CC27" i="227" s="1"/>
  <c r="CC25" i="227" a="1"/>
  <c r="CC25" i="227" s="1"/>
  <c r="CC63" i="227" a="1"/>
  <c r="CC63" i="227" s="1"/>
  <c r="CC20" i="227" a="1"/>
  <c r="CC20" i="227" s="1"/>
  <c r="CC62" i="227" a="1"/>
  <c r="CC62" i="227" s="1"/>
  <c r="CC38" i="227" a="1"/>
  <c r="CC38" i="227" s="1"/>
  <c r="CC58" i="227" a="1"/>
  <c r="CC58" i="227" s="1"/>
  <c r="CC66" i="227" a="1"/>
  <c r="CC66" i="227" s="1"/>
  <c r="CC34" i="227" a="1"/>
  <c r="CC34" i="227" s="1"/>
  <c r="CC54" i="227" a="1"/>
  <c r="CC54" i="227" s="1"/>
  <c r="CC59" i="227" a="1"/>
  <c r="CC59" i="227" s="1"/>
  <c r="CC23" i="227" a="1"/>
  <c r="CC23" i="227" s="1"/>
  <c r="CC56" i="227" a="1"/>
  <c r="CC56" i="227" s="1"/>
  <c r="CC30" i="227" a="1"/>
  <c r="CC30" i="227" s="1"/>
  <c r="CC35" i="227" a="1"/>
  <c r="CC35" i="227" s="1"/>
  <c r="CC69" i="227" a="1"/>
  <c r="CC69" i="227" s="1"/>
  <c r="CC55" i="227" a="1"/>
  <c r="CC55" i="227" s="1"/>
  <c r="CC10" i="227" a="1"/>
  <c r="CC10" i="227" s="1"/>
  <c r="CC15" i="227" a="1"/>
  <c r="CC15" i="227" s="1"/>
  <c r="CC11" i="227" a="1"/>
  <c r="CC11" i="227" s="1"/>
  <c r="CC40" i="227" a="1"/>
  <c r="CC40" i="227" s="1"/>
  <c r="CC19" i="227" a="1"/>
  <c r="CC19" i="227" s="1"/>
  <c r="BM65" i="227" a="1"/>
  <c r="BM65" i="227" s="1"/>
  <c r="BM64" i="227" a="1"/>
  <c r="BM64" i="227" s="1"/>
  <c r="BM28" i="227" a="1"/>
  <c r="BM28" i="227" s="1"/>
  <c r="BM57" i="227" a="1"/>
  <c r="BM57" i="227" s="1"/>
  <c r="BM41" i="227" a="1"/>
  <c r="BM41" i="227" s="1"/>
  <c r="BM46" i="227" a="1"/>
  <c r="BM46" i="227" s="1"/>
  <c r="BM12" i="227" a="1"/>
  <c r="BM12" i="227" s="1"/>
  <c r="BM42" i="227" a="1"/>
  <c r="BM42" i="227" s="1"/>
  <c r="BM26" i="227" a="1"/>
  <c r="BM26" i="227" s="1"/>
  <c r="BM71" i="227" a="1"/>
  <c r="BM71" i="227" s="1"/>
  <c r="BM17" i="227" a="1"/>
  <c r="BM17" i="227" s="1"/>
  <c r="BM43" i="227" a="1"/>
  <c r="BM43" i="227" s="1"/>
  <c r="BM72" i="227" a="1"/>
  <c r="BM72" i="227" s="1"/>
  <c r="BM54" i="227" a="1"/>
  <c r="BM54" i="227" s="1"/>
  <c r="BM39" i="227" a="1"/>
  <c r="BM39" i="227" s="1"/>
  <c r="BM21" i="227" a="1"/>
  <c r="BM21" i="227" s="1"/>
  <c r="BM55" i="227" a="1"/>
  <c r="BM55" i="227" s="1"/>
  <c r="BM38" i="227" a="1"/>
  <c r="BM38" i="227" s="1"/>
  <c r="BM56" i="227" a="1"/>
  <c r="BM56" i="227" s="1"/>
  <c r="BM13" i="227" a="1"/>
  <c r="BM13" i="227" s="1"/>
  <c r="BM27" i="227" a="1"/>
  <c r="BM27" i="227" s="1"/>
  <c r="BM67" i="227" a="1"/>
  <c r="BM67" i="227" s="1"/>
  <c r="BM20" i="227" a="1"/>
  <c r="BM20" i="227" s="1"/>
  <c r="FA12" i="227" a="1"/>
  <c r="FA12" i="227" s="1"/>
  <c r="FA13" i="227" a="1"/>
  <c r="FA13" i="227" s="1"/>
  <c r="DM59" i="227" a="1"/>
  <c r="DM59" i="227" s="1"/>
  <c r="DM13" i="227" a="1"/>
  <c r="DM13" i="227" s="1"/>
  <c r="DM16" i="227" a="1"/>
  <c r="DM16" i="227" s="1"/>
  <c r="DM54" i="227" a="1"/>
  <c r="DM54" i="227" s="1"/>
  <c r="DM24" i="227" a="1"/>
  <c r="DM24" i="227" s="1"/>
  <c r="DM65" i="227" a="1"/>
  <c r="DM65" i="227" s="1"/>
  <c r="DM62" i="227" a="1"/>
  <c r="DM62" i="227" s="1"/>
  <c r="DM31" i="227" a="1"/>
  <c r="DM31" i="227" s="1"/>
  <c r="DM44" i="227" a="1"/>
  <c r="DM44" i="227" s="1"/>
  <c r="DM34" i="227" a="1"/>
  <c r="DM34" i="227" s="1"/>
  <c r="DM26" i="227" a="1"/>
  <c r="DM26" i="227" s="1"/>
  <c r="DM72" i="227" a="1"/>
  <c r="DM72" i="227" s="1"/>
  <c r="DM39" i="227" a="1"/>
  <c r="DM39" i="227" s="1"/>
  <c r="DM30" i="227" a="1"/>
  <c r="DM30" i="227" s="1"/>
  <c r="DM61" i="227" a="1"/>
  <c r="DM61" i="227" s="1"/>
  <c r="DM20" i="227" a="1"/>
  <c r="DM20" i="227" s="1"/>
  <c r="DM18" i="227" a="1"/>
  <c r="DM18" i="227" s="1"/>
  <c r="DM14" i="227" a="1"/>
  <c r="DM14" i="227" s="1"/>
  <c r="DM12" i="227" a="1"/>
  <c r="DM12" i="227" s="1"/>
  <c r="DM35" i="227" a="1"/>
  <c r="DM35" i="227" s="1"/>
  <c r="DM60" i="227" a="1"/>
  <c r="DM60" i="227" s="1"/>
  <c r="DM21" i="227" a="1"/>
  <c r="DM21" i="227" s="1"/>
  <c r="DM57" i="227" a="1"/>
  <c r="DM57" i="227" s="1"/>
  <c r="DM28" i="227" a="1"/>
  <c r="DM28" i="227" s="1"/>
  <c r="DM51" i="227" a="1"/>
  <c r="DM51" i="227" s="1"/>
  <c r="DM52" i="227" a="1"/>
  <c r="DM52" i="227" s="1"/>
  <c r="DM10" i="227" a="1"/>
  <c r="DM10" i="227" s="1"/>
  <c r="DM11" i="227" a="1"/>
  <c r="DM11" i="227" s="1"/>
  <c r="DM70" i="227" a="1"/>
  <c r="DM70" i="227" s="1"/>
  <c r="DM36" i="227" a="1"/>
  <c r="DM36" i="227" s="1"/>
  <c r="DM47" i="227" a="1"/>
  <c r="DM47" i="227" s="1"/>
  <c r="DM49" i="227" a="1"/>
  <c r="DM49" i="227" s="1"/>
  <c r="DM17" i="227" a="1"/>
  <c r="DM17" i="227" s="1"/>
  <c r="DM42" i="227" a="1"/>
  <c r="DM42" i="227" s="1"/>
  <c r="DM55" i="227" a="1"/>
  <c r="DM55" i="227" s="1"/>
  <c r="DM29" i="227" a="1"/>
  <c r="DM29" i="227" s="1"/>
  <c r="DM25" i="227" a="1"/>
  <c r="DM25" i="227" s="1"/>
  <c r="DM37" i="227" a="1"/>
  <c r="DM37" i="227" s="1"/>
  <c r="DM41" i="227" a="1"/>
  <c r="DM41" i="227" s="1"/>
  <c r="DM32" i="227" a="1"/>
  <c r="DM32" i="227" s="1"/>
  <c r="DM53" i="227" a="1"/>
  <c r="DM53" i="227" s="1"/>
  <c r="DM66" i="227" a="1"/>
  <c r="DM66" i="227" s="1"/>
  <c r="DM43" i="227" a="1"/>
  <c r="DM43" i="227" s="1"/>
  <c r="DM48" i="227" a="1"/>
  <c r="DM48" i="227" s="1"/>
  <c r="DM64" i="227" a="1"/>
  <c r="DM64" i="227" s="1"/>
  <c r="DM56" i="227" a="1"/>
  <c r="DM56" i="227" s="1"/>
  <c r="DM58" i="227" a="1"/>
  <c r="DM58" i="227" s="1"/>
  <c r="DM38" i="227" a="1"/>
  <c r="DM38" i="227" s="1"/>
  <c r="DM22" i="227" a="1"/>
  <c r="DM22" i="227" s="1"/>
  <c r="DM69" i="227" a="1"/>
  <c r="DM69" i="227" s="1"/>
  <c r="DM68" i="227" a="1"/>
  <c r="DM68" i="227" s="1"/>
  <c r="DM71" i="227" a="1"/>
  <c r="DM71" i="227" s="1"/>
  <c r="Y68" i="227" a="1"/>
  <c r="Y68" i="227" s="1"/>
  <c r="Y54" i="227" a="1"/>
  <c r="Y54" i="227" s="1"/>
  <c r="Y64" i="227" a="1"/>
  <c r="Y64" i="227" s="1"/>
  <c r="Y24" i="227" a="1"/>
  <c r="Y24" i="227" s="1"/>
  <c r="Y30" i="227" a="1"/>
  <c r="Y30" i="227" s="1"/>
  <c r="Y55" i="227" a="1"/>
  <c r="Y55" i="227" s="1"/>
  <c r="Y28" i="227" a="1"/>
  <c r="Y28" i="227" s="1"/>
  <c r="Y62" i="227" a="1"/>
  <c r="Y62" i="227" s="1"/>
  <c r="Y25" i="227" a="1"/>
  <c r="Y25" i="227" s="1"/>
  <c r="Y65" i="227" a="1"/>
  <c r="Y65" i="227" s="1"/>
  <c r="Y56" i="227" a="1"/>
  <c r="Y56" i="227" s="1"/>
  <c r="Y49" i="227" a="1"/>
  <c r="Y49" i="227" s="1"/>
  <c r="Y47" i="227" a="1"/>
  <c r="Y47" i="227" s="1"/>
  <c r="Y29" i="227" a="1"/>
  <c r="Y29" i="227" s="1"/>
  <c r="Y20" i="227" a="1"/>
  <c r="Y20" i="227" s="1"/>
  <c r="Y48" i="227" a="1"/>
  <c r="Y48" i="227" s="1"/>
  <c r="Y51" i="227" a="1"/>
  <c r="Y51" i="227" s="1"/>
  <c r="Y35" i="227" a="1"/>
  <c r="Y35" i="227" s="1"/>
  <c r="Y12" i="227" a="1"/>
  <c r="Y12" i="227" s="1"/>
  <c r="Y31" i="227" a="1"/>
  <c r="Y31" i="227" s="1"/>
  <c r="Y70" i="227" a="1"/>
  <c r="Y70" i="227" s="1"/>
  <c r="Y22" i="227" a="1"/>
  <c r="Y22" i="227" s="1"/>
  <c r="Y52" i="227" a="1"/>
  <c r="Y52" i="227" s="1"/>
  <c r="Y43" i="227" a="1"/>
  <c r="Y43" i="227" s="1"/>
  <c r="Y33" i="227" a="1"/>
  <c r="Y33" i="227" s="1"/>
  <c r="Y39" i="227" a="1"/>
  <c r="Y39" i="227" s="1"/>
  <c r="Y46" i="227" a="1"/>
  <c r="Y46" i="227" s="1"/>
  <c r="Y63" i="227" a="1"/>
  <c r="Y63" i="227" s="1"/>
  <c r="Y36" i="227" a="1"/>
  <c r="Y36" i="227" s="1"/>
  <c r="Y50" i="227" a="1"/>
  <c r="Y50" i="227" s="1"/>
  <c r="Y17" i="227" a="1"/>
  <c r="Y17" i="227" s="1"/>
  <c r="Y15" i="227" a="1"/>
  <c r="Y15" i="227" s="1"/>
  <c r="Y13" i="227" a="1"/>
  <c r="Y13" i="227" s="1"/>
  <c r="Y72" i="227" a="1"/>
  <c r="Y72" i="227" s="1"/>
  <c r="Y27" i="227" a="1"/>
  <c r="Y27" i="227" s="1"/>
  <c r="Y61" i="227" a="1"/>
  <c r="Y61" i="227" s="1"/>
  <c r="Y14" i="227" a="1"/>
  <c r="Y14" i="227" s="1"/>
  <c r="Y21" i="227" a="1"/>
  <c r="Y21" i="227" s="1"/>
  <c r="Y71" i="227" a="1"/>
  <c r="Y71" i="227" s="1"/>
  <c r="Y42" i="227" a="1"/>
  <c r="Y42" i="227" s="1"/>
  <c r="Y66" i="227" a="1"/>
  <c r="Y66" i="227" s="1"/>
  <c r="Y19" i="227" a="1"/>
  <c r="Y19" i="227" s="1"/>
  <c r="Y38" i="227" a="1"/>
  <c r="Y38" i="227" s="1"/>
  <c r="Y60" i="227" a="1"/>
  <c r="Y60" i="227" s="1"/>
  <c r="Y58" i="227" a="1"/>
  <c r="Y58" i="227" s="1"/>
  <c r="Y69" i="227" a="1"/>
  <c r="Y69" i="227" s="1"/>
  <c r="Y34" i="227" a="1"/>
  <c r="Y34" i="227" s="1"/>
  <c r="Y67" i="227" a="1"/>
  <c r="Y67" i="227" s="1"/>
  <c r="Y16" i="227" a="1"/>
  <c r="Y16" i="227" s="1"/>
  <c r="Y23" i="227" a="1"/>
  <c r="Y23" i="227" s="1"/>
  <c r="Y40" i="227" a="1"/>
  <c r="Y40" i="227" s="1"/>
  <c r="Y57" i="227" a="1"/>
  <c r="Y57" i="227" s="1"/>
  <c r="Y44" i="227" a="1"/>
  <c r="Y44" i="227" s="1"/>
  <c r="Y26" i="227" a="1"/>
  <c r="Y26" i="227" s="1"/>
  <c r="Y32" i="227" a="1"/>
  <c r="Y32" i="227" s="1"/>
  <c r="Y59" i="227" a="1"/>
  <c r="Y59" i="227" s="1"/>
  <c r="CW40" i="227" a="1"/>
  <c r="CW40" i="227" s="1"/>
  <c r="CW66" i="227" a="1"/>
  <c r="CW66" i="227" s="1"/>
  <c r="CW41" i="227" a="1"/>
  <c r="CW41" i="227" s="1"/>
  <c r="CW20" i="227" a="1"/>
  <c r="CW20" i="227" s="1"/>
  <c r="CW35" i="227" a="1"/>
  <c r="CW35" i="227" s="1"/>
  <c r="CW26" i="227" a="1"/>
  <c r="CW26" i="227" s="1"/>
  <c r="CW72" i="227" a="1"/>
  <c r="CW72" i="227" s="1"/>
  <c r="CW11" i="227" a="1"/>
  <c r="CW11" i="227" s="1"/>
  <c r="CW17" i="227" a="1"/>
  <c r="CW17" i="227" s="1"/>
  <c r="CW43" i="227" a="1"/>
  <c r="CW43" i="227" s="1"/>
  <c r="CW33" i="227" a="1"/>
  <c r="CW33" i="227" s="1"/>
  <c r="CW27" i="227" a="1"/>
  <c r="CW27" i="227" s="1"/>
  <c r="CW67" i="227" a="1"/>
  <c r="CW67" i="227" s="1"/>
  <c r="CW37" i="227" a="1"/>
  <c r="CW37" i="227" s="1"/>
  <c r="CW15" i="227" a="1"/>
  <c r="CW15" i="227" s="1"/>
  <c r="CW56" i="227" a="1"/>
  <c r="CW56" i="227" s="1"/>
  <c r="CW48" i="227" a="1"/>
  <c r="CW48" i="227" s="1"/>
  <c r="CW16" i="227" a="1"/>
  <c r="CW16" i="227" s="1"/>
  <c r="CW31" i="227" a="1"/>
  <c r="CW31" i="227" s="1"/>
  <c r="CW24" i="227" a="1"/>
  <c r="CW24" i="227" s="1"/>
  <c r="CW70" i="227" a="1"/>
  <c r="CW70" i="227" s="1"/>
  <c r="CW42" i="227" a="1"/>
  <c r="CW42" i="227" s="1"/>
  <c r="CW36" i="227" a="1"/>
  <c r="CW36" i="227" s="1"/>
  <c r="CW32" i="227" a="1"/>
  <c r="CW32" i="227" s="1"/>
  <c r="CW34" i="227" a="1"/>
  <c r="CW34" i="227" s="1"/>
  <c r="CW58" i="227" a="1"/>
  <c r="CW58" i="227" s="1"/>
  <c r="CW12" i="227" a="1"/>
  <c r="CW12" i="227" s="1"/>
  <c r="CW49" i="227" a="1"/>
  <c r="CW49" i="227" s="1"/>
  <c r="CW30" i="227" a="1"/>
  <c r="CW30" i="227" s="1"/>
  <c r="CW63" i="227" a="1"/>
  <c r="CW63" i="227" s="1"/>
  <c r="CW19" i="227" a="1"/>
  <c r="CW19" i="227" s="1"/>
  <c r="CW38" i="227" a="1"/>
  <c r="CW38" i="227" s="1"/>
  <c r="CW59" i="227" a="1"/>
  <c r="CW59" i="227" s="1"/>
  <c r="CW61" i="227" a="1"/>
  <c r="CW61" i="227" s="1"/>
  <c r="CW47" i="227" a="1"/>
  <c r="CW47" i="227" s="1"/>
  <c r="CW68" i="227" a="1"/>
  <c r="CW68" i="227" s="1"/>
  <c r="CW71" i="227" a="1"/>
  <c r="CW71" i="227" s="1"/>
  <c r="CW22" i="227" a="1"/>
  <c r="CW22" i="227" s="1"/>
  <c r="CW64" i="227" a="1"/>
  <c r="CW64" i="227" s="1"/>
  <c r="CW65" i="227" a="1"/>
  <c r="CW65" i="227" s="1"/>
  <c r="CW23" i="227" a="1"/>
  <c r="CW23" i="227" s="1"/>
  <c r="CW50" i="227" a="1"/>
  <c r="CW50" i="227" s="1"/>
  <c r="CW53" i="227" a="1"/>
  <c r="CW53" i="227" s="1"/>
  <c r="CW55" i="227" a="1"/>
  <c r="CW55" i="227" s="1"/>
  <c r="CW69" i="227" a="1"/>
  <c r="CW69" i="227" s="1"/>
  <c r="CW13" i="227" a="1"/>
  <c r="CW13" i="227" s="1"/>
  <c r="CW14" i="227" a="1"/>
  <c r="CW14" i="227" s="1"/>
  <c r="CW18" i="227" a="1"/>
  <c r="CW18" i="227" s="1"/>
  <c r="CW52" i="227" a="1"/>
  <c r="CW52" i="227" s="1"/>
  <c r="CW44" i="227" a="1"/>
  <c r="CW44" i="227" s="1"/>
  <c r="CW62" i="227" a="1"/>
  <c r="CW62" i="227" s="1"/>
  <c r="CW29" i="227" a="1"/>
  <c r="CW29" i="227" s="1"/>
  <c r="CW25" i="227" a="1"/>
  <c r="CW25" i="227" s="1"/>
  <c r="CW39" i="227" a="1"/>
  <c r="CW39" i="227" s="1"/>
  <c r="AC55" i="227" a="1"/>
  <c r="AC55" i="227" s="1"/>
  <c r="AC23" i="227" a="1"/>
  <c r="AC23" i="227" s="1"/>
  <c r="AC42" i="227" a="1"/>
  <c r="AC42" i="227" s="1"/>
  <c r="AC40" i="227" a="1"/>
  <c r="AC40" i="227" s="1"/>
  <c r="AC24" i="227" a="1"/>
  <c r="AC24" i="227" s="1"/>
  <c r="AC66" i="227" a="1"/>
  <c r="AC66" i="227" s="1"/>
  <c r="AC13" i="227" a="1"/>
  <c r="AC13" i="227" s="1"/>
  <c r="AC69" i="227" a="1"/>
  <c r="AC69" i="227" s="1"/>
  <c r="AC19" i="227" a="1"/>
  <c r="AC19" i="227" s="1"/>
  <c r="AC50" i="227" a="1"/>
  <c r="AC50" i="227" s="1"/>
  <c r="AC34" i="227" a="1"/>
  <c r="AC34" i="227" s="1"/>
  <c r="AC59" i="227" a="1"/>
  <c r="AC59" i="227" s="1"/>
  <c r="AC30" i="227" a="1"/>
  <c r="AC30" i="227" s="1"/>
  <c r="AC18" i="227" a="1"/>
  <c r="AC18" i="227" s="1"/>
  <c r="AC20" i="227" a="1"/>
  <c r="AC20" i="227" s="1"/>
  <c r="AC26" i="227" a="1"/>
  <c r="AC26" i="227" s="1"/>
  <c r="AC12" i="227" a="1"/>
  <c r="AC12" i="227" s="1"/>
  <c r="AC68" i="227" a="1"/>
  <c r="AC68" i="227" s="1"/>
  <c r="AC29" i="227" a="1"/>
  <c r="AC29" i="227" s="1"/>
  <c r="AC10" i="227" a="1"/>
  <c r="AC10" i="227" s="1"/>
  <c r="AC58" i="227" a="1"/>
  <c r="AC58" i="227" s="1"/>
  <c r="AC37" i="227" a="1"/>
  <c r="AC37" i="227" s="1"/>
  <c r="AC72" i="227" a="1"/>
  <c r="AC72" i="227" s="1"/>
  <c r="AC52" i="227" a="1"/>
  <c r="AC52" i="227" s="1"/>
  <c r="AC48" i="227" a="1"/>
  <c r="AC48" i="227" s="1"/>
  <c r="AC70" i="227" a="1"/>
  <c r="AC70" i="227" s="1"/>
  <c r="AC62" i="227" a="1"/>
  <c r="AC62" i="227" s="1"/>
  <c r="AC11" i="227" a="1"/>
  <c r="AC11" i="227" s="1"/>
  <c r="AC17" i="227" a="1"/>
  <c r="AC17" i="227" s="1"/>
  <c r="AC14" i="227" a="1"/>
  <c r="AC14" i="227" s="1"/>
  <c r="AC21" i="227" a="1"/>
  <c r="AC21" i="227" s="1"/>
  <c r="AC51" i="227" a="1"/>
  <c r="AC51" i="227" s="1"/>
  <c r="AC15" i="227" a="1"/>
  <c r="AC15" i="227" s="1"/>
  <c r="CK47" i="227" a="1"/>
  <c r="CK47" i="227" s="1"/>
  <c r="CK44" i="227" a="1"/>
  <c r="CK44" i="227" s="1"/>
  <c r="CK54" i="227" a="1"/>
  <c r="CK54" i="227" s="1"/>
  <c r="CK10" i="227" a="1"/>
  <c r="CK10" i="227" s="1"/>
  <c r="CK62" i="227" a="1"/>
  <c r="CK62" i="227" s="1"/>
  <c r="CK29" i="227" a="1"/>
  <c r="CK29" i="227" s="1"/>
  <c r="CK43" i="227" a="1"/>
  <c r="CK43" i="227" s="1"/>
  <c r="CK42" i="227" a="1"/>
  <c r="CK42" i="227" s="1"/>
  <c r="CK15" i="227" a="1"/>
  <c r="CK15" i="227" s="1"/>
  <c r="CK56" i="227" a="1"/>
  <c r="CK56" i="227" s="1"/>
  <c r="CK12" i="227" a="1"/>
  <c r="CK12" i="227" s="1"/>
  <c r="CK14" i="227" a="1"/>
  <c r="CK14" i="227" s="1"/>
  <c r="CK58" i="227" a="1"/>
  <c r="CK58" i="227" s="1"/>
  <c r="CK67" i="227" a="1"/>
  <c r="CK67" i="227" s="1"/>
  <c r="CK51" i="227" a="1"/>
  <c r="CK51" i="227" s="1"/>
  <c r="DE40" i="227" a="1"/>
  <c r="DE40" i="227" s="1"/>
  <c r="DE29" i="227" a="1"/>
  <c r="DE29" i="227" s="1"/>
  <c r="DE11" i="227" a="1"/>
  <c r="DE11" i="227" s="1"/>
  <c r="DE64" i="227" a="1"/>
  <c r="DE64" i="227" s="1"/>
  <c r="DE20" i="227" a="1"/>
  <c r="DE20" i="227" s="1"/>
  <c r="DE61" i="227" a="1"/>
  <c r="DE61" i="227" s="1"/>
  <c r="DE16" i="227" a="1"/>
  <c r="DE16" i="227" s="1"/>
  <c r="DE70" i="227" a="1"/>
  <c r="DE70" i="227" s="1"/>
  <c r="DE54" i="227" a="1"/>
  <c r="DE54" i="227" s="1"/>
  <c r="DE43" i="227" a="1"/>
  <c r="DE43" i="227" s="1"/>
  <c r="DE14" i="227" a="1"/>
  <c r="DE14" i="227" s="1"/>
  <c r="DE47" i="227" a="1"/>
  <c r="DE47" i="227" s="1"/>
  <c r="DE48" i="227" a="1"/>
  <c r="DE48" i="227" s="1"/>
  <c r="DE37" i="227" a="1"/>
  <c r="DE37" i="227" s="1"/>
  <c r="DE68" i="227" a="1"/>
  <c r="DE68" i="227" s="1"/>
  <c r="DE26" i="227" a="1"/>
  <c r="DE26" i="227" s="1"/>
  <c r="DE30" i="227" a="1"/>
  <c r="DE30" i="227" s="1"/>
  <c r="DE21" i="227" a="1"/>
  <c r="DE21" i="227" s="1"/>
  <c r="DE10" i="227" a="1"/>
  <c r="DE10" i="227" s="1"/>
  <c r="DE56" i="227" a="1"/>
  <c r="DE56" i="227" s="1"/>
  <c r="DE31" i="227" a="1"/>
  <c r="DE31" i="227" s="1"/>
  <c r="DE36" i="227" a="1"/>
  <c r="DE36" i="227" s="1"/>
  <c r="DE33" i="227" a="1"/>
  <c r="DE33" i="227" s="1"/>
  <c r="DE44" i="227" a="1"/>
  <c r="DE44" i="227" s="1"/>
  <c r="DE25" i="227" a="1"/>
  <c r="DE25" i="227" s="1"/>
  <c r="DE55" i="227" a="1"/>
  <c r="DE55" i="227" s="1"/>
  <c r="DE69" i="227" a="1"/>
  <c r="DE69" i="227" s="1"/>
  <c r="DE46" i="227" a="1"/>
  <c r="DE46" i="227" s="1"/>
  <c r="DE63" i="227" a="1"/>
  <c r="DE63" i="227" s="1"/>
  <c r="DE17" i="227" a="1"/>
  <c r="DE17" i="227" s="1"/>
  <c r="DE15" i="227" a="1"/>
  <c r="DE15" i="227" s="1"/>
  <c r="DE71" i="227" a="1"/>
  <c r="DE71" i="227" s="1"/>
  <c r="DE42" i="227" a="1"/>
  <c r="DE42" i="227" s="1"/>
  <c r="DE18" i="227" a="1"/>
  <c r="DE18" i="227" s="1"/>
  <c r="DE52" i="227" a="1"/>
  <c r="DE52" i="227" s="1"/>
  <c r="DE57" i="227" a="1"/>
  <c r="DE57" i="227" s="1"/>
  <c r="DE24" i="227" a="1"/>
  <c r="DE24" i="227" s="1"/>
  <c r="DE58" i="227" a="1"/>
  <c r="DE58" i="227" s="1"/>
  <c r="DE23" i="227" a="1"/>
  <c r="DE23" i="227" s="1"/>
  <c r="DE65" i="227" a="1"/>
  <c r="DE65" i="227" s="1"/>
  <c r="DE13" i="227" a="1"/>
  <c r="DE13" i="227" s="1"/>
  <c r="DE32" i="227" a="1"/>
  <c r="DE32" i="227" s="1"/>
  <c r="DE39" i="227" a="1"/>
  <c r="DE39" i="227" s="1"/>
  <c r="DE22" i="227" a="1"/>
  <c r="DE22" i="227" s="1"/>
  <c r="DE41" i="227" a="1"/>
  <c r="DE41" i="227" s="1"/>
  <c r="DE34" i="227" a="1"/>
  <c r="DE34" i="227" s="1"/>
  <c r="DE72" i="227" a="1"/>
  <c r="DE72" i="227" s="1"/>
  <c r="DE28" i="227" a="1"/>
  <c r="DE28" i="227" s="1"/>
  <c r="DE66" i="227" a="1"/>
  <c r="DE66" i="227" s="1"/>
  <c r="DE35" i="227" a="1"/>
  <c r="DE35" i="227" s="1"/>
  <c r="DE50" i="227" a="1"/>
  <c r="DE50" i="227" s="1"/>
  <c r="DE67" i="227" a="1"/>
  <c r="DE67" i="227" s="1"/>
  <c r="DE62" i="227" a="1"/>
  <c r="DE62" i="227" s="1"/>
  <c r="DE27" i="227" a="1"/>
  <c r="DE27" i="227" s="1"/>
  <c r="DE59" i="227" a="1"/>
  <c r="DE59" i="227" s="1"/>
  <c r="DE51" i="227" a="1"/>
  <c r="DE51" i="227" s="1"/>
  <c r="EG27" i="227" a="1"/>
  <c r="EG27" i="227" s="1"/>
  <c r="EG39" i="227" a="1"/>
  <c r="EG39" i="227" s="1"/>
  <c r="EG25" i="227" a="1"/>
  <c r="EG25" i="227" s="1"/>
  <c r="EG22" i="227" a="1"/>
  <c r="EG22" i="227" s="1"/>
  <c r="EG46" i="227" a="1"/>
  <c r="EG46" i="227" s="1"/>
  <c r="EG47" i="227" a="1"/>
  <c r="EG47" i="227" s="1"/>
  <c r="EG55" i="227" a="1"/>
  <c r="EG55" i="227" s="1"/>
  <c r="EG61" i="227" a="1"/>
  <c r="EG61" i="227" s="1"/>
  <c r="EG26" i="227" a="1"/>
  <c r="EG26" i="227" s="1"/>
  <c r="EG53" i="227" a="1"/>
  <c r="EG53" i="227" s="1"/>
  <c r="EG63" i="227" a="1"/>
  <c r="EG63" i="227" s="1"/>
  <c r="EG70" i="227" a="1"/>
  <c r="EG70" i="227" s="1"/>
  <c r="EG62" i="227" a="1"/>
  <c r="EG62" i="227" s="1"/>
  <c r="EG33" i="227" a="1"/>
  <c r="EG33" i="227" s="1"/>
  <c r="EG71" i="227" a="1"/>
  <c r="EG71" i="227" s="1"/>
  <c r="EG32" i="227" a="1"/>
  <c r="EG32" i="227" s="1"/>
  <c r="EG42" i="227" a="1"/>
  <c r="EG42" i="227" s="1"/>
  <c r="EG36" i="227" a="1"/>
  <c r="EG36" i="227" s="1"/>
  <c r="EG31" i="227" a="1"/>
  <c r="EG31" i="227" s="1"/>
  <c r="EG52" i="227" a="1"/>
  <c r="EG52" i="227" s="1"/>
  <c r="EG57" i="227" a="1"/>
  <c r="EG57" i="227" s="1"/>
  <c r="EG12" i="227" a="1"/>
  <c r="EG12" i="227" s="1"/>
  <c r="EG58" i="227" a="1"/>
  <c r="EG58" i="227" s="1"/>
  <c r="EG11" i="227" a="1"/>
  <c r="EG11" i="227" s="1"/>
  <c r="EG69" i="227" a="1"/>
  <c r="EG69" i="227" s="1"/>
  <c r="EG72" i="227" a="1"/>
  <c r="EG72" i="227" s="1"/>
  <c r="EG35" i="227" a="1"/>
  <c r="EG35" i="227" s="1"/>
  <c r="EG16" i="227" a="1"/>
  <c r="EG16" i="227" s="1"/>
  <c r="EG49" i="227" a="1"/>
  <c r="EG49" i="227" s="1"/>
  <c r="EG37" i="227" a="1"/>
  <c r="EG37" i="227" s="1"/>
  <c r="EG28" i="227" a="1"/>
  <c r="EG28" i="227" s="1"/>
  <c r="EG21" i="227" a="1"/>
  <c r="EG21" i="227" s="1"/>
  <c r="DA54" i="227" a="1"/>
  <c r="DA54" i="227" s="1"/>
  <c r="DA42" i="227" a="1"/>
  <c r="DA42" i="227" s="1"/>
  <c r="DA68" i="227" a="1"/>
  <c r="DA68" i="227" s="1"/>
  <c r="DA46" i="227" a="1"/>
  <c r="DA46" i="227" s="1"/>
  <c r="DA12" i="227" a="1"/>
  <c r="DA12" i="227" s="1"/>
  <c r="DA18" i="227" a="1"/>
  <c r="DA18" i="227" s="1"/>
  <c r="DA27" i="227" a="1"/>
  <c r="DA27" i="227" s="1"/>
  <c r="DA22" i="227" a="1"/>
  <c r="DA22" i="227" s="1"/>
  <c r="DA50" i="227" a="1"/>
  <c r="DA50" i="227" s="1"/>
  <c r="DA60" i="227" a="1"/>
  <c r="DA60" i="227" s="1"/>
  <c r="DA40" i="227" a="1"/>
  <c r="DA40" i="227" s="1"/>
  <c r="DA15" i="227" a="1"/>
  <c r="DA15" i="227" s="1"/>
  <c r="DA64" i="227" a="1"/>
  <c r="DA64" i="227" s="1"/>
  <c r="DA67" i="227" a="1"/>
  <c r="DA67" i="227" s="1"/>
  <c r="DA38" i="227" a="1"/>
  <c r="DA38" i="227" s="1"/>
  <c r="DA52" i="227" a="1"/>
  <c r="DA52" i="227" s="1"/>
  <c r="DA48" i="227" a="1"/>
  <c r="DA48" i="227" s="1"/>
  <c r="DA71" i="227" a="1"/>
  <c r="DA71" i="227" s="1"/>
  <c r="DA58" i="227" a="1"/>
  <c r="DA58" i="227" s="1"/>
  <c r="DA21" i="227" a="1"/>
  <c r="DA21" i="227" s="1"/>
  <c r="DA30" i="227" a="1"/>
  <c r="DA30" i="227" s="1"/>
  <c r="DA56" i="227" a="1"/>
  <c r="DA56" i="227" s="1"/>
  <c r="DA66" i="227" a="1"/>
  <c r="DA66" i="227" s="1"/>
  <c r="DA31" i="227" a="1"/>
  <c r="DA31" i="227" s="1"/>
  <c r="DA36" i="227" a="1"/>
  <c r="DA36" i="227" s="1"/>
  <c r="DA61" i="227" a="1"/>
  <c r="DA61" i="227" s="1"/>
  <c r="DA13" i="227" a="1"/>
  <c r="DA13" i="227" s="1"/>
  <c r="DA37" i="227" a="1"/>
  <c r="DA37" i="227" s="1"/>
  <c r="DA24" i="227" a="1"/>
  <c r="DA24" i="227" s="1"/>
  <c r="DA17" i="227" a="1"/>
  <c r="DA17" i="227" s="1"/>
  <c r="DA41" i="227" a="1"/>
  <c r="DA41" i="227" s="1"/>
  <c r="DA10" i="227" a="1"/>
  <c r="DA10" i="227" s="1"/>
  <c r="DA57" i="227" a="1"/>
  <c r="DA57" i="227" s="1"/>
  <c r="DA53" i="227" a="1"/>
  <c r="DA53" i="227" s="1"/>
  <c r="DA59" i="227" a="1"/>
  <c r="DA59" i="227" s="1"/>
  <c r="DA72" i="227" a="1"/>
  <c r="DA72" i="227" s="1"/>
  <c r="DA26" i="227" a="1"/>
  <c r="DA26" i="227" s="1"/>
  <c r="DA55" i="227" a="1"/>
  <c r="DA55" i="227" s="1"/>
  <c r="DA47" i="227" a="1"/>
  <c r="DA47" i="227" s="1"/>
  <c r="DA39" i="227" a="1"/>
  <c r="DA39" i="227" s="1"/>
  <c r="DA35" i="227" a="1"/>
  <c r="DA35" i="227" s="1"/>
  <c r="DA34" i="227" a="1"/>
  <c r="DA34" i="227" s="1"/>
  <c r="DA20" i="227" a="1"/>
  <c r="DA20" i="227" s="1"/>
  <c r="DA29" i="227" a="1"/>
  <c r="DA29" i="227" s="1"/>
  <c r="DA28" i="227" a="1"/>
  <c r="DA28" i="227" s="1"/>
  <c r="DA65" i="227" a="1"/>
  <c r="DA65" i="227" s="1"/>
  <c r="DA43" i="227" a="1"/>
  <c r="DA43" i="227" s="1"/>
  <c r="DA62" i="227" a="1"/>
  <c r="DA62" i="227" s="1"/>
  <c r="DA19" i="227" a="1"/>
  <c r="DA19" i="227" s="1"/>
  <c r="DA11" i="227" a="1"/>
  <c r="DA11" i="227" s="1"/>
  <c r="DA44" i="227" a="1"/>
  <c r="DA44" i="227" s="1"/>
  <c r="DA51" i="227" a="1"/>
  <c r="DA51" i="227" s="1"/>
  <c r="DA70" i="227" a="1"/>
  <c r="DA70" i="227" s="1"/>
  <c r="DA49" i="227" a="1"/>
  <c r="DA49" i="227" s="1"/>
  <c r="DA32" i="227" a="1"/>
  <c r="DA32" i="227" s="1"/>
  <c r="DA14" i="227" a="1"/>
  <c r="DA14" i="227" s="1"/>
  <c r="U36" i="227" a="1"/>
  <c r="U36" i="227" s="1"/>
  <c r="U12" i="227" a="1"/>
  <c r="U12" i="227" s="1"/>
  <c r="U34" i="227" a="1"/>
  <c r="U34" i="227" s="1"/>
  <c r="U22" i="227" a="1"/>
  <c r="U22" i="227" s="1"/>
  <c r="U72" i="227" a="1"/>
  <c r="U72" i="227" s="1"/>
  <c r="BU18" i="227" a="1"/>
  <c r="BU18" i="227" s="1"/>
  <c r="BU48" i="227" a="1"/>
  <c r="BU48" i="227" s="1"/>
  <c r="BU19" i="227" a="1"/>
  <c r="BU19" i="227" s="1"/>
  <c r="BU40" i="227" a="1"/>
  <c r="BU40" i="227" s="1"/>
  <c r="BU64" i="227" a="1"/>
  <c r="BU64" i="227" s="1"/>
  <c r="BU54" i="227" a="1"/>
  <c r="BU54" i="227" s="1"/>
  <c r="BU43" i="227" a="1"/>
  <c r="BU43" i="227" s="1"/>
  <c r="BU22" i="227" a="1"/>
  <c r="BU22" i="227" s="1"/>
  <c r="BU68" i="227" a="1"/>
  <c r="BU68" i="227" s="1"/>
  <c r="BU50" i="227" a="1"/>
  <c r="BU50" i="227" s="1"/>
  <c r="BU11" i="227" a="1"/>
  <c r="BU11" i="227" s="1"/>
  <c r="BU12" i="227" a="1"/>
  <c r="BU12" i="227" s="1"/>
  <c r="BU72" i="227" a="1"/>
  <c r="BU72" i="227" s="1"/>
  <c r="BU47" i="227" a="1"/>
  <c r="BU47" i="227" s="1"/>
  <c r="BU30" i="227" a="1"/>
  <c r="BU30" i="227" s="1"/>
  <c r="BU46" i="227" a="1"/>
  <c r="BU46" i="227" s="1"/>
  <c r="BU71" i="227" a="1"/>
  <c r="BU71" i="227" s="1"/>
  <c r="BU23" i="227" a="1"/>
  <c r="BU23" i="227" s="1"/>
  <c r="BU20" i="227" a="1"/>
  <c r="BU20" i="227" s="1"/>
  <c r="BU21" i="227" a="1"/>
  <c r="BU21" i="227" s="1"/>
  <c r="BU69" i="227" a="1"/>
  <c r="BU69" i="227" s="1"/>
  <c r="BU38" i="227" a="1"/>
  <c r="BU38" i="227" s="1"/>
  <c r="BU49" i="227" a="1"/>
  <c r="BU49" i="227" s="1"/>
  <c r="BU70" i="227" a="1"/>
  <c r="BU70" i="227" s="1"/>
  <c r="BU34" i="227" a="1"/>
  <c r="BU34" i="227" s="1"/>
  <c r="BU27" i="227" a="1"/>
  <c r="BU27" i="227" s="1"/>
  <c r="BU58" i="227" a="1"/>
  <c r="BU58" i="227" s="1"/>
  <c r="BU10" i="227" a="1"/>
  <c r="BU10" i="227" s="1"/>
  <c r="BU62" i="227" a="1"/>
  <c r="BU62" i="227" s="1"/>
  <c r="BU24" i="227" a="1"/>
  <c r="BU24" i="227" s="1"/>
  <c r="BU61" i="227" a="1"/>
  <c r="BU61" i="227" s="1"/>
  <c r="ES64" i="227" a="1"/>
  <c r="ES64" i="227" s="1"/>
  <c r="FA57" i="227" a="1"/>
  <c r="FA57" i="227" s="1"/>
  <c r="EC34" i="227" a="1"/>
  <c r="EC34" i="227" s="1"/>
  <c r="EC64" i="227" a="1"/>
  <c r="EC64" i="227" s="1"/>
  <c r="DM63" i="227" a="1"/>
  <c r="DM63" i="227" s="1"/>
  <c r="Y11" i="227" a="1"/>
  <c r="Y11" i="227" s="1"/>
  <c r="ES53" i="227" a="1"/>
  <c r="ES53" i="227" s="1"/>
  <c r="EW24" i="227" a="1"/>
  <c r="EW24" i="227" s="1"/>
  <c r="EC12" i="227" a="1"/>
  <c r="EC12" i="227" s="1"/>
  <c r="EC35" i="227" a="1"/>
  <c r="EC35" i="227" s="1"/>
  <c r="DQ71" i="227" a="1"/>
  <c r="DQ71" i="227" s="1"/>
  <c r="DM40" i="227" a="1"/>
  <c r="DM40" i="227" s="1"/>
  <c r="DM67" i="227" a="1"/>
  <c r="DM67" i="227" s="1"/>
  <c r="Y41" i="227" a="1"/>
  <c r="Y41" i="227" s="1"/>
  <c r="EC25" i="227" a="1"/>
  <c r="EC25" i="227" s="1"/>
  <c r="EC61" i="227" a="1"/>
  <c r="EC61" i="227" s="1"/>
  <c r="ES59" i="227" a="1"/>
  <c r="ES59" i="227" s="1"/>
  <c r="ES22" i="227" a="1"/>
  <c r="ES22" i="227" s="1"/>
  <c r="AG68" i="528"/>
  <c r="AN68" i="528" s="1"/>
  <c r="EC24" i="227" a="1"/>
  <c r="EC24" i="227" s="1"/>
  <c r="EC71" i="227" a="1"/>
  <c r="EC71" i="227" s="1"/>
  <c r="DM27" i="227" a="1"/>
  <c r="DM27" i="227" s="1"/>
  <c r="BA53" i="227" a="1"/>
  <c r="BA53" i="227" s="1"/>
  <c r="Y10" i="227" a="1"/>
  <c r="Y10" i="227" s="1"/>
  <c r="ES58" i="227" a="1"/>
  <c r="ES58" i="227" s="1"/>
  <c r="N60" i="39"/>
  <c r="CM68" i="528"/>
  <c r="FA72" i="227" a="1"/>
  <c r="FA72" i="227" s="1"/>
  <c r="EC33" i="227" a="1"/>
  <c r="EC33" i="227" s="1"/>
  <c r="EC30" i="227" a="1"/>
  <c r="EC30" i="227" s="1"/>
  <c r="DM33" i="227" a="1"/>
  <c r="DM33" i="227" s="1"/>
  <c r="BA67" i="227" a="1"/>
  <c r="BA67" i="227" s="1"/>
  <c r="Y18" i="227" a="1"/>
  <c r="Y18" i="227" s="1"/>
  <c r="ES51" i="227" a="1"/>
  <c r="ES51" i="227" s="1"/>
  <c r="DU31" i="227" a="1"/>
  <c r="DU31" i="227" s="1"/>
  <c r="FA70" i="227" a="1"/>
  <c r="FA70" i="227" s="1"/>
  <c r="EC46" i="227" a="1"/>
  <c r="EC46" i="227" s="1"/>
  <c r="EC39" i="227" a="1"/>
  <c r="EC39" i="227" s="1"/>
  <c r="EO25" i="227" a="1"/>
  <c r="EO25" i="227" s="1"/>
  <c r="DM23" i="227" a="1"/>
  <c r="DM23" i="227" s="1"/>
  <c r="BA48" i="227" a="1"/>
  <c r="BA48" i="227" s="1"/>
  <c r="CO34" i="227" a="1"/>
  <c r="CO34" i="227" s="1"/>
  <c r="CO46" i="227" a="1"/>
  <c r="CO46" i="227" s="1"/>
  <c r="CO50" i="227" a="1"/>
  <c r="CO50" i="227" s="1"/>
  <c r="CO49" i="227" a="1"/>
  <c r="CO49" i="227" s="1"/>
  <c r="CO59" i="227" a="1"/>
  <c r="CO59" i="227" s="1"/>
  <c r="CO15" i="227" a="1"/>
  <c r="CO15" i="227" s="1"/>
  <c r="CO21" i="227" a="1"/>
  <c r="CO21" i="227" s="1"/>
  <c r="CO62" i="227" a="1"/>
  <c r="CO62" i="227" s="1"/>
  <c r="CO35" i="227" a="1"/>
  <c r="CO35" i="227" s="1"/>
  <c r="CO19" i="227" a="1"/>
  <c r="CO19" i="227" s="1"/>
  <c r="CO44" i="227" a="1"/>
  <c r="CO44" i="227" s="1"/>
  <c r="CO30" i="227" a="1"/>
  <c r="CO30" i="227" s="1"/>
  <c r="CO55" i="227" a="1"/>
  <c r="CO55" i="227" s="1"/>
  <c r="CO67" i="227" a="1"/>
  <c r="CO67" i="227" s="1"/>
  <c r="CO56" i="227" a="1"/>
  <c r="CO56" i="227" s="1"/>
  <c r="CO69" i="227" a="1"/>
  <c r="CO69" i="227" s="1"/>
  <c r="CO43" i="227" a="1"/>
  <c r="CO43" i="227" s="1"/>
  <c r="CO16" i="227" a="1"/>
  <c r="CO16" i="227" s="1"/>
  <c r="CO63" i="227" a="1"/>
  <c r="CO63" i="227" s="1"/>
  <c r="CO60" i="227" a="1"/>
  <c r="CO60" i="227" s="1"/>
  <c r="CO52" i="227" a="1"/>
  <c r="CO52" i="227" s="1"/>
  <c r="CO29" i="227" a="1"/>
  <c r="CO29" i="227" s="1"/>
  <c r="CO28" i="227" a="1"/>
  <c r="CO28" i="227" s="1"/>
  <c r="CO39" i="227" a="1"/>
  <c r="CO39" i="227" s="1"/>
  <c r="CO37" i="227" a="1"/>
  <c r="CO37" i="227" s="1"/>
  <c r="CO40" i="227" a="1"/>
  <c r="CO40" i="227" s="1"/>
  <c r="CO38" i="227" a="1"/>
  <c r="CO38" i="227" s="1"/>
  <c r="CO47" i="227" a="1"/>
  <c r="CO47" i="227" s="1"/>
  <c r="CO20" i="227" a="1"/>
  <c r="CO20" i="227" s="1"/>
  <c r="CO17" i="227" a="1"/>
  <c r="CO17" i="227" s="1"/>
  <c r="CO41" i="227" a="1"/>
  <c r="CO41" i="227" s="1"/>
  <c r="CO18" i="227" a="1"/>
  <c r="CO18" i="227" s="1"/>
  <c r="BI63" i="227" a="1"/>
  <c r="BI63" i="227" s="1"/>
  <c r="BI19" i="227" a="1"/>
  <c r="BI19" i="227" s="1"/>
  <c r="BI55" i="227" a="1"/>
  <c r="BI55" i="227" s="1"/>
  <c r="BI31" i="227" a="1"/>
  <c r="BI31" i="227" s="1"/>
  <c r="BI66" i="227" a="1"/>
  <c r="BI66" i="227" s="1"/>
  <c r="BI72" i="227" a="1"/>
  <c r="BI72" i="227" s="1"/>
  <c r="BI33" i="227" a="1"/>
  <c r="BI33" i="227" s="1"/>
  <c r="BI12" i="227" a="1"/>
  <c r="BI12" i="227" s="1"/>
  <c r="BI69" i="227" a="1"/>
  <c r="BI69" i="227" s="1"/>
  <c r="BI51" i="227" a="1"/>
  <c r="BI51" i="227" s="1"/>
  <c r="BI39" i="227" a="1"/>
  <c r="BI39" i="227" s="1"/>
  <c r="BI47" i="227" a="1"/>
  <c r="BI47" i="227" s="1"/>
  <c r="BI30" i="227" a="1"/>
  <c r="BI30" i="227" s="1"/>
  <c r="BI59" i="227" a="1"/>
  <c r="BI59" i="227" s="1"/>
  <c r="BI57" i="227" a="1"/>
  <c r="BI57" i="227" s="1"/>
  <c r="BI52" i="227" a="1"/>
  <c r="BI52" i="227" s="1"/>
  <c r="BI38" i="227" a="1"/>
  <c r="BI38" i="227" s="1"/>
  <c r="BI71" i="227" a="1"/>
  <c r="BI71" i="227" s="1"/>
  <c r="BI13" i="227" a="1"/>
  <c r="BI13" i="227" s="1"/>
  <c r="BI67" i="227" a="1"/>
  <c r="BI67" i="227" s="1"/>
  <c r="BI58" i="227" a="1"/>
  <c r="BI58" i="227" s="1"/>
  <c r="BI53" i="227" a="1"/>
  <c r="BI53" i="227" s="1"/>
  <c r="BI22" i="227" a="1"/>
  <c r="BI22" i="227" s="1"/>
  <c r="BI18" i="227" a="1"/>
  <c r="BI18" i="227" s="1"/>
  <c r="BI60" i="227" a="1"/>
  <c r="BI60" i="227" s="1"/>
  <c r="BI23" i="227" a="1"/>
  <c r="BI23" i="227" s="1"/>
  <c r="BI48" i="227" a="1"/>
  <c r="BI48" i="227" s="1"/>
  <c r="BI42" i="227" a="1"/>
  <c r="BI42" i="227" s="1"/>
  <c r="BI40" i="227" a="1"/>
  <c r="BI40" i="227" s="1"/>
  <c r="BI16" i="227" a="1"/>
  <c r="BI16" i="227" s="1"/>
  <c r="BI56" i="227" a="1"/>
  <c r="BI56" i="227" s="1"/>
  <c r="BI34" i="227" a="1"/>
  <c r="BI34" i="227" s="1"/>
  <c r="BI35" i="227" a="1"/>
  <c r="BI35" i="227" s="1"/>
  <c r="BI68" i="227" a="1"/>
  <c r="BI68" i="227" s="1"/>
  <c r="BI54" i="227" a="1"/>
  <c r="BI54" i="227" s="1"/>
  <c r="BI21" i="227" a="1"/>
  <c r="BI21" i="227" s="1"/>
  <c r="BI26" i="227" a="1"/>
  <c r="BI26" i="227" s="1"/>
  <c r="BI20" i="227" a="1"/>
  <c r="BI20" i="227" s="1"/>
  <c r="BI44" i="227" a="1"/>
  <c r="BI44" i="227" s="1"/>
  <c r="BI32" i="227" a="1"/>
  <c r="BI32" i="227" s="1"/>
  <c r="BI70" i="227" a="1"/>
  <c r="BI70" i="227" s="1"/>
  <c r="BI25" i="227" a="1"/>
  <c r="BI25" i="227" s="1"/>
  <c r="BI11" i="227" a="1"/>
  <c r="BI11" i="227" s="1"/>
  <c r="BI28" i="227" a="1"/>
  <c r="BI28" i="227" s="1"/>
  <c r="BI49" i="227" a="1"/>
  <c r="BI49" i="227" s="1"/>
  <c r="BI64" i="227" a="1"/>
  <c r="BI64" i="227" s="1"/>
  <c r="BE67" i="227" a="1"/>
  <c r="BE67" i="227" s="1"/>
  <c r="BE10" i="227" a="1"/>
  <c r="BE10" i="227" s="1"/>
  <c r="BE59" i="227" a="1"/>
  <c r="BE59" i="227" s="1"/>
  <c r="BE32" i="227" a="1"/>
  <c r="BE32" i="227" s="1"/>
  <c r="BE50" i="227" a="1"/>
  <c r="BE50" i="227" s="1"/>
  <c r="BE33" i="227" a="1"/>
  <c r="BE33" i="227" s="1"/>
  <c r="BE42" i="227" a="1"/>
  <c r="BE42" i="227" s="1"/>
  <c r="BE19" i="227" a="1"/>
  <c r="BE19" i="227" s="1"/>
  <c r="BE56" i="227" a="1"/>
  <c r="BE56" i="227" s="1"/>
  <c r="BE30" i="227" a="1"/>
  <c r="BE30" i="227" s="1"/>
  <c r="BE44" i="227" a="1"/>
  <c r="BE44" i="227" s="1"/>
  <c r="BE14" i="227" a="1"/>
  <c r="BE14" i="227" s="1"/>
  <c r="BE21" i="227" a="1"/>
  <c r="BE21" i="227" s="1"/>
  <c r="BE16" i="227" a="1"/>
  <c r="BE16" i="227" s="1"/>
  <c r="BE40" i="227" a="1"/>
  <c r="BE40" i="227" s="1"/>
  <c r="BE55" i="227" a="1"/>
  <c r="BE55" i="227" s="1"/>
  <c r="BE36" i="227" a="1"/>
  <c r="BE36" i="227" s="1"/>
  <c r="BE26" i="227" a="1"/>
  <c r="BE26" i="227" s="1"/>
  <c r="BE39" i="227" a="1"/>
  <c r="BE39" i="227" s="1"/>
  <c r="BE64" i="227" a="1"/>
  <c r="BE64" i="227" s="1"/>
  <c r="BE28" i="227" a="1"/>
  <c r="BE28" i="227" s="1"/>
  <c r="BE11" i="227" a="1"/>
  <c r="BE11" i="227" s="1"/>
  <c r="BE49" i="227" a="1"/>
  <c r="BE49" i="227" s="1"/>
  <c r="BE53" i="227" a="1"/>
  <c r="BE53" i="227" s="1"/>
  <c r="BE13" i="227" a="1"/>
  <c r="BE13" i="227" s="1"/>
  <c r="BE38" i="227" a="1"/>
  <c r="BE38" i="227" s="1"/>
  <c r="BE71" i="227" a="1"/>
  <c r="BE71" i="227" s="1"/>
  <c r="BE52" i="227" a="1"/>
  <c r="BE52" i="227" s="1"/>
  <c r="BE62" i="227" a="1"/>
  <c r="BE62" i="227" s="1"/>
  <c r="BE69" i="227" a="1"/>
  <c r="BE69" i="227" s="1"/>
  <c r="BE29" i="227" a="1"/>
  <c r="BE29" i="227" s="1"/>
  <c r="BE31" i="227" a="1"/>
  <c r="BE31" i="227" s="1"/>
  <c r="BE37" i="227" a="1"/>
  <c r="BE37" i="227" s="1"/>
  <c r="BE27" i="227" a="1"/>
  <c r="BE27" i="227" s="1"/>
  <c r="BE12" i="227" a="1"/>
  <c r="BE12" i="227" s="1"/>
  <c r="BE61" i="227" a="1"/>
  <c r="BE61" i="227" s="1"/>
  <c r="BE41" i="227" a="1"/>
  <c r="BE41" i="227" s="1"/>
  <c r="BE24" i="227" a="1"/>
  <c r="BE24" i="227" s="1"/>
  <c r="BE46" i="227" a="1"/>
  <c r="BE46" i="227" s="1"/>
  <c r="DY27" i="227" a="1"/>
  <c r="DY27" i="227" s="1"/>
  <c r="DY57" i="227" a="1"/>
  <c r="DY57" i="227" s="1"/>
  <c r="DY35" i="227" a="1"/>
  <c r="DY35" i="227" s="1"/>
  <c r="DY28" i="227" a="1"/>
  <c r="DY28" i="227" s="1"/>
  <c r="DY31" i="227" a="1"/>
  <c r="DY31" i="227" s="1"/>
  <c r="DY65" i="227" a="1"/>
  <c r="DY65" i="227" s="1"/>
  <c r="DY48" i="227" a="1"/>
  <c r="DY48" i="227" s="1"/>
  <c r="DY54" i="227" a="1"/>
  <c r="DY54" i="227" s="1"/>
  <c r="DY37" i="227" a="1"/>
  <c r="DY37" i="227" s="1"/>
  <c r="DY13" i="227" a="1"/>
  <c r="DY13" i="227" s="1"/>
  <c r="DY17" i="227" a="1"/>
  <c r="DY17" i="227" s="1"/>
  <c r="DY39" i="227" a="1"/>
  <c r="DY39" i="227" s="1"/>
  <c r="DY53" i="227" a="1"/>
  <c r="DY53" i="227" s="1"/>
  <c r="DY50" i="227" a="1"/>
  <c r="DY50" i="227" s="1"/>
  <c r="DY23" i="227" a="1"/>
  <c r="DY23" i="227" s="1"/>
  <c r="DY56" i="227" a="1"/>
  <c r="DY56" i="227" s="1"/>
  <c r="DY10" i="227" a="1"/>
  <c r="DY10" i="227" s="1"/>
  <c r="DY44" i="227" a="1"/>
  <c r="DY44" i="227" s="1"/>
  <c r="DY34" i="227" a="1"/>
  <c r="DY34" i="227" s="1"/>
  <c r="DY52" i="227" a="1"/>
  <c r="DY52" i="227" s="1"/>
  <c r="DY25" i="227" a="1"/>
  <c r="DY25" i="227" s="1"/>
  <c r="DY67" i="227" a="1"/>
  <c r="DY67" i="227" s="1"/>
  <c r="DY61" i="227" a="1"/>
  <c r="DY61" i="227" s="1"/>
  <c r="DY71" i="227" a="1"/>
  <c r="DY71" i="227" s="1"/>
  <c r="DY12" i="227" a="1"/>
  <c r="DY12" i="227" s="1"/>
  <c r="DY16" i="227" a="1"/>
  <c r="DY16" i="227" s="1"/>
  <c r="DY32" i="227" a="1"/>
  <c r="DY32" i="227" s="1"/>
  <c r="DY72" i="227" a="1"/>
  <c r="DY72" i="227" s="1"/>
  <c r="DY41" i="227" a="1"/>
  <c r="DY41" i="227" s="1"/>
  <c r="DY30" i="227" a="1"/>
  <c r="DY30" i="227" s="1"/>
  <c r="DY40" i="227" a="1"/>
  <c r="DY40" i="227" s="1"/>
  <c r="DY36" i="227" a="1"/>
  <c r="DY36" i="227" s="1"/>
  <c r="DY21" i="227" a="1"/>
  <c r="DY21" i="227" s="1"/>
  <c r="DY15" i="227" a="1"/>
  <c r="DY15" i="227" s="1"/>
  <c r="DY26" i="227" a="1"/>
  <c r="DY26" i="227" s="1"/>
  <c r="DY29" i="227" a="1"/>
  <c r="DY29" i="227" s="1"/>
  <c r="DY62" i="227" a="1"/>
  <c r="DY62" i="227" s="1"/>
  <c r="DY66" i="227" a="1"/>
  <c r="DY66" i="227" s="1"/>
  <c r="DY47" i="227" a="1"/>
  <c r="DY47" i="227" s="1"/>
  <c r="E9" i="688"/>
  <c r="I9" i="688"/>
  <c r="BY37" i="227" a="1"/>
  <c r="BY37" i="227" s="1"/>
  <c r="BY34" i="227" a="1"/>
  <c r="BY34" i="227" s="1"/>
  <c r="BY29" i="227" a="1"/>
  <c r="BY29" i="227" s="1"/>
  <c r="Q55" i="227" a="1"/>
  <c r="Q55" i="227" s="1"/>
  <c r="Q51" i="227" a="1"/>
  <c r="Q51" i="227" s="1"/>
  <c r="Q10" i="227" a="1"/>
  <c r="Q10" i="227" s="1"/>
  <c r="Q33" i="227" a="1"/>
  <c r="Q33" i="227" s="1"/>
  <c r="Q23" i="227" a="1"/>
  <c r="Q23" i="227" s="1"/>
  <c r="Q46" i="227" a="1"/>
  <c r="Q46" i="227" s="1"/>
  <c r="Q20" i="227" a="1"/>
  <c r="Q20" i="227" s="1"/>
  <c r="Q47" i="227" a="1"/>
  <c r="Q47" i="227" s="1"/>
  <c r="Q9" i="87"/>
  <c r="R9" i="87" s="1"/>
  <c r="S9" i="87" s="1"/>
  <c r="CO61" i="227" a="1"/>
  <c r="CO61" i="227" s="1"/>
  <c r="BE35" i="227" a="1"/>
  <c r="BE35" i="227" s="1"/>
  <c r="BE17" i="227" a="1"/>
  <c r="BE17" i="227" s="1"/>
  <c r="BE54" i="227" a="1"/>
  <c r="BE54" i="227" s="1"/>
  <c r="BI43" i="227" a="1"/>
  <c r="BI43" i="227" s="1"/>
  <c r="BI65" i="227" a="1"/>
  <c r="BI65" i="227" s="1"/>
  <c r="DY19" i="227" a="1"/>
  <c r="DY19" i="227" s="1"/>
  <c r="Q53" i="227" a="1"/>
  <c r="Q53" i="227" s="1"/>
  <c r="Q35" i="227" a="1"/>
  <c r="Q35" i="227" s="1"/>
  <c r="Q36" i="227" a="1"/>
  <c r="Q36" i="227" s="1"/>
  <c r="Q57" i="227" a="1"/>
  <c r="Q57" i="227" s="1"/>
  <c r="Q72" i="227" a="1"/>
  <c r="Q72" i="227" s="1"/>
  <c r="Q58" i="227" a="1"/>
  <c r="Q58" i="227" s="1"/>
  <c r="Q37" i="227" a="1"/>
  <c r="Q37" i="227" s="1"/>
  <c r="Q49" i="227" a="1"/>
  <c r="Q49" i="227" s="1"/>
  <c r="CO53" i="227" a="1"/>
  <c r="CO53" i="227" s="1"/>
  <c r="CO31" i="227" a="1"/>
  <c r="CO31" i="227" s="1"/>
  <c r="CO48" i="227" a="1"/>
  <c r="CO48" i="227" s="1"/>
  <c r="H11" i="39"/>
  <c r="J11" i="39" s="1"/>
  <c r="DY43" i="227" a="1"/>
  <c r="DY43" i="227" s="1"/>
  <c r="DY70" i="227" a="1"/>
  <c r="DY70" i="227" s="1"/>
  <c r="DY14" i="227" a="1"/>
  <c r="DY14" i="227" s="1"/>
  <c r="BE48" i="227" a="1"/>
  <c r="BE48" i="227" s="1"/>
  <c r="BE65" i="227" a="1"/>
  <c r="BE65" i="227" s="1"/>
  <c r="BE70" i="227" a="1"/>
  <c r="BE70" i="227" s="1"/>
  <c r="BI61" i="227" a="1"/>
  <c r="BI61" i="227" s="1"/>
  <c r="BI24" i="227" a="1"/>
  <c r="BI24" i="227" s="1"/>
  <c r="CO58" i="227" a="1"/>
  <c r="CO58" i="227" s="1"/>
  <c r="CO65" i="227" a="1"/>
  <c r="CO65" i="227" s="1"/>
  <c r="CO27" i="227" a="1"/>
  <c r="CO27" i="227" s="1"/>
  <c r="CO72" i="227" a="1"/>
  <c r="CO72" i="227" s="1"/>
  <c r="F3" i="107"/>
  <c r="DY51" i="227" a="1"/>
  <c r="DY51" i="227" s="1"/>
  <c r="DY46" i="227" a="1"/>
  <c r="DY46" i="227" s="1"/>
  <c r="BE60" i="227" a="1"/>
  <c r="BE60" i="227" s="1"/>
  <c r="BE72" i="227" a="1"/>
  <c r="BE72" i="227" s="1"/>
  <c r="BE57" i="227" a="1"/>
  <c r="BE57" i="227" s="1"/>
  <c r="BI50" i="227" a="1"/>
  <c r="BI50" i="227" s="1"/>
  <c r="BI36" i="227" a="1"/>
  <c r="BI36" i="227" s="1"/>
  <c r="CO14" i="227" a="1"/>
  <c r="CO14" i="227" s="1"/>
  <c r="AS48" i="227" a="1"/>
  <c r="AS48" i="227" s="1"/>
  <c r="FI69" i="227" a="1"/>
  <c r="FI69" i="227" s="1"/>
  <c r="M49" i="227" a="1"/>
  <c r="M49" i="227" s="1"/>
  <c r="BQ48" i="227" a="1"/>
  <c r="BQ48" i="227" s="1"/>
  <c r="FE12" i="227" a="1"/>
  <c r="FE12" i="227" s="1"/>
  <c r="CS27" i="227" a="1"/>
  <c r="CS27" i="227" s="1"/>
  <c r="J8" i="39"/>
  <c r="F250" i="857" s="1"/>
  <c r="Q60" i="227" a="1"/>
  <c r="Q60" i="227" s="1"/>
  <c r="Q52" i="227" a="1"/>
  <c r="Q52" i="227" s="1"/>
  <c r="Q42" i="227" a="1"/>
  <c r="Q42" i="227" s="1"/>
  <c r="Q25" i="227" a="1"/>
  <c r="Q25" i="227" s="1"/>
  <c r="Q24" i="227" a="1"/>
  <c r="Q24" i="227" s="1"/>
  <c r="Q40" i="227" a="1"/>
  <c r="Q40" i="227" s="1"/>
  <c r="Q44" i="227" a="1"/>
  <c r="Q44" i="227" s="1"/>
  <c r="G11" i="39"/>
  <c r="CO66" i="227" a="1"/>
  <c r="CO66" i="227" s="1"/>
  <c r="CO64" i="227" a="1"/>
  <c r="CO64" i="227" s="1"/>
  <c r="CO51" i="227" a="1"/>
  <c r="CO51" i="227" s="1"/>
  <c r="BE22" i="227" a="1"/>
  <c r="BE22" i="227" s="1"/>
  <c r="BE18" i="227" a="1"/>
  <c r="BE18" i="227" s="1"/>
  <c r="BE51" i="227" a="1"/>
  <c r="BE51" i="227" s="1"/>
  <c r="BI14" i="227" a="1"/>
  <c r="BI14" i="227" s="1"/>
  <c r="BI10" i="227" a="1"/>
  <c r="BI10" i="227" s="1"/>
  <c r="CO25" i="227" a="1"/>
  <c r="CO25" i="227" s="1"/>
  <c r="G15" i="112"/>
  <c r="B155" i="794" s="1"/>
  <c r="AW13" i="227" a="1"/>
  <c r="AW13" i="227" s="1"/>
  <c r="CG20" i="227" a="1"/>
  <c r="CG20" i="227" s="1"/>
  <c r="ES34" i="227" a="1"/>
  <c r="ES34" i="227" s="1"/>
  <c r="DU64" i="227" a="1"/>
  <c r="DU64" i="227" s="1"/>
  <c r="AK36" i="227" a="1"/>
  <c r="AK36" i="227" s="1"/>
  <c r="DQ72" i="227" a="1"/>
  <c r="DQ72" i="227" s="1"/>
  <c r="O123" i="99"/>
  <c r="CS60" i="227" a="1"/>
  <c r="CS60" i="227" s="1"/>
  <c r="AW34" i="227" a="1"/>
  <c r="AW34" i="227" s="1"/>
  <c r="ES18" i="227" a="1"/>
  <c r="ES18" i="227" s="1"/>
  <c r="ES28" i="227" a="1"/>
  <c r="ES28" i="227" s="1"/>
  <c r="CS52" i="227" a="1"/>
  <c r="CS52" i="227" s="1"/>
  <c r="DU23" i="227" a="1"/>
  <c r="DU23" i="227" s="1"/>
  <c r="DQ25" i="227" a="1"/>
  <c r="DQ25" i="227" s="1"/>
  <c r="AS56" i="227" a="1"/>
  <c r="AS56" i="227" s="1"/>
  <c r="CS11" i="227" a="1"/>
  <c r="CS11" i="227" s="1"/>
  <c r="Q11" i="87"/>
  <c r="R11" i="87" s="1"/>
  <c r="S11" i="87" s="1"/>
  <c r="ES14" i="227" a="1"/>
  <c r="ES14" i="227" s="1"/>
  <c r="ES24" i="227" a="1"/>
  <c r="ES24" i="227" s="1"/>
  <c r="FE16" i="227" a="1"/>
  <c r="FE16" i="227" s="1"/>
  <c r="DU46" i="227" a="1"/>
  <c r="DU46" i="227" s="1"/>
  <c r="DQ49" i="227" a="1"/>
  <c r="DQ49" i="227" s="1"/>
  <c r="FE21" i="227" a="1"/>
  <c r="FE21" i="227" s="1"/>
  <c r="ES57" i="227" a="1"/>
  <c r="ES57" i="227" s="1"/>
  <c r="CS22" i="227" a="1"/>
  <c r="CS22" i="227" s="1"/>
  <c r="ES68" i="227" a="1"/>
  <c r="ES68" i="227" s="1"/>
  <c r="ES43" i="227" a="1"/>
  <c r="ES43" i="227" s="1"/>
  <c r="ES61" i="227" a="1"/>
  <c r="ES61" i="227" s="1"/>
  <c r="FE11" i="227" a="1"/>
  <c r="FE11" i="227" s="1"/>
  <c r="DU56" i="227" a="1"/>
  <c r="DU56" i="227" s="1"/>
  <c r="AK53" i="227" a="1"/>
  <c r="AK53" i="227" s="1"/>
  <c r="DQ38" i="227" a="1"/>
  <c r="DQ38" i="227" s="1"/>
  <c r="BQ46" i="227" a="1"/>
  <c r="BQ46" i="227" s="1"/>
  <c r="BQ19" i="227" a="1"/>
  <c r="BQ19" i="227" s="1"/>
  <c r="BQ18" i="227" a="1"/>
  <c r="BQ18" i="227" s="1"/>
  <c r="BQ27" i="227" a="1"/>
  <c r="BQ27" i="227" s="1"/>
  <c r="BQ39" i="227" a="1"/>
  <c r="BQ39" i="227" s="1"/>
  <c r="BQ49" i="227" a="1"/>
  <c r="BQ49" i="227" s="1"/>
  <c r="FE13" i="227" a="1"/>
  <c r="FE13" i="227" s="1"/>
  <c r="ES17" i="227" a="1"/>
  <c r="ES17" i="227" s="1"/>
  <c r="ES66" i="227" a="1"/>
  <c r="ES66" i="227" s="1"/>
  <c r="FI48" i="227" a="1"/>
  <c r="FI48" i="227" s="1"/>
  <c r="FI10" i="227" a="1"/>
  <c r="FI10" i="227" s="1"/>
  <c r="FI30" i="227" a="1"/>
  <c r="FI30" i="227" s="1"/>
  <c r="FI28" i="227" a="1"/>
  <c r="FI28" i="227" s="1"/>
  <c r="FI44" i="227" a="1"/>
  <c r="FI44" i="227" s="1"/>
  <c r="FI42" i="227" a="1"/>
  <c r="FI42" i="227" s="1"/>
  <c r="FI18" i="227" a="1"/>
  <c r="FI18" i="227" s="1"/>
  <c r="M34" i="227" a="1"/>
  <c r="M34" i="227" s="1"/>
  <c r="M71" i="227" a="1"/>
  <c r="M71" i="227" s="1"/>
  <c r="M58" i="227" a="1"/>
  <c r="M58" i="227" s="1"/>
  <c r="M36" i="227" a="1"/>
  <c r="M36" i="227" s="1"/>
  <c r="M28" i="227" a="1"/>
  <c r="M28" i="227" s="1"/>
  <c r="M25" i="227" a="1"/>
  <c r="M25" i="227" s="1"/>
  <c r="FE14" i="227" a="1"/>
  <c r="FE14" i="227" s="1"/>
  <c r="FE30" i="227" a="1"/>
  <c r="FE30" i="227" s="1"/>
  <c r="FE37" i="227" a="1"/>
  <c r="FE37" i="227" s="1"/>
  <c r="FE36" i="227" a="1"/>
  <c r="FE36" i="227" s="1"/>
  <c r="FE18" i="227" a="1"/>
  <c r="FE18" i="227" s="1"/>
  <c r="FE31" i="227" a="1"/>
  <c r="FE31" i="227" s="1"/>
  <c r="FE34" i="227" a="1"/>
  <c r="FE34" i="227" s="1"/>
  <c r="FE27" i="227" a="1"/>
  <c r="FE27" i="227" s="1"/>
  <c r="FE32" i="227" a="1"/>
  <c r="FE32" i="227" s="1"/>
  <c r="FE28" i="227" a="1"/>
  <c r="FE28" i="227" s="1"/>
  <c r="FE22" i="227" a="1"/>
  <c r="FE22" i="227" s="1"/>
  <c r="FE20" i="227" a="1"/>
  <c r="FE20" i="227" s="1"/>
  <c r="FE35" i="227" a="1"/>
  <c r="FE35" i="227" s="1"/>
  <c r="FE15" i="227" a="1"/>
  <c r="FE15" i="227" s="1"/>
  <c r="FE29" i="227" a="1"/>
  <c r="FE29" i="227" s="1"/>
  <c r="FE17" i="227" a="1"/>
  <c r="FE17" i="227" s="1"/>
  <c r="FE25" i="227" a="1"/>
  <c r="FE25" i="227" s="1"/>
  <c r="FE19" i="227" a="1"/>
  <c r="FE19" i="227" s="1"/>
  <c r="FE26" i="227" a="1"/>
  <c r="FE26" i="227" s="1"/>
  <c r="C30" i="529"/>
  <c r="C32" i="529" s="1"/>
  <c r="E45" i="529" s="1"/>
  <c r="F13" i="87"/>
  <c r="O8" i="87" s="1"/>
  <c r="C31" i="529"/>
  <c r="H13" i="39"/>
  <c r="W11" i="87" s="1"/>
  <c r="CS68" i="227" a="1"/>
  <c r="CS68" i="227" s="1"/>
  <c r="CS42" i="227" a="1"/>
  <c r="CS42" i="227" s="1"/>
  <c r="CS62" i="227" a="1"/>
  <c r="CS62" i="227" s="1"/>
  <c r="CS40" i="227" a="1"/>
  <c r="CS40" i="227" s="1"/>
  <c r="CS16" i="227" a="1"/>
  <c r="CS16" i="227" s="1"/>
  <c r="CS47" i="227" a="1"/>
  <c r="CS47" i="227" s="1"/>
  <c r="CS72" i="227" a="1"/>
  <c r="CS72" i="227" s="1"/>
  <c r="CS58" i="227" a="1"/>
  <c r="CS58" i="227" s="1"/>
  <c r="CS29" i="227" a="1"/>
  <c r="CS29" i="227" s="1"/>
  <c r="CS12" i="227" a="1"/>
  <c r="CS12" i="227" s="1"/>
  <c r="CS57" i="227" a="1"/>
  <c r="CS57" i="227" s="1"/>
  <c r="CS23" i="227" a="1"/>
  <c r="CS23" i="227" s="1"/>
  <c r="CS39" i="227" a="1"/>
  <c r="CS39" i="227" s="1"/>
  <c r="CS20" i="227" a="1"/>
  <c r="CS20" i="227" s="1"/>
  <c r="CS70" i="227" a="1"/>
  <c r="CS70" i="227" s="1"/>
  <c r="L31" i="528"/>
  <c r="L30" i="528" s="1"/>
  <c r="L39" i="528" s="1"/>
  <c r="L30" i="87"/>
  <c r="L31" i="87" s="1"/>
  <c r="L32" i="87" s="1"/>
  <c r="AW49" i="227" a="1"/>
  <c r="AW49" i="227" s="1"/>
  <c r="AW35" i="227" a="1"/>
  <c r="AW35" i="227" s="1"/>
  <c r="AW23" i="227" a="1"/>
  <c r="AW23" i="227" s="1"/>
  <c r="AW56" i="227" a="1"/>
  <c r="AW56" i="227" s="1"/>
  <c r="AW44" i="227" a="1"/>
  <c r="AW44" i="227" s="1"/>
  <c r="AW37" i="227" a="1"/>
  <c r="AW37" i="227" s="1"/>
  <c r="AW24" i="227" a="1"/>
  <c r="AW24" i="227" s="1"/>
  <c r="ES48" i="227" a="1"/>
  <c r="ES48" i="227" s="1"/>
  <c r="ES11" i="227" a="1"/>
  <c r="ES11" i="227" s="1"/>
  <c r="ES23" i="227" a="1"/>
  <c r="ES23" i="227" s="1"/>
  <c r="ES15" i="227" a="1"/>
  <c r="ES15" i="227" s="1"/>
  <c r="ES63" i="227" a="1"/>
  <c r="ES63" i="227" s="1"/>
  <c r="ES44" i="227" a="1"/>
  <c r="ES44" i="227" s="1"/>
  <c r="ES69" i="227" a="1"/>
  <c r="ES69" i="227" s="1"/>
  <c r="ES20" i="227" a="1"/>
  <c r="ES20" i="227" s="1"/>
  <c r="ES31" i="227" a="1"/>
  <c r="ES31" i="227" s="1"/>
  <c r="ES40" i="227" a="1"/>
  <c r="ES40" i="227" s="1"/>
  <c r="ES21" i="227" a="1"/>
  <c r="ES21" i="227" s="1"/>
  <c r="ES36" i="227" a="1"/>
  <c r="ES36" i="227" s="1"/>
  <c r="ES35" i="227" a="1"/>
  <c r="ES35" i="227" s="1"/>
  <c r="ES46" i="227" a="1"/>
  <c r="ES46" i="227" s="1"/>
  <c r="ES13" i="227" a="1"/>
  <c r="ES13" i="227" s="1"/>
  <c r="ES26" i="227" a="1"/>
  <c r="ES26" i="227" s="1"/>
  <c r="ES65" i="227" a="1"/>
  <c r="ES65" i="227" s="1"/>
  <c r="ES55" i="227" a="1"/>
  <c r="ES55" i="227" s="1"/>
  <c r="ES54" i="227" a="1"/>
  <c r="ES54" i="227" s="1"/>
  <c r="ES71" i="227" a="1"/>
  <c r="ES71" i="227" s="1"/>
  <c r="ES49" i="227" a="1"/>
  <c r="ES49" i="227" s="1"/>
  <c r="ES37" i="227" a="1"/>
  <c r="ES37" i="227" s="1"/>
  <c r="ES52" i="227" a="1"/>
  <c r="ES52" i="227" s="1"/>
  <c r="ES67" i="227" a="1"/>
  <c r="ES67" i="227" s="1"/>
  <c r="ES39" i="227" a="1"/>
  <c r="ES39" i="227" s="1"/>
  <c r="ES41" i="227" a="1"/>
  <c r="ES41" i="227" s="1"/>
  <c r="ES62" i="227" a="1"/>
  <c r="ES62" i="227" s="1"/>
  <c r="ES42" i="227" a="1"/>
  <c r="ES42" i="227" s="1"/>
  <c r="ES19" i="227" a="1"/>
  <c r="ES19" i="227" s="1"/>
  <c r="ES47" i="227" a="1"/>
  <c r="ES47" i="227" s="1"/>
  <c r="ES27" i="227" a="1"/>
  <c r="ES27" i="227" s="1"/>
  <c r="ES70" i="227" a="1"/>
  <c r="ES70" i="227" s="1"/>
  <c r="ES72" i="227" a="1"/>
  <c r="ES72" i="227" s="1"/>
  <c r="ES60" i="227" a="1"/>
  <c r="ES60" i="227" s="1"/>
  <c r="ES30" i="227" a="1"/>
  <c r="ES30" i="227" s="1"/>
  <c r="ES12" i="227" a="1"/>
  <c r="ES12" i="227" s="1"/>
  <c r="DU53" i="227" a="1"/>
  <c r="DU53" i="227" s="1"/>
  <c r="DU51" i="227" a="1"/>
  <c r="DU51" i="227" s="1"/>
  <c r="DU29" i="227" a="1"/>
  <c r="DU29" i="227" s="1"/>
  <c r="DU44" i="227" a="1"/>
  <c r="DU44" i="227" s="1"/>
  <c r="DU14" i="227" a="1"/>
  <c r="DU14" i="227" s="1"/>
  <c r="DU71" i="227" a="1"/>
  <c r="DU71" i="227" s="1"/>
  <c r="DU40" i="227" a="1"/>
  <c r="DU40" i="227" s="1"/>
  <c r="DU35" i="227" a="1"/>
  <c r="DU35" i="227" s="1"/>
  <c r="DU69" i="227" a="1"/>
  <c r="DU69" i="227" s="1"/>
  <c r="DU67" i="227" a="1"/>
  <c r="DU67" i="227" s="1"/>
  <c r="DU24" i="227" a="1"/>
  <c r="DU24" i="227" s="1"/>
  <c r="DU59" i="227" a="1"/>
  <c r="DU59" i="227" s="1"/>
  <c r="DU28" i="227" a="1"/>
  <c r="DU28" i="227" s="1"/>
  <c r="DU65" i="227" a="1"/>
  <c r="DU65" i="227" s="1"/>
  <c r="DU25" i="227" a="1"/>
  <c r="DU25" i="227" s="1"/>
  <c r="DU49" i="227" a="1"/>
  <c r="DU49" i="227" s="1"/>
  <c r="DU26" i="227" a="1"/>
  <c r="DU26" i="227" s="1"/>
  <c r="DU41" i="227" a="1"/>
  <c r="DU41" i="227" s="1"/>
  <c r="DU32" i="227" a="1"/>
  <c r="DU32" i="227" s="1"/>
  <c r="DU72" i="227" a="1"/>
  <c r="DU72" i="227" s="1"/>
  <c r="DU36" i="227" a="1"/>
  <c r="DU36" i="227" s="1"/>
  <c r="DU27" i="227" a="1"/>
  <c r="DU27" i="227" s="1"/>
  <c r="DU34" i="227" a="1"/>
  <c r="DU34" i="227" s="1"/>
  <c r="DU68" i="227" a="1"/>
  <c r="DU68" i="227" s="1"/>
  <c r="DU54" i="227" a="1"/>
  <c r="DU54" i="227" s="1"/>
  <c r="DU33" i="227" a="1"/>
  <c r="DU33" i="227" s="1"/>
  <c r="DU50" i="227" a="1"/>
  <c r="DU50" i="227" s="1"/>
  <c r="DU43" i="227" a="1"/>
  <c r="DU43" i="227" s="1"/>
  <c r="DU15" i="227" a="1"/>
  <c r="DU15" i="227" s="1"/>
  <c r="DU62" i="227" a="1"/>
  <c r="DU62" i="227" s="1"/>
  <c r="DU42" i="227" a="1"/>
  <c r="DU42" i="227" s="1"/>
  <c r="DU47" i="227" a="1"/>
  <c r="DU47" i="227" s="1"/>
  <c r="DU55" i="227" a="1"/>
  <c r="DU55" i="227" s="1"/>
  <c r="DU39" i="227" a="1"/>
  <c r="DU39" i="227" s="1"/>
  <c r="DU38" i="227" a="1"/>
  <c r="DU38" i="227" s="1"/>
  <c r="DU30" i="227" a="1"/>
  <c r="DU30" i="227" s="1"/>
  <c r="DU37" i="227" a="1"/>
  <c r="DU37" i="227" s="1"/>
  <c r="DU17" i="227" a="1"/>
  <c r="DU17" i="227" s="1"/>
  <c r="DU10" i="227" a="1"/>
  <c r="DU10" i="227" s="1"/>
  <c r="DU61" i="227" a="1"/>
  <c r="DU61" i="227" s="1"/>
  <c r="DU18" i="227" a="1"/>
  <c r="DU18" i="227" s="1"/>
  <c r="DU13" i="227" a="1"/>
  <c r="DU13" i="227" s="1"/>
  <c r="DU19" i="227" a="1"/>
  <c r="DU19" i="227" s="1"/>
  <c r="DU66" i="227" a="1"/>
  <c r="DU66" i="227" s="1"/>
  <c r="DU16" i="227" a="1"/>
  <c r="DU16" i="227" s="1"/>
  <c r="DU20" i="227" a="1"/>
  <c r="DU20" i="227" s="1"/>
  <c r="DU48" i="227" a="1"/>
  <c r="DU48" i="227" s="1"/>
  <c r="DU63" i="227" a="1"/>
  <c r="DU63" i="227" s="1"/>
  <c r="DU60" i="227" a="1"/>
  <c r="DU60" i="227" s="1"/>
  <c r="DU22" i="227" a="1"/>
  <c r="DU22" i="227" s="1"/>
  <c r="DU58" i="227" a="1"/>
  <c r="DU58" i="227" s="1"/>
  <c r="DU12" i="227" a="1"/>
  <c r="DU12" i="227" s="1"/>
  <c r="DU11" i="227" a="1"/>
  <c r="DU11" i="227" s="1"/>
  <c r="AK20" i="227" a="1"/>
  <c r="AK20" i="227" s="1"/>
  <c r="AK26" i="227" a="1"/>
  <c r="AK26" i="227" s="1"/>
  <c r="AK32" i="227" a="1"/>
  <c r="AK32" i="227" s="1"/>
  <c r="AK34" i="227" a="1"/>
  <c r="AK34" i="227" s="1"/>
  <c r="AK46" i="227" a="1"/>
  <c r="AK46" i="227" s="1"/>
  <c r="AK38" i="227" a="1"/>
  <c r="AK38" i="227" s="1"/>
  <c r="AK16" i="227" a="1"/>
  <c r="AK16" i="227" s="1"/>
  <c r="AK63" i="227" a="1"/>
  <c r="AK63" i="227" s="1"/>
  <c r="AK67" i="227" a="1"/>
  <c r="AK67" i="227" s="1"/>
  <c r="AK27" i="227" a="1"/>
  <c r="AK27" i="227" s="1"/>
  <c r="AK55" i="227" a="1"/>
  <c r="AK55" i="227" s="1"/>
  <c r="AK69" i="227" a="1"/>
  <c r="AK69" i="227" s="1"/>
  <c r="AK14" i="227" a="1"/>
  <c r="AK14" i="227" s="1"/>
  <c r="AK24" i="227" a="1"/>
  <c r="AK24" i="227" s="1"/>
  <c r="AK18" i="227" a="1"/>
  <c r="AK18" i="227" s="1"/>
  <c r="AK25" i="227" a="1"/>
  <c r="AK25" i="227" s="1"/>
  <c r="AK66" i="227" a="1"/>
  <c r="AK66" i="227" s="1"/>
  <c r="AK10" i="227" a="1"/>
  <c r="AK10" i="227" s="1"/>
  <c r="AK31" i="227" a="1"/>
  <c r="AK31" i="227" s="1"/>
  <c r="AK54" i="227" a="1"/>
  <c r="AK54" i="227" s="1"/>
  <c r="AK22" i="227" a="1"/>
  <c r="AK22" i="227" s="1"/>
  <c r="AK51" i="227" a="1"/>
  <c r="AK51" i="227" s="1"/>
  <c r="EK71" i="227" a="1"/>
  <c r="EK71" i="227" s="1"/>
  <c r="EK56" i="227" a="1"/>
  <c r="EK56" i="227" s="1"/>
  <c r="EK42" i="227" a="1"/>
  <c r="EK42" i="227" s="1"/>
  <c r="EK15" i="227" a="1"/>
  <c r="EK15" i="227" s="1"/>
  <c r="EK21" i="227" a="1"/>
  <c r="EK21" i="227" s="1"/>
  <c r="EK64" i="227" a="1"/>
  <c r="EK64" i="227" s="1"/>
  <c r="EK58" i="227" a="1"/>
  <c r="EK58" i="227" s="1"/>
  <c r="EK29" i="227" a="1"/>
  <c r="EK29" i="227" s="1"/>
  <c r="EK61" i="227" a="1"/>
  <c r="EK61" i="227" s="1"/>
  <c r="EK41" i="227" a="1"/>
  <c r="EK41" i="227" s="1"/>
  <c r="DQ32" i="227" a="1"/>
  <c r="DQ32" i="227" s="1"/>
  <c r="DQ60" i="227" a="1"/>
  <c r="DQ60" i="227" s="1"/>
  <c r="DQ26" i="227" a="1"/>
  <c r="DQ26" i="227" s="1"/>
  <c r="DQ43" i="227" a="1"/>
  <c r="DQ43" i="227" s="1"/>
  <c r="DQ13" i="227" a="1"/>
  <c r="DQ13" i="227" s="1"/>
  <c r="DQ35" i="227" a="1"/>
  <c r="DQ35" i="227" s="1"/>
  <c r="DQ39" i="227" a="1"/>
  <c r="DQ39" i="227" s="1"/>
  <c r="DQ63" i="227" a="1"/>
  <c r="DQ63" i="227" s="1"/>
  <c r="DQ40" i="227" a="1"/>
  <c r="DQ40" i="227" s="1"/>
  <c r="DQ58" i="227" a="1"/>
  <c r="DQ58" i="227" s="1"/>
  <c r="DQ57" i="227" a="1"/>
  <c r="DQ57" i="227" s="1"/>
  <c r="DQ23" i="227" a="1"/>
  <c r="DQ23" i="227" s="1"/>
  <c r="DQ33" i="227" a="1"/>
  <c r="DQ33" i="227" s="1"/>
  <c r="DQ34" i="227" a="1"/>
  <c r="DQ34" i="227" s="1"/>
  <c r="DQ20" i="227" a="1"/>
  <c r="DQ20" i="227" s="1"/>
  <c r="DQ17" i="227" a="1"/>
  <c r="DQ17" i="227" s="1"/>
  <c r="DQ69" i="227" a="1"/>
  <c r="DQ69" i="227" s="1"/>
  <c r="DQ37" i="227" a="1"/>
  <c r="DQ37" i="227" s="1"/>
  <c r="DQ24" i="227" a="1"/>
  <c r="DQ24" i="227" s="1"/>
  <c r="DQ10" i="227" a="1"/>
  <c r="DQ10" i="227" s="1"/>
  <c r="DQ30" i="227" a="1"/>
  <c r="DQ30" i="227" s="1"/>
  <c r="DQ61" i="227" a="1"/>
  <c r="DQ61" i="227" s="1"/>
  <c r="DQ50" i="227" a="1"/>
  <c r="DQ50" i="227" s="1"/>
  <c r="DQ51" i="227" a="1"/>
  <c r="DQ51" i="227" s="1"/>
  <c r="DQ68" i="227" a="1"/>
  <c r="DQ68" i="227" s="1"/>
  <c r="DQ29" i="227" a="1"/>
  <c r="DQ29" i="227" s="1"/>
  <c r="DQ12" i="227" a="1"/>
  <c r="DQ12" i="227" s="1"/>
  <c r="DQ54" i="227" a="1"/>
  <c r="DQ54" i="227" s="1"/>
  <c r="DQ67" i="227" a="1"/>
  <c r="DQ67" i="227" s="1"/>
  <c r="DQ66" i="227" a="1"/>
  <c r="DQ66" i="227" s="1"/>
  <c r="DQ21" i="227" a="1"/>
  <c r="DQ21" i="227" s="1"/>
  <c r="DQ53" i="227" a="1"/>
  <c r="DQ53" i="227" s="1"/>
  <c r="DQ70" i="227" a="1"/>
  <c r="DQ70" i="227" s="1"/>
  <c r="DQ11" i="227" a="1"/>
  <c r="DQ11" i="227" s="1"/>
  <c r="DQ47" i="227" a="1"/>
  <c r="DQ47" i="227" s="1"/>
  <c r="DQ22" i="227" a="1"/>
  <c r="DQ22" i="227" s="1"/>
  <c r="DQ14" i="227" a="1"/>
  <c r="DQ14" i="227" s="1"/>
  <c r="DQ46" i="227" a="1"/>
  <c r="DQ46" i="227" s="1"/>
  <c r="DQ19" i="227" a="1"/>
  <c r="DQ19" i="227" s="1"/>
  <c r="DQ48" i="227" a="1"/>
  <c r="DQ48" i="227" s="1"/>
  <c r="DQ65" i="227" a="1"/>
  <c r="DQ65" i="227" s="1"/>
  <c r="DQ36" i="227" a="1"/>
  <c r="DQ36" i="227" s="1"/>
  <c r="DQ18" i="227" a="1"/>
  <c r="DQ18" i="227" s="1"/>
  <c r="DQ16" i="227" a="1"/>
  <c r="DQ16" i="227" s="1"/>
  <c r="DQ28" i="227" a="1"/>
  <c r="DQ28" i="227" s="1"/>
  <c r="DQ41" i="227" a="1"/>
  <c r="DQ41" i="227" s="1"/>
  <c r="DQ62" i="227" a="1"/>
  <c r="DQ62" i="227" s="1"/>
  <c r="DQ15" i="227" a="1"/>
  <c r="DQ15" i="227" s="1"/>
  <c r="DQ64" i="227" a="1"/>
  <c r="DQ64" i="227" s="1"/>
  <c r="DQ44" i="227" a="1"/>
  <c r="DQ44" i="227" s="1"/>
  <c r="DQ59" i="227" a="1"/>
  <c r="DQ59" i="227" s="1"/>
  <c r="DQ31" i="227" a="1"/>
  <c r="DQ31" i="227" s="1"/>
  <c r="DQ52" i="227" a="1"/>
  <c r="DQ52" i="227" s="1"/>
  <c r="DQ42" i="227" a="1"/>
  <c r="DQ42" i="227" s="1"/>
  <c r="EO64" i="227" a="1"/>
  <c r="EO64" i="227" s="1"/>
  <c r="EO54" i="227" a="1"/>
  <c r="EO54" i="227" s="1"/>
  <c r="EO40" i="227" a="1"/>
  <c r="EO40" i="227" s="1"/>
  <c r="EO65" i="227" a="1"/>
  <c r="EO65" i="227" s="1"/>
  <c r="EO20" i="227" a="1"/>
  <c r="EO20" i="227" s="1"/>
  <c r="EO11" i="227" a="1"/>
  <c r="EO11" i="227" s="1"/>
  <c r="EO52" i="227" a="1"/>
  <c r="EO52" i="227" s="1"/>
  <c r="EO26" i="227" a="1"/>
  <c r="EO26" i="227" s="1"/>
  <c r="EO50" i="227" a="1"/>
  <c r="EO50" i="227" s="1"/>
  <c r="EO33" i="227" a="1"/>
  <c r="EO33" i="227" s="1"/>
  <c r="EO48" i="227" a="1"/>
  <c r="EO48" i="227" s="1"/>
  <c r="EO68" i="227" a="1"/>
  <c r="EO68" i="227" s="1"/>
  <c r="EO15" i="227" a="1"/>
  <c r="EO15" i="227" s="1"/>
  <c r="EO44" i="227" a="1"/>
  <c r="EO44" i="227" s="1"/>
  <c r="EO10" i="227" a="1"/>
  <c r="EO10" i="227" s="1"/>
  <c r="EO30" i="227" a="1"/>
  <c r="EO30" i="227" s="1"/>
  <c r="EO51" i="227" a="1"/>
  <c r="EO51" i="227" s="1"/>
  <c r="EO13" i="227" a="1"/>
  <c r="EO13" i="227" s="1"/>
  <c r="EO12" i="227" a="1"/>
  <c r="EO12" i="227" s="1"/>
  <c r="EO62" i="227" a="1"/>
  <c r="EO62" i="227" s="1"/>
  <c r="EO42" i="227" a="1"/>
  <c r="EO42" i="227" s="1"/>
  <c r="EO36" i="227" a="1"/>
  <c r="EO36" i="227" s="1"/>
  <c r="AO53" i="227" a="1"/>
  <c r="AO53" i="227" s="1"/>
  <c r="AO42" i="227" a="1"/>
  <c r="AO42" i="227" s="1"/>
  <c r="AO48" i="227" a="1"/>
  <c r="AO48" i="227" s="1"/>
  <c r="AO18" i="227" a="1"/>
  <c r="AO18" i="227" s="1"/>
  <c r="AO28" i="227" a="1"/>
  <c r="AO28" i="227" s="1"/>
  <c r="AO31" i="227" a="1"/>
  <c r="AO31" i="227" s="1"/>
  <c r="AO19" i="227" a="1"/>
  <c r="AO19" i="227" s="1"/>
  <c r="AO63" i="227" a="1"/>
  <c r="AO63" i="227" s="1"/>
  <c r="AO71" i="227" a="1"/>
  <c r="AO71" i="227" s="1"/>
  <c r="AO12" i="227" a="1"/>
  <c r="AO12" i="227" s="1"/>
  <c r="AO65" i="227" a="1"/>
  <c r="AO65" i="227" s="1"/>
  <c r="AO29" i="227" a="1"/>
  <c r="AO29" i="227" s="1"/>
  <c r="AO39" i="227" a="1"/>
  <c r="AO39" i="227" s="1"/>
  <c r="AO35" i="227" a="1"/>
  <c r="AO35" i="227" s="1"/>
  <c r="AO21" i="227" a="1"/>
  <c r="AO21" i="227" s="1"/>
  <c r="AO10" i="227" a="1"/>
  <c r="AO10" i="227" s="1"/>
  <c r="AO43" i="227" a="1"/>
  <c r="AO43" i="227" s="1"/>
  <c r="AO50" i="227" a="1"/>
  <c r="AO50" i="227" s="1"/>
  <c r="AO56" i="227" a="1"/>
  <c r="AO56" i="227" s="1"/>
  <c r="AO61" i="227" a="1"/>
  <c r="AO61" i="227" s="1"/>
  <c r="AO27" i="227" a="1"/>
  <c r="AO27" i="227" s="1"/>
  <c r="AO60" i="227" a="1"/>
  <c r="AO60" i="227" s="1"/>
  <c r="AO55" i="227" a="1"/>
  <c r="AO55" i="227" s="1"/>
  <c r="AO64" i="227" a="1"/>
  <c r="AO64" i="227" s="1"/>
  <c r="AO47" i="227" a="1"/>
  <c r="AO47" i="227" s="1"/>
  <c r="AO51" i="227" a="1"/>
  <c r="AO51" i="227" s="1"/>
  <c r="AO58" i="227" a="1"/>
  <c r="AO58" i="227" s="1"/>
  <c r="AO25" i="227" a="1"/>
  <c r="AO25" i="227" s="1"/>
  <c r="AO52" i="227" a="1"/>
  <c r="AO52" i="227" s="1"/>
  <c r="AO24" i="227" a="1"/>
  <c r="AO24" i="227" s="1"/>
  <c r="AO16" i="227" a="1"/>
  <c r="AO16" i="227" s="1"/>
  <c r="AO17" i="227" a="1"/>
  <c r="AO17" i="227" s="1"/>
  <c r="AO40" i="227" a="1"/>
  <c r="AO40" i="227" s="1"/>
  <c r="AO37" i="227" a="1"/>
  <c r="AO37" i="227" s="1"/>
  <c r="AO22" i="227" a="1"/>
  <c r="AO22" i="227" s="1"/>
  <c r="AO36" i="227" a="1"/>
  <c r="AO36" i="227" s="1"/>
  <c r="AO46" i="227" a="1"/>
  <c r="AO46" i="227" s="1"/>
  <c r="AO54" i="227" a="1"/>
  <c r="AO54" i="227" s="1"/>
  <c r="AO69" i="227" a="1"/>
  <c r="AO69" i="227" s="1"/>
  <c r="AO41" i="227" a="1"/>
  <c r="AO41" i="227" s="1"/>
  <c r="AO44" i="227" a="1"/>
  <c r="AO44" i="227" s="1"/>
  <c r="AO26" i="227" a="1"/>
  <c r="AO26" i="227" s="1"/>
  <c r="AO62" i="227" a="1"/>
  <c r="AO62" i="227" s="1"/>
  <c r="AO70" i="227" a="1"/>
  <c r="AO70" i="227" s="1"/>
  <c r="AO20" i="227" a="1"/>
  <c r="AO20" i="227" s="1"/>
  <c r="AO33" i="227" a="1"/>
  <c r="AO33" i="227" s="1"/>
  <c r="AO66" i="227" a="1"/>
  <c r="AO66" i="227" s="1"/>
  <c r="EW29" i="227" a="1"/>
  <c r="EW29" i="227" s="1"/>
  <c r="EW55" i="227" a="1"/>
  <c r="EW55" i="227" s="1"/>
  <c r="FA43" i="227" a="1"/>
  <c r="FA43" i="227" s="1"/>
  <c r="FA16" i="227" a="1"/>
  <c r="FA16" i="227" s="1"/>
  <c r="EW27" i="227" a="1"/>
  <c r="EW27" i="227" s="1"/>
  <c r="FA68" i="227" a="1"/>
  <c r="FA68" i="227" s="1"/>
  <c r="EW22" i="227" a="1"/>
  <c r="EW22" i="227" s="1"/>
  <c r="FA48" i="227" a="1"/>
  <c r="FA48" i="227" s="1"/>
  <c r="FA38" i="227" a="1"/>
  <c r="FA38" i="227" s="1"/>
  <c r="FA30" i="227" a="1"/>
  <c r="FA30" i="227" s="1"/>
  <c r="FA46" i="227" a="1"/>
  <c r="FA46" i="227" s="1"/>
  <c r="EW26" i="227" a="1"/>
  <c r="EW26" i="227" s="1"/>
  <c r="EW56" i="227" a="1"/>
  <c r="EW56" i="227" s="1"/>
  <c r="FA65" i="227" a="1"/>
  <c r="FA65" i="227" s="1"/>
  <c r="EW47" i="227" a="1"/>
  <c r="EW47" i="227" s="1"/>
  <c r="FA60" i="227" a="1"/>
  <c r="FA60" i="227" s="1"/>
  <c r="EW70" i="227" a="1"/>
  <c r="EW70" i="227" s="1"/>
  <c r="FA42" i="227" a="1"/>
  <c r="FA42" i="227" s="1"/>
  <c r="EW30" i="227" a="1"/>
  <c r="EW30" i="227" s="1"/>
  <c r="EW57" i="227" a="1"/>
  <c r="EW57" i="227" s="1"/>
  <c r="EW23" i="227" a="1"/>
  <c r="EW23" i="227" s="1"/>
  <c r="EW61" i="227" a="1"/>
  <c r="EW61" i="227" s="1"/>
  <c r="EW72" i="227" a="1"/>
  <c r="EW72" i="227" s="1"/>
  <c r="FA21" i="227" a="1"/>
  <c r="FA21" i="227" s="1"/>
  <c r="EW52" i="227" a="1"/>
  <c r="EW52" i="227" s="1"/>
  <c r="EW14" i="227" a="1"/>
  <c r="EW14" i="227" s="1"/>
  <c r="FA59" i="227" a="1"/>
  <c r="FA59" i="227" s="1"/>
  <c r="EW32" i="227" a="1"/>
  <c r="EW32" i="227" s="1"/>
  <c r="EW39" i="227" a="1"/>
  <c r="EW39" i="227" s="1"/>
  <c r="FA19" i="227" a="1"/>
  <c r="FA19" i="227" s="1"/>
  <c r="FA32" i="227" a="1"/>
  <c r="FA32" i="227" s="1"/>
  <c r="EW58" i="227" a="1"/>
  <c r="EW58" i="227" s="1"/>
  <c r="FA58" i="227" a="1"/>
  <c r="FA58" i="227" s="1"/>
  <c r="FA71" i="227" a="1"/>
  <c r="FA71" i="227" s="1"/>
  <c r="FA28" i="227" a="1"/>
  <c r="FA28" i="227" s="1"/>
  <c r="FA45" i="227" a="1"/>
  <c r="FA45" i="227" s="1"/>
  <c r="FA54" i="227" a="1"/>
  <c r="FA54" i="227" s="1"/>
  <c r="FA22" i="227" a="1"/>
  <c r="FA22" i="227" s="1"/>
  <c r="FA31" i="227" a="1"/>
  <c r="FA31" i="227" s="1"/>
  <c r="FA47" i="227" a="1"/>
  <c r="FA47" i="227" s="1"/>
  <c r="EW15" i="227" a="1"/>
  <c r="EW15" i="227" s="1"/>
  <c r="EW36" i="227" a="1"/>
  <c r="EW36" i="227" s="1"/>
  <c r="FA27" i="227" a="1"/>
  <c r="FA27" i="227" s="1"/>
  <c r="FA51" i="227" a="1"/>
  <c r="FA51" i="227" s="1"/>
  <c r="EW44" i="227" a="1"/>
  <c r="EW44" i="227" s="1"/>
  <c r="FA36" i="227" a="1"/>
  <c r="FA36" i="227" s="1"/>
  <c r="FA53" i="227" a="1"/>
  <c r="FA53" i="227" s="1"/>
  <c r="FA26" i="227" a="1"/>
  <c r="FA26" i="227" s="1"/>
  <c r="FA37" i="227" a="1"/>
  <c r="FA37" i="227" s="1"/>
  <c r="FA34" i="227" a="1"/>
  <c r="FA34" i="227" s="1"/>
  <c r="EW71" i="227" a="1"/>
  <c r="EW71" i="227" s="1"/>
  <c r="FA20" i="227" a="1"/>
  <c r="FA20" i="227" s="1"/>
  <c r="FA24" i="227" a="1"/>
  <c r="FA24" i="227" s="1"/>
  <c r="EW68" i="227" a="1"/>
  <c r="EW68" i="227" s="1"/>
  <c r="FA35" i="227" a="1"/>
  <c r="FA35" i="227" s="1"/>
  <c r="EW34" i="227" a="1"/>
  <c r="EW34" i="227" s="1"/>
  <c r="FA25" i="227" a="1"/>
  <c r="FA25" i="227" s="1"/>
  <c r="FA44" i="227" a="1"/>
  <c r="FA44" i="227" s="1"/>
  <c r="EW65" i="227" a="1"/>
  <c r="EW65" i="227" s="1"/>
  <c r="FA17" i="227" a="1"/>
  <c r="FA17" i="227" s="1"/>
  <c r="FA41" i="227" a="1"/>
  <c r="FA41" i="227" s="1"/>
  <c r="FA67" i="227" a="1"/>
  <c r="FA67" i="227" s="1"/>
  <c r="FA63" i="227" a="1"/>
  <c r="FA63" i="227" s="1"/>
  <c r="EW69" i="227" a="1"/>
  <c r="EW69" i="227" s="1"/>
  <c r="FA66" i="227" a="1"/>
  <c r="FA66" i="227" s="1"/>
  <c r="FA49" i="227" a="1"/>
  <c r="FA49" i="227" s="1"/>
  <c r="FA61" i="227" a="1"/>
  <c r="FA61" i="227" s="1"/>
  <c r="FA50" i="227" a="1"/>
  <c r="FA50" i="227" s="1"/>
  <c r="FA52" i="227" a="1"/>
  <c r="FA52" i="227" s="1"/>
  <c r="FA23" i="227" a="1"/>
  <c r="FA23" i="227" s="1"/>
  <c r="FA40" i="227" a="1"/>
  <c r="FA40" i="227" s="1"/>
  <c r="EW12" i="227" a="1"/>
  <c r="EW12" i="227" s="1"/>
  <c r="EW41" i="227" a="1"/>
  <c r="EW41" i="227" s="1"/>
  <c r="FA55" i="227" a="1"/>
  <c r="FA55" i="227" s="1"/>
  <c r="EW49" i="227" a="1"/>
  <c r="EW49" i="227" s="1"/>
  <c r="EW35" i="227" a="1"/>
  <c r="EW35" i="227" s="1"/>
  <c r="EW42" i="227" a="1"/>
  <c r="EW42" i="227" s="1"/>
  <c r="EW66" i="227" a="1"/>
  <c r="EW66" i="227" s="1"/>
  <c r="FA56" i="227" a="1"/>
  <c r="FA56" i="227" s="1"/>
  <c r="EW25" i="227" a="1"/>
  <c r="EW25" i="227" s="1"/>
  <c r="EW60" i="227" a="1"/>
  <c r="EW60" i="227" s="1"/>
  <c r="EW18" i="227" a="1"/>
  <c r="EW18" i="227" s="1"/>
  <c r="EW64" i="227" a="1"/>
  <c r="EW64" i="227" s="1"/>
  <c r="EW40" i="227" a="1"/>
  <c r="EW40" i="227" s="1"/>
  <c r="EW31" i="227" a="1"/>
  <c r="EW31" i="227" s="1"/>
  <c r="EW17" i="227" a="1"/>
  <c r="EW17" i="227" s="1"/>
  <c r="EW16" i="227" a="1"/>
  <c r="EW16" i="227" s="1"/>
  <c r="EW53" i="227" a="1"/>
  <c r="EW53" i="227" s="1"/>
  <c r="EW21" i="227" a="1"/>
  <c r="EW21" i="227" s="1"/>
  <c r="FA62" i="227" a="1"/>
  <c r="FA62" i="227" s="1"/>
  <c r="EW67" i="227" a="1"/>
  <c r="EW67" i="227" s="1"/>
  <c r="EW54" i="227" a="1"/>
  <c r="EW54" i="227" s="1"/>
  <c r="CG29" i="227" a="1"/>
  <c r="CG29" i="227" s="1"/>
  <c r="CG33" i="227" a="1"/>
  <c r="CG33" i="227" s="1"/>
  <c r="CG66" i="227" a="1"/>
  <c r="CG66" i="227" s="1"/>
  <c r="CG44" i="227" a="1"/>
  <c r="CG44" i="227" s="1"/>
  <c r="CG23" i="227" a="1"/>
  <c r="CG23" i="227" s="1"/>
  <c r="CG25" i="227" a="1"/>
  <c r="CG25" i="227" s="1"/>
  <c r="CG57" i="227" a="1"/>
  <c r="CG57" i="227" s="1"/>
  <c r="CG10" i="227" a="1"/>
  <c r="CG10" i="227" s="1"/>
  <c r="CG38" i="227" a="1"/>
  <c r="CG38" i="227" s="1"/>
  <c r="CG31" i="227" a="1"/>
  <c r="CG31" i="227" s="1"/>
  <c r="CG32" i="227" a="1"/>
  <c r="CG32" i="227" s="1"/>
  <c r="ES29" i="227" a="1"/>
  <c r="ES29" i="227" s="1"/>
  <c r="ES25" i="227" a="1"/>
  <c r="ES25" i="227" s="1"/>
  <c r="FE24" i="227" a="1"/>
  <c r="FE24" i="227" s="1"/>
  <c r="CS38" i="227" a="1"/>
  <c r="CS38" i="227" s="1"/>
  <c r="DU21" i="227" a="1"/>
  <c r="DU21" i="227" s="1"/>
  <c r="CG56" i="227" a="1"/>
  <c r="CG56" i="227" s="1"/>
  <c r="AS25" i="227" a="1"/>
  <c r="AS25" i="227" s="1"/>
  <c r="E12" i="112"/>
  <c r="G12" i="112" s="1"/>
  <c r="B152" i="794" s="1"/>
  <c r="M26" i="227" a="1"/>
  <c r="M26" i="227" s="1"/>
  <c r="BQ23" i="227" a="1"/>
  <c r="BQ23" i="227" s="1"/>
  <c r="FE33" i="227" a="1"/>
  <c r="FE33" i="227" s="1"/>
  <c r="EO47" i="227" a="1"/>
  <c r="EO47" i="227" s="1"/>
  <c r="BA40" i="227" a="1"/>
  <c r="BA40" i="227" s="1"/>
  <c r="BA31" i="227" a="1"/>
  <c r="BA31" i="227" s="1"/>
  <c r="BA21" i="227" a="1"/>
  <c r="BA21" i="227" s="1"/>
  <c r="FI54" i="227" a="1"/>
  <c r="FI54" i="227" s="1"/>
  <c r="CW21" i="227" a="1"/>
  <c r="CW21" i="227" s="1"/>
  <c r="AS50" i="227" a="1"/>
  <c r="AS50" i="227" s="1"/>
  <c r="CS46" i="227" a="1"/>
  <c r="CS46" i="227" s="1"/>
  <c r="AS37" i="227" a="1"/>
  <c r="AS37" i="227" s="1"/>
  <c r="EW46" i="227" a="1"/>
  <c r="EW46" i="227" s="1"/>
  <c r="AS46" i="227" a="1"/>
  <c r="AS46" i="227" s="1"/>
  <c r="CS34" i="227" a="1"/>
  <c r="CS34" i="227" s="1"/>
  <c r="C55" i="528"/>
  <c r="F228" i="857" s="1"/>
  <c r="J30" i="87"/>
  <c r="J31" i="87" s="1"/>
  <c r="J32" i="87" s="1"/>
  <c r="AK35" i="227" a="1"/>
  <c r="AK35" i="227" s="1"/>
  <c r="EK25" i="227" a="1"/>
  <c r="EK25" i="227" s="1"/>
  <c r="DM15" i="227" a="1"/>
  <c r="DM15" i="227" s="1"/>
  <c r="AS58" i="227" a="1"/>
  <c r="AS58" i="227" s="1"/>
  <c r="CS17" i="227" a="1"/>
  <c r="CS17" i="227" s="1"/>
  <c r="BF80" i="354"/>
  <c r="BF83" i="354" s="1"/>
  <c r="ES56" i="227" a="1"/>
  <c r="ES56" i="227" s="1"/>
  <c r="DU52" i="227" a="1"/>
  <c r="DU52" i="227" s="1"/>
  <c r="BM10" i="227" a="1"/>
  <c r="BM10" i="227" s="1"/>
  <c r="AS29" i="227" a="1"/>
  <c r="AS29" i="227" s="1"/>
  <c r="AS44" i="227" a="1"/>
  <c r="AS44" i="227" s="1"/>
  <c r="G14" i="112"/>
  <c r="B154" i="794" s="1"/>
  <c r="K81" i="777"/>
  <c r="F3036" i="857"/>
  <c r="K85" i="777"/>
  <c r="F3040" i="857"/>
  <c r="F2428" i="857"/>
  <c r="K77" i="775"/>
  <c r="K82" i="776"/>
  <c r="F2735" i="857"/>
  <c r="F3335" i="857"/>
  <c r="K78" i="778"/>
  <c r="F2434" i="857"/>
  <c r="K83" i="775"/>
  <c r="K83" i="779"/>
  <c r="F3642" i="857"/>
  <c r="L35" i="99"/>
  <c r="L110" i="99"/>
  <c r="F2432" i="857"/>
  <c r="K81" i="775"/>
  <c r="F2730" i="857"/>
  <c r="K77" i="776"/>
  <c r="F2126" i="857"/>
  <c r="K77" i="774"/>
  <c r="F3038" i="857"/>
  <c r="K83" i="777"/>
  <c r="F3334" i="857"/>
  <c r="K77" i="778"/>
  <c r="M16" i="528"/>
  <c r="BY16" i="528"/>
  <c r="CN16" i="528"/>
  <c r="CN34" i="528" s="1"/>
  <c r="F172" i="857"/>
  <c r="E35" i="99"/>
  <c r="E113" i="99" s="1"/>
  <c r="E123" i="99" s="1"/>
  <c r="E110" i="99"/>
  <c r="F2435" i="857"/>
  <c r="K84" i="775"/>
  <c r="F3643" i="857"/>
  <c r="K84" i="779"/>
  <c r="K30" i="528"/>
  <c r="K79" i="777"/>
  <c r="F3034" i="857"/>
  <c r="F3037" i="857"/>
  <c r="K82" i="777"/>
  <c r="F3637" i="857"/>
  <c r="K78" i="779"/>
  <c r="K79" i="776"/>
  <c r="F2732" i="857"/>
  <c r="F2431" i="857"/>
  <c r="K80" i="775"/>
  <c r="K81" i="774"/>
  <c r="F2130" i="857"/>
  <c r="H35" i="687"/>
  <c r="H45" i="687" s="1"/>
  <c r="H110" i="687"/>
  <c r="J122" i="687"/>
  <c r="H110" i="99"/>
  <c r="H35" i="99"/>
  <c r="F2731" i="857"/>
  <c r="K78" i="776"/>
  <c r="F2129" i="857"/>
  <c r="K80" i="774"/>
  <c r="F2738" i="857"/>
  <c r="K85" i="776"/>
  <c r="J42" i="99"/>
  <c r="J119" i="99"/>
  <c r="G35" i="687"/>
  <c r="G113" i="687" s="1"/>
  <c r="G110" i="687"/>
  <c r="K84" i="776"/>
  <c r="F2737" i="857"/>
  <c r="J42" i="687"/>
  <c r="J119" i="687"/>
  <c r="K79" i="779"/>
  <c r="F3638" i="857"/>
  <c r="K77" i="779"/>
  <c r="F3636" i="857"/>
  <c r="I20" i="528"/>
  <c r="B31" i="41" s="1"/>
  <c r="I19" i="528"/>
  <c r="F163" i="857"/>
  <c r="K78" i="777"/>
  <c r="F3033" i="857"/>
  <c r="K80" i="778"/>
  <c r="F3337" i="857"/>
  <c r="P35" i="99"/>
  <c r="P113" i="99" s="1"/>
  <c r="P123" i="99" s="1"/>
  <c r="P110" i="99"/>
  <c r="K78" i="775"/>
  <c r="F2429" i="857"/>
  <c r="G42" i="99"/>
  <c r="G120" i="99" s="1"/>
  <c r="G119" i="99"/>
  <c r="F3336" i="857"/>
  <c r="K79" i="778"/>
  <c r="K86" i="776"/>
  <c r="F2739" i="857"/>
  <c r="F3041" i="857"/>
  <c r="K86" i="777"/>
  <c r="L110" i="687"/>
  <c r="L35" i="687"/>
  <c r="L45" i="687" s="1"/>
  <c r="K19" i="528"/>
  <c r="F173" i="857"/>
  <c r="F2733" i="857"/>
  <c r="K80" i="776"/>
  <c r="K82" i="774"/>
  <c r="F2131" i="857"/>
  <c r="F3039" i="857"/>
  <c r="K84" i="777"/>
  <c r="F2436" i="857"/>
  <c r="K85" i="775"/>
  <c r="P35" i="687"/>
  <c r="P113" i="687" s="1"/>
  <c r="P123" i="687" s="1"/>
  <c r="P110" i="687"/>
  <c r="F2437" i="857"/>
  <c r="K86" i="775"/>
  <c r="K86" i="778"/>
  <c r="F3343" i="857"/>
  <c r="F2128" i="857"/>
  <c r="K79" i="774"/>
  <c r="F3640" i="857"/>
  <c r="K81" i="779"/>
  <c r="F2132" i="857"/>
  <c r="K83" i="774"/>
  <c r="K86" i="779"/>
  <c r="F3645" i="857"/>
  <c r="I119" i="99"/>
  <c r="I42" i="99"/>
  <c r="I120" i="99" s="1"/>
  <c r="I123" i="99" s="1"/>
  <c r="G110" i="99"/>
  <c r="G35" i="99"/>
  <c r="K85" i="779"/>
  <c r="F3644" i="857"/>
  <c r="K83" i="776"/>
  <c r="F2736" i="857"/>
  <c r="E35" i="687"/>
  <c r="E110" i="687"/>
  <c r="F2430" i="857"/>
  <c r="K79" i="775"/>
  <c r="F3339" i="857"/>
  <c r="K82" i="778"/>
  <c r="K84" i="774"/>
  <c r="F2133" i="857"/>
  <c r="K85" i="778"/>
  <c r="F3342" i="857"/>
  <c r="F3341" i="857"/>
  <c r="K84" i="778"/>
  <c r="K77" i="777"/>
  <c r="F3032" i="857"/>
  <c r="F2433" i="857"/>
  <c r="K82" i="775"/>
  <c r="D35" i="528"/>
  <c r="F3340" i="857"/>
  <c r="K83" i="778"/>
  <c r="N42" i="687"/>
  <c r="N119" i="687"/>
  <c r="K81" i="778"/>
  <c r="F3338" i="857"/>
  <c r="G42" i="687"/>
  <c r="G120" i="687" s="1"/>
  <c r="G119" i="687"/>
  <c r="F3641" i="857"/>
  <c r="K82" i="779"/>
  <c r="F3035" i="857"/>
  <c r="K80" i="777"/>
  <c r="F2127" i="857"/>
  <c r="K78" i="774"/>
  <c r="I42" i="687"/>
  <c r="I119" i="687"/>
  <c r="H122" i="99"/>
  <c r="F3639" i="857"/>
  <c r="K80" i="779"/>
  <c r="K85" i="774"/>
  <c r="F2134" i="857"/>
  <c r="F2135" i="857"/>
  <c r="K86" i="774"/>
  <c r="F16" i="528"/>
  <c r="M56" i="39" s="1"/>
  <c r="F207" i="857"/>
  <c r="B19" i="528"/>
  <c r="D41" i="687" s="1"/>
  <c r="F198" i="857"/>
  <c r="B20" i="528"/>
  <c r="M14" i="688" s="1"/>
  <c r="F2734" i="857"/>
  <c r="K81" i="776"/>
  <c r="L37" i="528"/>
  <c r="CO37" i="528"/>
  <c r="H14" i="39"/>
  <c r="J14" i="39" s="1"/>
  <c r="Q12" i="87"/>
  <c r="R12" i="87" s="1"/>
  <c r="S12" i="87" s="1"/>
  <c r="M16" i="227" a="1"/>
  <c r="M16" i="227" s="1"/>
  <c r="M69" i="227" a="1"/>
  <c r="M69" i="227" s="1"/>
  <c r="M31" i="227" a="1"/>
  <c r="M31" i="227" s="1"/>
  <c r="M47" i="227" a="1"/>
  <c r="M47" i="227" s="1"/>
  <c r="M53" i="227" a="1"/>
  <c r="M53" i="227" s="1"/>
  <c r="M14" i="227" a="1"/>
  <c r="M14" i="227" s="1"/>
  <c r="M23" i="227" a="1"/>
  <c r="M23" i="227" s="1"/>
  <c r="BQ72" i="227" a="1"/>
  <c r="BQ72" i="227" s="1"/>
  <c r="BQ34" i="227" a="1"/>
  <c r="BQ34" i="227" s="1"/>
  <c r="BQ31" i="227" a="1"/>
  <c r="BQ31" i="227" s="1"/>
  <c r="BQ55" i="227" a="1"/>
  <c r="BQ55" i="227" s="1"/>
  <c r="BQ32" i="227" a="1"/>
  <c r="BQ32" i="227" s="1"/>
  <c r="BQ29" i="227" a="1"/>
  <c r="BQ29" i="227" s="1"/>
  <c r="BQ13" i="227" a="1"/>
  <c r="BQ13" i="227" s="1"/>
  <c r="BQ65" i="227" a="1"/>
  <c r="BQ65" i="227" s="1"/>
  <c r="FI47" i="227" a="1"/>
  <c r="FI47" i="227" s="1"/>
  <c r="FI41" i="227" a="1"/>
  <c r="FI41" i="227" s="1"/>
  <c r="FI38" i="227" a="1"/>
  <c r="FI38" i="227" s="1"/>
  <c r="FI22" i="227" a="1"/>
  <c r="FI22" i="227" s="1"/>
  <c r="FI25" i="227" a="1"/>
  <c r="FI25" i="227" s="1"/>
  <c r="FI45" i="227" a="1"/>
  <c r="FI45" i="227" s="1"/>
  <c r="FI67" i="227" a="1"/>
  <c r="FI67" i="227" s="1"/>
  <c r="FI33" i="227" a="1"/>
  <c r="FI33" i="227" s="1"/>
  <c r="AW68" i="227" a="1"/>
  <c r="AW68" i="227" s="1"/>
  <c r="AW29" i="227" a="1"/>
  <c r="AW29" i="227" s="1"/>
  <c r="AW40" i="227" a="1"/>
  <c r="AW40" i="227" s="1"/>
  <c r="AW57" i="227" a="1"/>
  <c r="AW57" i="227" s="1"/>
  <c r="AW28" i="227" a="1"/>
  <c r="AW28" i="227" s="1"/>
  <c r="AW12" i="227" a="1"/>
  <c r="AW12" i="227" s="1"/>
  <c r="AW30" i="227" a="1"/>
  <c r="AW30" i="227" s="1"/>
  <c r="EW38" i="227" a="1"/>
  <c r="EW38" i="227" s="1"/>
  <c r="AS17" i="227" a="1"/>
  <c r="AS17" i="227" s="1"/>
  <c r="AS47" i="227" a="1"/>
  <c r="AS47" i="227" s="1"/>
  <c r="AS53" i="227" a="1"/>
  <c r="AS53" i="227" s="1"/>
  <c r="AS61" i="227" a="1"/>
  <c r="AS61" i="227" s="1"/>
  <c r="AS66" i="227" a="1"/>
  <c r="AS66" i="227" s="1"/>
  <c r="AS24" i="227" a="1"/>
  <c r="AS24" i="227" s="1"/>
  <c r="AS28" i="227" a="1"/>
  <c r="AS28" i="227" s="1"/>
  <c r="AS22" i="227" a="1"/>
  <c r="AS22" i="227" s="1"/>
  <c r="EO22" i="227" a="1"/>
  <c r="EO22" i="227" s="1"/>
  <c r="AK37" i="227" a="1"/>
  <c r="AK37" i="227" s="1"/>
  <c r="AK56" i="227" a="1"/>
  <c r="AK56" i="227" s="1"/>
  <c r="BM14" i="227" a="1"/>
  <c r="BM14" i="227" s="1"/>
  <c r="AK21" i="227" a="1"/>
  <c r="AK21" i="227" s="1"/>
  <c r="EK17" i="227" a="1"/>
  <c r="EK17" i="227" s="1"/>
  <c r="EO61" i="227" a="1"/>
  <c r="EO61" i="227" s="1"/>
  <c r="CS66" i="227" a="1"/>
  <c r="CS66" i="227" s="1"/>
  <c r="CG60" i="227" a="1"/>
  <c r="CG60" i="227" s="1"/>
  <c r="EK26" i="227" a="1"/>
  <c r="EK26" i="227" s="1"/>
  <c r="CG64" i="227" a="1"/>
  <c r="CG64" i="227" s="1"/>
  <c r="AK50" i="227" a="1"/>
  <c r="AK50" i="227" s="1"/>
  <c r="BA52" i="227" a="1"/>
  <c r="BA52" i="227" s="1"/>
  <c r="CG50" i="227" a="1"/>
  <c r="CG50" i="227" s="1"/>
  <c r="CG39" i="227" a="1"/>
  <c r="CG39" i="227" s="1"/>
  <c r="BM16" i="227" a="1"/>
  <c r="BM16" i="227" s="1"/>
  <c r="EK24" i="227" a="1"/>
  <c r="EK24" i="227" s="1"/>
  <c r="EK54" i="227" a="1"/>
  <c r="EK54" i="227" s="1"/>
  <c r="EO18" i="227" a="1"/>
  <c r="EO18" i="227" s="1"/>
  <c r="EO17" i="227" a="1"/>
  <c r="EO17" i="227" s="1"/>
  <c r="BM37" i="227" a="1"/>
  <c r="BM37" i="227" s="1"/>
  <c r="CS63" i="227" a="1"/>
  <c r="CS63" i="227" s="1"/>
  <c r="BM24" i="227" a="1"/>
  <c r="BM24" i="227" s="1"/>
  <c r="EK53" i="227" a="1"/>
  <c r="EK53" i="227" s="1"/>
  <c r="CG49" i="227" a="1"/>
  <c r="CG49" i="227" s="1"/>
  <c r="EO41" i="227" a="1"/>
  <c r="EO41" i="227" s="1"/>
  <c r="AK70" i="227" a="1"/>
  <c r="AK70" i="227" s="1"/>
  <c r="CG69" i="227" a="1"/>
  <c r="CG69" i="227" s="1"/>
  <c r="EK43" i="227" a="1"/>
  <c r="EK43" i="227" s="1"/>
  <c r="BM51" i="227" a="1"/>
  <c r="BM51" i="227" s="1"/>
  <c r="EO70" i="227" a="1"/>
  <c r="EO70" i="227" s="1"/>
  <c r="AW48" i="227" a="1"/>
  <c r="AW48" i="227" s="1"/>
  <c r="CG35" i="227" a="1"/>
  <c r="CG35" i="227" s="1"/>
  <c r="BA18" i="227" a="1"/>
  <c r="BA18" i="227" s="1"/>
  <c r="CS48" i="227" a="1"/>
  <c r="CS48" i="227" s="1"/>
  <c r="EK63" i="227" a="1"/>
  <c r="EK63" i="227" s="1"/>
  <c r="EK47" i="227" a="1"/>
  <c r="EK47" i="227" s="1"/>
  <c r="AK11" i="227" a="1"/>
  <c r="AK11" i="227" s="1"/>
  <c r="EW11" i="227" a="1"/>
  <c r="EW11" i="227" s="1"/>
  <c r="EO34" i="227" a="1"/>
  <c r="EO34" i="227" s="1"/>
  <c r="O55" i="39"/>
  <c r="AG15" i="528"/>
  <c r="AH15" i="528"/>
  <c r="O10" i="688"/>
  <c r="AI15" i="528"/>
  <c r="AJ15" i="528"/>
  <c r="AF15" i="528"/>
  <c r="CS15" i="528" s="1"/>
  <c r="M63" i="227" a="1"/>
  <c r="M63" i="227" s="1"/>
  <c r="M68" i="227" a="1"/>
  <c r="M68" i="227" s="1"/>
  <c r="M20" i="227" a="1"/>
  <c r="M20" i="227" s="1"/>
  <c r="M72" i="227" a="1"/>
  <c r="M72" i="227" s="1"/>
  <c r="M24" i="227" a="1"/>
  <c r="M24" i="227" s="1"/>
  <c r="M55" i="227" a="1"/>
  <c r="M55" i="227" s="1"/>
  <c r="M40" i="227" a="1"/>
  <c r="M40" i="227" s="1"/>
  <c r="BQ47" i="227" a="1"/>
  <c r="BQ47" i="227" s="1"/>
  <c r="BQ43" i="227" a="1"/>
  <c r="BQ43" i="227" s="1"/>
  <c r="BQ37" i="227" a="1"/>
  <c r="BQ37" i="227" s="1"/>
  <c r="BQ38" i="227" a="1"/>
  <c r="BQ38" i="227" s="1"/>
  <c r="BQ26" i="227" a="1"/>
  <c r="BQ26" i="227" s="1"/>
  <c r="BQ52" i="227" a="1"/>
  <c r="BQ52" i="227" s="1"/>
  <c r="BQ44" i="227" a="1"/>
  <c r="BQ44" i="227" s="1"/>
  <c r="BQ41" i="227" a="1"/>
  <c r="BQ41" i="227" s="1"/>
  <c r="FI36" i="227" a="1"/>
  <c r="FI36" i="227" s="1"/>
  <c r="FI13" i="227" a="1"/>
  <c r="FI13" i="227" s="1"/>
  <c r="FI68" i="227" a="1"/>
  <c r="FI68" i="227" s="1"/>
  <c r="FI70" i="227" a="1"/>
  <c r="FI70" i="227" s="1"/>
  <c r="FI61" i="227" a="1"/>
  <c r="FI61" i="227" s="1"/>
  <c r="FI15" i="227" a="1"/>
  <c r="FI15" i="227" s="1"/>
  <c r="FI24" i="227" a="1"/>
  <c r="FI24" i="227" s="1"/>
  <c r="AW46" i="227" a="1"/>
  <c r="AW46" i="227" s="1"/>
  <c r="AW69" i="227" a="1"/>
  <c r="AW69" i="227" s="1"/>
  <c r="AW62" i="227" a="1"/>
  <c r="AW62" i="227" s="1"/>
  <c r="AW61" i="227" a="1"/>
  <c r="AW61" i="227" s="1"/>
  <c r="AW53" i="227" a="1"/>
  <c r="AW53" i="227" s="1"/>
  <c r="AW14" i="227" a="1"/>
  <c r="AW14" i="227" s="1"/>
  <c r="AW51" i="227" a="1"/>
  <c r="AW51" i="227" s="1"/>
  <c r="FA39" i="227" a="1"/>
  <c r="FA39" i="227" s="1"/>
  <c r="AS68" i="227" a="1"/>
  <c r="AS68" i="227" s="1"/>
  <c r="AS67" i="227" a="1"/>
  <c r="AS67" i="227" s="1"/>
  <c r="AS10" i="227" a="1"/>
  <c r="AS10" i="227" s="1"/>
  <c r="AS33" i="227" a="1"/>
  <c r="AS33" i="227" s="1"/>
  <c r="AS64" i="227" a="1"/>
  <c r="AS64" i="227" s="1"/>
  <c r="AS21" i="227" a="1"/>
  <c r="AS21" i="227" s="1"/>
  <c r="AS14" i="227" a="1"/>
  <c r="AS14" i="227" s="1"/>
  <c r="AS18" i="227" a="1"/>
  <c r="AS18" i="227" s="1"/>
  <c r="CS13" i="227" a="1"/>
  <c r="CS13" i="227" s="1"/>
  <c r="EK28" i="227" a="1"/>
  <c r="EK28" i="227" s="1"/>
  <c r="AK49" i="227" a="1"/>
  <c r="AK49" i="227" s="1"/>
  <c r="EK46" i="227" a="1"/>
  <c r="EK46" i="227" s="1"/>
  <c r="EK10" i="227" a="1"/>
  <c r="EK10" i="227" s="1"/>
  <c r="AS69" i="227" a="1"/>
  <c r="AS69" i="227" s="1"/>
  <c r="ES50" i="227" a="1"/>
  <c r="ES50" i="227" s="1"/>
  <c r="EK57" i="227" a="1"/>
  <c r="EK57" i="227" s="1"/>
  <c r="EO72" i="227" a="1"/>
  <c r="EO72" i="227" s="1"/>
  <c r="CS24" i="227" a="1"/>
  <c r="CS24" i="227" s="1"/>
  <c r="CS56" i="227" a="1"/>
  <c r="CS56" i="227" s="1"/>
  <c r="CG40" i="227" a="1"/>
  <c r="CG40" i="227" s="1"/>
  <c r="EO71" i="227" a="1"/>
  <c r="EO71" i="227" s="1"/>
  <c r="EW13" i="227" a="1"/>
  <c r="EW13" i="227" s="1"/>
  <c r="CG13" i="227" a="1"/>
  <c r="CG13" i="227" s="1"/>
  <c r="BM30" i="227" a="1"/>
  <c r="BM30" i="227" s="1"/>
  <c r="EO49" i="227" a="1"/>
  <c r="EO49" i="227" s="1"/>
  <c r="EO19" i="227" a="1"/>
  <c r="EO19" i="227" s="1"/>
  <c r="CS67" i="227" a="1"/>
  <c r="CS67" i="227" s="1"/>
  <c r="CS59" i="227" a="1"/>
  <c r="CS59" i="227" s="1"/>
  <c r="AK59" i="227" a="1"/>
  <c r="AK59" i="227" s="1"/>
  <c r="AW26" i="227" a="1"/>
  <c r="AW26" i="227" s="1"/>
  <c r="AK30" i="227" a="1"/>
  <c r="AK30" i="227" s="1"/>
  <c r="EK50" i="227" a="1"/>
  <c r="EK50" i="227" s="1"/>
  <c r="EK55" i="227" a="1"/>
  <c r="EK55" i="227" s="1"/>
  <c r="EK23" i="227" a="1"/>
  <c r="EK23" i="227" s="1"/>
  <c r="AK29" i="227" a="1"/>
  <c r="AK29" i="227" s="1"/>
  <c r="EK14" i="227" a="1"/>
  <c r="EK14" i="227" s="1"/>
  <c r="EO39" i="227" a="1"/>
  <c r="EO39" i="227" s="1"/>
  <c r="CS10" i="227" a="1"/>
  <c r="CS10" i="227" s="1"/>
  <c r="CS33" i="227" a="1"/>
  <c r="CS33" i="227" s="1"/>
  <c r="CS55" i="227" a="1"/>
  <c r="CS55" i="227" s="1"/>
  <c r="CS18" i="227" a="1"/>
  <c r="CS18" i="227" s="1"/>
  <c r="BM62" i="227" a="1"/>
  <c r="BM62" i="227" s="1"/>
  <c r="FE10" i="227" a="1"/>
  <c r="FE10" i="227" s="1"/>
  <c r="EK59" i="227" a="1"/>
  <c r="EK59" i="227" s="1"/>
  <c r="EK33" i="227" a="1"/>
  <c r="EK33" i="227" s="1"/>
  <c r="BA58" i="227" a="1"/>
  <c r="BA58" i="227" s="1"/>
  <c r="CG28" i="227" a="1"/>
  <c r="CG28" i="227" s="1"/>
  <c r="CG70" i="227" a="1"/>
  <c r="CG70" i="227" s="1"/>
  <c r="EO63" i="227" a="1"/>
  <c r="EO63" i="227" s="1"/>
  <c r="CS15" i="227" a="1"/>
  <c r="CS15" i="227" s="1"/>
  <c r="F115" i="99"/>
  <c r="CN31" i="528"/>
  <c r="BY13" i="528"/>
  <c r="F39" i="39" s="1"/>
  <c r="H23" i="107" s="1"/>
  <c r="I23" i="107" s="1"/>
  <c r="K23" i="107" s="1"/>
  <c r="G53" i="41"/>
  <c r="D53" i="41"/>
  <c r="D122" i="41" s="1"/>
  <c r="G34" i="688"/>
  <c r="E34" i="688"/>
  <c r="H34" i="688"/>
  <c r="F34" i="688"/>
  <c r="D6" i="112"/>
  <c r="D19" i="112" s="1"/>
  <c r="M22" i="227" a="1"/>
  <c r="M22" i="227" s="1"/>
  <c r="M19" i="227" a="1"/>
  <c r="M19" i="227" s="1"/>
  <c r="M37" i="227" a="1"/>
  <c r="M37" i="227" s="1"/>
  <c r="M51" i="227" a="1"/>
  <c r="M51" i="227" s="1"/>
  <c r="M13" i="227" a="1"/>
  <c r="M13" i="227" s="1"/>
  <c r="M52" i="227" a="1"/>
  <c r="M52" i="227" s="1"/>
  <c r="M33" i="227" a="1"/>
  <c r="M33" i="227" s="1"/>
  <c r="BQ42" i="227" a="1"/>
  <c r="BQ42" i="227" s="1"/>
  <c r="BQ69" i="227" a="1"/>
  <c r="BQ69" i="227" s="1"/>
  <c r="BQ71" i="227" a="1"/>
  <c r="BQ71" i="227" s="1"/>
  <c r="BQ24" i="227" a="1"/>
  <c r="BQ24" i="227" s="1"/>
  <c r="BQ59" i="227" a="1"/>
  <c r="BQ59" i="227" s="1"/>
  <c r="BQ22" i="227" a="1"/>
  <c r="BQ22" i="227" s="1"/>
  <c r="BQ40" i="227" a="1"/>
  <c r="BQ40" i="227" s="1"/>
  <c r="BQ61" i="227" a="1"/>
  <c r="BQ61" i="227" s="1"/>
  <c r="FI31" i="227" a="1"/>
  <c r="FI31" i="227" s="1"/>
  <c r="FI66" i="227" a="1"/>
  <c r="FI66" i="227" s="1"/>
  <c r="FI58" i="227" a="1"/>
  <c r="FI58" i="227" s="1"/>
  <c r="FI35" i="227" a="1"/>
  <c r="FI35" i="227" s="1"/>
  <c r="FI12" i="227" a="1"/>
  <c r="FI12" i="227" s="1"/>
  <c r="FI53" i="227" a="1"/>
  <c r="FI53" i="227" s="1"/>
  <c r="FI50" i="227" a="1"/>
  <c r="FI50" i="227" s="1"/>
  <c r="FI16" i="227" a="1"/>
  <c r="FI16" i="227" s="1"/>
  <c r="AW70" i="227" a="1"/>
  <c r="AW70" i="227" s="1"/>
  <c r="AW25" i="227" a="1"/>
  <c r="AW25" i="227" s="1"/>
  <c r="AW59" i="227" a="1"/>
  <c r="AW59" i="227" s="1"/>
  <c r="AW39" i="227" a="1"/>
  <c r="AW39" i="227" s="1"/>
  <c r="AW71" i="227" a="1"/>
  <c r="AW71" i="227" s="1"/>
  <c r="AW58" i="227" a="1"/>
  <c r="AW58" i="227" s="1"/>
  <c r="AW67" i="227" a="1"/>
  <c r="AW67" i="227" s="1"/>
  <c r="AS54" i="227" a="1"/>
  <c r="AS54" i="227" s="1"/>
  <c r="AS62" i="227" a="1"/>
  <c r="AS62" i="227" s="1"/>
  <c r="AS57" i="227" a="1"/>
  <c r="AS57" i="227" s="1"/>
  <c r="AS19" i="227" a="1"/>
  <c r="AS19" i="227" s="1"/>
  <c r="AS39" i="227" a="1"/>
  <c r="AS39" i="227" s="1"/>
  <c r="AS23" i="227" a="1"/>
  <c r="AS23" i="227" s="1"/>
  <c r="AS26" i="227" a="1"/>
  <c r="AS26" i="227" s="1"/>
  <c r="EK49" i="227" a="1"/>
  <c r="EK49" i="227" s="1"/>
  <c r="EK22" i="227" a="1"/>
  <c r="EK22" i="227" s="1"/>
  <c r="EO55" i="227" a="1"/>
  <c r="EO55" i="227" s="1"/>
  <c r="EO46" i="227" a="1"/>
  <c r="EO46" i="227" s="1"/>
  <c r="CS51" i="227" a="1"/>
  <c r="CS51" i="227" s="1"/>
  <c r="EK20" i="227" a="1"/>
  <c r="EK20" i="227" s="1"/>
  <c r="BM60" i="227" a="1"/>
  <c r="BM60" i="227" s="1"/>
  <c r="EO58" i="227" a="1"/>
  <c r="EO58" i="227" s="1"/>
  <c r="CS21" i="227" a="1"/>
  <c r="CS21" i="227" s="1"/>
  <c r="AK28" i="227" a="1"/>
  <c r="AK28" i="227" s="1"/>
  <c r="CG58" i="227" a="1"/>
  <c r="CG58" i="227" s="1"/>
  <c r="CG24" i="227" a="1"/>
  <c r="CG24" i="227" s="1"/>
  <c r="AS13" i="227" a="1"/>
  <c r="AS13" i="227" s="1"/>
  <c r="FA29" i="227" a="1"/>
  <c r="FA29" i="227" s="1"/>
  <c r="CG52" i="227" a="1"/>
  <c r="CG52" i="227" s="1"/>
  <c r="DU70" i="227" a="1"/>
  <c r="DU70" i="227" s="1"/>
  <c r="CG11" i="227" a="1"/>
  <c r="CG11" i="227" s="1"/>
  <c r="EK65" i="227" a="1"/>
  <c r="EK65" i="227" s="1"/>
  <c r="EK13" i="227" a="1"/>
  <c r="EK13" i="227" s="1"/>
  <c r="EO14" i="227" a="1"/>
  <c r="EO14" i="227" s="1"/>
  <c r="CS37" i="227" a="1"/>
  <c r="CS37" i="227" s="1"/>
  <c r="CG27" i="227" a="1"/>
  <c r="CG27" i="227" s="1"/>
  <c r="AK12" i="227" a="1"/>
  <c r="AK12" i="227" s="1"/>
  <c r="BA68" i="227" a="1"/>
  <c r="BA68" i="227" s="1"/>
  <c r="CS54" i="227" a="1"/>
  <c r="CS54" i="227" s="1"/>
  <c r="CG62" i="227" a="1"/>
  <c r="CG62" i="227" s="1"/>
  <c r="EK69" i="227" a="1"/>
  <c r="EK69" i="227" s="1"/>
  <c r="BM32" i="227" a="1"/>
  <c r="BM32" i="227" s="1"/>
  <c r="EO24" i="227" a="1"/>
  <c r="EO24" i="227" s="1"/>
  <c r="EO31" i="227" a="1"/>
  <c r="EO31" i="227" s="1"/>
  <c r="CG18" i="227" a="1"/>
  <c r="CG18" i="227" s="1"/>
  <c r="CG63" i="227" a="1"/>
  <c r="CG63" i="227" s="1"/>
  <c r="CS14" i="227" a="1"/>
  <c r="CS14" i="227" s="1"/>
  <c r="AK33" i="227" a="1"/>
  <c r="AK33" i="227" s="1"/>
  <c r="AK23" i="227" a="1"/>
  <c r="AK23" i="227" s="1"/>
  <c r="BM11" i="227" a="1"/>
  <c r="BM11" i="227" s="1"/>
  <c r="AK65" i="227" a="1"/>
  <c r="AK65" i="227" s="1"/>
  <c r="EK66" i="227" a="1"/>
  <c r="EK66" i="227" s="1"/>
  <c r="EO21" i="227" a="1"/>
  <c r="EO21" i="227" s="1"/>
  <c r="AS71" i="227" a="1"/>
  <c r="AS71" i="227" s="1"/>
  <c r="F18" i="528"/>
  <c r="E19" i="528"/>
  <c r="E37" i="528" s="1"/>
  <c r="K11" i="688"/>
  <c r="F11" i="688"/>
  <c r="M42" i="227" a="1"/>
  <c r="M42" i="227" s="1"/>
  <c r="M43" i="227" a="1"/>
  <c r="M43" i="227" s="1"/>
  <c r="M41" i="227" a="1"/>
  <c r="M41" i="227" s="1"/>
  <c r="M32" i="227" a="1"/>
  <c r="M32" i="227" s="1"/>
  <c r="M38" i="227" a="1"/>
  <c r="M38" i="227" s="1"/>
  <c r="M54" i="227" a="1"/>
  <c r="M54" i="227" s="1"/>
  <c r="M70" i="227" a="1"/>
  <c r="M70" i="227" s="1"/>
  <c r="BQ33" i="227" a="1"/>
  <c r="BQ33" i="227" s="1"/>
  <c r="BQ54" i="227" a="1"/>
  <c r="BQ54" i="227" s="1"/>
  <c r="BQ66" i="227" a="1"/>
  <c r="BQ66" i="227" s="1"/>
  <c r="BQ28" i="227" a="1"/>
  <c r="BQ28" i="227" s="1"/>
  <c r="BQ70" i="227" a="1"/>
  <c r="BQ70" i="227" s="1"/>
  <c r="BQ63" i="227" a="1"/>
  <c r="BQ63" i="227" s="1"/>
  <c r="BQ67" i="227" a="1"/>
  <c r="BQ67" i="227" s="1"/>
  <c r="BQ53" i="227" a="1"/>
  <c r="BQ53" i="227" s="1"/>
  <c r="FI26" i="227" a="1"/>
  <c r="FI26" i="227" s="1"/>
  <c r="FI71" i="227" a="1"/>
  <c r="FI71" i="227" s="1"/>
  <c r="FI63" i="227" a="1"/>
  <c r="FI63" i="227" s="1"/>
  <c r="FI65" i="227" a="1"/>
  <c r="FI65" i="227" s="1"/>
  <c r="FI57" i="227" a="1"/>
  <c r="FI57" i="227" s="1"/>
  <c r="FI52" i="227" a="1"/>
  <c r="FI52" i="227" s="1"/>
  <c r="FI62" i="227" a="1"/>
  <c r="FI62" i="227" s="1"/>
  <c r="FI46" i="227" a="1"/>
  <c r="FI46" i="227" s="1"/>
  <c r="AW36" i="227" a="1"/>
  <c r="AW36" i="227" s="1"/>
  <c r="AW54" i="227" a="1"/>
  <c r="AW54" i="227" s="1"/>
  <c r="AW33" i="227" a="1"/>
  <c r="AW33" i="227" s="1"/>
  <c r="AW21" i="227" a="1"/>
  <c r="AW21" i="227" s="1"/>
  <c r="AW20" i="227" a="1"/>
  <c r="AW20" i="227" s="1"/>
  <c r="AW11" i="227" a="1"/>
  <c r="AW11" i="227" s="1"/>
  <c r="AW16" i="227" a="1"/>
  <c r="AW16" i="227" s="1"/>
  <c r="AS20" i="227" a="1"/>
  <c r="AS20" i="227" s="1"/>
  <c r="AS32" i="227" a="1"/>
  <c r="AS32" i="227" s="1"/>
  <c r="AS16" i="227" a="1"/>
  <c r="AS16" i="227" s="1"/>
  <c r="AS72" i="227" a="1"/>
  <c r="AS72" i="227" s="1"/>
  <c r="AS63" i="227" a="1"/>
  <c r="AS63" i="227" s="1"/>
  <c r="AS30" i="227" a="1"/>
  <c r="AS30" i="227" s="1"/>
  <c r="AS55" i="227" a="1"/>
  <c r="AS55" i="227" s="1"/>
  <c r="CO35" i="528"/>
  <c r="CG51" i="227" a="1"/>
  <c r="CG51" i="227" s="1"/>
  <c r="EO69" i="227" a="1"/>
  <c r="EO69" i="227" s="1"/>
  <c r="CS31" i="227" a="1"/>
  <c r="CS31" i="227" s="1"/>
  <c r="EK52" i="227" a="1"/>
  <c r="EK52" i="227" s="1"/>
  <c r="CS65" i="227" a="1"/>
  <c r="CS65" i="227" s="1"/>
  <c r="EK67" i="227" a="1"/>
  <c r="EK67" i="227" s="1"/>
  <c r="EO28" i="227" a="1"/>
  <c r="EO28" i="227" s="1"/>
  <c r="CS43" i="227" a="1"/>
  <c r="CS43" i="227" s="1"/>
  <c r="BM49" i="227" a="1"/>
  <c r="BM49" i="227" s="1"/>
  <c r="EW43" i="227" a="1"/>
  <c r="EW43" i="227" s="1"/>
  <c r="EK60" i="227" a="1"/>
  <c r="EK60" i="227" s="1"/>
  <c r="BM19" i="227" a="1"/>
  <c r="BM19" i="227" s="1"/>
  <c r="EO37" i="227" a="1"/>
  <c r="EO37" i="227" s="1"/>
  <c r="CS41" i="227" a="1"/>
  <c r="CS41" i="227" s="1"/>
  <c r="EW37" i="227" a="1"/>
  <c r="EW37" i="227" s="1"/>
  <c r="AW66" i="227" a="1"/>
  <c r="AW66" i="227" s="1"/>
  <c r="CG53" i="227" a="1"/>
  <c r="CG53" i="227" s="1"/>
  <c r="AK61" i="227" a="1"/>
  <c r="AK61" i="227" s="1"/>
  <c r="EO53" i="227" a="1"/>
  <c r="EO53" i="227" s="1"/>
  <c r="EO60" i="227" a="1"/>
  <c r="EO60" i="227" s="1"/>
  <c r="CS36" i="227" a="1"/>
  <c r="CS36" i="227" s="1"/>
  <c r="CS44" i="227" a="1"/>
  <c r="CS44" i="227" s="1"/>
  <c r="CG17" i="227" a="1"/>
  <c r="CG17" i="227" s="1"/>
  <c r="CG12" i="227" a="1"/>
  <c r="CG12" i="227" s="1"/>
  <c r="BA24" i="227" a="1"/>
  <c r="BA24" i="227" s="1"/>
  <c r="CS69" i="227" a="1"/>
  <c r="CS69" i="227" s="1"/>
  <c r="EW51" i="227" a="1"/>
  <c r="EW51" i="227" s="1"/>
  <c r="ES33" i="227" a="1"/>
  <c r="ES33" i="227" s="1"/>
  <c r="AK68" i="227" a="1"/>
  <c r="AK68" i="227" s="1"/>
  <c r="EK72" i="227" a="1"/>
  <c r="EK72" i="227" s="1"/>
  <c r="CS25" i="227" a="1"/>
  <c r="CS25" i="227" s="1"/>
  <c r="CS35" i="227" a="1"/>
  <c r="CS35" i="227" s="1"/>
  <c r="EK11" i="227" a="1"/>
  <c r="EK11" i="227" s="1"/>
  <c r="CG42" i="227" a="1"/>
  <c r="CG42" i="227" s="1"/>
  <c r="F9" i="688"/>
  <c r="G9" i="688"/>
  <c r="H9" i="688"/>
  <c r="M64" i="227" a="1"/>
  <c r="M64" i="227" s="1"/>
  <c r="M46" i="227" a="1"/>
  <c r="M46" i="227" s="1"/>
  <c r="M56" i="227" a="1"/>
  <c r="M56" i="227" s="1"/>
  <c r="M67" i="227" a="1"/>
  <c r="M67" i="227" s="1"/>
  <c r="M66" i="227" a="1"/>
  <c r="M66" i="227" s="1"/>
  <c r="M11" i="227" a="1"/>
  <c r="M11" i="227" s="1"/>
  <c r="M50" i="227" a="1"/>
  <c r="M50" i="227" s="1"/>
  <c r="M21" i="227" a="1"/>
  <c r="M21" i="227" s="1"/>
  <c r="BQ20" i="227" a="1"/>
  <c r="BQ20" i="227" s="1"/>
  <c r="BQ58" i="227" a="1"/>
  <c r="BQ58" i="227" s="1"/>
  <c r="BQ14" i="227" a="1"/>
  <c r="BQ14" i="227" s="1"/>
  <c r="BQ68" i="227" a="1"/>
  <c r="BQ68" i="227" s="1"/>
  <c r="BQ17" i="227" a="1"/>
  <c r="BQ17" i="227" s="1"/>
  <c r="BQ51" i="227" a="1"/>
  <c r="BQ51" i="227" s="1"/>
  <c r="BQ36" i="227" a="1"/>
  <c r="BQ36" i="227" s="1"/>
  <c r="BQ60" i="227" a="1"/>
  <c r="BQ60" i="227" s="1"/>
  <c r="FI21" i="227" a="1"/>
  <c r="FI21" i="227" s="1"/>
  <c r="FI40" i="227" a="1"/>
  <c r="FI40" i="227" s="1"/>
  <c r="FI20" i="227" a="1"/>
  <c r="FI20" i="227" s="1"/>
  <c r="FI43" i="227" a="1"/>
  <c r="FI43" i="227" s="1"/>
  <c r="FI49" i="227" a="1"/>
  <c r="FI49" i="227" s="1"/>
  <c r="FI51" i="227" a="1"/>
  <c r="FI51" i="227" s="1"/>
  <c r="FI64" i="227" a="1"/>
  <c r="FI64" i="227" s="1"/>
  <c r="FI34" i="227" a="1"/>
  <c r="FI34" i="227" s="1"/>
  <c r="AW43" i="227" a="1"/>
  <c r="AW43" i="227" s="1"/>
  <c r="AW22" i="227" a="1"/>
  <c r="AW22" i="227" s="1"/>
  <c r="AW64" i="227" a="1"/>
  <c r="AW64" i="227" s="1"/>
  <c r="AW41" i="227" a="1"/>
  <c r="AW41" i="227" s="1"/>
  <c r="AW15" i="227" a="1"/>
  <c r="AW15" i="227" s="1"/>
  <c r="AW31" i="227" a="1"/>
  <c r="AW31" i="227" s="1"/>
  <c r="AW60" i="227" a="1"/>
  <c r="AW60" i="227" s="1"/>
  <c r="AS27" i="227" a="1"/>
  <c r="AS27" i="227" s="1"/>
  <c r="AS59" i="227" a="1"/>
  <c r="AS59" i="227" s="1"/>
  <c r="AS11" i="227" a="1"/>
  <c r="AS11" i="227" s="1"/>
  <c r="AS51" i="227" a="1"/>
  <c r="AS51" i="227" s="1"/>
  <c r="AS65" i="227" a="1"/>
  <c r="AS65" i="227" s="1"/>
  <c r="AS40" i="227" a="1"/>
  <c r="AS40" i="227" s="1"/>
  <c r="AS41" i="227" a="1"/>
  <c r="AS41" i="227" s="1"/>
  <c r="EK35" i="227" a="1"/>
  <c r="EK35" i="227" s="1"/>
  <c r="CS26" i="227" a="1"/>
  <c r="CS26" i="227" s="1"/>
  <c r="EO29" i="227" a="1"/>
  <c r="EO29" i="227" s="1"/>
  <c r="EO43" i="227" a="1"/>
  <c r="EO43" i="227" s="1"/>
  <c r="AK40" i="227" a="1"/>
  <c r="AK40" i="227" s="1"/>
  <c r="AK64" i="227" a="1"/>
  <c r="AK64" i="227" s="1"/>
  <c r="EK12" i="227" a="1"/>
  <c r="EK12" i="227" s="1"/>
  <c r="EK27" i="227" a="1"/>
  <c r="EK27" i="227" s="1"/>
  <c r="EK40" i="227" a="1"/>
  <c r="EK40" i="227" s="1"/>
  <c r="EK34" i="227" a="1"/>
  <c r="EK34" i="227" s="1"/>
  <c r="CG26" i="227" a="1"/>
  <c r="CG26" i="227" s="1"/>
  <c r="CG21" i="227" a="1"/>
  <c r="CG21" i="227" s="1"/>
  <c r="EK30" i="227" a="1"/>
  <c r="EK30" i="227" s="1"/>
  <c r="BM52" i="227" a="1"/>
  <c r="BM52" i="227" s="1"/>
  <c r="EO38" i="227" a="1"/>
  <c r="EO38" i="227" s="1"/>
  <c r="CS28" i="227" a="1"/>
  <c r="CS28" i="227" s="1"/>
  <c r="CG22" i="227" a="1"/>
  <c r="CG22" i="227" s="1"/>
  <c r="ES16" i="227" a="1"/>
  <c r="ES16" i="227" s="1"/>
  <c r="EW63" i="227" a="1"/>
  <c r="EW63" i="227" s="1"/>
  <c r="EK19" i="227" a="1"/>
  <c r="EK19" i="227" s="1"/>
  <c r="CG68" i="227" a="1"/>
  <c r="CG68" i="227" s="1"/>
  <c r="CW54" i="227" a="1"/>
  <c r="CW54" i="227" s="1"/>
  <c r="BM31" i="227" a="1"/>
  <c r="BM31" i="227" s="1"/>
  <c r="EW62" i="227" a="1"/>
  <c r="EW62" i="227" s="1"/>
  <c r="CG36" i="227" a="1"/>
  <c r="CG36" i="227" s="1"/>
  <c r="CS50" i="227" a="1"/>
  <c r="CS50" i="227" s="1"/>
  <c r="AK41" i="227" a="1"/>
  <c r="AK41" i="227" s="1"/>
  <c r="AK52" i="227" a="1"/>
  <c r="AK52" i="227" s="1"/>
  <c r="BM33" i="227" a="1"/>
  <c r="BM33" i="227" s="1"/>
  <c r="AK13" i="227" a="1"/>
  <c r="AK13" i="227" s="1"/>
  <c r="AK44" i="227" a="1"/>
  <c r="AK44" i="227" s="1"/>
  <c r="EW20" i="227" a="1"/>
  <c r="EW20" i="227" s="1"/>
  <c r="CG15" i="227" a="1"/>
  <c r="CG15" i="227" s="1"/>
  <c r="AW47" i="227" a="1"/>
  <c r="AW47" i="227" s="1"/>
  <c r="CG19" i="227" a="1"/>
  <c r="CG19" i="227" s="1"/>
  <c r="EK39" i="227" a="1"/>
  <c r="EK39" i="227" s="1"/>
  <c r="AK15" i="227" a="1"/>
  <c r="AK15" i="227" s="1"/>
  <c r="BA20" i="227" a="1"/>
  <c r="BA20" i="227" s="1"/>
  <c r="CG14" i="227" a="1"/>
  <c r="CG14" i="227" s="1"/>
  <c r="M29" i="227" a="1"/>
  <c r="M29" i="227" s="1"/>
  <c r="AK43" i="227" a="1"/>
  <c r="AK43" i="227" s="1"/>
  <c r="AW52" i="227" a="1"/>
  <c r="AW52" i="227" s="1"/>
  <c r="CG43" i="227" a="1"/>
  <c r="CG43" i="227" s="1"/>
  <c r="CG16" i="227" a="1"/>
  <c r="CG16" i="227" s="1"/>
  <c r="EO59" i="227" a="1"/>
  <c r="EO59" i="227" s="1"/>
  <c r="BM23" i="227" a="1"/>
  <c r="BM23" i="227" s="1"/>
  <c r="M60" i="227" a="1"/>
  <c r="M60" i="227" s="1"/>
  <c r="D65" i="41"/>
  <c r="G65" i="41"/>
  <c r="I50" i="39" s="1"/>
  <c r="S37" i="99"/>
  <c r="H30" i="688"/>
  <c r="E30" i="688"/>
  <c r="M17" i="227" a="1"/>
  <c r="M17" i="227" s="1"/>
  <c r="M12" i="227" a="1"/>
  <c r="M12" i="227" s="1"/>
  <c r="M27" i="227" a="1"/>
  <c r="M27" i="227" s="1"/>
  <c r="M62" i="227" a="1"/>
  <c r="M62" i="227" s="1"/>
  <c r="M48" i="227" a="1"/>
  <c r="M48" i="227" s="1"/>
  <c r="M39" i="227" a="1"/>
  <c r="M39" i="227" s="1"/>
  <c r="M10" i="227" a="1"/>
  <c r="M10" i="227" s="1"/>
  <c r="M30" i="227" a="1"/>
  <c r="M30" i="227" s="1"/>
  <c r="BQ11" i="227" a="1"/>
  <c r="BQ11" i="227" s="1"/>
  <c r="BQ64" i="227" a="1"/>
  <c r="BQ64" i="227" s="1"/>
  <c r="BQ16" i="227" a="1"/>
  <c r="BQ16" i="227" s="1"/>
  <c r="BQ57" i="227" a="1"/>
  <c r="BQ57" i="227" s="1"/>
  <c r="BQ62" i="227" a="1"/>
  <c r="BQ62" i="227" s="1"/>
  <c r="BQ10" i="227" a="1"/>
  <c r="BQ10" i="227" s="1"/>
  <c r="BQ25" i="227" a="1"/>
  <c r="BQ25" i="227" s="1"/>
  <c r="BQ15" i="227" a="1"/>
  <c r="BQ15" i="227" s="1"/>
  <c r="FI14" i="227" a="1"/>
  <c r="FI14" i="227" s="1"/>
  <c r="FI23" i="227" a="1"/>
  <c r="FI23" i="227" s="1"/>
  <c r="FI29" i="227" a="1"/>
  <c r="FI29" i="227" s="1"/>
  <c r="FI17" i="227" a="1"/>
  <c r="FI17" i="227" s="1"/>
  <c r="FI55" i="227" a="1"/>
  <c r="FI55" i="227" s="1"/>
  <c r="FI27" i="227" a="1"/>
  <c r="FI27" i="227" s="1"/>
  <c r="FI37" i="227" a="1"/>
  <c r="FI37" i="227" s="1"/>
  <c r="FI56" i="227" a="1"/>
  <c r="FI56" i="227" s="1"/>
  <c r="AW10" i="227" a="1"/>
  <c r="AW10" i="227" s="1"/>
  <c r="AW38" i="227" a="1"/>
  <c r="AW38" i="227" s="1"/>
  <c r="AW17" i="227" a="1"/>
  <c r="AW17" i="227" s="1"/>
  <c r="AW65" i="227" a="1"/>
  <c r="AW65" i="227" s="1"/>
  <c r="AW32" i="227" a="1"/>
  <c r="AW32" i="227" s="1"/>
  <c r="AW55" i="227" a="1"/>
  <c r="AW55" i="227" s="1"/>
  <c r="AW27" i="227" a="1"/>
  <c r="AW27" i="227" s="1"/>
  <c r="FA69" i="227" a="1"/>
  <c r="FA69" i="227" s="1"/>
  <c r="AS12" i="227" a="1"/>
  <c r="AS12" i="227" s="1"/>
  <c r="AS43" i="227" a="1"/>
  <c r="AS43" i="227" s="1"/>
  <c r="AS38" i="227" a="1"/>
  <c r="AS38" i="227" s="1"/>
  <c r="AS35" i="227" a="1"/>
  <c r="AS35" i="227" s="1"/>
  <c r="AS31" i="227" a="1"/>
  <c r="AS31" i="227" s="1"/>
  <c r="AS34" i="227" a="1"/>
  <c r="AS34" i="227" s="1"/>
  <c r="AS49" i="227" a="1"/>
  <c r="AS49" i="227" s="1"/>
  <c r="EK38" i="227" a="1"/>
  <c r="EK38" i="227" s="1"/>
  <c r="AK62" i="227" a="1"/>
  <c r="AK62" i="227" s="1"/>
  <c r="EO57" i="227" a="1"/>
  <c r="EO57" i="227" s="1"/>
  <c r="CS49" i="227" a="1"/>
  <c r="CS49" i="227" s="1"/>
  <c r="EO23" i="227" a="1"/>
  <c r="EO23" i="227" s="1"/>
  <c r="CG61" i="227" a="1"/>
  <c r="CG61" i="227" s="1"/>
  <c r="M15" i="227" a="1"/>
  <c r="M15" i="227" s="1"/>
  <c r="EK70" i="227" a="1"/>
  <c r="EK70" i="227" s="1"/>
  <c r="EO35" i="227" a="1"/>
  <c r="EO35" i="227" s="1"/>
  <c r="AK48" i="227" a="1"/>
  <c r="AK48" i="227" s="1"/>
  <c r="CG46" i="227" a="1"/>
  <c r="CG46" i="227" s="1"/>
  <c r="EK37" i="227" a="1"/>
  <c r="EK37" i="227" s="1"/>
  <c r="EO66" i="227" a="1"/>
  <c r="EO66" i="227" s="1"/>
  <c r="CG48" i="227" a="1"/>
  <c r="CG48" i="227" s="1"/>
  <c r="BM69" i="227" a="1"/>
  <c r="BM69" i="227" s="1"/>
  <c r="EO32" i="227" a="1"/>
  <c r="EO32" i="227" s="1"/>
  <c r="AK47" i="227" a="1"/>
  <c r="AK47" i="227" s="1"/>
  <c r="AK71" i="227" a="1"/>
  <c r="AK71" i="227" s="1"/>
  <c r="CG54" i="227" a="1"/>
  <c r="CG54" i="227" s="1"/>
  <c r="EO67" i="227" a="1"/>
  <c r="EO67" i="227" s="1"/>
  <c r="FA64" i="227" a="1"/>
  <c r="FA64" i="227" s="1"/>
  <c r="AK39" i="227" a="1"/>
  <c r="AK39" i="227" s="1"/>
  <c r="BA38" i="227" a="1"/>
  <c r="BA38" i="227" s="1"/>
  <c r="CG34" i="227" a="1"/>
  <c r="CG34" i="227" s="1"/>
  <c r="AK57" i="227" a="1"/>
  <c r="AK57" i="227" s="1"/>
  <c r="EO16" i="227" a="1"/>
  <c r="EO16" i="227" s="1"/>
  <c r="EW33" i="227" a="1"/>
  <c r="EW33" i="227" s="1"/>
  <c r="EK48" i="227" a="1"/>
  <c r="EK48" i="227" s="1"/>
  <c r="EK44" i="227" a="1"/>
  <c r="EK44" i="227" s="1"/>
  <c r="CG37" i="227" a="1"/>
  <c r="CG37" i="227" s="1"/>
  <c r="D67" i="528"/>
  <c r="Q67" i="528" s="1"/>
  <c r="R67" i="528" s="1"/>
  <c r="CU67" i="528" s="1"/>
  <c r="B57" i="528"/>
  <c r="B55" i="528" s="1"/>
  <c r="DB58" i="528"/>
  <c r="DB55" i="528" s="1"/>
  <c r="DD55" i="528" s="1"/>
  <c r="DD68" i="528"/>
  <c r="M18" i="528"/>
  <c r="AF70" i="528"/>
  <c r="K70" i="528"/>
  <c r="CL70" i="528"/>
  <c r="M61" i="227" a="1"/>
  <c r="M61" i="227" s="1"/>
  <c r="M65" i="227" a="1"/>
  <c r="M65" i="227" s="1"/>
  <c r="M57" i="227" a="1"/>
  <c r="M57" i="227" s="1"/>
  <c r="M18" i="227" a="1"/>
  <c r="M18" i="227" s="1"/>
  <c r="M44" i="227" a="1"/>
  <c r="M44" i="227" s="1"/>
  <c r="M35" i="227" a="1"/>
  <c r="M35" i="227" s="1"/>
  <c r="M59" i="227" a="1"/>
  <c r="M59" i="227" s="1"/>
  <c r="BQ56" i="227" a="1"/>
  <c r="BQ56" i="227" s="1"/>
  <c r="BQ35" i="227" a="1"/>
  <c r="BQ35" i="227" s="1"/>
  <c r="BQ12" i="227" a="1"/>
  <c r="BQ12" i="227" s="1"/>
  <c r="BQ30" i="227" a="1"/>
  <c r="BQ30" i="227" s="1"/>
  <c r="BQ21" i="227" a="1"/>
  <c r="BQ21" i="227" s="1"/>
  <c r="BQ50" i="227" a="1"/>
  <c r="BQ50" i="227" s="1"/>
  <c r="FI11" i="227" a="1"/>
  <c r="FI11" i="227" s="1"/>
  <c r="FI59" i="227" a="1"/>
  <c r="FI59" i="227" s="1"/>
  <c r="FI60" i="227" a="1"/>
  <c r="FI60" i="227" s="1"/>
  <c r="FI39" i="227" a="1"/>
  <c r="FI39" i="227" s="1"/>
  <c r="FI72" i="227" a="1"/>
  <c r="FI72" i="227" s="1"/>
  <c r="FI19" i="227" a="1"/>
  <c r="FI19" i="227" s="1"/>
  <c r="FI32" i="227" a="1"/>
  <c r="FI32" i="227" s="1"/>
  <c r="AW19" i="227" a="1"/>
  <c r="AW19" i="227" s="1"/>
  <c r="AW42" i="227" a="1"/>
  <c r="AW42" i="227" s="1"/>
  <c r="AW50" i="227" a="1"/>
  <c r="AW50" i="227" s="1"/>
  <c r="AW18" i="227" a="1"/>
  <c r="AW18" i="227" s="1"/>
  <c r="AW72" i="227" a="1"/>
  <c r="AW72" i="227" s="1"/>
  <c r="AW63" i="227" a="1"/>
  <c r="AW63" i="227" s="1"/>
  <c r="AS36" i="227" a="1"/>
  <c r="AS36" i="227" s="1"/>
  <c r="AS15" i="227" a="1"/>
  <c r="AS15" i="227" s="1"/>
  <c r="AS70" i="227" a="1"/>
  <c r="AS70" i="227" s="1"/>
  <c r="AS60" i="227" a="1"/>
  <c r="AS60" i="227" s="1"/>
  <c r="AS42" i="227" a="1"/>
  <c r="AS42" i="227" s="1"/>
  <c r="AS52" i="227" a="1"/>
  <c r="AS52" i="227" s="1"/>
  <c r="EO56" i="227" a="1"/>
  <c r="EO56" i="227" s="1"/>
  <c r="EK68" i="227" a="1"/>
  <c r="EK68" i="227" s="1"/>
  <c r="AK72" i="227" a="1"/>
  <c r="AK72" i="227" s="1"/>
  <c r="CG47" i="227" a="1"/>
  <c r="CG47" i="227" s="1"/>
  <c r="CG41" i="227" a="1"/>
  <c r="CG41" i="227" s="1"/>
  <c r="CG71" i="227" a="1"/>
  <c r="CG71" i="227" s="1"/>
  <c r="EK62" i="227" a="1"/>
  <c r="EK62" i="227" s="1"/>
  <c r="CS64" i="227" a="1"/>
  <c r="CS64" i="227" s="1"/>
  <c r="CS53" i="227" a="1"/>
  <c r="CS53" i="227" s="1"/>
  <c r="CG55" i="227" a="1"/>
  <c r="CG55" i="227" s="1"/>
  <c r="BM59" i="227" a="1"/>
  <c r="BM59" i="227" s="1"/>
  <c r="AK19" i="227" a="1"/>
  <c r="AK19" i="227" s="1"/>
  <c r="CG30" i="227" a="1"/>
  <c r="CG30" i="227" s="1"/>
  <c r="CS71" i="227" a="1"/>
  <c r="CS71" i="227" s="1"/>
  <c r="CS19" i="227" a="1"/>
  <c r="CS19" i="227" s="1"/>
  <c r="CS32" i="227" a="1"/>
  <c r="CS32" i="227" s="1"/>
  <c r="CG65" i="227" a="1"/>
  <c r="CG65" i="227" s="1"/>
  <c r="EK36" i="227" a="1"/>
  <c r="EK36" i="227" s="1"/>
  <c r="EK31" i="227" a="1"/>
  <c r="EK31" i="227" s="1"/>
  <c r="EK51" i="227" a="1"/>
  <c r="EK51" i="227" s="1"/>
  <c r="AK60" i="227" a="1"/>
  <c r="AK60" i="227" s="1"/>
  <c r="CG72" i="227" a="1"/>
  <c r="CG72" i="227" s="1"/>
  <c r="CG59" i="227" a="1"/>
  <c r="CG59" i="227" s="1"/>
  <c r="CG67" i="227" a="1"/>
  <c r="CG67" i="227" s="1"/>
  <c r="AK58" i="227" a="1"/>
  <c r="AK58" i="227" s="1"/>
  <c r="AK17" i="227" a="1"/>
  <c r="AK17" i="227" s="1"/>
  <c r="CS61" i="227" a="1"/>
  <c r="CS61" i="227" s="1"/>
  <c r="CS30" i="227" a="1"/>
  <c r="CS30" i="227" s="1"/>
  <c r="DD69" i="528"/>
  <c r="DB73" i="528"/>
  <c r="J12" i="528"/>
  <c r="F165" i="857" s="1"/>
  <c r="K12" i="528"/>
  <c r="K35" i="528"/>
  <c r="BY17" i="528" s="1"/>
  <c r="AA13" i="87"/>
  <c r="F51" i="687"/>
  <c r="F54" i="687" s="1"/>
  <c r="D54" i="687"/>
  <c r="CP16" i="528"/>
  <c r="AF16" i="528"/>
  <c r="F126" i="857"/>
  <c r="B2" i="555"/>
  <c r="O14" i="688"/>
  <c r="D29" i="687"/>
  <c r="F19" i="112"/>
  <c r="D44" i="685" s="1"/>
  <c r="C19" i="112"/>
  <c r="Y47" i="528"/>
  <c r="FV30" i="227"/>
  <c r="FT30" i="227"/>
  <c r="J32" i="528"/>
  <c r="GE12" i="227"/>
  <c r="GC12" i="227"/>
  <c r="C19" i="528"/>
  <c r="F203" i="857"/>
  <c r="C35" i="528"/>
  <c r="F17" i="528"/>
  <c r="F108" i="687"/>
  <c r="F29" i="687"/>
  <c r="F107" i="687" s="1"/>
  <c r="S30" i="687"/>
  <c r="S29" i="687" s="1"/>
  <c r="FV46" i="227"/>
  <c r="FT46" i="227"/>
  <c r="AM66" i="528"/>
  <c r="AH66" i="528"/>
  <c r="M13" i="528"/>
  <c r="I14" i="528"/>
  <c r="CN68" i="528"/>
  <c r="Q68" i="528"/>
  <c r="I45" i="687"/>
  <c r="I120" i="687"/>
  <c r="I123" i="687" s="1"/>
  <c r="CN66" i="528"/>
  <c r="K73" i="528"/>
  <c r="CN73" i="528" s="1"/>
  <c r="CF58" i="528"/>
  <c r="F51" i="41"/>
  <c r="CT58" i="528"/>
  <c r="P11" i="87"/>
  <c r="J15" i="87"/>
  <c r="P10" i="87"/>
  <c r="L15" i="87"/>
  <c r="P8" i="87"/>
  <c r="I15" i="87"/>
  <c r="K15" i="87"/>
  <c r="P12" i="87"/>
  <c r="R75" i="528"/>
  <c r="CT75" i="528"/>
  <c r="CF57" i="528"/>
  <c r="CT57" i="528"/>
  <c r="AH69" i="528"/>
  <c r="AO69" i="528" s="1"/>
  <c r="AM69" i="528"/>
  <c r="D41" i="99"/>
  <c r="D42" i="99" s="1"/>
  <c r="B14" i="528"/>
  <c r="F13" i="528"/>
  <c r="F135" i="857"/>
  <c r="J18" i="688"/>
  <c r="D73" i="528"/>
  <c r="Q69" i="528"/>
  <c r="AF56" i="528"/>
  <c r="CE56" i="528"/>
  <c r="CS56" i="528"/>
  <c r="I55" i="528"/>
  <c r="CE58" i="528"/>
  <c r="CS58" i="528"/>
  <c r="E51" i="41"/>
  <c r="E55" i="41" s="1"/>
  <c r="F51" i="99"/>
  <c r="F54" i="99" s="1"/>
  <c r="D54" i="99"/>
  <c r="J120" i="99"/>
  <c r="J123" i="99" s="1"/>
  <c r="J45" i="99"/>
  <c r="B15" i="87"/>
  <c r="O10" i="87"/>
  <c r="C15" i="87"/>
  <c r="Q13" i="87"/>
  <c r="B46" i="87"/>
  <c r="O9" i="87"/>
  <c r="D15" i="87"/>
  <c r="O12" i="87"/>
  <c r="G113" i="99"/>
  <c r="G123" i="99" s="1"/>
  <c r="J55" i="528"/>
  <c r="J59" i="528" s="1"/>
  <c r="CT56" i="528"/>
  <c r="CF56" i="528"/>
  <c r="Z13" i="87"/>
  <c r="AI13" i="528"/>
  <c r="I18" i="688"/>
  <c r="I11" i="39"/>
  <c r="CN72" i="528"/>
  <c r="Q72" i="528"/>
  <c r="C31" i="528"/>
  <c r="CL73" i="528"/>
  <c r="AF73" i="528"/>
  <c r="AM73" i="528" s="1"/>
  <c r="C123" i="41"/>
  <c r="G49" i="39"/>
  <c r="L113" i="687"/>
  <c r="L123" i="687" s="1"/>
  <c r="R55" i="39"/>
  <c r="S55" i="39"/>
  <c r="Q55" i="39"/>
  <c r="X13" i="87"/>
  <c r="X15" i="87" s="1"/>
  <c r="AG13" i="528"/>
  <c r="AF13" i="528"/>
  <c r="W13" i="87"/>
  <c r="Q71" i="528"/>
  <c r="CN71" i="528"/>
  <c r="F2" i="107"/>
  <c r="E20" i="39"/>
  <c r="AM72" i="528"/>
  <c r="AH72" i="528"/>
  <c r="AO72" i="528" s="1"/>
  <c r="P45" i="99"/>
  <c r="N120" i="687"/>
  <c r="N123" i="687" s="1"/>
  <c r="N45" i="687"/>
  <c r="H113" i="687"/>
  <c r="H123" i="687" s="1"/>
  <c r="H45" i="99"/>
  <c r="H113" i="99"/>
  <c r="O11" i="87"/>
  <c r="AI31" i="528"/>
  <c r="CO31" i="528"/>
  <c r="CV31" i="528"/>
  <c r="CO13" i="528"/>
  <c r="Y13" i="87"/>
  <c r="AH13" i="528"/>
  <c r="AH71" i="528"/>
  <c r="AO71" i="528" s="1"/>
  <c r="AM71" i="528"/>
  <c r="E15" i="87"/>
  <c r="C30" i="794"/>
  <c r="J3" i="107"/>
  <c r="Q66" i="528"/>
  <c r="E113" i="687"/>
  <c r="E123" i="687" s="1"/>
  <c r="E45" i="687"/>
  <c r="AT36" i="528"/>
  <c r="B25" i="87"/>
  <c r="F25" i="87" s="1"/>
  <c r="F119" i="857"/>
  <c r="B23" i="87"/>
  <c r="F23" i="87" s="1"/>
  <c r="B24" i="87"/>
  <c r="F24" i="87" s="1"/>
  <c r="B22" i="87"/>
  <c r="B26" i="87"/>
  <c r="F26" i="87" s="1"/>
  <c r="I25" i="87"/>
  <c r="M25" i="87" s="1"/>
  <c r="I22" i="87"/>
  <c r="I26" i="87"/>
  <c r="M26" i="87" s="1"/>
  <c r="F95" i="857"/>
  <c r="I24" i="87"/>
  <c r="M24" i="87" s="1"/>
  <c r="I23" i="87"/>
  <c r="M23" i="87" s="1"/>
  <c r="R15" i="528"/>
  <c r="S15" i="528" s="1"/>
  <c r="H17" i="39"/>
  <c r="J17" i="39" s="1"/>
  <c r="P45" i="687"/>
  <c r="B33" i="41"/>
  <c r="B34" i="41"/>
  <c r="B36" i="41"/>
  <c r="E76" i="41"/>
  <c r="F76" i="41" s="1"/>
  <c r="I51" i="39" s="1"/>
  <c r="E77" i="41"/>
  <c r="F77" i="41" s="1"/>
  <c r="I52" i="39" s="1"/>
  <c r="D72" i="41"/>
  <c r="C73" i="41" s="1"/>
  <c r="D73" i="41" s="1"/>
  <c r="AY84" i="354"/>
  <c r="AZ83" i="354"/>
  <c r="BC81" i="354"/>
  <c r="BD80" i="354"/>
  <c r="FR45" i="227"/>
  <c r="GA17" i="227"/>
  <c r="FU35" i="227"/>
  <c r="FX27" i="227"/>
  <c r="FU26" i="227"/>
  <c r="GD35" i="227"/>
  <c r="FX35" i="227"/>
  <c r="FR26" i="227"/>
  <c r="GA15" i="227"/>
  <c r="FX15" i="227"/>
  <c r="FX30" i="227"/>
  <c r="GD25" i="227"/>
  <c r="FR46" i="227"/>
  <c r="GA11" i="227"/>
  <c r="FX34" i="227"/>
  <c r="GA30" i="227"/>
  <c r="FU12" i="227"/>
  <c r="GA41" i="227"/>
  <c r="FU11" i="227"/>
  <c r="GA25" i="227"/>
  <c r="GA26" i="227"/>
  <c r="FU15" i="227"/>
  <c r="FR12" i="227"/>
  <c r="GD15" i="227"/>
  <c r="FR15" i="227"/>
  <c r="GD27" i="227"/>
  <c r="GD46" i="227"/>
  <c r="GA12" i="227"/>
  <c r="GD41" i="227"/>
  <c r="GA35" i="227"/>
  <c r="GD11" i="227"/>
  <c r="FU29" i="227"/>
  <c r="FR30" i="227"/>
  <c r="FR41" i="227"/>
  <c r="GD26" i="227"/>
  <c r="GA29" i="227"/>
  <c r="FR35" i="227"/>
  <c r="FX11" i="227"/>
  <c r="FX26" i="227"/>
  <c r="GA27" i="227"/>
  <c r="GD17" i="227"/>
  <c r="FU17" i="227"/>
  <c r="FU39" i="227"/>
  <c r="GA33" i="227"/>
  <c r="FX20" i="227"/>
  <c r="GA40" i="227"/>
  <c r="FU20" i="227"/>
  <c r="FR27" i="227"/>
  <c r="FU36" i="227"/>
  <c r="GD44" i="227"/>
  <c r="GD45" i="227"/>
  <c r="GA43" i="227"/>
  <c r="GD43" i="227"/>
  <c r="FR19" i="227"/>
  <c r="GA24" i="227"/>
  <c r="D14" i="528"/>
  <c r="FX13" i="227"/>
  <c r="GD36" i="227"/>
  <c r="FX36" i="227"/>
  <c r="FX17" i="227"/>
  <c r="GA16" i="227"/>
  <c r="FU48" i="227"/>
  <c r="GD22" i="227"/>
  <c r="FR39" i="227"/>
  <c r="FX46" i="227"/>
  <c r="GA46" i="227"/>
  <c r="GA36" i="227"/>
  <c r="GA23" i="227"/>
  <c r="FU32" i="227"/>
  <c r="FR37" i="227"/>
  <c r="GA44" i="227"/>
  <c r="GD42" i="227"/>
  <c r="FU23" i="227"/>
  <c r="FX18" i="227"/>
  <c r="FU45" i="227"/>
  <c r="GD14" i="227"/>
  <c r="FU43" i="227"/>
  <c r="F30" i="99"/>
  <c r="FR34" i="227"/>
  <c r="FU38" i="227"/>
  <c r="FR24" i="227"/>
  <c r="FX39" i="227"/>
  <c r="FU33" i="227"/>
  <c r="E14" i="528"/>
  <c r="FR40" i="227"/>
  <c r="FX32" i="227"/>
  <c r="FX41" i="227"/>
  <c r="GA32" i="227"/>
  <c r="FR36" i="227"/>
  <c r="FX12" i="227"/>
  <c r="FR17" i="227"/>
  <c r="GA47" i="227"/>
  <c r="FR42" i="227"/>
  <c r="FU24" i="227"/>
  <c r="L14" i="528"/>
  <c r="FX28" i="227"/>
  <c r="FR14" i="227"/>
  <c r="FR22" i="227"/>
  <c r="FX14" i="227"/>
  <c r="FU31" i="227"/>
  <c r="FU47" i="227"/>
  <c r="GD23" i="227"/>
  <c r="FR18" i="227"/>
  <c r="FR13" i="227"/>
  <c r="FR25" i="227"/>
  <c r="F32" i="687"/>
  <c r="FX47" i="227"/>
  <c r="FR31" i="227"/>
  <c r="FX23" i="227"/>
  <c r="FR29" i="227"/>
  <c r="FX21" i="227"/>
  <c r="FU41" i="227"/>
  <c r="GD32" i="227"/>
  <c r="FU13" i="227"/>
  <c r="FR23" i="227"/>
  <c r="FU44" i="227"/>
  <c r="GA42" i="227"/>
  <c r="FX24" i="227"/>
  <c r="D32" i="528"/>
  <c r="GA48" i="227"/>
  <c r="FR44" i="227"/>
  <c r="FR33" i="227"/>
  <c r="GD47" i="227"/>
  <c r="FX19" i="227"/>
  <c r="GD16" i="227"/>
  <c r="GA19" i="227"/>
  <c r="FU18" i="227"/>
  <c r="GD29" i="227"/>
  <c r="FU42" i="227"/>
  <c r="GA13" i="227"/>
  <c r="GA22" i="227"/>
  <c r="FX31" i="227"/>
  <c r="GD31" i="227"/>
  <c r="FR43" i="227"/>
  <c r="FR32" i="227"/>
  <c r="FU40" i="227"/>
  <c r="FU14" i="227"/>
  <c r="FX33" i="227"/>
  <c r="FR20" i="227"/>
  <c r="GD33" i="227"/>
  <c r="GA34" i="227"/>
  <c r="FR38" i="227"/>
  <c r="FR48" i="227"/>
  <c r="FX38" i="227"/>
  <c r="GD24" i="227"/>
  <c r="GD18" i="227"/>
  <c r="FU16" i="227"/>
  <c r="FR47" i="227"/>
  <c r="FU27" i="227"/>
  <c r="FX29" i="227"/>
  <c r="FX40" i="227"/>
  <c r="FU25" i="227"/>
  <c r="FX25" i="227"/>
  <c r="FR16" i="227"/>
  <c r="GA38" i="227"/>
  <c r="FR28" i="227"/>
  <c r="GA28" i="227"/>
  <c r="GA31" i="227"/>
  <c r="FU28" i="227"/>
  <c r="GD13" i="227"/>
  <c r="FX48" i="227"/>
  <c r="GD48" i="227"/>
  <c r="GD20" i="227"/>
  <c r="C14" i="528"/>
  <c r="FU37" i="227"/>
  <c r="FX45" i="227"/>
  <c r="FX22" i="227"/>
  <c r="GA18" i="227"/>
  <c r="GD40" i="227"/>
  <c r="FU34" i="227"/>
  <c r="GA21" i="227"/>
  <c r="FR21" i="227"/>
  <c r="GA14" i="227"/>
  <c r="FU22" i="227"/>
  <c r="FU21" i="227"/>
  <c r="FX44" i="227"/>
  <c r="GA37" i="227"/>
  <c r="FX43" i="227"/>
  <c r="GD19" i="227"/>
  <c r="FX42" i="227"/>
  <c r="FX16" i="227"/>
  <c r="FU19" i="227"/>
  <c r="GD30" i="227"/>
  <c r="GD34" i="227"/>
  <c r="GA39" i="227"/>
  <c r="GD39" i="227"/>
  <c r="GD21" i="227"/>
  <c r="GA20" i="227"/>
  <c r="FR11" i="227"/>
  <c r="FX37" i="227"/>
  <c r="GD37" i="227"/>
  <c r="GD38" i="227"/>
  <c r="GA45" i="227"/>
  <c r="GD28" i="227"/>
  <c r="J17" i="528"/>
  <c r="D30" i="99"/>
  <c r="GC35" i="227" l="1"/>
  <c r="GE35" i="227"/>
  <c r="FT26" i="227"/>
  <c r="FV26" i="227"/>
  <c r="FY27" i="227"/>
  <c r="FW27" i="227"/>
  <c r="FV35" i="227"/>
  <c r="FT35" i="227"/>
  <c r="GB17" i="227"/>
  <c r="FZ17" i="227"/>
  <c r="FQ45" i="227"/>
  <c r="FS45" i="227"/>
  <c r="FV39" i="227"/>
  <c r="FT39" i="227"/>
  <c r="FV17" i="227"/>
  <c r="FT17" i="227"/>
  <c r="GC17" i="227"/>
  <c r="GE17" i="227"/>
  <c r="FZ27" i="227"/>
  <c r="GB27" i="227"/>
  <c r="FY26" i="227"/>
  <c r="FW26" i="227"/>
  <c r="FW11" i="227"/>
  <c r="FY11" i="227"/>
  <c r="FQ35" i="227"/>
  <c r="FS35" i="227"/>
  <c r="FZ29" i="227"/>
  <c r="GB29" i="227"/>
  <c r="GE26" i="227"/>
  <c r="GC26" i="227"/>
  <c r="FS41" i="227"/>
  <c r="FQ41" i="227"/>
  <c r="FS30" i="227"/>
  <c r="FQ30" i="227"/>
  <c r="FT29" i="227"/>
  <c r="FV29" i="227"/>
  <c r="GF29" i="227" s="1"/>
  <c r="GC11" i="227"/>
  <c r="GE11" i="227"/>
  <c r="GB35" i="227"/>
  <c r="FZ35" i="227"/>
  <c r="GE41" i="227"/>
  <c r="GC41" i="227"/>
  <c r="GB12" i="227"/>
  <c r="FZ12" i="227"/>
  <c r="GC46" i="227"/>
  <c r="GE46" i="227"/>
  <c r="GF46" i="227" s="1"/>
  <c r="GC27" i="227"/>
  <c r="GE27" i="227"/>
  <c r="GF27" i="227" s="1"/>
  <c r="FQ15" i="227"/>
  <c r="FS15" i="227"/>
  <c r="GE15" i="227"/>
  <c r="GC15" i="227"/>
  <c r="FQ12" i="227"/>
  <c r="FS12" i="227"/>
  <c r="FV15" i="227"/>
  <c r="FT15" i="227"/>
  <c r="GB26" i="227"/>
  <c r="FZ26" i="227"/>
  <c r="FZ25" i="227"/>
  <c r="GB25" i="227"/>
  <c r="GF25" i="227" s="1"/>
  <c r="FT11" i="227"/>
  <c r="FV11" i="227"/>
  <c r="FZ41" i="227"/>
  <c r="GB41" i="227"/>
  <c r="FV12" i="227"/>
  <c r="FT12" i="227"/>
  <c r="GB30" i="227"/>
  <c r="FZ30" i="227"/>
  <c r="FW34" i="227"/>
  <c r="FY34" i="227"/>
  <c r="GB11" i="227"/>
  <c r="FZ11" i="227"/>
  <c r="FQ46" i="227"/>
  <c r="FS46" i="227"/>
  <c r="GE25" i="227"/>
  <c r="GC25" i="227"/>
  <c r="FY30" i="227"/>
  <c r="FW30" i="227"/>
  <c r="FY15" i="227"/>
  <c r="FW15" i="227"/>
  <c r="FZ15" i="227"/>
  <c r="GB15" i="227"/>
  <c r="GF15" i="227" s="1"/>
  <c r="FQ26" i="227"/>
  <c r="FS26" i="227"/>
  <c r="GF26" i="227" s="1"/>
  <c r="FY35" i="227"/>
  <c r="FW35" i="227"/>
  <c r="G45" i="99"/>
  <c r="G54" i="39"/>
  <c r="FS32" i="227"/>
  <c r="FQ32" i="227"/>
  <c r="E6" i="112"/>
  <c r="G18" i="39"/>
  <c r="I18" i="39" s="1"/>
  <c r="J9" i="107" s="1"/>
  <c r="C59" i="528"/>
  <c r="D55" i="528"/>
  <c r="C166" i="529"/>
  <c r="O56" i="39"/>
  <c r="Q16" i="528"/>
  <c r="AJ16" i="528"/>
  <c r="G123" i="687"/>
  <c r="FS44" i="227"/>
  <c r="FQ44" i="227"/>
  <c r="I45" i="99"/>
  <c r="E45" i="99"/>
  <c r="G45" i="687"/>
  <c r="H123" i="99"/>
  <c r="FT13" i="227"/>
  <c r="FV13" i="227"/>
  <c r="FY12" i="227"/>
  <c r="GF12" i="227" s="1"/>
  <c r="FW12" i="227"/>
  <c r="FV33" i="227"/>
  <c r="FT33" i="227"/>
  <c r="FV32" i="227"/>
  <c r="FT32" i="227"/>
  <c r="FT36" i="227"/>
  <c r="FV36" i="227"/>
  <c r="GB19" i="227"/>
  <c r="FZ19" i="227"/>
  <c r="FS11" i="227"/>
  <c r="GF11" i="227" s="1"/>
  <c r="FQ11" i="227"/>
  <c r="FV21" i="227"/>
  <c r="FT21" i="227"/>
  <c r="FQ25" i="227"/>
  <c r="FS25" i="227"/>
  <c r="FW25" i="227"/>
  <c r="FY25" i="227"/>
  <c r="FZ34" i="227"/>
  <c r="GB34" i="227"/>
  <c r="FY14" i="227"/>
  <c r="FW14" i="227"/>
  <c r="GC32" i="227"/>
  <c r="GE32" i="227"/>
  <c r="FQ36" i="227"/>
  <c r="FS36" i="227"/>
  <c r="FY36" i="227"/>
  <c r="FW36" i="227"/>
  <c r="FZ23" i="227"/>
  <c r="GB23" i="227"/>
  <c r="FQ27" i="227"/>
  <c r="FS27" i="227"/>
  <c r="GE40" i="227"/>
  <c r="GC40" i="227"/>
  <c r="GB20" i="227"/>
  <c r="GF20" i="227" s="1"/>
  <c r="FZ20" i="227"/>
  <c r="FT22" i="227"/>
  <c r="FV22" i="227"/>
  <c r="GB22" i="227"/>
  <c r="FZ22" i="227"/>
  <c r="FV25" i="227"/>
  <c r="FT25" i="227"/>
  <c r="GC33" i="227"/>
  <c r="GE33" i="227"/>
  <c r="FS33" i="227"/>
  <c r="FQ33" i="227"/>
  <c r="FT41" i="227"/>
  <c r="FV41" i="227"/>
  <c r="GB32" i="227"/>
  <c r="FZ32" i="227"/>
  <c r="GC36" i="227"/>
  <c r="GE36" i="227"/>
  <c r="GB36" i="227"/>
  <c r="FZ36" i="227"/>
  <c r="FT20" i="227"/>
  <c r="FV20" i="227"/>
  <c r="GE30" i="227"/>
  <c r="GC30" i="227"/>
  <c r="GE21" i="227"/>
  <c r="GC21" i="227"/>
  <c r="GB14" i="227"/>
  <c r="GF14" i="227" s="1"/>
  <c r="FZ14" i="227"/>
  <c r="GC13" i="227"/>
  <c r="GE13" i="227"/>
  <c r="GC20" i="227"/>
  <c r="GE20" i="227"/>
  <c r="FQ20" i="227"/>
  <c r="FS20" i="227"/>
  <c r="FS22" i="227"/>
  <c r="FQ22" i="227"/>
  <c r="FY21" i="227"/>
  <c r="FW21" i="227"/>
  <c r="FY41" i="227"/>
  <c r="GF41" i="227" s="1"/>
  <c r="FW41" i="227"/>
  <c r="GE14" i="227"/>
  <c r="GC14" i="227"/>
  <c r="FZ46" i="227"/>
  <c r="GB46" i="227"/>
  <c r="GB40" i="227"/>
  <c r="FZ40" i="227"/>
  <c r="GE22" i="227"/>
  <c r="GC22" i="227"/>
  <c r="GC39" i="227"/>
  <c r="GE39" i="227"/>
  <c r="FS21" i="227"/>
  <c r="GF21" i="227" s="1"/>
  <c r="FQ21" i="227"/>
  <c r="FW22" i="227"/>
  <c r="FY22" i="227"/>
  <c r="FW40" i="227"/>
  <c r="FY40" i="227"/>
  <c r="FW33" i="227"/>
  <c r="FY33" i="227"/>
  <c r="GE29" i="227"/>
  <c r="GC29" i="227"/>
  <c r="FS29" i="227"/>
  <c r="FQ29" i="227"/>
  <c r="FY32" i="227"/>
  <c r="FW32" i="227"/>
  <c r="FW13" i="227"/>
  <c r="FY13" i="227"/>
  <c r="FW46" i="227"/>
  <c r="FY46" i="227"/>
  <c r="FY20" i="227"/>
  <c r="FW20" i="227"/>
  <c r="FY47" i="227"/>
  <c r="FW47" i="227"/>
  <c r="FZ39" i="227"/>
  <c r="GB39" i="227"/>
  <c r="FZ21" i="227"/>
  <c r="GB21" i="227"/>
  <c r="FS13" i="227"/>
  <c r="FQ13" i="227"/>
  <c r="FY29" i="227"/>
  <c r="FW29" i="227"/>
  <c r="FT14" i="227"/>
  <c r="FV14" i="227"/>
  <c r="FQ14" i="227"/>
  <c r="FS14" i="227"/>
  <c r="FW23" i="227"/>
  <c r="FY23" i="227"/>
  <c r="FS40" i="227"/>
  <c r="GF40" i="227" s="1"/>
  <c r="FQ40" i="227"/>
  <c r="FY39" i="227"/>
  <c r="FW39" i="227"/>
  <c r="FQ39" i="227"/>
  <c r="FS39" i="227"/>
  <c r="FZ33" i="227"/>
  <c r="GB33" i="227"/>
  <c r="FQ34" i="227"/>
  <c r="FS34" i="227"/>
  <c r="GE34" i="227"/>
  <c r="GC34" i="227"/>
  <c r="FV34" i="227"/>
  <c r="FT34" i="227"/>
  <c r="FZ13" i="227"/>
  <c r="GB13" i="227"/>
  <c r="FV27" i="227"/>
  <c r="FT27" i="227"/>
  <c r="FT40" i="227"/>
  <c r="FV40" i="227"/>
  <c r="F221" i="857"/>
  <c r="B59" i="528"/>
  <c r="J30" i="528"/>
  <c r="DD73" i="528"/>
  <c r="FZ43" i="227"/>
  <c r="GB43" i="227"/>
  <c r="FT38" i="227"/>
  <c r="FV38" i="227"/>
  <c r="GE38" i="227"/>
  <c r="GC38" i="227"/>
  <c r="FY43" i="227"/>
  <c r="FW43" i="227"/>
  <c r="FY31" i="227"/>
  <c r="FW31" i="227"/>
  <c r="FQ28" i="227"/>
  <c r="FS28" i="227"/>
  <c r="FY38" i="227"/>
  <c r="FW38" i="227"/>
  <c r="FT47" i="227"/>
  <c r="FV47" i="227"/>
  <c r="FT44" i="227"/>
  <c r="FV44" i="227"/>
  <c r="FZ47" i="227"/>
  <c r="GB47" i="227"/>
  <c r="FW17" i="227"/>
  <c r="FY17" i="227"/>
  <c r="FZ44" i="227"/>
  <c r="GB44" i="227"/>
  <c r="GE45" i="227"/>
  <c r="GC45" i="227"/>
  <c r="FQ43" i="227"/>
  <c r="FS43" i="227"/>
  <c r="GE37" i="227"/>
  <c r="GC37" i="227"/>
  <c r="GB37" i="227"/>
  <c r="FZ37" i="227"/>
  <c r="GC16" i="227"/>
  <c r="GE16" i="227"/>
  <c r="GB38" i="227"/>
  <c r="FZ38" i="227"/>
  <c r="FS48" i="227"/>
  <c r="FQ48" i="227"/>
  <c r="GC47" i="227"/>
  <c r="GE47" i="227"/>
  <c r="FQ23" i="227"/>
  <c r="FS23" i="227"/>
  <c r="FQ17" i="227"/>
  <c r="FS17" i="227"/>
  <c r="FT43" i="227"/>
  <c r="FV43" i="227"/>
  <c r="FQ37" i="227"/>
  <c r="FS37" i="227"/>
  <c r="GE44" i="227"/>
  <c r="GC44" i="227"/>
  <c r="FY45" i="227"/>
  <c r="FW45" i="227"/>
  <c r="FY37" i="227"/>
  <c r="FW37" i="227"/>
  <c r="FY44" i="227"/>
  <c r="FW44" i="227"/>
  <c r="FT37" i="227"/>
  <c r="FV37" i="227"/>
  <c r="FQ16" i="227"/>
  <c r="FS16" i="227"/>
  <c r="FS38" i="227"/>
  <c r="FQ38" i="227"/>
  <c r="FT31" i="227"/>
  <c r="FV31" i="227"/>
  <c r="I23" i="528"/>
  <c r="I24" i="528" s="1"/>
  <c r="I25" i="528" s="1"/>
  <c r="FS24" i="227"/>
  <c r="FQ24" i="227"/>
  <c r="D29" i="99"/>
  <c r="S30" i="99"/>
  <c r="S29" i="99" s="1"/>
  <c r="FV19" i="227"/>
  <c r="FT19" i="227"/>
  <c r="GE31" i="227"/>
  <c r="GC31" i="227"/>
  <c r="FT28" i="227"/>
  <c r="FV28" i="227"/>
  <c r="FQ47" i="227"/>
  <c r="FS47" i="227"/>
  <c r="FQ18" i="227"/>
  <c r="FS18" i="227"/>
  <c r="GB48" i="227"/>
  <c r="FZ48" i="227"/>
  <c r="FY28" i="227"/>
  <c r="FW28" i="227"/>
  <c r="FV48" i="227"/>
  <c r="FT48" i="227"/>
  <c r="FV45" i="227"/>
  <c r="FT45" i="227"/>
  <c r="FZ24" i="227"/>
  <c r="GB24" i="227"/>
  <c r="FT18" i="227"/>
  <c r="FV18" i="227"/>
  <c r="J19" i="528"/>
  <c r="F168" i="857"/>
  <c r="J35" i="528"/>
  <c r="M17" i="528"/>
  <c r="Q17" i="528" s="1"/>
  <c r="R17" i="528" s="1"/>
  <c r="S17" i="528" s="1"/>
  <c r="FY16" i="227"/>
  <c r="FW16" i="227"/>
  <c r="FW48" i="227"/>
  <c r="FY48" i="227"/>
  <c r="GB31" i="227"/>
  <c r="FZ31" i="227"/>
  <c r="FT16" i="227"/>
  <c r="FV16" i="227"/>
  <c r="FW19" i="227"/>
  <c r="FY19" i="227"/>
  <c r="FY18" i="227"/>
  <c r="FW18" i="227"/>
  <c r="FQ19" i="227"/>
  <c r="FS19" i="227"/>
  <c r="GE48" i="227"/>
  <c r="GC48" i="227"/>
  <c r="GE28" i="227"/>
  <c r="GC28" i="227"/>
  <c r="FW42" i="227"/>
  <c r="FY42" i="227"/>
  <c r="GB18" i="227"/>
  <c r="FZ18" i="227"/>
  <c r="FZ28" i="227"/>
  <c r="GB28" i="227"/>
  <c r="GC18" i="227"/>
  <c r="GE18" i="227"/>
  <c r="GC23" i="227"/>
  <c r="GE23" i="227"/>
  <c r="FY24" i="227"/>
  <c r="FW24" i="227"/>
  <c r="FT24" i="227"/>
  <c r="FV24" i="227"/>
  <c r="FZ16" i="227"/>
  <c r="GB16" i="227"/>
  <c r="FV23" i="227"/>
  <c r="FT23" i="227"/>
  <c r="GC43" i="227"/>
  <c r="GE43" i="227"/>
  <c r="GF43" i="227" s="1"/>
  <c r="FS31" i="227"/>
  <c r="FQ31" i="227"/>
  <c r="GB45" i="227"/>
  <c r="FZ45" i="227"/>
  <c r="GC19" i="227"/>
  <c r="GE19" i="227"/>
  <c r="GC24" i="227"/>
  <c r="GE24" i="227"/>
  <c r="FT42" i="227"/>
  <c r="FV42" i="227"/>
  <c r="FZ42" i="227"/>
  <c r="GB42" i="227"/>
  <c r="FS42" i="227"/>
  <c r="FQ42" i="227"/>
  <c r="F108" i="99"/>
  <c r="F29" i="99"/>
  <c r="F107" i="99" s="1"/>
  <c r="GC42" i="227"/>
  <c r="GE42" i="227"/>
  <c r="CN70" i="528"/>
  <c r="Q70" i="528"/>
  <c r="Q18" i="528"/>
  <c r="R18" i="528" s="1"/>
  <c r="S18" i="528" s="1"/>
  <c r="M58" i="39"/>
  <c r="AH70" i="528"/>
  <c r="AO70" i="528" s="1"/>
  <c r="AM70" i="528"/>
  <c r="G67" i="41"/>
  <c r="L45" i="99"/>
  <c r="L113" i="99"/>
  <c r="L123" i="99" s="1"/>
  <c r="J39" i="528"/>
  <c r="CT67" i="528"/>
  <c r="P55" i="39"/>
  <c r="Y33" i="528"/>
  <c r="S67" i="528"/>
  <c r="O58" i="39"/>
  <c r="AJ18" i="528"/>
  <c r="C8" i="686"/>
  <c r="AG18" i="528"/>
  <c r="D8" i="686"/>
  <c r="D310" i="529" s="1"/>
  <c r="D313" i="529" s="1"/>
  <c r="AF18" i="528"/>
  <c r="CS18" i="528" s="1"/>
  <c r="AI18" i="528"/>
  <c r="AH18" i="528"/>
  <c r="C57" i="529"/>
  <c r="C58" i="529" s="1"/>
  <c r="AI33" i="528"/>
  <c r="CV15" i="528"/>
  <c r="CV33" i="528" s="1"/>
  <c r="G50" i="39"/>
  <c r="AH33" i="528"/>
  <c r="AT33" i="528" s="1"/>
  <c r="CU15" i="528"/>
  <c r="CU33" i="528" s="1"/>
  <c r="AR15" i="528"/>
  <c r="AO33" i="528"/>
  <c r="CG33" i="528" s="1"/>
  <c r="J120" i="687"/>
  <c r="J123" i="687" s="1"/>
  <c r="J45" i="687"/>
  <c r="AI16" i="528"/>
  <c r="O13" i="688"/>
  <c r="AG16" i="528"/>
  <c r="AH16" i="528"/>
  <c r="D380" i="529"/>
  <c r="D383" i="529" s="1"/>
  <c r="D410" i="529"/>
  <c r="D413" i="529" s="1"/>
  <c r="AS15" i="528"/>
  <c r="CT15" i="528"/>
  <c r="K39" i="528"/>
  <c r="L12" i="528"/>
  <c r="M12" i="528" s="1"/>
  <c r="Q22" i="688"/>
  <c r="R22" i="688" s="1"/>
  <c r="I59" i="528"/>
  <c r="K59" i="528" s="1"/>
  <c r="CS16" i="528"/>
  <c r="AM16" i="528"/>
  <c r="D51" i="41"/>
  <c r="D120" i="41" s="1"/>
  <c r="F55" i="41"/>
  <c r="C39" i="41"/>
  <c r="CF59" i="528"/>
  <c r="CF86" i="528" s="1"/>
  <c r="P56" i="39"/>
  <c r="Y34" i="528"/>
  <c r="F170" i="857"/>
  <c r="K20" i="528"/>
  <c r="BY12" i="528"/>
  <c r="J20" i="528"/>
  <c r="GF33" i="227"/>
  <c r="D59" i="528"/>
  <c r="M60" i="39" s="1"/>
  <c r="Q73" i="528"/>
  <c r="R73" i="528" s="1"/>
  <c r="Q25" i="87"/>
  <c r="R25" i="87" s="1"/>
  <c r="S25" i="87" s="1"/>
  <c r="GF36" i="227"/>
  <c r="D61" i="528"/>
  <c r="B32" i="528" s="1"/>
  <c r="F32" i="528" s="1"/>
  <c r="GF35" i="227"/>
  <c r="GF32" i="227"/>
  <c r="Q24" i="87"/>
  <c r="R24" i="87" s="1"/>
  <c r="S24" i="87" s="1"/>
  <c r="CO32" i="528"/>
  <c r="CO30" i="528" s="1"/>
  <c r="CO39" i="528" s="1"/>
  <c r="CO14" i="528"/>
  <c r="CO12" i="528" s="1"/>
  <c r="E12" i="528"/>
  <c r="D12" i="528"/>
  <c r="D30" i="528"/>
  <c r="D39" i="528" s="1"/>
  <c r="K42" i="528" s="1"/>
  <c r="K43" i="528" s="1"/>
  <c r="K44" i="528" s="1"/>
  <c r="F110" i="687"/>
  <c r="F35" i="687"/>
  <c r="F113" i="687" s="1"/>
  <c r="C32" i="528"/>
  <c r="C12" i="528"/>
  <c r="Q23" i="87"/>
  <c r="R23" i="87" s="1"/>
  <c r="S23" i="87" s="1"/>
  <c r="CT71" i="528"/>
  <c r="R71" i="528"/>
  <c r="K55" i="528"/>
  <c r="CS55" i="528"/>
  <c r="CL55" i="528"/>
  <c r="CE55" i="528"/>
  <c r="F186" i="857"/>
  <c r="M57" i="39"/>
  <c r="GF13" i="227"/>
  <c r="AS13" i="528"/>
  <c r="CT13" i="528"/>
  <c r="D390" i="529"/>
  <c r="D393" i="529" s="1"/>
  <c r="AR31" i="528"/>
  <c r="AS31" i="528" s="1"/>
  <c r="D9" i="686"/>
  <c r="D360" i="529"/>
  <c r="D363" i="529" s="1"/>
  <c r="W15" i="87"/>
  <c r="W16" i="87"/>
  <c r="W17" i="87" s="1"/>
  <c r="W18" i="87" s="1"/>
  <c r="CF55" i="528"/>
  <c r="AG55" i="528"/>
  <c r="CM55" i="528"/>
  <c r="CM59" i="528" s="1"/>
  <c r="F193" i="857"/>
  <c r="CT55" i="528"/>
  <c r="CT59" i="528" s="1"/>
  <c r="Q13" i="528"/>
  <c r="R13" i="528" s="1"/>
  <c r="S13" i="528" s="1"/>
  <c r="M51" i="39"/>
  <c r="R68" i="528"/>
  <c r="CT68" i="528"/>
  <c r="GF17" i="227"/>
  <c r="AT31" i="528"/>
  <c r="D420" i="529"/>
  <c r="D423" i="529" s="1"/>
  <c r="AR13" i="528"/>
  <c r="AO31" i="528"/>
  <c r="CU13" i="528"/>
  <c r="CU31" i="528" s="1"/>
  <c r="F14" i="528"/>
  <c r="D32" i="99"/>
  <c r="I27" i="87"/>
  <c r="M22" i="87"/>
  <c r="Y16" i="87"/>
  <c r="Y17" i="87" s="1"/>
  <c r="Y18" i="87" s="1"/>
  <c r="Y15" i="87"/>
  <c r="E19" i="112"/>
  <c r="C37" i="685" s="1"/>
  <c r="E37" i="685"/>
  <c r="E36" i="685" s="1"/>
  <c r="G6" i="112"/>
  <c r="AJ13" i="528"/>
  <c r="Y31" i="528" s="1"/>
  <c r="CS13" i="528"/>
  <c r="X16" i="87"/>
  <c r="X17" i="87" s="1"/>
  <c r="X18" i="87" s="1"/>
  <c r="Q15" i="87"/>
  <c r="D42" i="687"/>
  <c r="M14" i="528"/>
  <c r="D32" i="687"/>
  <c r="F44" i="687"/>
  <c r="F41" i="687"/>
  <c r="C37" i="528"/>
  <c r="F19" i="528"/>
  <c r="F41" i="99"/>
  <c r="F44" i="99"/>
  <c r="CT66" i="528"/>
  <c r="R66" i="528"/>
  <c r="CT69" i="528"/>
  <c r="R69" i="528"/>
  <c r="S75" i="528"/>
  <c r="CU75" i="528"/>
  <c r="O51" i="39"/>
  <c r="O8" i="688"/>
  <c r="Q26" i="87"/>
  <c r="R26" i="87" s="1"/>
  <c r="S26" i="87" s="1"/>
  <c r="R56" i="39"/>
  <c r="Q56" i="39"/>
  <c r="S56" i="39"/>
  <c r="CT72" i="528"/>
  <c r="R72" i="528"/>
  <c r="CV13" i="528"/>
  <c r="C51" i="41"/>
  <c r="G51" i="41"/>
  <c r="AH2" i="106"/>
  <c r="D104" i="734" s="1"/>
  <c r="AG2" i="106"/>
  <c r="J2" i="107"/>
  <c r="K2" i="107" s="1"/>
  <c r="C29" i="794"/>
  <c r="E38" i="529"/>
  <c r="E39" i="529"/>
  <c r="E17" i="529"/>
  <c r="E19" i="529"/>
  <c r="E12" i="529"/>
  <c r="E40" i="529"/>
  <c r="E43" i="529"/>
  <c r="E14" i="529"/>
  <c r="E18" i="529"/>
  <c r="E11" i="529"/>
  <c r="E13" i="529"/>
  <c r="E16" i="529"/>
  <c r="E37" i="529"/>
  <c r="E10" i="529"/>
  <c r="E44" i="529"/>
  <c r="E42" i="529"/>
  <c r="E41" i="529"/>
  <c r="E15" i="529"/>
  <c r="E35" i="529"/>
  <c r="E36" i="529"/>
  <c r="F22" i="87"/>
  <c r="B27" i="87"/>
  <c r="H18" i="39"/>
  <c r="J18" i="39" s="1"/>
  <c r="R16" i="528"/>
  <c r="S16" i="528" s="1"/>
  <c r="Z16" i="87"/>
  <c r="Z17" i="87" s="1"/>
  <c r="Z18" i="87" s="1"/>
  <c r="Z15" i="87"/>
  <c r="AO66" i="528"/>
  <c r="GF30" i="227"/>
  <c r="GF39" i="227"/>
  <c r="B35" i="41"/>
  <c r="BC84" i="354"/>
  <c r="BD83" i="354"/>
  <c r="K3" i="107"/>
  <c r="F32" i="99"/>
  <c r="GF38" i="227" l="1"/>
  <c r="GF34" i="227"/>
  <c r="GF45" i="227"/>
  <c r="GF18" i="227"/>
  <c r="GF24" i="227"/>
  <c r="GF23" i="227"/>
  <c r="GF42" i="227"/>
  <c r="GF28" i="227"/>
  <c r="GF16" i="227"/>
  <c r="GF48" i="227"/>
  <c r="GF19" i="227"/>
  <c r="GF37" i="227"/>
  <c r="GF44" i="227"/>
  <c r="GF47" i="227"/>
  <c r="GF31" i="227"/>
  <c r="CW15" i="528"/>
  <c r="F110" i="99"/>
  <c r="F35" i="99"/>
  <c r="F113" i="99" s="1"/>
  <c r="Y36" i="528"/>
  <c r="P58" i="39"/>
  <c r="BC15" i="528"/>
  <c r="BE15" i="528"/>
  <c r="BN15" i="528" s="1"/>
  <c r="BX15" i="528" s="1"/>
  <c r="BH15" i="528"/>
  <c r="BR15" i="528" s="1"/>
  <c r="CB15" i="528" s="1"/>
  <c r="BL18" i="528"/>
  <c r="BP18" i="528"/>
  <c r="BZ18" i="528" s="1"/>
  <c r="F40" i="39" s="1"/>
  <c r="H24" i="107" s="1"/>
  <c r="I24" i="107" s="1"/>
  <c r="K24" i="107" s="1"/>
  <c r="AO36" i="528"/>
  <c r="CG36" i="528" s="1"/>
  <c r="CU18" i="528"/>
  <c r="AR18" i="528"/>
  <c r="D430" i="529"/>
  <c r="D433" i="529" s="1"/>
  <c r="O12" i="688"/>
  <c r="D31" i="41"/>
  <c r="O57" i="39"/>
  <c r="BB15" i="528"/>
  <c r="BG15" i="528"/>
  <c r="BQ15" i="528" s="1"/>
  <c r="BF15" i="528"/>
  <c r="BO15" i="528" s="1"/>
  <c r="AT15" i="528"/>
  <c r="H28" i="39" s="1"/>
  <c r="BD15" i="528"/>
  <c r="BM15" i="528" s="1"/>
  <c r="CV18" i="528"/>
  <c r="CV36" i="528" s="1"/>
  <c r="AI36" i="528"/>
  <c r="AH34" i="528"/>
  <c r="AT34" i="528" s="1"/>
  <c r="BW16" i="528" s="1"/>
  <c r="AO34" i="528"/>
  <c r="CG34" i="528" s="1"/>
  <c r="AT16" i="528"/>
  <c r="CU16" i="528"/>
  <c r="CU34" i="528" s="1"/>
  <c r="AO16" i="528"/>
  <c r="R58" i="39"/>
  <c r="Q58" i="39"/>
  <c r="S58" i="39"/>
  <c r="AN16" i="528"/>
  <c r="CT16" i="528"/>
  <c r="J37" i="528"/>
  <c r="M19" i="528"/>
  <c r="C192" i="529" s="1"/>
  <c r="CT18" i="528"/>
  <c r="AS18" i="528"/>
  <c r="AR36" i="528"/>
  <c r="CT70" i="528"/>
  <c r="R70" i="528"/>
  <c r="CV16" i="528"/>
  <c r="CV34" i="528" s="1"/>
  <c r="AP34" i="528"/>
  <c r="CH34" i="528" s="1"/>
  <c r="AP16" i="528"/>
  <c r="CT73" i="528"/>
  <c r="M20" i="528"/>
  <c r="P14" i="528" s="1"/>
  <c r="O50" i="39"/>
  <c r="CN55" i="528"/>
  <c r="CL59" i="528"/>
  <c r="F122" i="687"/>
  <c r="S44" i="687"/>
  <c r="CU55" i="528"/>
  <c r="CS59" i="528"/>
  <c r="CU59" i="528" s="1"/>
  <c r="E20" i="529"/>
  <c r="J19" i="41"/>
  <c r="G55" i="41"/>
  <c r="CE59" i="528"/>
  <c r="B39" i="41"/>
  <c r="K61" i="528"/>
  <c r="AN55" i="528"/>
  <c r="AG59" i="528"/>
  <c r="K8" i="37"/>
  <c r="CG59" i="528"/>
  <c r="O60" i="39"/>
  <c r="H8" i="39" s="1"/>
  <c r="F242" i="857" s="1"/>
  <c r="CV42" i="528"/>
  <c r="CV43" i="528" s="1"/>
  <c r="CV44" i="528" s="1"/>
  <c r="CE16" i="528"/>
  <c r="F142" i="857"/>
  <c r="F175" i="857"/>
  <c r="L20" i="528"/>
  <c r="Q60" i="39"/>
  <c r="S60" i="39" s="1"/>
  <c r="R60" i="39"/>
  <c r="M14" i="39"/>
  <c r="S14" i="39" s="1"/>
  <c r="Q32" i="528"/>
  <c r="R32" i="528" s="1"/>
  <c r="S32" i="528" s="1"/>
  <c r="B29" i="528"/>
  <c r="B37" i="528"/>
  <c r="F37" i="528" s="1"/>
  <c r="F214" i="857"/>
  <c r="B33" i="528"/>
  <c r="F33" i="528" s="1"/>
  <c r="B36" i="528"/>
  <c r="F36" i="528" s="1"/>
  <c r="B34" i="528"/>
  <c r="F34" i="528" s="1"/>
  <c r="B30" i="528"/>
  <c r="F30" i="528" s="1"/>
  <c r="B35" i="528"/>
  <c r="F35" i="528" s="1"/>
  <c r="D84" i="99"/>
  <c r="D20" i="99" s="1"/>
  <c r="B31" i="528"/>
  <c r="F31" i="528" s="1"/>
  <c r="Q61" i="528"/>
  <c r="R61" i="528" s="1"/>
  <c r="A46" i="87"/>
  <c r="A35" i="87"/>
  <c r="S44" i="99"/>
  <c r="F122" i="99"/>
  <c r="CG31" i="528"/>
  <c r="CG55" i="528"/>
  <c r="Q55" i="528"/>
  <c r="R55" i="528" s="1"/>
  <c r="S55" i="528" s="1"/>
  <c r="B146" i="794"/>
  <c r="B159" i="794" s="1"/>
  <c r="G19" i="112"/>
  <c r="D42" i="685"/>
  <c r="E42" i="685" s="1"/>
  <c r="E44" i="685" s="1"/>
  <c r="S69" i="528"/>
  <c r="CV69" i="528" s="1"/>
  <c r="CU69" i="528"/>
  <c r="S41" i="99"/>
  <c r="F119" i="99"/>
  <c r="F42" i="99"/>
  <c r="AJ14" i="528"/>
  <c r="P54" i="39" s="1"/>
  <c r="G16" i="39"/>
  <c r="AI14" i="528"/>
  <c r="AI12" i="528" s="1"/>
  <c r="AH14" i="528"/>
  <c r="AH12" i="528" s="1"/>
  <c r="C109" i="529"/>
  <c r="AF14" i="528"/>
  <c r="AF12" i="528" s="1"/>
  <c r="O9" i="688"/>
  <c r="AG14" i="528"/>
  <c r="AG12" i="528" s="1"/>
  <c r="O54" i="39"/>
  <c r="CW13" i="528"/>
  <c r="D35" i="99"/>
  <c r="S32" i="99"/>
  <c r="BD13" i="528"/>
  <c r="BM13" i="528" s="1"/>
  <c r="BB13" i="528"/>
  <c r="AT13" i="528"/>
  <c r="H24" i="39" s="1"/>
  <c r="BG13" i="528"/>
  <c r="BQ13" i="528" s="1"/>
  <c r="BF13" i="528"/>
  <c r="BO13" i="528" s="1"/>
  <c r="E39" i="39" s="1"/>
  <c r="C9" i="686"/>
  <c r="D300" i="529"/>
  <c r="D303" i="529" s="1"/>
  <c r="S71" i="528"/>
  <c r="CU71" i="528"/>
  <c r="CU72" i="528"/>
  <c r="S72" i="528"/>
  <c r="M59" i="39"/>
  <c r="Q19" i="528"/>
  <c r="Q14" i="528"/>
  <c r="M54" i="39"/>
  <c r="S57" i="39"/>
  <c r="R57" i="39"/>
  <c r="Q57" i="39"/>
  <c r="S32" i="687"/>
  <c r="D35" i="687"/>
  <c r="I30" i="87"/>
  <c r="I31" i="87" s="1"/>
  <c r="I32" i="87" s="1"/>
  <c r="O28" i="111"/>
  <c r="F27" i="87"/>
  <c r="O22" i="87" s="1"/>
  <c r="Q22" i="87"/>
  <c r="R22" i="87" s="1"/>
  <c r="S22" i="87" s="1"/>
  <c r="S66" i="528"/>
  <c r="CV66" i="528" s="1"/>
  <c r="CU66" i="528"/>
  <c r="CU68" i="528"/>
  <c r="S68" i="528"/>
  <c r="F205" i="857"/>
  <c r="D20" i="528"/>
  <c r="CU73" i="528"/>
  <c r="S73" i="528"/>
  <c r="S41" i="687"/>
  <c r="F42" i="687"/>
  <c r="F119" i="687"/>
  <c r="P51" i="39"/>
  <c r="AJ12" i="528"/>
  <c r="M27" i="87"/>
  <c r="P22" i="87" s="1"/>
  <c r="S51" i="39"/>
  <c r="R51" i="39"/>
  <c r="Q51" i="39"/>
  <c r="E20" i="528"/>
  <c r="F210" i="857"/>
  <c r="C120" i="41"/>
  <c r="G51" i="39"/>
  <c r="G19" i="39"/>
  <c r="I19" i="39" s="1"/>
  <c r="J10" i="107" s="1"/>
  <c r="BH13" i="528"/>
  <c r="BR13" i="528" s="1"/>
  <c r="CB13" i="528" s="1"/>
  <c r="BC13" i="528"/>
  <c r="BE13" i="528"/>
  <c r="BN13" i="528" s="1"/>
  <c r="BX13" i="528" s="1"/>
  <c r="C30" i="528"/>
  <c r="C39" i="528" s="1"/>
  <c r="J42" i="528" s="1"/>
  <c r="J43" i="528" s="1"/>
  <c r="J44" i="528" s="1"/>
  <c r="C20" i="528"/>
  <c r="F12" i="528"/>
  <c r="F200" i="857"/>
  <c r="AQ16" i="528" l="1"/>
  <c r="O65" i="39"/>
  <c r="CW18" i="528"/>
  <c r="CW16" i="528"/>
  <c r="D34" i="41"/>
  <c r="D35" i="41" s="1"/>
  <c r="D33" i="41"/>
  <c r="D36" i="41"/>
  <c r="D40" i="41"/>
  <c r="BE18" i="528"/>
  <c r="BC18" i="528"/>
  <c r="E33" i="39"/>
  <c r="AP15" i="528"/>
  <c r="BW15" i="528"/>
  <c r="F33" i="39" s="1"/>
  <c r="H19" i="107" s="1"/>
  <c r="I19" i="107" s="1"/>
  <c r="K19" i="107" s="1"/>
  <c r="CG16" i="528"/>
  <c r="F152" i="857"/>
  <c r="H43" i="39"/>
  <c r="H33" i="39"/>
  <c r="BB18" i="528"/>
  <c r="BD18" i="528"/>
  <c r="BF18" i="528"/>
  <c r="BO18" i="528" s="1"/>
  <c r="E40" i="39" s="1"/>
  <c r="C427" i="529" s="1"/>
  <c r="AT18" i="528"/>
  <c r="H25" i="39" s="1"/>
  <c r="H40" i="39" s="1"/>
  <c r="F157" i="857"/>
  <c r="CH16" i="528"/>
  <c r="AJ19" i="528"/>
  <c r="AF19" i="528"/>
  <c r="AH19" i="528"/>
  <c r="AI19" i="528"/>
  <c r="AG19" i="528"/>
  <c r="O59" i="39"/>
  <c r="BY15" i="528"/>
  <c r="F43" i="39" s="1"/>
  <c r="H27" i="107" s="1"/>
  <c r="I27" i="107" s="1"/>
  <c r="K27" i="107" s="1"/>
  <c r="E43" i="39"/>
  <c r="C457" i="529" s="1"/>
  <c r="CA15" i="528"/>
  <c r="F37" i="39" s="1"/>
  <c r="H22" i="107" s="1"/>
  <c r="I22" i="107" s="1"/>
  <c r="E37" i="39"/>
  <c r="C407" i="529" s="1"/>
  <c r="BJ15" i="528"/>
  <c r="BK15" i="528"/>
  <c r="CU70" i="528"/>
  <c r="S70" i="528"/>
  <c r="CF16" i="528"/>
  <c r="F147" i="857"/>
  <c r="AP18" i="528"/>
  <c r="CO18" i="528"/>
  <c r="P59" i="528"/>
  <c r="Q59" i="528" s="1"/>
  <c r="R59" i="528" s="1"/>
  <c r="J22" i="528"/>
  <c r="L22" i="528"/>
  <c r="P55" i="528"/>
  <c r="P12" i="528"/>
  <c r="CV12" i="528"/>
  <c r="CT12" i="528"/>
  <c r="K22" i="528"/>
  <c r="C31" i="41"/>
  <c r="CS12" i="528"/>
  <c r="F138" i="857"/>
  <c r="AN59" i="528"/>
  <c r="CN59" i="528"/>
  <c r="AT30" i="528"/>
  <c r="BW12" i="528" s="1"/>
  <c r="F24" i="527"/>
  <c r="F179" i="857"/>
  <c r="D84" i="687"/>
  <c r="D20" i="687" s="1"/>
  <c r="D113" i="687" s="1"/>
  <c r="I29" i="528"/>
  <c r="I33" i="528"/>
  <c r="M33" i="528" s="1"/>
  <c r="I30" i="528"/>
  <c r="M30" i="528" s="1"/>
  <c r="I36" i="528"/>
  <c r="M36" i="528" s="1"/>
  <c r="I34" i="528"/>
  <c r="M34" i="528" s="1"/>
  <c r="I35" i="528"/>
  <c r="M35" i="528" s="1"/>
  <c r="W23" i="87"/>
  <c r="AA23" i="87" s="1"/>
  <c r="W24" i="87"/>
  <c r="AA24" i="87" s="1"/>
  <c r="W22" i="87"/>
  <c r="W26" i="87"/>
  <c r="AA26" i="87" s="1"/>
  <c r="AB26" i="87" s="1"/>
  <c r="W25" i="87"/>
  <c r="AA25" i="87" s="1"/>
  <c r="I31" i="528"/>
  <c r="M31" i="528" s="1"/>
  <c r="I37" i="528"/>
  <c r="M37" i="528" s="1"/>
  <c r="I32" i="528"/>
  <c r="M32" i="528" s="1"/>
  <c r="CU12" i="528"/>
  <c r="E39" i="41"/>
  <c r="E41" i="41" s="1"/>
  <c r="B40" i="41"/>
  <c r="AT12" i="528"/>
  <c r="CG86" i="528"/>
  <c r="P56" i="528"/>
  <c r="DB22" i="528"/>
  <c r="P58" i="528"/>
  <c r="P11" i="528"/>
  <c r="P49" i="528"/>
  <c r="P57" i="528"/>
  <c r="DC22" i="528"/>
  <c r="DE22" i="528"/>
  <c r="DD22" i="528"/>
  <c r="G26" i="41"/>
  <c r="A27" i="41" s="1"/>
  <c r="P52" i="528"/>
  <c r="P15" i="528"/>
  <c r="P53" i="528"/>
  <c r="CU53" i="528" s="1"/>
  <c r="K60" i="528"/>
  <c r="P60" i="528" s="1"/>
  <c r="P50" i="528"/>
  <c r="P18" i="528"/>
  <c r="K7" i="37"/>
  <c r="K9" i="37" s="1"/>
  <c r="L9" i="37" s="1"/>
  <c r="P51" i="528"/>
  <c r="P54" i="528"/>
  <c r="P17" i="528"/>
  <c r="P16" i="528"/>
  <c r="I22" i="528"/>
  <c r="P13" i="528"/>
  <c r="P19" i="528"/>
  <c r="Q14" i="39"/>
  <c r="M16" i="39"/>
  <c r="Q34" i="528"/>
  <c r="R34" i="528" s="1"/>
  <c r="S34" i="528" s="1"/>
  <c r="M18" i="39"/>
  <c r="Q36" i="528"/>
  <c r="R36" i="528" s="1"/>
  <c r="S36" i="528" s="1"/>
  <c r="M15" i="39"/>
  <c r="Q33" i="528"/>
  <c r="R33" i="528" s="1"/>
  <c r="S33" i="528" s="1"/>
  <c r="M13" i="39"/>
  <c r="Q31" i="528"/>
  <c r="R31" i="528" s="1"/>
  <c r="S31" i="528" s="1"/>
  <c r="Q37" i="528"/>
  <c r="R37" i="528" s="1"/>
  <c r="S37" i="528" s="1"/>
  <c r="M19" i="39"/>
  <c r="D112" i="99"/>
  <c r="S112" i="99" s="1"/>
  <c r="D118" i="99"/>
  <c r="D119" i="99"/>
  <c r="S119" i="99" s="1"/>
  <c r="D110" i="99"/>
  <c r="S110" i="99" s="1"/>
  <c r="D122" i="99"/>
  <c r="S122" i="99" s="1"/>
  <c r="D107" i="99"/>
  <c r="D117" i="99"/>
  <c r="D120" i="99"/>
  <c r="S120" i="99" s="1"/>
  <c r="D108" i="99"/>
  <c r="S108" i="99" s="1"/>
  <c r="S107" i="99" s="1"/>
  <c r="D115" i="99"/>
  <c r="S115" i="99" s="1"/>
  <c r="D109" i="99"/>
  <c r="S109" i="99" s="1"/>
  <c r="D116" i="99"/>
  <c r="S116" i="99" s="1"/>
  <c r="D111" i="99"/>
  <c r="S111" i="99" s="1"/>
  <c r="B39" i="528"/>
  <c r="I42" i="528" s="1"/>
  <c r="I43" i="528" s="1"/>
  <c r="I44" i="528" s="1"/>
  <c r="F29" i="528"/>
  <c r="Q35" i="528"/>
  <c r="R35" i="528" s="1"/>
  <c r="S35" i="528" s="1"/>
  <c r="M17" i="39"/>
  <c r="M12" i="39"/>
  <c r="Q30" i="528"/>
  <c r="R30" i="528" s="1"/>
  <c r="S30" i="528" s="1"/>
  <c r="Y32" i="528"/>
  <c r="M50" i="39"/>
  <c r="Q12" i="528"/>
  <c r="R12" i="528" s="1"/>
  <c r="S12" i="528" s="1"/>
  <c r="F20" i="528"/>
  <c r="C22" i="528" s="1"/>
  <c r="J23" i="528"/>
  <c r="J24" i="528" s="1"/>
  <c r="J25" i="528" s="1"/>
  <c r="I29" i="87"/>
  <c r="B29" i="87"/>
  <c r="BJ13" i="528"/>
  <c r="BK13" i="528"/>
  <c r="AS14" i="528"/>
  <c r="D400" i="529"/>
  <c r="D403" i="529" s="1"/>
  <c r="CT14" i="528"/>
  <c r="D370" i="529"/>
  <c r="D373" i="529" s="1"/>
  <c r="S54" i="39"/>
  <c r="R54" i="39"/>
  <c r="Q54" i="39"/>
  <c r="E31" i="39"/>
  <c r="AP13" i="528"/>
  <c r="BW13" i="528"/>
  <c r="F31" i="39" s="1"/>
  <c r="H17" i="107" s="1"/>
  <c r="I17" i="107" s="1"/>
  <c r="K17" i="107" s="1"/>
  <c r="F120" i="99"/>
  <c r="F123" i="99" s="1"/>
  <c r="S42" i="99"/>
  <c r="F45" i="99"/>
  <c r="H39" i="39"/>
  <c r="H31" i="39"/>
  <c r="S42" i="687"/>
  <c r="F120" i="687"/>
  <c r="F123" i="687" s="1"/>
  <c r="F45" i="687"/>
  <c r="S35" i="687"/>
  <c r="D45" i="687"/>
  <c r="R14" i="528"/>
  <c r="S14" i="528" s="1"/>
  <c r="H16" i="39"/>
  <c r="CS14" i="528"/>
  <c r="S35" i="99"/>
  <c r="D45" i="99"/>
  <c r="D113" i="99"/>
  <c r="L23" i="528"/>
  <c r="L24" i="528" s="1"/>
  <c r="L25" i="528" s="1"/>
  <c r="K29" i="87"/>
  <c r="J29" i="87"/>
  <c r="P26" i="87"/>
  <c r="P27" i="87" s="1"/>
  <c r="P25" i="87"/>
  <c r="P24" i="87"/>
  <c r="L29" i="87"/>
  <c r="P23" i="87"/>
  <c r="P50" i="39"/>
  <c r="Y30" i="528"/>
  <c r="R19" i="528"/>
  <c r="S19" i="528" s="1"/>
  <c r="H19" i="39"/>
  <c r="H10" i="107" s="1"/>
  <c r="I10" i="107" s="1"/>
  <c r="C417" i="529"/>
  <c r="CU14" i="528"/>
  <c r="CU32" i="528" s="1"/>
  <c r="CU30" i="528" s="1"/>
  <c r="CU39" i="528" s="1"/>
  <c r="AT32" i="528"/>
  <c r="AR14" i="528"/>
  <c r="AH32" i="528"/>
  <c r="AH30" i="528" s="1"/>
  <c r="AO32" i="528"/>
  <c r="K23" i="528"/>
  <c r="K24" i="528" s="1"/>
  <c r="K25" i="528" s="1"/>
  <c r="D29" i="87"/>
  <c r="Q27" i="87"/>
  <c r="Q29" i="87" s="1"/>
  <c r="O26" i="87"/>
  <c r="O23" i="87"/>
  <c r="M30" i="87"/>
  <c r="O25" i="87"/>
  <c r="E29" i="87"/>
  <c r="C29" i="87"/>
  <c r="O24" i="87"/>
  <c r="Q59" i="39"/>
  <c r="S59" i="39"/>
  <c r="R59" i="39"/>
  <c r="CA13" i="528"/>
  <c r="F35" i="39" s="1"/>
  <c r="H20" i="107" s="1"/>
  <c r="I20" i="107" s="1"/>
  <c r="K20" i="107" s="1"/>
  <c r="E35" i="39"/>
  <c r="AI32" i="528"/>
  <c r="AI30" i="528" s="1"/>
  <c r="AI39" i="528" s="1"/>
  <c r="CV14" i="528"/>
  <c r="CV32" i="528" s="1"/>
  <c r="CV30" i="528" s="1"/>
  <c r="U51" i="39"/>
  <c r="AF58" i="528" s="1"/>
  <c r="CI16" i="528" l="1"/>
  <c r="CM15" i="528"/>
  <c r="AN15" i="528"/>
  <c r="AI17" i="528"/>
  <c r="AI37" i="528"/>
  <c r="AI35" i="528" s="1"/>
  <c r="CV19" i="528"/>
  <c r="CV37" i="528" s="1"/>
  <c r="CV35" i="528" s="1"/>
  <c r="CV39" i="528" s="1"/>
  <c r="DC42" i="528" s="1"/>
  <c r="DC43" i="528" s="1"/>
  <c r="DC44" i="528" s="1"/>
  <c r="BM18" i="528"/>
  <c r="BW18" i="528" s="1"/>
  <c r="BN18" i="528"/>
  <c r="BX18" i="528" s="1"/>
  <c r="C377" i="529"/>
  <c r="AP33" i="528"/>
  <c r="CH33" i="528" s="1"/>
  <c r="E28" i="39"/>
  <c r="C337" i="529" s="1"/>
  <c r="AM15" i="528"/>
  <c r="AO15" i="528"/>
  <c r="CL15" i="528"/>
  <c r="CN15" i="528"/>
  <c r="CN33" i="528" s="1"/>
  <c r="AH17" i="528"/>
  <c r="CU19" i="528"/>
  <c r="CU37" i="528" s="1"/>
  <c r="CU35" i="528" s="1"/>
  <c r="AO37" i="528"/>
  <c r="AH37" i="528"/>
  <c r="AR19" i="528"/>
  <c r="BP19" i="528"/>
  <c r="BZ19" i="528" s="1"/>
  <c r="BJ18" i="528"/>
  <c r="BK18" i="528"/>
  <c r="AP36" i="528"/>
  <c r="CH36" i="528" s="1"/>
  <c r="CH18" i="528"/>
  <c r="P59" i="39"/>
  <c r="AJ17" i="528"/>
  <c r="Y37" i="528"/>
  <c r="E411" i="529"/>
  <c r="E412" i="529"/>
  <c r="E410" i="529"/>
  <c r="E413" i="529"/>
  <c r="AF17" i="528"/>
  <c r="CS19" i="528"/>
  <c r="E463" i="529"/>
  <c r="E461" i="529"/>
  <c r="E462" i="529"/>
  <c r="E460" i="529"/>
  <c r="AG17" i="528"/>
  <c r="CT19" i="528"/>
  <c r="AS19" i="528"/>
  <c r="E431" i="529"/>
  <c r="E433" i="529"/>
  <c r="E432" i="529"/>
  <c r="E430" i="529"/>
  <c r="CH15" i="528"/>
  <c r="F156" i="857"/>
  <c r="S45" i="687"/>
  <c r="AP42" i="528"/>
  <c r="AP43" i="528" s="1"/>
  <c r="AP44" i="528" s="1"/>
  <c r="P9" i="688"/>
  <c r="O14" i="39"/>
  <c r="P12" i="688"/>
  <c r="O17" i="39"/>
  <c r="AM58" i="528"/>
  <c r="AF55" i="528"/>
  <c r="CG32" i="528"/>
  <c r="AO30" i="528"/>
  <c r="AH39" i="528"/>
  <c r="O19" i="39"/>
  <c r="P13" i="688"/>
  <c r="O16" i="39"/>
  <c r="L8" i="37"/>
  <c r="L10" i="37" s="1"/>
  <c r="O13" i="39"/>
  <c r="P8" i="688"/>
  <c r="O18" i="39"/>
  <c r="O12" i="39"/>
  <c r="F7" i="527"/>
  <c r="P10" i="688"/>
  <c r="O15" i="39"/>
  <c r="CW12" i="528"/>
  <c r="DB42" i="528"/>
  <c r="DB43" i="528" s="1"/>
  <c r="DB44" i="528" s="1"/>
  <c r="W27" i="87"/>
  <c r="AA22" i="87"/>
  <c r="AA27" i="87" s="1"/>
  <c r="AA33" i="87" s="1"/>
  <c r="M29" i="528"/>
  <c r="I39" i="528"/>
  <c r="C36" i="41"/>
  <c r="C33" i="41"/>
  <c r="E33" i="41" s="1"/>
  <c r="F31" i="41"/>
  <c r="E31" i="41"/>
  <c r="E40" i="41" s="1"/>
  <c r="C34" i="41"/>
  <c r="C40" i="41"/>
  <c r="D112" i="687"/>
  <c r="S112" i="687" s="1"/>
  <c r="D117" i="687"/>
  <c r="D118" i="687"/>
  <c r="D116" i="687"/>
  <c r="S116" i="687" s="1"/>
  <c r="D111" i="687"/>
  <c r="S111" i="687" s="1"/>
  <c r="D122" i="687"/>
  <c r="S122" i="687" s="1"/>
  <c r="D109" i="687"/>
  <c r="S109" i="687" s="1"/>
  <c r="D115" i="687"/>
  <c r="S115" i="687" s="1"/>
  <c r="D108" i="687"/>
  <c r="S108" i="687" s="1"/>
  <c r="S107" i="687" s="1"/>
  <c r="D119" i="687"/>
  <c r="S119" i="687" s="1"/>
  <c r="D107" i="687"/>
  <c r="D110" i="687"/>
  <c r="S110" i="687" s="1"/>
  <c r="D120" i="687"/>
  <c r="S120" i="687" s="1"/>
  <c r="K10" i="37"/>
  <c r="E22" i="528"/>
  <c r="D22" i="528"/>
  <c r="S13" i="39"/>
  <c r="Q13" i="39"/>
  <c r="S45" i="99"/>
  <c r="S15" i="39"/>
  <c r="Q15" i="39"/>
  <c r="S12" i="39"/>
  <c r="R12" i="39"/>
  <c r="Q12" i="39"/>
  <c r="S17" i="39"/>
  <c r="Q17" i="39"/>
  <c r="S18" i="39"/>
  <c r="Q18" i="39"/>
  <c r="S19" i="39"/>
  <c r="Q19" i="39"/>
  <c r="Q29" i="528"/>
  <c r="R29" i="528" s="1"/>
  <c r="S29" i="528" s="1"/>
  <c r="M11" i="39"/>
  <c r="F39" i="528"/>
  <c r="S16" i="39"/>
  <c r="Q16" i="39"/>
  <c r="R16" i="39"/>
  <c r="CW14" i="528"/>
  <c r="E420" i="529"/>
  <c r="E422" i="529"/>
  <c r="E421" i="529"/>
  <c r="E423" i="529"/>
  <c r="J16" i="39"/>
  <c r="C387" i="529"/>
  <c r="CH13" i="528"/>
  <c r="C357" i="529"/>
  <c r="AP31" i="528"/>
  <c r="BE14" i="528"/>
  <c r="BN14" i="528" s="1"/>
  <c r="BX14" i="528" s="1"/>
  <c r="BC14" i="528"/>
  <c r="BH14" i="528"/>
  <c r="BR14" i="528" s="1"/>
  <c r="CB14" i="528" s="1"/>
  <c r="S113" i="99"/>
  <c r="S123" i="99" s="1"/>
  <c r="D123" i="99"/>
  <c r="AN13" i="528"/>
  <c r="CM13" i="528"/>
  <c r="O12" i="528"/>
  <c r="E51" i="528"/>
  <c r="E57" i="528"/>
  <c r="O19" i="528"/>
  <c r="Q20" i="528"/>
  <c r="Q22" i="528" s="1"/>
  <c r="D60" i="528"/>
  <c r="O17" i="528"/>
  <c r="E59" i="528"/>
  <c r="F59" i="528" s="1"/>
  <c r="G59" i="528" s="1"/>
  <c r="P20" i="528"/>
  <c r="E55" i="528"/>
  <c r="E52" i="528"/>
  <c r="E56" i="528"/>
  <c r="E50" i="528"/>
  <c r="P62" i="528"/>
  <c r="E58" i="528"/>
  <c r="E54" i="528"/>
  <c r="O11" i="528"/>
  <c r="E53" i="528"/>
  <c r="J7" i="39"/>
  <c r="F249" i="857" s="1"/>
  <c r="E49" i="528"/>
  <c r="O13" i="528"/>
  <c r="O14" i="528"/>
  <c r="B22" i="528"/>
  <c r="O16" i="528"/>
  <c r="O18" i="528"/>
  <c r="O15" i="528"/>
  <c r="H35" i="87"/>
  <c r="H46" i="87"/>
  <c r="AT14" i="528"/>
  <c r="H27" i="39" s="1"/>
  <c r="BD14" i="528"/>
  <c r="BM14" i="528" s="1"/>
  <c r="BB14" i="528"/>
  <c r="BF14" i="528"/>
  <c r="BO14" i="528" s="1"/>
  <c r="BG14" i="528"/>
  <c r="BQ14" i="528" s="1"/>
  <c r="S113" i="687"/>
  <c r="S123" i="687" s="1"/>
  <c r="D123" i="687"/>
  <c r="CL13" i="528"/>
  <c r="CN13" i="528"/>
  <c r="AM13" i="528"/>
  <c r="E24" i="39"/>
  <c r="C297" i="529" s="1"/>
  <c r="AO13" i="528"/>
  <c r="Q50" i="39"/>
  <c r="M65" i="39"/>
  <c r="R50" i="39"/>
  <c r="S50" i="39"/>
  <c r="R113" i="528"/>
  <c r="CM18" i="528" l="1"/>
  <c r="AN18" i="528"/>
  <c r="CF18" i="528" s="1"/>
  <c r="E380" i="529"/>
  <c r="E383" i="529"/>
  <c r="E381" i="529"/>
  <c r="E382" i="529"/>
  <c r="E25" i="39"/>
  <c r="C307" i="529" s="1"/>
  <c r="AO18" i="528"/>
  <c r="CG18" i="528" s="1"/>
  <c r="CL18" i="528"/>
  <c r="AM18" i="528"/>
  <c r="CN18" i="528"/>
  <c r="CP15" i="528"/>
  <c r="P57" i="39"/>
  <c r="P65" i="39" s="1"/>
  <c r="Y35" i="528"/>
  <c r="AJ20" i="528"/>
  <c r="Y38" i="528" s="1"/>
  <c r="F151" i="857"/>
  <c r="CG15" i="528"/>
  <c r="BC19" i="528"/>
  <c r="BE19" i="528"/>
  <c r="CW19" i="528"/>
  <c r="BB19" i="528"/>
  <c r="BD19" i="528"/>
  <c r="AT19" i="528"/>
  <c r="H29" i="39" s="1"/>
  <c r="H44" i="39" s="1"/>
  <c r="BF19" i="528"/>
  <c r="BO19" i="528" s="1"/>
  <c r="AQ15" i="528"/>
  <c r="CE15" i="528"/>
  <c r="F141" i="857"/>
  <c r="CS17" i="528"/>
  <c r="AF20" i="528"/>
  <c r="AF26" i="528" s="1"/>
  <c r="AT37" i="528"/>
  <c r="AH35" i="528"/>
  <c r="E341" i="529"/>
  <c r="E340" i="529"/>
  <c r="E343" i="529"/>
  <c r="E342" i="529"/>
  <c r="CT17" i="528"/>
  <c r="CT20" i="528" s="1"/>
  <c r="CT22" i="528" s="1"/>
  <c r="AG20" i="528"/>
  <c r="AO35" i="528"/>
  <c r="CG37" i="528"/>
  <c r="CG35" i="528" s="1"/>
  <c r="CV17" i="528"/>
  <c r="CV20" i="528" s="1"/>
  <c r="AH75" i="528"/>
  <c r="AI20" i="528"/>
  <c r="CF15" i="528"/>
  <c r="F146" i="857"/>
  <c r="CU17" i="528"/>
  <c r="CU20" i="528" s="1"/>
  <c r="AT17" i="528"/>
  <c r="AH20" i="528"/>
  <c r="L7" i="37"/>
  <c r="AO42" i="528"/>
  <c r="AO43" i="528" s="1"/>
  <c r="AO44" i="528" s="1"/>
  <c r="M39" i="528"/>
  <c r="AH41" i="528" s="1"/>
  <c r="P11" i="688"/>
  <c r="O11" i="39"/>
  <c r="O21" i="39" s="1"/>
  <c r="CG30" i="528"/>
  <c r="AO39" i="528"/>
  <c r="C35" i="41"/>
  <c r="E35" i="41" s="1"/>
  <c r="E34" i="41"/>
  <c r="AF59" i="528"/>
  <c r="AH55" i="528"/>
  <c r="AO55" i="528" s="1"/>
  <c r="AF68" i="528"/>
  <c r="AM55" i="528"/>
  <c r="R11" i="39"/>
  <c r="S11" i="39"/>
  <c r="M21" i="39"/>
  <c r="Q11" i="39"/>
  <c r="O31" i="528"/>
  <c r="O34" i="528"/>
  <c r="O29" i="528"/>
  <c r="B3" i="475"/>
  <c r="D34" i="87"/>
  <c r="O37" i="528"/>
  <c r="O36" i="528"/>
  <c r="D41" i="528"/>
  <c r="O30" i="528"/>
  <c r="B41" i="528"/>
  <c r="O32" i="528"/>
  <c r="O38" i="528"/>
  <c r="Q39" i="528"/>
  <c r="Q41" i="528" s="1"/>
  <c r="F4" i="39"/>
  <c r="O33" i="528"/>
  <c r="M42" i="528"/>
  <c r="C193" i="529" s="1"/>
  <c r="E41" i="528"/>
  <c r="O35" i="528"/>
  <c r="C41" i="528"/>
  <c r="E362" i="529"/>
  <c r="E360" i="529"/>
  <c r="E363" i="529"/>
  <c r="E361" i="529"/>
  <c r="CH31" i="528"/>
  <c r="CG13" i="528"/>
  <c r="E300" i="529"/>
  <c r="E301" i="529"/>
  <c r="E303" i="529"/>
  <c r="E302" i="529"/>
  <c r="CA14" i="528"/>
  <c r="F36" i="39" s="1"/>
  <c r="H21" i="107" s="1"/>
  <c r="I21" i="107" s="1"/>
  <c r="K21" i="107" s="1"/>
  <c r="E36" i="39"/>
  <c r="CE13" i="528"/>
  <c r="AQ13" i="528"/>
  <c r="E42" i="39"/>
  <c r="BY14" i="528"/>
  <c r="F42" i="39" s="1"/>
  <c r="BK14" i="528"/>
  <c r="BJ14" i="528"/>
  <c r="CP13" i="528"/>
  <c r="E32" i="39"/>
  <c r="AP14" i="528"/>
  <c r="BW14" i="528"/>
  <c r="E60" i="528"/>
  <c r="Q60" i="528"/>
  <c r="R60" i="528" s="1"/>
  <c r="S60" i="528" s="1"/>
  <c r="CF13" i="528"/>
  <c r="E391" i="529"/>
  <c r="E393" i="529"/>
  <c r="E392" i="529"/>
  <c r="E390" i="529"/>
  <c r="I7" i="39"/>
  <c r="F245" i="857" s="1"/>
  <c r="Q65" i="39"/>
  <c r="H7" i="39" s="1"/>
  <c r="F241" i="857" s="1"/>
  <c r="R65" i="39"/>
  <c r="G7" i="39" s="1"/>
  <c r="F237" i="857" s="1"/>
  <c r="H32" i="39"/>
  <c r="H42" i="39"/>
  <c r="A80" i="528"/>
  <c r="A78" i="528"/>
  <c r="R114" i="528"/>
  <c r="CG39" i="528" l="1"/>
  <c r="CN42" i="528" s="1"/>
  <c r="CN43" i="528" s="1"/>
  <c r="CN44" i="528" s="1"/>
  <c r="AO23" i="528"/>
  <c r="AO24" i="528" s="1"/>
  <c r="AO25" i="528" s="1"/>
  <c r="AH22" i="528"/>
  <c r="H5" i="107"/>
  <c r="I5" i="107" s="1"/>
  <c r="H3" i="107"/>
  <c r="I3" i="107" s="1"/>
  <c r="H9" i="107"/>
  <c r="I9" i="107" s="1"/>
  <c r="BN19" i="528"/>
  <c r="BX19" i="528" s="1"/>
  <c r="BM19" i="528"/>
  <c r="BW19" i="528" s="1"/>
  <c r="E323" i="529"/>
  <c r="E313" i="529"/>
  <c r="E320" i="529"/>
  <c r="E322" i="529"/>
  <c r="E311" i="529"/>
  <c r="E312" i="529"/>
  <c r="E310" i="529"/>
  <c r="E321" i="529"/>
  <c r="CU22" i="528"/>
  <c r="DB23" i="528"/>
  <c r="DB24" i="528" s="1"/>
  <c r="DB25" i="528" s="1"/>
  <c r="AG22" i="528"/>
  <c r="AN23" i="528"/>
  <c r="AN24" i="528" s="1"/>
  <c r="AN25" i="528" s="1"/>
  <c r="AF22" i="528"/>
  <c r="AF23" i="528"/>
  <c r="AF24" i="528" s="1"/>
  <c r="AF25" i="528" s="1"/>
  <c r="BL19" i="528"/>
  <c r="BJ19" i="528"/>
  <c r="BK19" i="528"/>
  <c r="CW17" i="528"/>
  <c r="CW20" i="528" s="1"/>
  <c r="CS20" i="528"/>
  <c r="AP23" i="528"/>
  <c r="AP24" i="528" s="1"/>
  <c r="AP25" i="528" s="1"/>
  <c r="AI22" i="528"/>
  <c r="CI15" i="528"/>
  <c r="AQ18" i="528"/>
  <c r="CE18" i="528"/>
  <c r="CI18" i="528" s="1"/>
  <c r="DC23" i="528"/>
  <c r="DC24" i="528" s="1"/>
  <c r="DC25" i="528" s="1"/>
  <c r="CV22" i="528"/>
  <c r="E44" i="39"/>
  <c r="C467" i="529" s="1"/>
  <c r="BY19" i="528"/>
  <c r="F44" i="39" s="1"/>
  <c r="H28" i="107" s="1"/>
  <c r="I28" i="107" s="1"/>
  <c r="K28" i="107" s="1"/>
  <c r="CP18" i="528"/>
  <c r="AO41" i="528"/>
  <c r="I41" i="528"/>
  <c r="P29" i="528"/>
  <c r="R115" i="528"/>
  <c r="R116" i="528" s="1"/>
  <c r="R117" i="528" s="1"/>
  <c r="H4" i="39"/>
  <c r="H5" i="39" s="1"/>
  <c r="CH14" i="528"/>
  <c r="AP12" i="528"/>
  <c r="C397" i="529"/>
  <c r="E400" i="529" s="1"/>
  <c r="G34" i="39"/>
  <c r="F131" i="857"/>
  <c r="AM59" i="528"/>
  <c r="H26" i="107"/>
  <c r="I26" i="107" s="1"/>
  <c r="K26" i="107" s="1"/>
  <c r="F45" i="39"/>
  <c r="AM68" i="528"/>
  <c r="AH68" i="528"/>
  <c r="C447" i="529"/>
  <c r="E451" i="529" s="1"/>
  <c r="AH59" i="528"/>
  <c r="DE41" i="528"/>
  <c r="DD41" i="528"/>
  <c r="P38" i="528"/>
  <c r="DC41" i="528"/>
  <c r="DB41" i="528"/>
  <c r="L41" i="528"/>
  <c r="J41" i="528"/>
  <c r="K41" i="528"/>
  <c r="CO41" i="528"/>
  <c r="K34" i="87"/>
  <c r="CV41" i="528"/>
  <c r="AI41" i="528"/>
  <c r="P36" i="528"/>
  <c r="P33" i="528"/>
  <c r="P32" i="528"/>
  <c r="P30" i="528"/>
  <c r="P35" i="528"/>
  <c r="P37" i="528"/>
  <c r="P31" i="528"/>
  <c r="P34" i="528"/>
  <c r="CU41" i="528"/>
  <c r="F233" i="857"/>
  <c r="C9" i="794"/>
  <c r="A81" i="528"/>
  <c r="A79" i="528"/>
  <c r="R21" i="39"/>
  <c r="S21" i="39"/>
  <c r="Q21" i="39"/>
  <c r="B4" i="475"/>
  <c r="C4" i="475" s="1"/>
  <c r="C3" i="475" s="1"/>
  <c r="C5" i="475" s="1"/>
  <c r="C6" i="475" s="1"/>
  <c r="E3" i="475"/>
  <c r="CI13" i="528"/>
  <c r="C367" i="529"/>
  <c r="AP32" i="528"/>
  <c r="AO14" i="528"/>
  <c r="CL14" i="528"/>
  <c r="CL12" i="528" s="1"/>
  <c r="CN14" i="528"/>
  <c r="AM14" i="528"/>
  <c r="AM12" i="528" s="1"/>
  <c r="E27" i="39"/>
  <c r="C327" i="529" s="1"/>
  <c r="AN14" i="528"/>
  <c r="AN12" i="528" s="1"/>
  <c r="CF12" i="528" s="1"/>
  <c r="CM14" i="528"/>
  <c r="AQ46" i="528"/>
  <c r="F32" i="39"/>
  <c r="H18" i="107" s="1"/>
  <c r="I18" i="107" s="1"/>
  <c r="K18" i="107" s="1"/>
  <c r="CG41" i="528" l="1"/>
  <c r="CL19" i="528"/>
  <c r="AM19" i="528"/>
  <c r="E29" i="39"/>
  <c r="C347" i="529" s="1"/>
  <c r="CN19" i="528"/>
  <c r="AO19" i="528"/>
  <c r="CO19" i="528"/>
  <c r="CO17" i="528" s="1"/>
  <c r="CO20" i="528" s="1"/>
  <c r="CO22" i="528" s="1"/>
  <c r="BV19" i="528"/>
  <c r="AP19" i="528"/>
  <c r="CM19" i="528"/>
  <c r="CM17" i="528" s="1"/>
  <c r="AN19" i="528"/>
  <c r="E471" i="529"/>
  <c r="E472" i="529"/>
  <c r="E470" i="529"/>
  <c r="E473" i="529"/>
  <c r="CS22" i="528"/>
  <c r="CU61" i="528"/>
  <c r="DD23" i="528"/>
  <c r="DD24" i="528" s="1"/>
  <c r="DD25" i="528" s="1"/>
  <c r="CU60" i="528"/>
  <c r="E401" i="529"/>
  <c r="E9" i="794"/>
  <c r="F239" i="857"/>
  <c r="M2" i="107"/>
  <c r="E452" i="529"/>
  <c r="E453" i="529"/>
  <c r="E403" i="529"/>
  <c r="CN32" i="528"/>
  <c r="CN30" i="528" s="1"/>
  <c r="CN39" i="528" s="1"/>
  <c r="CN12" i="528"/>
  <c r="E450" i="529"/>
  <c r="F145" i="857"/>
  <c r="CM12" i="528"/>
  <c r="CG14" i="528"/>
  <c r="AO12" i="528"/>
  <c r="AQ12" i="528" s="1"/>
  <c r="CH32" i="528"/>
  <c r="AP30" i="528"/>
  <c r="CH30" i="528" s="1"/>
  <c r="E402" i="529"/>
  <c r="F140" i="857"/>
  <c r="E45" i="39"/>
  <c r="AO86" i="528"/>
  <c r="AO59" i="528"/>
  <c r="F155" i="857"/>
  <c r="CH12" i="528"/>
  <c r="AO68" i="528"/>
  <c r="AH73" i="528"/>
  <c r="CE12" i="528"/>
  <c r="AH60" i="528"/>
  <c r="C7" i="475"/>
  <c r="C8" i="475" s="1"/>
  <c r="F5" i="39" s="1"/>
  <c r="C10" i="794" s="1"/>
  <c r="F240" i="857"/>
  <c r="E10" i="794"/>
  <c r="CF14" i="528"/>
  <c r="E372" i="529"/>
  <c r="E373" i="529"/>
  <c r="E371" i="529"/>
  <c r="E370" i="529"/>
  <c r="E330" i="529"/>
  <c r="E332" i="529"/>
  <c r="E331" i="529"/>
  <c r="E333" i="529"/>
  <c r="CE14" i="528"/>
  <c r="AQ14" i="528"/>
  <c r="CP14" i="528"/>
  <c r="CM20" i="528" l="1"/>
  <c r="CJ20" i="528" s="1"/>
  <c r="CV23" i="528"/>
  <c r="CV24" i="528" s="1"/>
  <c r="CV25" i="528" s="1"/>
  <c r="CO26" i="528"/>
  <c r="AN85" i="528"/>
  <c r="AO17" i="528"/>
  <c r="CG19" i="528"/>
  <c r="CN37" i="528"/>
  <c r="CN35" i="528" s="1"/>
  <c r="CN17" i="528"/>
  <c r="CN20" i="528" s="1"/>
  <c r="E351" i="529"/>
  <c r="E353" i="529"/>
  <c r="E350" i="529"/>
  <c r="E352" i="529"/>
  <c r="AN17" i="528"/>
  <c r="CF19" i="528"/>
  <c r="AM17" i="528"/>
  <c r="AQ19" i="528"/>
  <c r="CE19" i="528"/>
  <c r="CL17" i="528"/>
  <c r="CP19" i="528"/>
  <c r="CS33" i="528"/>
  <c r="CW33" i="528" s="1"/>
  <c r="CS29" i="528"/>
  <c r="CS39" i="528" s="1"/>
  <c r="CS41" i="528" s="1"/>
  <c r="CS36" i="528"/>
  <c r="CS31" i="528"/>
  <c r="CS34" i="528"/>
  <c r="CW34" i="528" s="1"/>
  <c r="CS32" i="528"/>
  <c r="CW32" i="528" s="1"/>
  <c r="CS37" i="528"/>
  <c r="CW37" i="528" s="1"/>
  <c r="AP17" i="528"/>
  <c r="CH19" i="528"/>
  <c r="AP37" i="528"/>
  <c r="AP39" i="528"/>
  <c r="AP41" i="528" s="1"/>
  <c r="CP12" i="528"/>
  <c r="CH39" i="528"/>
  <c r="AO20" i="528"/>
  <c r="AO22" i="528" s="1"/>
  <c r="CG12" i="528"/>
  <c r="F150" i="857"/>
  <c r="AO73" i="528"/>
  <c r="AH61" i="528"/>
  <c r="CN41" i="528"/>
  <c r="CU42" i="528"/>
  <c r="CU43" i="528" s="1"/>
  <c r="CU44" i="528" s="1"/>
  <c r="F234" i="857"/>
  <c r="CI14" i="528"/>
  <c r="CT23" i="528" l="1"/>
  <c r="CT24" i="528" s="1"/>
  <c r="CT25" i="528" s="1"/>
  <c r="CM22" i="528"/>
  <c r="CI19" i="528"/>
  <c r="CU23" i="528"/>
  <c r="CU24" i="528" s="1"/>
  <c r="CU25" i="528" s="1"/>
  <c r="CM26" i="528"/>
  <c r="CN22" i="528"/>
  <c r="CN26" i="528"/>
  <c r="F143" i="857"/>
  <c r="CE17" i="528"/>
  <c r="AM20" i="528"/>
  <c r="AQ17" i="528"/>
  <c r="AQ20" i="528" s="1"/>
  <c r="AO60" i="528" s="1"/>
  <c r="CW36" i="528"/>
  <c r="CS35" i="528"/>
  <c r="CW35" i="528" s="1"/>
  <c r="CP17" i="528"/>
  <c r="CP20" i="528" s="1"/>
  <c r="CN60" i="528" s="1"/>
  <c r="CL20" i="528"/>
  <c r="CS30" i="528"/>
  <c r="CW30" i="528" s="1"/>
  <c r="CW31" i="528"/>
  <c r="CH37" i="528"/>
  <c r="CH35" i="528" s="1"/>
  <c r="AP35" i="528"/>
  <c r="CF17" i="528"/>
  <c r="F148" i="857"/>
  <c r="AM85" i="528"/>
  <c r="AN20" i="528"/>
  <c r="CG17" i="528"/>
  <c r="CG20" i="528" s="1"/>
  <c r="F153" i="857"/>
  <c r="CH17" i="528"/>
  <c r="AO75" i="528"/>
  <c r="F158" i="857"/>
  <c r="AM86" i="528"/>
  <c r="AP20" i="528"/>
  <c r="AP22" i="528" s="1"/>
  <c r="AF29" i="528"/>
  <c r="AF33" i="528"/>
  <c r="AJ33" i="528" s="1"/>
  <c r="AF36" i="528"/>
  <c r="AF31" i="528"/>
  <c r="AF34" i="528"/>
  <c r="AJ34" i="528" s="1"/>
  <c r="CQ34" i="528" s="1"/>
  <c r="AF37" i="528"/>
  <c r="AJ37" i="528" s="1"/>
  <c r="CQ37" i="528" s="1"/>
  <c r="AF32" i="528"/>
  <c r="AJ32" i="528" s="1"/>
  <c r="CQ32" i="528" s="1"/>
  <c r="CF85" i="528"/>
  <c r="CO42" i="528"/>
  <c r="CO43" i="528" s="1"/>
  <c r="CO44" i="528" s="1"/>
  <c r="CH41" i="528"/>
  <c r="CI12" i="528"/>
  <c r="AM88" i="528" l="1"/>
  <c r="AO85" i="528"/>
  <c r="AP85" i="528" s="1"/>
  <c r="AL26" i="528"/>
  <c r="AM26" i="528"/>
  <c r="Q14" i="688"/>
  <c r="AM23" i="528"/>
  <c r="AM24" i="528" s="1"/>
  <c r="AM25" i="528" s="1"/>
  <c r="AM22" i="528"/>
  <c r="CE20" i="528"/>
  <c r="CL23" i="528" s="1"/>
  <c r="CL24" i="528" s="1"/>
  <c r="CL25" i="528" s="1"/>
  <c r="CI17" i="528"/>
  <c r="CI20" i="528" s="1"/>
  <c r="CG60" i="528" s="1"/>
  <c r="CE86" i="528"/>
  <c r="CH86" i="528" s="1"/>
  <c r="CG75" i="528"/>
  <c r="CH20" i="528"/>
  <c r="P60" i="39"/>
  <c r="AF84" i="528"/>
  <c r="AN86" i="528"/>
  <c r="AN22" i="528"/>
  <c r="CL22" i="528"/>
  <c r="CL26" i="528"/>
  <c r="CS23" i="528"/>
  <c r="CS24" i="528" s="1"/>
  <c r="CS25" i="528" s="1"/>
  <c r="CN61" i="528"/>
  <c r="AO61" i="528"/>
  <c r="AM87" i="528"/>
  <c r="CF20" i="528"/>
  <c r="CE85" i="528"/>
  <c r="CN23" i="528"/>
  <c r="CN24" i="528" s="1"/>
  <c r="CN25" i="528" s="1"/>
  <c r="CG22" i="528"/>
  <c r="AJ31" i="528"/>
  <c r="CQ31" i="528" s="1"/>
  <c r="AF30" i="528"/>
  <c r="AJ30" i="528" s="1"/>
  <c r="CQ30" i="528" s="1"/>
  <c r="AF35" i="528"/>
  <c r="AJ35" i="528" s="1"/>
  <c r="CQ35" i="528" s="1"/>
  <c r="AJ36" i="528"/>
  <c r="CQ36" i="528" s="1"/>
  <c r="CW29" i="528"/>
  <c r="CW39" i="528" s="1"/>
  <c r="AI45" i="528"/>
  <c r="CQ33" i="528"/>
  <c r="AJ29" i="528"/>
  <c r="AF39" i="528"/>
  <c r="CF88" i="528"/>
  <c r="CF87" i="528"/>
  <c r="CE23" i="528" l="1"/>
  <c r="CE24" i="528" s="1"/>
  <c r="CE25" i="528" s="1"/>
  <c r="CE22" i="528"/>
  <c r="CG61" i="528"/>
  <c r="CG85" i="528"/>
  <c r="AN87" i="528"/>
  <c r="AN88" i="528"/>
  <c r="AP86" i="528"/>
  <c r="AQ86" i="528" s="1"/>
  <c r="L4" i="39" s="1"/>
  <c r="BT16" i="528"/>
  <c r="BU11" i="528"/>
  <c r="BU13" i="528"/>
  <c r="AM37" i="528"/>
  <c r="G10" i="527"/>
  <c r="F10" i="527" s="1"/>
  <c r="AM29" i="528"/>
  <c r="BT13" i="528"/>
  <c r="AM32" i="528"/>
  <c r="BT14" i="528"/>
  <c r="BT11" i="528"/>
  <c r="BU17" i="528"/>
  <c r="AM36" i="528"/>
  <c r="BU16" i="528"/>
  <c r="F124" i="857"/>
  <c r="BT18" i="528"/>
  <c r="BV18" i="528" s="1"/>
  <c r="BU14" i="528"/>
  <c r="BT17" i="528"/>
  <c r="AM31" i="528"/>
  <c r="BT19" i="528"/>
  <c r="BT12" i="528"/>
  <c r="BU12" i="528"/>
  <c r="AM33" i="528"/>
  <c r="BU19" i="528"/>
  <c r="AM34" i="528"/>
  <c r="BU18" i="528"/>
  <c r="AG29" i="528"/>
  <c r="AR29" i="528" s="1"/>
  <c r="CT34" i="528"/>
  <c r="CT32" i="528"/>
  <c r="AN32" i="528"/>
  <c r="CF32" i="528" s="1"/>
  <c r="CM29" i="528"/>
  <c r="CM34" i="528"/>
  <c r="AN34" i="528"/>
  <c r="CF34" i="528" s="1"/>
  <c r="CM36" i="528"/>
  <c r="CT36" i="528"/>
  <c r="AG33" i="528"/>
  <c r="AR33" i="528" s="1"/>
  <c r="AS33" i="528" s="1"/>
  <c r="AG37" i="528"/>
  <c r="AR37" i="528" s="1"/>
  <c r="AN36" i="528"/>
  <c r="CT33" i="528"/>
  <c r="AG32" i="528"/>
  <c r="AR32" i="528" s="1"/>
  <c r="AS32" i="528" s="1"/>
  <c r="AG31" i="528"/>
  <c r="AG34" i="528"/>
  <c r="AR34" i="528" s="1"/>
  <c r="CT31" i="528"/>
  <c r="CM31" i="528"/>
  <c r="AN31" i="528"/>
  <c r="CM37" i="528"/>
  <c r="AN33" i="528"/>
  <c r="CF33" i="528" s="1"/>
  <c r="CT29" i="528"/>
  <c r="AG36" i="528"/>
  <c r="CT37" i="528"/>
  <c r="AN37" i="528"/>
  <c r="CF37" i="528" s="1"/>
  <c r="AN29" i="528"/>
  <c r="CF29" i="528" s="1"/>
  <c r="CM33" i="528"/>
  <c r="CM32" i="528"/>
  <c r="CL37" i="528"/>
  <c r="CP37" i="528" s="1"/>
  <c r="CL32" i="528"/>
  <c r="CP32" i="528" s="1"/>
  <c r="CL34" i="528"/>
  <c r="CP34" i="528" s="1"/>
  <c r="CL29" i="528"/>
  <c r="CL36" i="528"/>
  <c r="CL33" i="528"/>
  <c r="CP33" i="528" s="1"/>
  <c r="CL31" i="528"/>
  <c r="G8" i="39"/>
  <c r="F238" i="857" s="1"/>
  <c r="I8" i="39"/>
  <c r="F246" i="857" s="1"/>
  <c r="CE88" i="528"/>
  <c r="CE87" i="528"/>
  <c r="CH22" i="528"/>
  <c r="CO23" i="528"/>
  <c r="CO24" i="528" s="1"/>
  <c r="CO25" i="528" s="1"/>
  <c r="CF22" i="528"/>
  <c r="CM23" i="528"/>
  <c r="CM24" i="528" s="1"/>
  <c r="CM25" i="528" s="1"/>
  <c r="AO87" i="528"/>
  <c r="AO88" i="528"/>
  <c r="AF41" i="528"/>
  <c r="AM42" i="528"/>
  <c r="AM43" i="528" s="1"/>
  <c r="AM44" i="528" s="1"/>
  <c r="CQ29" i="528"/>
  <c r="AJ39" i="528"/>
  <c r="CW45" i="528"/>
  <c r="DD42" i="528"/>
  <c r="DD43" i="528" s="1"/>
  <c r="DD44" i="528" s="1"/>
  <c r="AG35" i="528" l="1"/>
  <c r="AR35" i="528" s="1"/>
  <c r="AG30" i="528"/>
  <c r="AR30" i="528" s="1"/>
  <c r="CT30" i="528"/>
  <c r="CM30" i="528"/>
  <c r="CT35" i="528"/>
  <c r="AK32" i="528"/>
  <c r="AQ32" i="528"/>
  <c r="P14" i="39" s="1"/>
  <c r="R14" i="39" s="1"/>
  <c r="AQ33" i="528"/>
  <c r="P15" i="39" s="1"/>
  <c r="R15" i="39" s="1"/>
  <c r="AK33" i="528"/>
  <c r="AQ29" i="528"/>
  <c r="AK29" i="528"/>
  <c r="AM39" i="528"/>
  <c r="AN35" i="528"/>
  <c r="CF36" i="528"/>
  <c r="CF35" i="528" s="1"/>
  <c r="CG87" i="528"/>
  <c r="CG88" i="528"/>
  <c r="BT15" i="528"/>
  <c r="BU15" i="528"/>
  <c r="CP31" i="528"/>
  <c r="CL30" i="528"/>
  <c r="CP30" i="528" s="1"/>
  <c r="AN30" i="528"/>
  <c r="CF31" i="528"/>
  <c r="AM35" i="528"/>
  <c r="AK36" i="528"/>
  <c r="AQ36" i="528"/>
  <c r="AQ37" i="528"/>
  <c r="P19" i="39" s="1"/>
  <c r="R19" i="39" s="1"/>
  <c r="AK37" i="528"/>
  <c r="CE32" i="528"/>
  <c r="CI32" i="528" s="1"/>
  <c r="K9" i="688" s="1"/>
  <c r="CE31" i="528"/>
  <c r="CI31" i="528" s="1"/>
  <c r="K8" i="688" s="1"/>
  <c r="CE30" i="528"/>
  <c r="CI30" i="528" s="1"/>
  <c r="CE29" i="528"/>
  <c r="CE37" i="528"/>
  <c r="CI37" i="528" s="1"/>
  <c r="CE33" i="528"/>
  <c r="CI33" i="528" s="1"/>
  <c r="K10" i="688" s="1"/>
  <c r="CE36" i="528"/>
  <c r="CE34" i="528"/>
  <c r="CI34" i="528" s="1"/>
  <c r="K13" i="688" s="1"/>
  <c r="AK34" i="528"/>
  <c r="AQ34" i="528"/>
  <c r="P16" i="39" s="1"/>
  <c r="AQ31" i="528"/>
  <c r="P13" i="39" s="1"/>
  <c r="R13" i="39" s="1"/>
  <c r="AK31" i="528"/>
  <c r="AM30" i="528"/>
  <c r="CL35" i="528"/>
  <c r="CP35" i="528" s="1"/>
  <c r="CP36" i="528"/>
  <c r="CP29" i="528"/>
  <c r="CP39" i="528" s="1"/>
  <c r="CL39" i="528"/>
  <c r="CM35" i="528"/>
  <c r="CH85" i="528"/>
  <c r="CI86" i="528" s="1"/>
  <c r="H6" i="107"/>
  <c r="I6" i="107" s="1"/>
  <c r="H8" i="107"/>
  <c r="I8" i="107" s="1"/>
  <c r="AI2" i="106" s="1"/>
  <c r="D105" i="734" s="1"/>
  <c r="H7" i="107"/>
  <c r="I7" i="107" s="1"/>
  <c r="AQ42" i="528"/>
  <c r="AJ47" i="528"/>
  <c r="AJ46" i="528"/>
  <c r="AJ45" i="528"/>
  <c r="F29" i="39"/>
  <c r="H16" i="107" s="1"/>
  <c r="I16" i="107" s="1"/>
  <c r="K16" i="107" s="1"/>
  <c r="CT39" i="528" l="1"/>
  <c r="CT41" i="528" s="1"/>
  <c r="AG39" i="528"/>
  <c r="AN42" i="528" s="1"/>
  <c r="AN43" i="528" s="1"/>
  <c r="AN44" i="528" s="1"/>
  <c r="CM39" i="528"/>
  <c r="CT42" i="528" s="1"/>
  <c r="CT43" i="528" s="1"/>
  <c r="CT44" i="528" s="1"/>
  <c r="CI29" i="528"/>
  <c r="CI39" i="528" s="1"/>
  <c r="CE39" i="528"/>
  <c r="CF30" i="528"/>
  <c r="CF39" i="528" s="1"/>
  <c r="AN39" i="528"/>
  <c r="CS42" i="528"/>
  <c r="CS43" i="528" s="1"/>
  <c r="CS44" i="528" s="1"/>
  <c r="CL41" i="528"/>
  <c r="AM41" i="528"/>
  <c r="AM45" i="528"/>
  <c r="AO45" i="528" s="1"/>
  <c r="CP45" i="528"/>
  <c r="CW42" i="528"/>
  <c r="CI36" i="528"/>
  <c r="CE35" i="528"/>
  <c r="CI35" i="528" s="1"/>
  <c r="K12" i="688" s="1"/>
  <c r="K18" i="688" s="1"/>
  <c r="K20" i="688" s="1"/>
  <c r="K19" i="688" s="1"/>
  <c r="AQ39" i="528"/>
  <c r="AQ45" i="528" s="1"/>
  <c r="P11" i="39"/>
  <c r="P21" i="39" s="1"/>
  <c r="G4" i="39" s="1"/>
  <c r="AR45" i="528"/>
  <c r="P18" i="39"/>
  <c r="R18" i="39" s="1"/>
  <c r="AK30" i="528"/>
  <c r="AQ30" i="528"/>
  <c r="AK35" i="528"/>
  <c r="AQ35" i="528"/>
  <c r="P17" i="39" s="1"/>
  <c r="R17" i="39" s="1"/>
  <c r="CM41" i="528" l="1"/>
  <c r="AG41" i="528"/>
  <c r="D9" i="794"/>
  <c r="F235" i="857"/>
  <c r="G5" i="39"/>
  <c r="I4" i="39"/>
  <c r="AP46" i="528"/>
  <c r="P12" i="39"/>
  <c r="AN45" i="528"/>
  <c r="AN41" i="528"/>
  <c r="AO26" i="528"/>
  <c r="CP46" i="528"/>
  <c r="Y46" i="528"/>
  <c r="CM42" i="528"/>
  <c r="CM43" i="528" s="1"/>
  <c r="CM44" i="528" s="1"/>
  <c r="CF41" i="528"/>
  <c r="CL42" i="528"/>
  <c r="CL43" i="528" s="1"/>
  <c r="CL44" i="528" s="1"/>
  <c r="CE41" i="528"/>
  <c r="CI45" i="528"/>
  <c r="CP42" i="528"/>
  <c r="F9" i="794" l="1"/>
  <c r="I5" i="39"/>
  <c r="F243" i="857"/>
  <c r="J4" i="39"/>
  <c r="D10" i="794"/>
  <c r="D15" i="685"/>
  <c r="F236" i="857"/>
  <c r="J5" i="39" l="1"/>
  <c r="F247" i="857"/>
  <c r="G9" i="794"/>
  <c r="F10" i="794"/>
  <c r="F244" i="857"/>
  <c r="F248" i="857" l="1"/>
  <c r="G10" i="7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Homeos</author>
  </authors>
  <commentList>
    <comment ref="G53" authorId="0" shapeId="0" xr:uid="{8BEA8484-8FEF-4CA9-9608-00FCD3361895}">
      <text>
        <r>
          <rPr>
            <b/>
            <sz val="9"/>
            <color indexed="81"/>
            <rFont val="Tahoma"/>
            <family val="2"/>
          </rPr>
          <t>Cette valeur correspond à la quantité de bois consommée sur le territoire communal sans présumer qu'elle crrespond à une production locale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Frederic</author>
  </authors>
  <commentList>
    <comment ref="F1" authorId="0" shapeId="0" xr:uid="{00000000-0006-0000-2200-000001000000}">
      <text>
        <r>
          <rPr>
            <b/>
            <sz val="9"/>
            <color indexed="81"/>
            <rFont val="Tahoma"/>
            <family val="2"/>
          </rPr>
          <t>Frederic:</t>
        </r>
        <r>
          <rPr>
            <sz val="9"/>
            <color indexed="81"/>
            <rFont val="Tahoma"/>
            <family val="2"/>
          </rPr>
          <t xml:space="preserve">
</t>
        </r>
        <r>
          <rPr>
            <b/>
            <sz val="9"/>
            <color indexed="81"/>
            <rFont val="Tahoma"/>
            <family val="2"/>
          </rPr>
          <t>Calcul des réductions d’émissions liées aux économies d’énergie</t>
        </r>
        <r>
          <rPr>
            <sz val="9"/>
            <color indexed="81"/>
            <rFont val="Tahoma"/>
            <family val="2"/>
          </rPr>
          <t xml:space="preserve">
Lorsque le vecteur ne peut être distingué parmi les différents vecteurs possibles pour l’action proposée, le facteur d’émission utilisé est le facteur d’émission moyen en 2006 du secteur concerné pour l’ensemble des vecteurs possibles. 
</t>
        </r>
        <r>
          <rPr>
            <b/>
            <sz val="9"/>
            <color indexed="81"/>
            <rFont val="Tahoma"/>
            <family val="2"/>
          </rPr>
          <t>Calcul des réductions d’émissions liées à la production d’énergie renouvelable</t>
        </r>
        <r>
          <rPr>
            <sz val="9"/>
            <color indexed="81"/>
            <rFont val="Tahoma"/>
            <family val="2"/>
          </rPr>
          <t xml:space="preserve">
Pour la biométhanisation, il est pris comme hypothèse que le biogaz est valorisé en cogénération et que 50% de l’énergie produite est électrique tandis que les 50% restants sont thermiques avec un facteur d’émissions égal au facteur d’émissions moyen 2006 des autres vecteurs gaz naturel et produits pétroliers tous secteurs confondus (excepté transports).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tc={8D196241-05E7-44F2-9565-2E8CC7EAF6C8}</author>
  </authors>
  <commentList>
    <comment ref="B8" authorId="0" shapeId="0" xr:uid="{8D196241-05E7-44F2-9565-2E8CC7EAF6C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Moyenne propane (0,2354), butane (0,2390)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<sst xmlns="http://schemas.openxmlformats.org/spreadsheetml/2006/main" count="18707" uniqueCount="3125">
  <si>
    <t>Objectifs</t>
  </si>
  <si>
    <t>-</t>
  </si>
  <si>
    <t>A faire</t>
  </si>
  <si>
    <t>Commune</t>
  </si>
  <si>
    <t>Année de référence</t>
  </si>
  <si>
    <t>Année de contrôle</t>
  </si>
  <si>
    <t>Année de lancement</t>
  </si>
  <si>
    <t>Lancement des premières action</t>
  </si>
  <si>
    <t>Année en cours</t>
  </si>
  <si>
    <t>Suivi (utile pour le rapportage)</t>
  </si>
  <si>
    <t>Helpdesk:</t>
  </si>
  <si>
    <t>Historique:</t>
  </si>
  <si>
    <t>Release: 21/02/2023</t>
  </si>
  <si>
    <t>Rapportage</t>
  </si>
  <si>
    <t>Prise en main rapide</t>
  </si>
  <si>
    <t>Légende:</t>
  </si>
  <si>
    <t>Cellules dans lesquelles des données peuvent être encodées</t>
  </si>
  <si>
    <t xml:space="preserve">Le tableau ci-dessous vous propose de prendre en main l'outil en suivant les étapes d'élaboration et de suivi du PAEDC. Pour des explications plus détaillées sur le fonctionnement de l'outil, découvrez le guide de l'utilisateur sur le site de la Coordination wallonne de la Convention des Maires. </t>
  </si>
  <si>
    <t>Cellules dans lesquelles des données doivent être encodées</t>
  </si>
  <si>
    <t>Plus d'infos</t>
  </si>
  <si>
    <t>Diagnostic</t>
  </si>
  <si>
    <t>1.</t>
  </si>
  <si>
    <t xml:space="preserve"> Sélectionnez votre commune dans le menu déroulant</t>
  </si>
  <si>
    <t>Go</t>
  </si>
  <si>
    <t xml:space="preserve">2. </t>
  </si>
  <si>
    <t xml:space="preserve"> Sélectionnez l'année de contrôle, l'année de lancement du PAEDC et l'année en cours dans les menus déroulants</t>
  </si>
  <si>
    <t xml:space="preserve">3. </t>
  </si>
  <si>
    <t xml:space="preserve"> Importez les données du bilan énergétique territorial fourni par la Région</t>
  </si>
  <si>
    <t>4.</t>
  </si>
  <si>
    <t xml:space="preserve"> Encodez les données de consommation énergétique patrimoniales (activités de l'administration communale)</t>
  </si>
  <si>
    <t xml:space="preserve">5. </t>
  </si>
  <si>
    <t xml:space="preserve"> Découvrez les présentations synthétiques de ces données</t>
  </si>
  <si>
    <t>Planification</t>
  </si>
  <si>
    <t xml:space="preserve">6. </t>
  </si>
  <si>
    <t xml:space="preserve"> Encodez les données de potentiel renouvelable local </t>
  </si>
  <si>
    <t xml:space="preserve">7. </t>
  </si>
  <si>
    <t xml:space="preserve"> Définissez la vision sur laquelle se basera le PAEDC</t>
  </si>
  <si>
    <t>8.</t>
  </si>
  <si>
    <t xml:space="preserve"> Fixez les objectifs sectoriels qui permettront d'atteindre l'objectif global de réduction d'au moins 55% des émissions</t>
  </si>
  <si>
    <t xml:space="preserve">9. </t>
  </si>
  <si>
    <t xml:space="preserve"> Pour chaque objectif définissez un scénario de mesure correspondantes </t>
  </si>
  <si>
    <t xml:space="preserve">10. </t>
  </si>
  <si>
    <t xml:space="preserve"> Imaginez les actions qui vont être menées pour atteindre ces objectifs.  Pour chaque action:</t>
  </si>
  <si>
    <t>a. Sélectionnez le secteur d'intervention et le(s) objectif(s) ciblé(s) par l'action</t>
  </si>
  <si>
    <t>b. Remplissez les différentes cellules de la fiche action</t>
  </si>
  <si>
    <t>c. Chiffrez la participation de l'action à chaque objectif qu'elle cible</t>
  </si>
  <si>
    <t>o Sélectionnez la valeur calculée par vos soins dans le menu déroulant, ou…</t>
  </si>
  <si>
    <t xml:space="preserve">o Utilisez le module de calcul de participation </t>
  </si>
  <si>
    <t>Synthèses</t>
  </si>
  <si>
    <t xml:space="preserve">11. </t>
  </si>
  <si>
    <t xml:space="preserve"> Vérifiez que les actions que vous avez imaginées ciblent bien tous les objectifs sectoriels</t>
  </si>
  <si>
    <t xml:space="preserve">12. </t>
  </si>
  <si>
    <t xml:space="preserve"> Vérifiez que le planning et le budget sont cohérents avec vos ressources</t>
  </si>
  <si>
    <t xml:space="preserve">13. </t>
  </si>
  <si>
    <t xml:space="preserve"> POLLEC: Découvrez le programme de travail demandé pour le rapportage POLLEC pré-rempli sur base des données encodées précédemment. </t>
  </si>
  <si>
    <t xml:space="preserve">14. </t>
  </si>
  <si>
    <t>Convention des Maires : Découvrez les matrices de la Convention des Maires pré-remplies sur base des données encodées précédemment et recopiez en le contenu sur le site de la Convention des Maires</t>
  </si>
  <si>
    <t>Suivi/Mise à jour</t>
  </si>
  <si>
    <t>15.</t>
  </si>
  <si>
    <t xml:space="preserve"> Lorsque vous désirez réaliser le suivi de la mise en oeuvre du PAEDC, commencez par importer les dernières données de bilan énergétique territorial fournies par la Région</t>
  </si>
  <si>
    <t xml:space="preserve">16. </t>
  </si>
  <si>
    <t>Modifiez l'année de contrôle pour prendre en compte les dernières données disponibles</t>
  </si>
  <si>
    <t>17.</t>
  </si>
  <si>
    <t xml:space="preserve"> Visualisez l'état d'avancement de chaque objectif </t>
  </si>
  <si>
    <t>18.</t>
  </si>
  <si>
    <t xml:space="preserve"> Repassez à travers chaque fiche action pour:</t>
  </si>
  <si>
    <t>o Mettre à jour son état d'avancement</t>
  </si>
  <si>
    <t>o Mettre à jour le contenu des différentes cellules (notamment le budget prévu et dépensé)</t>
  </si>
  <si>
    <t>o Réévaluer la participation potentielle de l'action aux objectifs qu'elle cible</t>
  </si>
  <si>
    <t>o Eventuellement redimensionner, revoir l'action ou imaginer une action complémentaire</t>
  </si>
  <si>
    <t xml:space="preserve">18. </t>
  </si>
  <si>
    <t xml:space="preserve"> Découvrez le programme de travail POLLEC et les matrices de la Convention des Maires mis à jour sur base des données encodées précédemment </t>
  </si>
  <si>
    <t>Cellulles dans lesquelles des données peuvent être encodées</t>
  </si>
  <si>
    <t>Navigation dans la feuille:</t>
  </si>
  <si>
    <t>Colonnes dans lesquelles des données doivent être encodées</t>
  </si>
  <si>
    <t>Chauffage des bâtiments</t>
  </si>
  <si>
    <t>kWh</t>
  </si>
  <si>
    <t>N°</t>
  </si>
  <si>
    <t>Nom du bâtiment</t>
  </si>
  <si>
    <t>Vecteur</t>
  </si>
  <si>
    <t>Unité</t>
  </si>
  <si>
    <t>Branche d'activité (choisir dans la liste déroulante)</t>
  </si>
  <si>
    <t>Superficie chauffée (m²)</t>
  </si>
  <si>
    <t>Nombre d'emploi (ETP)</t>
  </si>
  <si>
    <t>Nombre d'élèves (enseignement)</t>
  </si>
  <si>
    <t>Nombre de lits (soins de santé, internat)</t>
  </si>
  <si>
    <t>Electricité bâtiments (hors chauffage) - kWh</t>
  </si>
  <si>
    <t>Code EAN</t>
  </si>
  <si>
    <t>Electricité autres équipements - kWh</t>
  </si>
  <si>
    <t>Nom du site</t>
  </si>
  <si>
    <t>Eclairage public - kWh</t>
  </si>
  <si>
    <t>Commentaire</t>
  </si>
  <si>
    <t>Matériel roulant</t>
  </si>
  <si>
    <t>Electricité</t>
  </si>
  <si>
    <t>Essence</t>
  </si>
  <si>
    <t>Litres</t>
  </si>
  <si>
    <t>Diesel, Mazout</t>
  </si>
  <si>
    <t>LPG</t>
  </si>
  <si>
    <t>Gaz naturel</t>
  </si>
  <si>
    <t>m³</t>
  </si>
  <si>
    <t>Secteurs non-énergétiques</t>
  </si>
  <si>
    <t>tCO2eq/an</t>
  </si>
  <si>
    <t>Remplissez le tableau ci-contre si vous désirez prendre en compte dans le bilan territorial des émissions liées à des secteurs non énergétiques et ainsi pouvoir définir ensuite des objectifs de réduction des émissions pour ces secteurs</t>
  </si>
  <si>
    <t>Secteur</t>
  </si>
  <si>
    <t>Gestion des déchets</t>
  </si>
  <si>
    <t>Traitement des eaux usées</t>
  </si>
  <si>
    <t>Autres non-énergétiques</t>
  </si>
  <si>
    <t>Total</t>
  </si>
  <si>
    <t>Secteurs énergétiques</t>
  </si>
  <si>
    <t>SECTEUR1</t>
  </si>
  <si>
    <t>SECTEUR2</t>
  </si>
  <si>
    <t>SECTEUR3</t>
  </si>
  <si>
    <t>USAGE</t>
  </si>
  <si>
    <t>VECTEUR</t>
  </si>
  <si>
    <t>UNITE</t>
  </si>
  <si>
    <t>1990</t>
  </si>
  <si>
    <t>1995</t>
  </si>
  <si>
    <t>2000</t>
  </si>
  <si>
    <t>2005</t>
  </si>
  <si>
    <t>2006</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</si>
  <si>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</si>
  <si>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</si>
  <si>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</si>
  <si>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</si>
  <si>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</si>
  <si>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</si>
  <si>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</si>
  <si>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</si>
  <si>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</si>
  <si>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</si>
  <si>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</si>
  <si>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</si>
  <si>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</si>
  <si>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</si>
  <si>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</si>
  <si>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</si>
  <si>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</si>
  <si>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</si>
  <si>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</si>
  <si>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</si>
  <si>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</si>
  <si>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PATRIMOINE</t>
  </si>
  <si>
    <t>VEHICULES</t>
  </si>
  <si>
    <t>Diesel</t>
  </si>
  <si>
    <t>Prod. Petr.</t>
  </si>
  <si>
    <t>Biocarburants</t>
  </si>
  <si>
    <t>BATIMENTS</t>
  </si>
  <si>
    <t>Equipements bâtiments</t>
  </si>
  <si>
    <t>Autres équipements</t>
  </si>
  <si>
    <t>Chauffage bâtiments</t>
  </si>
  <si>
    <t>Mazout</t>
  </si>
  <si>
    <t>Propane</t>
  </si>
  <si>
    <t>Charbon</t>
  </si>
  <si>
    <t>Bois/Pellets</t>
  </si>
  <si>
    <t>Solaire thermique</t>
  </si>
  <si>
    <t>Géothermie</t>
  </si>
  <si>
    <t>Vapeur</t>
  </si>
  <si>
    <t>Autres</t>
  </si>
  <si>
    <t>Total autres</t>
  </si>
  <si>
    <t>ECLAIRAGE</t>
  </si>
  <si>
    <t>Eclairage public</t>
  </si>
  <si>
    <t>Bilan patrimonial:</t>
  </si>
  <si>
    <t xml:space="preserve">Données normalisées </t>
  </si>
  <si>
    <t>Type de bilan:</t>
  </si>
  <si>
    <t>Réel</t>
  </si>
  <si>
    <t>Valeurs utilisées par les graphiques ci-dessous</t>
  </si>
  <si>
    <t>Tous vecteurs</t>
  </si>
  <si>
    <t>Part 2006</t>
  </si>
  <si>
    <t>Evolution</t>
  </si>
  <si>
    <t>Arrondi pour affichage</t>
  </si>
  <si>
    <t>Texte à afficher</t>
  </si>
  <si>
    <t>sans augmentation enr</t>
  </si>
  <si>
    <t>Tous secteurs</t>
  </si>
  <si>
    <t>Valeurs utilisées dans les graphiques ci-dessous</t>
  </si>
  <si>
    <t>Part de la consommation totale</t>
  </si>
  <si>
    <t>tCO2eq</t>
  </si>
  <si>
    <t>Part des émissions totales</t>
  </si>
  <si>
    <t>Part des émissions patrimoniales dans le bilan territorial:</t>
  </si>
  <si>
    <t>Bilan territorial:</t>
  </si>
  <si>
    <t>Inclure industrie?</t>
  </si>
  <si>
    <t>OUI</t>
  </si>
  <si>
    <t>Part du trafic autoroutier ?</t>
  </si>
  <si>
    <t xml:space="preserve">Conversion possible </t>
  </si>
  <si>
    <t>Conversion calculée</t>
  </si>
  <si>
    <t>Emissions</t>
  </si>
  <si>
    <t>GWh</t>
  </si>
  <si>
    <t>2030 avec transferts de vecteurs</t>
  </si>
  <si>
    <t>Conversion demandée</t>
  </si>
  <si>
    <t>Elec</t>
  </si>
  <si>
    <t>Bois</t>
  </si>
  <si>
    <t>gaz</t>
  </si>
  <si>
    <t>2030 avec transferts de vecteurs sans augmentation EnR</t>
  </si>
  <si>
    <t>2030 avec transfert vers élec &amp; sans augmentation EnR &amp; sans efficacité énergétique</t>
  </si>
  <si>
    <t>2030 sans transfert &amp; sans augmentation Enr</t>
  </si>
  <si>
    <t>Somme conversions produits pétroliers</t>
  </si>
  <si>
    <t>Somme conversion gaz naturel</t>
  </si>
  <si>
    <t>Produits pétroliers</t>
  </si>
  <si>
    <t xml:space="preserve">Gaz </t>
  </si>
  <si>
    <t>Industrie non-ETS</t>
  </si>
  <si>
    <t>Tertiaire</t>
  </si>
  <si>
    <t>Administration communale</t>
  </si>
  <si>
    <t>Logement</t>
  </si>
  <si>
    <t>Agriculture</t>
  </si>
  <si>
    <t>Transport</t>
  </si>
  <si>
    <t>Part de la consommation</t>
  </si>
  <si>
    <t>Facteur gaz + pétrole</t>
  </si>
  <si>
    <t xml:space="preserve">Gain facteur conversion bois </t>
  </si>
  <si>
    <t>Facteur pétrole</t>
  </si>
  <si>
    <t>Part des émissions</t>
  </si>
  <si>
    <t>Production renouvelable</t>
  </si>
  <si>
    <t>Production électrique (GWh)</t>
  </si>
  <si>
    <t>Production thermique (GWh)</t>
  </si>
  <si>
    <t>Total (GWh)</t>
  </si>
  <si>
    <t>Eolien</t>
  </si>
  <si>
    <t>Hydroélectricité</t>
  </si>
  <si>
    <t>Photovoltaïque</t>
  </si>
  <si>
    <t>Biomasse</t>
  </si>
  <si>
    <t>Biomasse chaleur</t>
  </si>
  <si>
    <t>Cogénération biomasse</t>
  </si>
  <si>
    <t>Huile vég</t>
  </si>
  <si>
    <t>Biomasse solide</t>
  </si>
  <si>
    <t>Biogaz</t>
  </si>
  <si>
    <t>Total renouvelable</t>
  </si>
  <si>
    <t>Energie non-renouvelable</t>
  </si>
  <si>
    <t>Facteur d'émission local pour l'électricité (tCO2/MWh)</t>
  </si>
  <si>
    <t>Facteur d'émission national pour l'électricité (tCO2/MWh)</t>
  </si>
  <si>
    <t>Valeurs utilisées pour calculer le facteur d'émissions de l'électricité selon la méthode de la Convention des Maires</t>
  </si>
  <si>
    <t>Prod élect</t>
  </si>
  <si>
    <t>Prod chaleur</t>
  </si>
  <si>
    <t>Total SER</t>
  </si>
  <si>
    <t>Evolution des émissions</t>
  </si>
  <si>
    <t>Total NonSER</t>
  </si>
  <si>
    <t>Gaz liquide</t>
  </si>
  <si>
    <t>Total conso cogen</t>
  </si>
  <si>
    <t>Texte utilisé dans les graphiques ci-dessous</t>
  </si>
  <si>
    <t>Transport hors élec</t>
  </si>
  <si>
    <t>Chaleur</t>
  </si>
  <si>
    <t>Conso</t>
  </si>
  <si>
    <t>Prod</t>
  </si>
  <si>
    <t>Conso graph</t>
  </si>
  <si>
    <t>Emissions par habitant</t>
  </si>
  <si>
    <t>Wallonie</t>
  </si>
  <si>
    <t xml:space="preserve">Reel </t>
  </si>
  <si>
    <t>Normalise</t>
  </si>
  <si>
    <t xml:space="preserve">Secteur </t>
  </si>
  <si>
    <t>Prévisions d'évolution de la population</t>
  </si>
  <si>
    <t>Ménages</t>
  </si>
  <si>
    <t>Habitants</t>
  </si>
  <si>
    <t>Filière</t>
  </si>
  <si>
    <t xml:space="preserve">Productible électrique </t>
  </si>
  <si>
    <t>Productible thermique</t>
  </si>
  <si>
    <t>Technologie</t>
  </si>
  <si>
    <t>Temps de fonctionnement à puissance nominale (heures/an)</t>
  </si>
  <si>
    <t>Puissance électrique (kW)</t>
  </si>
  <si>
    <t>Puissance thermique (kW)</t>
  </si>
  <si>
    <t>Production électrique (GWh/an)</t>
  </si>
  <si>
    <t>Production thermique (GWh/an)</t>
  </si>
  <si>
    <t>Total (GWh/an)</t>
  </si>
  <si>
    <t>Pourcentage du poteniel total</t>
  </si>
  <si>
    <t xml:space="preserve">Biométhanisation </t>
  </si>
  <si>
    <t>PAC Géothermie</t>
  </si>
  <si>
    <t xml:space="preserve">Photovoltaïque </t>
  </si>
  <si>
    <t>Valeurs utilisées dans le graphique ci-contre</t>
  </si>
  <si>
    <t>Electricité 
(hors transport)</t>
  </si>
  <si>
    <t xml:space="preserve">Consommation </t>
  </si>
  <si>
    <t>Potentiel (GWh)</t>
  </si>
  <si>
    <t>Consommation énergie non renouvelable</t>
  </si>
  <si>
    <t xml:space="preserve">Consommation énergie renouvelable </t>
  </si>
  <si>
    <t>Energie renouvelable en surplus</t>
  </si>
  <si>
    <t xml:space="preserve">Ce graphique montre la part de la consommation énergétique de l’année de contrôle qui pourrait être couverte par une production renouvelable si l’entièreté du potentiel renouvelable était valorisée. Il tient donc compte de la production renouvelable existante lors de l'année de contrôle à laquelle est ajoutée la production potentielle définie sur la présente page. </t>
  </si>
  <si>
    <t>Vision 2050</t>
  </si>
  <si>
    <t>Valeurs utilisées dns le graphique ci-contre</t>
  </si>
  <si>
    <t>Potentiel renouvelable</t>
  </si>
  <si>
    <t>Part de la consommation finale d'énergie couverte par du renouvelable en 2050</t>
  </si>
  <si>
    <t>Consommation d'énergie non renouvelable</t>
  </si>
  <si>
    <t>Part du potentiel renouvelable valorisée en 2050</t>
  </si>
  <si>
    <t>Consommation d'énergie renouvelable</t>
  </si>
  <si>
    <t>Consommation totale d'énergie</t>
  </si>
  <si>
    <t>Part renouvelable</t>
  </si>
  <si>
    <t>Type d'objectif CdM</t>
  </si>
  <si>
    <t>Absolu</t>
  </si>
  <si>
    <t>Tableau de bord</t>
  </si>
  <si>
    <t>Objectif 2030 CdM</t>
  </si>
  <si>
    <t>Objectif 2030 PAEDC</t>
  </si>
  <si>
    <t>Planifié à travers les fiches actions</t>
  </si>
  <si>
    <t>c</t>
  </si>
  <si>
    <t>Evolution des émissions par rapport à 2006 (tCO2eq)</t>
  </si>
  <si>
    <t>Evolution des consommations par rapport à 2006</t>
  </si>
  <si>
    <t>Evolution de la production renouvelable par rapport à 2006</t>
  </si>
  <si>
    <t>Définition des objectifs sectoriels</t>
  </si>
  <si>
    <t>Réduction des consommations</t>
  </si>
  <si>
    <t>Economie d'énergie (GWh/an)</t>
  </si>
  <si>
    <t>Réduction des émissions (tCO2/an)</t>
  </si>
  <si>
    <t>2006-2030</t>
  </si>
  <si>
    <t>Bâtiments et équipements communaux</t>
  </si>
  <si>
    <t>Détails</t>
  </si>
  <si>
    <t>Scénario</t>
  </si>
  <si>
    <t>Véhicules communaux</t>
  </si>
  <si>
    <t xml:space="preserve">Autres </t>
  </si>
  <si>
    <t>Tertiaire hors AC</t>
  </si>
  <si>
    <t>Transport hors AC</t>
  </si>
  <si>
    <r>
      <t xml:space="preserve">Transferts de vecteurs - </t>
    </r>
    <r>
      <rPr>
        <sz val="14"/>
        <color rgb="FF333333"/>
        <rFont val="Calibri"/>
        <family val="2"/>
      </rPr>
      <t>v</t>
    </r>
  </si>
  <si>
    <t xml:space="preserve">Electrification </t>
  </si>
  <si>
    <t>Transfert de consommation (GWh/an)</t>
  </si>
  <si>
    <t xml:space="preserve">L'objectif actuel de production électrique renouvelable locale est inférieur à la consommation attendue en 2030. Pour que l'électrification ait un impact positif en termes d'émissions, augmenter les objectifs de production d'énergie renouvelable. </t>
  </si>
  <si>
    <t>Chauffage des bâtiments communaux</t>
  </si>
  <si>
    <t>Processus industriels</t>
  </si>
  <si>
    <t>Chauffage des bâtiments du tertiaire</t>
  </si>
  <si>
    <t>Chauffage des logements</t>
  </si>
  <si>
    <t>L'objectif de production locale de bois ne permet pas de combler les nouveaux besoins définis ci-contre</t>
  </si>
  <si>
    <t>De produits pétroliers vers gaz naturel</t>
  </si>
  <si>
    <t>Production d'énergie à partir de sources renouvelables</t>
  </si>
  <si>
    <t>Quantité</t>
  </si>
  <si>
    <t>Réduction des émissions (tCO2éq/an)</t>
  </si>
  <si>
    <t>Installation de nouvelles éoliennes pour une puissance totale de x MW</t>
  </si>
  <si>
    <t>Consommation/production</t>
  </si>
  <si>
    <t>Solaire PV</t>
  </si>
  <si>
    <t>Nouvelles installations solaires photovoltaïques pour une puissance totale de x kWc</t>
  </si>
  <si>
    <t>Nouvelles installations solaires thermiques pour une surface totale de x m²</t>
  </si>
  <si>
    <t>Biométhanisation</t>
  </si>
  <si>
    <t>Nouvelles unités de biométhanisation pour une puissance électrique totale de x kW</t>
  </si>
  <si>
    <t>Bois énergie</t>
  </si>
  <si>
    <t>Production locale de biomasse-chaleur (tonnes/an)</t>
  </si>
  <si>
    <t>Hydroénergie</t>
  </si>
  <si>
    <t>Nouvelles centrales hydroélectriques pour une puissance totale de x kW</t>
  </si>
  <si>
    <t>Objectif</t>
  </si>
  <si>
    <t xml:space="preserve">Production renouvelable </t>
  </si>
  <si>
    <t>Adaptation</t>
  </si>
  <si>
    <t>2030 (PAEDC)</t>
  </si>
  <si>
    <t>Population (nb d'habitants)</t>
  </si>
  <si>
    <t>Emissions (tCO2)</t>
  </si>
  <si>
    <t>Emissions relatives (tCO2/hab)</t>
  </si>
  <si>
    <t>Objectif (tCO2)</t>
  </si>
  <si>
    <t>Objectif absolu (% par rapport à 2006)</t>
  </si>
  <si>
    <t>Objectif relatif (% par rapport à 2006)</t>
  </si>
  <si>
    <t>Choix</t>
  </si>
  <si>
    <t>Perspectives de population et des ménages en Wallonie  -  IWEPS (calibrées sur les Perspectives du Bureau fédéral du Plan de janvier 2019)</t>
  </si>
  <si>
    <t>Année 2030</t>
  </si>
  <si>
    <t>Nom Commune</t>
  </si>
  <si>
    <t>Code INS Commune</t>
  </si>
  <si>
    <t>Code INS Arrond.</t>
  </si>
  <si>
    <t>Province</t>
  </si>
  <si>
    <t>Population totale</t>
  </si>
  <si>
    <t>BEAUVECHAIN</t>
  </si>
  <si>
    <t>BW</t>
  </si>
  <si>
    <t>BRAINE-L ALLEUD</t>
  </si>
  <si>
    <t>BRAINE-LE-CHATEAU</t>
  </si>
  <si>
    <t>CHAUMONT-GISTOUX</t>
  </si>
  <si>
    <t>COURT-SAINT-ETIENNE</t>
  </si>
  <si>
    <t>GENAPPE</t>
  </si>
  <si>
    <t>GREZ-DOICEAU</t>
  </si>
  <si>
    <t>INCOURT</t>
  </si>
  <si>
    <t>ITTRE</t>
  </si>
  <si>
    <t>JODOIGNE</t>
  </si>
  <si>
    <t>LA HULPE</t>
  </si>
  <si>
    <t>MONT-SAINT-GUIBERT</t>
  </si>
  <si>
    <t>NIVELLES</t>
  </si>
  <si>
    <t>PERWEZ</t>
  </si>
  <si>
    <t>RIXENSART</t>
  </si>
  <si>
    <t>TUBIZE</t>
  </si>
  <si>
    <t>VILLERS-LA-VILLE</t>
  </si>
  <si>
    <t>WATERLOO</t>
  </si>
  <si>
    <t>WAVRE</t>
  </si>
  <si>
    <t>CHASTRE</t>
  </si>
  <si>
    <t>HELECINE</t>
  </si>
  <si>
    <t>LASNE</t>
  </si>
  <si>
    <t>ORP-JAUCHE</t>
  </si>
  <si>
    <t>OTTIGNIES-LOUVAIN-LA-NEUVE</t>
  </si>
  <si>
    <t>RAMILLIES</t>
  </si>
  <si>
    <t>REBECQ</t>
  </si>
  <si>
    <t>WALHAIN</t>
  </si>
  <si>
    <t>ATH</t>
  </si>
  <si>
    <t>HAI</t>
  </si>
  <si>
    <t>BELOEIL</t>
  </si>
  <si>
    <t>BERNISSART</t>
  </si>
  <si>
    <t>BRUGELETTE</t>
  </si>
  <si>
    <t>CHIEVRES</t>
  </si>
  <si>
    <t>ELLEZELLES</t>
  </si>
  <si>
    <t>FLOBECQ</t>
  </si>
  <si>
    <t>FRASNES-LEZ-ANVAING</t>
  </si>
  <si>
    <t>CHAPELLE-LEZ-HERLAIMONT</t>
  </si>
  <si>
    <t>CHARLEROI</t>
  </si>
  <si>
    <t>CHATELET</t>
  </si>
  <si>
    <t>COURCELLES</t>
  </si>
  <si>
    <t>FARCIENNES</t>
  </si>
  <si>
    <t>FLEURUS</t>
  </si>
  <si>
    <t>FONTAINE-L'EVEQUE</t>
  </si>
  <si>
    <t>GERPINNES</t>
  </si>
  <si>
    <t>MANAGE</t>
  </si>
  <si>
    <t>MONTIGNY-LE-TILLEUL</t>
  </si>
  <si>
    <t>PONT-A-CELLES</t>
  </si>
  <si>
    <t>SENEFFE</t>
  </si>
  <si>
    <t>AISEAU-PRESLES</t>
  </si>
  <si>
    <t>LES BONS VILLERS</t>
  </si>
  <si>
    <t>BOUSSU</t>
  </si>
  <si>
    <t>DOUR</t>
  </si>
  <si>
    <t>FRAMERIES</t>
  </si>
  <si>
    <t>HENSIES</t>
  </si>
  <si>
    <t>JURBISE</t>
  </si>
  <si>
    <t>LENS</t>
  </si>
  <si>
    <t>MONS</t>
  </si>
  <si>
    <t>QUAREGNON</t>
  </si>
  <si>
    <t>QUIEVRAIN</t>
  </si>
  <si>
    <t>SAINT-GHISLAIN</t>
  </si>
  <si>
    <t>COLFONTAINE</t>
  </si>
  <si>
    <t>HONNELLES</t>
  </si>
  <si>
    <t>QUEVY</t>
  </si>
  <si>
    <t>MOUSCRON</t>
  </si>
  <si>
    <t>COMINES-WARNETON</t>
  </si>
  <si>
    <t>BRAINE-LE-COMTE</t>
  </si>
  <si>
    <t>ENGHIEN</t>
  </si>
  <si>
    <t>LA LOUVIERE</t>
  </si>
  <si>
    <t>LESSINES</t>
  </si>
  <si>
    <t>LE ROEULX</t>
  </si>
  <si>
    <t>SILLY</t>
  </si>
  <si>
    <t>SOIGNIES</t>
  </si>
  <si>
    <t>ECAUSSINES</t>
  </si>
  <si>
    <t>ANDERLUES</t>
  </si>
  <si>
    <t>BEAUMONT</t>
  </si>
  <si>
    <t>BINCHE</t>
  </si>
  <si>
    <t>CHIMAY</t>
  </si>
  <si>
    <t>ERQUELINNES</t>
  </si>
  <si>
    <t>FROID-CHAPELLE</t>
  </si>
  <si>
    <t>LOBBES</t>
  </si>
  <si>
    <t>MERBES-LE-CHATEAU</t>
  </si>
  <si>
    <t>MOMIGNIES</t>
  </si>
  <si>
    <t>THUIN</t>
  </si>
  <si>
    <t>ESTINNES</t>
  </si>
  <si>
    <t>HAM-SUR-HEURE-NALINNES</t>
  </si>
  <si>
    <t>MORLANWELZ</t>
  </si>
  <si>
    <t>SIVRY-RANCE</t>
  </si>
  <si>
    <t>ANTOING</t>
  </si>
  <si>
    <t>CELLES</t>
  </si>
  <si>
    <t>ESTAIMPUIS</t>
  </si>
  <si>
    <t>PECQ</t>
  </si>
  <si>
    <t>PERUWELZ</t>
  </si>
  <si>
    <t>RUMES</t>
  </si>
  <si>
    <t>TOURNAI</t>
  </si>
  <si>
    <t>BRUNEHAUT</t>
  </si>
  <si>
    <t>LEUZE-EN-HAINAUT</t>
  </si>
  <si>
    <t>MONT-DE-L ENCLUS</t>
  </si>
  <si>
    <t>AMAY</t>
  </si>
  <si>
    <t>LIE</t>
  </si>
  <si>
    <t>BURDINNE</t>
  </si>
  <si>
    <t>CLAVIER</t>
  </si>
  <si>
    <t>FERRIERES</t>
  </si>
  <si>
    <t>HAMOIR</t>
  </si>
  <si>
    <t>HERON</t>
  </si>
  <si>
    <t>HUY</t>
  </si>
  <si>
    <t>MARCHIN</t>
  </si>
  <si>
    <t>MODAVE</t>
  </si>
  <si>
    <t>NANDRIN</t>
  </si>
  <si>
    <t>OUFFET</t>
  </si>
  <si>
    <t>VERLAINE</t>
  </si>
  <si>
    <t>VILLERS-LE-BOUILLET</t>
  </si>
  <si>
    <t>WANZE</t>
  </si>
  <si>
    <t>ANTHISNES</t>
  </si>
  <si>
    <t>ENGIS</t>
  </si>
  <si>
    <t>TINLOT</t>
  </si>
  <si>
    <t>ANS</t>
  </si>
  <si>
    <t>AWANS</t>
  </si>
  <si>
    <t>AYWAILLE</t>
  </si>
  <si>
    <t>BASSENGE</t>
  </si>
  <si>
    <t>BEYNE-HEUSAY</t>
  </si>
  <si>
    <t>CHAUDFONTAINE</t>
  </si>
  <si>
    <t>COMBLAIN-AU-PONT</t>
  </si>
  <si>
    <t>DALHEM</t>
  </si>
  <si>
    <t>ESNEUX</t>
  </si>
  <si>
    <t>FLERON</t>
  </si>
  <si>
    <t>HERSTAL</t>
  </si>
  <si>
    <t>JUPRELLE</t>
  </si>
  <si>
    <t>LIEGE</t>
  </si>
  <si>
    <t>OUPEYE</t>
  </si>
  <si>
    <t>SAINT-NICOLAS</t>
  </si>
  <si>
    <t>SERAING</t>
  </si>
  <si>
    <t>SOUMAGNE</t>
  </si>
  <si>
    <t>SPRIMONT</t>
  </si>
  <si>
    <t>VISE</t>
  </si>
  <si>
    <t>GRACE-HOLLOGNE</t>
  </si>
  <si>
    <t>BLEGNY</t>
  </si>
  <si>
    <t>FLEMALLE</t>
  </si>
  <si>
    <t>NEUPRE</t>
  </si>
  <si>
    <t>TROOZ</t>
  </si>
  <si>
    <t>AMBLEVE</t>
  </si>
  <si>
    <t>AUBEL</t>
  </si>
  <si>
    <t>BAELEN</t>
  </si>
  <si>
    <t>BULLANGE</t>
  </si>
  <si>
    <t>BUTGENBACH</t>
  </si>
  <si>
    <t>DISON</t>
  </si>
  <si>
    <t>EUPEN</t>
  </si>
  <si>
    <t>HERVE</t>
  </si>
  <si>
    <t>JALHAY</t>
  </si>
  <si>
    <t>LA CALAMINE</t>
  </si>
  <si>
    <t>LIERNEUX</t>
  </si>
  <si>
    <t>LIMBOURG</t>
  </si>
  <si>
    <t>LONTZEN</t>
  </si>
  <si>
    <t>MALMEDY</t>
  </si>
  <si>
    <t>OLNE</t>
  </si>
  <si>
    <t>PEPINSTER</t>
  </si>
  <si>
    <t>RAEREN</t>
  </si>
  <si>
    <t>SAINT-VITH</t>
  </si>
  <si>
    <t>SPA</t>
  </si>
  <si>
    <t>STAVELOT</t>
  </si>
  <si>
    <t>STOUMONT</t>
  </si>
  <si>
    <t>THEUX</t>
  </si>
  <si>
    <t>VERVIERS</t>
  </si>
  <si>
    <t>WAIMES</t>
  </si>
  <si>
    <t>WELKENRAEDT</t>
  </si>
  <si>
    <t>TROIS-PONTS</t>
  </si>
  <si>
    <t>BURG-REULAND</t>
  </si>
  <si>
    <t>PLOMBIERES</t>
  </si>
  <si>
    <t>THIMISTER-CLERMONT</t>
  </si>
  <si>
    <t>BERLOZ</t>
  </si>
  <si>
    <t>BRAIVES</t>
  </si>
  <si>
    <t>CRISNEE</t>
  </si>
  <si>
    <t>DONCEEL</t>
  </si>
  <si>
    <t>FEXHE-LE-HAUT-CLOCHER</t>
  </si>
  <si>
    <t>GEER</t>
  </si>
  <si>
    <t>HANNUT</t>
  </si>
  <si>
    <t>LINCENT</t>
  </si>
  <si>
    <t>OREYE</t>
  </si>
  <si>
    <t>REMICOURT</t>
  </si>
  <si>
    <t>SAINT-GEORGES-SUR-MEUSE</t>
  </si>
  <si>
    <t>WAREMME</t>
  </si>
  <si>
    <t>WASSEIGES</t>
  </si>
  <si>
    <t>FAIMES</t>
  </si>
  <si>
    <t>ARLON</t>
  </si>
  <si>
    <t>LUX</t>
  </si>
  <si>
    <t>ATTERT</t>
  </si>
  <si>
    <t>AUBANGE</t>
  </si>
  <si>
    <t>MARTELANGE</t>
  </si>
  <si>
    <t>MESSANCY</t>
  </si>
  <si>
    <t>BASTOGNE</t>
  </si>
  <si>
    <t>BERTOGNE</t>
  </si>
  <si>
    <t>FAUVILLERS</t>
  </si>
  <si>
    <t>HOUFFALIZE</t>
  </si>
  <si>
    <t>VIELSALM</t>
  </si>
  <si>
    <t>VAUX-SUR-SURE</t>
  </si>
  <si>
    <t>GOUVY</t>
  </si>
  <si>
    <t>SAINTE-ODE</t>
  </si>
  <si>
    <t>DURBUY</t>
  </si>
  <si>
    <t>EREZEE</t>
  </si>
  <si>
    <t>HOTTON</t>
  </si>
  <si>
    <t>LA-ROCHE-EN-ARDENNE</t>
  </si>
  <si>
    <t>MARCHE-EN-FAMENNE</t>
  </si>
  <si>
    <t>NASSOGNE</t>
  </si>
  <si>
    <t>RENDEUX</t>
  </si>
  <si>
    <t>TENNEVILLE</t>
  </si>
  <si>
    <t>MANHAY</t>
  </si>
  <si>
    <t>BERTRIX</t>
  </si>
  <si>
    <t>BOUILLON</t>
  </si>
  <si>
    <t>DAVERDISSE</t>
  </si>
  <si>
    <t>HERBEUMONT</t>
  </si>
  <si>
    <t>LEGLISE</t>
  </si>
  <si>
    <t>LIBIN</t>
  </si>
  <si>
    <t>NEUFCHATEAU</t>
  </si>
  <si>
    <t>PALISEUL</t>
  </si>
  <si>
    <t>SAINT-HUBERT</t>
  </si>
  <si>
    <t>TELLIN</t>
  </si>
  <si>
    <t>WELLIN</t>
  </si>
  <si>
    <t>LIBRAMONT-CHEVIGNY</t>
  </si>
  <si>
    <t>CHINY</t>
  </si>
  <si>
    <t>ETALLE</t>
  </si>
  <si>
    <t>FLORENVILLE</t>
  </si>
  <si>
    <t>MEIX-DEVANT-VIRTON</t>
  </si>
  <si>
    <t>MUSSON</t>
  </si>
  <si>
    <t>SAINT-LEGER</t>
  </si>
  <si>
    <t>TINTIGNY</t>
  </si>
  <si>
    <t>VIRTON</t>
  </si>
  <si>
    <t>HABAY</t>
  </si>
  <si>
    <t>ROUVROY</t>
  </si>
  <si>
    <t>ANHEE</t>
  </si>
  <si>
    <t>NAM</t>
  </si>
  <si>
    <t>BEAURAING</t>
  </si>
  <si>
    <t>BIEVRE</t>
  </si>
  <si>
    <t>CINEY</t>
  </si>
  <si>
    <t>DINANT</t>
  </si>
  <si>
    <t>GEDINNE</t>
  </si>
  <si>
    <t>HAMOIS</t>
  </si>
  <si>
    <t>HAVELANGE</t>
  </si>
  <si>
    <t>HOUYET</t>
  </si>
  <si>
    <t>ONHAYE</t>
  </si>
  <si>
    <t>ROCHEFORT</t>
  </si>
  <si>
    <t>SOMME-LEUZE</t>
  </si>
  <si>
    <t>YVOIR</t>
  </si>
  <si>
    <t>HASTIERE</t>
  </si>
  <si>
    <t>VRESSE-SUR-SEMOIS</t>
  </si>
  <si>
    <t>ANDENNE</t>
  </si>
  <si>
    <t>ASSESSE</t>
  </si>
  <si>
    <t>EGHEZEE</t>
  </si>
  <si>
    <t>FLOREFFE</t>
  </si>
  <si>
    <t>FOSSES-LA-VILLE</t>
  </si>
  <si>
    <t>GESVES</t>
  </si>
  <si>
    <t>METTET</t>
  </si>
  <si>
    <t>NAMUR</t>
  </si>
  <si>
    <t>OHEY</t>
  </si>
  <si>
    <t>PROFONDEVILLE</t>
  </si>
  <si>
    <t>SOMBREFFE</t>
  </si>
  <si>
    <t>SAMBREVILLE</t>
  </si>
  <si>
    <t>FERNELMONT</t>
  </si>
  <si>
    <t>JEMEPPE-SUR-SAMBRE</t>
  </si>
  <si>
    <t>LA BRUYERE</t>
  </si>
  <si>
    <t>GEMBLOUX</t>
  </si>
  <si>
    <t>CERFONTAINE</t>
  </si>
  <si>
    <t>COUVIN</t>
  </si>
  <si>
    <t>DOISCHE</t>
  </si>
  <si>
    <t>FLORENNES</t>
  </si>
  <si>
    <t>PHILIPPEVILLE</t>
  </si>
  <si>
    <t>WALCOURT</t>
  </si>
  <si>
    <t>VIROINVAL</t>
  </si>
  <si>
    <t>Secteur_action</t>
  </si>
  <si>
    <t>Economie d'énergie</t>
  </si>
  <si>
    <t>Production</t>
  </si>
  <si>
    <t xml:space="preserve">Elec </t>
  </si>
  <si>
    <t>PV</t>
  </si>
  <si>
    <t xml:space="preserve">Hypothèses </t>
  </si>
  <si>
    <t>Réduction des émissions (tCO2 éq)</t>
  </si>
  <si>
    <t>Facteur d'émissions (téqCO2/MWh)</t>
  </si>
  <si>
    <t>Hypothèses</t>
  </si>
  <si>
    <t>Sélectionnez un indicateur prédéfini…</t>
  </si>
  <si>
    <t>Toitures isolées</t>
  </si>
  <si>
    <t>Gasoil, GPL, Butane, Gaz naturel</t>
  </si>
  <si>
    <t>Uold = 1.73W/m²K (statistiques BD audits PAE)Unew = 0.25W/M²KUFES = 51.20kWh/m²/anSmoy = 96m² (stat BD certif PEB)</t>
  </si>
  <si>
    <t>mix bilan chauffage résidentiel 3% élec + 97% combustibles répartis ainsi :61%maz + 33%GN + 2%charbon + 2% butane +2%SER</t>
  </si>
  <si>
    <t>Logements avec murs isolés</t>
  </si>
  <si>
    <t>Uold = 1.71W/m²K (statistiques BD audits PAE)Unew = 0.25W/m²KUFES = 49.27kWh/m²/anSmoy = 158m² (stat BD certif PEB)</t>
  </si>
  <si>
    <t>Remplacements de châssis de fenêtres</t>
  </si>
  <si>
    <t>Logements avec sol isolé</t>
  </si>
  <si>
    <t>Uold = 1.32W/m²K (statistiques BD audits PAE)Unew = 0.25W/m²KUFES = 35.78kWh/m²/anSmoy = 94m² (stat BD certif PEB)</t>
  </si>
  <si>
    <t>x logements rénovés vers le standard "Basse énergie"</t>
  </si>
  <si>
    <t>10% d'économie de chauffage dans x logements (gestes au quotidien)</t>
  </si>
  <si>
    <t>Conso moyenne maison estimée à 20MWh/an (enquête ECS 2012)Ce potentiel 10% d'EE par comportement peut +/- correspondre à :baisser thermosthat de 1°C (chauffage continu)ou installer un bi-horaire avec écart jour/nuit + travail de 3°C</t>
  </si>
  <si>
    <t>Remplacement de x chaudières gaz naturel par des chaudières à condensation</t>
  </si>
  <si>
    <t>BNE moyen PAE = 23246kWh/an (parc existant)A chauffée moyenne PEB = 162m²rdt chaud old  =80%rdt syst chauff old = 64%rdt chaud cond gaz new  = 102%rdt syst chauff new = 90%</t>
  </si>
  <si>
    <t>Installation de PAC dans x logements bien isolés</t>
  </si>
  <si>
    <t>x réseau de chaleur  bois énergie (50 à 100 logements)</t>
  </si>
  <si>
    <t>Gasoil, Gaz naturel</t>
  </si>
  <si>
    <t>basé sur fiche faciliateur RdC SLSP 2013 :généralement 50 à 100 logements/projet.9 projets retenus pour EE = 2140MWh =&gt; EE moyenne estimée à 250MWh</t>
  </si>
  <si>
    <t>Chaudières ou poêle biomasse pour x logements</t>
  </si>
  <si>
    <t>BNE moyen PAE = 23246kWh/an (parc moyen bâtiment); A chauffée moyenne PEB = 162m²; rdt chaud old  =80%; rdt syst chauff old = 64%; rdt chaud biomasse new  = 85% (chaudière pellets neuve); rdt syst chauff new = 72%</t>
  </si>
  <si>
    <t>10% d'économie électrique dans x logements (gestes au quotidien)</t>
  </si>
  <si>
    <t>Conso électrique ménage moyen wallon = 3500kWh/an</t>
  </si>
  <si>
    <t>x lampes led 9 W en remplacement d'ampoules 60 W (2h/jour)</t>
  </si>
  <si>
    <t>Remplacement de x lave-linge classe B par des classe A++</t>
  </si>
  <si>
    <t>selon annexe draft EED 2011 A+=&gt; A++ = 32kWh/an et A+=&gt; A+++ = 60kWh/an sur "energivore.be" : 5 cycle/sem remplis 70%30°C + 30% 60°C) B=&gt;A = 67kWh/anhyp = B=&gt;A++  20% de plus que B=&gt;A</t>
  </si>
  <si>
    <t>Remplacement de x sèche-linge classe B par des classe A++</t>
  </si>
  <si>
    <t>Remplacement de x réfrigérateurs classe B par des classe A++</t>
  </si>
  <si>
    <t>selon annexe draft EED 2011 ?(supposé B)=&gt; A+ = 76kWh/anselon annexe draft EED 2011 ?(supposé B)=&gt; A++ = 129kWh/anselon annexe draft EED 2011 ?(supposé B)=&gt; A+++ = 193KWh/ansur "energivore.be" : frigo 250l+30l congel*** B=&gt;A = 85kWh/anB=&gt;A++ = 217kWh/an (doublerait impact)</t>
  </si>
  <si>
    <t>x nouveaux covoitureurs</t>
  </si>
  <si>
    <t>Gasoil, essence, GPL</t>
  </si>
  <si>
    <t>200 jours de travail par an
Covoiture 75% du temps, 
en moyenne 30km/jour/pers (moyenne voiture)</t>
  </si>
  <si>
    <t>x nouveaux cyclistes au quotidien</t>
  </si>
  <si>
    <t>200 jours de travail par an
Supposé prendre vélo 75% du temps
en moyenne 10km/jour/pers
supposé remplacer 50% voiture et 50% bus
conso voiture/perskm (6l/100km et 1.2 personnes) = 0.5kWh/km
conso bus/perskm (45l/100km et 20 pers) = 0225kWh/pkm</t>
  </si>
  <si>
    <t>x nouveaux télétravailleurs</t>
  </si>
  <si>
    <t>200 jours de travail par an , 
1 jour de télétravail/sem (si plus, supposé compenser effet rebond chauffage domicile)
en voiture 30 km/jour/pers 
en bus  15km/jour/pers
en train 80km/jour/pers,
remplace déplacement 80% en voiture, 20% en train (distance bus &lt;&lt; pas télétravail)
Conso train pkm = 0.137 kWh/pkm
Conso voiture pkm = 0.5 kWh/pkm</t>
  </si>
  <si>
    <t>x nouveaux utilisateurs de transports en commun</t>
  </si>
  <si>
    <t>200 jours de travail par an</t>
  </si>
  <si>
    <t>x personnes adoptant une écoconduite (6% d'économie)</t>
  </si>
  <si>
    <t>Conso voiture = 6l/100km et moyenne 15.000 km/an</t>
  </si>
  <si>
    <t>x voiture remplacées par des voitures électriques</t>
  </si>
  <si>
    <t>x voitures remplacées par des voitures au GNC</t>
  </si>
  <si>
    <t>Tous</t>
  </si>
  <si>
    <t>Temps de fonctionnement à puissance nominale = 2.190 h/an (source : CWAPE- Communication CD-14j24-CWaPE sur les coefficients économiques kECO applicables pour les différentes filières de production d’électricité verte 
à partir du 1er janvier 2015)</t>
  </si>
  <si>
    <t>x installations solaires photovoltaïques de 3 kWc</t>
  </si>
  <si>
    <t>x installations solaires photovoltaïques de 5 kWc</t>
  </si>
  <si>
    <t>Temps de fonctionnement à puissance nominale = 950 h/an (source : (source : CWAPE- Communication CD-14j24-CWaPE sur les coefficients économiques kECO applicables pour les différentes filières de production d’électricité verte  à partir du 1er janvier 2015)</t>
  </si>
  <si>
    <t xml:space="preserve">Production spécifique : 390kWh/m²/an
</t>
  </si>
  <si>
    <t>mix ECS bilan résidentiel (25% élec)</t>
  </si>
  <si>
    <t>Installation géothermique + PAC pour x bâtiments tertiaires</t>
  </si>
  <si>
    <t>Hyp mesure PAC géoth tert: BNE chauffage tertiaire = 90kWh/m²/an Smoyenne considérée : 1000m² (bureaux, par ex) rdt chaud old  = 87% (chaudière neuve gaz Basse Température) rdt syst chauff old = 74% COP PAC new = 3 (fonctionnement continu) rdt syst chauff new = 279% EE gaz = 89MWh/an mais EE réel = 120-(32.223*2.5)=40.824 MWh/an (élec !!!)</t>
  </si>
  <si>
    <t>chauff tert non march : 2% élec +(43%maz + 56%GN + 1%cogenGN)combustible</t>
  </si>
  <si>
    <t>Objectif:</t>
  </si>
  <si>
    <t>de consommation d'énergie par rapport à 2006</t>
  </si>
  <si>
    <t>Secteur:</t>
  </si>
  <si>
    <t>Economie d'énergie (GWh/an):</t>
  </si>
  <si>
    <t>Solde</t>
  </si>
  <si>
    <t>Mesure</t>
  </si>
  <si>
    <t>Valeur cible</t>
  </si>
  <si>
    <t>Part de l'objectif</t>
  </si>
  <si>
    <t>Solde (GWh/an)</t>
  </si>
  <si>
    <t>Info utile:</t>
  </si>
  <si>
    <t>de réduction des émissions du secteur</t>
  </si>
  <si>
    <t>Réduction des émissions (tCO2eq/an):</t>
  </si>
  <si>
    <t>Réduction des émissions (tCO2eq/an)</t>
  </si>
  <si>
    <t>Consommation à convertir (GWh/an):</t>
  </si>
  <si>
    <t>Consommation convertie (GWh)</t>
  </si>
  <si>
    <t>Installation géothermique + PAC pour x% des bâtiments communaux</t>
  </si>
  <si>
    <t>Changement de x% des véhicules communaux par des véhicules électriques</t>
  </si>
  <si>
    <t>x voitures thermiques remplacées par des voitures électriques</t>
  </si>
  <si>
    <t>Conversion du chauffage au bois pour x% des bâtiments communaux</t>
  </si>
  <si>
    <t>Conversion du chauffage au bois pour x% des bâtiments du tertiaire</t>
  </si>
  <si>
    <t>Conversion du chauffage au bois pour x logements</t>
  </si>
  <si>
    <t>Indicateur</t>
  </si>
  <si>
    <t>x% des bâtiments communaux chauffés au mazout convertis au gaz</t>
  </si>
  <si>
    <t>x% de véhicules communaux roulant aux produits pétroliers convertis au gaz naturel compressé</t>
  </si>
  <si>
    <t>x voitures roulant aux produits pétroliers converties au GNC</t>
  </si>
  <si>
    <t>Participation à l'objectif</t>
  </si>
  <si>
    <t xml:space="preserve">Mesure </t>
  </si>
  <si>
    <t>Transfert de vecteur</t>
  </si>
  <si>
    <t>Remplacement de x chaudière(s) au mazout par des chaudières au gaz naturel</t>
  </si>
  <si>
    <t>Remplacement de x chaudière(s) au mazout ou au gaz naturel par des chaudières au bois</t>
  </si>
  <si>
    <t>x réseau(x) de chaleur  bois énergie (100 logements)</t>
  </si>
  <si>
    <t xml:space="preserve">Remplacement d'une voiture thermique par une voiture électrique </t>
  </si>
  <si>
    <t>Bâtiments communaux</t>
  </si>
  <si>
    <t xml:space="preserve">Commune de </t>
  </si>
  <si>
    <t>Liste</t>
  </si>
  <si>
    <t>Condition</t>
  </si>
  <si>
    <t>Plan d'Action en Faveur de l'Energie Durable et du Climat</t>
  </si>
  <si>
    <t>Atténuation</t>
  </si>
  <si>
    <t>Action du programme de travail POLLEC</t>
  </si>
  <si>
    <t>Action clé pour la Convention des Maires</t>
  </si>
  <si>
    <t>Adaptation 
Précarité</t>
  </si>
  <si>
    <t>Objectif ciblé 1</t>
  </si>
  <si>
    <t>Objectif ciblé 2</t>
  </si>
  <si>
    <t>Objectif ciblé 3</t>
  </si>
  <si>
    <t>Fiche action N°</t>
  </si>
  <si>
    <t>Importer une bonne pratique</t>
  </si>
  <si>
    <t>Etat d'avancement</t>
  </si>
  <si>
    <t xml:space="preserve">Sélectionner une bonne pratique </t>
  </si>
  <si>
    <t>Domaine</t>
  </si>
  <si>
    <t>Moyen</t>
  </si>
  <si>
    <t>Moyen utilisé</t>
  </si>
  <si>
    <t>Action affectant l'adaptation?</t>
  </si>
  <si>
    <t>Acteur à l'initiative de l'action</t>
  </si>
  <si>
    <t>Titre de l'action</t>
  </si>
  <si>
    <t>Description</t>
  </si>
  <si>
    <r>
      <t>Commentaire</t>
    </r>
    <r>
      <rPr>
        <sz val="12"/>
        <color indexed="56"/>
        <rFont val="Calibri"/>
        <family val="2"/>
      </rPr>
      <t xml:space="preserve"> (dont hypothèses utilisées pour chiffrer l’impact de l’action sur le(s) objectif(s) ciblé(s))</t>
    </r>
  </si>
  <si>
    <t>Nom du partenaire à l'initiative de l'action</t>
  </si>
  <si>
    <t>Service communal responsable</t>
  </si>
  <si>
    <t>Partenaires potentiels</t>
  </si>
  <si>
    <t>Date de lancement</t>
  </si>
  <si>
    <t xml:space="preserve">Erreur! </t>
  </si>
  <si>
    <t/>
  </si>
  <si>
    <t>Échéance</t>
  </si>
  <si>
    <t>Charge de travail totale (journées)</t>
  </si>
  <si>
    <t>Estimation du coût</t>
  </si>
  <si>
    <t>Type de dépense</t>
  </si>
  <si>
    <t>Economie financière annuelle</t>
  </si>
  <si>
    <t>Dépensé à ce jour</t>
  </si>
  <si>
    <t>Subside</t>
  </si>
  <si>
    <t>Nom du programme (subside)</t>
  </si>
  <si>
    <t>Type de subside</t>
  </si>
  <si>
    <t>Autres impacts sociétaux</t>
  </si>
  <si>
    <t>Divers</t>
  </si>
  <si>
    <t>Calcul de la participation aux objectifs ciblés</t>
  </si>
  <si>
    <t>Objectif ciblé 1:</t>
  </si>
  <si>
    <t xml:space="preserve">Valeur cible </t>
  </si>
  <si>
    <t>Participation attendue de l'action à la mesure</t>
  </si>
  <si>
    <t>Ce module vous permet de calculer la participation attendue de l'action à chacun des objectifs qu'elle cible. Chaque tableau reprend les scénarios définis dans la feuille "Scénarios". Indiquez dans les celulles bleues la participation attendue de l'action à chaque mesure.</t>
  </si>
  <si>
    <t>Participation de l'action à l'objectif:</t>
  </si>
  <si>
    <t>Objectif ciblé 2:</t>
  </si>
  <si>
    <t>Objectif ciblé 3:</t>
  </si>
  <si>
    <t>Categories</t>
  </si>
  <si>
    <t>A</t>
  </si>
  <si>
    <t>AREA OF INTERVENTION</t>
  </si>
  <si>
    <t>B</t>
  </si>
  <si>
    <t>POLICY INSTRUMENT</t>
  </si>
  <si>
    <t>C</t>
  </si>
  <si>
    <t>Origin of the action</t>
  </si>
  <si>
    <t>BoE</t>
  </si>
  <si>
    <t>Sector</t>
  </si>
  <si>
    <t>Sect</t>
  </si>
  <si>
    <t>Investisseur</t>
  </si>
  <si>
    <t>ê</t>
  </si>
  <si>
    <t>MUNICIPAL BUILDINGS, EQUIPMENT/FACILITIES</t>
  </si>
  <si>
    <t>EE</t>
  </si>
  <si>
    <t>Agriculteurs</t>
  </si>
  <si>
    <t>A1</t>
  </si>
  <si>
    <t>Municipal - Residential - Tertiary Buildings</t>
  </si>
  <si>
    <t>B1</t>
  </si>
  <si>
    <t>Buildings</t>
  </si>
  <si>
    <t>C1</t>
  </si>
  <si>
    <t>Local authority</t>
  </si>
  <si>
    <t>Autorité locale</t>
  </si>
  <si>
    <t>TERTIARY BUILDINGS, EQUIPMENT/FACILITIES</t>
  </si>
  <si>
    <t>Citoyens</t>
  </si>
  <si>
    <t>A11</t>
  </si>
  <si>
    <t>Building envelope</t>
  </si>
  <si>
    <t>Enveloppe bâtiment</t>
  </si>
  <si>
    <t>B11</t>
  </si>
  <si>
    <t>Awareness raising / training</t>
  </si>
  <si>
    <t>Sensibilisation/information</t>
  </si>
  <si>
    <t>C2</t>
  </si>
  <si>
    <t>Covenant Territorial Coordiantor</t>
  </si>
  <si>
    <t>Structure supra-locale POLLEC</t>
  </si>
  <si>
    <t>RESIDENTIAL BUILDINGS</t>
  </si>
  <si>
    <t>A12</t>
  </si>
  <si>
    <t>Renewable energy for space heating and hot water</t>
  </si>
  <si>
    <t>Energie renouvelable pour le chauffage et l'eau chaude sanitaire</t>
  </si>
  <si>
    <t>B12</t>
  </si>
  <si>
    <t>Energy management</t>
  </si>
  <si>
    <t>Gestion de l'énergie</t>
  </si>
  <si>
    <t>C3</t>
  </si>
  <si>
    <t>Other (national, regional,…)</t>
  </si>
  <si>
    <t xml:space="preserve">Autre </t>
  </si>
  <si>
    <t>PUBLIC LIGHTING</t>
  </si>
  <si>
    <t>Commune &amp; Citoyens</t>
  </si>
  <si>
    <t>A13</t>
  </si>
  <si>
    <t>Energy efficiency in space heating and hot water</t>
  </si>
  <si>
    <t>Efficacité énergétique dans le chauffage et l'eau chaude sanitaire</t>
  </si>
  <si>
    <t>B13</t>
  </si>
  <si>
    <t xml:space="preserve">Energy certification / labelling </t>
  </si>
  <si>
    <t>Certification / Labélisation</t>
  </si>
  <si>
    <t>C4</t>
  </si>
  <si>
    <t>Not possible to say</t>
  </si>
  <si>
    <t>Impossible à déterminer</t>
  </si>
  <si>
    <t>INDUSTRY</t>
  </si>
  <si>
    <t>Industrie</t>
  </si>
  <si>
    <t>Commune &amp; entreprise extérieure</t>
  </si>
  <si>
    <t>A14</t>
  </si>
  <si>
    <t>Energy efficient lighting systems</t>
  </si>
  <si>
    <t>Efficacité énergétique des systèmes d'éclairage</t>
  </si>
  <si>
    <t>B14</t>
  </si>
  <si>
    <t>Energy suppliers obligations</t>
  </si>
  <si>
    <t>Obligations de services publics</t>
  </si>
  <si>
    <t>TRANSPORT</t>
  </si>
  <si>
    <t>Commune &amp; entreprise locale</t>
  </si>
  <si>
    <t>A15</t>
  </si>
  <si>
    <t>Energy efficient electrical appliances</t>
  </si>
  <si>
    <t>Efficacité énergétique des équipements électriques</t>
  </si>
  <si>
    <t>B15</t>
  </si>
  <si>
    <t>Energy / carbon taxes</t>
  </si>
  <si>
    <t>Taxe carbone</t>
  </si>
  <si>
    <t>LOCAL ELECTRICITY PRODUCTION</t>
  </si>
  <si>
    <t>Production d'électricité</t>
  </si>
  <si>
    <t>SER</t>
  </si>
  <si>
    <t>Commune, citoyens &amp; entreprise</t>
  </si>
  <si>
    <t>A16</t>
  </si>
  <si>
    <t>Integrated action (all above)</t>
  </si>
  <si>
    <t>Action intégrée (tout ci-dessus)</t>
  </si>
  <si>
    <t>B16</t>
  </si>
  <si>
    <t>Grants and subsidies</t>
  </si>
  <si>
    <t>Primes et subventions</t>
  </si>
  <si>
    <t>LOCAL HEAT/COLD PRODUCTION</t>
  </si>
  <si>
    <t>Production de chaleur</t>
  </si>
  <si>
    <t>Entreprises extérieures</t>
  </si>
  <si>
    <t>A17</t>
  </si>
  <si>
    <t>Information and Communication Technologies</t>
  </si>
  <si>
    <t>Technologies de l'Information et de la Communication</t>
  </si>
  <si>
    <t>B17</t>
  </si>
  <si>
    <t>Third party financing. PPP</t>
  </si>
  <si>
    <t>Tiers financement, partenariat public-privé</t>
  </si>
  <si>
    <t>OTHERS</t>
  </si>
  <si>
    <t>Entreprises locales</t>
  </si>
  <si>
    <t>A18</t>
  </si>
  <si>
    <t>Behavioural changes</t>
  </si>
  <si>
    <t>Changements de comportements</t>
  </si>
  <si>
    <t>B18</t>
  </si>
  <si>
    <t>Public procurement</t>
  </si>
  <si>
    <t>Marchés publics</t>
  </si>
  <si>
    <t>Intercommunale</t>
  </si>
  <si>
    <t>A19</t>
  </si>
  <si>
    <t>Other</t>
  </si>
  <si>
    <t>Autre</t>
  </si>
  <si>
    <t>B19</t>
  </si>
  <si>
    <t>Building standards</t>
  </si>
  <si>
    <t>Normes de construction</t>
  </si>
  <si>
    <t>Cogénération</t>
  </si>
  <si>
    <t xml:space="preserve">Province </t>
  </si>
  <si>
    <t>B110</t>
  </si>
  <si>
    <t>Land use planning regulation</t>
  </si>
  <si>
    <t>Planification de l'aménagement du territoire</t>
  </si>
  <si>
    <t>B111</t>
  </si>
  <si>
    <t>Not applicable</t>
  </si>
  <si>
    <t xml:space="preserve">Pas applicable </t>
  </si>
  <si>
    <t>B112</t>
  </si>
  <si>
    <t>Bâtiments</t>
  </si>
  <si>
    <t>A2</t>
  </si>
  <si>
    <t>Public Lighting</t>
  </si>
  <si>
    <t>B2</t>
  </si>
  <si>
    <t>Transports</t>
  </si>
  <si>
    <t>A21</t>
  </si>
  <si>
    <t xml:space="preserve">Energy efficiency </t>
  </si>
  <si>
    <t>Efficacité énergétique</t>
  </si>
  <si>
    <t>B21</t>
  </si>
  <si>
    <t>Gestion énergétique</t>
  </si>
  <si>
    <t>Énergie</t>
  </si>
  <si>
    <t>A23</t>
  </si>
  <si>
    <t>Integrated renewable power</t>
  </si>
  <si>
    <t>Production renouvelable intégrée</t>
  </si>
  <si>
    <t>B22</t>
  </si>
  <si>
    <t>Eau</t>
  </si>
  <si>
    <t>A24</t>
  </si>
  <si>
    <t>B23</t>
  </si>
  <si>
    <t>Déchets</t>
  </si>
  <si>
    <t>A25</t>
  </si>
  <si>
    <t>B24</t>
  </si>
  <si>
    <t>Aménagement du territoire</t>
  </si>
  <si>
    <t>B25</t>
  </si>
  <si>
    <t>Agriculture et sylviculture</t>
  </si>
  <si>
    <t>B26</t>
  </si>
  <si>
    <t>Environnement et biodiversité</t>
  </si>
  <si>
    <t>Santé</t>
  </si>
  <si>
    <t>A3</t>
  </si>
  <si>
    <t xml:space="preserve">Industry </t>
  </si>
  <si>
    <t>B3</t>
  </si>
  <si>
    <t>Industry</t>
  </si>
  <si>
    <t xml:space="preserve">  National Funds &amp; Programmes</t>
  </si>
  <si>
    <t>Protection civile et services d'urgence</t>
  </si>
  <si>
    <t>A31</t>
  </si>
  <si>
    <t xml:space="preserve">     Energy efficiency in industrial processes</t>
  </si>
  <si>
    <t>Eficacité énergétique de procédés industriels</t>
  </si>
  <si>
    <t>B31</t>
  </si>
  <si>
    <t xml:space="preserve">  EU Funds &amp; Programmes</t>
  </si>
  <si>
    <t>Tourisme</t>
  </si>
  <si>
    <t>A32</t>
  </si>
  <si>
    <t xml:space="preserve">     Energy efficiency in buildings</t>
  </si>
  <si>
    <t>Efficacité énergétique des bâtiments</t>
  </si>
  <si>
    <t>B32</t>
  </si>
  <si>
    <t>Éducation</t>
  </si>
  <si>
    <t>A33</t>
  </si>
  <si>
    <t xml:space="preserve">     Renewable energy </t>
  </si>
  <si>
    <t>Energies renouvelables</t>
  </si>
  <si>
    <t>B33</t>
  </si>
  <si>
    <t>Technologies de l'information et des communications (informatique)</t>
  </si>
  <si>
    <t>A34</t>
  </si>
  <si>
    <t xml:space="preserve">     Information and Communication Technologies</t>
  </si>
  <si>
    <t>B34</t>
  </si>
  <si>
    <t>Energy performance standards</t>
  </si>
  <si>
    <t>Normes de performances énergétiques</t>
  </si>
  <si>
    <t>A35</t>
  </si>
  <si>
    <t xml:space="preserve">     Other</t>
  </si>
  <si>
    <t>B35</t>
  </si>
  <si>
    <t>B36</t>
  </si>
  <si>
    <t>B37</t>
  </si>
  <si>
    <t>Bâtiments municipaux</t>
  </si>
  <si>
    <t>B38</t>
  </si>
  <si>
    <t>Bâtiments, équipements/installations tertiaires (non municipaux)</t>
  </si>
  <si>
    <t>B39</t>
  </si>
  <si>
    <t>Bâtiments résidentiels</t>
  </si>
  <si>
    <t>A4</t>
  </si>
  <si>
    <t>Municipal - Public - Private Transport</t>
  </si>
  <si>
    <t>B4</t>
  </si>
  <si>
    <t>A41</t>
  </si>
  <si>
    <t>Cleaner/efficient vehicles</t>
  </si>
  <si>
    <t>Véhicules plus efficients/propres</t>
  </si>
  <si>
    <t>B41</t>
  </si>
  <si>
    <t>Awareness raising/training</t>
  </si>
  <si>
    <t>A42</t>
  </si>
  <si>
    <t>Electric vehicles (incl. infrastructure)</t>
  </si>
  <si>
    <t>Véhicules électriques (incl. Infractructures)</t>
  </si>
  <si>
    <t>B42</t>
  </si>
  <si>
    <t>Integrated ticketing and charging</t>
  </si>
  <si>
    <t>Ticketing et facturation intégrés</t>
  </si>
  <si>
    <t>Production locale d'électricité</t>
  </si>
  <si>
    <t>A43</t>
  </si>
  <si>
    <t>Modal shift to public transport</t>
  </si>
  <si>
    <t>Transfert modal vers les transports en commun</t>
  </si>
  <si>
    <t>B43</t>
  </si>
  <si>
    <t>Production locale de chaleur/froid</t>
  </si>
  <si>
    <t>A44</t>
  </si>
  <si>
    <t xml:space="preserve">Modal shift to walking &amp; cycling </t>
  </si>
  <si>
    <t>Transfert modal vers la mobilité douce</t>
  </si>
  <si>
    <t>B44</t>
  </si>
  <si>
    <t>Road pricing</t>
  </si>
  <si>
    <t>Payage routier</t>
  </si>
  <si>
    <t>A45</t>
  </si>
  <si>
    <t>Car sharing/pooling</t>
  </si>
  <si>
    <t>Covoiturage</t>
  </si>
  <si>
    <t>B45</t>
  </si>
  <si>
    <t>A46</t>
  </si>
  <si>
    <t>Improvement of logistics and urban freight transport</t>
  </si>
  <si>
    <t>Rationalisation du transport de biens</t>
  </si>
  <si>
    <t>B46</t>
  </si>
  <si>
    <t>Transport / mobility planning regulation</t>
  </si>
  <si>
    <t>Planification de la mobilité</t>
  </si>
  <si>
    <t>A47</t>
  </si>
  <si>
    <t>Road network optimisation</t>
  </si>
  <si>
    <t>Optimisation du réseau routier</t>
  </si>
  <si>
    <t>B47</t>
  </si>
  <si>
    <t>A48</t>
  </si>
  <si>
    <t>Mixed use development and sprawl containment</t>
  </si>
  <si>
    <t>Multimodalité et limitation de l'étalement</t>
  </si>
  <si>
    <t>B48</t>
  </si>
  <si>
    <t>Voluntary agreements with stakeholders</t>
  </si>
  <si>
    <t>Accords avec parties-prenantes</t>
  </si>
  <si>
    <t>A49</t>
  </si>
  <si>
    <t>B49</t>
  </si>
  <si>
    <t>Pas applicable</t>
  </si>
  <si>
    <t>A410</t>
  </si>
  <si>
    <t>Eco-driving</t>
  </si>
  <si>
    <t>Eco-conduite</t>
  </si>
  <si>
    <t>B410</t>
  </si>
  <si>
    <t>A411</t>
  </si>
  <si>
    <t>A5</t>
  </si>
  <si>
    <t>Local Electricity Production</t>
  </si>
  <si>
    <t>B5</t>
  </si>
  <si>
    <t>A51</t>
  </si>
  <si>
    <t>Hydroelectric power</t>
  </si>
  <si>
    <t>B51</t>
  </si>
  <si>
    <t>A52</t>
  </si>
  <si>
    <t>Wind power</t>
  </si>
  <si>
    <t>B52</t>
  </si>
  <si>
    <t xml:space="preserve">Energy suppliers obligations </t>
  </si>
  <si>
    <t>A53</t>
  </si>
  <si>
    <t>Photovoltaics</t>
  </si>
  <si>
    <t>B53</t>
  </si>
  <si>
    <t>A54</t>
  </si>
  <si>
    <t>Biomass power plant</t>
  </si>
  <si>
    <t>B54</t>
  </si>
  <si>
    <t>A55</t>
  </si>
  <si>
    <t>Combined Heat and Power</t>
  </si>
  <si>
    <t>Cogénération fossile</t>
  </si>
  <si>
    <t>B55</t>
  </si>
  <si>
    <t>A56</t>
  </si>
  <si>
    <t>Smart grids</t>
  </si>
  <si>
    <t>Réseaux intelligents</t>
  </si>
  <si>
    <t>B56</t>
  </si>
  <si>
    <t>A57</t>
  </si>
  <si>
    <t>B57</t>
  </si>
  <si>
    <t>Land use planning</t>
  </si>
  <si>
    <t>B58</t>
  </si>
  <si>
    <t>B59</t>
  </si>
  <si>
    <t>A6</t>
  </si>
  <si>
    <t>Local heat/cold Production</t>
  </si>
  <si>
    <t>B6</t>
  </si>
  <si>
    <t>A61</t>
  </si>
  <si>
    <t>B61</t>
  </si>
  <si>
    <t>A62</t>
  </si>
  <si>
    <t>District heating/cooling plant</t>
  </si>
  <si>
    <t>Réseau de chaleur</t>
  </si>
  <si>
    <t>B62</t>
  </si>
  <si>
    <t>A63</t>
  </si>
  <si>
    <t>District heating/cooling network (new, expansion, refurbishment)</t>
  </si>
  <si>
    <t>B63</t>
  </si>
  <si>
    <t>A64</t>
  </si>
  <si>
    <t>B64</t>
  </si>
  <si>
    <t>B65</t>
  </si>
  <si>
    <t>B66</t>
  </si>
  <si>
    <t>B67</t>
  </si>
  <si>
    <t>B68</t>
  </si>
  <si>
    <t>A7</t>
  </si>
  <si>
    <t>B7</t>
  </si>
  <si>
    <t>A71</t>
  </si>
  <si>
    <t>Urban regeneration</t>
  </si>
  <si>
    <t xml:space="preserve">Regénération urbaine </t>
  </si>
  <si>
    <t>B71</t>
  </si>
  <si>
    <t>A72</t>
  </si>
  <si>
    <t>Waste &amp; wastewater management</t>
  </si>
  <si>
    <t>Gestion des déchets et eaux usées</t>
  </si>
  <si>
    <t>B72</t>
  </si>
  <si>
    <t>A73</t>
  </si>
  <si>
    <t>Tree planting in urban areas</t>
  </si>
  <si>
    <t>Développement d'espaces verts</t>
  </si>
  <si>
    <t>B73</t>
  </si>
  <si>
    <t>A74</t>
  </si>
  <si>
    <t>Agriculture and forestry related</t>
  </si>
  <si>
    <t>Agriculture et foresterie</t>
  </si>
  <si>
    <t>B74</t>
  </si>
  <si>
    <t>A75</t>
  </si>
  <si>
    <t>Valeurs utilisées par d'autres feuilles</t>
  </si>
  <si>
    <t>Menus déroulants</t>
  </si>
  <si>
    <t>Domaine d'intervention</t>
  </si>
  <si>
    <t>Coût</t>
  </si>
  <si>
    <t>Type de programme</t>
  </si>
  <si>
    <t>Economie d'énergie (kWh/an)</t>
  </si>
  <si>
    <t>Gain financier annuel</t>
  </si>
  <si>
    <t xml:space="preserve">TR sans subside </t>
  </si>
  <si>
    <t xml:space="preserve">TR avec subside </t>
  </si>
  <si>
    <t>Réduction des émissions de (tCO2/an)</t>
  </si>
  <si>
    <t>Dépensé</t>
  </si>
  <si>
    <t>Economie d'énergie réalisée</t>
  </si>
  <si>
    <t xml:space="preserve">Réduction des émissions </t>
  </si>
  <si>
    <t>1000_Comptabilité énergétique</t>
  </si>
  <si>
    <t>POLLEC</t>
  </si>
  <si>
    <t>CdM</t>
  </si>
  <si>
    <t>Adaptation / Atténuation</t>
  </si>
  <si>
    <t>Précarité</t>
  </si>
  <si>
    <t>Action</t>
  </si>
  <si>
    <t>Participation à l'objectif 1</t>
  </si>
  <si>
    <t>Participation à l'objectif 2</t>
  </si>
  <si>
    <t>Participation à l'objectif 3</t>
  </si>
  <si>
    <t>Domaine d'intervention (ou risque climatique ciblé)</t>
  </si>
  <si>
    <t>Origine de l'action</t>
  </si>
  <si>
    <t>Partenaire à l'initiative de l'action</t>
  </si>
  <si>
    <t>Service responsable</t>
  </si>
  <si>
    <t>Début</t>
  </si>
  <si>
    <t>Fin</t>
  </si>
  <si>
    <t>Coût estimé</t>
  </si>
  <si>
    <t>Type</t>
  </si>
  <si>
    <t>Economies d'énergie (MWh/an)</t>
  </si>
  <si>
    <t>Production d'énergie renouvelable (MWh/an)</t>
  </si>
  <si>
    <t>Action affectant l'adaptation</t>
  </si>
  <si>
    <t>Action ciblant la précarité énergétique</t>
  </si>
  <si>
    <t>Source</t>
  </si>
  <si>
    <t>Concat</t>
  </si>
  <si>
    <t>Ressources</t>
  </si>
  <si>
    <t>Contrôle</t>
  </si>
  <si>
    <t>Contrôle 2</t>
  </si>
  <si>
    <t>Contrôle indicateur</t>
  </si>
  <si>
    <t xml:space="preserve">Etat </t>
  </si>
  <si>
    <t>E2</t>
  </si>
  <si>
    <t>% subside</t>
  </si>
  <si>
    <t>Atténuation/Adaptation</t>
  </si>
  <si>
    <t>Action clé?</t>
  </si>
  <si>
    <t>Numéro action clé</t>
  </si>
  <si>
    <t>Numéro action clé CdM</t>
  </si>
  <si>
    <t>Service technique</t>
  </si>
  <si>
    <t>Investissement</t>
  </si>
  <si>
    <t>NON</t>
  </si>
  <si>
    <t>Patr. 1</t>
  </si>
  <si>
    <t>Patr. 2</t>
  </si>
  <si>
    <t>Patr. 3</t>
  </si>
  <si>
    <t>Patr. 4</t>
  </si>
  <si>
    <t>Patr. 5</t>
  </si>
  <si>
    <t>Patr. 6</t>
  </si>
  <si>
    <t>Patr. 7</t>
  </si>
  <si>
    <t>Patr. 8</t>
  </si>
  <si>
    <t>Patr. 9</t>
  </si>
  <si>
    <t>Patr. 10</t>
  </si>
  <si>
    <t>Patr. 11</t>
  </si>
  <si>
    <t>Patr. 12</t>
  </si>
  <si>
    <t>Patr. 13</t>
  </si>
  <si>
    <t>Patr. 14</t>
  </si>
  <si>
    <t>Patr. 15</t>
  </si>
  <si>
    <t>Patr. 16</t>
  </si>
  <si>
    <t>Patr. 17</t>
  </si>
  <si>
    <t>Patr. 18</t>
  </si>
  <si>
    <t>Patr. 19</t>
  </si>
  <si>
    <t>Patr. 20</t>
  </si>
  <si>
    <t>Patr. 21</t>
  </si>
  <si>
    <t>Patr. 22</t>
  </si>
  <si>
    <t>Patr. 23</t>
  </si>
  <si>
    <t>Patr. 24</t>
  </si>
  <si>
    <t>B8</t>
  </si>
  <si>
    <t>B9</t>
  </si>
  <si>
    <t>B10</t>
  </si>
  <si>
    <t>B20</t>
  </si>
  <si>
    <t>B27</t>
  </si>
  <si>
    <t>B28</t>
  </si>
  <si>
    <t>B29</t>
  </si>
  <si>
    <t>B30</t>
  </si>
  <si>
    <t>Impact des actions par objectif</t>
  </si>
  <si>
    <t>Action 1</t>
  </si>
  <si>
    <t>Action 2</t>
  </si>
  <si>
    <t>Action 3</t>
  </si>
  <si>
    <t>Action 4</t>
  </si>
  <si>
    <t>Action 5</t>
  </si>
  <si>
    <t>M</t>
  </si>
  <si>
    <t>Q</t>
  </si>
  <si>
    <t>U</t>
  </si>
  <si>
    <t>Y</t>
  </si>
  <si>
    <t>AC</t>
  </si>
  <si>
    <t>AG</t>
  </si>
  <si>
    <t>AK</t>
  </si>
  <si>
    <t>AO</t>
  </si>
  <si>
    <t>AS</t>
  </si>
  <si>
    <t>AW</t>
  </si>
  <si>
    <t>BA</t>
  </si>
  <si>
    <t>BE</t>
  </si>
  <si>
    <t>BI</t>
  </si>
  <si>
    <t>BM</t>
  </si>
  <si>
    <t>BQ</t>
  </si>
  <si>
    <t>BU</t>
  </si>
  <si>
    <t>BY</t>
  </si>
  <si>
    <t>CC</t>
  </si>
  <si>
    <t>CG</t>
  </si>
  <si>
    <t>CK</t>
  </si>
  <si>
    <t>CO</t>
  </si>
  <si>
    <t>CS</t>
  </si>
  <si>
    <t>CW</t>
  </si>
  <si>
    <t>DA</t>
  </si>
  <si>
    <t>DE</t>
  </si>
  <si>
    <t>DI</t>
  </si>
  <si>
    <t>DM</t>
  </si>
  <si>
    <t>DQ</t>
  </si>
  <si>
    <t>DU</t>
  </si>
  <si>
    <t>DY</t>
  </si>
  <si>
    <t>EC</t>
  </si>
  <si>
    <t>EG</t>
  </si>
  <si>
    <t>EK</t>
  </si>
  <si>
    <t>EO</t>
  </si>
  <si>
    <t>ES</t>
  </si>
  <si>
    <t>EW</t>
  </si>
  <si>
    <t xml:space="preserve">Action </t>
  </si>
  <si>
    <t>Objectif concat</t>
  </si>
  <si>
    <t>Impact</t>
  </si>
  <si>
    <t>Titre</t>
  </si>
  <si>
    <t>Total impact</t>
  </si>
  <si>
    <t>J</t>
  </si>
  <si>
    <t>N</t>
  </si>
  <si>
    <t>R</t>
  </si>
  <si>
    <t>V</t>
  </si>
  <si>
    <t>Z</t>
  </si>
  <si>
    <t>AD</t>
  </si>
  <si>
    <t>A8</t>
  </si>
  <si>
    <t>AH</t>
  </si>
  <si>
    <t>A9</t>
  </si>
  <si>
    <t>AL</t>
  </si>
  <si>
    <t>A10</t>
  </si>
  <si>
    <t>AP</t>
  </si>
  <si>
    <t>AT</t>
  </si>
  <si>
    <t>AX</t>
  </si>
  <si>
    <t>BB</t>
  </si>
  <si>
    <t>BF</t>
  </si>
  <si>
    <t>BJ</t>
  </si>
  <si>
    <t>BN</t>
  </si>
  <si>
    <t>BR</t>
  </si>
  <si>
    <t>BV</t>
  </si>
  <si>
    <t>BZ</t>
  </si>
  <si>
    <t>A20</t>
  </si>
  <si>
    <t>CD</t>
  </si>
  <si>
    <t>CH</t>
  </si>
  <si>
    <t>A22</t>
  </si>
  <si>
    <t>CL</t>
  </si>
  <si>
    <t>CP</t>
  </si>
  <si>
    <t>CT</t>
  </si>
  <si>
    <t>CX</t>
  </si>
  <si>
    <t>A26</t>
  </si>
  <si>
    <t>DB</t>
  </si>
  <si>
    <t>A27</t>
  </si>
  <si>
    <t>DF</t>
  </si>
  <si>
    <t>A28</t>
  </si>
  <si>
    <t>DJ</t>
  </si>
  <si>
    <t>A29</t>
  </si>
  <si>
    <t>DN</t>
  </si>
  <si>
    <t>A30</t>
  </si>
  <si>
    <t>DR</t>
  </si>
  <si>
    <t>DV</t>
  </si>
  <si>
    <t>DZ</t>
  </si>
  <si>
    <t>ED</t>
  </si>
  <si>
    <t>EH</t>
  </si>
  <si>
    <t>EL</t>
  </si>
  <si>
    <t>A36</t>
  </si>
  <si>
    <t>EP</t>
  </si>
  <si>
    <t>ET</t>
  </si>
  <si>
    <t>A37</t>
  </si>
  <si>
    <t>EX</t>
  </si>
  <si>
    <t>FA</t>
  </si>
  <si>
    <t>A38</t>
  </si>
  <si>
    <t>FB</t>
  </si>
  <si>
    <t>FE</t>
  </si>
  <si>
    <t>A39</t>
  </si>
  <si>
    <t>FF</t>
  </si>
  <si>
    <t>FI</t>
  </si>
  <si>
    <t>A40</t>
  </si>
  <si>
    <t>Somme de Impact</t>
  </si>
  <si>
    <t>(vide)</t>
  </si>
  <si>
    <t>Total général</t>
  </si>
  <si>
    <t>#REF!</t>
  </si>
  <si>
    <t>Planning</t>
  </si>
  <si>
    <t>En cours</t>
  </si>
  <si>
    <t>Coût ressources humaines (€/journée de travail)</t>
  </si>
  <si>
    <t>Finalisée</t>
  </si>
  <si>
    <t>JH</t>
  </si>
  <si>
    <t>Dépense</t>
  </si>
  <si>
    <t>Gains</t>
  </si>
  <si>
    <t>Dépenses et gains</t>
  </si>
  <si>
    <t>Total de la charge de travail pour les services communaux (jours)</t>
  </si>
  <si>
    <t>Total des dépenses pour la commune (y compris personnel)</t>
  </si>
  <si>
    <t>Total des gains financiers pour la commune</t>
  </si>
  <si>
    <t>Dépenses cumulées</t>
  </si>
  <si>
    <t>Gains financiers cumulés</t>
  </si>
  <si>
    <t>Budget par secteur</t>
  </si>
  <si>
    <t>Non-investissement</t>
  </si>
  <si>
    <t>Budget total hors subsides</t>
  </si>
  <si>
    <t>Bâtiments et équipement communaux</t>
  </si>
  <si>
    <t>Tertiaire (hors AC)</t>
  </si>
  <si>
    <t>Transport (hors AC)</t>
  </si>
  <si>
    <t>Non-énergétique</t>
  </si>
  <si>
    <t>Frais de personnel</t>
  </si>
  <si>
    <t>Temps de retour (années)</t>
  </si>
  <si>
    <t>Investissements</t>
  </si>
  <si>
    <t>Toutes dépenses</t>
  </si>
  <si>
    <t>TR sans subside</t>
  </si>
  <si>
    <t>TR avec subside</t>
  </si>
  <si>
    <t>Suivi des objectifs</t>
  </si>
  <si>
    <t>Secteur/Filière</t>
  </si>
  <si>
    <t>Suivi des actions</t>
  </si>
  <si>
    <t xml:space="preserve">N° </t>
  </si>
  <si>
    <t>Lancement</t>
  </si>
  <si>
    <t>Suivi des dépenses</t>
  </si>
  <si>
    <t>Budget prévu (subsides déduits)</t>
  </si>
  <si>
    <t>Rapportage POLLEC - Programme de travail</t>
  </si>
  <si>
    <t>Action clé</t>
  </si>
  <si>
    <t>Fiche action</t>
  </si>
  <si>
    <t>Précarité énergétique</t>
  </si>
  <si>
    <t>Indicateur clé d'impact quantitatif</t>
  </si>
  <si>
    <t>Valeur au atteinte moment du suivi</t>
  </si>
  <si>
    <t>Indicateur clé d'impact qualitatif</t>
  </si>
  <si>
    <t>Evaluation de l'état de l'indicateur au moment du suivi</t>
  </si>
  <si>
    <r>
      <t xml:space="preserve">Les feuilles suivantes reprennent les descriptions des 6 premières fiches actions que vous avez sélectionnées en tant qu'actions clés. Elles sont listées dans le tableau ci-dessus. Elles constituent les actions prioritaires du PAEDC qui seront réalisées pendant la durée d'engagement du Coordinateur POLLEC Communal.
Elles sont présentées suivant le canevas demandé dans le cadre du rapportage à l'appel POLLEC 2022. Une partie des champs est complétée automatiquement sur base de ce que vous avez encodé dans les fiches actions. Des champs supplémentaires sont demandés dans le cadre du rapportage POLLEC. 
Les projets peuvent être de type investissement et/ou mobilisation et certains de ces projets devront porter sur les thématiques suivantes : Adaptation, Aménagement du territoire, Organisation interne et Précarité énergétique. 
</t>
    </r>
    <r>
      <rPr>
        <b/>
        <sz val="11"/>
        <color theme="1"/>
        <rFont val="Calibri"/>
        <family val="2"/>
        <scheme val="minor"/>
      </rPr>
      <t>Pour les communes en phase 1</t>
    </r>
    <r>
      <rPr>
        <sz val="11"/>
        <color theme="1"/>
        <rFont val="Calibri"/>
        <family val="2"/>
        <scheme val="minor"/>
      </rPr>
      <t xml:space="preserve">, élaboration, mise en oeuvre et suivi du PAEDC, la commune devra définir dans son dossier de candidature un programme de travail comprenant 3 fiches descriptives de projets à mettre en oeuvre durant la durée du subside. Ces projets intégreront au minimum 2 des thématiques citées ci-dessus.
</t>
    </r>
    <r>
      <rPr>
        <b/>
        <sz val="11"/>
        <color theme="1"/>
        <rFont val="Calibri"/>
        <family val="2"/>
        <scheme val="minor"/>
      </rPr>
      <t>Pour les communes en phase 2,</t>
    </r>
    <r>
      <rPr>
        <sz val="11"/>
        <color theme="1"/>
        <rFont val="Calibri"/>
        <family val="2"/>
        <scheme val="minor"/>
      </rPr>
      <t xml:space="preserve"> mise en oeuvre et suivi du PAEDC, la commune devra définir dans son dossier de candidature un programme de travail comprenant 6 fiches descriptives de projets à mettre en oeuvre durant la durée du subside. Ces projets intégreront au minimum 3 des thématiques citées ci-dessus.
Au minimum 1 indicateur d'impact quantitatif devra être défini pour chaque fiche action. Cet indicateur peut porter sur la réduction des émissions de carbone si cela est pertinent. 
Nous attirons votre attention sur le fait que si vous proposez un indicateur d'impact carbone, celui-ci devra pouvoir faire l'objet d'un suivi. Si au vu de la nature du projet ou de l'indisponibilité des donnés, il ne vous est pas possible de définir un impact carbone, vous devrez proposer un autre type d'indicateur quantitatif.
Au minimum 1 indicateur d'impact qualitatif devra être défini pour chaque action.
Veillez à ce qu'au moins un de ces indicateurs puisse être évalué au moment du suivi annuel.
</t>
    </r>
  </si>
  <si>
    <t>Parties prenantes impliquées</t>
  </si>
  <si>
    <t>Source de financement</t>
  </si>
  <si>
    <t>Risque(s) climatique(s) ciblé(s)</t>
  </si>
  <si>
    <t>Axes (précarité énergétique)</t>
  </si>
  <si>
    <t>Sélection</t>
  </si>
  <si>
    <t>Etat</t>
  </si>
  <si>
    <t>Subvention nationale/régionale</t>
  </si>
  <si>
    <t>Ongoing</t>
  </si>
  <si>
    <t>ADMINI. COMMUN. + CPAS</t>
  </si>
  <si>
    <t>Gouvernement et/ou agence(s) national(es)</t>
  </si>
  <si>
    <t>Ressources propres de l'autorité locale</t>
  </si>
  <si>
    <t>Chaleur extrême</t>
  </si>
  <si>
    <t>Climat</t>
  </si>
  <si>
    <t>Normalisé</t>
  </si>
  <si>
    <t>Relatif</t>
  </si>
  <si>
    <t>Programme européen</t>
  </si>
  <si>
    <t>Completed</t>
  </si>
  <si>
    <t>AUTRES SERVICES SPORTIFS OU CULTURELS</t>
  </si>
  <si>
    <t>Gouvernement et/ou agence(s) infranational(es)</t>
  </si>
  <si>
    <t>Fonds et programmes régionaux</t>
  </si>
  <si>
    <t>Froid extrême</t>
  </si>
  <si>
    <t>Aspects sociaux économiques</t>
  </si>
  <si>
    <t>X</t>
  </si>
  <si>
    <t>Bon</t>
  </si>
  <si>
    <t>ANDERLECHT</t>
  </si>
  <si>
    <t>Reportée</t>
  </si>
  <si>
    <t>Postponed</t>
  </si>
  <si>
    <t>BIBLIOTHEQUES, ARCHIVES, MUSEE</t>
  </si>
  <si>
    <t>Secteur commercial et privé</t>
  </si>
  <si>
    <t>Fonds et programmes nationaux</t>
  </si>
  <si>
    <t>Forte(s) précipitation(s)</t>
  </si>
  <si>
    <t>Équipement/Logement</t>
  </si>
  <si>
    <t xml:space="preserve">Moyen </t>
  </si>
  <si>
    <t>Entreprises</t>
  </si>
  <si>
    <t>Not started</t>
  </si>
  <si>
    <t>CRECHES, HEBERGEMENT SOCIAL</t>
  </si>
  <si>
    <t>Syndicats</t>
  </si>
  <si>
    <t>Fonds et programmes de l'UE</t>
  </si>
  <si>
    <t>Inondations et élévation du niveau de la mer</t>
  </si>
  <si>
    <t>Mobilité</t>
  </si>
  <si>
    <t>Mauvais</t>
  </si>
  <si>
    <t>Nouvelle</t>
  </si>
  <si>
    <t>New</t>
  </si>
  <si>
    <t>EAU: CAPTAGE, TRANSPORT</t>
  </si>
  <si>
    <t>Espace académique</t>
  </si>
  <si>
    <t>Partenariats public-privé</t>
  </si>
  <si>
    <t>Sécheresse et pénurie d’eau</t>
  </si>
  <si>
    <t>Cadre politique et réglementaire</t>
  </si>
  <si>
    <t>ECLAIRAGE PUBLIC</t>
  </si>
  <si>
    <t>Enseignement</t>
  </si>
  <si>
    <t>Partenariats privés</t>
  </si>
  <si>
    <t>Tempêtes</t>
  </si>
  <si>
    <t>Participation / sensibilisation</t>
  </si>
  <si>
    <t>ENSEIGNEMENT LIBRE, PRIVE</t>
  </si>
  <si>
    <t>NGOs &amp; civil society</t>
  </si>
  <si>
    <t>Mouvement de masse</t>
  </si>
  <si>
    <t>ENSEIGNEMENT NON PRECISE</t>
  </si>
  <si>
    <t>Incendies</t>
  </si>
  <si>
    <t>ANTWERPEN</t>
  </si>
  <si>
    <t>ENSEIGNEMENT OFFICIEL</t>
  </si>
  <si>
    <t>Changement chimique</t>
  </si>
  <si>
    <t>ANZEGEM</t>
  </si>
  <si>
    <t>HOPITAUX</t>
  </si>
  <si>
    <t>Risques biologiques</t>
  </si>
  <si>
    <t>ARENDONK</t>
  </si>
  <si>
    <t>LOGEMENT</t>
  </si>
  <si>
    <t>MAISONS DE RETRAITE</t>
  </si>
  <si>
    <t>PISCINES</t>
  </si>
  <si>
    <t>ASSE</t>
  </si>
  <si>
    <t>POLYCLINIQUES, LABORATOIRES</t>
  </si>
  <si>
    <t>ASSENEDE</t>
  </si>
  <si>
    <t>SOINS, SANTE NON PRECISE</t>
  </si>
  <si>
    <t>TOURISME</t>
  </si>
  <si>
    <t>TRAITEMENT DES DECHETS</t>
  </si>
  <si>
    <t>AUDERGHEM</t>
  </si>
  <si>
    <t>AVELGEM</t>
  </si>
  <si>
    <t>BAARLE-HERTOG</t>
  </si>
  <si>
    <t>BALEN</t>
  </si>
  <si>
    <t>BEERNEM</t>
  </si>
  <si>
    <t>BEERSE</t>
  </si>
  <si>
    <t>BEERSEL</t>
  </si>
  <si>
    <t>BEGIJNENDIJK</t>
  </si>
  <si>
    <t>BEKKEVOORT</t>
  </si>
  <si>
    <t>BERCHEM-SAINTE-AGATHE</t>
  </si>
  <si>
    <t>BERINGEN</t>
  </si>
  <si>
    <t>BERLAAR</t>
  </si>
  <si>
    <t>BERLARE</t>
  </si>
  <si>
    <t>BERTEM</t>
  </si>
  <si>
    <t>BEVER</t>
  </si>
  <si>
    <t>BEVEREN</t>
  </si>
  <si>
    <t>BIERBEEK</t>
  </si>
  <si>
    <t>BILZEN</t>
  </si>
  <si>
    <t>BLANKENBERGE</t>
  </si>
  <si>
    <t>BOCHOLT</t>
  </si>
  <si>
    <t>BOECHOUT</t>
  </si>
  <si>
    <t>BONHEIDEN</t>
  </si>
  <si>
    <t>BOOM</t>
  </si>
  <si>
    <t>BOORTMEERBEEK</t>
  </si>
  <si>
    <t>BORGLOON</t>
  </si>
  <si>
    <t>BORNEM</t>
  </si>
  <si>
    <t>BORSBEEK</t>
  </si>
  <si>
    <t>BOUTERSEM</t>
  </si>
  <si>
    <t>BRAINE-L'ALLEUD</t>
  </si>
  <si>
    <t>BRAKEL</t>
  </si>
  <si>
    <t>BRASSCHAAT</t>
  </si>
  <si>
    <t>BRECHT</t>
  </si>
  <si>
    <t>BREDENE</t>
  </si>
  <si>
    <t>BREE</t>
  </si>
  <si>
    <t>BRUGGE</t>
  </si>
  <si>
    <t>BRUXELLES</t>
  </si>
  <si>
    <t>BUGGENHOUT</t>
  </si>
  <si>
    <t>BÜLLINGEN</t>
  </si>
  <si>
    <t>BÜTGENBACH</t>
  </si>
  <si>
    <t>Commune fictive</t>
  </si>
  <si>
    <t>Commune XXX</t>
  </si>
  <si>
    <t>DAMME</t>
  </si>
  <si>
    <t>DE HAAN</t>
  </si>
  <si>
    <t>DE PANNE</t>
  </si>
  <si>
    <t>DE PINTE</t>
  </si>
  <si>
    <t>DEERLIJK</t>
  </si>
  <si>
    <t>DEINZE</t>
  </si>
  <si>
    <t>DENDERLEEUW</t>
  </si>
  <si>
    <t>DENDERMONDE</t>
  </si>
  <si>
    <t>DENTERGEM</t>
  </si>
  <si>
    <t>DESSEL</t>
  </si>
  <si>
    <t>DESTELBERGEN</t>
  </si>
  <si>
    <t>DIEPENBEEK</t>
  </si>
  <si>
    <t>DIEST</t>
  </si>
  <si>
    <t>DIKSMUIDE</t>
  </si>
  <si>
    <t>DILBEEK</t>
  </si>
  <si>
    <t>DILSEN-STOKKEM</t>
  </si>
  <si>
    <t>DROGENBOS</t>
  </si>
  <si>
    <t>DUFFEL</t>
  </si>
  <si>
    <t>ECAUSSINNES</t>
  </si>
  <si>
    <t>EDEGEM</t>
  </si>
  <si>
    <t>EEKLO</t>
  </si>
  <si>
    <t>ERPE-MERE</t>
  </si>
  <si>
    <t>ESSEN</t>
  </si>
  <si>
    <t>ETTERBEEK</t>
  </si>
  <si>
    <t>EVERE</t>
  </si>
  <si>
    <t>EVERGEM</t>
  </si>
  <si>
    <t>FOREST</t>
  </si>
  <si>
    <t>FROIDCHAPELLE</t>
  </si>
  <si>
    <t>GALMAARDEN</t>
  </si>
  <si>
    <t>GANSHOREN</t>
  </si>
  <si>
    <t>GAVERE</t>
  </si>
  <si>
    <t>GEEL</t>
  </si>
  <si>
    <t>GEETBETS</t>
  </si>
  <si>
    <t>GENK</t>
  </si>
  <si>
    <t>GENT</t>
  </si>
  <si>
    <t>GERAARDSBERGEN</t>
  </si>
  <si>
    <t>GINGELOM</t>
  </si>
  <si>
    <t>GISTEL</t>
  </si>
  <si>
    <t>GLABBEEK</t>
  </si>
  <si>
    <t>GOOIK</t>
  </si>
  <si>
    <t>GRIMBERGEN</t>
  </si>
  <si>
    <t>GROBBENDONK</t>
  </si>
  <si>
    <t>Groupe BEP</t>
  </si>
  <si>
    <t>HAACHT</t>
  </si>
  <si>
    <t>HAALTERT</t>
  </si>
  <si>
    <t>HALEN</t>
  </si>
  <si>
    <t>HALLE</t>
  </si>
  <si>
    <t>HAM</t>
  </si>
  <si>
    <t>HAMME</t>
  </si>
  <si>
    <t>HAMONT-ACHEL</t>
  </si>
  <si>
    <t>HARELBEKE</t>
  </si>
  <si>
    <t>HASSELT</t>
  </si>
  <si>
    <t>HECHTEL-EKSEL</t>
  </si>
  <si>
    <t>HEERS</t>
  </si>
  <si>
    <t>HEIST-OP-DEN-BERG</t>
  </si>
  <si>
    <t>HEMIKSEM</t>
  </si>
  <si>
    <t>HERENT</t>
  </si>
  <si>
    <t>HERENTALS</t>
  </si>
  <si>
    <t>HERENTHOUT</t>
  </si>
  <si>
    <t>HERK-DE-STAD</t>
  </si>
  <si>
    <t>HERNE</t>
  </si>
  <si>
    <t>HERSELT</t>
  </si>
  <si>
    <t>HERSTAPPE</t>
  </si>
  <si>
    <t>HERZELE</t>
  </si>
  <si>
    <t>HEUSDEN-ZOLDER</t>
  </si>
  <si>
    <t>HEUVELLAND</t>
  </si>
  <si>
    <t>HOEGAARDEN</t>
  </si>
  <si>
    <t>HOEILAART</t>
  </si>
  <si>
    <t>HOESELT</t>
  </si>
  <si>
    <t>HOLSBEEK</t>
  </si>
  <si>
    <t>HOOGLEDE</t>
  </si>
  <si>
    <t>HOOGSTRATEN</t>
  </si>
  <si>
    <t>HOREBEKE</t>
  </si>
  <si>
    <t>HOUTHALEN-HELCHTEREN</t>
  </si>
  <si>
    <t>HOUTHULST</t>
  </si>
  <si>
    <t>HOVE</t>
  </si>
  <si>
    <t>HULDENBERG</t>
  </si>
  <si>
    <t>HULSHOUT</t>
  </si>
  <si>
    <t>ICHTEGEM</t>
  </si>
  <si>
    <t>IEPER</t>
  </si>
  <si>
    <t>INGELMUNSTER</t>
  </si>
  <si>
    <t>IXELLES</t>
  </si>
  <si>
    <t>IZEGEM</t>
  </si>
  <si>
    <t>JABBEKE</t>
  </si>
  <si>
    <t>JETTE</t>
  </si>
  <si>
    <t>KALMTHOUT</t>
  </si>
  <si>
    <t>KAMPENHOUT</t>
  </si>
  <si>
    <t>KAPELLEN</t>
  </si>
  <si>
    <t>KAPELLE-OP-DEN-BOS</t>
  </si>
  <si>
    <t>KAPRIJKE</t>
  </si>
  <si>
    <t>KASTERLEE</t>
  </si>
  <si>
    <t>KEERBERGEN</t>
  </si>
  <si>
    <t>KELMIS</t>
  </si>
  <si>
    <t>KINROOI</t>
  </si>
  <si>
    <t>KLUISBERGEN</t>
  </si>
  <si>
    <t>KNESSELARE</t>
  </si>
  <si>
    <t>KNOKKE-HEIST</t>
  </si>
  <si>
    <t>KOEKELARE</t>
  </si>
  <si>
    <t>KOEKELBERG</t>
  </si>
  <si>
    <t>KOKSIJDE</t>
  </si>
  <si>
    <t>KONTICH</t>
  </si>
  <si>
    <t>KORTEMARK</t>
  </si>
  <si>
    <t>KORTENAKEN</t>
  </si>
  <si>
    <t>KORTENBERG</t>
  </si>
  <si>
    <t>KORTESSEM</t>
  </si>
  <si>
    <t>KORTRIJK</t>
  </si>
  <si>
    <t>KRAAINEM</t>
  </si>
  <si>
    <t>KRUIBEKE</t>
  </si>
  <si>
    <t>KRUISHOUTEM</t>
  </si>
  <si>
    <t>KUURNE</t>
  </si>
  <si>
    <t>LA ROCHE-EN-ARDENNE</t>
  </si>
  <si>
    <t>LAAKDAL</t>
  </si>
  <si>
    <t>LAARNE</t>
  </si>
  <si>
    <t>LANAKEN</t>
  </si>
  <si>
    <t>LANDEN</t>
  </si>
  <si>
    <t>LANGEMARK-POELKAPELLE</t>
  </si>
  <si>
    <t>LEBBEKE</t>
  </si>
  <si>
    <t>LEDE</t>
  </si>
  <si>
    <t>LEDEGEM</t>
  </si>
  <si>
    <t>LENDELEDE</t>
  </si>
  <si>
    <t>LENNIK</t>
  </si>
  <si>
    <t>LEOPOLDSBURG</t>
  </si>
  <si>
    <t>LEUVEN</t>
  </si>
  <si>
    <t>LICHTERVELDE</t>
  </si>
  <si>
    <t>LIEDEKERKE</t>
  </si>
  <si>
    <t>LIER</t>
  </si>
  <si>
    <t>LIERDE</t>
  </si>
  <si>
    <t>LILLE</t>
  </si>
  <si>
    <t>LINKEBEEK</t>
  </si>
  <si>
    <t>LINT</t>
  </si>
  <si>
    <t>LINTER</t>
  </si>
  <si>
    <t>LOCHRISTI</t>
  </si>
  <si>
    <t>LOMMEL</t>
  </si>
  <si>
    <t>LONDERZEEL</t>
  </si>
  <si>
    <t>LO-RENINGE</t>
  </si>
  <si>
    <t>LOVENDEGEM</t>
  </si>
  <si>
    <t>LUBBEEK</t>
  </si>
  <si>
    <t>LUMMEN</t>
  </si>
  <si>
    <t>MAARKEDAL</t>
  </si>
  <si>
    <t>MAASEIK</t>
  </si>
  <si>
    <t>MAASMECHELEN</t>
  </si>
  <si>
    <t>MACHELEN</t>
  </si>
  <si>
    <t>MALDEGEM</t>
  </si>
  <si>
    <t>MALLE</t>
  </si>
  <si>
    <t>MECHELEN</t>
  </si>
  <si>
    <t>MEERHOUT</t>
  </si>
  <si>
    <t>MEEUWEN-GRUITRODE</t>
  </si>
  <si>
    <t>MEISE</t>
  </si>
  <si>
    <t>MELLE</t>
  </si>
  <si>
    <t>MENEN</t>
  </si>
  <si>
    <t>MERCHTEM</t>
  </si>
  <si>
    <t>MERELBEKE</t>
  </si>
  <si>
    <t>MERKSPLAS</t>
  </si>
  <si>
    <t>MESEN</t>
  </si>
  <si>
    <t>MEULEBEKE</t>
  </si>
  <si>
    <t>MIDDELKERKE</t>
  </si>
  <si>
    <t>MOERBEKE</t>
  </si>
  <si>
    <t>MOL</t>
  </si>
  <si>
    <t>MOLENBEEK-SAINT-JEAN</t>
  </si>
  <si>
    <t>MONT-DE-L'ENCLUS</t>
  </si>
  <si>
    <t>MOORSLEDE</t>
  </si>
  <si>
    <t>MORTSEL</t>
  </si>
  <si>
    <t>NAZARETH</t>
  </si>
  <si>
    <t>NEERPELT</t>
  </si>
  <si>
    <t>NEVELE</t>
  </si>
  <si>
    <t>NIEL</t>
  </si>
  <si>
    <t>NIEUWERKERKEN</t>
  </si>
  <si>
    <t>NIEUWPOORT</t>
  </si>
  <si>
    <t>NIJLEN</t>
  </si>
  <si>
    <t>NINOVE</t>
  </si>
  <si>
    <t>OLEN</t>
  </si>
  <si>
    <t>OOSTENDE</t>
  </si>
  <si>
    <t>OOSTERZELE</t>
  </si>
  <si>
    <t>OOSTKAMP</t>
  </si>
  <si>
    <t>OOSTROZEBEKE</t>
  </si>
  <si>
    <t>OPGLABBEEK</t>
  </si>
  <si>
    <t>OPWIJK</t>
  </si>
  <si>
    <t>OUDENAARDE</t>
  </si>
  <si>
    <t>OUDENBURG</t>
  </si>
  <si>
    <t>OUD-HEVERLEE</t>
  </si>
  <si>
    <t>OUD-TURNHOUT</t>
  </si>
  <si>
    <t>OVERIJSE</t>
  </si>
  <si>
    <t>OVERPELT</t>
  </si>
  <si>
    <t>Pays des Condruses</t>
  </si>
  <si>
    <t>PEER</t>
  </si>
  <si>
    <t>PEPINGEN</t>
  </si>
  <si>
    <t>PITTEM</t>
  </si>
  <si>
    <t>POPERINGE</t>
  </si>
  <si>
    <t>Province de Liège</t>
  </si>
  <si>
    <t>Province de namur</t>
  </si>
  <si>
    <t>PUTTE</t>
  </si>
  <si>
    <t>PUURS</t>
  </si>
  <si>
    <t>RANST</t>
  </si>
  <si>
    <t>RAVELS</t>
  </si>
  <si>
    <t>RETIE</t>
  </si>
  <si>
    <t>RIEMST</t>
  </si>
  <si>
    <t>RIJKEVORSEL</t>
  </si>
  <si>
    <t>ROESELARE</t>
  </si>
  <si>
    <t>RONSE</t>
  </si>
  <si>
    <t>ROOSDAAL</t>
  </si>
  <si>
    <t>ROTSELAAR</t>
  </si>
  <si>
    <t>RUISELEDE</t>
  </si>
  <si>
    <t>RUMST</t>
  </si>
  <si>
    <t>SAINT-GILLES</t>
  </si>
  <si>
    <t>SAINT-JOSSE-TEN-NOODE</t>
  </si>
  <si>
    <t>SANKT VITH</t>
  </si>
  <si>
    <t>SCHAERBEEK</t>
  </si>
  <si>
    <t>SCHELLE</t>
  </si>
  <si>
    <t>SCHERPENHEUVEL-ZICHEM</t>
  </si>
  <si>
    <t>SCHILDE</t>
  </si>
  <si>
    <t>SCHOTEN</t>
  </si>
  <si>
    <t>SINT-AMANDS</t>
  </si>
  <si>
    <t>SINT-GENESIUS-RODE</t>
  </si>
  <si>
    <t>SINT-GILLIS-WAAS</t>
  </si>
  <si>
    <t>SINT-KATELIJNE-WAVER</t>
  </si>
  <si>
    <t>SINT-LAUREINS</t>
  </si>
  <si>
    <t>SINT-LIEVENS-HOUTEM</t>
  </si>
  <si>
    <t>SINT-MARTENS-LATEM</t>
  </si>
  <si>
    <t>SINT-NIKLAAS</t>
  </si>
  <si>
    <t>SINT-PIETERS-LEEUW</t>
  </si>
  <si>
    <t>SINT-TRUIDEN</t>
  </si>
  <si>
    <t>SPIERE-HELKIJN</t>
  </si>
  <si>
    <t>STABROEK</t>
  </si>
  <si>
    <t>STADEN</t>
  </si>
  <si>
    <t>STEENOKKERZEEL</t>
  </si>
  <si>
    <t>STEKENE</t>
  </si>
  <si>
    <t>TEMSE</t>
  </si>
  <si>
    <t>TERNAT</t>
  </si>
  <si>
    <t>TERVUREN</t>
  </si>
  <si>
    <t>TESSENDERLO</t>
  </si>
  <si>
    <t>TIELT</t>
  </si>
  <si>
    <t>TIELT-WINGE</t>
  </si>
  <si>
    <t>TIENEN</t>
  </si>
  <si>
    <t>TONGEREN</t>
  </si>
  <si>
    <t>TORHOUT</t>
  </si>
  <si>
    <t>TREMELO</t>
  </si>
  <si>
    <t>TURNHOUT</t>
  </si>
  <si>
    <t>UCCLE</t>
  </si>
  <si>
    <t>VEURNE</t>
  </si>
  <si>
    <t>VILVOORDE</t>
  </si>
  <si>
    <t>VLETEREN</t>
  </si>
  <si>
    <t>VOEREN</t>
  </si>
  <si>
    <t>VORSELAAR</t>
  </si>
  <si>
    <t>VOSSELAAR</t>
  </si>
  <si>
    <t>WAARSCHOOT</t>
  </si>
  <si>
    <t>WAASMUNSTER</t>
  </si>
  <si>
    <t>WACHTEBEKE</t>
  </si>
  <si>
    <t>WAREGEM</t>
  </si>
  <si>
    <t>WATERMAEL-BOITSFORT</t>
  </si>
  <si>
    <t>WELLEN</t>
  </si>
  <si>
    <t>WEMMEL</t>
  </si>
  <si>
    <t>WERVIK</t>
  </si>
  <si>
    <t>WESTERLO</t>
  </si>
  <si>
    <t>WETTEREN</t>
  </si>
  <si>
    <t>WEVELGEM</t>
  </si>
  <si>
    <t>WEZEMBEEK-OPPEM</t>
  </si>
  <si>
    <t>WICHELEN</t>
  </si>
  <si>
    <t>WIELSBEKE</t>
  </si>
  <si>
    <t>WIJNEGEM</t>
  </si>
  <si>
    <t>WILLEBROEK</t>
  </si>
  <si>
    <t>WINGENE</t>
  </si>
  <si>
    <t>WOLUWE-SAINT-LAMBERT</t>
  </si>
  <si>
    <t>WOLUWE-SAINT-PIERRE</t>
  </si>
  <si>
    <t>WOMMELGEM</t>
  </si>
  <si>
    <t>WORTEGEM-PETEGEM</t>
  </si>
  <si>
    <t>WUUSTWEZEL</t>
  </si>
  <si>
    <t>ZANDHOVEN</t>
  </si>
  <si>
    <t>ZAVENTEM</t>
  </si>
  <si>
    <t>ZEDELGEM</t>
  </si>
  <si>
    <t>ZELE</t>
  </si>
  <si>
    <t>ZELZATE</t>
  </si>
  <si>
    <t>ZEMST</t>
  </si>
  <si>
    <t>ZINGEM</t>
  </si>
  <si>
    <t>ZOERSEL</t>
  </si>
  <si>
    <t>ZOMERGEM</t>
  </si>
  <si>
    <t>ZONHOVEN</t>
  </si>
  <si>
    <t>ZONNEBEKE</t>
  </si>
  <si>
    <t>ZOTTEGEM</t>
  </si>
  <si>
    <t>ZOUTLEEUW</t>
  </si>
  <si>
    <t>ZUIENKERKE</t>
  </si>
  <si>
    <t>ZULTE</t>
  </si>
  <si>
    <t>ZUTENDAAL</t>
  </si>
  <si>
    <t>ZWALM</t>
  </si>
  <si>
    <t>ZWEVEGEM</t>
  </si>
  <si>
    <t>ZWIJNDRECHT</t>
  </si>
  <si>
    <t>Fiche action N° (ds le PAEDC)</t>
  </si>
  <si>
    <t>Outil/Domaine d'intervention</t>
  </si>
  <si>
    <t>Domaine de l'action</t>
  </si>
  <si>
    <t>Risque climatique ciblé</t>
  </si>
  <si>
    <t>Axe (précarité énergétique)</t>
  </si>
  <si>
    <t>Contexe/Justification</t>
  </si>
  <si>
    <t xml:space="preserve">Besoin/contraintes, obstacles (juridique, institutionnelle, politique, informationnelle, technique, financière, …) sur lesquels le projet veut agir </t>
  </si>
  <si>
    <t>Cohérence du projet par rapport au niveau d’exemplarité de la commune (voir  formulaire GPL  question XX) et des priorités de son PST </t>
  </si>
  <si>
    <t>Source d’inspiration pour la rédaction de la fiche (commune ayant développé un projet similaire, lien vers un article...) (non obligatoire)</t>
  </si>
  <si>
    <t>Brève description</t>
  </si>
  <si>
    <t>Objectif (Smart)</t>
  </si>
  <si>
    <t>Public-cible</t>
  </si>
  <si>
    <t>Femmes et filles</t>
  </si>
  <si>
    <t>Enfants</t>
  </si>
  <si>
    <t>Jeunes</t>
  </si>
  <si>
    <t>Personnes âgées</t>
  </si>
  <si>
    <t>Groupes marginalisés</t>
  </si>
  <si>
    <t>Personnes handicapées</t>
  </si>
  <si>
    <t>Personnes atteintes de maladies chroniques</t>
  </si>
  <si>
    <t>Ménages à faible revenu</t>
  </si>
  <si>
    <t>Chômeurs</t>
  </si>
  <si>
    <t>Personnes vivant dans des logements précaires</t>
  </si>
  <si>
    <t>Migrants et personnes déplacées</t>
  </si>
  <si>
    <t xml:space="preserve">Groupe(s) de population vulnérable(s) ciblé(s) 
</t>
  </si>
  <si>
    <t>Gouvernance</t>
  </si>
  <si>
    <t xml:space="preserve">Partenaires </t>
  </si>
  <si>
    <t>Type de parties prenantes impliquées</t>
  </si>
  <si>
    <t>Rôles</t>
  </si>
  <si>
    <t>Implication locale</t>
  </si>
  <si>
    <t>Processus participatif développé</t>
  </si>
  <si>
    <t>Partenariat mis en place avec acteurs locaux (association, coopératives, écoles…)</t>
  </si>
  <si>
    <t>Charge de travail interne à l'AC (hors cpc)</t>
  </si>
  <si>
    <t>Charge de travail du CPC</t>
  </si>
  <si>
    <t>Budget</t>
  </si>
  <si>
    <t>Durée de vie de l'investissement (en année)</t>
  </si>
  <si>
    <t>Retour sur investissement (%)</t>
  </si>
  <si>
    <t>Nom du programme de subside</t>
  </si>
  <si>
    <t xml:space="preserve">Coûts d'investissement (€) </t>
  </si>
  <si>
    <t>Coûts non liés aux investissements (€)</t>
  </si>
  <si>
    <t>Emplois créés (équivalent temps plein)</t>
  </si>
  <si>
    <t>Plan de travail</t>
  </si>
  <si>
    <t>Tâche/ étape</t>
  </si>
  <si>
    <t>Estimation charge jour-personne du CPC</t>
  </si>
  <si>
    <t>Etat d'avancement
(suivi uniquement)</t>
  </si>
  <si>
    <t>Indicateurs</t>
  </si>
  <si>
    <t xml:space="preserve">Les indicateurs d’impacts servent à déterminer si l’activité a ou non atteint l’objectif visé ou produit les résultats voulus.
Valeur Cible : Valeur fixée pour atteindre l’objectif
Echéance : Date à laquelle la valeur cible serra atteinte.
Méthode de collecte de l'information : Manière dont l’information sur la valeur cible sera collectée
Valeut atteinte au moment du suivi : indicquer la valeur atteitne lors du suivi annuel
  </t>
  </si>
  <si>
    <t xml:space="preserve">INDICATEUR D'IMPACT QUANTITATIF </t>
  </si>
  <si>
    <t>Méthode de collecte</t>
  </si>
  <si>
    <t>Valeur atteinte au moment du suivi</t>
  </si>
  <si>
    <t>Sélectionnez un indicateur clé</t>
  </si>
  <si>
    <t>!B35</t>
  </si>
  <si>
    <t>!D35</t>
  </si>
  <si>
    <t>!B36</t>
  </si>
  <si>
    <t>!D36</t>
  </si>
  <si>
    <t>!B37</t>
  </si>
  <si>
    <t>!D37</t>
  </si>
  <si>
    <t>!B38</t>
  </si>
  <si>
    <t>!D38</t>
  </si>
  <si>
    <t>!B39</t>
  </si>
  <si>
    <t>!D39</t>
  </si>
  <si>
    <t>!B40</t>
  </si>
  <si>
    <t>!D40</t>
  </si>
  <si>
    <t>!B41</t>
  </si>
  <si>
    <t>!D41</t>
  </si>
  <si>
    <t>!B42</t>
  </si>
  <si>
    <t>!D42</t>
  </si>
  <si>
    <t>!B43</t>
  </si>
  <si>
    <t>!D43</t>
  </si>
  <si>
    <t xml:space="preserve">INDICATEUR D'IMPACT QUALITATIF </t>
  </si>
  <si>
    <t>Critère évaluation de l'indicateur</t>
  </si>
  <si>
    <t>x</t>
  </si>
  <si>
    <t>Remplissage automatique des matrices de la Convention des Maires</t>
  </si>
  <si>
    <t>Les feuilles suivantes reprennent les matrices de la Convention des Maires préremplies sur bases des différentes informations récoltées dans les feuilles précédentes.</t>
  </si>
  <si>
    <t>Navigation:</t>
  </si>
  <si>
    <t>&gt; Stratégie</t>
  </si>
  <si>
    <t>&gt; Inventaire de référence des émissions</t>
  </si>
  <si>
    <t>&gt; Inventaire de contrôle des émissions</t>
  </si>
  <si>
    <t>&gt; Mes actions</t>
  </si>
  <si>
    <t>Vue d’ensemble</t>
  </si>
  <si>
    <t>Année d'inventaire</t>
  </si>
  <si>
    <t xml:space="preserve">Cellules remplies automatiquement </t>
  </si>
  <si>
    <t>Population pendant l'année de l'inventaire</t>
  </si>
  <si>
    <t xml:space="preserve">Type de facteur d'émission </t>
  </si>
  <si>
    <t>GIEC</t>
  </si>
  <si>
    <t>LCA (Life Cycle Assessment)</t>
  </si>
  <si>
    <t>National/infranational</t>
  </si>
  <si>
    <t xml:space="preserve">Unité de recensement des émissions </t>
  </si>
  <si>
    <r>
      <t xml:space="preserve">  tonnes CO</t>
    </r>
    <r>
      <rPr>
        <vertAlign val="subscript"/>
        <sz val="11"/>
        <color theme="1" tint="0.34998626667073579"/>
        <rFont val="Arial"/>
        <family val="2"/>
      </rPr>
      <t>2</t>
    </r>
    <r>
      <rPr>
        <sz val="11"/>
        <color theme="1" tint="0.34998626667073579"/>
        <rFont val="Arial"/>
        <family val="2"/>
      </rPr>
      <t xml:space="preserve"> </t>
    </r>
  </si>
  <si>
    <r>
      <t xml:space="preserve">  tonnes CO</t>
    </r>
    <r>
      <rPr>
        <b/>
        <vertAlign val="subscript"/>
        <sz val="11"/>
        <color theme="1" tint="0.34998626667073579"/>
        <rFont val="Arial"/>
        <family val="2"/>
      </rPr>
      <t>2</t>
    </r>
    <r>
      <rPr>
        <b/>
        <sz val="11"/>
        <color theme="1" tint="0.34998626667073579"/>
        <rFont val="Arial"/>
        <family val="2"/>
      </rPr>
      <t xml:space="preserve"> equivalent</t>
    </r>
  </si>
  <si>
    <t>Facteurs d’émission de CO2</t>
  </si>
  <si>
    <t>Chauffage et refroidissement</t>
  </si>
  <si>
    <t>Combustibls fossiles</t>
  </si>
  <si>
    <t>National</t>
  </si>
  <si>
    <t>Local</t>
  </si>
  <si>
    <t>Mazout de chauffage</t>
  </si>
  <si>
    <t>Lignite</t>
  </si>
  <si>
    <t>Autres combustibles fossiles</t>
  </si>
  <si>
    <t>Biocombustible</t>
  </si>
  <si>
    <t>Huile végétale</t>
  </si>
  <si>
    <t>Aqutre biomasse</t>
  </si>
  <si>
    <t>Energie thermique solaire</t>
  </si>
  <si>
    <t>Géothermique</t>
  </si>
  <si>
    <t>Butane, propane</t>
  </si>
  <si>
    <t>Consommation finale d'énergie</t>
  </si>
  <si>
    <t>Autre P.P.</t>
  </si>
  <si>
    <t>Fioul</t>
  </si>
  <si>
    <t>Solides</t>
  </si>
  <si>
    <t>Gaz de HF</t>
  </si>
  <si>
    <t>Bioethanol</t>
  </si>
  <si>
    <t>Gaz de Cokerie</t>
  </si>
  <si>
    <t>CONSOMMATION FINALE D'ENERGIE [MWh]</t>
  </si>
  <si>
    <t>Combustibles fossiles</t>
  </si>
  <si>
    <t>BATIMENTS, EQUIPEMENTS/INSTALLATIONS ET INDUSTRIE</t>
  </si>
  <si>
    <t>Bâtiments, équipements/installations municipaux</t>
  </si>
  <si>
    <t>Bâtiments, équipements/installations tertiaires non-municipaux</t>
  </si>
  <si>
    <t>Industrie non-SEQE</t>
  </si>
  <si>
    <t xml:space="preserve">Subtotal </t>
  </si>
  <si>
    <t>Parc automobile municipal</t>
  </si>
  <si>
    <t>Transports publics</t>
  </si>
  <si>
    <t>Trasnports privés et commerciaux</t>
  </si>
  <si>
    <t xml:space="preserve">OTHER  </t>
  </si>
  <si>
    <t>Agriculturel, sylviculture et pêche</t>
  </si>
  <si>
    <t>Production d'électricité locale/distribuée (énergies renouvelables uniquement)</t>
  </si>
  <si>
    <t xml:space="preserve">Installations locales d'électricité renouvelable </t>
  </si>
  <si>
    <t>Electricité renouvelab le produite [MWh]</t>
  </si>
  <si>
    <t>Facteur d'émission [t/MWh produit]</t>
  </si>
  <si>
    <t>Emissions [tCO2éq]</t>
  </si>
  <si>
    <t>Energie hydroélectrique</t>
  </si>
  <si>
    <t>TOTAL</t>
  </si>
  <si>
    <t>Production d'électricité locale/distribuée</t>
  </si>
  <si>
    <t>Electricité produite [MWh]</t>
  </si>
  <si>
    <t>Apports de vecteurs énergétiques [MWh]</t>
  </si>
  <si>
    <t>Emissions de CO2/équivalents CO2 [t]</t>
  </si>
  <si>
    <t>Autre biomasse</t>
  </si>
  <si>
    <t>Autres énergies renouvelables</t>
  </si>
  <si>
    <t xml:space="preserve">Electricité renouvlable </t>
  </si>
  <si>
    <t>Electricité non-renouvelable</t>
  </si>
  <si>
    <t>Sources d'énergie fossiles</t>
  </si>
  <si>
    <t>Sources renouvelables</t>
  </si>
  <si>
    <t>Production combinée de chaleur et d'électricité</t>
  </si>
  <si>
    <t>B4. Local heat/cold production</t>
  </si>
  <si>
    <t>Chaleur/froid produits [MWh]</t>
  </si>
  <si>
    <t xml:space="preserve">Chaleur/froid renouvlable </t>
  </si>
  <si>
    <t>Chaleur/froid non-renouvelable</t>
  </si>
  <si>
    <t xml:space="preserve">Combined Heat and Power </t>
  </si>
  <si>
    <t xml:space="preserve">District heating (heat-only) </t>
  </si>
  <si>
    <t>C. CO2 emissions</t>
  </si>
  <si>
    <t>[t/MWh]:</t>
  </si>
  <si>
    <t>Click here to visualise fuel emission factors</t>
  </si>
  <si>
    <t>Electricity</t>
  </si>
  <si>
    <t>Heat/cold</t>
  </si>
  <si>
    <t>Fossil fuels</t>
  </si>
  <si>
    <t>Renewable energies</t>
  </si>
  <si>
    <t>Natural gas</t>
  </si>
  <si>
    <t>Liquid gas</t>
  </si>
  <si>
    <t>Heating oil</t>
  </si>
  <si>
    <t>Gasoline</t>
  </si>
  <si>
    <t>Coal</t>
  </si>
  <si>
    <t>Other fossil fuels</t>
  </si>
  <si>
    <t xml:space="preserve">Biofuel </t>
  </si>
  <si>
    <t>Plant oil</t>
  </si>
  <si>
    <t>Other biomass</t>
  </si>
  <si>
    <t>Solar thermal</t>
  </si>
  <si>
    <t>Geothermal</t>
  </si>
  <si>
    <t>Secteurs non liés à l'énergie (veuillez compléter cette section si votre Plan inclut des secteurs non liés à l'énergie)</t>
  </si>
  <si>
    <t>Secteurs non-liés à l'énergie</t>
  </si>
  <si>
    <t>Emissions éq. CO2 [t]</t>
  </si>
  <si>
    <t>Données d'activités [tonnes]</t>
  </si>
  <si>
    <t>Données d'activités [m³]</t>
  </si>
  <si>
    <t>Epuration et rejet des eaux usées</t>
  </si>
  <si>
    <t>Autres émissions non liées à l'énergi, telles ques les émissions fugitives</t>
  </si>
  <si>
    <t>Emission Inventory</t>
  </si>
  <si>
    <t>Emissions de CO2 [t]/ émissionsd'éq. CO2[(t]</t>
  </si>
  <si>
    <t>Cellules remplies automatiquement</t>
  </si>
  <si>
    <t>Cible(s) et engagement(s)</t>
  </si>
  <si>
    <t>Cible CO2</t>
  </si>
  <si>
    <t>Année cible</t>
  </si>
  <si>
    <t>Type de réduction</t>
  </si>
  <si>
    <t>Estimation de la population de l’année cible</t>
  </si>
  <si>
    <t>Science-based target</t>
  </si>
  <si>
    <t>CoM 2020</t>
  </si>
  <si>
    <t>%</t>
  </si>
  <si>
    <t>CoM 2030</t>
  </si>
  <si>
    <t>Unité (% ou autre)</t>
  </si>
  <si>
    <t>Target value</t>
  </si>
  <si>
    <t>Base year value</t>
  </si>
  <si>
    <t>Main climate hazard addressed</t>
  </si>
  <si>
    <t>Progress Towards The Target</t>
  </si>
  <si>
    <t>Effectifs prévus</t>
  </si>
  <si>
    <t>Préparation du plan</t>
  </si>
  <si>
    <t>Mise en œuvre du plan</t>
  </si>
  <si>
    <t>Nombre (estimé) d'emplois équivalents temps plein</t>
  </si>
  <si>
    <t xml:space="preserve">Autre(s) niveau(x) de gouvernance (par exemple , Coordination ou Promoteur de la Convention </t>
  </si>
  <si>
    <t>Consultant externe</t>
  </si>
  <si>
    <t>Budget total prévu pour la mise en œuvre du plan</t>
  </si>
  <si>
    <t>Budget dépensé à ce jour</t>
  </si>
  <si>
    <t xml:space="preserve">Total </t>
  </si>
  <si>
    <t xml:space="preserve">Exercice budgétaire </t>
  </si>
  <si>
    <t>Année(s)</t>
  </si>
  <si>
    <t>Sources de financement</t>
  </si>
  <si>
    <t>Proportion (en % du budget global)</t>
  </si>
  <si>
    <t>Externe</t>
  </si>
  <si>
    <t>- Public</t>
  </si>
  <si>
    <t>- Fonds privés</t>
  </si>
  <si>
    <t>Non affecté à une source</t>
  </si>
  <si>
    <t>Plateforme rénov</t>
  </si>
  <si>
    <t>Plateforme de rénovation des bâtiments</t>
  </si>
  <si>
    <t xml:space="preserve">En s’inspirant du modèle de la Ville de Gembloux déjà reproduit sur plusieurs territoires wallons (GAL Pays de l’Ourthe, GAL Pays des Condruses, etc.), il s’agit de créer une plateforme en vue d’accompagner les candidats rénovateurs dans la définition, le financement et la concrétisation de leur projet de rénovation. En regroupant une série d’entrepreneurs locaux et en facilitant leur relation avec le candidat rénovateur, ce type de plateforme favorise la rénovation massive. </t>
  </si>
  <si>
    <t>Fiche bonne pratique POLLEC :
http://lampspw.wallonie.be/dgo4/conventiondesmaires/assets/documents/content/bonne-pratique/99/renovenergie.pdf</t>
  </si>
  <si>
    <t>Tiers invest PV</t>
  </si>
  <si>
    <t>Tiers investissement PV sur bâtiments communaux</t>
  </si>
  <si>
    <t xml:space="preserve">La commune lance un marché de travaux afin de désigner un prestataire de type tiers investisseur pour l’étude, la fourniture, l’installation, l’exploitation et la maintenance d’une installation solaire photovoltaïque lui permettant de diminuer ses coûts énergétiques. 
Dans son offre, le prestataire garantit un niveau de production électrique. La commune met à la disposition du prestataire une ou plusieurs surfaces de toiture ou des terrains dont elle est propriétaire, locataire emphytéotique ou usufruitière.   
Le prestataire assure le financement, l’installation, l’exploitation et la maintenance des équipements. Il est également responsable d’effectuer (ou d’accompagner la commune dans) toutes les démarches administratives nécessaires à l’exécution du contrat, y compris la réservation des CV, les demandes de permis éventuelles, et la réception par un organisme de contrôle agréé. 
La commune devient pleine propriétaire de l’installation à l’issue du contrat.
La commune peut exiger que le prestataire assure le financement en mobilisant les citoyens afin que ceux-ci participent au financement des installations. </t>
  </si>
  <si>
    <t>Note de recommandations et modèle de cahier des charges: http://lampspw.wallonie.be/dgo4/conventiondesmaires/outils-mettre-son-plan-en-œuvre</t>
  </si>
  <si>
    <t>Initiatives transition</t>
  </si>
  <si>
    <t>Soutien aux initiatives citoyennes de transition</t>
  </si>
  <si>
    <t>Il s’agit de soutenir les initiatives citoyennes de transition présentes sur le territoire communal à travers les actions suivantes :
     • Rendre l’administration accessible aux groupes citoyens
     • Mettre à disposition certains services et outils communaux
     • Faciliter au mieux les démarches administratives
     • Relayer les activités des groupes citoyens
Etapes de mise en œuvre
     • Organiser une rencontre des initiatives citoyennes 
     • Synthétiser les besoins et soumettre au Collège communal les éventuelles propositions d’adaptation des structures administratives ou de règlements communaux ainsi que la désignation d’un collaborateur relais et l’allocation des moyens nécessaires à sa mission.
     • Définir clairement les missions du collaborateur relais, estimer la charge de travail que cette mission représente, et lui permettre de dégager le temps de travail nécessaire à la bonne gestion de cette mission.
     • Organiser une réunion des différents services communaux concernés pour coordonner l’adaptation des structures administratives et l’application des modifications de règlements communaux.
     • Prévoir une évaluation périodique de cette mise en œuvre suivie d’éventuelles nouvelles adaptations.</t>
  </si>
  <si>
    <t>Fiche bonne pratique POLLEC: http://lampspw.wallonie.be/dgo4/conventiondesmaires/assets/documents/content/bonne-pratique/100/rues-en-transition.pdf</t>
  </si>
  <si>
    <t>Coopérative</t>
  </si>
  <si>
    <t>Initier la création d'une coopérative active dans la transition énergétique</t>
  </si>
  <si>
    <t xml:space="preserve">Initier la création d'une coopérative citoyenne locale ou d'une association citoyenne locale à travers les étapes suivantes:
•	Identifier les besoins à satisfaire, s’accorder sur la finalité sociale et l’objet social
•	Mobiliser les acteurs, rechercher des partenaires : rassembler un groupe autour du projet
•	Evaluer la pertinence de la formule coopérative pour les besoins identifiés 
•	Evaluer la réceptivité du projet coopératif dans le milieu local (Ex : Organiser deux réunions à l’attention des citoyens afin de tâter le terrain et de vérifier si le projet allait répond à une demande).
•	Discuter de la gouvernance, rédiger les statuts de la coopérative
•	Construire un plan financier 
•	Récolter le capital nécessaire à la fondation de la coopérative 
•	Contacter un notaire pour organiser la création de la société
</t>
  </si>
  <si>
    <t>Fiche bonne pratique POLLEC: Coopérative énergie Mouscron - http://lampspw.wallonie.be/dgo4/conventiondesmaires/assets/documents/content/bonne-pratique/97/coopem.pdf</t>
  </si>
  <si>
    <t xml:space="preserve">Commune </t>
  </si>
  <si>
    <t>Comptabilité énergétique</t>
  </si>
  <si>
    <t>Comptabilité et cadastre énergétique</t>
  </si>
  <si>
    <t>La comptabilité énergétique permet de suivre les consommations énergétiques des bâtiments et équipements communaux, d’identifier les éventuelles dérives ou erreurs de régulation et de les corriger. 
La cadastre énergétique permet de classer les bâtiments communaux en termes de priorité d’intervention d’amélioration de l’efficacité énergétique. 
Etapes :
•	Etablir une liste de tous les bâtiments et équipements et de leurs installations techniques 
•	Relever des surfaces chauffées et/ou climatisées
•	Mettre en place une procédure de relevés mensuels des consommations énergétique et d’eau (identifier les personnes en charge de ces relevés et reprendre cette tâche dans leur description de fonction)
•	Compiler les relevé dans un logiciel information (tableau ou autre) permettant d’effectuer des analyses (les province de Liège, de Luxembourg et de Hainaut ont développé un logiciel qu’elles mettent à disposition de leurs communes) 
•	Eventuellement mettre en place un système de télérelève</t>
  </si>
  <si>
    <t xml:space="preserve">Modèle de CSC : http://lampspw.wallonie.be/dgo4/conventiondesmaires/outils-mettre-son-plan-en-oeuvre </t>
  </si>
  <si>
    <t>Génération Zéro Watt</t>
  </si>
  <si>
    <t xml:space="preserve">Il s’agit d’inscrire une ou plusieurs écoles de l’entité au Défi Génération Zéro Watt organisé par le CIFFUL (Université de Liège). Ce programme vise à réduire la consommation d’électricité de l’école par la chasse aux consommations cachées ou inutiles.
En fonction du degré de mobilisation des élèves, l’école peut :
•	aisément réaliser une économie égale ou supérieure à 10% ;
•	ou se situer dans la moyenne, correspondante à une économie de 20% ;
•	ou encore, être plus performante, jusqu’à 60% d’économie par exemple.
L’enseignant est soutenu par un accompagnateur spécialisé en éducation à l’énergie. Celui-ci vient 4 fois dans l’école. Il dispose de ressources pédagogiques et propose aussi des animations pour l’éveil aux enjeux de l’énergie.
Sa mission est financée par le Service public de Wallonie dans le cadre de chaque campagne annuelle. </t>
  </si>
  <si>
    <t>Plus d'info: https://www.generationzerowatt.be/fr/home/</t>
  </si>
  <si>
    <t>Ecoteam</t>
  </si>
  <si>
    <t>Mettre en place une écoteam</t>
  </si>
  <si>
    <t>Il s’agit de créer au sein des services communaux une équipe ayant pour objectif d’amener les travailleurs à choisir volontairement et librement des comportements favorables du développement durable.
L’action se déroule avec l’appui d’un animateur membre de l’administration formé et/ou animateur externe et repose sur des techniques d’autonomisation (« empowerment » en anglais).
L’animateur apporte au groupe des informations générales sur les différentes problématiques soulevées (énergie, papier, eau…). Pour chaque thématique, un ou deux « préparateurs » récoltent les données spécifiques à la commune. Ensuite, les membres de l’EcoTeam fixent des objectifs et proposent des actions concrètes destinées à favoriser des comportements plus respectueux du développement durable. Ces actions sont directement portées et implémentées par les membres de l’EcoTeam (l’animateur se contentant de jouer un rôle de catalyseur). Ces techniques encouragent les travailleurs à donner le meilleur d’eux-mêmes et à s’entraider pour permettre à l’équipe de réussir.</t>
  </si>
  <si>
    <t>Plus d'info: http://www.eco-team.be/</t>
  </si>
  <si>
    <t>Eclairage public LED</t>
  </si>
  <si>
    <t>Convertir l'éclairage public à la technologie LED</t>
  </si>
  <si>
    <t>Dans le cadre de l’Obligation de Service Public régie par l’AGW 2018 et sa dernière modification de 2017, le GRD est tenu de convertir de l’ensemble du parc d’éclairage public au LED. Le résultat attendu est une économie d’énergie de 60% à 70% de 2020 à 2030. 
L’OSP concerne uniquement l’éclairage public. Ne concerne donc pas l’éclairage privatif de la Commune (celui qui est derrière un compteur d’un bâtiment – qui n’est pas géré par les GRD). 
Environ 2/3 de l’investissement et à charge de la commune. L’AGW impose que l’économie financière obtenue grâce à l’économie d’énergie et d’entretien permette que l’investissement soit rentabilisé en moyenne sur maximum 15 ans. 
Le rôle de la commune est très important pour permettre au GRD de respecter le planning :
•	Intégration des dépenses dans le budget extraordinaire
•	Réponse rapide à l’offre du GRD</t>
  </si>
  <si>
    <t>Déploiement de réseaux cyclo-piétons</t>
  </si>
  <si>
    <t xml:space="preserve">Certaines communes définissent et développent des réseaux destinés aux déplacements quotidiens à pied ou à vélo. La conception en réseaux permet de travailler de façon plus cohérente, de développer une vision d’ensemble des travaux à mener ainsi que de prioriser les phases de chantiers à réaliser. 
La mise en place de tels réseaux comporte généralement trois étapes : 
•	La réalisation d’un état des lieux des chemins et sentiers publics du territoire, à la fois sur base de cartes IGN, de l’Atlas des chemins vicinaux, du cadastre,… et sur base d’un inventaire de terrain qui permet de vérifier l’état de ces chemins et sentiers ; 
•	La création, à partir du réseau existant répertorié, de la cartographie d’un maillage structuré permettant de relier entre eux les villages et quartiers aux pôles d’attractivité (écoles, complexes sportifs, commerces…) ; 
•	La mise en œuvre du réseau, en réhabilitant les sentiers et chemins peu praticables et en créant les liaisons manquantes. </t>
  </si>
  <si>
    <t>plus d'infos : http://lampspw.wallonie.be/dgo4/conventiondesmaires/la-mobilite-douce-deploiement-de-reseaux-cyclo-pietons</t>
  </si>
  <si>
    <t>Potentiel grand PV</t>
  </si>
  <si>
    <t>Etude de potentiel grand photovoltaïque</t>
  </si>
  <si>
    <t xml:space="preserve">Il s'agit d'étudier le potentiel d’installation de centrales photovoltaïques de grande puissance sur le territoire communal. 
Cette étude visera à identifier les sites potentiels, à évaluer le faisabilité du raccordement au réseau électrique et à dimensionner les installations afin de maximiser la rentabilité de l’investissement sur chaque site. Ce dimensionnement se basera notamment sur une estimation de l’autoconsommation. La possibilité d’un surdimensionnement des installations en vue de la mise en place d’un mécanisme d’autoconsommation collective par plusieurs bâtiments communaux et privés pourra également envisagée.
Cette étude visera également à identifier les partenaires potentiellement mobilisables pour le financement et la gestion de ces installations et du mécanisme d’autoconsommation collective (communauté énergétique). Plusieurs scénarios d’investissement seront étudiés pour chaque installation. </t>
  </si>
  <si>
    <t>Marché cadre communication</t>
  </si>
  <si>
    <t>Accord-cadre pour communiquer autour du plan énergie climat</t>
  </si>
  <si>
    <t xml:space="preserve">L'accord-cadre de communication consiste à trouver un mode de partenariat souple qui permet à la commune de cocréer les actions de communication avec un prestataire externe dans une dynamique évolutive et réactive à travers une flexibilité technique et budgétaire. 
La mission du prestataire peut reprendre les tâches suivantes :
•	Elaboration d’un plan de communication stratégique du Plan Energie Climat (en interne et externe) ;
•	Définition des priorités de communication ;
•	Choix du (ou des) support(s) le(s) plus approprié(s) ;
•	Choix du style de messages à diffuser ;
•	Définition d’actions spécifiques et ciblées, telles que des campagnes media (radio, TV, presse), etc. ;
•	Tâches ponctuelles : stratégie en matière de diffusion de l’information auprès des publics-cibles concernés, aide à la rédaction de textes, animation de pages web (rédaction d'actualités, présentation de résultats concrets, mise à jour de chiffres-clé, etc.), conception de supports divers, (ré-)écriture de brochures, communiqués et conférences de presse, etc.
En termes contractuels, ce fonctionnement se traduit par un marché à bordereau de prix, soit un marché dans lequel le prestataire offre des prix unitaires et est payé uniquement pour les quantités effectivement commandées. 
</t>
  </si>
  <si>
    <t>Plus d'infos: http://lampspw.wallonie.be/dgo4/conventiondesmaires/communiquer-autour-du-plan-energie-climat</t>
  </si>
  <si>
    <t xml:space="preserve">Mise en œuvre d'une ZACC selon le principe de quartier durable </t>
  </si>
  <si>
    <t>La commune peut activer différents leviers pour soutenir une urbanisation durable sur son territoire.
Ces leviers sont différents en fonction de la propriété des terrains à urbaniser : 
-Elaboration de documents de cadrage (SOL, GCU, charges d'urbanisme)
-Développement d'outils d'aménagement opérationnel (SAR, rénovation urbaine,..) 
-Partenariat publi-privé, Procédure de dialogue compétitif</t>
  </si>
  <si>
    <t>Plus d'infos: http://lampspw.wallonie.be/dgo4/conventiondesmaires/urbanisation-durable-quel-role-peut-jouer-la-commune-comment-agir</t>
  </si>
  <si>
    <t>Installer une borne de recharge électrique rapide</t>
  </si>
  <si>
    <t>Installation de bornes de rechargement électrique rapide</t>
  </si>
  <si>
    <t>La commune lance un marché de travaux afin de désigner un opérateur qui installera une borne de recharge rapide pour véhicules électriques sur son territoire. Cette action peut être menée conjointement au déployement d'un  service de véhicules partagés sur la commune</t>
  </si>
  <si>
    <t>Acquisition ou leasing de véhicules CNG</t>
  </si>
  <si>
    <t xml:space="preserve">Leasing de […] véhicules CNG pour le renouvellement du parc automobile de </t>
  </si>
  <si>
    <t>La commune lance un marché   afin d'aquérir un véhicule au CNG pour sa flotte communale ou de réaliser un leasing pour son parc automobile</t>
  </si>
  <si>
    <t>http://lampspw.wallonie.be/dgo4/conventiondesmaires/outils-mettre-son-plan-en-oeuvre</t>
  </si>
  <si>
    <t xml:space="preserve">Mettre en place un service de véhicules partagés (type Cambio) </t>
  </si>
  <si>
    <t>La commune lance un marché pour la mise en place d'un service de véhicules partatgés sur son territoire. Cette action  présente de multiples avantages : optimisation de l’utilisation des véhicules, réduction de la taille du parc automobile, diminution du trafic sur les routes, du stationnement, réduction des dépenses pour l’individu et pour la collectivité</t>
  </si>
  <si>
    <t>Plus d'infos : http://lampspw.wallonie.be/dgo4/conventiondesmaires/assets/documents/content/bonne-pratique/453/la-mobilite-partagee-linfrastructure-de-recharge-pour-vehicules-electriques.pdf</t>
  </si>
  <si>
    <t xml:space="preserve">Mise en place Plateforme transcommunale de séchage de bois </t>
  </si>
  <si>
    <t>Production de chaleur/froid locale</t>
  </si>
  <si>
    <t>Projet Eolien</t>
  </si>
  <si>
    <t>Participation de la commune dans un projet éolien</t>
  </si>
  <si>
    <t>La commune peut participer à un projet éolien sur son territoire de différentes manières via :  
- La création ou la participation à une société d’exploitation
- La création d’une association de projet par un nombre limité de communes
- La création d’une intercommunale ou l’extension de l’objet social d’une intercommunale existante
- La mise en place d'une taxe communal
- La mise à disposition de terrains du patrimoine communal</t>
  </si>
  <si>
    <t>Plus d'infos : http://lampspw.wallonie.be/dgo4/conventiondesmaires/les-projets-eoliens-differentes-formes-dimplication-communale</t>
  </si>
  <si>
    <t xml:space="preserve">Rangs scolaires à vélo </t>
  </si>
  <si>
    <t xml:space="preserve">Mise en place de rangs scolaires à vélo </t>
  </si>
  <si>
    <t>La commune met en place un rang vélo pour les élèves. Elle met à disposition du personnel communal qui accompagneme ces rangs et en fait la promotion de manière annuelle. La commune a établi une charte pour les participants à l’action. Cette charte signée par les élèves, les parents et les accompagnateurs engage moralement la personne à participer régulièrement àl'action.</t>
  </si>
  <si>
    <t>Plus d'infos : http://lampspw.wallonie.be/dgo4/conventiondesmaires/assets/documents/content/bonne-pratique/452/.pdf</t>
  </si>
  <si>
    <t>Rue scolaire</t>
  </si>
  <si>
    <t>Mise en place de rue scolaire</t>
  </si>
  <si>
    <t>La commune peut mettre en place une rue scolaire: il s'agit d'une rue bordant une école dans laquelle la circulation  est réservée aux piétons et aux cyclistes de manière temporaire et à certaines heures définies</t>
  </si>
  <si>
    <t>Plus d'infos: http://lampspw.wallonie.be/dgo4/conventiondesmaires/assets/documents/content/bonne-pratique/452/.pdf</t>
  </si>
  <si>
    <t>Consultant en stratégie et optimisation énergétique des bâtiments publics</t>
  </si>
  <si>
    <t>Désignation d’un consultant en stratégie et optimisation énergétique des bâtiments publics</t>
  </si>
  <si>
    <t xml:space="preserve">La commune lance un marché public pour désigner un prestataire dont la mission sera de la conseiller sur les choix et les moyens d’actions pour réaliser une rénovation énergétique performante de ses bâtiments, y compris les « techniques spéciales </t>
  </si>
  <si>
    <t>Plus d'infos:  http://lampspw.wallonie.be/dgo4/conventiondesmaires/outils-mettre-son-plan-en-œuvre</t>
  </si>
  <si>
    <t>Domaine d'intervention CdM</t>
  </si>
  <si>
    <t>Traduction</t>
  </si>
  <si>
    <t>Code INS commune</t>
  </si>
  <si>
    <t>Source: CAPRU</t>
  </si>
  <si>
    <t xml:space="preserve">Facteur d'émission CO2 (t/MWh) </t>
  </si>
  <si>
    <t>Gaz naturel (m³)</t>
  </si>
  <si>
    <t>PCI (kJ/l)</t>
  </si>
  <si>
    <t>PCI (kWh/l)</t>
  </si>
  <si>
    <t>litres</t>
  </si>
  <si>
    <t>Fuel lourd</t>
  </si>
  <si>
    <t>Propane, butane, LPG</t>
  </si>
  <si>
    <t>Gaz naturel (kWh PCS)</t>
  </si>
  <si>
    <t>Kérosène</t>
  </si>
  <si>
    <t>Bois pellets</t>
  </si>
  <si>
    <t>tonnes</t>
  </si>
  <si>
    <t>Bois copeaux</t>
  </si>
  <si>
    <t>Facteur national d'émissions de l'électricité</t>
  </si>
  <si>
    <t>DJ 15/15</t>
  </si>
  <si>
    <t>Moyenne</t>
  </si>
  <si>
    <t>Électricité produite localement                                                 (à l'exclusion des installations relevant du système d'échange de quotas  d'émission, et toutes les centrales/unités &gt; 20 MW)</t>
  </si>
  <si>
    <t>Facteurs d'émission équiv. CO2 [t/MWh]</t>
  </si>
  <si>
    <t>% normalisation</t>
  </si>
  <si>
    <t>Énergie éolienne</t>
  </si>
  <si>
    <t>Énergie hydro-électrique</t>
  </si>
  <si>
    <t>Installations photovoltaïques</t>
  </si>
  <si>
    <t>Actions d’atténuation</t>
  </si>
  <si>
    <t>Secteurs d'atténuation</t>
  </si>
  <si>
    <t>Nombre d'actions incluses dans le plan</t>
  </si>
  <si>
    <t>Avancement de la mise en œuvre du plan d’action</t>
  </si>
  <si>
    <t>Estimates in 2030</t>
  </si>
  <si>
    <t>Terminé</t>
  </si>
  <si>
    <t>Non démarrée</t>
  </si>
  <si>
    <t>Économies d'énergie (MWh/an)</t>
  </si>
  <si>
    <t>Réduction de CO2 
(t CO2/a)</t>
  </si>
  <si>
    <t>MWh/an</t>
  </si>
  <si>
    <t>t CO2/an</t>
  </si>
  <si>
    <t>Bâtiments , équipements/installations tertiaires (non municipaux)</t>
  </si>
  <si>
    <t xml:space="preserve">Déchets </t>
  </si>
  <si>
    <t>Obj GWh</t>
  </si>
  <si>
    <t>Réalisé 2018</t>
  </si>
  <si>
    <t>Actions d’adaptation</t>
  </si>
  <si>
    <t>Secteurs d’adaptation</t>
  </si>
  <si>
    <t>A transition period applies - the fields marked in yellow will become mandatory to complete as of 1 January 2025.</t>
  </si>
  <si>
    <t>Domaines de précarité énergétique</t>
  </si>
  <si>
    <t>Aspects socio-économiques</t>
  </si>
  <si>
    <t>Equipements et habitat</t>
  </si>
  <si>
    <t>Participation/Sensibilisation</t>
  </si>
  <si>
    <t>Actions clés</t>
  </si>
  <si>
    <t>Numéro</t>
  </si>
  <si>
    <t>Atténuation/
Adaptation</t>
  </si>
  <si>
    <t>Détails des actions</t>
  </si>
  <si>
    <t>Type d'action</t>
  </si>
  <si>
    <t>Action clé ?</t>
  </si>
  <si>
    <t>Organisme 
responsable</t>
  </si>
  <si>
    <t>Brève description de 
l'action</t>
  </si>
  <si>
    <t>Adresse du site web</t>
  </si>
  <si>
    <t>Adresse de la vidéo</t>
  </si>
  <si>
    <t>Image de l'action</t>
  </si>
  <si>
    <t>Début de la mise en 
œuvre</t>
  </si>
  <si>
    <t>Fin de la mise en 
œuvre</t>
  </si>
  <si>
    <t>Avancement de la mise en œuvre</t>
  </si>
  <si>
    <t>Parties prenantes de l'action</t>
  </si>
  <si>
    <t>Sélectionner</t>
  </si>
  <si>
    <t>Financement de l'action</t>
  </si>
  <si>
    <t>Coût total de mise en 
œuvre (€)</t>
  </si>
  <si>
    <t>Coûts d'investissement
(€)</t>
  </si>
  <si>
    <t>Coûts non liés aux
investissements (€)</t>
  </si>
  <si>
    <t>Détails des actions d'atténuation</t>
  </si>
  <si>
    <t>Outil/domaine d'intervention</t>
  </si>
  <si>
    <t>Instrument politique</t>
  </si>
  <si>
    <t>Impact estimé</t>
  </si>
  <si>
    <t>Réduction de CO2 (t CO2/a)</t>
  </si>
  <si>
    <t>Détails des actions d'adaptation</t>
  </si>
  <si>
    <t>selected(fr)</t>
  </si>
  <si>
    <t>Secteur(s)</t>
  </si>
  <si>
    <t>Groupe(s) de population vulnérable(s) ciblé(s)</t>
  </si>
  <si>
    <t>Hypothèses et méthodologie</t>
  </si>
  <si>
    <t xml:space="preserve">Les tableaux ci-desous reprennent les valeurs utilisées dans l'outil. Notez néanmoins que ce ne sont pas les cellules de la présente feuille qui utilisées par l'outil. Leur modification par vos soins n'aurait donc aucun impact sur les résultats produits par l'outil. </t>
  </si>
  <si>
    <t>Facteurs d'émissions</t>
  </si>
  <si>
    <t>Pouvoir calorifique</t>
  </si>
  <si>
    <t xml:space="preserve">Productible annuel </t>
  </si>
  <si>
    <t>PCI (kWh/x)</t>
  </si>
  <si>
    <t>Unité de l'objectif</t>
  </si>
  <si>
    <t>Hypothèse pour l'estimation du productible annuel</t>
  </si>
  <si>
    <t>/litre</t>
  </si>
  <si>
    <t>MW</t>
  </si>
  <si>
    <t>2190 heures de fonctionnement à puissance nominale</t>
  </si>
  <si>
    <t>litre</t>
  </si>
  <si>
    <t>kW</t>
  </si>
  <si>
    <t>3300 heures de fonctionnement à puissance nominale</t>
  </si>
  <si>
    <t>tonnes/an</t>
  </si>
  <si>
    <t>Pouvoir calorifique du bois: 3500 kWh/tonne</t>
  </si>
  <si>
    <t>/kWh</t>
  </si>
  <si>
    <t>6500 heures de fonctionnement à puissance nominale</t>
  </si>
  <si>
    <t>/kWh PCS</t>
  </si>
  <si>
    <t>m²</t>
  </si>
  <si>
    <t>Production spécifique : 390 kWh/m²/an</t>
  </si>
  <si>
    <t>/m³</t>
  </si>
  <si>
    <t>kWc</t>
  </si>
  <si>
    <t>950 heures de fonctionnement à puissance nominale</t>
  </si>
  <si>
    <t>/tonne</t>
  </si>
  <si>
    <t>Facteur national d'émissions de l'électricité (tCO2éq/MWh)</t>
  </si>
  <si>
    <t>Conformément aux exigences de la Convention des Maires, le facteur d'émissions relatif à la consommation locale d'électricité est calculé pour tenir compte de la production locale d'électricité. La formule suivante est appliquée:</t>
  </si>
  <si>
    <t>Dans le cas exceptionnel où la commune est exportatrice nette d'électricité, la formule de calcul est la suivante:</t>
  </si>
  <si>
    <t>Degrés-jours 15-15</t>
  </si>
  <si>
    <t>Normale</t>
  </si>
  <si>
    <t>Variant</t>
  </si>
  <si>
    <t>Indicateurs de suivi prédéfinis</t>
  </si>
  <si>
    <t>Alerte</t>
  </si>
  <si>
    <t>Attention! Les objectifs de production d'électricités sont supérieurs à la consommation totale d'électricité lors de l'année de contrôle</t>
  </si>
  <si>
    <t>Objectif d'évolution des concommsations d'énergie entre 2006 et 2030</t>
  </si>
  <si>
    <t>Rapport de suivi de mise en œuvre du PAEDC 2030</t>
  </si>
  <si>
    <t>Potentiel EnR'!A55</t>
  </si>
  <si>
    <t>Production d'énergie renouvelable en 2006</t>
  </si>
  <si>
    <t>Inventaire de Contrôle des Emissions - ICE (Monitoring Emissions Inventory - MEI)</t>
  </si>
  <si>
    <t>Inventaire de Référence des Emissions - IRE (Baseline Emissions Inventory - BEI)</t>
  </si>
  <si>
    <t>Objectif 2030 par rapport à 2006</t>
  </si>
  <si>
    <t>Augmentation de production annuelle en 2030 par rapport à 2006 (GWh/an)</t>
  </si>
  <si>
    <t>Réduction des émissions entre 2006 et 2030 (tCO2éq/an)</t>
  </si>
  <si>
    <t>Nouvelles unités de biométhanisation avec injection sur le réseau de gaz naturel pour un production de chaleur équivalente à x GWh</t>
  </si>
  <si>
    <t>Potentiel biogaz</t>
  </si>
  <si>
    <t>Gogen</t>
  </si>
  <si>
    <t>Injection</t>
  </si>
  <si>
    <t>GWh élec</t>
  </si>
  <si>
    <t>GWh chaleur</t>
  </si>
  <si>
    <t>Solde potentiel</t>
  </si>
  <si>
    <t>Valeur affichée</t>
  </si>
  <si>
    <t>0 GWh</t>
  </si>
  <si>
    <t>Facteur d'émissions du gaz réseau</t>
  </si>
  <si>
    <t>Injection biogaz (GWh)</t>
  </si>
  <si>
    <t>Part de la production éolienne</t>
  </si>
  <si>
    <t>Corrections de liens défaillants</t>
  </si>
  <si>
    <t xml:space="preserve">Clarification des termes "Année de référence" et "Année de contrôle" au regard des termes utilisés par la Convention des Maires en français et en anglais. </t>
  </si>
  <si>
    <t>Mise à jour: 31/07/2023 - Correction de quelques bugs</t>
  </si>
  <si>
    <t>Prise en compte des données jusqu'en 2022 (mise à jour des graphiques, DJ 15/15, Facteur d'émissions de l'électricité)</t>
  </si>
  <si>
    <t>Votre coordinateur POLLEC supra-local</t>
  </si>
  <si>
    <t>o Correction du titre de la cellule C10.</t>
  </si>
  <si>
    <t>o Ajout de la possibilité d'encoder un objectif positif d'évolution des consommations de 2006 à 2030.</t>
  </si>
  <si>
    <t xml:space="preserve">o Repositionnement automatique des graphiques pour ne pas qu'ils se superposent ou soit superposés au texte </t>
  </si>
  <si>
    <t>o Ajout de la possibilité d'encoder un objectif d'injection de biogaz sur le réseau de gaz naturel</t>
  </si>
  <si>
    <t xml:space="preserve">Menus : </t>
  </si>
  <si>
    <t>Bilan territorial :</t>
  </si>
  <si>
    <t>Potentiel EnR :</t>
  </si>
  <si>
    <t>Objectifs :</t>
  </si>
  <si>
    <t>Actions bâtiments communaux :</t>
  </si>
  <si>
    <t xml:space="preserve">o Modification des propriétés du tableau pour que la correction du texte ou de la valeur encodée soit possible </t>
  </si>
  <si>
    <t>o Possibilité d'encoder les montants au centime d'euro près</t>
  </si>
  <si>
    <t>o Affichage des réduction d'émissions avec 3 chiffres après la virgule</t>
  </si>
  <si>
    <t>Production d'électricité renouvelable</t>
  </si>
  <si>
    <t>Petit éolien</t>
  </si>
  <si>
    <t>Puissance installée (kW)</t>
  </si>
  <si>
    <t>Production annuelle (kWh)</t>
  </si>
  <si>
    <t>Solaire photovoltaïque</t>
  </si>
  <si>
    <t>Production (kWh)</t>
  </si>
  <si>
    <t>Données patrimoniales :</t>
  </si>
  <si>
    <t xml:space="preserve">Bilan patrimonial : </t>
  </si>
  <si>
    <t>Scénarios</t>
  </si>
  <si>
    <t>Correction erreurs cellules E35 à E44</t>
  </si>
  <si>
    <t>Rapport de suivi :</t>
  </si>
  <si>
    <t>Correction de la fonctionnalité "Exporter vers document Word"</t>
  </si>
  <si>
    <t xml:space="preserve">Action POLLEC 5 &amp; 6 : </t>
  </si>
  <si>
    <t>Renvoi vers les bonnes fiches actions du PAEDC</t>
  </si>
  <si>
    <t>Nombre de fiches actions à importer</t>
  </si>
  <si>
    <t>Potentiel suppl</t>
  </si>
  <si>
    <t>Potentiel total</t>
  </si>
  <si>
    <t>Facteur d'émissions de l'électricité consommée par les services communaux (tCO2/MWh)</t>
  </si>
  <si>
    <t>o Modification de la mise en forme automatique de la cellule J5 pour que la valeur soit colorée en vert lorsque les actions permettent d'atteindre 100% de l'objectif (Pas obligatoire - Uniquement pour les communes qui le désirent)</t>
  </si>
  <si>
    <t>Accueil :</t>
  </si>
  <si>
    <t xml:space="preserve">Affichage de la production renouvelable et prise en compte de la production d'électricité renouvelable dans le calcul du facteur d'émissions de l'électricité. </t>
  </si>
  <si>
    <t>o Modification de la mise en forme automatique des cellules H11 à H19 pour tenir compte  des cas dans lesquels on constate une augmentation de la consommation du secteur de 2006 à l'année de contrôle.</t>
  </si>
  <si>
    <t>Fiches actions :</t>
  </si>
  <si>
    <t>Contrat d'électricité 100% renouvelable ?</t>
  </si>
  <si>
    <t>Bois plaquettes</t>
  </si>
  <si>
    <t>Bois bûche</t>
  </si>
  <si>
    <t>Remplacement de châssis</t>
  </si>
  <si>
    <t>Isolation de mur</t>
  </si>
  <si>
    <t>Isolation toit : Plafond/plancher</t>
  </si>
  <si>
    <t>Isolation toit : Toiture En pente</t>
  </si>
  <si>
    <t>Isolation toit : Sarking</t>
  </si>
  <si>
    <t>Isolation toit : Toiture plate</t>
  </si>
  <si>
    <t>Isolation du sol</t>
  </si>
  <si>
    <t>Audit énergétique</t>
  </si>
  <si>
    <t xml:space="preserve">Travaux d'installation, remplacement ou amélioration des systèmes de ventilation </t>
  </si>
  <si>
    <t>Calorifugeage et régulation des systèmes existants</t>
  </si>
  <si>
    <t>Installation, remplacement et mordernisation de pompes à chaleur</t>
  </si>
  <si>
    <t>Installation, remplacement et mordernisation d'installations solaires thermiques</t>
  </si>
  <si>
    <t>Installation, remplacement et mordernisation de chaudières biomasse</t>
  </si>
  <si>
    <t>Remplacement et la modernisation des systèmes d'éclairage</t>
  </si>
  <si>
    <t>Installation, de remplacement ou d'amélioration d'une cogénération de qualité</t>
  </si>
  <si>
    <t>Installation de protections solaires extérieures</t>
  </si>
  <si>
    <t>Installation de refroidissement par ventilation naturelle ou hybride</t>
  </si>
  <si>
    <t>Installation ou extension d'un réseau de chaleur</t>
  </si>
  <si>
    <t>Etude de préfaisabilité</t>
  </si>
  <si>
    <t>Stratégie immobilière</t>
  </si>
  <si>
    <t>absolu</t>
  </si>
  <si>
    <t>Planifié</t>
  </si>
  <si>
    <t>Total planifié</t>
  </si>
  <si>
    <t>Solde éco prod</t>
  </si>
  <si>
    <t>Solde émissions</t>
  </si>
  <si>
    <t>Source: Walstat-IWEPS</t>
  </si>
  <si>
    <t>Année d'échéance</t>
  </si>
  <si>
    <t>Feuille</t>
  </si>
  <si>
    <t>Nom_2</t>
  </si>
  <si>
    <t>Nom_3</t>
  </si>
  <si>
    <t>Valeur</t>
  </si>
  <si>
    <t>Accueil</t>
  </si>
  <si>
    <t>Bilan_patrimonial</t>
  </si>
  <si>
    <t>Consommation</t>
  </si>
  <si>
    <t>Nom_1</t>
  </si>
  <si>
    <t>Référence</t>
  </si>
  <si>
    <t>Nom_4</t>
  </si>
  <si>
    <t>Facteur_Elec</t>
  </si>
  <si>
    <t>Bilan_territorial</t>
  </si>
  <si>
    <t>Paramètres</t>
  </si>
  <si>
    <t>Type de bilan</t>
  </si>
  <si>
    <t>Inclure industrie</t>
  </si>
  <si>
    <t>Part du trafic autoroutier</t>
  </si>
  <si>
    <t>Potentiel</t>
  </si>
  <si>
    <t>Puissance</t>
  </si>
  <si>
    <t>Chaleur fatale</t>
  </si>
  <si>
    <t>Transfert</t>
  </si>
  <si>
    <t>Cogen</t>
  </si>
  <si>
    <t>Non_énergétique</t>
  </si>
  <si>
    <t>Secteur_1</t>
  </si>
  <si>
    <t>Secteur_2</t>
  </si>
  <si>
    <t>Secteur_3</t>
  </si>
  <si>
    <t>Secteur_4</t>
  </si>
  <si>
    <t>Secteur_5</t>
  </si>
  <si>
    <t>Secteur_6</t>
  </si>
  <si>
    <t>Secteur_7</t>
  </si>
  <si>
    <t>Secteur_8</t>
  </si>
  <si>
    <t>Secteur_9</t>
  </si>
  <si>
    <t>Secteur_10</t>
  </si>
  <si>
    <t>Description_1</t>
  </si>
  <si>
    <t>Description_2</t>
  </si>
  <si>
    <t>Description_3</t>
  </si>
  <si>
    <t>Description_4</t>
  </si>
  <si>
    <t>Description_5</t>
  </si>
  <si>
    <t>Description_6</t>
  </si>
  <si>
    <t>Description_7</t>
  </si>
  <si>
    <t>Description_8</t>
  </si>
  <si>
    <t>Description_9</t>
  </si>
  <si>
    <t>Description_10</t>
  </si>
  <si>
    <t>source</t>
  </si>
  <si>
    <t>ADR_ID</t>
  </si>
  <si>
    <t>Rue</t>
  </si>
  <si>
    <t>Num</t>
  </si>
  <si>
    <t>Bte</t>
  </si>
  <si>
    <t>Localité</t>
  </si>
  <si>
    <t>Commentaire sur adresse</t>
  </si>
  <si>
    <t>Catégorie</t>
  </si>
  <si>
    <t>Info_Complementaire
sur Catégorie (obligatoire si "Autre")</t>
  </si>
  <si>
    <t xml:space="preserve">Le batiment listé fait-il partie du patrimoine communal ?
</t>
  </si>
  <si>
    <t>Statut  Occupant</t>
  </si>
  <si>
    <t xml:space="preserve">Nombre de chaudières </t>
  </si>
  <si>
    <t>Total Puissance Chaudières kW</t>
  </si>
  <si>
    <t>Climatisation</t>
  </si>
  <si>
    <t>PAC</t>
  </si>
  <si>
    <t xml:space="preserve">Liste des bâtiments communaux </t>
  </si>
  <si>
    <t>Nom correspondant dans la liste du fichier régional</t>
  </si>
  <si>
    <t>Communes</t>
  </si>
  <si>
    <t>INS</t>
  </si>
  <si>
    <t>Aiseau-Presles</t>
  </si>
  <si>
    <t>Amay</t>
  </si>
  <si>
    <t>Amblève</t>
  </si>
  <si>
    <t>Andenne</t>
  </si>
  <si>
    <t>Anderlues</t>
  </si>
  <si>
    <t>Anhée</t>
  </si>
  <si>
    <t>Ans</t>
  </si>
  <si>
    <t>Anthisnes</t>
  </si>
  <si>
    <t>Antoing</t>
  </si>
  <si>
    <t>Arlon</t>
  </si>
  <si>
    <t>Assesse</t>
  </si>
  <si>
    <t>Ath</t>
  </si>
  <si>
    <t>Attert</t>
  </si>
  <si>
    <t>Aubange</t>
  </si>
  <si>
    <t>Aubel</t>
  </si>
  <si>
    <t>Awans</t>
  </si>
  <si>
    <t>Aywaille</t>
  </si>
  <si>
    <t>Baelen</t>
  </si>
  <si>
    <t>Bassenge</t>
  </si>
  <si>
    <t>Bastogne</t>
  </si>
  <si>
    <t>Beaumont</t>
  </si>
  <si>
    <t>Beauraing</t>
  </si>
  <si>
    <t>Beauvechain</t>
  </si>
  <si>
    <t>Beloeil</t>
  </si>
  <si>
    <t>Berloz</t>
  </si>
  <si>
    <t>Bernissart</t>
  </si>
  <si>
    <t>Bertogne</t>
  </si>
  <si>
    <t>Bertrix</t>
  </si>
  <si>
    <t>Beyne-Heusay</t>
  </si>
  <si>
    <t>Bièvre</t>
  </si>
  <si>
    <t>Binche</t>
  </si>
  <si>
    <t>Blegny</t>
  </si>
  <si>
    <t>Bouillon</t>
  </si>
  <si>
    <t>Boussu</t>
  </si>
  <si>
    <t>Braine-l'Alleud</t>
  </si>
  <si>
    <t>Braine-le-Château</t>
  </si>
  <si>
    <t>Braine-le-Comte</t>
  </si>
  <si>
    <t>Braives</t>
  </si>
  <si>
    <t>Brugelette</t>
  </si>
  <si>
    <t>Brunehaut</t>
  </si>
  <si>
    <t>Bullange</t>
  </si>
  <si>
    <t>Burdinne</t>
  </si>
  <si>
    <t>Burg-Reuland</t>
  </si>
  <si>
    <t>Butgenbach</t>
  </si>
  <si>
    <t>Celles</t>
  </si>
  <si>
    <t>Cerfontaine</t>
  </si>
  <si>
    <t>Chapelle-lez-Herlaimont</t>
  </si>
  <si>
    <t>Charleroi</t>
  </si>
  <si>
    <t>Chastre</t>
  </si>
  <si>
    <t>Châtelet</t>
  </si>
  <si>
    <t>Chaudfontaine</t>
  </si>
  <si>
    <t>Chaumont-Gistoux</t>
  </si>
  <si>
    <t>Chièvres</t>
  </si>
  <si>
    <t>Chimay</t>
  </si>
  <si>
    <t>Chiny</t>
  </si>
  <si>
    <t>Ciney</t>
  </si>
  <si>
    <t>Clavier</t>
  </si>
  <si>
    <t>Colfontaine</t>
  </si>
  <si>
    <t>Comblain-au-Pont</t>
  </si>
  <si>
    <t>Comines-Warneton</t>
  </si>
  <si>
    <t>Courcelles</t>
  </si>
  <si>
    <t>Court-Saint-Etienne</t>
  </si>
  <si>
    <t>Couvin</t>
  </si>
  <si>
    <t>Crisnée</t>
  </si>
  <si>
    <t>Dalhem</t>
  </si>
  <si>
    <t>Daverdisse</t>
  </si>
  <si>
    <t>Dinant</t>
  </si>
  <si>
    <t>Dison</t>
  </si>
  <si>
    <t>Doische</t>
  </si>
  <si>
    <t>Donceel</t>
  </si>
  <si>
    <t>Dour</t>
  </si>
  <si>
    <t>Durbuy</t>
  </si>
  <si>
    <t>Ecaussinnes</t>
  </si>
  <si>
    <t>Eghezée</t>
  </si>
  <si>
    <t>Ellezelles</t>
  </si>
  <si>
    <t>Enghien</t>
  </si>
  <si>
    <t>Engis</t>
  </si>
  <si>
    <t>Erezée</t>
  </si>
  <si>
    <t>Erquelinnes</t>
  </si>
  <si>
    <t>Esneux</t>
  </si>
  <si>
    <t>Estaimpuis</t>
  </si>
  <si>
    <t>Estinnes</t>
  </si>
  <si>
    <t>Etalle</t>
  </si>
  <si>
    <t>Eupen</t>
  </si>
  <si>
    <t>Faimes</t>
  </si>
  <si>
    <t>Farciennes</t>
  </si>
  <si>
    <t>Fauvillers</t>
  </si>
  <si>
    <t>Fernelmont</t>
  </si>
  <si>
    <t>Ferrières</t>
  </si>
  <si>
    <t>Fexhe-le-Haut-Clocher</t>
  </si>
  <si>
    <t>Flémalle</t>
  </si>
  <si>
    <t>Fléron</t>
  </si>
  <si>
    <t>Fleurus</t>
  </si>
  <si>
    <t>Flobecq</t>
  </si>
  <si>
    <t>Floreffe</t>
  </si>
  <si>
    <t>Florennes</t>
  </si>
  <si>
    <t>Florenville</t>
  </si>
  <si>
    <t>Fosses-la-Ville</t>
  </si>
  <si>
    <t>Frameries</t>
  </si>
  <si>
    <t>Frasnes-lez-Anvaing</t>
  </si>
  <si>
    <t>Froidchapelle</t>
  </si>
  <si>
    <t>Gedinne</t>
  </si>
  <si>
    <t>Geer</t>
  </si>
  <si>
    <t>Gembloux</t>
  </si>
  <si>
    <t>Genappe</t>
  </si>
  <si>
    <t>Gerpinnes</t>
  </si>
  <si>
    <t>Gesves</t>
  </si>
  <si>
    <t>Gouvy</t>
  </si>
  <si>
    <t>Grâce-Hollogne</t>
  </si>
  <si>
    <t>Grez-Doiceau</t>
  </si>
  <si>
    <t>Habay</t>
  </si>
  <si>
    <t>Hamoir</t>
  </si>
  <si>
    <t>Hamois</t>
  </si>
  <si>
    <t>Ham-sur-Heure-Nalinnes</t>
  </si>
  <si>
    <t>Hannut</t>
  </si>
  <si>
    <t>Hastière</t>
  </si>
  <si>
    <t>Havelange</t>
  </si>
  <si>
    <t>Hélécine</t>
  </si>
  <si>
    <t>Hensies</t>
  </si>
  <si>
    <t>Herbeumont</t>
  </si>
  <si>
    <t>Héron</t>
  </si>
  <si>
    <t>Herstal</t>
  </si>
  <si>
    <t>Herve</t>
  </si>
  <si>
    <t>Honnelles</t>
  </si>
  <si>
    <t>Hotton</t>
  </si>
  <si>
    <t>Houffalize</t>
  </si>
  <si>
    <t>Houyet</t>
  </si>
  <si>
    <t>Huy</t>
  </si>
  <si>
    <t>Incourt</t>
  </si>
  <si>
    <t>Ittre</t>
  </si>
  <si>
    <t>Jalhay</t>
  </si>
  <si>
    <t>Jemeppe-sur-Sambre</t>
  </si>
  <si>
    <t>Jodoigne</t>
  </si>
  <si>
    <t>Juprelle</t>
  </si>
  <si>
    <t>Jurbise</t>
  </si>
  <si>
    <t>La Bruyère</t>
  </si>
  <si>
    <t>La Calamine</t>
  </si>
  <si>
    <t>La Hulpe</t>
  </si>
  <si>
    <t>La Louvière</t>
  </si>
  <si>
    <t>La Roche-en-ardenne</t>
  </si>
  <si>
    <t>Lasne</t>
  </si>
  <si>
    <t>Le Roeulx</t>
  </si>
  <si>
    <t>Léglise</t>
  </si>
  <si>
    <t>Lens</t>
  </si>
  <si>
    <t>Les Bons Villers</t>
  </si>
  <si>
    <t>Lessines</t>
  </si>
  <si>
    <t>Leuze-en-Hainaut</t>
  </si>
  <si>
    <t>Libin</t>
  </si>
  <si>
    <t>Libramont-chevigny</t>
  </si>
  <si>
    <t>Liège</t>
  </si>
  <si>
    <t>Lierneux</t>
  </si>
  <si>
    <t>Limbourg</t>
  </si>
  <si>
    <t>Lincent</t>
  </si>
  <si>
    <t>Lobbes</t>
  </si>
  <si>
    <t>Lontzen</t>
  </si>
  <si>
    <t>Malmedy</t>
  </si>
  <si>
    <t>Manage</t>
  </si>
  <si>
    <t>Manhay</t>
  </si>
  <si>
    <t>Marche-en-famenne</t>
  </si>
  <si>
    <t>Marchin</t>
  </si>
  <si>
    <t>Martelange</t>
  </si>
  <si>
    <t>Meix-devant-Virton</t>
  </si>
  <si>
    <t>Merbes-le-Château</t>
  </si>
  <si>
    <t>Messancy</t>
  </si>
  <si>
    <t>Mettet</t>
  </si>
  <si>
    <t>Modave</t>
  </si>
  <si>
    <t>Momignies</t>
  </si>
  <si>
    <t>Mons</t>
  </si>
  <si>
    <t>Mont-de-l'Enclus</t>
  </si>
  <si>
    <t>Montigny-le-Tilleul</t>
  </si>
  <si>
    <t>Mont-Saint-Guibert</t>
  </si>
  <si>
    <t>Morlanwelz</t>
  </si>
  <si>
    <t>Mouscron</t>
  </si>
  <si>
    <t>Musson</t>
  </si>
  <si>
    <t>Namur</t>
  </si>
  <si>
    <t>Nandrin</t>
  </si>
  <si>
    <t>Nassogne</t>
  </si>
  <si>
    <t>Neufchâteau</t>
  </si>
  <si>
    <t>Neupré</t>
  </si>
  <si>
    <t>Nivelles</t>
  </si>
  <si>
    <t>Ohey</t>
  </si>
  <si>
    <t>Olne</t>
  </si>
  <si>
    <t>Onhaye</t>
  </si>
  <si>
    <t>Oreye</t>
  </si>
  <si>
    <t>Orp-Jauche</t>
  </si>
  <si>
    <t>Ottignies-louvain-la-neuve</t>
  </si>
  <si>
    <t>Ouffet</t>
  </si>
  <si>
    <t>Oupeye</t>
  </si>
  <si>
    <t>Paliseul</t>
  </si>
  <si>
    <t>Pecq</t>
  </si>
  <si>
    <t>Pepinster</t>
  </si>
  <si>
    <t>Péruwelz</t>
  </si>
  <si>
    <t>Perwez</t>
  </si>
  <si>
    <t>Philippeville</t>
  </si>
  <si>
    <t>Plombières</t>
  </si>
  <si>
    <t>Pont-à-Celles</t>
  </si>
  <si>
    <t>Profondeville</t>
  </si>
  <si>
    <t>Quaregnon</t>
  </si>
  <si>
    <t>Quévy</t>
  </si>
  <si>
    <t>Quiévrain</t>
  </si>
  <si>
    <t>Raeren</t>
  </si>
  <si>
    <t>Ramillies</t>
  </si>
  <si>
    <t>Rebecq</t>
  </si>
  <si>
    <t>Remicourt</t>
  </si>
  <si>
    <t>Rendeux</t>
  </si>
  <si>
    <t>Rixensart</t>
  </si>
  <si>
    <t>Rochefort</t>
  </si>
  <si>
    <t>Rouvroy</t>
  </si>
  <si>
    <t>Rumes</t>
  </si>
  <si>
    <t>Sainte-Ode</t>
  </si>
  <si>
    <t>Saint-Georges-sur-Meuse</t>
  </si>
  <si>
    <t>Saint-Ghislain</t>
  </si>
  <si>
    <t>Saint-Hubert</t>
  </si>
  <si>
    <t>Saint-Léger</t>
  </si>
  <si>
    <t>Saint-Nicolas</t>
  </si>
  <si>
    <t>Saint-Vith</t>
  </si>
  <si>
    <t>Sambreville</t>
  </si>
  <si>
    <t>Seneffe</t>
  </si>
  <si>
    <t>Seraing</t>
  </si>
  <si>
    <t>Silly</t>
  </si>
  <si>
    <t>Sivry-Rance</t>
  </si>
  <si>
    <t>Soignies</t>
  </si>
  <si>
    <t>Sombreffe</t>
  </si>
  <si>
    <t>Somme-Leuze</t>
  </si>
  <si>
    <t>Soumagne</t>
  </si>
  <si>
    <t>Spa</t>
  </si>
  <si>
    <t>Sprimont</t>
  </si>
  <si>
    <t>Stavelot</t>
  </si>
  <si>
    <t>Stoumont</t>
  </si>
  <si>
    <t>Tellin</t>
  </si>
  <si>
    <t>Tenneville</t>
  </si>
  <si>
    <t>Theux</t>
  </si>
  <si>
    <t>Thimister-Clermont</t>
  </si>
  <si>
    <t>Thuin</t>
  </si>
  <si>
    <t>Tinlot</t>
  </si>
  <si>
    <t>Tintigny</t>
  </si>
  <si>
    <t>Tournai</t>
  </si>
  <si>
    <t>Trois-Ponts</t>
  </si>
  <si>
    <t>Trooz</t>
  </si>
  <si>
    <t>Tubize</t>
  </si>
  <si>
    <t>Vaux-sur-Sûre</t>
  </si>
  <si>
    <t>Verlaine</t>
  </si>
  <si>
    <t>Verviers</t>
  </si>
  <si>
    <t>Vielsalm</t>
  </si>
  <si>
    <t>Villers-la-Ville</t>
  </si>
  <si>
    <t>Villers-le-Bouillet</t>
  </si>
  <si>
    <t>Viroinval</t>
  </si>
  <si>
    <t>Virton</t>
  </si>
  <si>
    <t>Visé</t>
  </si>
  <si>
    <t>Vresse-sur-Semois</t>
  </si>
  <si>
    <t>Waimes</t>
  </si>
  <si>
    <t>Walcourt</t>
  </si>
  <si>
    <t>Walhain</t>
  </si>
  <si>
    <t>Wanze</t>
  </si>
  <si>
    <t>Waremme</t>
  </si>
  <si>
    <t>Wasseiges</t>
  </si>
  <si>
    <t>Waterloo</t>
  </si>
  <si>
    <t>Wavre</t>
  </si>
  <si>
    <t>Welkenraedt</t>
  </si>
  <si>
    <t>Wellin</t>
  </si>
  <si>
    <t>Yvoir</t>
  </si>
  <si>
    <t>BCE</t>
  </si>
  <si>
    <t>Partage d'énergie et projets énergétiques sur le territoire communal</t>
  </si>
  <si>
    <t>Dénomination du projet</t>
  </si>
  <si>
    <t>Implication de la commune</t>
  </si>
  <si>
    <t>Statut</t>
  </si>
  <si>
    <t>Réflexions conjointes en cours</t>
  </si>
  <si>
    <t xml:space="preserve">Type </t>
  </si>
  <si>
    <t>Partenaire contacté</t>
  </si>
  <si>
    <t>Communication</t>
  </si>
  <si>
    <t>Organisation de séances d'information (aux citoyens et entreprises)</t>
  </si>
  <si>
    <t>2023 (nombre)</t>
  </si>
  <si>
    <t>2024 (nombre)</t>
  </si>
  <si>
    <t>Sur l'énergie en général</t>
  </si>
  <si>
    <t>Sur les communautés d'énergie</t>
  </si>
  <si>
    <t>Sur les réseaux d'énergie thermiques</t>
  </si>
  <si>
    <t>Politique énergétique et réseaux d'énergie thermique</t>
  </si>
  <si>
    <t>Questionnaire complémentaire pour l'étude d'opportunité RET</t>
  </si>
  <si>
    <t xml:space="preserve">Quel est l'intérêt de la commune pour le déploiement de RET? </t>
  </si>
  <si>
    <t>Type de projets</t>
  </si>
  <si>
    <t>Intérêt</t>
  </si>
  <si>
    <t>Réseau d'énergie thermique</t>
  </si>
  <si>
    <t>Partie prenante</t>
  </si>
  <si>
    <t>En réflexion</t>
  </si>
  <si>
    <t>Valorisation du bois énergie</t>
  </si>
  <si>
    <t>Echange informel</t>
  </si>
  <si>
    <t>Important</t>
  </si>
  <si>
    <t>Communauté d'énergie renouvelable ou citoyenne (électricité)</t>
  </si>
  <si>
    <t>Propriétaire</t>
  </si>
  <si>
    <t>Valorisation de déchets méthanisables</t>
  </si>
  <si>
    <t>Partage d'information</t>
  </si>
  <si>
    <t>Modéré</t>
  </si>
  <si>
    <t>Aucune</t>
  </si>
  <si>
    <t>En service</t>
  </si>
  <si>
    <t>Valorisation de chaleur fatale (énergie industrielle résiduelle)</t>
  </si>
  <si>
    <t>Montage de projet en partenariat</t>
  </si>
  <si>
    <t>Aucun</t>
  </si>
  <si>
    <t>Valorisation de chaleur fatale (cogénération)</t>
  </si>
  <si>
    <t>Défavorable</t>
  </si>
  <si>
    <t>Partage d'énergie</t>
  </si>
  <si>
    <t>0216690971</t>
  </si>
  <si>
    <t>0207330471</t>
  </si>
  <si>
    <t>0207402331</t>
  </si>
  <si>
    <t>0207258514</t>
  </si>
  <si>
    <t>0207298106</t>
  </si>
  <si>
    <t>0206701159</t>
  </si>
  <si>
    <t>0207338092</t>
  </si>
  <si>
    <t>0216693545</t>
  </si>
  <si>
    <t>0207306717</t>
  </si>
  <si>
    <t>0206524876</t>
  </si>
  <si>
    <t>0207350762</t>
  </si>
  <si>
    <t>0207281476</t>
  </si>
  <si>
    <t>0207380456</t>
  </si>
  <si>
    <t>0207380555</t>
  </si>
  <si>
    <t>0207370459</t>
  </si>
  <si>
    <t>0207338389</t>
  </si>
  <si>
    <t>0206621678</t>
  </si>
  <si>
    <t>0207338686</t>
  </si>
  <si>
    <t>0207339280</t>
  </si>
  <si>
    <t>0207338884</t>
  </si>
  <si>
    <t>0206524975</t>
  </si>
  <si>
    <t>0207298502</t>
  </si>
  <si>
    <t>0207394116</t>
  </si>
  <si>
    <t>0207288604</t>
  </si>
  <si>
    <t>0207309784</t>
  </si>
  <si>
    <t>0207374617</t>
  </si>
  <si>
    <t>0207279397</t>
  </si>
  <si>
    <t>0207382733</t>
  </si>
  <si>
    <t>0206567042</t>
  </si>
  <si>
    <t>0207394215</t>
  </si>
  <si>
    <t>0207299589</t>
  </si>
  <si>
    <t>0216694139</t>
  </si>
  <si>
    <t>0207294047</t>
  </si>
  <si>
    <t>0206544969</t>
  </si>
  <si>
    <t>0207286129</t>
  </si>
  <si>
    <t>0207312952</t>
  </si>
  <si>
    <t>0207315229</t>
  </si>
  <si>
    <t>0207280090</t>
  </si>
  <si>
    <t>0207375310</t>
  </si>
  <si>
    <t>0207365115</t>
  </si>
  <si>
    <t>0216692951</t>
  </si>
  <si>
    <t>0207400846</t>
  </si>
  <si>
    <t>0207353831</t>
  </si>
  <si>
    <t>0216694931</t>
  </si>
  <si>
    <t>0207541002</t>
  </si>
  <si>
    <t>0207308596</t>
  </si>
  <si>
    <t>0216689189</t>
  </si>
  <si>
    <t>0207284248</t>
  </si>
  <si>
    <t>0207310774</t>
  </si>
  <si>
    <t>0216691367</t>
  </si>
  <si>
    <t>0206628707</t>
  </si>
  <si>
    <t>0207339973</t>
  </si>
  <si>
    <t>0207274647</t>
  </si>
  <si>
    <t>0207316714</t>
  </si>
  <si>
    <t>0207300678</t>
  </si>
  <si>
    <t>0207348584</t>
  </si>
  <si>
    <t>0206701753</t>
  </si>
  <si>
    <t>0207355118</t>
  </si>
  <si>
    <t>0207340369</t>
  </si>
  <si>
    <t>0207375904</t>
  </si>
  <si>
    <t>0207293651</t>
  </si>
  <si>
    <t>0206565656</t>
  </si>
  <si>
    <t>0207280387</t>
  </si>
  <si>
    <t>0206491422</t>
  </si>
  <si>
    <t>0206626925</t>
  </si>
  <si>
    <t>0207364818</t>
  </si>
  <si>
    <t>0207312259</t>
  </si>
  <si>
    <t>0207340468</t>
  </si>
  <si>
    <t>0207300876</t>
  </si>
  <si>
    <t>0206702050</t>
  </si>
  <si>
    <t>0206644444</t>
  </si>
  <si>
    <t>0216692159</t>
  </si>
  <si>
    <t>0207376102</t>
  </si>
  <si>
    <t>0207286822</t>
  </si>
  <si>
    <t>0207386196</t>
  </si>
  <si>
    <t>0216691961</t>
  </si>
  <si>
    <t>0207359967</t>
  </si>
  <si>
    <t>0207318197</t>
  </si>
  <si>
    <t>0206667606</t>
  </si>
  <si>
    <t>0216693743</t>
  </si>
  <si>
    <t>0207386295</t>
  </si>
  <si>
    <t>0207341557</t>
  </si>
  <si>
    <t>0207340963</t>
  </si>
  <si>
    <t>0207309091</t>
  </si>
  <si>
    <t>0206544672</t>
  </si>
  <si>
    <t>0207348782</t>
  </si>
  <si>
    <t>0206618215</t>
  </si>
  <si>
    <t>0207692143</t>
  </si>
  <si>
    <t>0207396292</t>
  </si>
  <si>
    <t>0207383129</t>
  </si>
  <si>
    <t>0216697307</t>
  </si>
  <si>
    <t>0207333837</t>
  </si>
  <si>
    <t>0207376397</t>
  </si>
  <si>
    <t>0216694337</t>
  </si>
  <si>
    <t>0216692357</t>
  </si>
  <si>
    <t>0207313348</t>
  </si>
  <si>
    <t>0207312358</t>
  </si>
  <si>
    <t>0207355811</t>
  </si>
  <si>
    <t>0206703040</t>
  </si>
  <si>
    <t>0207348980</t>
  </si>
  <si>
    <t>Fontaine-l'Evêque</t>
  </si>
  <si>
    <t>0207284347</t>
  </si>
  <si>
    <t>0206690271</t>
  </si>
  <si>
    <t>0207287713</t>
  </si>
  <si>
    <t>0216690773</t>
  </si>
  <si>
    <t>0207301767</t>
  </si>
  <si>
    <t>0207342745</t>
  </si>
  <si>
    <t>0207376595</t>
  </si>
  <si>
    <t>0216697505</t>
  </si>
  <si>
    <t>0207274350</t>
  </si>
  <si>
    <t>0207282169</t>
  </si>
  <si>
    <t>0207362343</t>
  </si>
  <si>
    <t>0216695525</t>
  </si>
  <si>
    <t>0207691747</t>
  </si>
  <si>
    <t>0207227731</t>
  </si>
  <si>
    <t>0216696317</t>
  </si>
  <si>
    <t>0207333441</t>
  </si>
  <si>
    <t>0216691565</t>
  </si>
  <si>
    <t>0207343636</t>
  </si>
  <si>
    <t>0207376991</t>
  </si>
  <si>
    <t>0216696713</t>
  </si>
  <si>
    <t>0207396490</t>
  </si>
  <si>
    <t>0216689387</t>
  </si>
  <si>
    <t>0207410546</t>
  </si>
  <si>
    <t>0206565953</t>
  </si>
  <si>
    <t>0207333738</t>
  </si>
  <si>
    <t>0207289295</t>
  </si>
  <si>
    <t>0207371647</t>
  </si>
  <si>
    <t>0207402430</t>
  </si>
  <si>
    <t>0206544474</t>
  </si>
  <si>
    <t>0206700862</t>
  </si>
  <si>
    <t>0206704525</t>
  </si>
  <si>
    <t>0207334332</t>
  </si>
  <si>
    <t>0207409457</t>
  </si>
  <si>
    <t>0207279793</t>
  </si>
  <si>
    <t>0207402628</t>
  </si>
  <si>
    <t>0216697703</t>
  </si>
  <si>
    <t>0216379185</t>
  </si>
  <si>
    <t>0207378080</t>
  </si>
  <si>
    <t>0207318593</t>
  </si>
  <si>
    <t>0207389958</t>
  </si>
  <si>
    <t>0216697802</t>
  </si>
  <si>
    <t>0207282268</t>
  </si>
  <si>
    <t>0871429489</t>
  </si>
  <si>
    <t>0206578722</t>
  </si>
  <si>
    <t>0216689585</t>
  </si>
  <si>
    <t>0207297017</t>
  </si>
  <si>
    <t>0206567339</t>
  </si>
  <si>
    <t>0207290681</t>
  </si>
  <si>
    <t>0216691169</t>
  </si>
  <si>
    <t>0207297116</t>
  </si>
  <si>
    <t>0216693149</t>
  </si>
  <si>
    <t>0206564963</t>
  </si>
  <si>
    <t>0216696119</t>
  </si>
  <si>
    <t>0207343933</t>
  </si>
  <si>
    <t>0207381644</t>
  </si>
  <si>
    <t>0206621183</t>
  </si>
  <si>
    <t>0216693347</t>
  </si>
  <si>
    <t>0207302559</t>
  </si>
  <si>
    <t>0207368974</t>
  </si>
  <si>
    <t>0206700763</t>
  </si>
  <si>
    <t>0207284644</t>
  </si>
  <si>
    <t>0216695921</t>
  </si>
  <si>
    <t>0207347891</t>
  </si>
  <si>
    <t>0207334035</t>
  </si>
  <si>
    <t>0207381446</t>
  </si>
  <si>
    <t>0207391443</t>
  </si>
  <si>
    <t>0207303747</t>
  </si>
  <si>
    <t>0216692555</t>
  </si>
  <si>
    <t>0207365016</t>
  </si>
  <si>
    <t>0207372736</t>
  </si>
  <si>
    <t>0207334134</t>
  </si>
  <si>
    <t>0207303054</t>
  </si>
  <si>
    <t>0207656808</t>
  </si>
  <si>
    <t>0207378773</t>
  </si>
  <si>
    <t>0206621282</t>
  </si>
  <si>
    <t>0206491917</t>
  </si>
  <si>
    <t>0207312457</t>
  </si>
  <si>
    <t>0207294443</t>
  </si>
  <si>
    <t>0207391641</t>
  </si>
  <si>
    <t>0207362739</t>
  </si>
  <si>
    <t>0207334431</t>
  </si>
  <si>
    <t>0207401935</t>
  </si>
  <si>
    <t>0206543781</t>
  </si>
  <si>
    <t>0216694535</t>
  </si>
  <si>
    <t>0206642563</t>
  </si>
  <si>
    <t>0207358581</t>
  </si>
  <si>
    <t>0216690377</t>
  </si>
  <si>
    <t>0206705713</t>
  </si>
  <si>
    <t>0207379268</t>
  </si>
  <si>
    <t>0216689783</t>
  </si>
  <si>
    <t>0216689981</t>
  </si>
  <si>
    <t>0207334728</t>
  </si>
  <si>
    <t>0207345418</t>
  </si>
  <si>
    <t>0206566052</t>
  </si>
  <si>
    <t>0207690955</t>
  </si>
  <si>
    <t>0207332352</t>
  </si>
  <si>
    <t>0216694733</t>
  </si>
  <si>
    <t>0207148250</t>
  </si>
  <si>
    <t>0206492610</t>
  </si>
  <si>
    <t>0206626331</t>
  </si>
  <si>
    <t>0216695129</t>
  </si>
  <si>
    <t>0207283654</t>
  </si>
  <si>
    <t>0207372043</t>
  </si>
  <si>
    <t>0207291572</t>
  </si>
  <si>
    <t>0216691763</t>
  </si>
  <si>
    <t>0207367984</t>
  </si>
  <si>
    <t>0216690179</t>
  </si>
  <si>
    <t>0207387978</t>
  </si>
  <si>
    <t>0207277617</t>
  </si>
  <si>
    <t>0206706109</t>
  </si>
  <si>
    <t>0216696515</t>
  </si>
  <si>
    <t>0207355019</t>
  </si>
  <si>
    <t>0216695723</t>
  </si>
  <si>
    <t>0207379466</t>
  </si>
  <si>
    <t>0207292463</t>
  </si>
  <si>
    <t>0206564666</t>
  </si>
  <si>
    <t>0207392433</t>
  </si>
  <si>
    <t>0207346705</t>
  </si>
  <si>
    <t>0216697109</t>
  </si>
  <si>
    <t>0207078568</t>
  </si>
  <si>
    <t>0207283951</t>
  </si>
  <si>
    <t>0207347002</t>
  </si>
  <si>
    <t>0207410645</t>
  </si>
  <si>
    <t>0216692753</t>
  </si>
  <si>
    <t>0207298995</t>
  </si>
  <si>
    <t>0207361452</t>
  </si>
  <si>
    <t>0207399757</t>
  </si>
  <si>
    <t>0207347396</t>
  </si>
  <si>
    <t>0206768366</t>
  </si>
  <si>
    <t>0207347495</t>
  </si>
  <si>
    <t>0207403915</t>
  </si>
  <si>
    <t>0207404014</t>
  </si>
  <si>
    <t>0207391344</t>
  </si>
  <si>
    <t>0206578821</t>
  </si>
  <si>
    <t>0207373627</t>
  </si>
  <si>
    <t>0216695327</t>
  </si>
  <si>
    <t>0207307311</t>
  </si>
  <si>
    <t>0216693941</t>
  </si>
  <si>
    <t>0207392928</t>
  </si>
  <si>
    <t>0207354920</t>
  </si>
  <si>
    <t>0207314041</t>
  </si>
  <si>
    <t>0207691846</t>
  </si>
  <si>
    <t>0207336213</t>
  </si>
  <si>
    <t>0206644741</t>
  </si>
  <si>
    <t>0207384812</t>
  </si>
  <si>
    <t>0207275538</t>
  </si>
  <si>
    <t>0207336708</t>
  </si>
  <si>
    <t>0216761742</t>
  </si>
  <si>
    <t>0206524777</t>
  </si>
  <si>
    <t>0207369271</t>
  </si>
  <si>
    <t>0216696911</t>
  </si>
  <si>
    <t>0207403222</t>
  </si>
  <si>
    <t>0206625935</t>
  </si>
  <si>
    <t>0216690575</t>
  </si>
  <si>
    <t>0207337104</t>
  </si>
  <si>
    <t>0207380159</t>
  </si>
  <si>
    <t>0207380258</t>
  </si>
  <si>
    <t>0207277122</t>
  </si>
  <si>
    <t>0207316021</t>
  </si>
  <si>
    <t>0206621975</t>
  </si>
  <si>
    <t>0206565755</t>
  </si>
  <si>
    <t>0206706604</t>
  </si>
  <si>
    <t>Consommation restante de produits pétroliers et de gaz naturel remplacée par une consommation de chaleur fatale</t>
  </si>
  <si>
    <t>Consommation restante de produits pétroliers et de gaz naturel convertie au bois</t>
  </si>
  <si>
    <t>Consommation restante électrifiée</t>
  </si>
  <si>
    <t xml:space="preserve">Consommation restante de produits pétroliers convertie au gaz naturel </t>
  </si>
  <si>
    <t>Raccordement de x% des bâtiments communaux à un réseau de chaleur valorisant de la chaleur fatale</t>
  </si>
  <si>
    <t>Raccordement de x% des bâtiments du secteur tertiaire à un réseau de chaleur valorisant de la chaleur fatale</t>
  </si>
  <si>
    <t>Raccordement de x% des logements à un réseau de chaleur valorisant de la chaleur fatale</t>
  </si>
  <si>
    <t>Bâtiment</t>
  </si>
  <si>
    <t>test</t>
  </si>
  <si>
    <t>Public cible</t>
  </si>
  <si>
    <t>Publics précarisés</t>
  </si>
  <si>
    <t>Secteur agricole</t>
  </si>
  <si>
    <t>Secteur associatif</t>
  </si>
  <si>
    <t>Secteur économique (entreprises)</t>
  </si>
  <si>
    <t>Secteur des soins de santé</t>
  </si>
  <si>
    <t>Secteur public communal</t>
  </si>
  <si>
    <t>Secteur public (hors communal)</t>
  </si>
  <si>
    <t>Public cible 1</t>
  </si>
  <si>
    <t>Public cible 2</t>
  </si>
  <si>
    <t>Public cible 3</t>
  </si>
  <si>
    <t>Public cible 4</t>
  </si>
  <si>
    <t>Public cible 5</t>
  </si>
  <si>
    <t>Superficie chauffée</t>
  </si>
  <si>
    <t>Actions_bâtiments_communaux</t>
  </si>
  <si>
    <t>Programme</t>
  </si>
  <si>
    <t>Type_subside</t>
  </si>
  <si>
    <t>Economie</t>
  </si>
  <si>
    <t>Gain</t>
  </si>
  <si>
    <t>Réduction</t>
  </si>
  <si>
    <t>Actions</t>
  </si>
  <si>
    <t>Adaptation_Atténuation</t>
  </si>
  <si>
    <t>Objectif_1</t>
  </si>
  <si>
    <t>Objectif_2</t>
  </si>
  <si>
    <t>Objectif_3</t>
  </si>
  <si>
    <t>Participation_1</t>
  </si>
  <si>
    <t>Participation_2</t>
  </si>
  <si>
    <t>Participation_3</t>
  </si>
  <si>
    <t>Public_1</t>
  </si>
  <si>
    <t>Public_2</t>
  </si>
  <si>
    <t>Public_3</t>
  </si>
  <si>
    <t>Public_4</t>
  </si>
  <si>
    <t>Public_5</t>
  </si>
  <si>
    <t>Origine</t>
  </si>
  <si>
    <t>Partenaire</t>
  </si>
  <si>
    <t>Service</t>
  </si>
  <si>
    <t>Type_dépense</t>
  </si>
  <si>
    <t>Action POLLEC 1</t>
  </si>
  <si>
    <t>Risque</t>
  </si>
  <si>
    <t>Public</t>
  </si>
  <si>
    <t>Partenaire_1</t>
  </si>
  <si>
    <t>Partenaire_2</t>
  </si>
  <si>
    <t>Partenaire_3</t>
  </si>
  <si>
    <t>Partenaire_4</t>
  </si>
  <si>
    <t>Partenaire_5</t>
  </si>
  <si>
    <t>Type_partenaire_1</t>
  </si>
  <si>
    <t>Type_partenaire_2</t>
  </si>
  <si>
    <t>Type_partenaire_3</t>
  </si>
  <si>
    <t>Type_partenaire_4</t>
  </si>
  <si>
    <t>Type_partenaire_5</t>
  </si>
  <si>
    <t>Rôles_1</t>
  </si>
  <si>
    <t>Rôles_2</t>
  </si>
  <si>
    <t>Rôles_3</t>
  </si>
  <si>
    <t>Rôles_4</t>
  </si>
  <si>
    <t>Rôles_5</t>
  </si>
  <si>
    <t>Processus</t>
  </si>
  <si>
    <t>Partenariat</t>
  </si>
  <si>
    <t>Tâche_1</t>
  </si>
  <si>
    <t>Tâche_2</t>
  </si>
  <si>
    <t>Tâche_3</t>
  </si>
  <si>
    <t>Tâche_4</t>
  </si>
  <si>
    <t>Tâche_5</t>
  </si>
  <si>
    <t>Tâche_6</t>
  </si>
  <si>
    <t>Tâche_7</t>
  </si>
  <si>
    <t>Tâche_8</t>
  </si>
  <si>
    <t>Charge_1</t>
  </si>
  <si>
    <t>Charge_2</t>
  </si>
  <si>
    <t>Charge_3</t>
  </si>
  <si>
    <t>Charge_4</t>
  </si>
  <si>
    <t>Charge_5</t>
  </si>
  <si>
    <t>Charge_6</t>
  </si>
  <si>
    <t>Charge_7</t>
  </si>
  <si>
    <t>Charge_8</t>
  </si>
  <si>
    <t>Échéance_1</t>
  </si>
  <si>
    <t>Échéance_2</t>
  </si>
  <si>
    <t>Échéance_3</t>
  </si>
  <si>
    <t>Échéance_4</t>
  </si>
  <si>
    <t>Échéance_5</t>
  </si>
  <si>
    <t>Échéance_6</t>
  </si>
  <si>
    <t>Échéance_7</t>
  </si>
  <si>
    <t>Échéance_8</t>
  </si>
  <si>
    <t>Etat_1</t>
  </si>
  <si>
    <t>Etat_2</t>
  </si>
  <si>
    <t>Etat_3</t>
  </si>
  <si>
    <t>Etat_4</t>
  </si>
  <si>
    <t>Etat_5</t>
  </si>
  <si>
    <t>Etat_6</t>
  </si>
  <si>
    <t>Etat_7</t>
  </si>
  <si>
    <t>Etat_8</t>
  </si>
  <si>
    <t>Indicateur_1</t>
  </si>
  <si>
    <t>Indicateur_2</t>
  </si>
  <si>
    <t>Indicateur_3</t>
  </si>
  <si>
    <t>Indicateur_4</t>
  </si>
  <si>
    <t>Indicateur_5</t>
  </si>
  <si>
    <t>Indicateur_6</t>
  </si>
  <si>
    <t>Indicateur_7</t>
  </si>
  <si>
    <t>Indicateur_8</t>
  </si>
  <si>
    <t>Indicateur_9</t>
  </si>
  <si>
    <t>Indicateur_10</t>
  </si>
  <si>
    <t>Unité_1</t>
  </si>
  <si>
    <t>Unité_2</t>
  </si>
  <si>
    <t>Unité_3</t>
  </si>
  <si>
    <t>Unité_4</t>
  </si>
  <si>
    <t>Unité_5</t>
  </si>
  <si>
    <t>Unité_6</t>
  </si>
  <si>
    <t>Unité_7</t>
  </si>
  <si>
    <t>Unité_8</t>
  </si>
  <si>
    <t>Unité_9</t>
  </si>
  <si>
    <t>Unité_10</t>
  </si>
  <si>
    <t>Cible_1</t>
  </si>
  <si>
    <t>Cible_2</t>
  </si>
  <si>
    <t>Cible_3</t>
  </si>
  <si>
    <t>Cible_4</t>
  </si>
  <si>
    <t>Cible_5</t>
  </si>
  <si>
    <t>Cible_6</t>
  </si>
  <si>
    <t>Cible_7</t>
  </si>
  <si>
    <t>Cible_8</t>
  </si>
  <si>
    <t>Cible_9</t>
  </si>
  <si>
    <t>Cible_10</t>
  </si>
  <si>
    <t>Échéance_9</t>
  </si>
  <si>
    <t>Échéance_10</t>
  </si>
  <si>
    <t>Collecte_1</t>
  </si>
  <si>
    <t>Collecte_2</t>
  </si>
  <si>
    <t>Collecte_3</t>
  </si>
  <si>
    <t>Collecte_4</t>
  </si>
  <si>
    <t>Collecte_5</t>
  </si>
  <si>
    <t>Collecte_6</t>
  </si>
  <si>
    <t>Collecte_7</t>
  </si>
  <si>
    <t>Collecte_8</t>
  </si>
  <si>
    <t>Collecte_9</t>
  </si>
  <si>
    <t>Collecte_10</t>
  </si>
  <si>
    <t>Valeur_1</t>
  </si>
  <si>
    <t>Valeur_2</t>
  </si>
  <si>
    <t>Valeur_3</t>
  </si>
  <si>
    <t>Valeur_4</t>
  </si>
  <si>
    <t>Valeur_5</t>
  </si>
  <si>
    <t>Valeur_6</t>
  </si>
  <si>
    <t>Valeur_7</t>
  </si>
  <si>
    <t>Valeur_8</t>
  </si>
  <si>
    <t>Valeur_9</t>
  </si>
  <si>
    <t>Valeur_10</t>
  </si>
  <si>
    <t>Clé_1</t>
  </si>
  <si>
    <t>Clé_2</t>
  </si>
  <si>
    <t>Clé_3</t>
  </si>
  <si>
    <t>Clé_4</t>
  </si>
  <si>
    <t>Clé_5</t>
  </si>
  <si>
    <t>Clé_6</t>
  </si>
  <si>
    <t>Clé_7</t>
  </si>
  <si>
    <t>Clé_8</t>
  </si>
  <si>
    <t>Clé_9</t>
  </si>
  <si>
    <t>Clé_10</t>
  </si>
  <si>
    <t>Quantitatif</t>
  </si>
  <si>
    <t>Qualitatif</t>
  </si>
  <si>
    <t>Bon_1</t>
  </si>
  <si>
    <t>Bon_2</t>
  </si>
  <si>
    <t>Bon_3</t>
  </si>
  <si>
    <t>Bon_4</t>
  </si>
  <si>
    <t>Bon_5</t>
  </si>
  <si>
    <t>Bon_6</t>
  </si>
  <si>
    <t>Bon_7</t>
  </si>
  <si>
    <t>Bon_8</t>
  </si>
  <si>
    <t>Bon_9</t>
  </si>
  <si>
    <t>Bon_10</t>
  </si>
  <si>
    <t>Moyen_1</t>
  </si>
  <si>
    <t>Moyen_2</t>
  </si>
  <si>
    <t>Moyen_3</t>
  </si>
  <si>
    <t>Moyen_4</t>
  </si>
  <si>
    <t>Moyen_5</t>
  </si>
  <si>
    <t>Moyen_6</t>
  </si>
  <si>
    <t>Moyen_7</t>
  </si>
  <si>
    <t>Moyen_8</t>
  </si>
  <si>
    <t>Moyen_9</t>
  </si>
  <si>
    <t>Moyen_10</t>
  </si>
  <si>
    <t>Mauvais_1</t>
  </si>
  <si>
    <t>Mauvais_2</t>
  </si>
  <si>
    <t>Mauvais_3</t>
  </si>
  <si>
    <t>Mauvais_4</t>
  </si>
  <si>
    <t>Mauvais_5</t>
  </si>
  <si>
    <t>Mauvais_6</t>
  </si>
  <si>
    <t>Mauvais_7</t>
  </si>
  <si>
    <t>Mauvais_8</t>
  </si>
  <si>
    <t>Mauvais_9</t>
  </si>
  <si>
    <t>Mauvais_10</t>
  </si>
  <si>
    <t>Evaluation_1</t>
  </si>
  <si>
    <t>Evaluation_2</t>
  </si>
  <si>
    <t>Evaluation_3</t>
  </si>
  <si>
    <t>Evaluation_4</t>
  </si>
  <si>
    <t>Evaluation_5</t>
  </si>
  <si>
    <t>Evaluation_6</t>
  </si>
  <si>
    <t>Evaluation_7</t>
  </si>
  <si>
    <t>Evaluation_8</t>
  </si>
  <si>
    <t>Evaluation_9</t>
  </si>
  <si>
    <t>Evaluation_10</t>
  </si>
  <si>
    <t>Action POLLEC 2</t>
  </si>
  <si>
    <t>Action POLLEC 3</t>
  </si>
  <si>
    <t>Action POLLEC 4</t>
  </si>
  <si>
    <t>Action POLLEC 5</t>
  </si>
  <si>
    <t>Action POLLEC 6</t>
  </si>
  <si>
    <t>!B44</t>
  </si>
  <si>
    <t>!D44</t>
  </si>
  <si>
    <t xml:space="preserve">Création de la feuille. </t>
  </si>
  <si>
    <t>Liste_bâtiments_communaux :</t>
  </si>
  <si>
    <t>Etude opportunité chaleur :</t>
  </si>
  <si>
    <t xml:space="preserve">o Changement méthodologique : Il est désormais demandé à l'utilisateur d'encoder le potentiel total, soit la somme de la production actuelle et du potentiel supplémentaire. Pour plus de clarté, les titres des graphiques ont été modifiés. En bas de page, des tableaux affichent les puissances installées en 2006 et lors de l'année de contrôle.  </t>
  </si>
  <si>
    <t>o Ajout de la possibilité d'encoder un potentiel en termes de chaleur fatale.</t>
  </si>
  <si>
    <t>o Ajout de la possibilité d'encoder les données de production d'électricité renouvelable sur le patrimoine communal</t>
  </si>
  <si>
    <t xml:space="preserve">o Ajout de la colonne "Nom correspondant dans la liste du fichier régional" permettant de sélectionner dans la liste définie dans la feuille "Liste_bâtiments communaux" le bâtiment correspondant. </t>
  </si>
  <si>
    <t xml:space="preserve">o Modification des titres de la ligne 47 pour plus de clarté </t>
  </si>
  <si>
    <t>o Ajout de la possibilité d'encoder des objectifs de transfert de consommation de gaz naturel et produits pétroliers vers une consommation de chaleur fatale</t>
  </si>
  <si>
    <t>o Stabilisation des éléments graphiques lors du redimensionnement de lignes ou colonnes</t>
  </si>
  <si>
    <t>o Ajout de la ligne 16 permettant de sélectionner jusqu'à 5 types de publics cibles</t>
  </si>
  <si>
    <t>o Lorsque la case "Actions du programme de travail POLLEC" est cochée, ajout de la possibiité d'encoder le numéro de l'action du programme de travail POLLEC concernée</t>
  </si>
  <si>
    <t xml:space="preserve">o Modification du contenu des cellules G48 à G54: Affichage de la puissance (ou assimilé) installée de 2006 à l'année de contrôle dans la même unité quand dans les colonnes H &amp; I pour faciliter la comparaison entre l'objectif, l'état lors de l'année de contrôle et le potentiel. </t>
  </si>
  <si>
    <t>Fiche_PAEDC</t>
  </si>
  <si>
    <t>Tâche_9</t>
  </si>
  <si>
    <t>Tâche_10</t>
  </si>
  <si>
    <t>Tâche_11</t>
  </si>
  <si>
    <t>Tâche_12</t>
  </si>
  <si>
    <t>Tâche_13</t>
  </si>
  <si>
    <t>Tâche_14</t>
  </si>
  <si>
    <t>Tâche_15</t>
  </si>
  <si>
    <t>Échéance_11</t>
  </si>
  <si>
    <t>Échéance_12</t>
  </si>
  <si>
    <t>Échéance_13</t>
  </si>
  <si>
    <t>Échéance_14</t>
  </si>
  <si>
    <t>Échéance_15</t>
  </si>
  <si>
    <t>Etat_9</t>
  </si>
  <si>
    <t>Etat_10</t>
  </si>
  <si>
    <t>Etat_11</t>
  </si>
  <si>
    <t>Etat_12</t>
  </si>
  <si>
    <t>Etat_13</t>
  </si>
  <si>
    <t>Etat_14</t>
  </si>
  <si>
    <t>Etat_15</t>
  </si>
  <si>
    <t>Indicateur_11</t>
  </si>
  <si>
    <t>Indicateur_12</t>
  </si>
  <si>
    <t>Indicateur_13</t>
  </si>
  <si>
    <t>Indicateur_14</t>
  </si>
  <si>
    <t>Indicateur_15</t>
  </si>
  <si>
    <t>Indicateur_16</t>
  </si>
  <si>
    <t>Indicateur_17</t>
  </si>
  <si>
    <t>Indicateur_18</t>
  </si>
  <si>
    <t>Indicateur_19</t>
  </si>
  <si>
    <t>Indicateur_20</t>
  </si>
  <si>
    <t>Unité_11</t>
  </si>
  <si>
    <t>Unité_12</t>
  </si>
  <si>
    <t>Unité_13</t>
  </si>
  <si>
    <t>Unité_14</t>
  </si>
  <si>
    <t>Unité_15</t>
  </si>
  <si>
    <t>Unité_16</t>
  </si>
  <si>
    <t>Unité_17</t>
  </si>
  <si>
    <t>Unité_18</t>
  </si>
  <si>
    <t>Unité_19</t>
  </si>
  <si>
    <t>Unité_20</t>
  </si>
  <si>
    <t>Cible_11</t>
  </si>
  <si>
    <t>Cible_12</t>
  </si>
  <si>
    <t>Cible_13</t>
  </si>
  <si>
    <t>Cible_14</t>
  </si>
  <si>
    <t>Cible_15</t>
  </si>
  <si>
    <t>Cible_16</t>
  </si>
  <si>
    <t>Cible_17</t>
  </si>
  <si>
    <t>Cible_18</t>
  </si>
  <si>
    <t>Cible_19</t>
  </si>
  <si>
    <t>Cible_20</t>
  </si>
  <si>
    <t>Échéance_16</t>
  </si>
  <si>
    <t>Échéance_17</t>
  </si>
  <si>
    <t>Échéance_18</t>
  </si>
  <si>
    <t>Échéance_19</t>
  </si>
  <si>
    <t>Échéance_20</t>
  </si>
  <si>
    <t>Collecte_11</t>
  </si>
  <si>
    <t>Collecte_12</t>
  </si>
  <si>
    <t>Collecte_13</t>
  </si>
  <si>
    <t>Collecte_14</t>
  </si>
  <si>
    <t>Collecte_15</t>
  </si>
  <si>
    <t>Collecte_16</t>
  </si>
  <si>
    <t>Collecte_17</t>
  </si>
  <si>
    <t>Collecte_18</t>
  </si>
  <si>
    <t>Collecte_19</t>
  </si>
  <si>
    <t>Collecte_20</t>
  </si>
  <si>
    <t>Valeur_11</t>
  </si>
  <si>
    <t>Valeur_12</t>
  </si>
  <si>
    <t>Valeur_13</t>
  </si>
  <si>
    <t>Valeur_14</t>
  </si>
  <si>
    <t>Valeur_15</t>
  </si>
  <si>
    <t>Valeur_16</t>
  </si>
  <si>
    <t>Valeur_17</t>
  </si>
  <si>
    <t>Valeur_18</t>
  </si>
  <si>
    <t>Valeur_19</t>
  </si>
  <si>
    <t>Valeur_20</t>
  </si>
  <si>
    <t>Clé_11</t>
  </si>
  <si>
    <t>Clé_12</t>
  </si>
  <si>
    <t>Clé_13</t>
  </si>
  <si>
    <t>Clé_14</t>
  </si>
  <si>
    <t>Clé_15</t>
  </si>
  <si>
    <t>Clé_16</t>
  </si>
  <si>
    <t>Clé_17</t>
  </si>
  <si>
    <t>Clé_18</t>
  </si>
  <si>
    <t>Clé_19</t>
  </si>
  <si>
    <t>Clé_20</t>
  </si>
  <si>
    <t>Charge_9</t>
  </si>
  <si>
    <t>Charge_10</t>
  </si>
  <si>
    <t>Charge_11</t>
  </si>
  <si>
    <t>Charge_12</t>
  </si>
  <si>
    <t>Charge_13</t>
  </si>
  <si>
    <t>Charge_14</t>
  </si>
  <si>
    <t>Charge_15</t>
  </si>
  <si>
    <t>PATR_ID</t>
  </si>
  <si>
    <t>Vérif
Patrimoine
Unique</t>
  </si>
  <si>
    <t>Nom du bâtiment dans l'outil POLLEC 2023</t>
  </si>
  <si>
    <t>Actions POLLEC 1 à 6</t>
  </si>
  <si>
    <t>Ajout de la possibilité d'encoder jusqu'à 15 tâches dans le plan de travail</t>
  </si>
  <si>
    <t>Ajout de la possibilité d'encoder jusqu'à 10 indicateurs quantitatifs autres que ceux repris dans la fiche action du PAEDC correspondante</t>
  </si>
  <si>
    <t>COM_INS</t>
  </si>
  <si>
    <t>COM_NM</t>
  </si>
  <si>
    <t>Les cellules dont la valeur est directement importée de la fiche action du PAEDC correspondante sont maintenant grisées</t>
  </si>
  <si>
    <t>Mise à jour: 14/03/2025</t>
  </si>
  <si>
    <t>Outil d'aide à l'élaboration et au suivi d'un PAEDC</t>
  </si>
  <si>
    <t>Version du 18/03/2025</t>
  </si>
  <si>
    <t>Colonne1</t>
  </si>
  <si>
    <t>Les données encodées sont-elles réelles ou estimées ?</t>
  </si>
  <si>
    <t>N° action dans programme de travail P22</t>
  </si>
  <si>
    <t>2030_CdM</t>
  </si>
  <si>
    <t>CO2</t>
  </si>
  <si>
    <t xml:space="preserve">2030_PAEDC </t>
  </si>
  <si>
    <t>Evolution_conso_2006</t>
  </si>
  <si>
    <t>Evolution_prod_2006</t>
  </si>
  <si>
    <t>Données_territoriales</t>
  </si>
  <si>
    <t>Type_bilan</t>
  </si>
  <si>
    <t>Industrie_incluse</t>
  </si>
  <si>
    <t>Part_trafic</t>
  </si>
  <si>
    <t>Part_éolien</t>
  </si>
  <si>
    <t>Colonne2</t>
  </si>
  <si>
    <t>Colonne3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</si>
</sst>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quot;£&quot;* #,##0_-;_-&quot;£&quot;* &quot;-&quot;_-;_-@_-"/>
    <numFmt numFmtId="166" formatCode="_-&quot;£&quot;* #,##0.00_-;\-&quot;£&quot;* #,##0.00_-;_-&quot;£&quot;* &quot;-&quot;??_-;_-@_-"/>
    <numFmt numFmtId="167" formatCode="_ &quot;€&quot;\ * #,##0.00_ ;_ &quot;€&quot;\ * \-#,##0.00_ ;_ &quot;€&quot;\ * &quot;-&quot;??_ ;_ @_ "/>
    <numFmt numFmtId="168" formatCode="_ * #,##0.00_ ;_ * \-#,##0.00_ ;_ * &quot;-&quot;??_ ;_ @_ "/>
    <numFmt numFmtId="169" formatCode="_-* #,##0.00\ [$€]_-;\-* #,##0.00\ [$€]_-;_-* &quot;-&quot;??\ [$€]_-;_-@_-"/>
    <numFmt numFmtId="170" formatCode="0.000"/>
    <numFmt numFmtId="171" formatCode="_ * #,##0_ ;_ * \-#,##0_ ;_ * &quot;-&quot;??_ ;_ @_ "/>
    <numFmt numFmtId="172" formatCode="0.0000"/>
    <numFmt numFmtId="173" formatCode="_ * #,##0.0000_ ;_ * \-#,##0.0000_ ;_ * &quot;-&quot;??_ ;_ @_ "/>
    <numFmt numFmtId="174" formatCode="_-* #,##0\ [$€-40C]_-;\-* #,##0\ [$€-40C]_-;_-* &quot;-&quot;??\ [$€-40C]_-;_-@_-"/>
    <numFmt numFmtId="175" formatCode="0.0"/>
    <numFmt numFmtId="176" formatCode="0.0%"/>
    <numFmt numFmtId="177" formatCode="_ * #,##0.000_ ;_ * \-#,##0.000_ ;_ * &quot;-&quot;??_ ;_ @_ "/>
    <numFmt numFmtId="178" formatCode="#,##0.0"/>
    <numFmt numFmtId="179" formatCode="_-* #,##0\ &quot;FB&quot;_-;\-* #,##0\ &quot;FB&quot;_-;_-* &quot;-&quot;\ &quot;FB&quot;_-;_-@_-"/>
    <numFmt numFmtId="180" formatCode="_-* #,##0.00\ &quot;FB&quot;_-;\-* #,##0.00\ &quot;FB&quot;_-;_-* &quot;-&quot;??\ &quot;FB&quot;_-;_-@_-"/>
    <numFmt numFmtId="181" formatCode="_-* #,##0.00\ [$€-1]_-;\-* #,##0.00\ [$€-1]_-;_-* &quot;-&quot;??\ [$€-1]_-"/>
    <numFmt numFmtId="182" formatCode="0.000000"/>
    <numFmt numFmtId="183" formatCode="0.00000"/>
    <numFmt numFmtId="184" formatCode="#,##0.0000"/>
    <numFmt numFmtId="185" formatCode="_ * #,##0.0_ ;_ * \-#,##0.0_ ;_ * &quot;-&quot;??_ ;_ @_ "/>
    <numFmt numFmtId="186" formatCode="_-* #,##0.000\ _€_-;\-* #,##0.000\ _€_-;_-* &quot;-&quot;???\ _€_-;_-@_-"/>
    <numFmt numFmtId="187" formatCode="_-* #,##0\ [$€-80C]_-;\-* #,##0\ [$€-80C]_-;_-* &quot;-&quot;??\ [$€-80C]_-;_-@_-"/>
    <numFmt numFmtId="188" formatCode="#,##0\ &quot;€&quot;"/>
    <numFmt numFmtId="189" formatCode="_-* #,##0\ _€_-;\-* #,##0\ _€_-;_-* &quot;-&quot;??\ _€_-;_-@_-"/>
    <numFmt numFmtId="190" formatCode="\-"/>
    <numFmt numFmtId="191" formatCode="_-* ###0_-;\-* ###0_-;_-* &quot;-&quot;_-;_-@_-"/>
    <numFmt numFmtId="192" formatCode="#,##0_ ;\-#,##0\ "/>
    <numFmt numFmtId="193" formatCode="0.00000000"/>
    <numFmt numFmtId="194" formatCode="_-* #,##0.000000\ _€_-;\-* #,##0.000000\ _€_-;_-* &quot;-&quot;???\ _€_-;_-@_-"/>
    <numFmt numFmtId="195" formatCode="_ * #,##0.00000_ ;_ * \-#,##0.00000_ ;_ * &quot;-&quot;??_ ;_ @_ "/>
    <numFmt numFmtId="196" formatCode="_ * #,##0.000000_ ;_ * \-#,##0.000000_ ;_ * &quot;-&quot;??_ ;_ @_ "/>
    <numFmt numFmtId="197" formatCode="_ * #,##0.000000000_ ;_ * \-#,##0.000000000_ ;_ * &quot;-&quot;??_ ;_ @_ "/>
    <numFmt numFmtId="198" formatCode="_-* #,##0.00\ [$€-80C]_-;\-* #,##0.00\ [$€-80C]_-;_-* &quot;-&quot;??\ [$€-80C]_-;_-@_-"/>
    <numFmt numFmtId="199" formatCode="#,##0.00\ &quot;€&quot;"/>
    <numFmt numFmtId="200" formatCode="_-* #,##0.0000\ _€_-;\-* #,##0.0000\ _€_-;_-* &quot;-&quot;???\ _€_-;_-@_-"/>
  </numFmts>
  <fonts count="308">
    <font>
      <sz val="11"/>
      <color theme="1"/>
      <name val="Calibri"/>
      <family val="2"/>
      <scheme val="minor"/>
    </font>
    <font>
      <sz val="11"/>
      <color indexed="8"/>
      <name val="Calibri"/>
      <family val="2"/>
    </font>
    <font>
      <b/>
      <sz val="10"/>
      <name val="Arial"/>
      <family val="2"/>
    </font>
    <font>
      <sz val="10"/>
      <name val="Arial"/>
      <family val="2"/>
    </font>
    <font>
      <sz val="8"/>
      <name val="Arial"/>
      <family val="2"/>
    </font>
    <font>
      <u/>
      <sz val="8"/>
      <color indexed="12"/>
      <name val="Arial"/>
      <family val="2"/>
    </font>
    <font>
      <b/>
      <sz val="14"/>
      <name val="Times New Roman"/>
      <family val="1"/>
    </font>
    <font>
      <u/>
      <sz val="10"/>
      <color indexed="12"/>
      <name val="Arial"/>
      <family val="2"/>
    </font>
    <font>
      <b/>
      <sz val="11"/>
      <color indexed="8"/>
      <name val="Calibri"/>
      <family val="2"/>
    </font>
    <font>
      <sz val="11"/>
      <color indexed="8"/>
      <name val="Calibri"/>
      <family val="2"/>
    </font>
    <font>
      <sz val="10"/>
      <name val="Arial"/>
      <family val="2"/>
    </font>
    <font>
      <b/>
      <sz val="8"/>
      <name val="Arial"/>
      <family val="2"/>
    </font>
    <font>
      <sz val="9"/>
      <color indexed="81"/>
      <name val="Tahoma"/>
      <family val="2"/>
    </font>
    <font>
      <b/>
      <sz val="9"/>
      <color indexed="81"/>
      <name val="Tahoma"/>
      <family val="2"/>
    </font>
    <font>
      <b/>
      <sz val="18"/>
      <color indexed="56"/>
      <name val="Cambria"/>
      <family val="2"/>
    </font>
    <font>
      <sz val="10"/>
      <color indexed="8"/>
      <name val="Arial"/>
      <family val="2"/>
    </font>
    <font>
      <b/>
      <sz val="12"/>
      <name val="Myriad Pro"/>
      <family val="2"/>
    </font>
    <font>
      <sz val="8"/>
      <name val="Arial"/>
      <family val="2"/>
    </font>
    <font>
      <b/>
      <sz val="12"/>
      <color indexed="10"/>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MS Sans Serif"/>
      <family val="2"/>
    </font>
    <font>
      <sz val="11"/>
      <color indexed="10"/>
      <name val="Calibri"/>
      <family val="2"/>
    </font>
    <font>
      <sz val="11"/>
      <name val="Arial"/>
      <family val="2"/>
    </font>
    <font>
      <sz val="8"/>
      <name val="Arial"/>
      <family val="2"/>
    </font>
    <font>
      <sz val="8"/>
      <color indexed="8"/>
      <name val="Calibri"/>
      <family val="2"/>
    </font>
    <font>
      <sz val="11"/>
      <color indexed="63"/>
      <name val="Calibri"/>
      <family val="2"/>
    </font>
    <font>
      <b/>
      <sz val="12"/>
      <color indexed="63"/>
      <name val="Calibri"/>
      <family val="2"/>
    </font>
    <font>
      <sz val="11"/>
      <name val="Calibri"/>
      <family val="2"/>
    </font>
    <font>
      <sz val="9"/>
      <name val="Times New Roman"/>
      <family val="1"/>
    </font>
    <font>
      <i/>
      <sz val="11"/>
      <name val="Arial"/>
      <family val="2"/>
    </font>
    <font>
      <sz val="8"/>
      <name val="Arial"/>
      <family val="2"/>
    </font>
    <font>
      <b/>
      <sz val="10"/>
      <color indexed="9"/>
      <name val="Arial"/>
      <family val="2"/>
    </font>
    <font>
      <b/>
      <sz val="24"/>
      <color indexed="9"/>
      <name val="Arial"/>
      <family val="2"/>
    </font>
    <font>
      <sz val="10"/>
      <color indexed="9"/>
      <name val="Arial"/>
      <family val="2"/>
    </font>
    <font>
      <sz val="10"/>
      <name val="Wingdings 2"/>
      <family val="1"/>
      <charset val="2"/>
    </font>
    <font>
      <sz val="10"/>
      <color indexed="10"/>
      <name val="Arial"/>
      <family val="2"/>
    </font>
    <font>
      <strike/>
      <sz val="10"/>
      <color indexed="10"/>
      <name val="Arial"/>
      <family val="2"/>
    </font>
    <font>
      <sz val="12"/>
      <color indexed="63"/>
      <name val="Calibri"/>
      <family val="2"/>
    </font>
    <font>
      <sz val="11"/>
      <color indexed="8"/>
      <name val="Calibri"/>
      <family val="2"/>
    </font>
    <font>
      <sz val="11"/>
      <color indexed="9"/>
      <name val="Calibri"/>
      <family val="2"/>
    </font>
    <font>
      <sz val="11"/>
      <name val="Calibri"/>
      <family val="2"/>
    </font>
    <font>
      <sz val="8"/>
      <color indexed="8"/>
      <name val="Calibri"/>
      <family val="2"/>
    </font>
    <font>
      <sz val="10"/>
      <color indexed="8"/>
      <name val="Arial"/>
      <family val="2"/>
    </font>
    <font>
      <b/>
      <sz val="11"/>
      <color indexed="8"/>
      <name val="Calibri"/>
      <family val="2"/>
    </font>
    <font>
      <sz val="11"/>
      <color indexed="63"/>
      <name val="Calibri"/>
      <family val="2"/>
    </font>
    <font>
      <sz val="22"/>
      <color indexed="63"/>
      <name val="Calibri"/>
      <family val="2"/>
    </font>
    <font>
      <sz val="8"/>
      <color indexed="63"/>
      <name val="Arial"/>
      <family val="2"/>
    </font>
    <font>
      <sz val="14"/>
      <color indexed="63"/>
      <name val="Calibri"/>
      <family val="2"/>
    </font>
    <font>
      <b/>
      <sz val="14"/>
      <color indexed="63"/>
      <name val="Calibri"/>
      <family val="2"/>
    </font>
    <font>
      <b/>
      <sz val="20"/>
      <color indexed="63"/>
      <name val="Calibri"/>
      <family val="2"/>
    </font>
    <font>
      <sz val="11"/>
      <color indexed="63"/>
      <name val="Arial"/>
      <family val="2"/>
    </font>
    <font>
      <b/>
      <sz val="18"/>
      <color indexed="8"/>
      <name val="Calibri"/>
      <family val="2"/>
    </font>
    <font>
      <b/>
      <sz val="22"/>
      <color indexed="63"/>
      <name val="Calibri"/>
      <family val="2"/>
    </font>
    <font>
      <b/>
      <sz val="26"/>
      <color indexed="63"/>
      <name val="Calibri"/>
      <family val="2"/>
    </font>
    <font>
      <b/>
      <sz val="18"/>
      <color indexed="63"/>
      <name val="Calibri"/>
      <family val="2"/>
    </font>
    <font>
      <sz val="11"/>
      <color indexed="22"/>
      <name val="Calibri"/>
      <family val="2"/>
    </font>
    <font>
      <sz val="11"/>
      <color indexed="63"/>
      <name val="Calibri"/>
      <family val="2"/>
    </font>
    <font>
      <i/>
      <sz val="11"/>
      <color indexed="63"/>
      <name val="Calibri"/>
      <family val="2"/>
    </font>
    <font>
      <sz val="16"/>
      <color indexed="63"/>
      <name val="Calibri"/>
      <family val="2"/>
    </font>
    <font>
      <b/>
      <sz val="20"/>
      <color indexed="56"/>
      <name val="Calibri"/>
      <family val="2"/>
    </font>
    <font>
      <sz val="11"/>
      <color indexed="56"/>
      <name val="Calibri"/>
      <family val="2"/>
    </font>
    <font>
      <b/>
      <sz val="16"/>
      <color indexed="56"/>
      <name val="Calibri"/>
      <family val="2"/>
    </font>
    <font>
      <b/>
      <sz val="11"/>
      <name val="Calibri"/>
      <family val="2"/>
    </font>
    <font>
      <b/>
      <sz val="16"/>
      <color indexed="8"/>
      <name val="Calibri"/>
      <family val="2"/>
    </font>
    <font>
      <sz val="20"/>
      <color indexed="63"/>
      <name val="Calibri"/>
      <family val="2"/>
    </font>
    <font>
      <i/>
      <sz val="11"/>
      <color indexed="60"/>
      <name val="Calibri"/>
      <family val="2"/>
    </font>
    <font>
      <i/>
      <sz val="10"/>
      <color indexed="60"/>
      <name val="Calibri"/>
      <family val="2"/>
    </font>
    <font>
      <b/>
      <sz val="16"/>
      <color indexed="63"/>
      <name val="Calibri"/>
      <family val="2"/>
    </font>
    <font>
      <b/>
      <sz val="10"/>
      <color indexed="10"/>
      <name val="Arial"/>
      <family val="2"/>
    </font>
    <font>
      <sz val="14"/>
      <color indexed="50"/>
      <name val="Wingdings 2"/>
      <family val="1"/>
      <charset val="2"/>
    </font>
    <font>
      <sz val="8"/>
      <color indexed="17"/>
      <name val="Arial"/>
      <family val="2"/>
    </font>
    <font>
      <sz val="10"/>
      <color indexed="53"/>
      <name val="Arial"/>
      <family val="2"/>
    </font>
    <font>
      <b/>
      <sz val="12"/>
      <color indexed="56"/>
      <name val="Calibri"/>
      <family val="2"/>
    </font>
    <font>
      <sz val="12"/>
      <color indexed="56"/>
      <name val="Calibri"/>
      <family val="2"/>
    </font>
    <font>
      <b/>
      <sz val="28"/>
      <color indexed="63"/>
      <name val="Calibri"/>
      <family val="2"/>
    </font>
    <font>
      <sz val="11"/>
      <color indexed="8"/>
      <name val="Calibri"/>
      <family val="2"/>
    </font>
    <font>
      <sz val="8"/>
      <color indexed="8"/>
      <name val="Calibri"/>
      <family val="2"/>
    </font>
    <font>
      <sz val="10"/>
      <color indexed="8"/>
      <name val="Arial"/>
      <family val="2"/>
    </font>
    <font>
      <sz val="26"/>
      <color indexed="30"/>
      <name val="Calibri"/>
      <family val="2"/>
    </font>
    <font>
      <sz val="11"/>
      <name val="Calibri"/>
      <family val="2"/>
    </font>
    <font>
      <sz val="11"/>
      <color indexed="63"/>
      <name val="Calibri"/>
      <family val="2"/>
    </font>
    <font>
      <sz val="11"/>
      <color indexed="8"/>
      <name val="Calibri"/>
      <family val="2"/>
    </font>
    <font>
      <b/>
      <sz val="14"/>
      <color indexed="9"/>
      <name val="Calibri"/>
      <family val="2"/>
    </font>
    <font>
      <b/>
      <sz val="14"/>
      <color indexed="9"/>
      <name val="Arial"/>
      <family val="2"/>
    </font>
    <font>
      <sz val="11"/>
      <color indexed="8"/>
      <name val="Calibri"/>
      <family val="2"/>
    </font>
    <font>
      <sz val="11"/>
      <color indexed="8"/>
      <name val="Calibri"/>
      <family val="2"/>
    </font>
    <font>
      <i/>
      <sz val="12"/>
      <color indexed="56"/>
      <name val="Calibri"/>
      <family val="2"/>
    </font>
    <font>
      <sz val="8"/>
      <name val="Calibri"/>
      <family val="2"/>
    </font>
    <font>
      <sz val="8"/>
      <name val="Calibri"/>
      <family val="2"/>
    </font>
    <font>
      <sz val="11"/>
      <color theme="1"/>
      <name val="Calibri"/>
      <family val="2"/>
      <scheme val="minor"/>
    </font>
    <font>
      <sz val="11"/>
      <color theme="0"/>
      <name val="Calibri"/>
      <family val="2"/>
      <scheme val="minor"/>
    </font>
    <font>
      <b/>
      <sz val="15"/>
      <color theme="3"/>
      <name val="Calibri"/>
      <family val="2"/>
      <scheme val="minor"/>
    </font>
    <font>
      <b/>
      <sz val="11"/>
      <color theme="3"/>
      <name val="Calibri"/>
      <family val="2"/>
      <scheme val="minor"/>
    </font>
    <font>
      <u/>
      <sz val="11"/>
      <color rgb="FF00709E"/>
      <name val="Calibri"/>
      <family val="2"/>
      <scheme val="minor"/>
    </font>
    <font>
      <u/>
      <sz val="8"/>
      <color theme="10"/>
      <name val="Arial"/>
      <family val="2"/>
    </font>
    <font>
      <sz val="8"/>
      <color theme="1"/>
      <name val="Calibri"/>
      <family val="2"/>
      <scheme val="minor"/>
    </font>
    <font>
      <sz val="10"/>
      <color rgb="FF000000"/>
      <name val="Arial"/>
      <family val="2"/>
    </font>
    <font>
      <u/>
      <sz val="11"/>
      <color theme="8" tint="-0.499984740745262"/>
      <name val="Calibri"/>
      <family val="2"/>
      <scheme val="minor"/>
    </font>
    <font>
      <b/>
      <sz val="18"/>
      <color theme="3"/>
      <name val="Cambria"/>
      <family val="2"/>
    </font>
    <font>
      <b/>
      <sz val="11"/>
      <color theme="1"/>
      <name val="Calibri"/>
      <family val="2"/>
      <scheme val="minor"/>
    </font>
    <font>
      <b/>
      <sz val="11"/>
      <color theme="0"/>
      <name val="Calibri"/>
      <family val="2"/>
      <scheme val="minor"/>
    </font>
    <font>
      <sz val="11"/>
      <color theme="0"/>
      <name val="Calibri"/>
      <family val="2"/>
    </font>
    <font>
      <sz val="11"/>
      <color theme="1" tint="0.249977111117893"/>
      <name val="Calibri"/>
      <family val="2"/>
    </font>
    <font>
      <sz val="11"/>
      <color theme="8" tint="-0.499984740745262"/>
      <name val="Calibri"/>
      <family val="2"/>
      <scheme val="minor"/>
    </font>
    <font>
      <sz val="11"/>
      <color rgb="FF00709E"/>
      <name val="Calibri"/>
      <family val="2"/>
      <scheme val="minor"/>
    </font>
    <font>
      <b/>
      <sz val="11"/>
      <color theme="0"/>
      <name val="Calibri"/>
      <family val="2"/>
    </font>
    <font>
      <i/>
      <sz val="11"/>
      <color theme="0"/>
      <name val="Calibri"/>
      <family val="2"/>
    </font>
    <font>
      <b/>
      <sz val="11"/>
      <color indexed="63"/>
      <name val="Calibri"/>
      <family val="2"/>
      <scheme val="minor"/>
    </font>
    <font>
      <b/>
      <u/>
      <sz val="12"/>
      <color theme="0"/>
      <name val="Calibri"/>
      <family val="2"/>
    </font>
    <font>
      <sz val="11"/>
      <color rgb="FFFF0000"/>
      <name val="Calibri"/>
      <family val="2"/>
    </font>
    <font>
      <sz val="11"/>
      <color rgb="FF00709E"/>
      <name val="Calibri"/>
      <family val="2"/>
    </font>
    <font>
      <b/>
      <sz val="14"/>
      <color rgb="FFFF0000"/>
      <name val="Calibri"/>
      <family val="2"/>
    </font>
    <font>
      <b/>
      <sz val="11"/>
      <color theme="0"/>
      <name val="Arial Narrow"/>
      <family val="2"/>
    </font>
    <font>
      <sz val="11"/>
      <color theme="0"/>
      <name val="Arial Narrow"/>
      <family val="2"/>
    </font>
    <font>
      <b/>
      <sz val="11"/>
      <color theme="1"/>
      <name val="Arial Narrow"/>
      <family val="2"/>
    </font>
    <font>
      <sz val="11"/>
      <color theme="1"/>
      <name val="Arial Narrow"/>
      <family val="2"/>
    </font>
    <font>
      <b/>
      <sz val="22"/>
      <color theme="1" tint="0.249977111117893"/>
      <name val="Calibri"/>
      <family val="2"/>
      <scheme val="minor"/>
    </font>
    <font>
      <b/>
      <sz val="20"/>
      <color theme="0"/>
      <name val="Calibri"/>
      <family val="2"/>
    </font>
    <font>
      <b/>
      <sz val="20"/>
      <color rgb="FF00709E"/>
      <name val="Calibri"/>
      <family val="2"/>
      <scheme val="minor"/>
    </font>
    <font>
      <b/>
      <sz val="14"/>
      <color rgb="FF00709E"/>
      <name val="Calibri"/>
      <family val="2"/>
      <scheme val="minor"/>
    </font>
    <font>
      <sz val="11"/>
      <color theme="9" tint="-0.499984740745262"/>
      <name val="Calibri"/>
      <family val="2"/>
      <scheme val="minor"/>
    </font>
    <font>
      <b/>
      <sz val="10"/>
      <color theme="1"/>
      <name val="Calibri"/>
      <family val="2"/>
      <scheme val="minor"/>
    </font>
    <font>
      <sz val="10"/>
      <color theme="1"/>
      <name val="Calibri"/>
      <family val="2"/>
      <scheme val="minor"/>
    </font>
    <font>
      <b/>
      <sz val="12"/>
      <color theme="0"/>
      <name val="Calibri"/>
      <family val="2"/>
    </font>
    <font>
      <sz val="14"/>
      <color theme="1"/>
      <name val="Calibri"/>
      <family val="2"/>
      <scheme val="minor"/>
    </font>
    <font>
      <b/>
      <sz val="11"/>
      <color rgb="FF00709E"/>
      <name val="Calibri"/>
      <family val="2"/>
      <scheme val="minor"/>
    </font>
    <font>
      <b/>
      <u/>
      <sz val="11"/>
      <color rgb="FF00709E"/>
      <name val="Calibri"/>
      <family val="2"/>
      <scheme val="minor"/>
    </font>
    <font>
      <b/>
      <sz val="11"/>
      <color theme="8" tint="-0.499984740745262"/>
      <name val="Calibri"/>
      <family val="2"/>
      <scheme val="minor"/>
    </font>
    <font>
      <b/>
      <u/>
      <sz val="11"/>
      <color theme="8" tint="-0.499984740745262"/>
      <name val="Calibri"/>
      <family val="2"/>
      <scheme val="minor"/>
    </font>
    <font>
      <b/>
      <sz val="11"/>
      <color theme="1" tint="0.249977111117893"/>
      <name val="Calibri"/>
      <family val="2"/>
      <scheme val="minor"/>
    </font>
    <font>
      <u/>
      <sz val="11"/>
      <color theme="1" tint="0.249977111117893"/>
      <name val="Calibri"/>
      <family val="2"/>
      <scheme val="minor"/>
    </font>
    <font>
      <b/>
      <u/>
      <sz val="11"/>
      <color theme="1" tint="0.249977111117893"/>
      <name val="Calibri"/>
      <family val="2"/>
      <scheme val="minor"/>
    </font>
    <font>
      <sz val="11"/>
      <color theme="1" tint="0.249977111117893"/>
      <name val="Calibri"/>
      <family val="2"/>
      <scheme val="minor"/>
    </font>
    <font>
      <b/>
      <sz val="24"/>
      <color theme="1" tint="0.249977111117893"/>
      <name val="Calibri"/>
      <family val="2"/>
      <scheme val="minor"/>
    </font>
    <font>
      <b/>
      <sz val="10"/>
      <color theme="1" tint="0.249977111117893"/>
      <name val="Arial"/>
      <family val="2"/>
    </font>
    <font>
      <b/>
      <sz val="11"/>
      <color theme="1" tint="0.249977111117893"/>
      <name val="Calibri"/>
      <family val="2"/>
    </font>
    <font>
      <sz val="10"/>
      <color theme="1" tint="0.249977111117893"/>
      <name val="Arial"/>
      <family val="2"/>
    </font>
    <font>
      <i/>
      <sz val="11"/>
      <color theme="1" tint="0.249977111117893"/>
      <name val="Calibri"/>
      <family val="2"/>
    </font>
    <font>
      <b/>
      <sz val="14"/>
      <color theme="1" tint="0.249977111117893"/>
      <name val="Arial"/>
      <family val="2"/>
    </font>
    <font>
      <i/>
      <sz val="11"/>
      <color theme="1" tint="0.249977111117893"/>
      <name val="Calibri"/>
      <family val="2"/>
      <scheme val="minor"/>
    </font>
    <font>
      <b/>
      <u/>
      <sz val="11"/>
      <color theme="1"/>
      <name val="Calibri"/>
      <family val="2"/>
      <scheme val="minor"/>
    </font>
    <font>
      <sz val="14"/>
      <color theme="1" tint="0.249977111117893"/>
      <name val="Calibri"/>
      <family val="2"/>
    </font>
    <font>
      <b/>
      <sz val="14"/>
      <color theme="1"/>
      <name val="Calibri"/>
      <family val="2"/>
      <scheme val="minor"/>
    </font>
    <font>
      <b/>
      <sz val="12"/>
      <color theme="1"/>
      <name val="Calibri"/>
      <family val="2"/>
      <scheme val="minor"/>
    </font>
    <font>
      <sz val="11"/>
      <color rgb="FFFF0000"/>
      <name val="Calibri"/>
      <family val="2"/>
      <scheme val="minor"/>
    </font>
    <font>
      <sz val="22"/>
      <color theme="1"/>
      <name val="Calibri"/>
      <family val="2"/>
      <scheme val="minor"/>
    </font>
    <font>
      <u/>
      <sz val="11"/>
      <color theme="8" tint="-0.249977111117893"/>
      <name val="Calibri"/>
      <family val="2"/>
      <scheme val="minor"/>
    </font>
    <font>
      <b/>
      <sz val="14"/>
      <color theme="1" tint="0.249977111117893"/>
      <name val="Calibri"/>
      <family val="2"/>
      <scheme val="minor"/>
    </font>
    <font>
      <sz val="26"/>
      <color rgb="FF00709E"/>
      <name val="Calibri"/>
      <family val="2"/>
    </font>
    <font>
      <sz val="11"/>
      <color theme="1" tint="0.499984740745262"/>
      <name val="Calibri"/>
      <family val="2"/>
      <scheme val="minor"/>
    </font>
    <font>
      <sz val="11"/>
      <color theme="8" tint="-0.249977111117893"/>
      <name val="Calibri"/>
      <family val="2"/>
      <scheme val="minor"/>
    </font>
    <font>
      <b/>
      <sz val="11"/>
      <color theme="8" tint="-0.249977111117893"/>
      <name val="Calibri"/>
      <family val="2"/>
      <scheme val="minor"/>
    </font>
    <font>
      <b/>
      <u/>
      <sz val="11"/>
      <color theme="0"/>
      <name val="Calibri"/>
      <family val="2"/>
      <scheme val="minor"/>
    </font>
    <font>
      <b/>
      <u/>
      <sz val="11"/>
      <color theme="1" tint="0.499984740745262"/>
      <name val="Calibri"/>
      <family val="2"/>
      <scheme val="minor"/>
    </font>
    <font>
      <i/>
      <sz val="12"/>
      <color theme="1" tint="0.34998626667073579"/>
      <name val="Calibri"/>
      <family val="2"/>
      <scheme val="minor"/>
    </font>
    <font>
      <b/>
      <u/>
      <sz val="24"/>
      <color theme="8" tint="-0.499984740745262"/>
      <name val="Calibri"/>
      <family val="2"/>
      <scheme val="minor"/>
    </font>
    <font>
      <sz val="11"/>
      <color rgb="FF00B050"/>
      <name val="Calibri"/>
      <family val="2"/>
      <scheme val="minor"/>
    </font>
    <font>
      <sz val="11"/>
      <color theme="0" tint="-0.249977111117893"/>
      <name val="Calibri"/>
      <family val="2"/>
      <scheme val="minor"/>
    </font>
    <font>
      <b/>
      <sz val="18"/>
      <color theme="1" tint="0.249977111117893"/>
      <name val="Calibri"/>
      <family val="2"/>
    </font>
    <font>
      <sz val="11"/>
      <color theme="1" tint="0.249977111117893"/>
      <name val="Arial"/>
      <family val="2"/>
    </font>
    <font>
      <b/>
      <sz val="14"/>
      <color theme="1" tint="0.249977111117893"/>
      <name val="Calibri"/>
      <family val="2"/>
    </font>
    <font>
      <sz val="8"/>
      <color theme="1" tint="0.249977111117893"/>
      <name val="Arial"/>
      <family val="2"/>
    </font>
    <font>
      <b/>
      <sz val="11"/>
      <color theme="1" tint="0.249977111117893"/>
      <name val="Arial"/>
      <family val="2"/>
    </font>
    <font>
      <b/>
      <sz val="11"/>
      <color theme="0"/>
      <name val="Arial"/>
      <family val="2"/>
    </font>
    <font>
      <sz val="11"/>
      <color theme="0"/>
      <name val="Arial"/>
      <family val="2"/>
    </font>
    <font>
      <i/>
      <sz val="11"/>
      <color theme="1"/>
      <name val="Calibri"/>
      <family val="2"/>
      <scheme val="minor"/>
    </font>
    <font>
      <u/>
      <sz val="14"/>
      <color rgb="FF00709E"/>
      <name val="Calibri"/>
      <family val="2"/>
      <scheme val="minor"/>
    </font>
    <font>
      <sz val="14"/>
      <color rgb="FF00709E"/>
      <name val="Calibri"/>
      <family val="2"/>
      <scheme val="minor"/>
    </font>
    <font>
      <sz val="9"/>
      <color theme="1" tint="0.249977111117893"/>
      <name val="Calibri"/>
      <family val="2"/>
      <scheme val="minor"/>
    </font>
    <font>
      <b/>
      <sz val="14"/>
      <color theme="1" tint="0.34998626667073579"/>
      <name val="Calibri"/>
      <family val="2"/>
      <scheme val="minor"/>
    </font>
    <font>
      <sz val="11"/>
      <color theme="1" tint="0.34998626667073579"/>
      <name val="Calibri"/>
      <family val="2"/>
      <scheme val="minor"/>
    </font>
    <font>
      <b/>
      <sz val="11"/>
      <color theme="1" tint="0.34998626667073579"/>
      <name val="Calibri"/>
      <family val="2"/>
      <scheme val="minor"/>
    </font>
    <font>
      <b/>
      <sz val="10"/>
      <color theme="0"/>
      <name val="Calibri"/>
      <family val="2"/>
      <scheme val="minor"/>
    </font>
    <font>
      <b/>
      <sz val="9"/>
      <color theme="1" tint="0.249977111117893"/>
      <name val="Calibri"/>
      <family val="2"/>
      <scheme val="minor"/>
    </font>
    <font>
      <sz val="10"/>
      <color theme="1" tint="0.249977111117893"/>
      <name val="Calibri"/>
      <family val="2"/>
      <scheme val="minor"/>
    </font>
    <font>
      <b/>
      <sz val="11"/>
      <color rgb="FF003366"/>
      <name val="Calibri"/>
      <family val="2"/>
    </font>
    <font>
      <b/>
      <sz val="11"/>
      <color rgb="FFFF0000"/>
      <name val="Calibri"/>
      <family val="2"/>
    </font>
    <font>
      <sz val="8"/>
      <name val="Calibri"/>
      <family val="2"/>
      <scheme val="minor"/>
    </font>
    <font>
      <sz val="11"/>
      <color theme="1" tint="0.34998626667073579"/>
      <name val="Calibri"/>
      <family val="2"/>
    </font>
    <font>
      <b/>
      <sz val="12"/>
      <color theme="1" tint="0.249977111117893"/>
      <name val="Calibri"/>
      <family val="2"/>
      <scheme val="minor"/>
    </font>
    <font>
      <sz val="11"/>
      <color theme="0" tint="-4.9989318521683403E-2"/>
      <name val="Calibri"/>
      <family val="2"/>
    </font>
    <font>
      <i/>
      <sz val="11"/>
      <color theme="3"/>
      <name val="Calibri"/>
      <family val="2"/>
      <scheme val="minor"/>
    </font>
    <font>
      <sz val="11"/>
      <color theme="9" tint="-0.499984740745262"/>
      <name val="Calibri"/>
      <family val="2"/>
    </font>
    <font>
      <u/>
      <sz val="11"/>
      <color theme="0"/>
      <name val="Calibri"/>
      <family val="2"/>
      <scheme val="minor"/>
    </font>
    <font>
      <b/>
      <sz val="10"/>
      <color theme="0"/>
      <name val="Calibri"/>
      <family val="2"/>
    </font>
    <font>
      <sz val="10"/>
      <color theme="0"/>
      <name val="Calibri"/>
      <family val="2"/>
    </font>
    <font>
      <sz val="12"/>
      <color theme="0"/>
      <name val="Calibri"/>
      <family val="2"/>
    </font>
    <font>
      <u/>
      <sz val="11"/>
      <name val="Calibri"/>
      <family val="2"/>
      <scheme val="minor"/>
    </font>
    <font>
      <sz val="11"/>
      <color theme="1"/>
      <name val="Calibri"/>
      <family val="2"/>
    </font>
    <font>
      <b/>
      <sz val="14"/>
      <color theme="9" tint="-0.249977111117893"/>
      <name val="Calibri"/>
      <family val="2"/>
      <scheme val="minor"/>
    </font>
    <font>
      <sz val="14"/>
      <color rgb="FF8BB716"/>
      <name val="Roboto"/>
    </font>
    <font>
      <b/>
      <sz val="11"/>
      <color rgb="FFFFFFFF"/>
      <name val="Roboto"/>
    </font>
    <font>
      <sz val="11"/>
      <color rgb="FFFFFFFF"/>
      <name val="Roboto"/>
    </font>
    <font>
      <b/>
      <sz val="12"/>
      <color theme="1" tint="0.34998626667073579"/>
      <name val="Calibri"/>
      <family val="2"/>
      <scheme val="minor"/>
    </font>
    <font>
      <b/>
      <sz val="11"/>
      <color theme="1" tint="0.34998626667073579"/>
      <name val="Arial"/>
      <family val="2"/>
    </font>
    <font>
      <sz val="11"/>
      <color theme="1" tint="0.34998626667073579"/>
      <name val="Arial"/>
      <family val="2"/>
    </font>
    <font>
      <b/>
      <sz val="24"/>
      <color theme="1" tint="0.34998626667073579"/>
      <name val="Arial"/>
      <family val="2"/>
    </font>
    <font>
      <sz val="24"/>
      <color theme="1" tint="0.34998626667073579"/>
      <name val="Arial"/>
      <family val="2"/>
    </font>
    <font>
      <b/>
      <sz val="10"/>
      <color theme="1" tint="0.34998626667073579"/>
      <name val="Arial"/>
      <family val="2"/>
    </font>
    <font>
      <strike/>
      <sz val="11"/>
      <color theme="1" tint="0.34998626667073579"/>
      <name val="Arial"/>
      <family val="2"/>
    </font>
    <font>
      <i/>
      <sz val="11"/>
      <color theme="1" tint="0.34998626667073579"/>
      <name val="Arial"/>
      <family val="2"/>
    </font>
    <font>
      <vertAlign val="subscript"/>
      <sz val="11"/>
      <color theme="1" tint="0.34998626667073579"/>
      <name val="Arial"/>
      <family val="2"/>
    </font>
    <font>
      <b/>
      <vertAlign val="subscript"/>
      <sz val="11"/>
      <color theme="1" tint="0.34998626667073579"/>
      <name val="Arial"/>
      <family val="2"/>
    </font>
    <font>
      <sz val="10"/>
      <color theme="1" tint="0.34998626667073579"/>
      <name val="Arial"/>
      <family val="2"/>
    </font>
    <font>
      <sz val="10"/>
      <color theme="1" tint="0.34998626667073579"/>
      <name val="Calibri"/>
      <family val="2"/>
    </font>
    <font>
      <b/>
      <i/>
      <sz val="11"/>
      <color theme="1" tint="0.34998626667073579"/>
      <name val="Arial"/>
      <family val="2"/>
    </font>
    <font>
      <b/>
      <u/>
      <sz val="10"/>
      <color theme="1" tint="0.34998626667073579"/>
      <name val="Arial"/>
      <family val="2"/>
    </font>
    <font>
      <b/>
      <u/>
      <sz val="10"/>
      <color theme="1" tint="0.34998626667073579"/>
      <name val="Tahoma"/>
      <family val="2"/>
    </font>
    <font>
      <b/>
      <sz val="11"/>
      <color theme="1" tint="0.34998626667073579"/>
      <name val="Calibri"/>
      <family val="2"/>
    </font>
    <font>
      <b/>
      <u val="double"/>
      <sz val="11"/>
      <color theme="1" tint="0.34998626667073579"/>
      <name val="Arial"/>
      <family val="2"/>
    </font>
    <font>
      <b/>
      <u val="double"/>
      <sz val="11"/>
      <color theme="1" tint="0.34998626667073579"/>
      <name val="Calibri"/>
      <family val="2"/>
    </font>
    <font>
      <i/>
      <sz val="10"/>
      <color theme="1" tint="0.34998626667073579"/>
      <name val="Arial"/>
      <family val="2"/>
    </font>
    <font>
      <b/>
      <sz val="12"/>
      <color theme="1" tint="0.34998626667073579"/>
      <name val="Cambria"/>
      <family val="2"/>
    </font>
    <font>
      <strike/>
      <sz val="11"/>
      <color theme="0"/>
      <name val="Arial"/>
      <family val="2"/>
    </font>
    <font>
      <b/>
      <sz val="10"/>
      <color theme="0"/>
      <name val="Arial"/>
      <family val="2"/>
    </font>
    <font>
      <sz val="11"/>
      <color theme="1" tint="0.499984740745262"/>
      <name val="Calibri"/>
      <family val="2"/>
    </font>
    <font>
      <sz val="14"/>
      <color rgb="FF333333"/>
      <name val="Calibri"/>
      <family val="2"/>
    </font>
    <font>
      <b/>
      <sz val="12"/>
      <color theme="9" tint="-0.499984740745262"/>
      <name val="Calibri"/>
      <family val="2"/>
    </font>
    <font>
      <sz val="12"/>
      <color theme="1" tint="0.14999847407452621"/>
      <name val="Calibri"/>
      <family val="2"/>
    </font>
    <font>
      <b/>
      <sz val="11"/>
      <color theme="1" tint="0.34998626667073579"/>
      <name val="Roboto"/>
    </font>
    <font>
      <i/>
      <sz val="11"/>
      <color theme="9" tint="-0.499984740745262"/>
      <name val="Calibri"/>
      <family val="2"/>
      <scheme val="minor"/>
    </font>
    <font>
      <sz val="14"/>
      <color rgb="FF8BB716"/>
      <name val="Inherit"/>
    </font>
    <font>
      <sz val="11"/>
      <color theme="1" tint="0.34998626667073579"/>
      <name val="Roboto"/>
    </font>
    <font>
      <sz val="11"/>
      <color rgb="FFFFD500"/>
      <name val="Roboto"/>
    </font>
    <font>
      <b/>
      <sz val="20"/>
      <color rgb="FF003366"/>
      <name val="Calibri"/>
      <family val="2"/>
    </font>
    <font>
      <b/>
      <sz val="14"/>
      <color rgb="FF003366"/>
      <name val="Calibri"/>
      <family val="2"/>
    </font>
    <font>
      <sz val="11"/>
      <color rgb="FF003366"/>
      <name val="Calibri"/>
      <family val="2"/>
    </font>
    <font>
      <sz val="10"/>
      <color theme="0"/>
      <name val="Calibri"/>
      <family val="2"/>
      <scheme val="minor"/>
    </font>
    <font>
      <b/>
      <u/>
      <sz val="11"/>
      <name val="Calibri"/>
      <family val="2"/>
      <scheme val="minor"/>
    </font>
    <font>
      <b/>
      <sz val="11"/>
      <color theme="8"/>
      <name val="Calibri"/>
      <family val="2"/>
    </font>
    <font>
      <b/>
      <sz val="14"/>
      <color indexed="56"/>
      <name val="Calibri"/>
      <family val="2"/>
    </font>
    <font>
      <sz val="11"/>
      <color theme="8"/>
      <name val="Calibri"/>
      <family val="2"/>
      <scheme val="minor"/>
    </font>
    <font>
      <u/>
      <sz val="11"/>
      <color theme="8"/>
      <name val="Calibri"/>
      <family val="2"/>
      <scheme val="minor"/>
    </font>
    <font>
      <sz val="11"/>
      <color theme="8"/>
      <name val="Calibri"/>
      <family val="2"/>
    </font>
    <font>
      <b/>
      <i/>
      <u/>
      <sz val="12"/>
      <color theme="9"/>
      <name val="Calibri"/>
      <family val="2"/>
    </font>
    <font>
      <sz val="12"/>
      <color theme="8"/>
      <name val="Calibri"/>
      <family val="2"/>
    </font>
    <font>
      <strike/>
      <sz val="22"/>
      <color theme="1"/>
      <name val="Calibri"/>
      <family val="2"/>
      <scheme val="minor"/>
    </font>
    <font>
      <strike/>
      <sz val="11"/>
      <color theme="1"/>
      <name val="Calibri"/>
      <family val="2"/>
      <scheme val="minor"/>
    </font>
    <font>
      <b/>
      <strike/>
      <sz val="12"/>
      <color theme="1"/>
      <name val="Calibri"/>
      <family val="2"/>
      <scheme val="minor"/>
    </font>
    <font>
      <b/>
      <strike/>
      <sz val="11"/>
      <color theme="1"/>
      <name val="Calibri"/>
      <family val="2"/>
      <scheme val="minor"/>
    </font>
    <font>
      <b/>
      <i/>
      <sz val="14"/>
      <color theme="9"/>
      <name val="Calibri"/>
      <family val="2"/>
    </font>
    <font>
      <b/>
      <sz val="11"/>
      <color theme="8" tint="-0.499984740745262"/>
      <name val="Calibri"/>
      <family val="2"/>
    </font>
    <font>
      <b/>
      <sz val="12"/>
      <color theme="8" tint="-0.499984740745262"/>
      <name val="Calibri"/>
      <family val="2"/>
    </font>
    <font>
      <sz val="12"/>
      <color theme="8" tint="-0.499984740745262"/>
      <name val="Calibri"/>
      <family val="2"/>
    </font>
    <font>
      <b/>
      <sz val="13"/>
      <color rgb="FF5D6779"/>
      <name val="Roboto"/>
    </font>
    <font>
      <sz val="11"/>
      <color rgb="FF5D6779"/>
      <name val="Roboto"/>
    </font>
    <font>
      <sz val="10"/>
      <color rgb="FF5D6779"/>
      <name val="Roboto"/>
    </font>
    <font>
      <b/>
      <sz val="10"/>
      <color rgb="FFFFFFFF"/>
      <name val="Roboto"/>
    </font>
    <font>
      <b/>
      <sz val="14"/>
      <color rgb="FF8BB716"/>
      <name val="Roboto"/>
    </font>
    <font>
      <b/>
      <sz val="14"/>
      <color rgb="FF215967"/>
      <name val="Calibri"/>
      <family val="2"/>
    </font>
    <font>
      <sz val="11"/>
      <color rgb="FF215967"/>
      <name val="Calibri"/>
      <family val="2"/>
    </font>
    <font>
      <sz val="12"/>
      <color rgb="FF215967"/>
      <name val="Calibri"/>
      <family val="2"/>
    </font>
    <font>
      <sz val="10"/>
      <color theme="1"/>
      <name val="Arial Unicode MS"/>
    </font>
    <font>
      <b/>
      <sz val="12"/>
      <color rgb="FF215967"/>
      <name val="Calibri"/>
      <family val="2"/>
    </font>
    <font>
      <b/>
      <sz val="11"/>
      <color rgb="FF215967"/>
      <name val="Calibri"/>
      <family val="2"/>
    </font>
    <font>
      <sz val="20"/>
      <color theme="8" tint="-0.499984740745262"/>
      <name val="Calibri"/>
      <family val="2"/>
      <scheme val="minor"/>
    </font>
    <font>
      <sz val="11"/>
      <color theme="1"/>
      <name val="Roboto"/>
    </font>
    <font>
      <sz val="12"/>
      <color theme="1"/>
      <name val="Roboto"/>
    </font>
    <font>
      <sz val="12"/>
      <color rgb="FF5D6779"/>
      <name val="Roboto"/>
    </font>
    <font>
      <sz val="10"/>
      <color theme="1"/>
      <name val="Roboto"/>
    </font>
    <font>
      <sz val="12"/>
      <color theme="0"/>
      <name val="Calibri"/>
      <family val="2"/>
      <scheme val="minor"/>
    </font>
    <font>
      <b/>
      <sz val="18"/>
      <color rgb="FF92D050"/>
      <name val="Calibri"/>
      <family val="2"/>
      <scheme val="minor"/>
    </font>
    <font>
      <b/>
      <sz val="18"/>
      <color rgb="FF006E9A"/>
      <name val="Calibri"/>
      <family val="2"/>
      <scheme val="minor"/>
    </font>
    <font>
      <sz val="18"/>
      <color theme="1"/>
      <name val="Calibri"/>
      <family val="2"/>
      <scheme val="minor"/>
    </font>
    <font>
      <sz val="9"/>
      <color theme="1"/>
      <name val="Calibri"/>
      <family val="2"/>
      <scheme val="minor"/>
    </font>
    <font>
      <b/>
      <u/>
      <sz val="14"/>
      <color rgb="FF006E9A"/>
      <name val="Calibri"/>
      <family val="2"/>
      <scheme val="minor"/>
    </font>
    <font>
      <b/>
      <sz val="9"/>
      <color theme="1"/>
      <name val="Calibri"/>
      <family val="2"/>
      <scheme val="minor"/>
    </font>
    <font>
      <sz val="11"/>
      <color theme="0" tint="-0.499984740745262"/>
      <name val="Calibri"/>
      <family val="2"/>
      <scheme val="minor"/>
    </font>
    <font>
      <sz val="12"/>
      <color theme="8" tint="-0.249977111117893"/>
      <name val="Calibri"/>
      <family val="2"/>
    </font>
    <font>
      <b/>
      <sz val="12"/>
      <name val="Calibri"/>
      <family val="2"/>
    </font>
    <font>
      <u/>
      <sz val="11"/>
      <color rgb="FFFF0000"/>
      <name val="Calibri"/>
      <family val="2"/>
      <scheme val="minor"/>
    </font>
    <font>
      <b/>
      <sz val="18"/>
      <color theme="1" tint="0.34998626667073579"/>
      <name val="Calibri"/>
      <family val="2"/>
      <scheme val="minor"/>
    </font>
    <font>
      <sz val="14"/>
      <color theme="8" tint="-0.499984740745262"/>
      <name val="Calibri"/>
      <family val="2"/>
      <scheme val="minor"/>
    </font>
    <font>
      <b/>
      <sz val="14"/>
      <color theme="9" tint="0.39997558519241921"/>
      <name val="Calibri"/>
      <family val="2"/>
    </font>
    <font>
      <sz val="14"/>
      <color theme="1" tint="0.249977111117893"/>
      <name val="Calibri"/>
      <family val="2"/>
      <scheme val="minor"/>
    </font>
    <font>
      <sz val="11"/>
      <color rgb="FF000000"/>
      <name val="Calibri"/>
      <family val="2"/>
    </font>
    <font>
      <b/>
      <sz val="11"/>
      <color theme="1"/>
      <name val="Calibri"/>
      <family val="2"/>
    </font>
    <font>
      <sz val="11"/>
      <name val="Calibri"/>
      <family val="2"/>
      <scheme val="minor"/>
    </font>
    <font>
      <b/>
      <sz val="11"/>
      <name val="Calibri"/>
      <family val="2"/>
      <scheme val="minor"/>
    </font>
    <font>
      <b/>
      <sz val="14"/>
      <name val="Calibri"/>
      <family val="2"/>
      <scheme val="minor"/>
    </font>
    <font>
      <sz val="11"/>
      <color theme="0" tint="-0.249977111117893"/>
      <name val="Calibri"/>
      <family val="2"/>
    </font>
    <font>
      <sz val="11"/>
      <color theme="1"/>
      <name val="Arial"/>
      <family val="2"/>
    </font>
    <font>
      <sz val="10"/>
      <name val="HelveticaNeue Condensed"/>
      <family val="2"/>
    </font>
    <font>
      <i/>
      <sz val="11"/>
      <color theme="1" tint="0.34998626667073579"/>
      <name val="Calibri"/>
      <family val="2"/>
      <scheme val="minor"/>
    </font>
    <font>
      <sz val="20"/>
      <color theme="8" tint="-0.499984740745262"/>
      <name val="Arial"/>
      <family val="2"/>
    </font>
    <font>
      <b/>
      <sz val="11"/>
      <color theme="1"/>
      <name val="Arial"/>
      <family val="2"/>
    </font>
    <font>
      <b/>
      <i/>
      <sz val="11"/>
      <color theme="1"/>
      <name val="Arial"/>
      <family val="2"/>
    </font>
    <font>
      <b/>
      <sz val="11"/>
      <color theme="8" tint="-0.499984740745262"/>
      <name val="Arial"/>
      <family val="2"/>
    </font>
    <font>
      <i/>
      <sz val="11"/>
      <color theme="1" tint="0.499984740745262"/>
      <name val="Arial"/>
      <family val="2"/>
    </font>
    <font>
      <sz val="11"/>
      <color rgb="FFC00000"/>
      <name val="Calibri"/>
      <family val="2"/>
      <scheme val="minor"/>
    </font>
    <font>
      <sz val="11"/>
      <color rgb="FFC00000"/>
      <name val="Calibri"/>
      <family val="2"/>
    </font>
    <font>
      <u/>
      <sz val="11"/>
      <color rgb="FFC00000"/>
      <name val="Calibri"/>
      <family val="2"/>
      <scheme val="minor"/>
    </font>
    <font>
      <b/>
      <sz val="14"/>
      <color rgb="FFC00000"/>
      <name val="Calibri"/>
      <family val="2"/>
    </font>
    <font>
      <b/>
      <sz val="22"/>
      <color rgb="FFC00000"/>
      <name val="Calibri"/>
      <family val="2"/>
    </font>
    <font>
      <b/>
      <sz val="12"/>
      <color rgb="FF003366"/>
      <name val="Calibri"/>
      <family val="2"/>
    </font>
    <font>
      <b/>
      <sz val="11"/>
      <color theme="1" tint="0.14999847407452621"/>
      <name val="Calibri"/>
      <family val="2"/>
      <scheme val="minor"/>
    </font>
    <font>
      <sz val="11"/>
      <color theme="1" tint="0.14999847407452621"/>
      <name val="Calibri"/>
      <family val="2"/>
      <scheme val="minor"/>
    </font>
  </fonts>
  <fills count="76">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42"/>
        <bgColor indexed="64"/>
      </patternFill>
    </fill>
    <fill>
      <patternFill patternType="solid">
        <fgColor indexed="44"/>
        <bgColor indexed="64"/>
      </patternFill>
    </fill>
    <fill>
      <patternFill patternType="solid">
        <fgColor indexed="5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56"/>
        <bgColor indexed="64"/>
      </patternFill>
    </fill>
    <fill>
      <patternFill patternType="solid">
        <fgColor indexed="50"/>
        <bgColor indexed="64"/>
      </patternFill>
    </fill>
    <fill>
      <patternFill patternType="solid">
        <fgColor indexed="26"/>
        <bgColor indexed="64"/>
      </patternFill>
    </fill>
    <fill>
      <patternFill patternType="solid">
        <fgColor indexed="52"/>
        <bgColor indexed="64"/>
      </patternFill>
    </fill>
    <fill>
      <patternFill patternType="solid">
        <fgColor indexed="23"/>
        <bgColor indexed="64"/>
      </patternFill>
    </fill>
    <fill>
      <patternFill patternType="solid">
        <fgColor indexed="22"/>
        <bgColor indexed="0"/>
      </patternFill>
    </fill>
    <fill>
      <patternFill patternType="solid">
        <fgColor indexed="10"/>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80000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8F8F8"/>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0F8FA"/>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tint="-0.249977111117893"/>
        <bgColor indexed="64"/>
      </patternFill>
    </fill>
    <fill>
      <patternFill patternType="solid">
        <fgColor rgb="FF00709E"/>
        <bgColor indexed="64"/>
      </patternFill>
    </fill>
    <fill>
      <patternFill patternType="solid">
        <fgColor theme="8" tint="0.79998168889431442"/>
        <bgColor theme="6" tint="0.79998168889431442"/>
      </patternFill>
    </fill>
    <fill>
      <patternFill patternType="solid">
        <fgColor theme="0"/>
        <bgColor theme="6" tint="0.79998168889431442"/>
      </patternFill>
    </fill>
    <fill>
      <patternFill patternType="solid">
        <fgColor rgb="FFFFFF00"/>
        <bgColor indexed="64"/>
      </patternFill>
    </fill>
    <fill>
      <patternFill patternType="solid">
        <fgColor theme="1" tint="0.499984740745262"/>
        <bgColor indexed="64"/>
      </patternFill>
    </fill>
    <fill>
      <patternFill patternType="solid">
        <fgColor rgb="FF36ABB2"/>
        <bgColor indexed="64"/>
      </patternFill>
    </fill>
    <fill>
      <patternFill patternType="solid">
        <fgColor rgb="FFE3F0F6"/>
        <bgColor indexed="64"/>
      </patternFill>
    </fill>
    <fill>
      <patternFill patternType="solid">
        <fgColor rgb="FFE5F0F1"/>
        <bgColor indexed="64"/>
      </patternFill>
    </fill>
    <fill>
      <patternFill patternType="solid">
        <fgColor rgb="FFC6DEE0"/>
        <bgColor indexed="64"/>
      </patternFill>
    </fill>
    <fill>
      <patternFill patternType="solid">
        <fgColor rgb="FFBFBFBF"/>
        <bgColor indexed="64"/>
      </patternFill>
    </fill>
    <fill>
      <patternFill patternType="solid">
        <fgColor rgb="FFBED17F"/>
        <bgColor indexed="64"/>
      </patternFill>
    </fill>
    <fill>
      <patternFill patternType="solid">
        <fgColor rgb="FFFFFFCC"/>
        <bgColor indexed="64"/>
      </patternFill>
    </fill>
    <fill>
      <patternFill patternType="solid">
        <fgColor rgb="FFFFFFFF"/>
        <bgColor indexed="64"/>
      </patternFill>
    </fill>
    <fill>
      <patternFill patternType="solid">
        <fgColor rgb="FF31869B"/>
        <bgColor indexed="64"/>
      </patternFill>
    </fill>
    <fill>
      <patternFill patternType="solid">
        <fgColor rgb="FFEAEAEA"/>
        <bgColor indexed="64"/>
      </patternFill>
    </fill>
    <fill>
      <patternFill patternType="solid">
        <fgColor rgb="FF006E9A"/>
        <bgColor indexed="64"/>
      </patternFill>
    </fill>
    <fill>
      <patternFill patternType="solid">
        <fgColor theme="8" tint="0.59999389629810485"/>
        <bgColor indexed="64"/>
      </patternFill>
    </fill>
    <fill>
      <patternFill patternType="solid">
        <fgColor rgb="FF0070C0"/>
        <bgColor indexed="64"/>
      </patternFill>
    </fill>
    <fill>
      <patternFill patternType="solid">
        <fgColor rgb="FFFFE699"/>
        <bgColor indexed="64"/>
      </patternFill>
    </fill>
    <fill>
      <patternFill patternType="solid">
        <fgColor theme="4" tint="-0.249977111117893"/>
        <bgColor rgb="FF156082"/>
      </patternFill>
    </fill>
  </fills>
  <borders count="389">
    <border>
      <left/>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hair">
        <color indexed="22"/>
      </left>
      <right style="hair">
        <color indexed="22"/>
      </right>
      <top style="hair">
        <color indexed="22"/>
      </top>
      <bottom style="hair">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8"/>
      </top>
      <bottom style="thin">
        <color indexed="8"/>
      </bottom>
      <diagonal/>
    </border>
    <border>
      <left/>
      <right/>
      <top style="thin">
        <color indexed="62"/>
      </top>
      <bottom style="double">
        <color indexed="62"/>
      </bottom>
      <diagonal/>
    </border>
    <border>
      <left style="double">
        <color indexed="64"/>
      </left>
      <right/>
      <top style="double">
        <color indexed="64"/>
      </top>
      <bottom/>
      <diagonal/>
    </border>
    <border>
      <left style="medium">
        <color indexed="63"/>
      </left>
      <right style="medium">
        <color indexed="63"/>
      </right>
      <top/>
      <bottom/>
      <diagonal/>
    </border>
    <border>
      <left style="medium">
        <color indexed="63"/>
      </left>
      <right style="medium">
        <color indexed="63"/>
      </right>
      <top style="medium">
        <color indexed="63"/>
      </top>
      <bottom style="medium">
        <color indexed="63"/>
      </bottom>
      <diagonal/>
    </border>
    <border>
      <left style="medium">
        <color indexed="63"/>
      </left>
      <right/>
      <top/>
      <bottom/>
      <diagonal/>
    </border>
    <border>
      <left style="medium">
        <color indexed="63"/>
      </left>
      <right/>
      <top style="medium">
        <color indexed="63"/>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3"/>
      </right>
      <top/>
      <bottom/>
      <diagonal/>
    </border>
    <border>
      <left style="medium">
        <color indexed="63"/>
      </left>
      <right style="medium">
        <color indexed="64"/>
      </right>
      <top style="medium">
        <color indexed="63"/>
      </top>
      <bottom/>
      <diagonal/>
    </border>
    <border>
      <left style="medium">
        <color indexed="63"/>
      </left>
      <right style="medium">
        <color indexed="64"/>
      </right>
      <top/>
      <bottom/>
      <diagonal/>
    </border>
    <border>
      <left style="medium">
        <color indexed="64"/>
      </left>
      <right style="medium">
        <color indexed="63"/>
      </right>
      <top style="medium">
        <color indexed="63"/>
      </top>
      <bottom style="medium">
        <color indexed="64"/>
      </bottom>
      <diagonal/>
    </border>
    <border>
      <left style="medium">
        <color indexed="63"/>
      </left>
      <right style="medium">
        <color indexed="64"/>
      </right>
      <top style="medium">
        <color indexed="63"/>
      </top>
      <bottom style="medium">
        <color indexed="64"/>
      </bottom>
      <diagonal/>
    </border>
    <border>
      <left style="medium">
        <color indexed="64"/>
      </left>
      <right style="medium">
        <color indexed="64"/>
      </right>
      <top/>
      <bottom style="medium">
        <color indexed="64"/>
      </bottom>
      <diagonal/>
    </border>
    <border>
      <left style="medium">
        <color indexed="63"/>
      </left>
      <right style="medium">
        <color indexed="63"/>
      </right>
      <top style="medium">
        <color indexed="64"/>
      </top>
      <bottom style="medium">
        <color indexed="64"/>
      </bottom>
      <diagonal/>
    </border>
    <border>
      <left style="medium">
        <color indexed="63"/>
      </left>
      <right style="medium">
        <color indexed="64"/>
      </right>
      <top style="medium">
        <color indexed="64"/>
      </top>
      <bottom style="medium">
        <color indexed="64"/>
      </bottom>
      <diagonal/>
    </border>
    <border>
      <left/>
      <right style="medium">
        <color indexed="63"/>
      </right>
      <top/>
      <bottom/>
      <diagonal/>
    </border>
    <border>
      <left style="medium">
        <color indexed="64"/>
      </left>
      <right/>
      <top style="medium">
        <color indexed="64"/>
      </top>
      <bottom style="thin">
        <color indexed="64"/>
      </bottom>
      <diagonal/>
    </border>
    <border>
      <left/>
      <right/>
      <top/>
      <bottom style="thin">
        <color indexed="63"/>
      </bottom>
      <diagonal/>
    </border>
    <border>
      <left style="thin">
        <color indexed="63"/>
      </left>
      <right style="thin">
        <color indexed="63"/>
      </right>
      <top/>
      <bottom style="thin">
        <color indexed="63"/>
      </bottom>
      <diagonal/>
    </border>
    <border>
      <left/>
      <right style="medium">
        <color indexed="63"/>
      </right>
      <top/>
      <bottom style="medium">
        <color indexed="63"/>
      </bottom>
      <diagonal/>
    </border>
    <border>
      <left style="medium">
        <color indexed="63"/>
      </left>
      <right style="medium">
        <color indexed="63"/>
      </right>
      <top style="medium">
        <color indexed="63"/>
      </top>
      <bottom/>
      <diagonal/>
    </border>
    <border>
      <left style="medium">
        <color indexed="63"/>
      </left>
      <right style="medium">
        <color indexed="63"/>
      </right>
      <top/>
      <bottom style="medium">
        <color indexed="63"/>
      </bottom>
      <diagonal/>
    </border>
    <border>
      <left style="medium">
        <color indexed="64"/>
      </left>
      <right style="medium">
        <color indexed="63"/>
      </right>
      <top/>
      <bottom style="medium">
        <color indexed="64"/>
      </bottom>
      <diagonal/>
    </border>
    <border>
      <left style="medium">
        <color indexed="64"/>
      </left>
      <right style="medium">
        <color indexed="63"/>
      </right>
      <top style="medium">
        <color indexed="64"/>
      </top>
      <bottom style="medium">
        <color indexed="64"/>
      </bottom>
      <diagonal/>
    </border>
    <border>
      <left style="medium">
        <color indexed="63"/>
      </left>
      <right style="medium">
        <color indexed="63"/>
      </right>
      <top style="medium">
        <color indexed="64"/>
      </top>
      <bottom/>
      <diagonal/>
    </border>
    <border>
      <left style="medium">
        <color indexed="63"/>
      </left>
      <right style="medium">
        <color indexed="64"/>
      </right>
      <top style="medium">
        <color indexed="64"/>
      </top>
      <bottom/>
      <diagonal/>
    </border>
    <border>
      <left style="medium">
        <color indexed="63"/>
      </left>
      <right/>
      <top style="medium">
        <color indexed="63"/>
      </top>
      <bottom style="medium">
        <color indexed="63"/>
      </bottom>
      <diagonal/>
    </border>
    <border>
      <left style="thin">
        <color indexed="8"/>
      </left>
      <right/>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3"/>
      </left>
      <right/>
      <top/>
      <bottom style="thin">
        <color indexed="64"/>
      </bottom>
      <diagonal/>
    </border>
    <border>
      <left style="medium">
        <color indexed="63"/>
      </left>
      <right style="thin">
        <color indexed="64"/>
      </right>
      <top/>
      <bottom style="thin">
        <color indexed="64"/>
      </bottom>
      <diagonal/>
    </border>
    <border>
      <left style="medium">
        <color indexed="63"/>
      </left>
      <right/>
      <top style="thin">
        <color indexed="64"/>
      </top>
      <bottom style="thin">
        <color indexed="64"/>
      </bottom>
      <diagonal/>
    </border>
    <border>
      <left style="medium">
        <color indexed="63"/>
      </left>
      <right style="thin">
        <color indexed="64"/>
      </right>
      <top style="thin">
        <color indexed="64"/>
      </top>
      <bottom style="thin">
        <color indexed="64"/>
      </bottom>
      <diagonal/>
    </border>
    <border>
      <left style="medium">
        <color indexed="63"/>
      </left>
      <right/>
      <top style="thin">
        <color indexed="64"/>
      </top>
      <bottom style="medium">
        <color indexed="63"/>
      </bottom>
      <diagonal/>
    </border>
    <border>
      <left style="medium">
        <color indexed="63"/>
      </left>
      <right style="thin">
        <color indexed="64"/>
      </right>
      <top style="thin">
        <color indexed="64"/>
      </top>
      <bottom style="medium">
        <color indexed="63"/>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3"/>
      </left>
      <right/>
      <top style="medium">
        <color indexed="64"/>
      </top>
      <bottom style="medium">
        <color indexed="63"/>
      </bottom>
      <diagonal/>
    </border>
    <border>
      <left style="medium">
        <color indexed="64"/>
      </left>
      <right style="medium">
        <color indexed="64"/>
      </right>
      <top style="medium">
        <color indexed="64"/>
      </top>
      <bottom style="medium">
        <color indexed="63"/>
      </bottom>
      <diagonal/>
    </border>
    <border>
      <left/>
      <right/>
      <top style="medium">
        <color indexed="64"/>
      </top>
      <bottom/>
      <diagonal/>
    </border>
    <border>
      <left/>
      <right/>
      <top style="medium">
        <color indexed="63"/>
      </top>
      <bottom style="medium">
        <color indexed="63"/>
      </bottom>
      <diagonal/>
    </border>
    <border>
      <left/>
      <right style="medium">
        <color indexed="63"/>
      </right>
      <top style="medium">
        <color indexed="63"/>
      </top>
      <bottom style="medium">
        <color indexed="63"/>
      </bottom>
      <diagonal/>
    </border>
    <border>
      <left/>
      <right style="medium">
        <color indexed="63"/>
      </right>
      <top style="medium">
        <color indexed="63"/>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3"/>
      </left>
      <right style="medium">
        <color indexed="63"/>
      </right>
      <top style="medium">
        <color indexed="63"/>
      </top>
      <bottom style="thin">
        <color indexed="63"/>
      </bottom>
      <diagonal/>
    </border>
    <border>
      <left style="medium">
        <color indexed="56"/>
      </left>
      <right/>
      <top style="medium">
        <color indexed="56"/>
      </top>
      <bottom style="medium">
        <color indexed="56"/>
      </bottom>
      <diagonal/>
    </border>
    <border>
      <left style="medium">
        <color indexed="56"/>
      </left>
      <right style="medium">
        <color indexed="56"/>
      </right>
      <top style="medium">
        <color indexed="56"/>
      </top>
      <bottom style="medium">
        <color indexed="56"/>
      </bottom>
      <diagonal/>
    </border>
    <border>
      <left/>
      <right style="medium">
        <color indexed="56"/>
      </right>
      <top style="medium">
        <color indexed="56"/>
      </top>
      <bottom style="medium">
        <color indexed="56"/>
      </bottom>
      <diagonal/>
    </border>
    <border>
      <left style="medium">
        <color indexed="56"/>
      </left>
      <right/>
      <top/>
      <bottom style="thin">
        <color indexed="56"/>
      </bottom>
      <diagonal/>
    </border>
    <border>
      <left style="medium">
        <color indexed="56"/>
      </left>
      <right style="medium">
        <color indexed="56"/>
      </right>
      <top/>
      <bottom style="medium">
        <color indexed="56"/>
      </bottom>
      <diagonal/>
    </border>
    <border>
      <left/>
      <right style="thin">
        <color indexed="8"/>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3"/>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3"/>
      </bottom>
      <diagonal/>
    </border>
    <border>
      <left/>
      <right/>
      <top style="thin">
        <color indexed="64"/>
      </top>
      <bottom style="medium">
        <color indexed="64"/>
      </bottom>
      <diagonal/>
    </border>
    <border>
      <left style="medium">
        <color indexed="64"/>
      </left>
      <right style="medium">
        <color indexed="64"/>
      </right>
      <top style="medium">
        <color indexed="63"/>
      </top>
      <bottom style="medium">
        <color indexed="63"/>
      </bottom>
      <diagonal/>
    </border>
    <border>
      <left style="medium">
        <color indexed="64"/>
      </left>
      <right style="medium">
        <color indexed="64"/>
      </right>
      <top style="medium">
        <color indexed="63"/>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3"/>
      </left>
      <right/>
      <top style="medium">
        <color indexed="64"/>
      </top>
      <bottom style="medium">
        <color indexed="64"/>
      </bottom>
      <diagonal/>
    </border>
    <border>
      <left/>
      <right/>
      <top/>
      <bottom style="thin">
        <color indexed="56"/>
      </bottom>
      <diagonal/>
    </border>
    <border>
      <left/>
      <right style="medium">
        <color indexed="56"/>
      </right>
      <top/>
      <bottom style="thin">
        <color indexed="56"/>
      </bottom>
      <diagonal/>
    </border>
    <border>
      <left/>
      <right/>
      <top style="medium">
        <color indexed="56"/>
      </top>
      <bottom style="medium">
        <color indexed="56"/>
      </bottom>
      <diagonal/>
    </border>
    <border>
      <left style="medium">
        <color indexed="56"/>
      </left>
      <right/>
      <top style="medium">
        <color indexed="56"/>
      </top>
      <bottom style="thin">
        <color indexed="56"/>
      </bottom>
      <diagonal/>
    </border>
    <border>
      <left/>
      <right/>
      <top style="medium">
        <color indexed="56"/>
      </top>
      <bottom style="thin">
        <color indexed="56"/>
      </bottom>
      <diagonal/>
    </border>
    <border>
      <left/>
      <right style="medium">
        <color indexed="56"/>
      </right>
      <top style="medium">
        <color indexed="56"/>
      </top>
      <bottom style="thin">
        <color indexed="56"/>
      </bottom>
      <diagonal/>
    </border>
    <border>
      <left/>
      <right/>
      <top/>
      <bottom style="thick">
        <color theme="4"/>
      </bottom>
      <diagonal/>
    </border>
    <border>
      <left/>
      <right/>
      <top/>
      <bottom style="medium">
        <color theme="4" tint="0.3999755851924192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3"/>
      </left>
      <right style="thin">
        <color indexed="63"/>
      </right>
      <top style="medium">
        <color theme="9" tint="-0.24994659260841701"/>
      </top>
      <bottom style="medium">
        <color theme="9" tint="-0.24994659260841701"/>
      </bottom>
      <diagonal/>
    </border>
    <border>
      <left style="medium">
        <color theme="9" tint="-0.24994659260841701"/>
      </left>
      <right style="thin">
        <color indexed="63"/>
      </right>
      <top style="medium">
        <color theme="9" tint="-0.24994659260841701"/>
      </top>
      <bottom style="medium">
        <color theme="9" tint="-0.24994659260841701"/>
      </bottom>
      <diagonal/>
    </border>
    <border>
      <left style="thin">
        <color indexed="63"/>
      </left>
      <right style="medium">
        <color theme="9" tint="-0.24994659260841701"/>
      </right>
      <top style="medium">
        <color theme="9" tint="-0.24994659260841701"/>
      </top>
      <bottom style="medium">
        <color theme="9" tint="-0.24994659260841701"/>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9" tint="-0.24994659260841701"/>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right style="thin">
        <color indexed="64"/>
      </right>
      <top style="thin">
        <color theme="1" tint="0.249977111117893"/>
      </top>
      <bottom/>
      <diagonal/>
    </border>
    <border>
      <left style="thin">
        <color theme="1" tint="0.249977111117893"/>
      </left>
      <right style="thin">
        <color indexed="64"/>
      </right>
      <top style="thin">
        <color theme="1" tint="0.249977111117893"/>
      </top>
      <bottom style="thin">
        <color theme="1" tint="0.249977111117893"/>
      </bottom>
      <diagonal/>
    </border>
    <border>
      <left/>
      <right/>
      <top/>
      <bottom style="thin">
        <color theme="1" tint="0.249977111117893"/>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56"/>
      </left>
      <right style="medium">
        <color indexed="56"/>
      </right>
      <top style="medium">
        <color indexed="56"/>
      </top>
      <bottom/>
      <diagonal/>
    </border>
    <border>
      <left style="medium">
        <color rgb="FF002060"/>
      </left>
      <right style="medium">
        <color rgb="FF002060"/>
      </right>
      <top style="medium">
        <color rgb="FF002060"/>
      </top>
      <bottom style="medium">
        <color rgb="FF002060"/>
      </bottom>
      <diagonal/>
    </border>
    <border>
      <left/>
      <right/>
      <top/>
      <bottom style="medium">
        <color rgb="FFBFBFBF"/>
      </bottom>
      <diagonal/>
    </border>
    <border>
      <left/>
      <right style="medium">
        <color rgb="FFBFBFBF"/>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right style="medium">
        <color rgb="FFBFBFBF"/>
      </right>
      <top/>
      <bottom/>
      <diagonal/>
    </border>
    <border>
      <left style="medium">
        <color rgb="FFBFBFBF"/>
      </left>
      <right/>
      <top/>
      <bottom style="medium">
        <color rgb="FFBFBFBF"/>
      </bottom>
      <diagonal/>
    </border>
    <border>
      <left style="medium">
        <color rgb="FFBFBFBF"/>
      </left>
      <right/>
      <top/>
      <bottom/>
      <diagonal/>
    </border>
    <border>
      <left style="medium">
        <color rgb="FFBFBFBF"/>
      </left>
      <right style="medium">
        <color rgb="FFBFBFBF"/>
      </right>
      <top/>
      <bottom style="medium">
        <color rgb="FFBFBFBF"/>
      </bottom>
      <diagonal/>
    </border>
    <border>
      <left style="thin">
        <color indexed="63"/>
      </left>
      <right/>
      <top style="medium">
        <color rgb="FFBFBFBF"/>
      </top>
      <bottom/>
      <diagonal/>
    </border>
    <border>
      <left/>
      <right/>
      <top style="medium">
        <color rgb="FFBFBFBF"/>
      </top>
      <bottom/>
      <diagonal/>
    </border>
    <border>
      <left/>
      <right style="thin">
        <color indexed="63"/>
      </right>
      <top style="medium">
        <color rgb="FFBFBFBF"/>
      </top>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3"/>
      </left>
      <right/>
      <top style="medium">
        <color rgb="FFBFBFBF"/>
      </top>
      <bottom style="medium">
        <color rgb="FFBFBFBF"/>
      </bottom>
      <diagonal/>
    </border>
    <border>
      <left/>
      <right/>
      <top style="medium">
        <color rgb="FFBFBFBF"/>
      </top>
      <bottom style="medium">
        <color rgb="FFBFBFBF"/>
      </bottom>
      <diagonal/>
    </border>
    <border>
      <left style="medium">
        <color theme="9" tint="-0.24994659260841701"/>
      </left>
      <right style="medium">
        <color rgb="FFBFBFBF"/>
      </right>
      <top style="medium">
        <color theme="9" tint="-0.24994659260841701"/>
      </top>
      <bottom style="medium">
        <color theme="9" tint="-0.24994659260841701"/>
      </bottom>
      <diagonal/>
    </border>
    <border>
      <left style="medium">
        <color rgb="FFBFBFBF"/>
      </left>
      <right style="medium">
        <color rgb="FFBFBFBF"/>
      </right>
      <top style="medium">
        <color theme="9" tint="-0.24994659260841701"/>
      </top>
      <bottom style="medium">
        <color theme="9" tint="-0.24994659260841701"/>
      </bottom>
      <diagonal/>
    </border>
    <border>
      <left style="medium">
        <color rgb="FFBFBFBF"/>
      </left>
      <right style="medium">
        <color theme="9" tint="-0.24994659260841701"/>
      </right>
      <top style="medium">
        <color theme="9" tint="-0.24994659260841701"/>
      </top>
      <bottom style="medium">
        <color theme="9" tint="-0.24994659260841701"/>
      </bottom>
      <diagonal/>
    </border>
    <border>
      <left style="medium">
        <color theme="9" tint="-0.24994659260841701"/>
      </left>
      <right style="medium">
        <color rgb="FFBFBFBF"/>
      </right>
      <top style="medium">
        <color theme="9" tint="-0.24994659260841701"/>
      </top>
      <bottom style="medium">
        <color rgb="FFBFBFBF"/>
      </bottom>
      <diagonal/>
    </border>
    <border>
      <left style="medium">
        <color rgb="FFBFBFBF"/>
      </left>
      <right style="medium">
        <color rgb="FFBFBFBF"/>
      </right>
      <top style="medium">
        <color theme="9" tint="-0.24994659260841701"/>
      </top>
      <bottom style="medium">
        <color rgb="FFBFBFBF"/>
      </bottom>
      <diagonal/>
    </border>
    <border>
      <left style="medium">
        <color rgb="FFBFBFBF"/>
      </left>
      <right style="medium">
        <color theme="9" tint="-0.24994659260841701"/>
      </right>
      <top style="medium">
        <color theme="9" tint="-0.24994659260841701"/>
      </top>
      <bottom style="medium">
        <color rgb="FFBFBFBF"/>
      </bottom>
      <diagonal/>
    </border>
    <border>
      <left style="medium">
        <color theme="9" tint="-0.24994659260841701"/>
      </left>
      <right style="medium">
        <color rgb="FFBFBFBF"/>
      </right>
      <top style="medium">
        <color rgb="FFBFBFBF"/>
      </top>
      <bottom style="medium">
        <color rgb="FFBFBFBF"/>
      </bottom>
      <diagonal/>
    </border>
    <border>
      <left style="medium">
        <color rgb="FFBFBFBF"/>
      </left>
      <right style="medium">
        <color theme="9" tint="-0.24994659260841701"/>
      </right>
      <top style="medium">
        <color rgb="FFBFBFBF"/>
      </top>
      <bottom style="medium">
        <color rgb="FFBFBFBF"/>
      </bottom>
      <diagonal/>
    </border>
    <border>
      <left style="medium">
        <color theme="9" tint="-0.24994659260841701"/>
      </left>
      <right style="medium">
        <color rgb="FFBFBFBF"/>
      </right>
      <top style="medium">
        <color rgb="FFBFBFBF"/>
      </top>
      <bottom style="medium">
        <color theme="9" tint="-0.24994659260841701"/>
      </bottom>
      <diagonal/>
    </border>
    <border>
      <left style="medium">
        <color rgb="FFBFBFBF"/>
      </left>
      <right style="medium">
        <color rgb="FFBFBFBF"/>
      </right>
      <top style="medium">
        <color rgb="FFBFBFBF"/>
      </top>
      <bottom style="medium">
        <color theme="9" tint="-0.24994659260841701"/>
      </bottom>
      <diagonal/>
    </border>
    <border>
      <left style="medium">
        <color rgb="FFBFBFBF"/>
      </left>
      <right style="medium">
        <color theme="9" tint="-0.24994659260841701"/>
      </right>
      <top style="medium">
        <color rgb="FFBFBFBF"/>
      </top>
      <bottom style="medium">
        <color theme="9" tint="-0.24994659260841701"/>
      </bottom>
      <diagonal/>
    </border>
    <border>
      <left style="medium">
        <color theme="9" tint="-0.24994659260841701"/>
      </left>
      <right style="medium">
        <color theme="9" tint="-0.24994659260841701"/>
      </right>
      <top style="medium">
        <color theme="9" tint="-0.24994659260841701"/>
      </top>
      <bottom style="medium">
        <color rgb="FFBFBFBF"/>
      </bottom>
      <diagonal/>
    </border>
    <border>
      <left style="medium">
        <color theme="9" tint="-0.24994659260841701"/>
      </left>
      <right style="medium">
        <color theme="9" tint="-0.24994659260841701"/>
      </right>
      <top style="medium">
        <color rgb="FFBFBFBF"/>
      </top>
      <bottom style="medium">
        <color rgb="FFBFBFBF"/>
      </bottom>
      <diagonal/>
    </border>
    <border>
      <left style="medium">
        <color theme="9" tint="-0.24994659260841701"/>
      </left>
      <right style="medium">
        <color theme="9" tint="-0.24994659260841701"/>
      </right>
      <top style="medium">
        <color rgb="FFBFBFBF"/>
      </top>
      <bottom style="medium">
        <color theme="9" tint="-0.24994659260841701"/>
      </bottom>
      <diagonal/>
    </border>
    <border>
      <left/>
      <right style="medium">
        <color indexed="64"/>
      </right>
      <top/>
      <bottom/>
      <diagonal/>
    </border>
    <border>
      <left style="medium">
        <color rgb="FFBFBFBF"/>
      </left>
      <right style="medium">
        <color rgb="FFBFBFBF"/>
      </right>
      <top/>
      <bottom/>
      <diagonal/>
    </border>
    <border>
      <left/>
      <right/>
      <top style="medium">
        <color theme="9" tint="-0.24994659260841701"/>
      </top>
      <bottom style="medium">
        <color theme="9" tint="-0.24994659260841701"/>
      </bottom>
      <diagonal/>
    </border>
    <border>
      <left style="medium">
        <color indexed="63"/>
      </left>
      <right style="thin">
        <color indexed="64"/>
      </right>
      <top/>
      <bottom/>
      <diagonal/>
    </border>
    <border>
      <left style="medium">
        <color theme="4" tint="-0.24994659260841701"/>
      </left>
      <right/>
      <top style="medium">
        <color theme="4" tint="-0.24994659260841701"/>
      </top>
      <bottom/>
      <diagonal/>
    </border>
    <border>
      <left style="medium">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top/>
      <bottom/>
      <diagonal/>
    </border>
    <border>
      <left style="medium">
        <color theme="4" tint="-0.24994659260841701"/>
      </left>
      <right/>
      <top/>
      <bottom style="medium">
        <color theme="4" tint="-0.24994659260841701"/>
      </bottom>
      <diagonal/>
    </border>
    <border>
      <left style="medium">
        <color indexed="56"/>
      </left>
      <right/>
      <top/>
      <bottom style="medium">
        <color indexed="56"/>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56"/>
      </left>
      <right style="medium">
        <color indexed="56"/>
      </right>
      <top/>
      <bottom/>
      <diagonal/>
    </border>
    <border>
      <left style="medium">
        <color indexed="56"/>
      </left>
      <right style="medium">
        <color indexed="56"/>
      </right>
      <top style="medium">
        <color indexed="56"/>
      </top>
      <bottom style="thin">
        <color indexed="56"/>
      </bottom>
      <diagonal/>
    </border>
    <border>
      <left/>
      <right style="thin">
        <color indexed="56"/>
      </right>
      <top style="medium">
        <color indexed="56"/>
      </top>
      <bottom style="thin">
        <color indexed="56"/>
      </bottom>
      <diagonal/>
    </border>
    <border>
      <left/>
      <right style="thin">
        <color indexed="56"/>
      </right>
      <top style="medium">
        <color indexed="56"/>
      </top>
      <bottom style="medium">
        <color indexed="56"/>
      </bottom>
      <diagonal/>
    </border>
    <border>
      <left/>
      <right/>
      <top style="medium">
        <color indexed="56"/>
      </top>
      <bottom/>
      <diagonal/>
    </border>
    <border>
      <left/>
      <right/>
      <top/>
      <bottom style="thin">
        <color auto="1"/>
      </bottom>
      <diagonal/>
    </border>
    <border>
      <left style="thin">
        <color rgb="FF31869B"/>
      </left>
      <right style="thin">
        <color theme="0"/>
      </right>
      <top style="thin">
        <color rgb="FF31869B"/>
      </top>
      <bottom style="thin">
        <color rgb="FF31869B"/>
      </bottom>
      <diagonal/>
    </border>
    <border>
      <left style="thin">
        <color theme="0"/>
      </left>
      <right style="thin">
        <color theme="0"/>
      </right>
      <top style="thin">
        <color rgb="FF31869B"/>
      </top>
      <bottom style="thin">
        <color rgb="FF31869B"/>
      </bottom>
      <diagonal/>
    </border>
    <border>
      <left/>
      <right style="thin">
        <color indexed="56"/>
      </right>
      <top/>
      <bottom style="medium">
        <color indexed="56"/>
      </bottom>
      <diagonal/>
    </border>
    <border>
      <left style="thin">
        <color indexed="56"/>
      </left>
      <right style="thin">
        <color indexed="56"/>
      </right>
      <top/>
      <bottom style="medium">
        <color indexed="56"/>
      </bottom>
      <diagonal/>
    </border>
    <border>
      <left style="thin">
        <color indexed="56"/>
      </left>
      <right style="medium">
        <color indexed="56"/>
      </right>
      <top/>
      <bottom style="medium">
        <color indexed="56"/>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thin">
        <color theme="0"/>
      </left>
      <right style="thin">
        <color theme="0"/>
      </right>
      <top style="thin">
        <color theme="0"/>
      </top>
      <bottom style="thin">
        <color theme="0"/>
      </bottom>
      <diagonal/>
    </border>
    <border>
      <left/>
      <right style="medium">
        <color indexed="56"/>
      </right>
      <top/>
      <bottom/>
      <diagonal/>
    </border>
    <border>
      <left/>
      <right style="medium">
        <color theme="4" tint="-0.24994659260841701"/>
      </right>
      <top/>
      <bottom/>
      <diagonal/>
    </border>
    <border>
      <left/>
      <right/>
      <top style="thin">
        <color theme="4"/>
      </top>
      <bottom/>
      <diagonal/>
    </border>
    <border>
      <left style="medium">
        <color indexed="56"/>
      </left>
      <right/>
      <top/>
      <bottom/>
      <diagonal/>
    </border>
    <border>
      <left style="thin">
        <color theme="0"/>
      </left>
      <right/>
      <top/>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bottom/>
      <diagonal/>
    </border>
    <border>
      <left/>
      <right style="thin">
        <color rgb="FFC00000"/>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BFBFBF"/>
      </bottom>
      <diagonal/>
    </border>
    <border>
      <left style="medium">
        <color rgb="FFC00000"/>
      </left>
      <right style="medium">
        <color rgb="FFC00000"/>
      </right>
      <top style="medium">
        <color rgb="FFBFBFBF"/>
      </top>
      <bottom style="medium">
        <color rgb="FFBFBFBF"/>
      </bottom>
      <diagonal/>
    </border>
    <border>
      <left style="medium">
        <color rgb="FFC00000"/>
      </left>
      <right style="medium">
        <color rgb="FFC00000"/>
      </right>
      <top style="medium">
        <color rgb="FFBFBFBF"/>
      </top>
      <bottom style="medium">
        <color rgb="FFC0000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rgb="FFC00000"/>
      </left>
      <right style="thin">
        <color theme="0"/>
      </right>
      <top style="thin">
        <color rgb="FFC00000"/>
      </top>
      <bottom style="thin">
        <color theme="0"/>
      </bottom>
      <diagonal/>
    </border>
    <border>
      <left style="thin">
        <color theme="0"/>
      </left>
      <right style="thin">
        <color theme="0"/>
      </right>
      <top style="thin">
        <color rgb="FFC00000"/>
      </top>
      <bottom style="thin">
        <color theme="0"/>
      </bottom>
      <diagonal/>
    </border>
    <border>
      <left style="thin">
        <color theme="0"/>
      </left>
      <right style="thin">
        <color rgb="FFC00000"/>
      </right>
      <top style="thin">
        <color rgb="FFC00000"/>
      </top>
      <bottom style="thin">
        <color theme="0"/>
      </bottom>
      <diagonal/>
    </border>
    <border>
      <left style="thin">
        <color rgb="FFC00000"/>
      </left>
      <right style="thin">
        <color theme="0"/>
      </right>
      <top style="thin">
        <color theme="0"/>
      </top>
      <bottom style="thin">
        <color theme="0"/>
      </bottom>
      <diagonal/>
    </border>
    <border>
      <left style="thin">
        <color theme="0"/>
      </left>
      <right style="thin">
        <color rgb="FFC00000"/>
      </right>
      <top style="thin">
        <color theme="0"/>
      </top>
      <bottom style="thin">
        <color theme="0"/>
      </bottom>
      <diagonal/>
    </border>
    <border>
      <left style="thin">
        <color rgb="FFC00000"/>
      </left>
      <right style="thin">
        <color theme="0"/>
      </right>
      <top style="thin">
        <color theme="0"/>
      </top>
      <bottom style="thin">
        <color rgb="FFC00000"/>
      </bottom>
      <diagonal/>
    </border>
    <border>
      <left style="thin">
        <color theme="0"/>
      </left>
      <right style="thin">
        <color theme="0"/>
      </right>
      <top style="thin">
        <color theme="0"/>
      </top>
      <bottom style="thin">
        <color rgb="FFC00000"/>
      </bottom>
      <diagonal/>
    </border>
    <border>
      <left style="thin">
        <color theme="0"/>
      </left>
      <right style="thin">
        <color rgb="FFC00000"/>
      </right>
      <top style="thin">
        <color theme="0"/>
      </top>
      <bottom style="thin">
        <color rgb="FFC00000"/>
      </bottom>
      <diagonal/>
    </border>
    <border>
      <left style="medium">
        <color rgb="FFC00000"/>
      </left>
      <right/>
      <top style="medium">
        <color rgb="FFC00000"/>
      </top>
      <bottom style="medium">
        <color rgb="FFBFBFBF"/>
      </bottom>
      <diagonal/>
    </border>
    <border>
      <left/>
      <right/>
      <top style="medium">
        <color rgb="FFC00000"/>
      </top>
      <bottom style="medium">
        <color rgb="FFBFBFBF"/>
      </bottom>
      <diagonal/>
    </border>
    <border>
      <left/>
      <right style="medium">
        <color rgb="FFC00000"/>
      </right>
      <top style="medium">
        <color rgb="FFC00000"/>
      </top>
      <bottom style="medium">
        <color rgb="FFBFBFBF"/>
      </bottom>
      <diagonal/>
    </border>
    <border>
      <left style="medium">
        <color rgb="FFC00000"/>
      </left>
      <right/>
      <top style="medium">
        <color rgb="FFBFBFBF"/>
      </top>
      <bottom style="medium">
        <color rgb="FFBFBFBF"/>
      </bottom>
      <diagonal/>
    </border>
    <border>
      <left/>
      <right style="medium">
        <color rgb="FFC00000"/>
      </right>
      <top style="medium">
        <color rgb="FFBFBFBF"/>
      </top>
      <bottom style="medium">
        <color rgb="FFBFBFBF"/>
      </bottom>
      <diagonal/>
    </border>
    <border>
      <left style="medium">
        <color rgb="FFC00000"/>
      </left>
      <right/>
      <top style="medium">
        <color rgb="FFBFBFBF"/>
      </top>
      <bottom style="medium">
        <color rgb="FFC00000"/>
      </bottom>
      <diagonal/>
    </border>
    <border>
      <left/>
      <right/>
      <top style="medium">
        <color rgb="FFBFBFBF"/>
      </top>
      <bottom style="medium">
        <color rgb="FFC00000"/>
      </bottom>
      <diagonal/>
    </border>
    <border>
      <left/>
      <right style="medium">
        <color rgb="FFC00000"/>
      </right>
      <top style="medium">
        <color rgb="FFBFBFBF"/>
      </top>
      <bottom style="medium">
        <color rgb="FFC00000"/>
      </bottom>
      <diagonal/>
    </border>
    <border>
      <left style="thin">
        <color rgb="FFC00000"/>
      </left>
      <right/>
      <top style="thin">
        <color theme="0"/>
      </top>
      <bottom style="thin">
        <color rgb="FFC00000"/>
      </bottom>
      <diagonal/>
    </border>
    <border>
      <left/>
      <right/>
      <top style="thin">
        <color theme="0"/>
      </top>
      <bottom style="thin">
        <color rgb="FFC00000"/>
      </bottom>
      <diagonal/>
    </border>
    <border>
      <left/>
      <right style="thin">
        <color rgb="FFC00000"/>
      </right>
      <top style="thin">
        <color theme="0"/>
      </top>
      <bottom style="thin">
        <color rgb="FFC00000"/>
      </bottom>
      <diagonal/>
    </border>
    <border>
      <left style="thin">
        <color rgb="FFC00000"/>
      </left>
      <right/>
      <top style="thin">
        <color theme="0"/>
      </top>
      <bottom style="thin">
        <color theme="0"/>
      </bottom>
      <diagonal/>
    </border>
    <border>
      <left/>
      <right/>
      <top style="thin">
        <color theme="0"/>
      </top>
      <bottom style="thin">
        <color theme="0"/>
      </bottom>
      <diagonal/>
    </border>
    <border>
      <left/>
      <right style="thin">
        <color rgb="FFC00000"/>
      </right>
      <top style="thin">
        <color theme="0"/>
      </top>
      <bottom style="thin">
        <color theme="0"/>
      </bottom>
      <diagonal/>
    </border>
    <border>
      <left style="medium">
        <color rgb="FFC00000"/>
      </left>
      <right style="medium">
        <color rgb="FFBFBFBF"/>
      </right>
      <top style="medium">
        <color rgb="FFC00000"/>
      </top>
      <bottom style="medium">
        <color rgb="FFBFBFBF"/>
      </bottom>
      <diagonal/>
    </border>
    <border>
      <left style="medium">
        <color rgb="FFBFBFBF"/>
      </left>
      <right style="medium">
        <color rgb="FFBFBFBF"/>
      </right>
      <top style="medium">
        <color rgb="FFC00000"/>
      </top>
      <bottom style="medium">
        <color rgb="FFBFBFBF"/>
      </bottom>
      <diagonal/>
    </border>
    <border>
      <left style="medium">
        <color rgb="FFBFBFBF"/>
      </left>
      <right style="medium">
        <color rgb="FFC00000"/>
      </right>
      <top style="medium">
        <color rgb="FFC00000"/>
      </top>
      <bottom style="medium">
        <color rgb="FFBFBFBF"/>
      </bottom>
      <diagonal/>
    </border>
    <border>
      <left style="medium">
        <color rgb="FFC00000"/>
      </left>
      <right style="medium">
        <color rgb="FFBFBFBF"/>
      </right>
      <top style="medium">
        <color rgb="FFBFBFBF"/>
      </top>
      <bottom style="medium">
        <color rgb="FFBFBFBF"/>
      </bottom>
      <diagonal/>
    </border>
    <border>
      <left style="medium">
        <color rgb="FFBFBFBF"/>
      </left>
      <right style="medium">
        <color rgb="FFC00000"/>
      </right>
      <top style="medium">
        <color rgb="FFBFBFBF"/>
      </top>
      <bottom style="medium">
        <color rgb="FFBFBFBF"/>
      </bottom>
      <diagonal/>
    </border>
    <border>
      <left style="medium">
        <color rgb="FFC00000"/>
      </left>
      <right style="medium">
        <color rgb="FFBFBFBF"/>
      </right>
      <top style="medium">
        <color rgb="FFBFBFBF"/>
      </top>
      <bottom style="medium">
        <color rgb="FFC00000"/>
      </bottom>
      <diagonal/>
    </border>
    <border>
      <left style="medium">
        <color rgb="FFBFBFBF"/>
      </left>
      <right style="medium">
        <color rgb="FFBFBFBF"/>
      </right>
      <top style="medium">
        <color rgb="FFBFBFBF"/>
      </top>
      <bottom style="medium">
        <color rgb="FFC00000"/>
      </bottom>
      <diagonal/>
    </border>
    <border>
      <left style="medium">
        <color rgb="FFBFBFBF"/>
      </left>
      <right style="medium">
        <color rgb="FFC00000"/>
      </right>
      <top style="medium">
        <color rgb="FFBFBFBF"/>
      </top>
      <bottom style="medium">
        <color rgb="FFC00000"/>
      </bottom>
      <diagonal/>
    </border>
    <border>
      <left style="medium">
        <color rgb="FFC00000"/>
      </left>
      <right style="medium">
        <color rgb="FFBFBFBF"/>
      </right>
      <top style="medium">
        <color rgb="FFC00000"/>
      </top>
      <bottom style="medium">
        <color rgb="FFC00000"/>
      </bottom>
      <diagonal/>
    </border>
    <border>
      <left style="medium">
        <color rgb="FFBFBFBF"/>
      </left>
      <right style="medium">
        <color rgb="FFC00000"/>
      </right>
      <top style="medium">
        <color rgb="FFC00000"/>
      </top>
      <bottom style="medium">
        <color rgb="FFC00000"/>
      </bottom>
      <diagonal/>
    </border>
    <border>
      <left style="medium">
        <color rgb="FFBFBFBF"/>
      </left>
      <right style="medium">
        <color rgb="FFBFBFBF"/>
      </right>
      <top style="medium">
        <color rgb="FFC00000"/>
      </top>
      <bottom style="medium">
        <color rgb="FFC00000"/>
      </bottom>
      <diagonal/>
    </border>
    <border>
      <left/>
      <right style="medium">
        <color rgb="FFBFBFBF"/>
      </right>
      <top style="medium">
        <color rgb="FFBFBFBF"/>
      </top>
      <bottom/>
      <diagonal/>
    </border>
    <border>
      <left/>
      <right style="medium">
        <color rgb="FFC00000"/>
      </right>
      <top style="medium">
        <color rgb="FFC00000"/>
      </top>
      <bottom style="medium">
        <color rgb="FFC00000"/>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theme="1" tint="0.249977111117893"/>
      </left>
      <right style="thin">
        <color indexed="63"/>
      </right>
      <top style="thin">
        <color indexed="63"/>
      </top>
      <bottom style="thin">
        <color indexed="63"/>
      </bottom>
      <diagonal/>
    </border>
    <border>
      <left style="medium">
        <color indexed="64"/>
      </left>
      <right style="medium">
        <color indexed="64"/>
      </right>
      <top style="thin">
        <color indexed="64"/>
      </top>
      <bottom/>
      <diagonal/>
    </border>
    <border>
      <left style="medium">
        <color indexed="63"/>
      </left>
      <right style="medium">
        <color indexed="63"/>
      </right>
      <top style="thin">
        <color indexed="63"/>
      </top>
      <bottom style="thin">
        <color indexed="63"/>
      </bottom>
      <diagonal/>
    </border>
    <border>
      <left style="medium">
        <color indexed="63"/>
      </left>
      <right style="medium">
        <color indexed="63"/>
      </right>
      <top style="thin">
        <color indexed="63"/>
      </top>
      <bottom style="medium">
        <color indexed="63"/>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3"/>
      </top>
      <bottom style="thin">
        <color indexed="63"/>
      </bottom>
      <diagonal/>
    </border>
    <border>
      <left/>
      <right/>
      <top style="thin">
        <color indexed="56"/>
      </top>
      <bottom/>
      <diagonal/>
    </border>
    <border>
      <left/>
      <right style="medium">
        <color indexed="56"/>
      </right>
      <top style="thin">
        <color indexed="56"/>
      </top>
      <bottom/>
      <diagonal/>
    </border>
    <border>
      <left style="medium">
        <color indexed="63"/>
      </left>
      <right style="medium">
        <color indexed="63"/>
      </right>
      <top style="thin">
        <color indexed="63"/>
      </top>
      <bottom/>
      <diagonal/>
    </border>
    <border>
      <left style="thin">
        <color indexed="56"/>
      </left>
      <right/>
      <top style="thin">
        <color indexed="56"/>
      </top>
      <bottom/>
      <diagonal/>
    </border>
    <border>
      <left style="thin">
        <color indexed="64"/>
      </left>
      <right style="thin">
        <color indexed="64"/>
      </right>
      <top style="thin">
        <color indexed="64"/>
      </top>
      <bottom/>
      <diagonal/>
    </border>
    <border>
      <left style="medium">
        <color indexed="56"/>
      </left>
      <right/>
      <top style="thin">
        <color indexed="56"/>
      </top>
      <bottom style="thin">
        <color indexed="56"/>
      </bottom>
      <diagonal/>
    </border>
    <border>
      <left/>
      <right/>
      <top style="thin">
        <color indexed="56"/>
      </top>
      <bottom style="thin">
        <color indexed="56"/>
      </bottom>
      <diagonal/>
    </border>
    <border>
      <left/>
      <right style="medium">
        <color indexed="56"/>
      </right>
      <top style="thin">
        <color indexed="56"/>
      </top>
      <bottom style="thin">
        <color indexed="56"/>
      </bottom>
      <diagonal/>
    </border>
    <border>
      <left style="medium">
        <color indexed="56"/>
      </left>
      <right/>
      <top style="thin">
        <color indexed="56"/>
      </top>
      <bottom style="medium">
        <color indexed="56"/>
      </bottom>
      <diagonal/>
    </border>
    <border>
      <left/>
      <right/>
      <top style="thin">
        <color indexed="56"/>
      </top>
      <bottom style="medium">
        <color indexed="56"/>
      </bottom>
      <diagonal/>
    </border>
    <border>
      <left/>
      <right style="medium">
        <color indexed="56"/>
      </right>
      <top style="thin">
        <color indexed="56"/>
      </top>
      <bottom style="medium">
        <color indexed="56"/>
      </bottom>
      <diagonal/>
    </border>
    <border>
      <left style="medium">
        <color indexed="56"/>
      </left>
      <right style="medium">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style="medium">
        <color indexed="56"/>
      </left>
      <right/>
      <top style="thin">
        <color indexed="56"/>
      </top>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medium">
        <color indexed="56"/>
      </left>
      <right/>
      <top style="thin">
        <color indexed="56"/>
      </top>
      <bottom style="thin">
        <color indexed="56"/>
      </bottom>
      <diagonal/>
    </border>
    <border>
      <left/>
      <right/>
      <top style="thin">
        <color indexed="56"/>
      </top>
      <bottom style="thin">
        <color indexed="56"/>
      </bottom>
      <diagonal/>
    </border>
    <border>
      <left/>
      <right style="medium">
        <color indexed="56"/>
      </right>
      <top style="thin">
        <color indexed="56"/>
      </top>
      <bottom style="thin">
        <color indexed="56"/>
      </bottom>
      <diagonal/>
    </border>
    <border>
      <left style="medium">
        <color indexed="56"/>
      </left>
      <right/>
      <top style="thin">
        <color indexed="56"/>
      </top>
      <bottom style="medium">
        <color indexed="56"/>
      </bottom>
      <diagonal/>
    </border>
    <border>
      <left/>
      <right/>
      <top style="thin">
        <color indexed="56"/>
      </top>
      <bottom style="medium">
        <color indexed="56"/>
      </bottom>
      <diagonal/>
    </border>
    <border>
      <left/>
      <right style="medium">
        <color indexed="56"/>
      </right>
      <top style="thin">
        <color indexed="56"/>
      </top>
      <bottom style="medium">
        <color indexed="56"/>
      </bottom>
      <diagonal/>
    </border>
    <border>
      <left style="medium">
        <color indexed="56"/>
      </left>
      <right style="medium">
        <color indexed="56"/>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medium">
        <color indexed="56"/>
      </right>
      <top style="thin">
        <color indexed="56"/>
      </top>
      <bottom style="medium">
        <color indexed="56"/>
      </bottom>
      <diagonal/>
    </border>
    <border>
      <left style="medium">
        <color indexed="56"/>
      </left>
      <right style="thin">
        <color indexed="56"/>
      </right>
      <top style="thin">
        <color indexed="56"/>
      </top>
      <bottom style="thin">
        <color indexed="56"/>
      </bottom>
      <diagonal/>
    </border>
    <border>
      <left style="medium">
        <color indexed="56"/>
      </left>
      <right style="medium">
        <color indexed="56"/>
      </right>
      <top style="thin">
        <color indexed="56"/>
      </top>
      <bottom/>
      <diagonal/>
    </border>
    <border>
      <left style="thin">
        <color indexed="56"/>
      </left>
      <right/>
      <top style="thin">
        <color indexed="56"/>
      </top>
      <bottom style="thin">
        <color indexed="56"/>
      </bottom>
      <diagonal/>
    </border>
    <border>
      <left style="thin">
        <color indexed="56"/>
      </left>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56"/>
      </left>
      <right/>
      <top style="thin">
        <color indexed="56"/>
      </top>
      <bottom/>
      <diagonal/>
    </border>
    <border>
      <left style="medium">
        <color indexed="56"/>
      </left>
      <right style="thin">
        <color indexed="56"/>
      </right>
      <top style="thin">
        <color indexed="56"/>
      </top>
      <bottom style="medium">
        <color indexed="56"/>
      </bottom>
      <diagonal/>
    </border>
    <border>
      <left/>
      <right style="thin">
        <color indexed="56"/>
      </right>
      <top style="thin">
        <color indexed="56"/>
      </top>
      <bottom style="medium">
        <color indexed="56"/>
      </bottom>
      <diagonal/>
    </border>
    <border>
      <left style="thin">
        <color indexed="56"/>
      </left>
      <right/>
      <top style="thin">
        <color indexed="64"/>
      </top>
      <bottom style="thin">
        <color indexed="56"/>
      </bottom>
      <diagonal/>
    </border>
    <border>
      <left/>
      <right/>
      <top style="thin">
        <color indexed="64"/>
      </top>
      <bottom style="thin">
        <color indexed="56"/>
      </bottom>
      <diagonal/>
    </border>
    <border>
      <left/>
      <right style="thin">
        <color indexed="56"/>
      </right>
      <top style="thin">
        <color indexed="64"/>
      </top>
      <bottom style="thin">
        <color indexed="56"/>
      </bottom>
      <diagonal/>
    </border>
    <border>
      <left style="thin">
        <color indexed="64"/>
      </left>
      <right style="thin">
        <color indexed="56"/>
      </right>
      <top style="thin">
        <color indexed="64"/>
      </top>
      <bottom style="thin">
        <color indexed="56"/>
      </bottom>
      <diagonal/>
    </border>
    <border>
      <left style="thin">
        <color indexed="64"/>
      </left>
      <right style="thin">
        <color indexed="56"/>
      </right>
      <top style="thin">
        <color indexed="56"/>
      </top>
      <bottom style="thin">
        <color indexed="56"/>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medium">
        <color indexed="63"/>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3"/>
      </right>
      <top style="medium">
        <color indexed="63"/>
      </top>
      <bottom/>
      <diagonal/>
    </border>
    <border>
      <left style="medium">
        <color indexed="64"/>
      </left>
      <right style="medium">
        <color indexed="63"/>
      </right>
      <top/>
      <bottom style="medium">
        <color indexed="63"/>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top style="thin">
        <color auto="1"/>
      </top>
      <bottom style="thin">
        <color auto="1"/>
      </bottom>
      <diagonal/>
    </border>
    <border>
      <left style="thin">
        <color indexed="63"/>
      </left>
      <right style="thin">
        <color indexed="63"/>
      </right>
      <top style="medium">
        <color indexed="64"/>
      </top>
      <bottom style="thin">
        <color indexed="63"/>
      </bottom>
      <diagonal/>
    </border>
    <border>
      <left style="thin">
        <color indexed="63"/>
      </left>
      <right style="medium">
        <color indexed="64"/>
      </right>
      <top style="medium">
        <color indexed="64"/>
      </top>
      <bottom style="thin">
        <color indexed="63"/>
      </bottom>
      <diagonal/>
    </border>
    <border>
      <left style="thin">
        <color indexed="63"/>
      </left>
      <right style="thin">
        <color indexed="63"/>
      </right>
      <top style="thin">
        <color indexed="63"/>
      </top>
      <bottom style="medium">
        <color indexed="64"/>
      </bottom>
      <diagonal/>
    </border>
    <border>
      <left style="thin">
        <color indexed="63"/>
      </left>
      <right style="medium">
        <color indexed="64"/>
      </right>
      <top style="thin">
        <color indexed="63"/>
      </top>
      <bottom style="medium">
        <color indexed="64"/>
      </bottom>
      <diagonal/>
    </border>
    <border>
      <left style="medium">
        <color indexed="64"/>
      </left>
      <right style="thin">
        <color indexed="64"/>
      </right>
      <top/>
      <bottom/>
      <diagonal/>
    </border>
    <border>
      <left style="thin">
        <color indexed="63"/>
      </left>
      <right style="thin">
        <color indexed="63"/>
      </right>
      <top/>
      <bottom/>
      <diagonal/>
    </border>
    <border>
      <left style="medium">
        <color indexed="63"/>
      </left>
      <right style="thin">
        <color indexed="64"/>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medium">
        <color indexed="63"/>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3"/>
      </bottom>
      <diagonal/>
    </border>
    <border>
      <left style="thin">
        <color indexed="64"/>
      </left>
      <right style="medium">
        <color indexed="64"/>
      </right>
      <top style="thin">
        <color indexed="64"/>
      </top>
      <bottom style="thin">
        <color indexed="63"/>
      </bottom>
      <diagonal/>
    </border>
    <border>
      <left style="medium">
        <color indexed="63"/>
      </left>
      <right style="thin">
        <color indexed="64"/>
      </right>
      <top/>
      <bottom style="medium">
        <color indexed="64"/>
      </bottom>
      <diagonal/>
    </border>
    <border>
      <left style="thin">
        <color indexed="56"/>
      </left>
      <right style="thin">
        <color indexed="56"/>
      </right>
      <top style="thin">
        <color indexed="56"/>
      </top>
      <bottom/>
      <diagonal/>
    </border>
    <border>
      <left/>
      <right/>
      <top style="thin">
        <color auto="1"/>
      </top>
      <bottom/>
      <diagonal/>
    </border>
    <border>
      <left/>
      <right style="thin">
        <color indexed="56"/>
      </right>
      <top style="medium">
        <color indexed="64"/>
      </top>
      <bottom style="thin">
        <color indexed="56"/>
      </bottom>
      <diagonal/>
    </border>
    <border>
      <left/>
      <right style="medium">
        <color indexed="64"/>
      </right>
      <top style="medium">
        <color indexed="64"/>
      </top>
      <bottom style="thin">
        <color indexed="56"/>
      </bottom>
      <diagonal/>
    </border>
    <border>
      <left/>
      <right style="medium">
        <color indexed="64"/>
      </right>
      <top style="thin">
        <color indexed="56"/>
      </top>
      <bottom style="thin">
        <color indexed="56"/>
      </bottom>
      <diagonal/>
    </border>
    <border>
      <left/>
      <right style="thin">
        <color indexed="56"/>
      </right>
      <top style="thin">
        <color indexed="56"/>
      </top>
      <bottom style="medium">
        <color indexed="64"/>
      </bottom>
      <diagonal/>
    </border>
    <border>
      <left/>
      <right style="medium">
        <color indexed="64"/>
      </right>
      <top style="thin">
        <color indexed="56"/>
      </top>
      <bottom style="medium">
        <color indexed="64"/>
      </bottom>
      <diagonal/>
    </border>
    <border>
      <left style="thin">
        <color theme="0"/>
      </left>
      <right style="thin">
        <color theme="0"/>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bottom style="thin">
        <color theme="0"/>
      </bottom>
      <diagonal/>
    </border>
    <border>
      <left/>
      <right style="thin">
        <color indexed="63"/>
      </right>
      <top/>
      <bottom style="thin">
        <color indexed="63"/>
      </bottom>
      <diagonal/>
    </border>
    <border>
      <left style="thin">
        <color indexed="63"/>
      </left>
      <right/>
      <top/>
      <bottom style="thin">
        <color indexed="63"/>
      </bottom>
      <diagonal/>
    </border>
    <border>
      <left/>
      <right style="thin">
        <color indexed="63"/>
      </right>
      <top style="thin">
        <color indexed="63"/>
      </top>
      <bottom/>
      <diagonal/>
    </border>
    <border>
      <left style="thin">
        <color indexed="63"/>
      </left>
      <right/>
      <top style="thin">
        <color indexed="63"/>
      </top>
      <bottom/>
      <diagonal/>
    </border>
    <border>
      <left/>
      <right style="thin">
        <color indexed="63"/>
      </right>
      <top/>
      <bottom/>
      <diagonal/>
    </border>
    <border>
      <left/>
      <right/>
      <top style="thin">
        <color indexed="64"/>
      </top>
      <bottom style="thin">
        <color indexed="64"/>
      </bottom>
      <diagonal/>
    </border>
    <border>
      <left/>
      <right style="thin">
        <color indexed="63"/>
      </right>
      <top style="thin">
        <color indexed="63"/>
      </top>
      <bottom/>
      <diagonal/>
    </border>
    <border>
      <left/>
      <right style="thin">
        <color indexed="63"/>
      </right>
      <top style="medium">
        <color indexed="64"/>
      </top>
      <bottom style="thin">
        <color indexed="63"/>
      </bottom>
      <diagonal/>
    </border>
    <border>
      <left/>
      <right style="thin">
        <color indexed="63"/>
      </right>
      <top style="thin">
        <color indexed="63"/>
      </top>
      <bottom style="medium">
        <color indexed="64"/>
      </bottom>
      <diagonal/>
    </border>
    <border>
      <left/>
      <right style="thin">
        <color indexed="56"/>
      </right>
      <top style="thin">
        <color indexed="56"/>
      </top>
      <bottom/>
      <diagonal/>
    </border>
    <border>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56"/>
      </left>
      <right/>
      <top/>
      <bottom style="thin">
        <color indexed="56"/>
      </bottom>
      <diagonal/>
    </border>
    <border>
      <left style="medium">
        <color indexed="64"/>
      </left>
      <right style="thin">
        <color indexed="64"/>
      </right>
      <top style="medium">
        <color indexed="64"/>
      </top>
      <bottom style="medium">
        <color indexed="64"/>
      </bottom>
      <diagonal/>
    </border>
    <border>
      <left/>
      <right/>
      <top style="thin">
        <color indexed="63"/>
      </top>
      <bottom/>
      <diagonal/>
    </border>
    <border>
      <left style="thin">
        <color indexed="63"/>
      </left>
      <right/>
      <top/>
      <bottom/>
      <diagonal/>
    </border>
  </borders>
  <cellStyleXfs count="356">
    <xf numFmtId="0" fontId="0" fillId="0" borderId="0"/>
    <xf numFmtId="0" fontId="33" fillId="0" borderId="0"/>
    <xf numFmtId="0" fontId="9" fillId="3" borderId="0" applyNumberFormat="0" applyBorder="0" applyAlignment="0" applyProtection="0"/>
    <xf numFmtId="0" fontId="1" fillId="3"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1" fillId="12" borderId="0" applyNumberFormat="0" applyBorder="0" applyAlignment="0" applyProtection="0"/>
    <xf numFmtId="0" fontId="9" fillId="14" borderId="0" applyNumberFormat="0" applyBorder="0" applyAlignment="0" applyProtection="0"/>
    <xf numFmtId="0" fontId="1" fillId="14"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01" fillId="33" borderId="0" applyNumberFormat="0" applyBorder="0" applyAlignment="0" applyProtection="0"/>
    <xf numFmtId="0" fontId="101" fillId="34" borderId="0" applyNumberFormat="0" applyBorder="0" applyAlignment="0" applyProtection="0"/>
    <xf numFmtId="0" fontId="101"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101" fillId="38" borderId="0" applyNumberFormat="0" applyBorder="0" applyAlignment="0" applyProtection="0"/>
    <xf numFmtId="4" fontId="39" fillId="16" borderId="1">
      <alignment horizontal="right" vertical="center"/>
    </xf>
    <xf numFmtId="169" fontId="1" fillId="17" borderId="2" applyFont="0" applyBorder="0">
      <alignment vertical="center"/>
    </xf>
    <xf numFmtId="0" fontId="19" fillId="4" borderId="0" applyNumberFormat="0" applyBorder="0" applyAlignment="0" applyProtection="0"/>
    <xf numFmtId="169" fontId="19" fillId="4" borderId="0" applyNumberFormat="0" applyBorder="0" applyAlignment="0" applyProtection="0"/>
    <xf numFmtId="0" fontId="20" fillId="11" borderId="3" applyNumberFormat="0" applyAlignment="0" applyProtection="0"/>
    <xf numFmtId="169" fontId="4" fillId="0" borderId="0" applyNumberFormat="0" applyAlignment="0" applyProtection="0"/>
    <xf numFmtId="178" fontId="1" fillId="0" borderId="4">
      <alignment vertical="center"/>
    </xf>
    <xf numFmtId="178" fontId="1" fillId="0" borderId="4">
      <alignment vertical="center"/>
    </xf>
    <xf numFmtId="178" fontId="1" fillId="0" borderId="4">
      <alignment vertical="center"/>
    </xf>
    <xf numFmtId="0" fontId="21" fillId="18" borderId="6" applyNumberFormat="0" applyAlignment="0" applyProtection="0"/>
    <xf numFmtId="164" fontId="49" fillId="0" borderId="0" applyFont="0" applyFill="0" applyBorder="0" applyAlignment="0" applyProtection="0"/>
    <xf numFmtId="164" fontId="86" fillId="0" borderId="0" applyFont="0" applyFill="0" applyBorder="0" applyAlignment="0" applyProtection="0"/>
    <xf numFmtId="168" fontId="49" fillId="0" borderId="0" applyFont="0" applyFill="0" applyBorder="0" applyAlignment="0" applyProtection="0"/>
    <xf numFmtId="168" fontId="86" fillId="0" borderId="0" applyFont="0" applyFill="0" applyBorder="0" applyAlignment="0" applyProtection="0"/>
    <xf numFmtId="0" fontId="21" fillId="18" borderId="6" applyNumberFormat="0" applyAlignment="0" applyProtection="0"/>
    <xf numFmtId="0" fontId="3" fillId="19" borderId="0" applyNumberFormat="0" applyBorder="0" applyAlignment="0">
      <protection hidden="1"/>
    </xf>
    <xf numFmtId="0" fontId="6" fillId="0" borderId="0" applyNumberFormat="0" applyFont="0" applyAlignment="0"/>
    <xf numFmtId="41"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1" fontId="3" fillId="0" borderId="0" applyFont="0" applyFill="0" applyBorder="0" applyAlignment="0" applyProtection="0"/>
    <xf numFmtId="44" fontId="4" fillId="0" borderId="0" applyFont="0" applyFill="0" applyBorder="0" applyAlignment="0" applyProtection="0"/>
    <xf numFmtId="181"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44" fontId="4" fillId="0" borderId="0" applyFont="0" applyFill="0" applyBorder="0" applyAlignment="0" applyProtection="0"/>
    <xf numFmtId="0" fontId="22" fillId="0" borderId="0" applyNumberFormat="0" applyFill="0" applyBorder="0" applyAlignment="0" applyProtection="0"/>
    <xf numFmtId="0" fontId="28" fillId="0" borderId="5" applyNumberFormat="0" applyFill="0" applyAlignment="0" applyProtection="0"/>
    <xf numFmtId="0" fontId="23" fillId="6" borderId="0" applyNumberFormat="0" applyBorder="0" applyAlignment="0" applyProtection="0"/>
    <xf numFmtId="0" fontId="23" fillId="6" borderId="0" applyNumberFormat="0" applyBorder="0" applyAlignment="0" applyProtection="0"/>
    <xf numFmtId="0" fontId="24" fillId="0" borderId="7" applyNumberFormat="0" applyFill="0" applyAlignment="0" applyProtection="0"/>
    <xf numFmtId="169" fontId="102" fillId="0" borderId="115"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169" fontId="103" fillId="0" borderId="116" applyNumberFormat="0" applyFill="0" applyAlignment="0" applyProtection="0"/>
    <xf numFmtId="0" fontId="26" fillId="0" borderId="0" applyNumberFormat="0" applyFill="0" applyBorder="0" applyAlignment="0" applyProtection="0"/>
    <xf numFmtId="169" fontId="103" fillId="0" borderId="0" applyNumberFormat="0" applyFill="0" applyBorder="0" applyAlignment="0" applyProtection="0"/>
    <xf numFmtId="169" fontId="7" fillId="0" borderId="0" applyNumberFormat="0" applyFill="0" applyBorder="0" applyAlignment="0" applyProtection="0">
      <alignment vertical="top"/>
      <protection locked="0"/>
    </xf>
    <xf numFmtId="175" fontId="51" fillId="19" borderId="4">
      <alignment horizontal="right" vertical="center"/>
    </xf>
    <xf numFmtId="175" fontId="51" fillId="19" borderId="4">
      <alignment horizontal="right" vertical="center"/>
    </xf>
    <xf numFmtId="175" fontId="90" fillId="19" borderId="4">
      <alignment horizontal="right" vertical="center"/>
    </xf>
    <xf numFmtId="175" fontId="51" fillId="19" borderId="4">
      <alignment horizontal="right" vertical="center"/>
    </xf>
    <xf numFmtId="175" fontId="90" fillId="19" borderId="4">
      <alignment horizontal="right" vertical="center"/>
    </xf>
    <xf numFmtId="175" fontId="90" fillId="19" borderId="4">
      <alignment horizontal="right" vertical="center"/>
    </xf>
    <xf numFmtId="175" fontId="38" fillId="20" borderId="4">
      <alignment horizontal="right" vertical="center"/>
    </xf>
    <xf numFmtId="175" fontId="38" fillId="20" borderId="4">
      <alignment horizontal="right" vertical="center"/>
    </xf>
    <xf numFmtId="175" fontId="38" fillId="20" borderId="4">
      <alignment horizontal="right" vertical="center"/>
    </xf>
    <xf numFmtId="0" fontId="27" fillId="5" borderId="3" applyNumberFormat="0" applyAlignment="0" applyProtection="0"/>
    <xf numFmtId="168" fontId="3" fillId="0" borderId="0" applyFont="0" applyFill="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104" fillId="0" borderId="0" applyNumberFormat="0" applyFill="0" applyBorder="0" applyAlignment="0" applyProtection="0"/>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81" fontId="7" fillId="0" borderId="0" applyNumberFormat="0" applyFill="0" applyBorder="0" applyAlignment="0" applyProtection="0">
      <alignment vertical="top"/>
      <protection locked="0"/>
    </xf>
    <xf numFmtId="181" fontId="7" fillId="0" borderId="0" applyNumberFormat="0" applyFill="0" applyBorder="0" applyAlignment="0" applyProtection="0">
      <alignment vertical="top"/>
      <protection locked="0"/>
    </xf>
    <xf numFmtId="0" fontId="16" fillId="0" borderId="4" applyNumberFormat="0" applyFill="0" applyProtection="0">
      <alignment horizontal="left" vertical="center" wrapText="1"/>
      <protection locked="0"/>
    </xf>
    <xf numFmtId="0" fontId="5" fillId="0" borderId="0" applyNumberFormat="0" applyFill="0" applyBorder="0" applyAlignment="0" applyProtection="0">
      <alignment vertical="top"/>
      <protection locked="0"/>
    </xf>
    <xf numFmtId="0" fontId="105" fillId="0" borderId="0" applyNumberFormat="0" applyFill="0" applyBorder="0" applyAlignment="0" applyProtection="0"/>
    <xf numFmtId="0" fontId="3" fillId="21" borderId="0" applyNumberFormat="0" applyFont="0" applyBorder="0" applyAlignment="0"/>
    <xf numFmtId="168" fontId="49" fillId="0" borderId="0" applyFont="0" applyFill="0" applyBorder="0" applyAlignment="0" applyProtection="0"/>
    <xf numFmtId="168" fontId="4" fillId="0" borderId="0" applyFont="0" applyFill="0" applyBorder="0" applyAlignment="0" applyProtection="0"/>
    <xf numFmtId="168" fontId="86" fillId="0" borderId="0" applyFont="0" applyFill="0" applyBorder="0" applyAlignment="0" applyProtection="0"/>
    <xf numFmtId="168" fontId="1" fillId="0" borderId="0" applyFont="0" applyFill="0" applyBorder="0" applyAlignment="0" applyProtection="0"/>
    <xf numFmtId="164" fontId="92" fillId="0" borderId="0" applyFont="0" applyFill="0" applyBorder="0" applyAlignment="0" applyProtection="0"/>
    <xf numFmtId="164" fontId="95" fillId="0" borderId="0" applyFont="0" applyFill="0" applyBorder="0" applyAlignment="0" applyProtection="0"/>
    <xf numFmtId="164" fontId="96" fillId="0" borderId="0" applyFont="0" applyFill="0" applyBorder="0" applyAlignment="0" applyProtection="0"/>
    <xf numFmtId="168" fontId="4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8" fontId="86" fillId="0" borderId="0" applyFont="0" applyFill="0" applyBorder="0" applyAlignment="0" applyProtection="0"/>
    <xf numFmtId="0" fontId="4" fillId="0" borderId="0" applyFont="0" applyFill="0" applyBorder="0" applyAlignment="0" applyProtection="0"/>
    <xf numFmtId="164" fontId="52" fillId="0" borderId="0" applyFont="0" applyFill="0" applyBorder="0" applyAlignment="0" applyProtection="0"/>
    <xf numFmtId="168" fontId="31" fillId="0" borderId="0" applyFont="0" applyFill="0" applyBorder="0" applyAlignment="0" applyProtection="0"/>
    <xf numFmtId="164" fontId="8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88" fillId="0" borderId="0" applyFont="0" applyFill="0" applyBorder="0" applyAlignment="0" applyProtection="0"/>
    <xf numFmtId="43" fontId="49" fillId="0" borderId="0" applyFont="0" applyFill="0" applyBorder="0" applyAlignment="0" applyProtection="0"/>
    <xf numFmtId="43" fontId="86" fillId="0" borderId="0" applyFont="0" applyFill="0" applyBorder="0" applyAlignment="0" applyProtection="0"/>
    <xf numFmtId="168" fontId="88"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8" fontId="49" fillId="0" borderId="0" applyFont="0" applyFill="0" applyBorder="0" applyAlignment="0" applyProtection="0"/>
    <xf numFmtId="168" fontId="8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9" fillId="0" borderId="0" applyFont="0" applyFill="0" applyBorder="0" applyAlignment="0" applyProtection="0"/>
    <xf numFmtId="167" fontId="49" fillId="0" borderId="0" applyFont="0" applyFill="0" applyBorder="0" applyAlignment="0" applyProtection="0"/>
    <xf numFmtId="167" fontId="8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4" fillId="0" borderId="0"/>
    <xf numFmtId="0" fontId="4" fillId="0" borderId="0"/>
    <xf numFmtId="0" fontId="100" fillId="0" borderId="0"/>
    <xf numFmtId="0" fontId="100" fillId="0" borderId="0"/>
    <xf numFmtId="0" fontId="100" fillId="0" borderId="0"/>
    <xf numFmtId="0" fontId="3" fillId="0" borderId="0"/>
    <xf numFmtId="0" fontId="41" fillId="0" borderId="0"/>
    <xf numFmtId="0" fontId="3" fillId="0" borderId="0"/>
    <xf numFmtId="0" fontId="4" fillId="0" borderId="0"/>
    <xf numFmtId="0" fontId="4" fillId="0" borderId="0"/>
    <xf numFmtId="0" fontId="3" fillId="0" borderId="0"/>
    <xf numFmtId="0" fontId="4" fillId="0" borderId="0"/>
    <xf numFmtId="0" fontId="4" fillId="0" borderId="0"/>
    <xf numFmtId="0" fontId="100" fillId="0" borderId="0"/>
    <xf numFmtId="0" fontId="3" fillId="0" borderId="0"/>
    <xf numFmtId="0" fontId="4" fillId="0" borderId="0"/>
    <xf numFmtId="169" fontId="3" fillId="0" borderId="0"/>
    <xf numFmtId="0" fontId="4" fillId="0" borderId="0"/>
    <xf numFmtId="169" fontId="3" fillId="0" borderId="0"/>
    <xf numFmtId="0" fontId="9" fillId="0" borderId="0"/>
    <xf numFmtId="0" fontId="106" fillId="0" borderId="0"/>
    <xf numFmtId="0" fontId="3" fillId="0" borderId="0"/>
    <xf numFmtId="169" fontId="3" fillId="0" borderId="0"/>
    <xf numFmtId="0" fontId="100"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106"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107" fillId="0" borderId="0"/>
    <xf numFmtId="0" fontId="3" fillId="0" borderId="0"/>
    <xf numFmtId="0" fontId="107" fillId="0" borderId="0"/>
    <xf numFmtId="0" fontId="107" fillId="0" borderId="0"/>
    <xf numFmtId="0" fontId="31" fillId="0" borderId="0"/>
    <xf numFmtId="0" fontId="17" fillId="0" borderId="0"/>
    <xf numFmtId="0" fontId="4" fillId="0" borderId="0"/>
    <xf numFmtId="0" fontId="17" fillId="0" borderId="0"/>
    <xf numFmtId="0" fontId="4" fillId="0" borderId="0"/>
    <xf numFmtId="169" fontId="100" fillId="0" borderId="0"/>
    <xf numFmtId="4" fontId="39" fillId="0" borderId="4" applyFill="0" applyBorder="0" applyProtection="0">
      <alignment horizontal="right" vertical="center"/>
    </xf>
    <xf numFmtId="0" fontId="15" fillId="0" borderId="0"/>
    <xf numFmtId="169" fontId="1" fillId="22" borderId="11" applyProtection="0">
      <alignment vertical="center"/>
    </xf>
    <xf numFmtId="0" fontId="9" fillId="7" borderId="10" applyNumberFormat="0" applyFont="0" applyAlignment="0" applyProtection="0"/>
    <xf numFmtId="0" fontId="1" fillId="7" borderId="10" applyNumberFormat="0" applyFont="0" applyAlignment="0" applyProtection="0"/>
    <xf numFmtId="0" fontId="19" fillId="4" borderId="0" applyNumberFormat="0" applyBorder="0" applyAlignment="0" applyProtection="0"/>
    <xf numFmtId="0" fontId="30" fillId="11" borderId="1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95" fillId="0" borderId="0" applyFont="0" applyFill="0" applyBorder="0" applyAlignment="0" applyProtection="0"/>
    <xf numFmtId="9" fontId="9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9"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8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88" fillId="0" borderId="0" applyFont="0" applyFill="0" applyBorder="0" applyAlignment="0" applyProtection="0"/>
    <xf numFmtId="9" fontId="4" fillId="0" borderId="0" applyFont="0" applyFill="0" applyBorder="0" applyAlignment="0" applyProtection="0"/>
    <xf numFmtId="9" fontId="88"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86" fillId="0" borderId="0" applyFont="0" applyFill="0" applyBorder="0" applyAlignment="0" applyProtection="0"/>
    <xf numFmtId="9" fontId="1"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11" fillId="0" borderId="0" applyNumberFormat="0" applyBorder="0" applyAlignment="0" applyProtection="0"/>
    <xf numFmtId="0" fontId="3" fillId="0" borderId="0"/>
    <xf numFmtId="169" fontId="31"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10" fillId="0" borderId="0"/>
    <xf numFmtId="0" fontId="3" fillId="0" borderId="0"/>
    <xf numFmtId="169" fontId="31" fillId="0" borderId="0"/>
    <xf numFmtId="0" fontId="3" fillId="0" borderId="0"/>
    <xf numFmtId="169" fontId="31" fillId="0" borderId="0"/>
    <xf numFmtId="169" fontId="100"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100" fillId="0" borderId="0"/>
    <xf numFmtId="169" fontId="100" fillId="0" borderId="0"/>
    <xf numFmtId="169" fontId="3" fillId="0" borderId="0"/>
    <xf numFmtId="169" fontId="3" fillId="0" borderId="0"/>
    <xf numFmtId="0" fontId="3" fillId="0" borderId="0"/>
    <xf numFmtId="0" fontId="31" fillId="0" borderId="0"/>
    <xf numFmtId="0" fontId="3" fillId="0" borderId="0"/>
    <xf numFmtId="169" fontId="3" fillId="0" borderId="0"/>
    <xf numFmtId="169" fontId="3" fillId="0" borderId="0"/>
    <xf numFmtId="0" fontId="38" fillId="0" borderId="0"/>
    <xf numFmtId="0" fontId="9" fillId="0" borderId="0"/>
    <xf numFmtId="0" fontId="1" fillId="0" borderId="0"/>
    <xf numFmtId="0" fontId="9" fillId="0" borderId="0"/>
    <xf numFmtId="0" fontId="1" fillId="0" borderId="0"/>
    <xf numFmtId="0" fontId="9" fillId="0" borderId="0"/>
    <xf numFmtId="0" fontId="1" fillId="0" borderId="0"/>
    <xf numFmtId="0" fontId="3" fillId="0" borderId="0"/>
    <xf numFmtId="0" fontId="3" fillId="0" borderId="0"/>
    <xf numFmtId="0" fontId="3" fillId="0" borderId="0"/>
    <xf numFmtId="169"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31" fillId="0" borderId="0"/>
    <xf numFmtId="0" fontId="3" fillId="0" borderId="0"/>
    <xf numFmtId="0" fontId="3" fillId="0" borderId="0"/>
    <xf numFmtId="169" fontId="3" fillId="0" borderId="0"/>
    <xf numFmtId="169" fontId="3" fillId="0" borderId="0"/>
    <xf numFmtId="0" fontId="3" fillId="0" borderId="0"/>
    <xf numFmtId="169" fontId="3" fillId="0" borderId="0"/>
    <xf numFmtId="169" fontId="31" fillId="0" borderId="0"/>
    <xf numFmtId="181" fontId="15" fillId="0" borderId="0"/>
    <xf numFmtId="169" fontId="3" fillId="0" borderId="0"/>
    <xf numFmtId="0" fontId="15" fillId="0" borderId="0">
      <alignment vertical="top"/>
    </xf>
    <xf numFmtId="0" fontId="15" fillId="0" borderId="0">
      <alignment vertical="top"/>
    </xf>
    <xf numFmtId="0" fontId="15" fillId="0" borderId="0">
      <alignment vertical="top"/>
    </xf>
    <xf numFmtId="0" fontId="108" fillId="39" borderId="13">
      <alignment horizontal="center" vertical="center"/>
    </xf>
    <xf numFmtId="169" fontId="40" fillId="1" borderId="14" applyNumberFormat="0" applyProtection="0">
      <alignment horizontal="left" vertical="top"/>
    </xf>
    <xf numFmtId="0" fontId="14" fillId="0" borderId="0" applyNumberFormat="0" applyFill="0" applyBorder="0" applyAlignment="0" applyProtection="0"/>
    <xf numFmtId="0" fontId="14" fillId="0" borderId="0" applyNumberFormat="0" applyFill="0" applyBorder="0" applyAlignment="0" applyProtection="0"/>
    <xf numFmtId="169" fontId="109" fillId="0" borderId="0" applyNumberFormat="0" applyFill="0" applyBorder="0" applyAlignment="0" applyProtection="0"/>
    <xf numFmtId="0" fontId="14" fillId="0" borderId="0" applyNumberFormat="0" applyFill="0" applyBorder="0" applyAlignment="0" applyProtection="0"/>
    <xf numFmtId="0" fontId="8" fillId="0" borderId="15" applyNumberFormat="0" applyFill="0" applyAlignment="0" applyProtection="0"/>
    <xf numFmtId="0" fontId="30" fillId="11" borderId="12" applyNumberFormat="0" applyAlignment="0" applyProtection="0"/>
    <xf numFmtId="179" fontId="3" fillId="0" borderId="0" applyFont="0" applyFill="0" applyBorder="0" applyAlignment="0" applyProtection="0"/>
    <xf numFmtId="180" fontId="3" fillId="0" borderId="0" applyFont="0" applyFill="0" applyBorder="0" applyAlignment="0" applyProtection="0"/>
    <xf numFmtId="0" fontId="22" fillId="0" borderId="0" applyNumberForma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32" fillId="0" borderId="0" applyNumberForma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18" fillId="0" borderId="16">
      <alignment horizontal="left"/>
    </xf>
    <xf numFmtId="44" fontId="100" fillId="0" borderId="0" applyFont="0" applyFill="0" applyBorder="0" applyAlignment="0" applyProtection="0"/>
  </cellStyleXfs>
  <cellXfs count="2374">
    <xf numFmtId="0" fontId="0" fillId="0" borderId="0" xfId="0"/>
    <xf numFmtId="0" fontId="0" fillId="24" borderId="0" xfId="0" applyFill="1"/>
    <xf numFmtId="0" fontId="55" fillId="0" borderId="0" xfId="0" applyFont="1"/>
    <xf numFmtId="0" fontId="55" fillId="24" borderId="0" xfId="0" applyFont="1" applyFill="1"/>
    <xf numFmtId="0" fontId="67" fillId="24" borderId="0" xfId="0" applyFont="1" applyFill="1" applyAlignment="1">
      <alignment horizontal="center"/>
    </xf>
    <xf numFmtId="177" fontId="61" fillId="0" borderId="17" xfId="109" applyNumberFormat="1" applyFont="1" applyBorder="1" applyProtection="1">
      <protection hidden="1"/>
    </xf>
    <xf numFmtId="177" fontId="61" fillId="0" borderId="19" xfId="109" applyNumberFormat="1" applyFont="1" applyBorder="1" applyProtection="1">
      <protection hidden="1"/>
    </xf>
    <xf numFmtId="177" fontId="61" fillId="0" borderId="20" xfId="109" applyNumberFormat="1" applyFont="1" applyBorder="1" applyProtection="1">
      <protection hidden="1"/>
    </xf>
    <xf numFmtId="0" fontId="3" fillId="26" borderId="0" xfId="158" applyFill="1"/>
    <xf numFmtId="0" fontId="3" fillId="23" borderId="0" xfId="158" applyFill="1"/>
    <xf numFmtId="0" fontId="2" fillId="27" borderId="0" xfId="162" applyFont="1" applyFill="1" applyAlignment="1">
      <alignment vertical="center"/>
    </xf>
    <xf numFmtId="0" fontId="3" fillId="23" borderId="0" xfId="162" applyFill="1" applyAlignment="1">
      <alignment vertical="center"/>
    </xf>
    <xf numFmtId="0" fontId="3" fillId="23" borderId="0" xfId="162" applyFill="1"/>
    <xf numFmtId="0" fontId="3" fillId="23" borderId="0" xfId="162" applyFill="1" applyAlignment="1">
      <alignment horizontal="right"/>
    </xf>
    <xf numFmtId="0" fontId="67" fillId="0" borderId="0" xfId="0" applyFont="1" applyAlignment="1">
      <alignment horizontal="center"/>
    </xf>
    <xf numFmtId="0" fontId="71" fillId="25" borderId="0" xfId="0" applyFont="1" applyFill="1" applyAlignment="1">
      <alignment vertical="justify"/>
    </xf>
    <xf numFmtId="174" fontId="71" fillId="25" borderId="0" xfId="0" applyNumberFormat="1" applyFont="1" applyFill="1" applyAlignment="1">
      <alignment vertical="justify"/>
    </xf>
    <xf numFmtId="9" fontId="67" fillId="0" borderId="0" xfId="238" applyFont="1" applyAlignment="1">
      <alignment horizontal="center"/>
    </xf>
    <xf numFmtId="9" fontId="49" fillId="24" borderId="0" xfId="238" applyFill="1"/>
    <xf numFmtId="168" fontId="49" fillId="24" borderId="0" xfId="109" applyFill="1"/>
    <xf numFmtId="0" fontId="0" fillId="24" borderId="0" xfId="0" applyFill="1" applyAlignment="1">
      <alignment vertical="justify"/>
    </xf>
    <xf numFmtId="0" fontId="0" fillId="24" borderId="0" xfId="0" applyFill="1" applyAlignment="1">
      <alignment horizontal="left" vertical="justify"/>
    </xf>
    <xf numFmtId="9" fontId="49" fillId="24" borderId="0" xfId="238" applyFill="1" applyAlignment="1">
      <alignment horizontal="left" vertical="justify"/>
    </xf>
    <xf numFmtId="0" fontId="54" fillId="24" borderId="0" xfId="0" applyFont="1" applyFill="1"/>
    <xf numFmtId="0" fontId="0" fillId="24" borderId="0" xfId="0" applyFill="1" applyAlignment="1">
      <alignment horizontal="center"/>
    </xf>
    <xf numFmtId="0" fontId="50" fillId="0" borderId="0" xfId="0" applyFont="1" applyAlignment="1" applyProtection="1">
      <alignment horizontal="center"/>
      <protection hidden="1"/>
    </xf>
    <xf numFmtId="0" fontId="54" fillId="24" borderId="0" xfId="0" applyFont="1" applyFill="1" applyAlignment="1">
      <alignment horizontal="left"/>
    </xf>
    <xf numFmtId="0" fontId="55" fillId="0" borderId="0" xfId="0" applyFont="1" applyAlignment="1">
      <alignment horizontal="center"/>
    </xf>
    <xf numFmtId="0" fontId="36" fillId="24" borderId="0" xfId="0" applyFont="1" applyFill="1" applyAlignment="1">
      <alignment horizontal="center"/>
    </xf>
    <xf numFmtId="0" fontId="36" fillId="24" borderId="0" xfId="0" applyFont="1" applyFill="1"/>
    <xf numFmtId="0" fontId="91" fillId="24" borderId="0" xfId="0" applyFont="1" applyFill="1"/>
    <xf numFmtId="0" fontId="0" fillId="40" borderId="0" xfId="0" applyFill="1"/>
    <xf numFmtId="0" fontId="50" fillId="40" borderId="0" xfId="0" applyFont="1" applyFill="1"/>
    <xf numFmtId="177" fontId="61" fillId="0" borderId="22" xfId="109" applyNumberFormat="1" applyFont="1" applyBorder="1" applyProtection="1">
      <protection hidden="1"/>
    </xf>
    <xf numFmtId="177" fontId="61" fillId="0" borderId="23" xfId="109" applyNumberFormat="1" applyFont="1" applyBorder="1" applyProtection="1">
      <protection hidden="1"/>
    </xf>
    <xf numFmtId="177" fontId="61" fillId="0" borderId="24" xfId="109" applyNumberFormat="1" applyFont="1" applyBorder="1" applyProtection="1">
      <protection hidden="1"/>
    </xf>
    <xf numFmtId="177" fontId="61" fillId="0" borderId="25" xfId="109" applyNumberFormat="1" applyFont="1" applyBorder="1" applyProtection="1">
      <protection hidden="1"/>
    </xf>
    <xf numFmtId="177" fontId="61" fillId="0" borderId="26" xfId="109" applyNumberFormat="1" applyFont="1" applyBorder="1" applyProtection="1">
      <protection hidden="1"/>
    </xf>
    <xf numFmtId="0" fontId="101" fillId="24" borderId="0" xfId="0" applyFont="1" applyFill="1"/>
    <xf numFmtId="49" fontId="30" fillId="0" borderId="0" xfId="112" applyNumberFormat="1" applyFont="1" applyBorder="1" applyAlignment="1" applyProtection="1">
      <protection hidden="1"/>
    </xf>
    <xf numFmtId="177" fontId="30" fillId="0" borderId="0" xfId="112" applyNumberFormat="1" applyFont="1" applyProtection="1">
      <protection hidden="1"/>
    </xf>
    <xf numFmtId="9" fontId="30" fillId="0" borderId="0" xfId="256" applyFont="1" applyProtection="1">
      <protection hidden="1"/>
    </xf>
    <xf numFmtId="0" fontId="112" fillId="24" borderId="0" xfId="0" applyFont="1" applyFill="1"/>
    <xf numFmtId="0" fontId="0" fillId="0" borderId="0" xfId="0" applyAlignment="1">
      <alignment vertical="justify"/>
    </xf>
    <xf numFmtId="171" fontId="68" fillId="0" borderId="17" xfId="112" applyNumberFormat="1" applyFont="1" applyBorder="1" applyProtection="1">
      <protection hidden="1"/>
    </xf>
    <xf numFmtId="0" fontId="0" fillId="39" borderId="0" xfId="0" applyFill="1"/>
    <xf numFmtId="0" fontId="114" fillId="24" borderId="0" xfId="0" applyFont="1" applyFill="1" applyAlignment="1">
      <alignment vertical="center"/>
    </xf>
    <xf numFmtId="9" fontId="49" fillId="24" borderId="0" xfId="238" applyFill="1" applyAlignment="1">
      <alignment horizontal="center" vertical="justify"/>
    </xf>
    <xf numFmtId="0" fontId="115" fillId="24" borderId="0" xfId="0" applyFont="1" applyFill="1" applyAlignment="1">
      <alignment vertical="center"/>
    </xf>
    <xf numFmtId="0" fontId="0" fillId="41" borderId="0" xfId="0" applyFill="1"/>
    <xf numFmtId="0" fontId="0" fillId="24" borderId="0" xfId="0" applyFill="1" applyAlignment="1">
      <alignment horizontal="center" vertical="justify"/>
    </xf>
    <xf numFmtId="0" fontId="2"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justify" vertical="center"/>
    </xf>
    <xf numFmtId="172" fontId="3" fillId="0" borderId="4" xfId="0" applyNumberFormat="1" applyFont="1" applyBorder="1" applyAlignment="1">
      <alignment horizontal="center" vertical="center"/>
    </xf>
    <xf numFmtId="0" fontId="101" fillId="0" borderId="0" xfId="0" applyFont="1"/>
    <xf numFmtId="0" fontId="116" fillId="0" borderId="0" xfId="0" applyFont="1"/>
    <xf numFmtId="0" fontId="117" fillId="0" borderId="0" xfId="0" applyFont="1" applyAlignment="1">
      <alignment horizontal="right"/>
    </xf>
    <xf numFmtId="0" fontId="1" fillId="0" borderId="4" xfId="0" applyFont="1" applyBorder="1"/>
    <xf numFmtId="0" fontId="0" fillId="0" borderId="4" xfId="0" applyBorder="1"/>
    <xf numFmtId="2" fontId="0" fillId="0" borderId="4" xfId="0" applyNumberFormat="1" applyBorder="1"/>
    <xf numFmtId="172" fontId="0" fillId="0" borderId="0" xfId="0" applyNumberFormat="1"/>
    <xf numFmtId="172" fontId="0" fillId="0" borderId="4" xfId="0" applyNumberFormat="1" applyBorder="1" applyAlignment="1">
      <alignment horizontal="center"/>
    </xf>
    <xf numFmtId="183" fontId="0" fillId="0" borderId="4" xfId="0" applyNumberFormat="1" applyBorder="1" applyAlignment="1">
      <alignment wrapText="1"/>
    </xf>
    <xf numFmtId="0" fontId="3" fillId="0" borderId="0" xfId="0" applyFont="1" applyAlignment="1">
      <alignment horizontal="justify" vertical="center"/>
    </xf>
    <xf numFmtId="0" fontId="1" fillId="0" borderId="4" xfId="158" applyFont="1" applyBorder="1" applyAlignment="1">
      <alignment horizontal="center"/>
    </xf>
    <xf numFmtId="184" fontId="38" fillId="0" borderId="4" xfId="158" applyNumberFormat="1" applyFont="1" applyBorder="1" applyAlignment="1">
      <alignment vertical="center"/>
    </xf>
    <xf numFmtId="0" fontId="38" fillId="0" borderId="4" xfId="158" applyFont="1" applyBorder="1" applyAlignment="1">
      <alignment horizontal="center"/>
    </xf>
    <xf numFmtId="0" fontId="104" fillId="24" borderId="0" xfId="100" applyFill="1" applyProtection="1"/>
    <xf numFmtId="0" fontId="59" fillId="0" borderId="4" xfId="0" applyFont="1" applyBorder="1"/>
    <xf numFmtId="0" fontId="36" fillId="0" borderId="0" xfId="0" applyFont="1"/>
    <xf numFmtId="0" fontId="59" fillId="0" borderId="0" xfId="0" applyFont="1"/>
    <xf numFmtId="0" fontId="36" fillId="0" borderId="34" xfId="0" applyFont="1" applyBorder="1" applyAlignment="1">
      <alignment vertical="justify"/>
    </xf>
    <xf numFmtId="0" fontId="36" fillId="0" borderId="0" xfId="0" applyFont="1" applyAlignment="1">
      <alignment vertical="justify"/>
    </xf>
    <xf numFmtId="0" fontId="50" fillId="0" borderId="0" xfId="0" applyFont="1"/>
    <xf numFmtId="0" fontId="60" fillId="0" borderId="0" xfId="0" applyFont="1"/>
    <xf numFmtId="0" fontId="75" fillId="0" borderId="0" xfId="0" applyFont="1"/>
    <xf numFmtId="0" fontId="110" fillId="0" borderId="0" xfId="0" applyFont="1"/>
    <xf numFmtId="0" fontId="78" fillId="0" borderId="0" xfId="0" applyFont="1"/>
    <xf numFmtId="0" fontId="112" fillId="0" borderId="0" xfId="0" applyFont="1"/>
    <xf numFmtId="9" fontId="112" fillId="0" borderId="0" xfId="238" applyFont="1" applyProtection="1"/>
    <xf numFmtId="0" fontId="37" fillId="0" borderId="0" xfId="0" applyFont="1"/>
    <xf numFmtId="0" fontId="69" fillId="0" borderId="0" xfId="0" applyFont="1"/>
    <xf numFmtId="0" fontId="30" fillId="0" borderId="37" xfId="0" applyFont="1" applyBorder="1"/>
    <xf numFmtId="9" fontId="112" fillId="0" borderId="0" xfId="256" applyFont="1" applyProtection="1"/>
    <xf numFmtId="0" fontId="30" fillId="0" borderId="17" xfId="0" applyFont="1" applyBorder="1" applyAlignment="1">
      <alignment horizontal="left"/>
    </xf>
    <xf numFmtId="0" fontId="30" fillId="0" borderId="29" xfId="0" applyFont="1" applyBorder="1" applyAlignment="1">
      <alignment horizontal="left"/>
    </xf>
    <xf numFmtId="0" fontId="30" fillId="0" borderId="0" xfId="0" applyFont="1"/>
    <xf numFmtId="0" fontId="118" fillId="0" borderId="39" xfId="156" applyFont="1" applyBorder="1" applyAlignment="1">
      <alignment horizontal="center" vertical="justify"/>
    </xf>
    <xf numFmtId="0" fontId="118" fillId="0" borderId="17" xfId="156" applyFont="1" applyBorder="1" applyAlignment="1">
      <alignment horizontal="center" vertical="justify"/>
    </xf>
    <xf numFmtId="0" fontId="118" fillId="0" borderId="26" xfId="156" applyFont="1" applyBorder="1" applyAlignment="1">
      <alignment horizontal="center" vertical="justify"/>
    </xf>
    <xf numFmtId="0" fontId="118" fillId="0" borderId="40" xfId="156" applyFont="1" applyBorder="1" applyAlignment="1">
      <alignment horizontal="center" vertical="justify"/>
    </xf>
    <xf numFmtId="0" fontId="118" fillId="0" borderId="41" xfId="156" applyFont="1" applyBorder="1" applyAlignment="1">
      <alignment horizontal="center" vertical="justify"/>
    </xf>
    <xf numFmtId="0" fontId="118" fillId="0" borderId="42" xfId="156" applyFont="1" applyBorder="1" applyAlignment="1">
      <alignment horizontal="center" vertical="justify"/>
    </xf>
    <xf numFmtId="9" fontId="112" fillId="0" borderId="0" xfId="238" applyFont="1" applyBorder="1" applyProtection="1"/>
    <xf numFmtId="0" fontId="30" fillId="0" borderId="19" xfId="0" applyFont="1" applyBorder="1" applyAlignment="1">
      <alignment horizontal="justify" vertical="center" wrapText="1"/>
    </xf>
    <xf numFmtId="0" fontId="119" fillId="0" borderId="0" xfId="100" applyFont="1" applyProtection="1"/>
    <xf numFmtId="0" fontId="30" fillId="0" borderId="40" xfId="0" applyFont="1" applyBorder="1"/>
    <xf numFmtId="170" fontId="112" fillId="0" borderId="0" xfId="0" applyNumberFormat="1" applyFont="1"/>
    <xf numFmtId="0" fontId="112" fillId="0" borderId="19" xfId="0" applyFont="1" applyBorder="1"/>
    <xf numFmtId="168" fontId="112" fillId="0" borderId="0" xfId="109" applyFont="1" applyProtection="1"/>
    <xf numFmtId="9" fontId="50" fillId="0" borderId="0" xfId="238" applyFont="1" applyProtection="1"/>
    <xf numFmtId="171" fontId="94" fillId="0" borderId="0" xfId="109" applyNumberFormat="1" applyFont="1" applyAlignment="1" applyProtection="1">
      <alignment horizontal="left" vertical="center"/>
    </xf>
    <xf numFmtId="171" fontId="61" fillId="0" borderId="0" xfId="109" applyNumberFormat="1" applyFont="1" applyProtection="1"/>
    <xf numFmtId="9" fontId="94" fillId="0" borderId="0" xfId="238" applyFont="1" applyAlignment="1" applyProtection="1">
      <alignment vertical="center"/>
    </xf>
    <xf numFmtId="172" fontId="57" fillId="0" borderId="0" xfId="156" applyNumberFormat="1" applyFont="1"/>
    <xf numFmtId="0" fontId="93" fillId="0" borderId="0" xfId="0" applyFont="1" applyAlignment="1">
      <alignment horizontal="justify" vertical="center" wrapText="1"/>
    </xf>
    <xf numFmtId="171" fontId="93" fillId="0" borderId="0" xfId="0" applyNumberFormat="1" applyFont="1" applyAlignment="1">
      <alignment horizontal="justify" vertical="center" wrapText="1"/>
    </xf>
    <xf numFmtId="0" fontId="64" fillId="0" borderId="2" xfId="0" applyFont="1" applyBorder="1"/>
    <xf numFmtId="0" fontId="65" fillId="0" borderId="2" xfId="0" applyFont="1" applyBorder="1"/>
    <xf numFmtId="171" fontId="49" fillId="0" borderId="4" xfId="109" applyNumberFormat="1" applyBorder="1" applyProtection="1"/>
    <xf numFmtId="0" fontId="62" fillId="0" borderId="2" xfId="0" applyFont="1" applyBorder="1"/>
    <xf numFmtId="0" fontId="30" fillId="0" borderId="53" xfId="0" applyFont="1" applyBorder="1" applyAlignment="1">
      <alignment horizontal="justify" vertical="center" wrapText="1"/>
    </xf>
    <xf numFmtId="0" fontId="0" fillId="0" borderId="2" xfId="0" applyBorder="1"/>
    <xf numFmtId="9" fontId="59" fillId="0" borderId="4" xfId="238" applyFont="1" applyBorder="1" applyProtection="1"/>
    <xf numFmtId="171" fontId="101" fillId="0" borderId="0" xfId="109" applyNumberFormat="1" applyFont="1" applyBorder="1" applyProtection="1"/>
    <xf numFmtId="186" fontId="0" fillId="0" borderId="0" xfId="0" applyNumberFormat="1"/>
    <xf numFmtId="177" fontId="101" fillId="0" borderId="0" xfId="109" applyNumberFormat="1" applyFont="1" applyBorder="1" applyProtection="1"/>
    <xf numFmtId="9" fontId="100" fillId="0" borderId="0" xfId="238" applyFont="1" applyBorder="1" applyProtection="1"/>
    <xf numFmtId="0" fontId="121" fillId="40" borderId="0" xfId="0" applyFont="1" applyFill="1"/>
    <xf numFmtId="0" fontId="115" fillId="40" borderId="0" xfId="0" applyFont="1" applyFill="1"/>
    <xf numFmtId="0" fontId="115" fillId="40" borderId="0" xfId="0" applyFont="1" applyFill="1" applyAlignment="1">
      <alignment vertical="center"/>
    </xf>
    <xf numFmtId="0" fontId="114" fillId="40" borderId="0" xfId="0" applyFont="1" applyFill="1" applyAlignment="1">
      <alignment vertical="center"/>
    </xf>
    <xf numFmtId="0" fontId="120" fillId="40" borderId="0" xfId="0" applyFont="1" applyFill="1" applyAlignment="1">
      <alignment horizontal="right"/>
    </xf>
    <xf numFmtId="0" fontId="120" fillId="40" borderId="0" xfId="0" applyFont="1" applyFill="1"/>
    <xf numFmtId="171" fontId="63" fillId="40" borderId="0" xfId="0" applyNumberFormat="1" applyFont="1" applyFill="1" applyAlignment="1">
      <alignment horizontal="center"/>
    </xf>
    <xf numFmtId="0" fontId="63" fillId="40" borderId="0" xfId="0" applyFont="1" applyFill="1" applyAlignment="1">
      <alignment horizontal="center"/>
    </xf>
    <xf numFmtId="0" fontId="50" fillId="40" borderId="0" xfId="0" applyFont="1" applyFill="1" applyAlignment="1">
      <alignment horizontal="right"/>
    </xf>
    <xf numFmtId="0" fontId="104" fillId="0" borderId="0" xfId="100" applyProtection="1"/>
    <xf numFmtId="0" fontId="37" fillId="0" borderId="63" xfId="0" applyFont="1" applyBorder="1" applyAlignment="1">
      <alignment horizontal="center" vertical="justify"/>
    </xf>
    <xf numFmtId="11" fontId="37" fillId="0" borderId="22" xfId="0" applyNumberFormat="1" applyFont="1" applyBorder="1" applyAlignment="1">
      <alignment horizontal="center" vertical="justify"/>
    </xf>
    <xf numFmtId="171" fontId="37" fillId="0" borderId="55" xfId="109" applyNumberFormat="1" applyFont="1" applyBorder="1" applyAlignment="1" applyProtection="1">
      <alignment horizontal="center" vertical="justify"/>
    </xf>
    <xf numFmtId="9" fontId="100" fillId="0" borderId="4" xfId="238" applyFont="1" applyBorder="1" applyProtection="1"/>
    <xf numFmtId="172" fontId="0" fillId="0" borderId="4" xfId="0" applyNumberFormat="1" applyBorder="1"/>
    <xf numFmtId="2" fontId="0" fillId="0" borderId="4" xfId="0" applyNumberFormat="1" applyBorder="1" applyAlignment="1">
      <alignment horizontal="center" vertical="justify"/>
    </xf>
    <xf numFmtId="177" fontId="49" fillId="0" borderId="4" xfId="109" applyNumberFormat="1" applyFill="1" applyBorder="1" applyProtection="1"/>
    <xf numFmtId="11" fontId="0" fillId="0" borderId="4" xfId="0" applyNumberFormat="1" applyBorder="1"/>
    <xf numFmtId="11" fontId="0" fillId="0" borderId="4" xfId="0" applyNumberFormat="1" applyBorder="1" applyAlignment="1">
      <alignment horizontal="center" vertical="justify"/>
    </xf>
    <xf numFmtId="2" fontId="0" fillId="0" borderId="4" xfId="0" applyNumberFormat="1" applyBorder="1" applyAlignment="1">
      <alignment vertical="justify"/>
    </xf>
    <xf numFmtId="182" fontId="0" fillId="0" borderId="4" xfId="0" applyNumberFormat="1" applyBorder="1"/>
    <xf numFmtId="173" fontId="49" fillId="0" borderId="4" xfId="109" applyNumberFormat="1" applyFill="1" applyBorder="1" applyProtection="1"/>
    <xf numFmtId="0" fontId="0" fillId="0" borderId="4" xfId="0" applyBorder="1" applyAlignment="1">
      <alignment horizontal="center" vertical="justify"/>
    </xf>
    <xf numFmtId="2" fontId="0" fillId="0" borderId="4" xfId="0" applyNumberFormat="1" applyBorder="1" applyAlignment="1">
      <alignment horizontal="center" vertical="justify" wrapText="1"/>
    </xf>
    <xf numFmtId="0" fontId="0" fillId="0" borderId="4" xfId="0" applyBorder="1" applyAlignment="1">
      <alignment wrapText="1"/>
    </xf>
    <xf numFmtId="2" fontId="0" fillId="0" borderId="4" xfId="0" applyNumberFormat="1" applyBorder="1" applyAlignment="1">
      <alignment vertical="justify" wrapText="1"/>
    </xf>
    <xf numFmtId="189" fontId="0" fillId="0" borderId="4" xfId="0" applyNumberFormat="1" applyBorder="1"/>
    <xf numFmtId="9" fontId="100" fillId="0" borderId="0" xfId="238" applyFont="1" applyProtection="1"/>
    <xf numFmtId="164" fontId="0" fillId="0" borderId="4" xfId="0" applyNumberFormat="1" applyBorder="1"/>
    <xf numFmtId="0" fontId="0" fillId="0" borderId="0" xfId="0" applyAlignment="1">
      <alignment horizontal="center"/>
    </xf>
    <xf numFmtId="0" fontId="8" fillId="0" borderId="71" xfId="0" applyFont="1" applyBorder="1"/>
    <xf numFmtId="0" fontId="123" fillId="42" borderId="0" xfId="0" applyFont="1" applyFill="1"/>
    <xf numFmtId="0" fontId="124" fillId="42" borderId="0" xfId="0" applyFont="1" applyFill="1"/>
    <xf numFmtId="0" fontId="125" fillId="43" borderId="0" xfId="0" applyFont="1" applyFill="1" applyAlignment="1">
      <alignment horizontal="center" vertical="center" wrapText="1"/>
    </xf>
    <xf numFmtId="2" fontId="125" fillId="43" borderId="0" xfId="0" applyNumberFormat="1" applyFont="1" applyFill="1" applyAlignment="1">
      <alignment horizontal="center" vertical="center" wrapText="1"/>
    </xf>
    <xf numFmtId="0" fontId="126" fillId="0" borderId="0" xfId="0" applyFont="1" applyAlignment="1">
      <alignment vertical="top" wrapText="1"/>
    </xf>
    <xf numFmtId="0" fontId="126" fillId="0" borderId="0" xfId="0" applyFont="1"/>
    <xf numFmtId="171" fontId="126" fillId="0" borderId="0" xfId="109" applyNumberFormat="1" applyFont="1" applyProtection="1"/>
    <xf numFmtId="9" fontId="0" fillId="0" borderId="0" xfId="0" applyNumberFormat="1"/>
    <xf numFmtId="9" fontId="49" fillId="24" borderId="0" xfId="238" applyFill="1" applyProtection="1"/>
    <xf numFmtId="0" fontId="101" fillId="0" borderId="13" xfId="0" applyFont="1" applyBorder="1"/>
    <xf numFmtId="0" fontId="101" fillId="0" borderId="13" xfId="0" applyFont="1" applyBorder="1" applyAlignment="1">
      <alignment horizontal="center"/>
    </xf>
    <xf numFmtId="0" fontId="101" fillId="0" borderId="13" xfId="0" applyFont="1" applyBorder="1" applyAlignment="1">
      <alignment horizontal="left"/>
    </xf>
    <xf numFmtId="9" fontId="112" fillId="0" borderId="13" xfId="238" applyFont="1" applyFill="1" applyBorder="1" applyProtection="1"/>
    <xf numFmtId="0" fontId="101" fillId="0" borderId="0" xfId="0" applyFont="1" applyAlignment="1">
      <alignment horizontal="center"/>
    </xf>
    <xf numFmtId="0" fontId="101" fillId="0" borderId="0" xfId="0" applyFont="1" applyAlignment="1">
      <alignment horizontal="left"/>
    </xf>
    <xf numFmtId="9" fontId="112" fillId="0" borderId="0" xfId="238" applyFont="1" applyFill="1" applyBorder="1" applyProtection="1"/>
    <xf numFmtId="0" fontId="127" fillId="0" borderId="0" xfId="0" applyFont="1"/>
    <xf numFmtId="9" fontId="112" fillId="0" borderId="0" xfId="238" applyFont="1" applyFill="1" applyProtection="1"/>
    <xf numFmtId="0" fontId="0" fillId="24" borderId="73" xfId="0" applyFill="1" applyBorder="1"/>
    <xf numFmtId="0" fontId="0" fillId="24" borderId="4" xfId="0" applyFill="1" applyBorder="1"/>
    <xf numFmtId="9" fontId="49" fillId="24" borderId="74" xfId="238" applyFill="1" applyBorder="1" applyProtection="1"/>
    <xf numFmtId="9" fontId="49" fillId="24" borderId="73" xfId="238" applyFill="1" applyBorder="1" applyProtection="1"/>
    <xf numFmtId="9" fontId="49" fillId="29" borderId="74" xfId="238" applyFill="1" applyBorder="1" applyProtection="1"/>
    <xf numFmtId="9" fontId="49" fillId="29" borderId="73" xfId="238" applyFill="1" applyBorder="1" applyProtection="1"/>
    <xf numFmtId="0" fontId="3" fillId="28" borderId="0" xfId="155" applyFill="1" applyAlignment="1">
      <alignment horizontal="center" vertical="center"/>
    </xf>
    <xf numFmtId="0" fontId="3" fillId="28" borderId="4" xfId="155" applyFill="1" applyBorder="1" applyAlignment="1">
      <alignment horizontal="center" vertical="center"/>
    </xf>
    <xf numFmtId="0" fontId="0" fillId="30" borderId="0" xfId="0" applyFill="1" applyAlignment="1">
      <alignment vertical="justify"/>
    </xf>
    <xf numFmtId="0" fontId="0" fillId="30" borderId="0" xfId="0" applyFill="1" applyAlignment="1">
      <alignment horizontal="center" vertical="justify"/>
    </xf>
    <xf numFmtId="0" fontId="0" fillId="30" borderId="0" xfId="0" applyFill="1" applyAlignment="1">
      <alignment horizontal="left" vertical="justify"/>
    </xf>
    <xf numFmtId="9" fontId="49" fillId="30" borderId="0" xfId="238" applyFill="1" applyProtection="1"/>
    <xf numFmtId="0" fontId="0" fillId="0" borderId="75" xfId="0" applyBorder="1" applyAlignment="1">
      <alignment vertical="justify"/>
    </xf>
    <xf numFmtId="0" fontId="0" fillId="0" borderId="76" xfId="0" applyBorder="1" applyAlignment="1">
      <alignment horizontal="center" vertical="justify"/>
    </xf>
    <xf numFmtId="0" fontId="0" fillId="0" borderId="21" xfId="0" applyBorder="1" applyAlignment="1">
      <alignment vertical="justify"/>
    </xf>
    <xf numFmtId="0" fontId="0" fillId="0" borderId="21" xfId="0" applyBorder="1" applyAlignment="1">
      <alignment horizontal="left" vertical="justify"/>
    </xf>
    <xf numFmtId="9" fontId="49" fillId="0" borderId="77" xfId="238" applyBorder="1" applyProtection="1"/>
    <xf numFmtId="0" fontId="0" fillId="0" borderId="4" xfId="0" applyBorder="1" applyAlignment="1">
      <alignment horizontal="left" vertical="justify"/>
    </xf>
    <xf numFmtId="9" fontId="49" fillId="0" borderId="78" xfId="238" applyBorder="1" applyProtection="1"/>
    <xf numFmtId="0" fontId="0" fillId="0" borderId="4" xfId="0" applyBorder="1" applyAlignment="1">
      <alignment vertical="justify"/>
    </xf>
    <xf numFmtId="9" fontId="49" fillId="24" borderId="0" xfId="238" applyFill="1" applyAlignment="1" applyProtection="1">
      <alignment horizontal="center" vertical="justify"/>
    </xf>
    <xf numFmtId="9" fontId="49" fillId="24" borderId="0" xfId="238" applyFill="1" applyAlignment="1" applyProtection="1">
      <alignment horizontal="left" vertical="justify"/>
    </xf>
    <xf numFmtId="0" fontId="0" fillId="0" borderId="13" xfId="0" applyBorder="1"/>
    <xf numFmtId="9" fontId="71" fillId="0" borderId="0" xfId="238" applyFont="1" applyFill="1" applyAlignment="1" applyProtection="1">
      <alignment vertical="justify"/>
    </xf>
    <xf numFmtId="0" fontId="43" fillId="26" borderId="0" xfId="158" applyFont="1" applyFill="1" applyAlignment="1">
      <alignment vertical="top" wrapText="1"/>
    </xf>
    <xf numFmtId="0" fontId="42" fillId="27" borderId="0" xfId="162" applyFont="1" applyFill="1" applyAlignment="1">
      <alignment horizontal="right" vertical="center"/>
    </xf>
    <xf numFmtId="0" fontId="42" fillId="27" borderId="0" xfId="162" applyFont="1" applyFill="1" applyAlignment="1">
      <alignment vertical="center"/>
    </xf>
    <xf numFmtId="0" fontId="42" fillId="27" borderId="0" xfId="162" applyFont="1" applyFill="1" applyAlignment="1">
      <alignment vertical="center" wrapText="1"/>
    </xf>
    <xf numFmtId="0" fontId="80" fillId="0" borderId="0" xfId="162" applyFont="1" applyAlignment="1">
      <alignment horizontal="center" vertical="center"/>
    </xf>
    <xf numFmtId="0" fontId="3" fillId="19" borderId="0" xfId="162" applyFill="1" applyAlignment="1">
      <alignment horizontal="right"/>
    </xf>
    <xf numFmtId="0" fontId="2" fillId="19" borderId="0" xfId="162" applyFont="1" applyFill="1"/>
    <xf numFmtId="0" fontId="3" fillId="19" borderId="0" xfId="162" applyFill="1"/>
    <xf numFmtId="0" fontId="2" fillId="19" borderId="0" xfId="162" applyFont="1" applyFill="1" applyAlignment="1">
      <alignment horizontal="left"/>
    </xf>
    <xf numFmtId="188" fontId="0" fillId="24" borderId="0" xfId="0" applyNumberFormat="1" applyFill="1"/>
    <xf numFmtId="0" fontId="85" fillId="0" borderId="0" xfId="0" applyFont="1"/>
    <xf numFmtId="168" fontId="49" fillId="24" borderId="0" xfId="109" applyFill="1" applyProtection="1"/>
    <xf numFmtId="187" fontId="0" fillId="0" borderId="0" xfId="0" applyNumberFormat="1"/>
    <xf numFmtId="187" fontId="0" fillId="24" borderId="0" xfId="0" applyNumberFormat="1" applyFill="1"/>
    <xf numFmtId="187" fontId="76" fillId="0" borderId="0" xfId="0" applyNumberFormat="1" applyFont="1"/>
    <xf numFmtId="0" fontId="0" fillId="24" borderId="44" xfId="0" applyFill="1" applyBorder="1"/>
    <xf numFmtId="0" fontId="0" fillId="24" borderId="85" xfId="0" applyFill="1" applyBorder="1"/>
    <xf numFmtId="0" fontId="110" fillId="0" borderId="4" xfId="0" applyFont="1" applyBorder="1"/>
    <xf numFmtId="0" fontId="129" fillId="0" borderId="0" xfId="0" applyFont="1" applyAlignment="1">
      <alignment horizontal="left" indent="3"/>
    </xf>
    <xf numFmtId="0" fontId="130" fillId="0" borderId="86" xfId="0" applyFont="1" applyBorder="1" applyAlignment="1">
      <alignment horizontal="left" indent="2"/>
    </xf>
    <xf numFmtId="0" fontId="0" fillId="0" borderId="86" xfId="0" applyBorder="1" applyAlignment="1">
      <alignment horizontal="left" indent="2"/>
    </xf>
    <xf numFmtId="0" fontId="0" fillId="0" borderId="0" xfId="0" applyAlignment="1">
      <alignment horizontal="left" indent="2"/>
    </xf>
    <xf numFmtId="0" fontId="110" fillId="0" borderId="0" xfId="0" applyFont="1" applyAlignment="1">
      <alignment vertical="justify"/>
    </xf>
    <xf numFmtId="177" fontId="100" fillId="0" borderId="0" xfId="109" applyNumberFormat="1" applyFont="1" applyProtection="1"/>
    <xf numFmtId="0" fontId="110" fillId="0" borderId="4" xfId="0" applyFont="1" applyBorder="1" applyAlignment="1">
      <alignment vertical="justify"/>
    </xf>
    <xf numFmtId="0" fontId="110" fillId="0" borderId="4" xfId="0" applyFont="1" applyBorder="1" applyAlignment="1">
      <alignment horizontal="center"/>
    </xf>
    <xf numFmtId="0" fontId="110" fillId="0" borderId="4" xfId="0" applyFont="1" applyBorder="1" applyAlignment="1">
      <alignment horizontal="center" vertical="justify"/>
    </xf>
    <xf numFmtId="177" fontId="100" fillId="0" borderId="4" xfId="109" applyNumberFormat="1" applyFont="1" applyBorder="1" applyProtection="1"/>
    <xf numFmtId="171" fontId="100" fillId="0" borderId="0" xfId="109" applyNumberFormat="1" applyFont="1" applyProtection="1"/>
    <xf numFmtId="0" fontId="131" fillId="0" borderId="0" xfId="0" applyFont="1"/>
    <xf numFmtId="177" fontId="100" fillId="0" borderId="1" xfId="109" applyNumberFormat="1" applyFont="1" applyBorder="1" applyProtection="1"/>
    <xf numFmtId="177" fontId="100" fillId="0" borderId="87" xfId="109" applyNumberFormat="1" applyFont="1" applyBorder="1" applyProtection="1"/>
    <xf numFmtId="9" fontId="100" fillId="0" borderId="21" xfId="238" applyFont="1" applyBorder="1" applyProtection="1"/>
    <xf numFmtId="0" fontId="132" fillId="0" borderId="0" xfId="0" applyFont="1" applyAlignment="1">
      <alignment horizontal="center" vertical="center" wrapText="1"/>
    </xf>
    <xf numFmtId="0" fontId="133" fillId="0" borderId="0" xfId="0" applyFont="1" applyAlignment="1">
      <alignment wrapText="1"/>
    </xf>
    <xf numFmtId="0" fontId="0" fillId="0" borderId="0" xfId="0" applyAlignment="1">
      <alignment wrapText="1"/>
    </xf>
    <xf numFmtId="0" fontId="1" fillId="31" borderId="0" xfId="228" applyFont="1" applyFill="1" applyAlignment="1">
      <alignment horizontal="center"/>
    </xf>
    <xf numFmtId="0" fontId="1" fillId="0" borderId="0" xfId="228" applyFont="1" applyAlignment="1">
      <alignment wrapText="1"/>
    </xf>
    <xf numFmtId="0" fontId="59" fillId="44" borderId="4" xfId="0" applyFont="1" applyFill="1" applyBorder="1" applyAlignment="1">
      <alignment horizontal="center"/>
    </xf>
    <xf numFmtId="0" fontId="83" fillId="45" borderId="80" xfId="0" applyFont="1" applyFill="1" applyBorder="1" applyAlignment="1" applyProtection="1">
      <alignment horizontal="center" vertical="justify"/>
      <protection locked="0"/>
    </xf>
    <xf numFmtId="0" fontId="83" fillId="45" borderId="81" xfId="0" applyFont="1" applyFill="1" applyBorder="1" applyAlignment="1" applyProtection="1">
      <alignment horizontal="center" vertical="justify"/>
      <protection locked="0"/>
    </xf>
    <xf numFmtId="0" fontId="0" fillId="39" borderId="0" xfId="0" applyFill="1" applyProtection="1">
      <protection locked="0"/>
    </xf>
    <xf numFmtId="0" fontId="72" fillId="39" borderId="121" xfId="0" applyFont="1" applyFill="1" applyBorder="1" applyAlignment="1" applyProtection="1">
      <alignment horizontal="left"/>
      <protection locked="0"/>
    </xf>
    <xf numFmtId="0" fontId="0" fillId="39" borderId="122" xfId="0" applyFill="1" applyBorder="1" applyProtection="1">
      <protection locked="0"/>
    </xf>
    <xf numFmtId="0" fontId="0" fillId="39" borderId="123" xfId="0" applyFill="1" applyBorder="1" applyProtection="1">
      <protection locked="0"/>
    </xf>
    <xf numFmtId="0" fontId="0" fillId="39" borderId="124" xfId="0" applyFill="1" applyBorder="1" applyProtection="1">
      <protection locked="0"/>
    </xf>
    <xf numFmtId="0" fontId="0" fillId="39" borderId="125" xfId="0" applyFill="1" applyBorder="1" applyProtection="1">
      <protection locked="0"/>
    </xf>
    <xf numFmtId="0" fontId="83" fillId="39" borderId="124" xfId="0" applyFont="1" applyFill="1" applyBorder="1" applyAlignment="1" applyProtection="1">
      <alignment horizontal="left"/>
      <protection locked="0"/>
    </xf>
    <xf numFmtId="0" fontId="0" fillId="39" borderId="126" xfId="0" applyFill="1" applyBorder="1" applyProtection="1">
      <protection locked="0"/>
    </xf>
    <xf numFmtId="0" fontId="0" fillId="39" borderId="127" xfId="0" applyFill="1" applyBorder="1" applyProtection="1">
      <protection locked="0"/>
    </xf>
    <xf numFmtId="0" fontId="0" fillId="39" borderId="128" xfId="0" applyFill="1" applyBorder="1" applyProtection="1">
      <protection locked="0"/>
    </xf>
    <xf numFmtId="0" fontId="101" fillId="39" borderId="0" xfId="0" applyFont="1" applyFill="1" applyProtection="1">
      <protection locked="0"/>
    </xf>
    <xf numFmtId="0" fontId="66" fillId="39" borderId="0" xfId="0" applyFont="1" applyFill="1" applyAlignment="1" applyProtection="1">
      <alignment horizontal="left" vertical="justify"/>
      <protection locked="0"/>
    </xf>
    <xf numFmtId="0" fontId="66" fillId="39" borderId="0" xfId="0" applyFont="1" applyFill="1" applyAlignment="1" applyProtection="1">
      <alignment vertical="justify"/>
      <protection locked="0"/>
    </xf>
    <xf numFmtId="0" fontId="135" fillId="0" borderId="0" xfId="0" applyFont="1"/>
    <xf numFmtId="0" fontId="136" fillId="39" borderId="13" xfId="0" applyFont="1" applyFill="1" applyBorder="1" applyAlignment="1" applyProtection="1">
      <alignment horizontal="right" vertical="center"/>
      <protection locked="0"/>
    </xf>
    <xf numFmtId="0" fontId="104" fillId="39" borderId="13" xfId="100" applyFill="1" applyBorder="1" applyAlignment="1" applyProtection="1">
      <alignment horizontal="center" vertical="center"/>
      <protection locked="0"/>
    </xf>
    <xf numFmtId="0" fontId="137" fillId="39" borderId="13" xfId="100" applyFont="1" applyFill="1" applyBorder="1" applyAlignment="1" applyProtection="1">
      <alignment horizontal="center" vertical="center"/>
      <protection locked="0"/>
    </xf>
    <xf numFmtId="0" fontId="104" fillId="39" borderId="13" xfId="100" applyFill="1" applyBorder="1" applyAlignment="1" applyProtection="1">
      <alignment horizontal="left" vertical="center"/>
      <protection locked="0"/>
    </xf>
    <xf numFmtId="0" fontId="115" fillId="39" borderId="13" xfId="0" applyFont="1" applyFill="1" applyBorder="1" applyAlignment="1" applyProtection="1">
      <alignment vertical="center"/>
      <protection locked="0"/>
    </xf>
    <xf numFmtId="0" fontId="138" fillId="39" borderId="0" xfId="0" applyFont="1" applyFill="1" applyAlignment="1" applyProtection="1">
      <alignment horizontal="right" vertical="center"/>
      <protection locked="0"/>
    </xf>
    <xf numFmtId="0" fontId="108" fillId="39" borderId="0" xfId="0" applyFont="1" applyFill="1" applyAlignment="1" applyProtection="1">
      <alignment horizontal="center" vertical="center"/>
      <protection locked="0"/>
    </xf>
    <xf numFmtId="0" fontId="114" fillId="39" borderId="0" xfId="0" applyFont="1" applyFill="1" applyAlignment="1" applyProtection="1">
      <alignment vertical="center"/>
      <protection locked="0"/>
    </xf>
    <xf numFmtId="0" fontId="56" fillId="23" borderId="0" xfId="0" applyFont="1" applyFill="1" applyProtection="1">
      <protection locked="0"/>
    </xf>
    <xf numFmtId="0" fontId="0" fillId="46" borderId="0" xfId="0" applyFill="1"/>
    <xf numFmtId="177" fontId="36" fillId="0" borderId="17" xfId="112" applyNumberFormat="1" applyFont="1" applyFill="1" applyBorder="1" applyProtection="1">
      <protection hidden="1"/>
    </xf>
    <xf numFmtId="171" fontId="68" fillId="0" borderId="17" xfId="112" applyNumberFormat="1" applyFont="1" applyFill="1" applyBorder="1" applyProtection="1">
      <protection hidden="1"/>
    </xf>
    <xf numFmtId="0" fontId="0" fillId="23" borderId="0" xfId="0" applyFill="1" applyProtection="1">
      <protection locked="0"/>
    </xf>
    <xf numFmtId="0" fontId="0" fillId="23" borderId="0" xfId="0" applyFill="1" applyAlignment="1" applyProtection="1">
      <alignment horizontal="center"/>
      <protection locked="0"/>
    </xf>
    <xf numFmtId="0" fontId="136" fillId="39" borderId="0" xfId="0" applyFont="1" applyFill="1" applyAlignment="1" applyProtection="1">
      <alignment horizontal="left" vertical="center"/>
      <protection locked="0"/>
    </xf>
    <xf numFmtId="0" fontId="137" fillId="39" borderId="0" xfId="100" applyFont="1" applyFill="1" applyBorder="1" applyAlignment="1" applyProtection="1">
      <alignment horizontal="left" vertical="center"/>
      <protection locked="0"/>
    </xf>
    <xf numFmtId="0" fontId="104" fillId="39" borderId="0" xfId="100" applyFill="1" applyBorder="1" applyAlignment="1" applyProtection="1">
      <alignment horizontal="left" vertical="center"/>
      <protection locked="0"/>
    </xf>
    <xf numFmtId="0" fontId="104" fillId="39" borderId="0" xfId="100" applyFill="1" applyBorder="1" applyAlignment="1" applyProtection="1">
      <alignment horizontal="left" vertical="top"/>
      <protection locked="0"/>
    </xf>
    <xf numFmtId="0" fontId="104" fillId="39" borderId="0" xfId="100" applyFill="1" applyProtection="1">
      <protection locked="0"/>
    </xf>
    <xf numFmtId="0" fontId="112" fillId="39" borderId="0" xfId="0" applyFont="1" applyFill="1" applyAlignment="1" applyProtection="1">
      <alignment horizontal="center"/>
      <protection locked="0"/>
    </xf>
    <xf numFmtId="0" fontId="112" fillId="23" borderId="0" xfId="0" applyFont="1" applyFill="1" applyProtection="1">
      <protection locked="0"/>
    </xf>
    <xf numFmtId="0" fontId="121" fillId="39" borderId="0" xfId="0" applyFont="1" applyFill="1" applyProtection="1">
      <protection locked="0"/>
    </xf>
    <xf numFmtId="0" fontId="116" fillId="39" borderId="0" xfId="0" applyFont="1" applyFill="1" applyAlignment="1" applyProtection="1">
      <alignment horizontal="justify" vertical="center" wrapText="1"/>
      <protection locked="0"/>
    </xf>
    <xf numFmtId="171" fontId="112" fillId="39" borderId="0" xfId="109" applyNumberFormat="1" applyFont="1" applyFill="1" applyProtection="1">
      <protection locked="0"/>
    </xf>
    <xf numFmtId="171" fontId="66" fillId="39" borderId="0" xfId="109" applyNumberFormat="1" applyFont="1" applyFill="1" applyProtection="1">
      <protection locked="0"/>
    </xf>
    <xf numFmtId="0" fontId="116" fillId="39" borderId="0" xfId="0" applyFont="1" applyFill="1" applyAlignment="1" applyProtection="1">
      <alignment horizontal="left" vertical="center" wrapText="1"/>
      <protection locked="0"/>
    </xf>
    <xf numFmtId="0" fontId="116" fillId="39" borderId="0" xfId="156" applyFont="1" applyFill="1" applyAlignment="1" applyProtection="1">
      <alignment vertical="justify"/>
      <protection locked="0"/>
    </xf>
    <xf numFmtId="9" fontId="60" fillId="39" borderId="0" xfId="238" applyFont="1" applyFill="1" applyBorder="1" applyProtection="1">
      <protection locked="0"/>
    </xf>
    <xf numFmtId="0" fontId="73" fillId="39" borderId="0" xfId="0" applyFont="1" applyFill="1" applyProtection="1">
      <protection locked="0"/>
    </xf>
    <xf numFmtId="9" fontId="59" fillId="39" borderId="4" xfId="238" applyFont="1" applyFill="1" applyBorder="1" applyProtection="1">
      <protection locked="0"/>
    </xf>
    <xf numFmtId="9" fontId="58" fillId="39" borderId="4" xfId="238" applyFont="1" applyFill="1" applyBorder="1" applyProtection="1">
      <protection locked="0"/>
    </xf>
    <xf numFmtId="9" fontId="59" fillId="39" borderId="0" xfId="0" applyNumberFormat="1" applyFont="1" applyFill="1" applyProtection="1">
      <protection locked="0"/>
    </xf>
    <xf numFmtId="0" fontId="50" fillId="39" borderId="0" xfId="0" applyFont="1" applyFill="1" applyProtection="1">
      <protection locked="0"/>
    </xf>
    <xf numFmtId="9" fontId="50" fillId="39" borderId="0" xfId="0" applyNumberFormat="1" applyFont="1" applyFill="1" applyProtection="1">
      <protection locked="0"/>
    </xf>
    <xf numFmtId="9" fontId="120" fillId="39" borderId="0" xfId="0" applyNumberFormat="1" applyFont="1" applyFill="1" applyProtection="1">
      <protection locked="0"/>
    </xf>
    <xf numFmtId="0" fontId="120" fillId="39" borderId="0" xfId="0" applyFont="1" applyFill="1" applyProtection="1">
      <protection locked="0"/>
    </xf>
    <xf numFmtId="9" fontId="120" fillId="39" borderId="0" xfId="238" applyFont="1" applyFill="1" applyBorder="1" applyProtection="1">
      <protection locked="0"/>
    </xf>
    <xf numFmtId="9" fontId="49" fillId="39" borderId="0" xfId="238" applyFill="1" applyProtection="1">
      <protection locked="0"/>
    </xf>
    <xf numFmtId="9" fontId="49" fillId="39" borderId="91" xfId="238" applyFill="1" applyBorder="1" applyAlignment="1" applyProtection="1">
      <alignment horizontal="center" vertical="justify"/>
      <protection locked="0"/>
    </xf>
    <xf numFmtId="9" fontId="49" fillId="39" borderId="74" xfId="238" applyFill="1" applyBorder="1" applyAlignment="1" applyProtection="1">
      <alignment horizontal="center" vertical="justify"/>
      <protection locked="0"/>
    </xf>
    <xf numFmtId="9" fontId="49" fillId="39" borderId="74" xfId="238" applyFill="1" applyBorder="1" applyAlignment="1" applyProtection="1">
      <alignment horizontal="center"/>
      <protection locked="0"/>
    </xf>
    <xf numFmtId="0" fontId="0" fillId="39" borderId="0" xfId="0" applyFill="1" applyAlignment="1" applyProtection="1">
      <alignment vertical="justify"/>
      <protection locked="0"/>
    </xf>
    <xf numFmtId="0" fontId="0" fillId="39" borderId="0" xfId="0" applyFill="1" applyAlignment="1" applyProtection="1">
      <alignment horizontal="center" vertical="justify"/>
      <protection locked="0"/>
    </xf>
    <xf numFmtId="9" fontId="49" fillId="39" borderId="0" xfId="238" applyFill="1" applyAlignment="1" applyProtection="1">
      <alignment horizontal="center" vertical="justify"/>
      <protection locked="0"/>
    </xf>
    <xf numFmtId="9" fontId="49" fillId="39" borderId="0" xfId="238" applyFill="1" applyAlignment="1" applyProtection="1">
      <alignment horizontal="left" vertical="justify"/>
      <protection locked="0"/>
    </xf>
    <xf numFmtId="0" fontId="0" fillId="39" borderId="0" xfId="0" applyFill="1" applyAlignment="1" applyProtection="1">
      <alignment horizontal="left" vertical="justify"/>
      <protection locked="0"/>
    </xf>
    <xf numFmtId="0" fontId="43" fillId="23" borderId="0" xfId="158" applyFont="1" applyFill="1" applyAlignment="1" applyProtection="1">
      <alignment horizontal="left" vertical="top" wrapText="1"/>
      <protection locked="0"/>
    </xf>
    <xf numFmtId="0" fontId="43" fillId="23" borderId="0" xfId="158" applyFont="1" applyFill="1" applyAlignment="1" applyProtection="1">
      <alignment vertical="top" wrapText="1"/>
      <protection locked="0"/>
    </xf>
    <xf numFmtId="0" fontId="3" fillId="23" borderId="0" xfId="158" applyFill="1" applyProtection="1">
      <protection locked="0"/>
    </xf>
    <xf numFmtId="0" fontId="79" fillId="23" borderId="0" xfId="162" applyFont="1" applyFill="1" applyAlignment="1" applyProtection="1">
      <alignment horizontal="left" vertical="center"/>
      <protection locked="0"/>
    </xf>
    <xf numFmtId="0" fontId="44" fillId="23" borderId="0" xfId="162" applyFont="1" applyFill="1" applyAlignment="1" applyProtection="1">
      <alignment horizontal="right" vertical="center"/>
      <protection locked="0"/>
    </xf>
    <xf numFmtId="0" fontId="42" fillId="23" borderId="0" xfId="162" applyFont="1" applyFill="1" applyAlignment="1" applyProtection="1">
      <alignment vertical="center"/>
      <protection locked="0"/>
    </xf>
    <xf numFmtId="0" fontId="44" fillId="23" borderId="0" xfId="162" applyFont="1" applyFill="1" applyAlignment="1" applyProtection="1">
      <alignment vertical="center"/>
      <protection locked="0"/>
    </xf>
    <xf numFmtId="0" fontId="42" fillId="23" borderId="0" xfId="162" applyFont="1" applyFill="1" applyAlignment="1" applyProtection="1">
      <alignment vertical="center" wrapText="1"/>
      <protection locked="0"/>
    </xf>
    <xf numFmtId="0" fontId="3" fillId="23" borderId="0" xfId="162" applyFill="1" applyAlignment="1" applyProtection="1">
      <alignment vertical="center"/>
      <protection locked="0"/>
    </xf>
    <xf numFmtId="0" fontId="3" fillId="23" borderId="0" xfId="162" applyFill="1" applyProtection="1">
      <protection locked="0"/>
    </xf>
    <xf numFmtId="0" fontId="3" fillId="23" borderId="0" xfId="162" applyFill="1" applyAlignment="1" applyProtection="1">
      <alignment horizontal="right" vertical="center"/>
      <protection locked="0"/>
    </xf>
    <xf numFmtId="0" fontId="82" fillId="23" borderId="0" xfId="162" applyFont="1" applyFill="1" applyProtection="1">
      <protection locked="0"/>
    </xf>
    <xf numFmtId="0" fontId="45" fillId="23" borderId="0" xfId="162" applyFont="1" applyFill="1" applyAlignment="1" applyProtection="1">
      <alignment vertical="center"/>
      <protection locked="0"/>
    </xf>
    <xf numFmtId="0" fontId="3" fillId="23" borderId="0" xfId="162" applyFill="1" applyAlignment="1" applyProtection="1">
      <alignment horizontal="right"/>
      <protection locked="0"/>
    </xf>
    <xf numFmtId="0" fontId="3" fillId="23" borderId="0" xfId="162" applyFill="1" applyAlignment="1" applyProtection="1">
      <alignment horizontal="left" indent="2"/>
      <protection locked="0"/>
    </xf>
    <xf numFmtId="0" fontId="3" fillId="23" borderId="0" xfId="162" applyFill="1" applyAlignment="1" applyProtection="1">
      <alignment horizontal="left" vertical="top" indent="2"/>
      <protection locked="0"/>
    </xf>
    <xf numFmtId="0" fontId="2" fillId="23" borderId="0" xfId="162" applyFont="1" applyFill="1" applyAlignment="1" applyProtection="1">
      <alignment vertical="center"/>
      <protection locked="0"/>
    </xf>
    <xf numFmtId="0" fontId="3" fillId="23" borderId="0" xfId="158" applyFill="1" applyAlignment="1" applyProtection="1">
      <alignment horizontal="right"/>
      <protection locked="0"/>
    </xf>
    <xf numFmtId="0" fontId="3" fillId="23" borderId="0" xfId="158" applyFill="1" applyAlignment="1" applyProtection="1">
      <alignment horizontal="left" indent="2"/>
      <protection locked="0"/>
    </xf>
    <xf numFmtId="0" fontId="81" fillId="23" borderId="0" xfId="162" applyFont="1" applyFill="1" applyAlignment="1" applyProtection="1">
      <alignment wrapText="1"/>
      <protection locked="0"/>
    </xf>
    <xf numFmtId="0" fontId="46" fillId="23" borderId="0" xfId="162" applyFont="1" applyFill="1" applyProtection="1">
      <protection locked="0"/>
    </xf>
    <xf numFmtId="0" fontId="79" fillId="23" borderId="0" xfId="162" applyFont="1" applyFill="1" applyAlignment="1" applyProtection="1">
      <alignment horizontal="center"/>
      <protection locked="0"/>
    </xf>
    <xf numFmtId="0" fontId="47" fillId="23" borderId="0" xfId="162" applyFont="1" applyFill="1" applyProtection="1">
      <protection locked="0"/>
    </xf>
    <xf numFmtId="0" fontId="50" fillId="23" borderId="13" xfId="0" applyFont="1" applyFill="1" applyBorder="1" applyAlignment="1" applyProtection="1">
      <alignment horizontal="center"/>
      <protection locked="0"/>
    </xf>
    <xf numFmtId="0" fontId="50" fillId="23" borderId="0" xfId="0" applyFont="1" applyFill="1" applyAlignment="1" applyProtection="1">
      <alignment horizontal="center"/>
      <protection locked="0"/>
    </xf>
    <xf numFmtId="0" fontId="0" fillId="39" borderId="13" xfId="0" applyFill="1" applyBorder="1" applyProtection="1">
      <protection locked="0"/>
    </xf>
    <xf numFmtId="0" fontId="66" fillId="23" borderId="0" xfId="0" applyFont="1" applyFill="1" applyAlignment="1" applyProtection="1">
      <alignment horizontal="center"/>
      <protection locked="0"/>
    </xf>
    <xf numFmtId="168" fontId="49" fillId="23" borderId="78" xfId="109" applyFill="1" applyBorder="1" applyAlignment="1" applyProtection="1">
      <alignment horizontal="center"/>
      <protection locked="0"/>
    </xf>
    <xf numFmtId="168" fontId="49" fillId="23" borderId="4" xfId="109" applyFill="1" applyBorder="1" applyAlignment="1" applyProtection="1">
      <alignment horizontal="center"/>
      <protection locked="0"/>
    </xf>
    <xf numFmtId="168" fontId="49" fillId="23" borderId="72" xfId="109" applyFill="1" applyBorder="1" applyAlignment="1" applyProtection="1">
      <alignment horizontal="center"/>
      <protection locked="0"/>
    </xf>
    <xf numFmtId="0" fontId="0" fillId="23" borderId="78" xfId="0" applyFill="1" applyBorder="1" applyAlignment="1" applyProtection="1">
      <alignment horizontal="center"/>
      <protection locked="0"/>
    </xf>
    <xf numFmtId="0" fontId="0" fillId="23" borderId="4" xfId="0" applyFill="1" applyBorder="1" applyAlignment="1" applyProtection="1">
      <alignment horizontal="center"/>
      <protection locked="0"/>
    </xf>
    <xf numFmtId="0" fontId="0" fillId="23" borderId="72" xfId="0" applyFill="1" applyBorder="1" applyAlignment="1" applyProtection="1">
      <alignment horizontal="center"/>
      <protection locked="0"/>
    </xf>
    <xf numFmtId="188" fontId="0" fillId="23" borderId="78" xfId="0" applyNumberFormat="1" applyFill="1" applyBorder="1" applyAlignment="1" applyProtection="1">
      <alignment horizontal="center"/>
      <protection locked="0"/>
    </xf>
    <xf numFmtId="188" fontId="0" fillId="23" borderId="4" xfId="0" applyNumberFormat="1" applyFill="1" applyBorder="1" applyAlignment="1" applyProtection="1">
      <alignment horizontal="center"/>
      <protection locked="0"/>
    </xf>
    <xf numFmtId="188" fontId="0" fillId="23" borderId="72" xfId="0" applyNumberFormat="1" applyFill="1" applyBorder="1" applyAlignment="1" applyProtection="1">
      <alignment horizontal="center"/>
      <protection locked="0"/>
    </xf>
    <xf numFmtId="0" fontId="74" fillId="23" borderId="0" xfId="0" applyFont="1" applyFill="1" applyProtection="1">
      <protection locked="0"/>
    </xf>
    <xf numFmtId="168" fontId="49" fillId="23" borderId="0" xfId="109" applyFill="1" applyProtection="1">
      <protection locked="0"/>
    </xf>
    <xf numFmtId="0" fontId="8" fillId="23" borderId="4" xfId="0" applyFont="1" applyFill="1" applyBorder="1" applyAlignment="1" applyProtection="1">
      <alignment horizontal="center"/>
      <protection locked="0"/>
    </xf>
    <xf numFmtId="0" fontId="30" fillId="23" borderId="4" xfId="0" applyFont="1" applyFill="1" applyBorder="1" applyProtection="1">
      <protection locked="0"/>
    </xf>
    <xf numFmtId="187" fontId="0" fillId="23" borderId="4" xfId="0" applyNumberFormat="1" applyFill="1" applyBorder="1" applyProtection="1">
      <protection locked="0"/>
    </xf>
    <xf numFmtId="0" fontId="76" fillId="23" borderId="4" xfId="0" applyFont="1" applyFill="1" applyBorder="1" applyAlignment="1" applyProtection="1">
      <alignment horizontal="right"/>
      <protection locked="0"/>
    </xf>
    <xf numFmtId="187" fontId="76" fillId="23" borderId="4" xfId="0" applyNumberFormat="1" applyFont="1" applyFill="1" applyBorder="1" applyProtection="1">
      <protection locked="0"/>
    </xf>
    <xf numFmtId="0" fontId="108" fillId="39" borderId="0" xfId="100" applyFont="1" applyFill="1" applyBorder="1" applyAlignment="1" applyProtection="1">
      <alignment horizontal="left" vertical="center"/>
      <protection locked="0"/>
    </xf>
    <xf numFmtId="0" fontId="0" fillId="23" borderId="92" xfId="0" applyFill="1" applyBorder="1" applyProtection="1">
      <protection locked="0"/>
    </xf>
    <xf numFmtId="0" fontId="140" fillId="39" borderId="13" xfId="0" applyFont="1" applyFill="1" applyBorder="1" applyAlignment="1" applyProtection="1">
      <alignment horizontal="right" vertical="center"/>
      <protection locked="0"/>
    </xf>
    <xf numFmtId="0" fontId="141" fillId="39" borderId="13" xfId="100" applyFont="1" applyFill="1" applyBorder="1" applyAlignment="1" applyProtection="1">
      <alignment horizontal="center" vertical="center"/>
      <protection locked="0"/>
    </xf>
    <xf numFmtId="0" fontId="142" fillId="39" borderId="13" xfId="100" applyFont="1" applyFill="1" applyBorder="1" applyAlignment="1" applyProtection="1">
      <alignment horizontal="center" vertical="center"/>
      <protection locked="0"/>
    </xf>
    <xf numFmtId="0" fontId="141" fillId="39" borderId="13" xfId="100" applyFont="1" applyFill="1" applyBorder="1" applyAlignment="1" applyProtection="1">
      <alignment horizontal="left" vertical="center"/>
      <protection locked="0"/>
    </xf>
    <xf numFmtId="0" fontId="143" fillId="39" borderId="13" xfId="0" applyFont="1" applyFill="1" applyBorder="1" applyAlignment="1" applyProtection="1">
      <alignment vertical="center"/>
      <protection locked="0"/>
    </xf>
    <xf numFmtId="0" fontId="143" fillId="39" borderId="0" xfId="0" applyFont="1" applyFill="1" applyAlignment="1" applyProtection="1">
      <alignment vertical="center"/>
      <protection locked="0"/>
    </xf>
    <xf numFmtId="0" fontId="143" fillId="41" borderId="0" xfId="0" applyFont="1" applyFill="1" applyAlignment="1" applyProtection="1">
      <alignment vertical="center"/>
      <protection locked="0"/>
    </xf>
    <xf numFmtId="0" fontId="143" fillId="24" borderId="0" xfId="0" applyFont="1" applyFill="1" applyAlignment="1">
      <alignment vertical="center"/>
    </xf>
    <xf numFmtId="0" fontId="143" fillId="0" borderId="0" xfId="0" applyFont="1"/>
    <xf numFmtId="0" fontId="144" fillId="0" borderId="0" xfId="0" applyFont="1"/>
    <xf numFmtId="0" fontId="140" fillId="0" borderId="0" xfId="0" applyFont="1"/>
    <xf numFmtId="0" fontId="145" fillId="0" borderId="4" xfId="0" applyFont="1" applyBorder="1" applyAlignment="1">
      <alignment horizontal="center" vertical="center" wrapText="1"/>
    </xf>
    <xf numFmtId="0" fontId="145" fillId="0" borderId="4" xfId="0" applyFont="1" applyBorder="1" applyAlignment="1">
      <alignment horizontal="left" vertical="center" indent="3"/>
    </xf>
    <xf numFmtId="173" fontId="147" fillId="0" borderId="4" xfId="109" applyNumberFormat="1" applyFont="1" applyBorder="1" applyAlignment="1" applyProtection="1">
      <alignment horizontal="center" vertical="center"/>
    </xf>
    <xf numFmtId="0" fontId="146" fillId="0" borderId="4" xfId="0" applyFont="1" applyBorder="1" applyAlignment="1">
      <alignment horizontal="left" indent="2"/>
    </xf>
    <xf numFmtId="168" fontId="143" fillId="0" borderId="4" xfId="109" applyFont="1" applyBorder="1" applyProtection="1"/>
    <xf numFmtId="0" fontId="143" fillId="0" borderId="4" xfId="0" applyFont="1" applyBorder="1"/>
    <xf numFmtId="0" fontId="146" fillId="0" borderId="0" xfId="0" applyFont="1"/>
    <xf numFmtId="0" fontId="148" fillId="0" borderId="0" xfId="0" applyFont="1" applyAlignment="1">
      <alignment horizontal="right"/>
    </xf>
    <xf numFmtId="0" fontId="145" fillId="0" borderId="4" xfId="0" applyFont="1" applyBorder="1" applyAlignment="1">
      <alignment horizontal="left" vertical="center" indent="2"/>
    </xf>
    <xf numFmtId="0" fontId="146" fillId="0" borderId="4" xfId="0" applyFont="1" applyBorder="1" applyAlignment="1">
      <alignment horizontal="left" indent="3"/>
    </xf>
    <xf numFmtId="171" fontId="143" fillId="0" borderId="4" xfId="109" applyNumberFormat="1" applyFont="1" applyBorder="1" applyProtection="1"/>
    <xf numFmtId="172" fontId="143" fillId="0" borderId="0" xfId="0" applyNumberFormat="1" applyFont="1"/>
    <xf numFmtId="0" fontId="147" fillId="0" borderId="0" xfId="0" applyFont="1" applyAlignment="1">
      <alignment horizontal="justify" vertical="center"/>
    </xf>
    <xf numFmtId="173" fontId="143" fillId="0" borderId="4" xfId="109" applyNumberFormat="1" applyFont="1" applyBorder="1" applyProtection="1"/>
    <xf numFmtId="0" fontId="146" fillId="0" borderId="4" xfId="0" applyFont="1" applyBorder="1"/>
    <xf numFmtId="177" fontId="145" fillId="0" borderId="4" xfId="109" applyNumberFormat="1" applyFont="1" applyBorder="1" applyAlignment="1" applyProtection="1">
      <alignment horizontal="justify" vertical="center"/>
    </xf>
    <xf numFmtId="177" fontId="143" fillId="0" borderId="4" xfId="109" applyNumberFormat="1" applyFont="1" applyBorder="1" applyProtection="1"/>
    <xf numFmtId="0" fontId="146" fillId="0" borderId="4" xfId="158" applyFont="1" applyBorder="1" applyAlignment="1">
      <alignment horizontal="left" indent="3"/>
    </xf>
    <xf numFmtId="173" fontId="113" fillId="0" borderId="4" xfId="109" applyNumberFormat="1" applyFont="1" applyBorder="1" applyAlignment="1" applyProtection="1">
      <alignment vertical="center"/>
    </xf>
    <xf numFmtId="0" fontId="140" fillId="0" borderId="4" xfId="0" applyFont="1" applyBorder="1" applyAlignment="1">
      <alignment horizontal="left" indent="3"/>
    </xf>
    <xf numFmtId="0" fontId="149" fillId="0" borderId="0" xfId="0" applyFont="1" applyAlignment="1">
      <alignment horizontal="justify" vertical="center"/>
    </xf>
    <xf numFmtId="0" fontId="147" fillId="0" borderId="0" xfId="0" applyFont="1" applyAlignment="1">
      <alignment vertical="center" wrapText="1"/>
    </xf>
    <xf numFmtId="0" fontId="150" fillId="39" borderId="0" xfId="0" applyFont="1" applyFill="1" applyAlignment="1" applyProtection="1">
      <alignment horizontal="left" vertical="center"/>
      <protection locked="0"/>
    </xf>
    <xf numFmtId="0" fontId="8" fillId="0" borderId="4" xfId="0" applyFont="1" applyBorder="1"/>
    <xf numFmtId="0" fontId="151" fillId="0" borderId="0" xfId="0" applyFont="1"/>
    <xf numFmtId="0" fontId="67" fillId="39" borderId="0" xfId="0" applyFont="1" applyFill="1" applyAlignment="1">
      <alignment horizontal="center"/>
    </xf>
    <xf numFmtId="0" fontId="116" fillId="47" borderId="47" xfId="155" applyFont="1" applyFill="1" applyBorder="1" applyAlignment="1">
      <alignment horizontal="center" wrapText="1"/>
    </xf>
    <xf numFmtId="9" fontId="116" fillId="47" borderId="47" xfId="238" applyFont="1" applyFill="1" applyBorder="1" applyAlignment="1" applyProtection="1">
      <alignment horizontal="center" wrapText="1"/>
    </xf>
    <xf numFmtId="0" fontId="116" fillId="47" borderId="56" xfId="0" applyFont="1" applyFill="1" applyBorder="1" applyAlignment="1">
      <alignment horizontal="center"/>
    </xf>
    <xf numFmtId="0" fontId="116" fillId="47" borderId="47" xfId="155" applyFont="1" applyFill="1" applyBorder="1" applyAlignment="1">
      <alignment horizontal="center"/>
    </xf>
    <xf numFmtId="0" fontId="116" fillId="47" borderId="93" xfId="155" applyFont="1" applyFill="1" applyBorder="1" applyAlignment="1">
      <alignment horizontal="center" wrapText="1"/>
    </xf>
    <xf numFmtId="0" fontId="116" fillId="47" borderId="68" xfId="155" applyFont="1" applyFill="1" applyBorder="1" applyAlignment="1">
      <alignment horizontal="center" wrapText="1"/>
    </xf>
    <xf numFmtId="0" fontId="69" fillId="48" borderId="0" xfId="0" applyFont="1" applyFill="1" applyProtection="1">
      <protection locked="0"/>
    </xf>
    <xf numFmtId="0" fontId="0" fillId="48" borderId="4" xfId="0" applyFill="1" applyBorder="1" applyAlignment="1" applyProtection="1">
      <alignment vertical="justify"/>
      <protection locked="0"/>
    </xf>
    <xf numFmtId="0" fontId="0" fillId="48" borderId="4" xfId="0" applyFill="1" applyBorder="1" applyProtection="1">
      <protection locked="0"/>
    </xf>
    <xf numFmtId="0" fontId="0" fillId="48" borderId="21" xfId="0" applyFill="1" applyBorder="1" applyAlignment="1" applyProtection="1">
      <alignment vertical="justify"/>
      <protection locked="0"/>
    </xf>
    <xf numFmtId="0" fontId="0" fillId="48" borderId="21" xfId="0" applyFill="1" applyBorder="1" applyProtection="1">
      <protection locked="0"/>
    </xf>
    <xf numFmtId="171" fontId="100" fillId="0" borderId="4" xfId="109" applyNumberFormat="1" applyFont="1" applyFill="1" applyBorder="1" applyProtection="1"/>
    <xf numFmtId="0" fontId="104" fillId="0" borderId="0" xfId="100" applyAlignment="1" applyProtection="1">
      <alignment horizontal="right"/>
    </xf>
    <xf numFmtId="0" fontId="115" fillId="0" borderId="0" xfId="100" applyFont="1" applyFill="1" applyAlignment="1" applyProtection="1">
      <alignment vertical="top"/>
    </xf>
    <xf numFmtId="0" fontId="110" fillId="0" borderId="0" xfId="0" applyFont="1" applyAlignment="1">
      <alignment horizontal="right"/>
    </xf>
    <xf numFmtId="0" fontId="59" fillId="49" borderId="4" xfId="0" applyFont="1" applyFill="1" applyBorder="1" applyAlignment="1" applyProtection="1">
      <alignment horizontal="center"/>
      <protection locked="0"/>
    </xf>
    <xf numFmtId="0" fontId="158" fillId="0" borderId="0" xfId="0" applyFont="1"/>
    <xf numFmtId="177" fontId="0" fillId="48" borderId="4" xfId="0" applyNumberFormat="1" applyFill="1" applyBorder="1" applyProtection="1">
      <protection locked="0"/>
    </xf>
    <xf numFmtId="186" fontId="112" fillId="0" borderId="0" xfId="109" applyNumberFormat="1" applyFont="1" applyProtection="1"/>
    <xf numFmtId="0" fontId="104" fillId="39" borderId="0" xfId="100" applyFill="1" applyProtection="1"/>
    <xf numFmtId="0" fontId="0" fillId="24" borderId="13" xfId="0" applyFill="1" applyBorder="1"/>
    <xf numFmtId="0" fontId="89" fillId="23" borderId="0" xfId="0" applyFont="1" applyFill="1" applyAlignment="1" applyProtection="1">
      <alignment horizontal="center" vertical="justify"/>
      <protection locked="0"/>
    </xf>
    <xf numFmtId="0" fontId="159" fillId="23" borderId="0" xfId="0" applyFont="1" applyFill="1" applyAlignment="1">
      <alignment vertical="justify"/>
    </xf>
    <xf numFmtId="0" fontId="111" fillId="47" borderId="0" xfId="0" applyFont="1" applyFill="1" applyAlignment="1" applyProtection="1">
      <alignment horizontal="center" vertical="center"/>
      <protection locked="0"/>
    </xf>
    <xf numFmtId="0" fontId="0" fillId="48" borderId="0" xfId="0" applyFill="1" applyProtection="1">
      <protection locked="0"/>
    </xf>
    <xf numFmtId="0" fontId="114" fillId="23" borderId="0" xfId="0" applyFont="1" applyFill="1" applyProtection="1">
      <protection locked="0"/>
    </xf>
    <xf numFmtId="0" fontId="160" fillId="23" borderId="0" xfId="0" applyFont="1" applyFill="1" applyProtection="1">
      <protection locked="0"/>
    </xf>
    <xf numFmtId="0" fontId="0" fillId="23" borderId="0" xfId="0" applyFill="1" applyAlignment="1" applyProtection="1">
      <alignment horizontal="left"/>
      <protection locked="0"/>
    </xf>
    <xf numFmtId="0" fontId="0" fillId="39" borderId="0" xfId="0" applyFill="1" applyAlignment="1">
      <alignment horizontal="left"/>
    </xf>
    <xf numFmtId="0" fontId="0" fillId="24" borderId="0" xfId="0" applyFill="1" applyAlignment="1">
      <alignment horizontal="left"/>
    </xf>
    <xf numFmtId="0" fontId="160" fillId="23" borderId="0" xfId="0" applyFont="1" applyFill="1" applyAlignment="1" applyProtection="1">
      <alignment vertical="justify"/>
      <protection locked="0"/>
    </xf>
    <xf numFmtId="0" fontId="162" fillId="48" borderId="0" xfId="0" applyFont="1" applyFill="1" applyAlignment="1" applyProtection="1">
      <alignment horizontal="center" vertical="center"/>
      <protection locked="0"/>
    </xf>
    <xf numFmtId="0" fontId="114" fillId="48" borderId="0" xfId="0" applyFont="1" applyFill="1" applyProtection="1">
      <protection locked="0"/>
    </xf>
    <xf numFmtId="0" fontId="161" fillId="48" borderId="0" xfId="0" applyFont="1" applyFill="1" applyAlignment="1" applyProtection="1">
      <alignment horizontal="right" vertical="justify"/>
      <protection locked="0"/>
    </xf>
    <xf numFmtId="0" fontId="161" fillId="48" borderId="0" xfId="0" applyFont="1" applyFill="1" applyAlignment="1" applyProtection="1">
      <alignment vertical="justify"/>
      <protection locked="0"/>
    </xf>
    <xf numFmtId="0" fontId="159" fillId="48" borderId="0" xfId="0" applyFont="1" applyFill="1" applyAlignment="1">
      <alignment vertical="justify"/>
    </xf>
    <xf numFmtId="0" fontId="161" fillId="48" borderId="0" xfId="0" applyFont="1" applyFill="1" applyAlignment="1" applyProtection="1">
      <alignment horizontal="left" vertical="justify" indent="2"/>
      <protection locked="0"/>
    </xf>
    <xf numFmtId="0" fontId="160" fillId="48" borderId="0" xfId="0" applyFont="1" applyFill="1" applyProtection="1">
      <protection locked="0"/>
    </xf>
    <xf numFmtId="0" fontId="0" fillId="48" borderId="0" xfId="0" applyFill="1"/>
    <xf numFmtId="0" fontId="163" fillId="51" borderId="0" xfId="100" applyFont="1" applyFill="1" applyBorder="1" applyAlignment="1" applyProtection="1">
      <alignment horizontal="center" vertical="center"/>
      <protection locked="0"/>
    </xf>
    <xf numFmtId="0" fontId="163" fillId="47" borderId="0" xfId="100" applyFont="1" applyFill="1" applyBorder="1" applyAlignment="1" applyProtection="1">
      <alignment horizontal="center" vertical="center"/>
      <protection locked="0"/>
    </xf>
    <xf numFmtId="0" fontId="163" fillId="52" borderId="0" xfId="100" applyFont="1" applyFill="1" applyBorder="1" applyAlignment="1" applyProtection="1">
      <alignment horizontal="center" vertical="center"/>
      <protection locked="0"/>
    </xf>
    <xf numFmtId="0" fontId="164" fillId="48" borderId="0" xfId="100" applyFont="1" applyFill="1" applyBorder="1" applyAlignment="1" applyProtection="1">
      <alignment horizontal="center" vertical="center"/>
      <protection locked="0"/>
    </xf>
    <xf numFmtId="0" fontId="165" fillId="23" borderId="0" xfId="0" applyFont="1" applyFill="1" applyAlignment="1" applyProtection="1">
      <alignment horizontal="left" vertical="justify"/>
      <protection locked="0"/>
    </xf>
    <xf numFmtId="0" fontId="161" fillId="39" borderId="0" xfId="0" applyFont="1" applyFill="1"/>
    <xf numFmtId="0" fontId="161" fillId="39" borderId="0" xfId="0" applyFont="1" applyFill="1" applyProtection="1">
      <protection locked="0"/>
    </xf>
    <xf numFmtId="0" fontId="166" fillId="23" borderId="0" xfId="0" applyFont="1" applyFill="1" applyProtection="1">
      <protection locked="0"/>
    </xf>
    <xf numFmtId="0" fontId="167" fillId="0" borderId="0" xfId="0" applyFont="1"/>
    <xf numFmtId="9" fontId="143" fillId="0" borderId="4" xfId="238" applyFont="1" applyBorder="1" applyProtection="1"/>
    <xf numFmtId="0" fontId="140" fillId="0" borderId="4" xfId="0" applyFont="1" applyBorder="1" applyAlignment="1">
      <alignment horizontal="center"/>
    </xf>
    <xf numFmtId="0" fontId="140" fillId="0" borderId="72" xfId="0" applyFont="1" applyBorder="1"/>
    <xf numFmtId="0" fontId="140" fillId="0" borderId="4" xfId="0" applyFont="1" applyBorder="1" applyAlignment="1">
      <alignment horizontal="center" vertical="justify" wrapText="1"/>
    </xf>
    <xf numFmtId="0" fontId="115" fillId="39" borderId="0" xfId="0" applyFont="1" applyFill="1" applyAlignment="1" applyProtection="1">
      <alignment vertical="center"/>
      <protection locked="0"/>
    </xf>
    <xf numFmtId="0" fontId="115" fillId="0" borderId="0" xfId="0" applyFont="1" applyAlignment="1">
      <alignment vertical="center"/>
    </xf>
    <xf numFmtId="0" fontId="114" fillId="0" borderId="0" xfId="0" applyFont="1" applyAlignment="1">
      <alignment vertical="center"/>
    </xf>
    <xf numFmtId="9" fontId="146" fillId="0" borderId="0" xfId="256" applyFont="1" applyFill="1" applyProtection="1">
      <protection hidden="1"/>
    </xf>
    <xf numFmtId="177" fontId="146" fillId="0" borderId="0" xfId="112" applyNumberFormat="1" applyFont="1" applyFill="1" applyProtection="1">
      <protection hidden="1"/>
    </xf>
    <xf numFmtId="0" fontId="113" fillId="0" borderId="0" xfId="0" applyFont="1"/>
    <xf numFmtId="0" fontId="140" fillId="0" borderId="0" xfId="0" applyFont="1" applyAlignment="1">
      <alignment vertical="justify"/>
    </xf>
    <xf numFmtId="0" fontId="140" fillId="0" borderId="4" xfId="0" applyFont="1" applyBorder="1"/>
    <xf numFmtId="0" fontId="108" fillId="41" borderId="0" xfId="0" applyFont="1" applyFill="1" applyAlignment="1" applyProtection="1">
      <alignment horizontal="center" vertical="center"/>
      <protection locked="0"/>
    </xf>
    <xf numFmtId="0" fontId="0" fillId="41" borderId="0" xfId="0" applyFill="1" applyProtection="1">
      <protection locked="0"/>
    </xf>
    <xf numFmtId="0" fontId="110" fillId="41" borderId="0" xfId="0" applyFont="1" applyFill="1" applyProtection="1">
      <protection locked="0"/>
    </xf>
    <xf numFmtId="0" fontId="30" fillId="41" borderId="4" xfId="0" applyFont="1" applyFill="1" applyBorder="1" applyAlignment="1">
      <alignment horizontal="center"/>
    </xf>
    <xf numFmtId="0" fontId="73" fillId="41" borderId="4" xfId="0" applyFont="1" applyFill="1" applyBorder="1" applyAlignment="1">
      <alignment horizontal="center"/>
    </xf>
    <xf numFmtId="9" fontId="30" fillId="41" borderId="4" xfId="238" applyFont="1" applyFill="1" applyBorder="1" applyProtection="1"/>
    <xf numFmtId="171" fontId="73" fillId="41" borderId="4" xfId="0" applyNumberFormat="1" applyFont="1" applyFill="1" applyBorder="1"/>
    <xf numFmtId="171" fontId="73" fillId="41" borderId="4" xfId="109" applyNumberFormat="1" applyFont="1" applyFill="1" applyBorder="1" applyProtection="1"/>
    <xf numFmtId="9" fontId="100" fillId="41" borderId="0" xfId="238" applyFont="1" applyFill="1" applyBorder="1" applyProtection="1">
      <protection locked="0"/>
    </xf>
    <xf numFmtId="9" fontId="50" fillId="41" borderId="0" xfId="0" applyNumberFormat="1" applyFont="1" applyFill="1" applyProtection="1">
      <protection locked="0"/>
    </xf>
    <xf numFmtId="0" fontId="50" fillId="41" borderId="0" xfId="0" applyFont="1" applyFill="1" applyProtection="1">
      <protection locked="0"/>
    </xf>
    <xf numFmtId="0" fontId="120" fillId="41" borderId="0" xfId="0" applyFont="1" applyFill="1" applyProtection="1">
      <protection locked="0"/>
    </xf>
    <xf numFmtId="0" fontId="115" fillId="41" borderId="0" xfId="0" applyFont="1" applyFill="1" applyAlignment="1" applyProtection="1">
      <alignment vertical="center"/>
      <protection locked="0"/>
    </xf>
    <xf numFmtId="0" fontId="115" fillId="41" borderId="0" xfId="0" applyFont="1" applyFill="1" applyAlignment="1">
      <alignment vertical="center"/>
    </xf>
    <xf numFmtId="0" fontId="114" fillId="41" borderId="0" xfId="0" applyFont="1" applyFill="1" applyAlignment="1" applyProtection="1">
      <alignment vertical="center"/>
      <protection locked="0"/>
    </xf>
    <xf numFmtId="0" fontId="114" fillId="41" borderId="0" xfId="0" applyFont="1" applyFill="1" applyAlignment="1">
      <alignment vertical="center"/>
    </xf>
    <xf numFmtId="0" fontId="30" fillId="41" borderId="0" xfId="0" applyFont="1" applyFill="1" applyAlignment="1">
      <alignment horizontal="left"/>
    </xf>
    <xf numFmtId="0" fontId="146" fillId="41" borderId="4" xfId="0" applyFont="1" applyFill="1" applyBorder="1" applyAlignment="1">
      <alignment horizontal="center"/>
    </xf>
    <xf numFmtId="0" fontId="140" fillId="41" borderId="4" xfId="0" applyFont="1" applyFill="1" applyBorder="1"/>
    <xf numFmtId="9" fontId="143" fillId="41" borderId="4" xfId="238" applyFont="1" applyFill="1" applyBorder="1" applyProtection="1"/>
    <xf numFmtId="0" fontId="143" fillId="41" borderId="4" xfId="0" applyFont="1" applyFill="1" applyBorder="1"/>
    <xf numFmtId="9" fontId="146" fillId="41" borderId="4" xfId="238" applyFont="1" applyFill="1" applyBorder="1" applyProtection="1">
      <protection hidden="1"/>
    </xf>
    <xf numFmtId="49" fontId="113" fillId="41" borderId="4" xfId="238" applyNumberFormat="1" applyFont="1" applyFill="1" applyBorder="1" applyProtection="1"/>
    <xf numFmtId="0" fontId="113" fillId="41" borderId="4" xfId="0" applyFont="1" applyFill="1" applyBorder="1"/>
    <xf numFmtId="0" fontId="143" fillId="41" borderId="0" xfId="0" applyFont="1" applyFill="1"/>
    <xf numFmtId="49" fontId="113" fillId="41" borderId="0" xfId="238" applyNumberFormat="1" applyFont="1" applyFill="1" applyBorder="1" applyProtection="1"/>
    <xf numFmtId="9" fontId="143" fillId="41" borderId="0" xfId="238" applyFont="1" applyFill="1" applyBorder="1" applyProtection="1"/>
    <xf numFmtId="0" fontId="101" fillId="41" borderId="0" xfId="0" applyFont="1" applyFill="1"/>
    <xf numFmtId="171" fontId="168" fillId="41" borderId="0" xfId="109" applyNumberFormat="1" applyFont="1" applyFill="1" applyProtection="1"/>
    <xf numFmtId="0" fontId="168" fillId="41" borderId="0" xfId="0" applyFont="1" applyFill="1"/>
    <xf numFmtId="0" fontId="30" fillId="41" borderId="0" xfId="0" applyFont="1" applyFill="1"/>
    <xf numFmtId="0" fontId="30" fillId="41" borderId="4" xfId="0" applyFont="1" applyFill="1" applyBorder="1"/>
    <xf numFmtId="0" fontId="112" fillId="41" borderId="0" xfId="0" applyFont="1" applyFill="1"/>
    <xf numFmtId="9" fontId="146" fillId="41" borderId="0" xfId="238" applyFont="1" applyFill="1" applyBorder="1" applyProtection="1">
      <protection hidden="1"/>
    </xf>
    <xf numFmtId="171" fontId="143" fillId="41" borderId="0" xfId="109" applyNumberFormat="1" applyFont="1" applyFill="1" applyBorder="1" applyProtection="1"/>
    <xf numFmtId="0" fontId="113" fillId="41" borderId="0" xfId="0" applyFont="1" applyFill="1"/>
    <xf numFmtId="0" fontId="146" fillId="41" borderId="0" xfId="0" applyFont="1" applyFill="1" applyAlignment="1">
      <alignment horizontal="center"/>
    </xf>
    <xf numFmtId="0" fontId="0" fillId="41" borderId="4" xfId="0" applyFill="1" applyBorder="1"/>
    <xf numFmtId="9" fontId="112" fillId="41" borderId="0" xfId="238" applyFont="1" applyFill="1" applyProtection="1"/>
    <xf numFmtId="0" fontId="112" fillId="39" borderId="0" xfId="0" applyFont="1" applyFill="1"/>
    <xf numFmtId="9" fontId="112" fillId="39" borderId="0" xfId="238" applyFont="1" applyFill="1" applyProtection="1"/>
    <xf numFmtId="0" fontId="101" fillId="39" borderId="0" xfId="0" applyFont="1" applyFill="1"/>
    <xf numFmtId="9" fontId="113" fillId="41" borderId="4" xfId="238" applyFont="1" applyFill="1" applyBorder="1" applyProtection="1"/>
    <xf numFmtId="9" fontId="113" fillId="41" borderId="4" xfId="256" applyFont="1" applyFill="1" applyBorder="1" applyProtection="1"/>
    <xf numFmtId="9" fontId="113" fillId="41" borderId="0" xfId="256" applyFont="1" applyFill="1" applyBorder="1" applyProtection="1"/>
    <xf numFmtId="9" fontId="113" fillId="41" borderId="0" xfId="238" applyFont="1" applyFill="1" applyBorder="1" applyProtection="1"/>
    <xf numFmtId="9" fontId="112" fillId="41" borderId="0" xfId="256" applyFont="1" applyFill="1" applyBorder="1" applyProtection="1"/>
    <xf numFmtId="171" fontId="113" fillId="41" borderId="4" xfId="0" applyNumberFormat="1" applyFont="1" applyFill="1" applyBorder="1"/>
    <xf numFmtId="171" fontId="113" fillId="41" borderId="0" xfId="0" applyNumberFormat="1" applyFont="1" applyFill="1"/>
    <xf numFmtId="9" fontId="112" fillId="41" borderId="0" xfId="256" applyFont="1" applyFill="1" applyProtection="1"/>
    <xf numFmtId="0" fontId="36" fillId="41" borderId="0" xfId="0" applyFont="1" applyFill="1"/>
    <xf numFmtId="0" fontId="112" fillId="41" borderId="0" xfId="0" applyFont="1" applyFill="1" applyAlignment="1" applyProtection="1">
      <alignment horizontal="center"/>
      <protection locked="0"/>
    </xf>
    <xf numFmtId="0" fontId="146" fillId="41" borderId="4" xfId="0" applyFont="1" applyFill="1" applyBorder="1" applyAlignment="1" applyProtection="1">
      <alignment horizontal="center"/>
      <protection locked="0"/>
    </xf>
    <xf numFmtId="0" fontId="112" fillId="41" borderId="0" xfId="0" applyFont="1" applyFill="1" applyProtection="1">
      <protection locked="0"/>
    </xf>
    <xf numFmtId="0" fontId="113" fillId="41" borderId="4" xfId="0" applyFont="1" applyFill="1" applyBorder="1" applyProtection="1">
      <protection locked="0"/>
    </xf>
    <xf numFmtId="9" fontId="113" fillId="41" borderId="4" xfId="0" applyNumberFormat="1" applyFont="1" applyFill="1" applyBorder="1"/>
    <xf numFmtId="0" fontId="113" fillId="41" borderId="0" xfId="0" applyFont="1" applyFill="1" applyProtection="1">
      <protection locked="0"/>
    </xf>
    <xf numFmtId="9" fontId="169" fillId="41" borderId="0" xfId="0" applyNumberFormat="1" applyFont="1" applyFill="1"/>
    <xf numFmtId="9" fontId="146" fillId="41" borderId="4" xfId="238" applyFont="1" applyFill="1" applyBorder="1" applyAlignment="1" applyProtection="1">
      <alignment vertical="justify"/>
    </xf>
    <xf numFmtId="0" fontId="146" fillId="41" borderId="4" xfId="0" applyFont="1" applyFill="1" applyBorder="1" applyAlignment="1" applyProtection="1">
      <alignment vertical="justify"/>
      <protection locked="0"/>
    </xf>
    <xf numFmtId="0" fontId="146" fillId="41" borderId="4" xfId="0" applyFont="1" applyFill="1" applyBorder="1" applyAlignment="1">
      <alignment vertical="justify"/>
    </xf>
    <xf numFmtId="9" fontId="146" fillId="41" borderId="0" xfId="0" applyNumberFormat="1" applyFont="1" applyFill="1"/>
    <xf numFmtId="0" fontId="146" fillId="41" borderId="0" xfId="0" applyFont="1" applyFill="1"/>
    <xf numFmtId="0" fontId="120" fillId="41" borderId="0" xfId="0" applyFont="1" applyFill="1"/>
    <xf numFmtId="0" fontId="146" fillId="41" borderId="4" xfId="0" applyFont="1" applyFill="1" applyBorder="1" applyAlignment="1">
      <alignment horizontal="left"/>
    </xf>
    <xf numFmtId="177" fontId="113" fillId="41" borderId="4" xfId="109" applyNumberFormat="1" applyFont="1" applyFill="1" applyBorder="1" applyProtection="1"/>
    <xf numFmtId="0" fontId="146" fillId="41" borderId="4" xfId="0" applyFont="1" applyFill="1" applyBorder="1"/>
    <xf numFmtId="9" fontId="146" fillId="41" borderId="4" xfId="256" applyFont="1" applyFill="1" applyBorder="1" applyProtection="1">
      <protection hidden="1"/>
    </xf>
    <xf numFmtId="177" fontId="146" fillId="41" borderId="0" xfId="112" applyNumberFormat="1" applyFont="1" applyFill="1" applyProtection="1">
      <protection hidden="1"/>
    </xf>
    <xf numFmtId="9" fontId="146" fillId="41" borderId="0" xfId="256" applyFont="1" applyFill="1" applyProtection="1">
      <protection hidden="1"/>
    </xf>
    <xf numFmtId="171" fontId="146" fillId="41" borderId="4" xfId="112" applyNumberFormat="1" applyFont="1" applyFill="1" applyBorder="1" applyProtection="1">
      <protection hidden="1"/>
    </xf>
    <xf numFmtId="9" fontId="36" fillId="41" borderId="4" xfId="256" applyFont="1" applyFill="1" applyBorder="1" applyProtection="1">
      <protection hidden="1"/>
    </xf>
    <xf numFmtId="177" fontId="30" fillId="41" borderId="0" xfId="112" applyNumberFormat="1" applyFont="1" applyFill="1" applyProtection="1">
      <protection hidden="1"/>
    </xf>
    <xf numFmtId="9" fontId="30" fillId="41" borderId="4" xfId="256" applyFont="1" applyFill="1" applyBorder="1" applyProtection="1">
      <protection hidden="1"/>
    </xf>
    <xf numFmtId="177" fontId="30" fillId="41" borderId="4" xfId="112" applyNumberFormat="1" applyFont="1" applyFill="1" applyBorder="1" applyProtection="1">
      <protection hidden="1"/>
    </xf>
    <xf numFmtId="9" fontId="30" fillId="41" borderId="0" xfId="256" applyFont="1" applyFill="1" applyProtection="1">
      <protection hidden="1"/>
    </xf>
    <xf numFmtId="171" fontId="30" fillId="41" borderId="4" xfId="112" applyNumberFormat="1" applyFont="1" applyFill="1" applyBorder="1" applyProtection="1">
      <protection hidden="1"/>
    </xf>
    <xf numFmtId="9" fontId="50" fillId="41" borderId="0" xfId="238" applyFont="1" applyFill="1" applyProtection="1"/>
    <xf numFmtId="0" fontId="143" fillId="41" borderId="0" xfId="0" applyFont="1" applyFill="1" applyProtection="1">
      <protection locked="0"/>
    </xf>
    <xf numFmtId="0" fontId="140" fillId="41" borderId="4" xfId="0" applyFont="1" applyFill="1" applyBorder="1" applyAlignment="1" applyProtection="1">
      <alignment horizontal="left" vertical="justify"/>
      <protection locked="0"/>
    </xf>
    <xf numFmtId="171" fontId="149" fillId="41" borderId="0" xfId="109" applyNumberFormat="1" applyFont="1" applyFill="1" applyAlignment="1" applyProtection="1">
      <alignment horizontal="left" vertical="center"/>
    </xf>
    <xf numFmtId="171" fontId="170" fillId="41" borderId="0" xfId="109" applyNumberFormat="1" applyFont="1" applyFill="1" applyProtection="1"/>
    <xf numFmtId="0" fontId="140" fillId="41" borderId="4" xfId="0" applyFont="1" applyFill="1" applyBorder="1" applyProtection="1">
      <protection locked="0"/>
    </xf>
    <xf numFmtId="177" fontId="143" fillId="41" borderId="4" xfId="0" applyNumberFormat="1" applyFont="1" applyFill="1" applyBorder="1" applyAlignment="1" applyProtection="1">
      <alignment horizontal="left" vertical="justify"/>
      <protection locked="0"/>
    </xf>
    <xf numFmtId="0" fontId="143" fillId="41" borderId="4" xfId="0" applyFont="1" applyFill="1" applyBorder="1" applyAlignment="1" applyProtection="1">
      <alignment horizontal="left" vertical="justify"/>
      <protection locked="0"/>
    </xf>
    <xf numFmtId="186" fontId="143" fillId="41" borderId="4" xfId="0" applyNumberFormat="1" applyFont="1" applyFill="1" applyBorder="1" applyAlignment="1" applyProtection="1">
      <alignment horizontal="left" vertical="justify"/>
      <protection locked="0"/>
    </xf>
    <xf numFmtId="0" fontId="143" fillId="41" borderId="4" xfId="0" applyFont="1" applyFill="1" applyBorder="1" applyAlignment="1" applyProtection="1">
      <alignment horizontal="left"/>
      <protection locked="0"/>
    </xf>
    <xf numFmtId="0" fontId="140" fillId="41" borderId="4" xfId="0" applyFont="1" applyFill="1" applyBorder="1" applyAlignment="1" applyProtection="1">
      <alignment vertical="justify"/>
      <protection locked="0"/>
    </xf>
    <xf numFmtId="0" fontId="171" fillId="41" borderId="4" xfId="0" applyFont="1" applyFill="1" applyBorder="1" applyAlignment="1">
      <alignment horizontal="justify" vertical="center" wrapText="1"/>
    </xf>
    <xf numFmtId="171" fontId="171" fillId="41" borderId="4" xfId="0" applyNumberFormat="1" applyFont="1" applyFill="1" applyBorder="1" applyAlignment="1">
      <alignment horizontal="justify" vertical="center" wrapText="1"/>
    </xf>
    <xf numFmtId="9" fontId="149" fillId="41" borderId="4" xfId="238" applyFont="1" applyFill="1" applyBorder="1" applyAlignment="1" applyProtection="1">
      <alignment vertical="center"/>
    </xf>
    <xf numFmtId="172" fontId="172" fillId="41" borderId="0" xfId="156" applyNumberFormat="1" applyFont="1" applyFill="1"/>
    <xf numFmtId="0" fontId="146" fillId="41" borderId="4" xfId="0" applyFont="1" applyFill="1" applyBorder="1" applyAlignment="1">
      <alignment horizontal="justify" vertical="center" wrapText="1"/>
    </xf>
    <xf numFmtId="171" fontId="146" fillId="41" borderId="4" xfId="0" applyNumberFormat="1" applyFont="1" applyFill="1" applyBorder="1" applyAlignment="1">
      <alignment horizontal="justify" vertical="center" wrapText="1"/>
    </xf>
    <xf numFmtId="171" fontId="173" fillId="41" borderId="4" xfId="238" applyNumberFormat="1" applyFont="1" applyFill="1" applyBorder="1" applyAlignment="1" applyProtection="1">
      <alignment vertical="center"/>
    </xf>
    <xf numFmtId="171" fontId="174" fillId="41" borderId="0" xfId="109" applyNumberFormat="1" applyFont="1" applyFill="1" applyAlignment="1" applyProtection="1">
      <alignment horizontal="left" vertical="center"/>
    </xf>
    <xf numFmtId="171" fontId="175" fillId="41" borderId="0" xfId="109" applyNumberFormat="1" applyFont="1" applyFill="1" applyProtection="1"/>
    <xf numFmtId="172" fontId="175" fillId="41" borderId="0" xfId="156" applyNumberFormat="1" applyFont="1" applyFill="1"/>
    <xf numFmtId="177" fontId="113" fillId="41" borderId="4" xfId="0" applyNumberFormat="1" applyFont="1" applyFill="1" applyBorder="1"/>
    <xf numFmtId="0" fontId="171" fillId="41" borderId="0" xfId="0" applyFont="1" applyFill="1" applyAlignment="1">
      <alignment horizontal="justify" vertical="center" wrapText="1"/>
    </xf>
    <xf numFmtId="171" fontId="171" fillId="41" borderId="0" xfId="0" applyNumberFormat="1" applyFont="1" applyFill="1" applyAlignment="1">
      <alignment horizontal="justify" vertical="center" wrapText="1"/>
    </xf>
    <xf numFmtId="9" fontId="149" fillId="41" borderId="0" xfId="238" applyFont="1" applyFill="1" applyBorder="1" applyAlignment="1" applyProtection="1">
      <alignment vertical="center"/>
    </xf>
    <xf numFmtId="172" fontId="57" fillId="41" borderId="0" xfId="156" applyNumberFormat="1" applyFont="1" applyFill="1"/>
    <xf numFmtId="0" fontId="140" fillId="53" borderId="0" xfId="0" applyFont="1" applyFill="1"/>
    <xf numFmtId="0" fontId="143" fillId="53" borderId="0" xfId="0" applyFont="1" applyFill="1"/>
    <xf numFmtId="9" fontId="143" fillId="53" borderId="0" xfId="0" applyNumberFormat="1" applyFont="1" applyFill="1"/>
    <xf numFmtId="0" fontId="180" fillId="0" borderId="131" xfId="0" applyFont="1" applyBorder="1"/>
    <xf numFmtId="0" fontId="181" fillId="0" borderId="132" xfId="0" applyFont="1" applyBorder="1"/>
    <xf numFmtId="0" fontId="181" fillId="0" borderId="133" xfId="0" applyFont="1" applyBorder="1"/>
    <xf numFmtId="0" fontId="181" fillId="0" borderId="134" xfId="0" applyFont="1" applyBorder="1"/>
    <xf numFmtId="0" fontId="181" fillId="0" borderId="0" xfId="0" applyFont="1"/>
    <xf numFmtId="0" fontId="181" fillId="0" borderId="135" xfId="0" applyFont="1" applyBorder="1"/>
    <xf numFmtId="0" fontId="159" fillId="23" borderId="92" xfId="0" applyFont="1" applyFill="1" applyBorder="1" applyAlignment="1">
      <alignment vertical="justify"/>
    </xf>
    <xf numFmtId="0" fontId="0" fillId="0" borderId="75" xfId="0" applyBorder="1"/>
    <xf numFmtId="0" fontId="0" fillId="0" borderId="77" xfId="0" applyBorder="1"/>
    <xf numFmtId="0" fontId="133" fillId="0" borderId="0" xfId="0" applyFont="1"/>
    <xf numFmtId="0" fontId="133" fillId="0" borderId="141" xfId="0" applyFont="1" applyBorder="1"/>
    <xf numFmtId="0" fontId="183" fillId="56" borderId="0" xfId="0" applyFont="1" applyFill="1"/>
    <xf numFmtId="0" fontId="179" fillId="0" borderId="0" xfId="0" applyFont="1"/>
    <xf numFmtId="171" fontId="179" fillId="0" borderId="0" xfId="112" applyNumberFormat="1" applyFont="1"/>
    <xf numFmtId="176" fontId="179" fillId="0" borderId="0" xfId="241" applyNumberFormat="1" applyFont="1"/>
    <xf numFmtId="0" fontId="185" fillId="0" borderId="0" xfId="0" applyFont="1"/>
    <xf numFmtId="176" fontId="179" fillId="0" borderId="0" xfId="242" applyNumberFormat="1" applyFont="1"/>
    <xf numFmtId="0" fontId="133" fillId="39" borderId="0" xfId="0" applyFont="1" applyFill="1"/>
    <xf numFmtId="192" fontId="133" fillId="0" borderId="0" xfId="112" applyNumberFormat="1" applyFont="1" applyBorder="1"/>
    <xf numFmtId="171" fontId="179" fillId="0" borderId="0" xfId="112" applyNumberFormat="1" applyFont="1" applyBorder="1"/>
    <xf numFmtId="9" fontId="0" fillId="48" borderId="0" xfId="0" applyNumberFormat="1" applyFill="1"/>
    <xf numFmtId="0" fontId="30" fillId="0" borderId="18" xfId="0" applyFont="1" applyBorder="1" applyAlignment="1">
      <alignment horizontal="center"/>
    </xf>
    <xf numFmtId="0" fontId="30" fillId="39" borderId="0" xfId="0" applyFont="1" applyFill="1"/>
    <xf numFmtId="0" fontId="30" fillId="39" borderId="4" xfId="0" applyFont="1" applyFill="1" applyBorder="1"/>
    <xf numFmtId="9" fontId="189" fillId="39" borderId="4" xfId="238" applyFont="1" applyFill="1" applyBorder="1" applyProtection="1"/>
    <xf numFmtId="0" fontId="118" fillId="0" borderId="18" xfId="0" applyFont="1" applyBorder="1" applyAlignment="1">
      <alignment horizontal="center"/>
    </xf>
    <xf numFmtId="0" fontId="36" fillId="39" borderId="0" xfId="0" applyFont="1" applyFill="1" applyProtection="1">
      <protection locked="0"/>
    </xf>
    <xf numFmtId="0" fontId="30" fillId="23" borderId="4" xfId="0" applyFont="1" applyFill="1" applyBorder="1" applyAlignment="1" applyProtection="1">
      <alignment horizontal="center"/>
      <protection locked="0"/>
    </xf>
    <xf numFmtId="0" fontId="36" fillId="23" borderId="4" xfId="0" applyFont="1" applyFill="1" applyBorder="1" applyProtection="1">
      <protection locked="0"/>
    </xf>
    <xf numFmtId="0" fontId="36" fillId="49" borderId="4" xfId="0" applyFont="1" applyFill="1" applyBorder="1" applyProtection="1">
      <protection locked="0"/>
    </xf>
    <xf numFmtId="0" fontId="30" fillId="0" borderId="0" xfId="0" applyFont="1" applyAlignment="1" applyProtection="1">
      <alignment horizontal="center"/>
      <protection locked="0"/>
    </xf>
    <xf numFmtId="0" fontId="36" fillId="0" borderId="0" xfId="0" applyFont="1" applyProtection="1">
      <protection locked="0"/>
    </xf>
    <xf numFmtId="0" fontId="190" fillId="0" borderId="0" xfId="0" applyFont="1"/>
    <xf numFmtId="0" fontId="179" fillId="48" borderId="0" xfId="0" applyFont="1" applyFill="1" applyProtection="1">
      <protection locked="0"/>
    </xf>
    <xf numFmtId="177" fontId="179" fillId="48" borderId="0" xfId="112" applyNumberFormat="1" applyFont="1" applyFill="1" applyProtection="1">
      <protection locked="0"/>
    </xf>
    <xf numFmtId="0" fontId="179" fillId="0" borderId="0" xfId="0" applyFont="1" applyProtection="1">
      <protection locked="0"/>
    </xf>
    <xf numFmtId="177" fontId="179" fillId="0" borderId="0" xfId="112" applyNumberFormat="1" applyFont="1" applyProtection="1">
      <protection locked="0"/>
    </xf>
    <xf numFmtId="177" fontId="179" fillId="48" borderId="0" xfId="112" applyNumberFormat="1" applyFont="1" applyFill="1" applyBorder="1" applyProtection="1">
      <protection locked="0"/>
    </xf>
    <xf numFmtId="0" fontId="184" fillId="39" borderId="0" xfId="0" applyFont="1" applyFill="1" applyProtection="1">
      <protection locked="0"/>
    </xf>
    <xf numFmtId="0" fontId="185" fillId="57" borderId="0" xfId="0" applyFont="1" applyFill="1" applyProtection="1">
      <protection locked="0"/>
    </xf>
    <xf numFmtId="0" fontId="185" fillId="0" borderId="0" xfId="0" applyFont="1" applyProtection="1">
      <protection locked="0"/>
    </xf>
    <xf numFmtId="0" fontId="185" fillId="39" borderId="0" xfId="0" applyFont="1" applyFill="1" applyProtection="1">
      <protection locked="0"/>
    </xf>
    <xf numFmtId="0" fontId="179" fillId="39" borderId="0" xfId="0" applyFont="1" applyFill="1" applyProtection="1">
      <protection locked="0"/>
    </xf>
    <xf numFmtId="177" fontId="179" fillId="39" borderId="0" xfId="112" applyNumberFormat="1" applyFont="1" applyFill="1" applyProtection="1">
      <protection locked="0"/>
    </xf>
    <xf numFmtId="0" fontId="185" fillId="58" borderId="0" xfId="0" applyFont="1" applyFill="1" applyProtection="1">
      <protection locked="0"/>
    </xf>
    <xf numFmtId="0" fontId="185" fillId="48" borderId="0" xfId="0" applyFont="1" applyFill="1" applyProtection="1">
      <protection locked="0"/>
    </xf>
    <xf numFmtId="171" fontId="179" fillId="0" borderId="0" xfId="112" applyNumberFormat="1" applyFont="1" applyProtection="1">
      <protection locked="0"/>
    </xf>
    <xf numFmtId="176" fontId="179" fillId="0" borderId="0" xfId="241" applyNumberFormat="1" applyFont="1" applyProtection="1">
      <protection locked="0"/>
    </xf>
    <xf numFmtId="176" fontId="179" fillId="0" borderId="0" xfId="241" applyNumberFormat="1" applyFont="1" applyBorder="1" applyProtection="1">
      <protection locked="0"/>
    </xf>
    <xf numFmtId="0" fontId="179" fillId="0" borderId="67" xfId="0" applyFont="1" applyBorder="1" applyProtection="1">
      <protection locked="0"/>
    </xf>
    <xf numFmtId="176" fontId="179" fillId="0" borderId="67" xfId="241" applyNumberFormat="1" applyFont="1" applyBorder="1" applyProtection="1">
      <protection locked="0"/>
    </xf>
    <xf numFmtId="0" fontId="36" fillId="41" borderId="0" xfId="0" applyFont="1" applyFill="1" applyProtection="1">
      <protection locked="0"/>
    </xf>
    <xf numFmtId="0" fontId="191" fillId="41" borderId="0" xfId="0" applyFont="1" applyFill="1"/>
    <xf numFmtId="0" fontId="36" fillId="41" borderId="4" xfId="0" applyFont="1" applyFill="1" applyBorder="1" applyProtection="1">
      <protection locked="0"/>
    </xf>
    <xf numFmtId="0" fontId="30" fillId="41" borderId="4" xfId="0" applyFont="1" applyFill="1" applyBorder="1" applyProtection="1">
      <protection locked="0"/>
    </xf>
    <xf numFmtId="0" fontId="115" fillId="55" borderId="0" xfId="0" applyFont="1" applyFill="1" applyAlignment="1">
      <alignment vertical="center"/>
    </xf>
    <xf numFmtId="0" fontId="114" fillId="55" borderId="0" xfId="0" applyFont="1" applyFill="1" applyAlignment="1">
      <alignment vertical="center"/>
    </xf>
    <xf numFmtId="0" fontId="91" fillId="55" borderId="0" xfId="0" applyFont="1" applyFill="1"/>
    <xf numFmtId="0" fontId="112" fillId="55" borderId="0" xfId="0" applyFont="1" applyFill="1"/>
    <xf numFmtId="0" fontId="36" fillId="55" borderId="0" xfId="0" applyFont="1" applyFill="1"/>
    <xf numFmtId="0" fontId="155" fillId="39" borderId="0" xfId="0" applyFont="1" applyFill="1" applyProtection="1">
      <protection locked="0"/>
    </xf>
    <xf numFmtId="171" fontId="120" fillId="39" borderId="0" xfId="109" applyNumberFormat="1" applyFont="1" applyFill="1" applyProtection="1">
      <protection locked="0"/>
    </xf>
    <xf numFmtId="0" fontId="36" fillId="41" borderId="0" xfId="0" applyFont="1" applyFill="1" applyAlignment="1">
      <alignment horizontal="right"/>
    </xf>
    <xf numFmtId="0" fontId="112" fillId="39" borderId="0" xfId="0" applyFont="1" applyFill="1" applyAlignment="1" applyProtection="1">
      <alignment vertical="justify"/>
      <protection locked="0"/>
    </xf>
    <xf numFmtId="0" fontId="143" fillId="0" borderId="135" xfId="0" applyFont="1" applyBorder="1"/>
    <xf numFmtId="171" fontId="179" fillId="0" borderId="0" xfId="242" applyNumberFormat="1" applyFont="1"/>
    <xf numFmtId="0" fontId="120" fillId="39" borderId="0" xfId="0" applyFont="1" applyFill="1" applyAlignment="1" applyProtection="1">
      <alignment horizontal="left" vertical="justify"/>
      <protection locked="0"/>
    </xf>
    <xf numFmtId="0" fontId="143" fillId="23" borderId="0" xfId="0" applyFont="1" applyFill="1" applyAlignment="1" applyProtection="1">
      <alignment horizontal="right"/>
      <protection locked="0"/>
    </xf>
    <xf numFmtId="0" fontId="146" fillId="41" borderId="78" xfId="0" applyFont="1" applyFill="1" applyBorder="1" applyAlignment="1" applyProtection="1">
      <alignment vertical="justify"/>
      <protection locked="0"/>
    </xf>
    <xf numFmtId="0" fontId="143" fillId="41" borderId="4" xfId="0" applyFont="1" applyFill="1" applyBorder="1" applyProtection="1">
      <protection locked="0"/>
    </xf>
    <xf numFmtId="1" fontId="113" fillId="41" borderId="78" xfId="0" applyNumberFormat="1" applyFont="1" applyFill="1" applyBorder="1" applyAlignment="1" applyProtection="1">
      <alignment vertical="justify"/>
      <protection locked="0" hidden="1"/>
    </xf>
    <xf numFmtId="1" fontId="113" fillId="41" borderId="4" xfId="0" applyNumberFormat="1" applyFont="1" applyFill="1" applyBorder="1" applyAlignment="1" applyProtection="1">
      <alignment vertical="justify"/>
      <protection locked="0" hidden="1"/>
    </xf>
    <xf numFmtId="9" fontId="0" fillId="41" borderId="0" xfId="0" applyNumberFormat="1" applyFill="1" applyProtection="1">
      <protection locked="0"/>
    </xf>
    <xf numFmtId="174" fontId="146" fillId="41" borderId="4" xfId="0" applyNumberFormat="1" applyFont="1" applyFill="1" applyBorder="1" applyAlignment="1" applyProtection="1">
      <alignment vertical="justify"/>
      <protection locked="0" hidden="1"/>
    </xf>
    <xf numFmtId="168" fontId="146" fillId="41" borderId="4" xfId="109" applyFont="1" applyFill="1" applyBorder="1" applyAlignment="1" applyProtection="1">
      <alignment vertical="justify"/>
      <protection locked="0" hidden="1"/>
    </xf>
    <xf numFmtId="0" fontId="192" fillId="23" borderId="0" xfId="0" applyFont="1" applyFill="1" applyProtection="1">
      <protection locked="0"/>
    </xf>
    <xf numFmtId="172" fontId="3" fillId="59" borderId="4" xfId="0" applyNumberFormat="1" applyFont="1" applyFill="1" applyBorder="1" applyAlignment="1">
      <alignment horizontal="center" vertical="center"/>
    </xf>
    <xf numFmtId="9" fontId="152" fillId="48" borderId="4" xfId="256" applyFont="1" applyFill="1" applyBorder="1" applyProtection="1">
      <protection locked="0"/>
    </xf>
    <xf numFmtId="9" fontId="0" fillId="0" borderId="0" xfId="238" applyFont="1" applyProtection="1"/>
    <xf numFmtId="171" fontId="131" fillId="0" borderId="0" xfId="109" applyNumberFormat="1" applyFont="1"/>
    <xf numFmtId="9" fontId="0" fillId="0" borderId="4" xfId="238" applyFont="1" applyBorder="1" applyProtection="1"/>
    <xf numFmtId="0" fontId="48" fillId="48" borderId="96" xfId="0" applyFont="1" applyFill="1" applyBorder="1" applyAlignment="1" applyProtection="1">
      <alignment horizontal="center" vertical="center"/>
      <protection locked="0"/>
    </xf>
    <xf numFmtId="186" fontId="143" fillId="41" borderId="4" xfId="0" applyNumberFormat="1" applyFont="1" applyFill="1" applyBorder="1" applyAlignment="1" applyProtection="1">
      <alignment horizontal="left"/>
      <protection locked="0"/>
    </xf>
    <xf numFmtId="171" fontId="0" fillId="0" borderId="0" xfId="0" applyNumberFormat="1"/>
    <xf numFmtId="0" fontId="37" fillId="0" borderId="57" xfId="0" applyFont="1" applyBorder="1" applyAlignment="1">
      <alignment horizontal="center" vertical="justify"/>
    </xf>
    <xf numFmtId="171" fontId="195" fillId="0" borderId="0" xfId="109" applyNumberFormat="1" applyFont="1" applyBorder="1" applyAlignment="1" applyProtection="1">
      <alignment vertical="center"/>
    </xf>
    <xf numFmtId="171" fontId="196" fillId="0" borderId="0" xfId="109" applyNumberFormat="1" applyFont="1" applyBorder="1" applyAlignment="1" applyProtection="1">
      <alignment horizontal="center" vertical="center"/>
    </xf>
    <xf numFmtId="9" fontId="112" fillId="0" borderId="0" xfId="238" applyFont="1" applyBorder="1" applyAlignment="1" applyProtection="1">
      <alignment vertical="center"/>
    </xf>
    <xf numFmtId="168" fontId="112" fillId="0" borderId="0" xfId="109" applyFont="1" applyBorder="1" applyAlignment="1" applyProtection="1">
      <alignment vertical="center"/>
    </xf>
    <xf numFmtId="171" fontId="48" fillId="39" borderId="55" xfId="109" applyNumberFormat="1" applyFont="1" applyFill="1" applyBorder="1" applyAlignment="1" applyProtection="1">
      <alignment horizontal="center" vertical="center"/>
      <protection locked="0"/>
    </xf>
    <xf numFmtId="0" fontId="48" fillId="48" borderId="2" xfId="0" applyFont="1" applyFill="1" applyBorder="1" applyAlignment="1" applyProtection="1">
      <alignment horizontal="center" vertical="center"/>
      <protection locked="0"/>
    </xf>
    <xf numFmtId="9" fontId="58" fillId="40" borderId="60" xfId="238" applyFont="1" applyFill="1" applyBorder="1" applyAlignment="1" applyProtection="1">
      <alignment horizontal="center"/>
    </xf>
    <xf numFmtId="9" fontId="58" fillId="40" borderId="29" xfId="238" applyFont="1" applyFill="1" applyBorder="1" applyAlignment="1" applyProtection="1">
      <alignment horizontal="center"/>
    </xf>
    <xf numFmtId="177" fontId="0" fillId="0" borderId="0" xfId="109" applyNumberFormat="1" applyFont="1" applyAlignment="1" applyProtection="1"/>
    <xf numFmtId="177" fontId="0" fillId="0" borderId="0" xfId="0" applyNumberFormat="1"/>
    <xf numFmtId="9" fontId="36" fillId="0" borderId="143" xfId="238" applyFont="1" applyBorder="1" applyAlignment="1" applyProtection="1">
      <alignment horizontal="center" vertical="center"/>
    </xf>
    <xf numFmtId="185" fontId="36" fillId="0" borderId="55" xfId="109" applyNumberFormat="1" applyFont="1" applyBorder="1" applyAlignment="1" applyProtection="1">
      <alignment horizontal="center" vertical="center"/>
    </xf>
    <xf numFmtId="9" fontId="58" fillId="39" borderId="56" xfId="238" applyFont="1" applyFill="1" applyBorder="1" applyAlignment="1" applyProtection="1">
      <alignment horizontal="center"/>
    </xf>
    <xf numFmtId="171" fontId="196" fillId="0" borderId="0" xfId="109" applyNumberFormat="1" applyFont="1" applyBorder="1" applyAlignment="1" applyProtection="1">
      <alignment vertical="center"/>
    </xf>
    <xf numFmtId="9" fontId="65" fillId="0" borderId="0" xfId="0" applyNumberFormat="1" applyFont="1"/>
    <xf numFmtId="9" fontId="36" fillId="0" borderId="29" xfId="238" applyFont="1" applyBorder="1" applyAlignment="1" applyProtection="1">
      <alignment horizontal="center" vertical="center"/>
    </xf>
    <xf numFmtId="177" fontId="0" fillId="0" borderId="0" xfId="109" applyNumberFormat="1" applyFont="1" applyProtection="1"/>
    <xf numFmtId="177" fontId="0" fillId="48" borderId="21" xfId="109" applyNumberFormat="1" applyFont="1" applyFill="1" applyBorder="1" applyProtection="1">
      <protection locked="0"/>
    </xf>
    <xf numFmtId="177" fontId="0" fillId="48" borderId="4" xfId="109" applyNumberFormat="1" applyFont="1" applyFill="1" applyBorder="1" applyProtection="1">
      <protection locked="0"/>
    </xf>
    <xf numFmtId="0" fontId="110" fillId="0" borderId="0" xfId="0" applyFont="1" applyAlignment="1">
      <alignment vertical="top"/>
    </xf>
    <xf numFmtId="9" fontId="0" fillId="0" borderId="0" xfId="238" applyFont="1" applyAlignment="1" applyProtection="1">
      <alignment vertical="top"/>
    </xf>
    <xf numFmtId="9" fontId="100" fillId="0" borderId="102" xfId="238" applyFont="1" applyBorder="1" applyProtection="1"/>
    <xf numFmtId="9" fontId="100" fillId="0" borderId="74" xfId="238" applyFont="1" applyBorder="1" applyProtection="1"/>
    <xf numFmtId="9" fontId="100" fillId="0" borderId="145" xfId="238" applyFont="1" applyBorder="1" applyProtection="1"/>
    <xf numFmtId="0" fontId="202" fillId="61" borderId="150" xfId="0" applyFont="1" applyFill="1" applyBorder="1" applyAlignment="1">
      <alignment horizontal="center" vertical="center" wrapText="1"/>
    </xf>
    <xf numFmtId="0" fontId="0" fillId="0" borderId="151" xfId="0" applyBorder="1"/>
    <xf numFmtId="0" fontId="182" fillId="62" borderId="151" xfId="0" applyFont="1" applyFill="1" applyBorder="1"/>
    <xf numFmtId="0" fontId="182" fillId="62" borderId="151" xfId="0" applyFont="1" applyFill="1" applyBorder="1" applyAlignment="1">
      <alignment vertical="justify"/>
    </xf>
    <xf numFmtId="0" fontId="110" fillId="0" borderId="151" xfId="0" applyFont="1" applyBorder="1"/>
    <xf numFmtId="0" fontId="201" fillId="0" borderId="0" xfId="0" applyFont="1" applyAlignment="1">
      <alignment vertical="center" wrapText="1"/>
    </xf>
    <xf numFmtId="0" fontId="182" fillId="0" borderId="0" xfId="0" applyFont="1"/>
    <xf numFmtId="0" fontId="202" fillId="61" borderId="149" xfId="0" applyFont="1" applyFill="1" applyBorder="1" applyAlignment="1">
      <alignment horizontal="center" vertical="center" wrapText="1"/>
    </xf>
    <xf numFmtId="0" fontId="182" fillId="0" borderId="151" xfId="0" applyFont="1" applyBorder="1" applyAlignment="1">
      <alignment horizontal="center"/>
    </xf>
    <xf numFmtId="0" fontId="110" fillId="40" borderId="151" xfId="0" applyFont="1" applyFill="1" applyBorder="1"/>
    <xf numFmtId="0" fontId="206" fillId="0" borderId="0" xfId="155" applyFont="1" applyProtection="1">
      <protection locked="0"/>
    </xf>
    <xf numFmtId="0" fontId="206" fillId="0" borderId="0" xfId="155" applyFont="1"/>
    <xf numFmtId="0" fontId="207" fillId="0" borderId="0" xfId="155" applyFont="1" applyAlignment="1">
      <alignment vertical="center" wrapText="1"/>
    </xf>
    <xf numFmtId="0" fontId="208" fillId="0" borderId="0" xfId="155" applyFont="1"/>
    <xf numFmtId="0" fontId="206" fillId="0" borderId="0" xfId="155" applyFont="1" applyAlignment="1">
      <alignment horizontal="justify" vertical="center"/>
    </xf>
    <xf numFmtId="0" fontId="206" fillId="0" borderId="0" xfId="155" applyFont="1" applyAlignment="1">
      <alignment vertical="center"/>
    </xf>
    <xf numFmtId="0" fontId="210" fillId="0" borderId="0" xfId="155" applyFont="1"/>
    <xf numFmtId="0" fontId="206" fillId="0" borderId="0" xfId="155" applyFont="1" applyAlignment="1">
      <alignment horizontal="center" vertical="center"/>
    </xf>
    <xf numFmtId="0" fontId="205" fillId="0" borderId="0" xfId="155" applyFont="1" applyAlignment="1">
      <alignment horizontal="justify" vertical="center"/>
    </xf>
    <xf numFmtId="0" fontId="205" fillId="0" borderId="0" xfId="155" applyFont="1" applyAlignment="1">
      <alignment vertical="center"/>
    </xf>
    <xf numFmtId="0" fontId="206" fillId="0" borderId="0" xfId="155" applyFont="1" applyAlignment="1">
      <alignment vertical="center" wrapText="1"/>
    </xf>
    <xf numFmtId="0" fontId="206" fillId="0" borderId="0" xfId="155" applyFont="1" applyAlignment="1">
      <alignment horizontal="center"/>
    </xf>
    <xf numFmtId="0" fontId="210" fillId="0" borderId="0" xfId="155" applyFont="1" applyAlignment="1">
      <alignment horizontal="right"/>
    </xf>
    <xf numFmtId="0" fontId="211" fillId="0" borderId="0" xfId="155" applyFont="1" applyAlignment="1">
      <alignment horizontal="justify" vertical="center" wrapText="1"/>
    </xf>
    <xf numFmtId="0" fontId="206" fillId="0" borderId="0" xfId="155" applyFont="1" applyAlignment="1">
      <alignment horizontal="left" vertical="center"/>
    </xf>
    <xf numFmtId="0" fontId="205" fillId="0" borderId="0" xfId="155" applyFont="1" applyAlignment="1">
      <alignment horizontal="justify" vertical="center" wrapText="1"/>
    </xf>
    <xf numFmtId="0" fontId="206" fillId="0" borderId="0" xfId="155" applyFont="1" applyAlignment="1">
      <alignment horizontal="left" vertical="center" wrapText="1"/>
    </xf>
    <xf numFmtId="0" fontId="211" fillId="0" borderId="0" xfId="155" applyFont="1" applyAlignment="1">
      <alignment vertical="center" wrapText="1"/>
    </xf>
    <xf numFmtId="0" fontId="205" fillId="0" borderId="0" xfId="155" applyFont="1" applyAlignment="1">
      <alignment horizontal="left" vertical="top"/>
    </xf>
    <xf numFmtId="0" fontId="215" fillId="0" borderId="0" xfId="155" applyFont="1" applyAlignment="1">
      <alignment vertical="top"/>
    </xf>
    <xf numFmtId="0" fontId="215" fillId="0" borderId="0" xfId="155" applyFont="1"/>
    <xf numFmtId="0" fontId="216" fillId="0" borderId="0" xfId="155" applyFont="1" applyAlignment="1">
      <alignment horizontal="left" vertical="center" wrapText="1"/>
    </xf>
    <xf numFmtId="0" fontId="205" fillId="0" borderId="0" xfId="155" applyFont="1" applyAlignment="1">
      <alignment horizontal="left" vertical="center"/>
    </xf>
    <xf numFmtId="0" fontId="205" fillId="0" borderId="0" xfId="155" applyFont="1"/>
    <xf numFmtId="0" fontId="205" fillId="0" borderId="0" xfId="155" applyFont="1" applyAlignment="1">
      <alignment horizontal="left"/>
    </xf>
    <xf numFmtId="0" fontId="206" fillId="0" borderId="0" xfId="155" applyFont="1" applyAlignment="1">
      <alignment horizontal="justify"/>
    </xf>
    <xf numFmtId="0" fontId="214" fillId="0" borderId="0" xfId="155" applyFont="1"/>
    <xf numFmtId="0" fontId="205" fillId="0" borderId="0" xfId="155" applyFont="1" applyAlignment="1">
      <alignment horizontal="justify"/>
    </xf>
    <xf numFmtId="0" fontId="209" fillId="0" borderId="0" xfId="155" applyFont="1" applyAlignment="1">
      <alignment horizontal="center" vertical="center"/>
    </xf>
    <xf numFmtId="0" fontId="209" fillId="0" borderId="0" xfId="155" applyFont="1" applyAlignment="1">
      <alignment horizontal="center" vertical="center" wrapText="1"/>
    </xf>
    <xf numFmtId="0" fontId="214" fillId="0" borderId="0" xfId="155" applyFont="1" applyAlignment="1">
      <alignment horizontal="center"/>
    </xf>
    <xf numFmtId="0" fontId="209" fillId="0" borderId="0" xfId="155" applyFont="1" applyAlignment="1">
      <alignment horizontal="center" wrapText="1"/>
    </xf>
    <xf numFmtId="0" fontId="209" fillId="0" borderId="0" xfId="155" applyFont="1" applyAlignment="1">
      <alignment horizontal="center"/>
    </xf>
    <xf numFmtId="0" fontId="211" fillId="0" borderId="0" xfId="155" applyFont="1" applyAlignment="1">
      <alignment horizontal="left" vertical="center" wrapText="1"/>
    </xf>
    <xf numFmtId="0" fontId="214" fillId="0" borderId="35" xfId="155" applyFont="1" applyBorder="1" applyAlignment="1" applyProtection="1">
      <alignment horizontal="center" vertical="center"/>
      <protection locked="0"/>
    </xf>
    <xf numFmtId="0" fontId="214" fillId="0" borderId="35" xfId="155" applyFont="1" applyBorder="1" applyAlignment="1">
      <alignment horizontal="center" vertical="center"/>
    </xf>
    <xf numFmtId="0" fontId="214" fillId="0" borderId="35" xfId="155" applyFont="1" applyBorder="1" applyAlignment="1">
      <alignment horizontal="center" vertical="center" wrapText="1"/>
    </xf>
    <xf numFmtId="0" fontId="214" fillId="0" borderId="35" xfId="155" applyFont="1" applyBorder="1" applyAlignment="1" applyProtection="1">
      <alignment horizontal="center"/>
      <protection locked="0"/>
    </xf>
    <xf numFmtId="186" fontId="214" fillId="0" borderId="120" xfId="155" applyNumberFormat="1" applyFont="1" applyBorder="1" applyAlignment="1" applyProtection="1">
      <alignment horizontal="center"/>
      <protection locked="0"/>
    </xf>
    <xf numFmtId="0" fontId="214" fillId="0" borderId="35" xfId="155" applyFont="1" applyBorder="1" applyAlignment="1" applyProtection="1">
      <alignment vertical="center"/>
      <protection locked="0"/>
    </xf>
    <xf numFmtId="0" fontId="211" fillId="0" borderId="0" xfId="155" applyFont="1" applyAlignment="1" applyProtection="1">
      <alignment horizontal="left" vertical="center" wrapText="1"/>
      <protection locked="0"/>
    </xf>
    <xf numFmtId="0" fontId="211" fillId="0" borderId="0" xfId="155" applyFont="1" applyAlignment="1">
      <alignment horizontal="left" vertical="center"/>
    </xf>
    <xf numFmtId="0" fontId="217" fillId="0" borderId="0" xfId="100" applyFont="1" applyFill="1" applyAlignment="1" applyProtection="1">
      <alignment vertical="center"/>
    </xf>
    <xf numFmtId="0" fontId="218" fillId="0" borderId="0" xfId="100" applyFont="1" applyFill="1" applyAlignment="1" applyProtection="1">
      <alignment vertical="center"/>
    </xf>
    <xf numFmtId="0" fontId="219" fillId="0" borderId="0" xfId="0" applyFont="1"/>
    <xf numFmtId="170" fontId="209" fillId="0" borderId="119" xfId="155" applyNumberFormat="1" applyFont="1" applyBorder="1" applyAlignment="1">
      <alignment horizontal="center" vertical="center"/>
    </xf>
    <xf numFmtId="170" fontId="209" fillId="0" borderId="118" xfId="155" applyNumberFormat="1" applyFont="1" applyBorder="1" applyAlignment="1">
      <alignment horizontal="center" vertical="center"/>
    </xf>
    <xf numFmtId="172" fontId="209" fillId="0" borderId="118" xfId="155" applyNumberFormat="1" applyFont="1" applyBorder="1" applyAlignment="1">
      <alignment horizontal="center" vertical="center"/>
    </xf>
    <xf numFmtId="170" fontId="209" fillId="0" borderId="120" xfId="155" applyNumberFormat="1" applyFont="1" applyBorder="1" applyAlignment="1">
      <alignment horizontal="center" vertical="center"/>
    </xf>
    <xf numFmtId="0" fontId="222" fillId="0" borderId="0" xfId="155" applyFont="1" applyAlignment="1">
      <alignment horizontal="left"/>
    </xf>
    <xf numFmtId="0" fontId="216" fillId="0" borderId="0" xfId="155" applyFont="1" applyAlignment="1">
      <alignment horizontal="left"/>
    </xf>
    <xf numFmtId="0" fontId="214" fillId="0" borderId="0" xfId="155" applyFont="1" applyAlignment="1">
      <alignment vertical="center"/>
    </xf>
    <xf numFmtId="0" fontId="189" fillId="0" borderId="0" xfId="155" applyFont="1" applyAlignment="1">
      <alignment vertical="center"/>
    </xf>
    <xf numFmtId="0" fontId="215" fillId="0" borderId="0" xfId="155" applyFont="1" applyAlignment="1">
      <alignment vertical="center"/>
    </xf>
    <xf numFmtId="0" fontId="205" fillId="0" borderId="0" xfId="155" applyFont="1" applyAlignment="1" applyProtection="1">
      <alignment horizontal="left"/>
      <protection locked="0"/>
    </xf>
    <xf numFmtId="0" fontId="216" fillId="0" borderId="0" xfId="155" applyFont="1" applyAlignment="1" applyProtection="1">
      <alignment horizontal="left"/>
      <protection locked="0"/>
    </xf>
    <xf numFmtId="0" fontId="215" fillId="0" borderId="0" xfId="155" applyFont="1" applyAlignment="1" applyProtection="1">
      <alignment vertical="center"/>
      <protection locked="0"/>
    </xf>
    <xf numFmtId="0" fontId="223" fillId="0" borderId="0" xfId="100" applyFont="1" applyFill="1" applyAlignment="1" applyProtection="1">
      <alignment vertical="center"/>
    </xf>
    <xf numFmtId="0" fontId="223" fillId="0" borderId="0" xfId="100" applyFont="1" applyFill="1" applyAlignment="1" applyProtection="1">
      <alignment horizontal="center" vertical="center"/>
    </xf>
    <xf numFmtId="0" fontId="223" fillId="0" borderId="0" xfId="100" applyFont="1" applyFill="1" applyAlignment="1" applyProtection="1">
      <alignment horizontal="left" vertical="center"/>
    </xf>
    <xf numFmtId="0" fontId="223" fillId="0" borderId="0" xfId="100" applyFont="1" applyFill="1" applyAlignment="1" applyProtection="1">
      <alignment horizontal="right" vertical="center"/>
    </xf>
    <xf numFmtId="0" fontId="205" fillId="0" borderId="0" xfId="155" applyFont="1" applyAlignment="1">
      <alignment vertical="center" wrapText="1"/>
    </xf>
    <xf numFmtId="0" fontId="216" fillId="0" borderId="0" xfId="155" applyFont="1" applyAlignment="1">
      <alignment horizontal="justify" vertical="center" wrapText="1"/>
    </xf>
    <xf numFmtId="0" fontId="202" fillId="61" borderId="151" xfId="0" applyFont="1" applyFill="1" applyBorder="1" applyAlignment="1">
      <alignment horizontal="center" vertical="center" wrapText="1"/>
    </xf>
    <xf numFmtId="0" fontId="116" fillId="61" borderId="151" xfId="155" applyFont="1" applyFill="1" applyBorder="1" applyAlignment="1">
      <alignment horizontal="center" vertical="center" wrapText="1"/>
    </xf>
    <xf numFmtId="0" fontId="174" fillId="61" borderId="150" xfId="155" applyFont="1" applyFill="1" applyBorder="1" applyAlignment="1">
      <alignment horizontal="center" vertical="center"/>
    </xf>
    <xf numFmtId="0" fontId="116" fillId="61" borderId="150" xfId="155" applyFont="1" applyFill="1" applyBorder="1" applyAlignment="1">
      <alignment horizontal="center" vertical="center" wrapText="1"/>
    </xf>
    <xf numFmtId="0" fontId="175" fillId="0" borderId="0" xfId="155" applyFont="1"/>
    <xf numFmtId="0" fontId="175" fillId="0" borderId="0" xfId="155" applyFont="1" applyAlignment="1">
      <alignment vertical="center"/>
    </xf>
    <xf numFmtId="0" fontId="174" fillId="0" borderId="0" xfId="155" applyFont="1" applyAlignment="1">
      <alignment vertical="center"/>
    </xf>
    <xf numFmtId="0" fontId="224" fillId="0" borderId="0" xfId="155" applyFont="1" applyAlignment="1">
      <alignment vertical="center"/>
    </xf>
    <xf numFmtId="171" fontId="209" fillId="63" borderId="151" xfId="0" applyNumberFormat="1" applyFont="1" applyFill="1" applyBorder="1" applyAlignment="1">
      <alignment horizontal="left" vertical="center" wrapText="1"/>
    </xf>
    <xf numFmtId="171" fontId="209" fillId="0" borderId="151" xfId="109" applyNumberFormat="1" applyFont="1" applyFill="1" applyBorder="1" applyAlignment="1" applyProtection="1">
      <alignment horizontal="center" vertical="center"/>
    </xf>
    <xf numFmtId="171" fontId="209" fillId="63" borderId="151" xfId="109" applyNumberFormat="1" applyFont="1" applyFill="1" applyBorder="1" applyAlignment="1" applyProtection="1">
      <alignment horizontal="center" vertical="center"/>
    </xf>
    <xf numFmtId="171" fontId="209" fillId="63" borderId="151" xfId="109" applyNumberFormat="1" applyFont="1" applyFill="1" applyBorder="1" applyAlignment="1" applyProtection="1">
      <alignment horizontal="center" vertical="center"/>
      <protection locked="0"/>
    </xf>
    <xf numFmtId="171" fontId="209" fillId="0" borderId="151" xfId="109" applyNumberFormat="1" applyFont="1" applyFill="1" applyBorder="1" applyAlignment="1" applyProtection="1">
      <alignment horizontal="center" vertical="center"/>
      <protection locked="0"/>
    </xf>
    <xf numFmtId="0" fontId="209" fillId="0" borderId="151" xfId="155" applyFont="1" applyBorder="1" applyAlignment="1">
      <alignment horizontal="left" vertical="center"/>
    </xf>
    <xf numFmtId="171" fontId="209" fillId="64" borderId="155" xfId="109" applyNumberFormat="1" applyFont="1" applyFill="1" applyBorder="1" applyAlignment="1" applyProtection="1">
      <alignment horizontal="center" vertical="center"/>
    </xf>
    <xf numFmtId="171" fontId="209" fillId="0" borderId="163" xfId="109" applyNumberFormat="1" applyFont="1" applyFill="1" applyBorder="1" applyAlignment="1" applyProtection="1">
      <alignment horizontal="center" vertical="center"/>
      <protection locked="0"/>
    </xf>
    <xf numFmtId="171" fontId="209" fillId="0" borderId="164" xfId="109" applyNumberFormat="1" applyFont="1" applyFill="1" applyBorder="1" applyAlignment="1" applyProtection="1">
      <alignment horizontal="center" vertical="center"/>
      <protection locked="0"/>
    </xf>
    <xf numFmtId="171" fontId="209" fillId="0" borderId="165" xfId="109" applyNumberFormat="1" applyFont="1" applyFill="1" applyBorder="1" applyAlignment="1" applyProtection="1">
      <alignment horizontal="center" vertical="center"/>
      <protection locked="0"/>
    </xf>
    <xf numFmtId="171" fontId="209" fillId="63" borderId="166" xfId="109" applyNumberFormat="1" applyFont="1" applyFill="1" applyBorder="1" applyAlignment="1" applyProtection="1">
      <alignment horizontal="center" vertical="center"/>
    </xf>
    <xf numFmtId="171" fontId="209" fillId="63" borderId="167" xfId="109" applyNumberFormat="1" applyFont="1" applyFill="1" applyBorder="1" applyAlignment="1" applyProtection="1">
      <alignment horizontal="center" vertical="center"/>
    </xf>
    <xf numFmtId="171" fontId="209" fillId="63" borderId="168" xfId="109" applyNumberFormat="1" applyFont="1" applyFill="1" applyBorder="1" applyAlignment="1" applyProtection="1">
      <alignment horizontal="center" vertical="center"/>
      <protection locked="0"/>
    </xf>
    <xf numFmtId="171" fontId="209" fillId="63" borderId="169" xfId="109" applyNumberFormat="1" applyFont="1" applyFill="1" applyBorder="1" applyAlignment="1" applyProtection="1">
      <alignment horizontal="center" vertical="center"/>
    </xf>
    <xf numFmtId="171" fontId="209" fillId="63" borderId="170" xfId="109" applyNumberFormat="1" applyFont="1" applyFill="1" applyBorder="1" applyAlignment="1" applyProtection="1">
      <alignment horizontal="center" vertical="center"/>
      <protection locked="0"/>
    </xf>
    <xf numFmtId="171" fontId="209" fillId="0" borderId="169" xfId="109" applyNumberFormat="1" applyFont="1" applyFill="1" applyBorder="1" applyAlignment="1" applyProtection="1">
      <alignment horizontal="center" vertical="center"/>
    </xf>
    <xf numFmtId="171" fontId="209" fillId="0" borderId="170" xfId="109" applyNumberFormat="1" applyFont="1" applyFill="1" applyBorder="1" applyAlignment="1" applyProtection="1">
      <alignment horizontal="center" vertical="center"/>
      <protection locked="0"/>
    </xf>
    <xf numFmtId="171" fontId="209" fillId="63" borderId="171" xfId="109" applyNumberFormat="1" applyFont="1" applyFill="1" applyBorder="1" applyAlignment="1" applyProtection="1">
      <alignment horizontal="center" vertical="center"/>
    </xf>
    <xf numFmtId="171" fontId="209" fillId="63" borderId="172" xfId="109" applyNumberFormat="1" applyFont="1" applyFill="1" applyBorder="1" applyAlignment="1" applyProtection="1">
      <alignment horizontal="center" vertical="center"/>
    </xf>
    <xf numFmtId="171" fontId="209" fillId="63" borderId="173" xfId="109" applyNumberFormat="1" applyFont="1" applyFill="1" applyBorder="1" applyAlignment="1" applyProtection="1">
      <alignment horizontal="center" vertical="center"/>
    </xf>
    <xf numFmtId="171" fontId="209" fillId="63" borderId="166" xfId="0" applyNumberFormat="1" applyFont="1" applyFill="1" applyBorder="1" applyAlignment="1">
      <alignment horizontal="left" vertical="center" wrapText="1"/>
    </xf>
    <xf numFmtId="171" fontId="209" fillId="63" borderId="167" xfId="0" applyNumberFormat="1" applyFont="1" applyFill="1" applyBorder="1" applyAlignment="1">
      <alignment horizontal="left" vertical="center" wrapText="1"/>
    </xf>
    <xf numFmtId="171" fontId="209" fillId="63" borderId="168" xfId="0" applyNumberFormat="1" applyFont="1" applyFill="1" applyBorder="1" applyAlignment="1">
      <alignment horizontal="left" vertical="center" wrapText="1"/>
    </xf>
    <xf numFmtId="171" fontId="209" fillId="0" borderId="170" xfId="109" applyNumberFormat="1" applyFont="1" applyFill="1" applyBorder="1" applyAlignment="1" applyProtection="1">
      <alignment horizontal="center" vertical="center"/>
    </xf>
    <xf numFmtId="171" fontId="209" fillId="63" borderId="170" xfId="109" applyNumberFormat="1" applyFont="1" applyFill="1" applyBorder="1" applyAlignment="1" applyProtection="1">
      <alignment horizontal="center" vertical="center"/>
    </xf>
    <xf numFmtId="0" fontId="225" fillId="61" borderId="151" xfId="155" applyFont="1" applyFill="1" applyBorder="1" applyAlignment="1">
      <alignment horizontal="center" vertical="center" wrapText="1"/>
    </xf>
    <xf numFmtId="0" fontId="214" fillId="0" borderId="151" xfId="155" applyFont="1" applyBorder="1" applyAlignment="1">
      <alignment horizontal="center" vertical="center"/>
    </xf>
    <xf numFmtId="0" fontId="209" fillId="0" borderId="151" xfId="155" applyFont="1" applyBorder="1" applyAlignment="1">
      <alignment horizontal="center" vertical="center"/>
    </xf>
    <xf numFmtId="0" fontId="209" fillId="65" borderId="151" xfId="155" applyFont="1" applyFill="1" applyBorder="1" applyAlignment="1">
      <alignment horizontal="center" vertical="center"/>
    </xf>
    <xf numFmtId="0" fontId="225" fillId="61" borderId="150" xfId="155" applyFont="1" applyFill="1" applyBorder="1" applyAlignment="1">
      <alignment horizontal="center" vertical="center" wrapText="1"/>
    </xf>
    <xf numFmtId="0" fontId="214" fillId="0" borderId="155" xfId="155" applyFont="1" applyBorder="1" applyAlignment="1" applyProtection="1">
      <alignment horizontal="center" vertical="center"/>
      <protection locked="0"/>
    </xf>
    <xf numFmtId="0" fontId="214" fillId="0" borderId="155" xfId="155" applyFont="1" applyBorder="1" applyAlignment="1">
      <alignment horizontal="center" vertical="center"/>
    </xf>
    <xf numFmtId="0" fontId="214" fillId="0" borderId="155" xfId="155" applyFont="1" applyBorder="1" applyAlignment="1">
      <alignment horizontal="center" vertical="center" wrapText="1"/>
    </xf>
    <xf numFmtId="0" fontId="214" fillId="0" borderId="155" xfId="155" applyFont="1" applyBorder="1" applyAlignment="1" applyProtection="1">
      <alignment horizontal="center"/>
      <protection locked="0"/>
    </xf>
    <xf numFmtId="0" fontId="225" fillId="61" borderId="151" xfId="155" applyFont="1" applyFill="1" applyBorder="1" applyAlignment="1">
      <alignment horizontal="center" wrapText="1"/>
    </xf>
    <xf numFmtId="0" fontId="209" fillId="0" borderId="151" xfId="155" applyFont="1" applyBorder="1" applyAlignment="1" applyProtection="1">
      <alignment horizontal="center" vertical="center"/>
      <protection locked="0"/>
    </xf>
    <xf numFmtId="0" fontId="209" fillId="0" borderId="160" xfId="155" applyFont="1" applyBorder="1" applyAlignment="1" applyProtection="1">
      <alignment horizontal="center" vertical="center"/>
      <protection locked="0"/>
    </xf>
    <xf numFmtId="0" fontId="209" fillId="0" borderId="150" xfId="155" applyFont="1" applyBorder="1" applyAlignment="1" applyProtection="1">
      <alignment horizontal="center" vertical="center"/>
      <protection locked="0"/>
    </xf>
    <xf numFmtId="0" fontId="209" fillId="0" borderId="155" xfId="155" applyFont="1" applyBorder="1" applyAlignment="1" applyProtection="1">
      <alignment horizontal="center" vertical="center"/>
      <protection locked="0"/>
    </xf>
    <xf numFmtId="0" fontId="209" fillId="0" borderId="117" xfId="155" applyFont="1" applyBorder="1" applyAlignment="1" applyProtection="1">
      <alignment horizontal="center" vertical="center"/>
      <protection locked="0"/>
    </xf>
    <xf numFmtId="170" fontId="214" fillId="0" borderId="160" xfId="155" applyNumberFormat="1" applyFont="1" applyBorder="1" applyAlignment="1" applyProtection="1">
      <alignment horizontal="center" vertical="center"/>
      <protection locked="0"/>
    </xf>
    <xf numFmtId="0" fontId="209" fillId="0" borderId="155" xfId="155" applyFont="1" applyBorder="1" applyAlignment="1">
      <alignment horizontal="center" vertical="center"/>
    </xf>
    <xf numFmtId="0" fontId="225" fillId="61" borderId="150" xfId="155" applyFont="1" applyFill="1" applyBorder="1" applyAlignment="1">
      <alignment horizontal="center" wrapText="1"/>
    </xf>
    <xf numFmtId="0" fontId="209" fillId="0" borderId="174" xfId="155" applyFont="1" applyBorder="1" applyAlignment="1" applyProtection="1">
      <alignment horizontal="center" vertical="center"/>
      <protection locked="0"/>
    </xf>
    <xf numFmtId="0" fontId="209" fillId="0" borderId="176" xfId="155" applyFont="1" applyBorder="1" applyAlignment="1" applyProtection="1">
      <alignment horizontal="center" vertical="center"/>
      <protection locked="0"/>
    </xf>
    <xf numFmtId="0" fontId="48" fillId="48" borderId="97" xfId="0" applyFont="1" applyFill="1" applyBorder="1" applyAlignment="1" applyProtection="1">
      <alignment horizontal="center" vertical="center"/>
      <protection locked="0"/>
    </xf>
    <xf numFmtId="177" fontId="48" fillId="0" borderId="63" xfId="109" applyNumberFormat="1" applyFont="1" applyBorder="1" applyAlignment="1" applyProtection="1">
      <alignment horizontal="center" vertical="justify"/>
    </xf>
    <xf numFmtId="0" fontId="37" fillId="0" borderId="55" xfId="0" applyFont="1" applyBorder="1" applyAlignment="1">
      <alignment horizontal="center" vertical="justify"/>
    </xf>
    <xf numFmtId="0" fontId="36" fillId="55" borderId="4" xfId="0" applyFont="1" applyFill="1" applyBorder="1"/>
    <xf numFmtId="0" fontId="83" fillId="0" borderId="80" xfId="0" applyFont="1" applyBorder="1" applyAlignment="1">
      <alignment horizontal="center" vertical="center"/>
    </xf>
    <xf numFmtId="0" fontId="229" fillId="48" borderId="97" xfId="0" applyFont="1" applyFill="1" applyBorder="1" applyAlignment="1" applyProtection="1">
      <alignment horizontal="center" vertical="center"/>
      <protection locked="0"/>
    </xf>
    <xf numFmtId="0" fontId="110" fillId="0" borderId="4" xfId="0" applyFont="1" applyBorder="1" applyProtection="1">
      <protection locked="0"/>
    </xf>
    <xf numFmtId="9" fontId="110" fillId="0" borderId="4" xfId="238" applyFont="1" applyFill="1" applyBorder="1" applyProtection="1"/>
    <xf numFmtId="9" fontId="110" fillId="0" borderId="4" xfId="238" applyFont="1" applyBorder="1" applyProtection="1"/>
    <xf numFmtId="177" fontId="0" fillId="0" borderId="0" xfId="109" applyNumberFormat="1" applyFont="1"/>
    <xf numFmtId="0" fontId="0" fillId="0" borderId="4" xfId="0" applyBorder="1" applyAlignment="1" applyProtection="1">
      <alignment vertical="justify"/>
      <protection locked="0"/>
    </xf>
    <xf numFmtId="177" fontId="0" fillId="0" borderId="4" xfId="109" applyNumberFormat="1" applyFont="1" applyFill="1" applyBorder="1" applyProtection="1">
      <protection locked="0"/>
    </xf>
    <xf numFmtId="177" fontId="110" fillId="0" borderId="4" xfId="109" applyNumberFormat="1" applyFont="1" applyFill="1" applyBorder="1" applyProtection="1">
      <protection locked="0"/>
    </xf>
    <xf numFmtId="170" fontId="0" fillId="0" borderId="4" xfId="0" applyNumberFormat="1" applyBorder="1" applyProtection="1">
      <protection locked="0"/>
    </xf>
    <xf numFmtId="170" fontId="0" fillId="48" borderId="4" xfId="0" applyNumberFormat="1" applyFill="1" applyBorder="1" applyProtection="1">
      <protection locked="0"/>
    </xf>
    <xf numFmtId="170" fontId="110" fillId="0" borderId="4" xfId="0" applyNumberFormat="1" applyFont="1" applyBorder="1" applyProtection="1">
      <protection locked="0"/>
    </xf>
    <xf numFmtId="176" fontId="0" fillId="0" borderId="0" xfId="238" applyNumberFormat="1" applyFont="1" applyProtection="1"/>
    <xf numFmtId="0" fontId="0" fillId="66" borderId="151" xfId="0" applyFill="1" applyBorder="1"/>
    <xf numFmtId="0" fontId="209" fillId="66" borderId="117" xfId="155" applyFont="1" applyFill="1" applyBorder="1" applyAlignment="1">
      <alignment horizontal="center" vertical="center"/>
    </xf>
    <xf numFmtId="171" fontId="209" fillId="66" borderId="117" xfId="109" applyNumberFormat="1" applyFont="1" applyFill="1" applyBorder="1" applyAlignment="1" applyProtection="1">
      <alignment horizontal="center" vertical="center"/>
    </xf>
    <xf numFmtId="0" fontId="206" fillId="66" borderId="0" xfId="155" applyFont="1" applyFill="1"/>
    <xf numFmtId="0" fontId="206" fillId="66" borderId="0" xfId="155" applyFont="1" applyFill="1" applyAlignment="1">
      <alignment vertical="center"/>
    </xf>
    <xf numFmtId="0" fontId="206" fillId="66" borderId="0" xfId="155" applyFont="1" applyFill="1" applyAlignment="1">
      <alignment horizontal="center" vertical="center"/>
    </xf>
    <xf numFmtId="0" fontId="206" fillId="66" borderId="0" xfId="155" applyFont="1" applyFill="1" applyAlignment="1">
      <alignment horizontal="left" vertical="center"/>
    </xf>
    <xf numFmtId="0" fontId="205" fillId="66" borderId="0" xfId="155" applyFont="1" applyFill="1" applyAlignment="1">
      <alignment horizontal="center"/>
    </xf>
    <xf numFmtId="0" fontId="205" fillId="66" borderId="0" xfId="155" applyFont="1" applyFill="1" applyAlignment="1">
      <alignment vertical="center"/>
    </xf>
    <xf numFmtId="0" fontId="209" fillId="66" borderId="174" xfId="155" applyFont="1" applyFill="1" applyBorder="1" applyAlignment="1" applyProtection="1">
      <alignment horizontal="center" vertical="center"/>
      <protection locked="0"/>
    </xf>
    <xf numFmtId="0" fontId="209" fillId="66" borderId="175" xfId="155" applyFont="1" applyFill="1" applyBorder="1" applyAlignment="1" applyProtection="1">
      <alignment horizontal="center" vertical="center"/>
      <protection locked="0"/>
    </xf>
    <xf numFmtId="0" fontId="209" fillId="66" borderId="176" xfId="155" applyFont="1" applyFill="1" applyBorder="1" applyAlignment="1" applyProtection="1">
      <alignment horizontal="center" vertical="center"/>
      <protection locked="0"/>
    </xf>
    <xf numFmtId="0" fontId="72" fillId="0" borderId="0" xfId="0" applyFont="1" applyAlignment="1">
      <alignment horizontal="right"/>
    </xf>
    <xf numFmtId="0" fontId="72" fillId="0" borderId="0" xfId="0" applyFont="1"/>
    <xf numFmtId="0" fontId="97" fillId="0" borderId="0" xfId="0" applyFont="1" applyAlignment="1">
      <alignment horizontal="right"/>
    </xf>
    <xf numFmtId="0" fontId="71" fillId="0" borderId="0" xfId="0" applyFont="1"/>
    <xf numFmtId="0" fontId="70" fillId="0" borderId="0" xfId="0" applyFont="1"/>
    <xf numFmtId="0" fontId="83" fillId="0" borderId="81" xfId="0" applyFont="1" applyBorder="1" applyAlignment="1">
      <alignment horizontal="right"/>
    </xf>
    <xf numFmtId="0" fontId="83" fillId="0" borderId="82" xfId="0" applyFont="1" applyBorder="1"/>
    <xf numFmtId="0" fontId="84" fillId="0" borderId="0" xfId="0" applyFont="1"/>
    <xf numFmtId="0" fontId="83" fillId="0" borderId="0" xfId="0" applyFont="1" applyAlignment="1">
      <alignment horizontal="right"/>
    </xf>
    <xf numFmtId="9" fontId="83" fillId="45" borderId="0" xfId="256" applyFont="1" applyFill="1" applyBorder="1" applyAlignment="1" applyProtection="1">
      <alignment horizontal="center" vertical="justify"/>
      <protection locked="0"/>
    </xf>
    <xf numFmtId="9" fontId="83" fillId="45" borderId="80" xfId="256" applyFont="1" applyFill="1" applyBorder="1" applyAlignment="1" applyProtection="1">
      <alignment horizontal="center" vertical="justify"/>
      <protection locked="0"/>
    </xf>
    <xf numFmtId="9" fontId="83" fillId="45" borderId="81" xfId="256" applyFont="1" applyFill="1" applyBorder="1" applyAlignment="1" applyProtection="1">
      <alignment horizontal="center" vertical="justify"/>
      <protection locked="0"/>
    </xf>
    <xf numFmtId="0" fontId="83" fillId="0" borderId="0" xfId="0" applyFont="1"/>
    <xf numFmtId="0" fontId="83" fillId="0" borderId="0" xfId="0" applyFont="1" applyAlignment="1">
      <alignment vertical="top"/>
    </xf>
    <xf numFmtId="0" fontId="83" fillId="0" borderId="80" xfId="0" applyFont="1" applyBorder="1"/>
    <xf numFmtId="0" fontId="83" fillId="0" borderId="83" xfId="0" applyFont="1" applyBorder="1" applyAlignment="1">
      <alignment vertical="justify"/>
    </xf>
    <xf numFmtId="0" fontId="112" fillId="39" borderId="0" xfId="0" applyFont="1" applyFill="1" applyAlignment="1" applyProtection="1">
      <alignment horizontal="left" vertical="justify"/>
      <protection locked="0"/>
    </xf>
    <xf numFmtId="0" fontId="156" fillId="0" borderId="13" xfId="0" applyFont="1" applyBorder="1" applyAlignment="1">
      <alignment vertical="top"/>
    </xf>
    <xf numFmtId="0" fontId="153" fillId="0" borderId="0" xfId="0" applyFont="1"/>
    <xf numFmtId="177" fontId="100" fillId="0" borderId="4" xfId="112" applyNumberFormat="1" applyFont="1" applyFill="1" applyBorder="1" applyProtection="1"/>
    <xf numFmtId="177" fontId="100" fillId="48" borderId="4" xfId="112" applyNumberFormat="1" applyFont="1" applyFill="1" applyBorder="1" applyProtection="1">
      <protection locked="0"/>
    </xf>
    <xf numFmtId="171" fontId="101" fillId="0" borderId="0" xfId="112" applyNumberFormat="1" applyFont="1" applyFill="1" applyBorder="1" applyProtection="1"/>
    <xf numFmtId="0" fontId="154" fillId="0" borderId="0" xfId="0" applyFont="1" applyAlignment="1">
      <alignment horizontal="left"/>
    </xf>
    <xf numFmtId="9" fontId="154" fillId="0" borderId="0" xfId="256" applyFont="1" applyFill="1" applyAlignment="1" applyProtection="1">
      <alignment horizontal="left"/>
    </xf>
    <xf numFmtId="0" fontId="157" fillId="0" borderId="0" xfId="0" applyFont="1"/>
    <xf numFmtId="171" fontId="155" fillId="0" borderId="0" xfId="112" applyNumberFormat="1" applyFont="1" applyFill="1" applyBorder="1" applyProtection="1"/>
    <xf numFmtId="0" fontId="230" fillId="48" borderId="151" xfId="0" applyFont="1" applyFill="1" applyBorder="1" applyAlignment="1">
      <alignment vertical="justify"/>
    </xf>
    <xf numFmtId="171" fontId="230" fillId="66" borderId="151" xfId="109" applyNumberFormat="1" applyFont="1" applyFill="1" applyBorder="1"/>
    <xf numFmtId="171" fontId="0" fillId="48" borderId="4" xfId="0" applyNumberFormat="1" applyFill="1" applyBorder="1" applyProtection="1">
      <protection locked="0"/>
    </xf>
    <xf numFmtId="0" fontId="83" fillId="0" borderId="80" xfId="0" applyFont="1" applyBorder="1" applyAlignment="1">
      <alignment horizontal="center"/>
    </xf>
    <xf numFmtId="0" fontId="83" fillId="0" borderId="81" xfId="0" applyFont="1" applyBorder="1" applyAlignment="1">
      <alignment horizontal="center"/>
    </xf>
    <xf numFmtId="0" fontId="83" fillId="0" borderId="146" xfId="0" applyFont="1" applyBorder="1" applyAlignment="1">
      <alignment horizontal="center"/>
    </xf>
    <xf numFmtId="0" fontId="128" fillId="0" borderId="0" xfId="0" applyFont="1" applyProtection="1">
      <protection locked="0"/>
    </xf>
    <xf numFmtId="171" fontId="230" fillId="0" borderId="151" xfId="109" applyNumberFormat="1" applyFont="1" applyBorder="1"/>
    <xf numFmtId="0" fontId="202" fillId="61" borderId="154" xfId="0" applyFont="1" applyFill="1" applyBorder="1" applyAlignment="1">
      <alignment horizontal="center" vertical="center" wrapText="1"/>
    </xf>
    <xf numFmtId="0" fontId="231" fillId="0" borderId="0" xfId="0" applyFont="1"/>
    <xf numFmtId="171" fontId="231" fillId="0" borderId="0" xfId="0" applyNumberFormat="1" applyFont="1"/>
    <xf numFmtId="0" fontId="231" fillId="0" borderId="0" xfId="0" applyFont="1" applyAlignment="1">
      <alignment horizontal="right"/>
    </xf>
    <xf numFmtId="0" fontId="101" fillId="0" borderId="0" xfId="0" applyFont="1" applyAlignment="1">
      <alignment horizontal="right"/>
    </xf>
    <xf numFmtId="0" fontId="37" fillId="48" borderId="22" xfId="0" applyFont="1" applyFill="1" applyBorder="1" applyAlignment="1" applyProtection="1">
      <alignment vertical="justify"/>
      <protection locked="0"/>
    </xf>
    <xf numFmtId="0" fontId="37" fillId="48" borderId="69" xfId="0" applyFont="1" applyFill="1" applyBorder="1" applyAlignment="1" applyProtection="1">
      <alignment vertical="justify"/>
      <protection locked="0"/>
    </xf>
    <xf numFmtId="0" fontId="37" fillId="48" borderId="59" xfId="0" applyFont="1" applyFill="1" applyBorder="1" applyAlignment="1" applyProtection="1">
      <alignment vertical="justify"/>
      <protection locked="0"/>
    </xf>
    <xf numFmtId="0" fontId="37" fillId="48" borderId="29" xfId="0" applyFont="1" applyFill="1" applyBorder="1" applyAlignment="1" applyProtection="1">
      <alignment vertical="justify"/>
      <protection locked="0"/>
    </xf>
    <xf numFmtId="0" fontId="232" fillId="0" borderId="0" xfId="0" applyFont="1" applyAlignment="1">
      <alignment vertical="center"/>
    </xf>
    <xf numFmtId="0" fontId="234" fillId="0" borderId="0" xfId="0" applyFont="1" applyAlignment="1">
      <alignment horizontal="left" vertical="center" wrapText="1"/>
    </xf>
    <xf numFmtId="0" fontId="235" fillId="0" borderId="0" xfId="0" applyFont="1"/>
    <xf numFmtId="0" fontId="236" fillId="0" borderId="0" xfId="0" applyFont="1" applyAlignment="1">
      <alignment horizontal="left"/>
    </xf>
    <xf numFmtId="0" fontId="236" fillId="0" borderId="0" xfId="0" applyFont="1" applyAlignment="1">
      <alignment horizontal="left" vertical="top" wrapText="1"/>
    </xf>
    <xf numFmtId="0" fontId="116" fillId="47" borderId="0" xfId="155" applyFont="1" applyFill="1" applyAlignment="1">
      <alignment horizontal="center" wrapText="1"/>
    </xf>
    <xf numFmtId="0" fontId="237" fillId="0" borderId="4" xfId="155" applyFont="1" applyBorder="1" applyAlignment="1">
      <alignment horizontal="center" vertical="center"/>
    </xf>
    <xf numFmtId="0" fontId="128" fillId="0" borderId="0" xfId="0" applyFont="1" applyAlignment="1" applyProtection="1">
      <alignment horizontal="center"/>
      <protection locked="0"/>
    </xf>
    <xf numFmtId="171" fontId="230" fillId="67" borderId="151" xfId="109" applyNumberFormat="1" applyFont="1" applyFill="1" applyBorder="1"/>
    <xf numFmtId="9" fontId="38" fillId="41" borderId="0" xfId="256" applyFont="1" applyFill="1" applyProtection="1"/>
    <xf numFmtId="0" fontId="238" fillId="0" borderId="0" xfId="0" applyFont="1"/>
    <xf numFmtId="0" fontId="59" fillId="0" borderId="32" xfId="0" applyFont="1" applyBorder="1"/>
    <xf numFmtId="0" fontId="30" fillId="0" borderId="36" xfId="0" applyFont="1" applyBorder="1"/>
    <xf numFmtId="171" fontId="196" fillId="0" borderId="0" xfId="109" applyNumberFormat="1" applyFont="1" applyBorder="1" applyProtection="1"/>
    <xf numFmtId="168" fontId="146" fillId="0" borderId="0" xfId="109" applyFont="1" applyFill="1" applyProtection="1">
      <protection hidden="1"/>
    </xf>
    <xf numFmtId="171" fontId="30" fillId="0" borderId="0" xfId="256" applyNumberFormat="1" applyFont="1" applyProtection="1">
      <protection hidden="1"/>
    </xf>
    <xf numFmtId="177" fontId="30" fillId="0" borderId="0" xfId="256" applyNumberFormat="1" applyFont="1" applyProtection="1">
      <protection hidden="1"/>
    </xf>
    <xf numFmtId="171" fontId="48" fillId="0" borderId="22" xfId="109" applyNumberFormat="1" applyFont="1" applyBorder="1" applyAlignment="1" applyProtection="1">
      <alignment horizontal="center" vertical="justify"/>
    </xf>
    <xf numFmtId="171" fontId="48" fillId="0" borderId="69" xfId="109" applyNumberFormat="1" applyFont="1" applyBorder="1" applyAlignment="1" applyProtection="1">
      <alignment horizontal="center" vertical="justify"/>
    </xf>
    <xf numFmtId="171" fontId="48" fillId="0" borderId="59" xfId="109" applyNumberFormat="1" applyFont="1" applyBorder="1" applyAlignment="1" applyProtection="1">
      <alignment horizontal="center" vertical="justify"/>
    </xf>
    <xf numFmtId="186" fontId="191" fillId="41" borderId="0" xfId="0" applyNumberFormat="1" applyFont="1" applyFill="1"/>
    <xf numFmtId="9" fontId="49" fillId="39" borderId="74" xfId="238" applyFill="1" applyBorder="1" applyAlignment="1" applyProtection="1">
      <alignment horizontal="center" vertical="center" wrapText="1"/>
      <protection locked="0"/>
    </xf>
    <xf numFmtId="173" fontId="30" fillId="0" borderId="0" xfId="112" applyNumberFormat="1" applyFont="1" applyProtection="1">
      <protection hidden="1"/>
    </xf>
    <xf numFmtId="177" fontId="101" fillId="24" borderId="0" xfId="0" applyNumberFormat="1" applyFont="1" applyFill="1"/>
    <xf numFmtId="171" fontId="48" fillId="0" borderId="55" xfId="109" applyNumberFormat="1" applyFont="1" applyBorder="1" applyAlignment="1" applyProtection="1">
      <alignment horizontal="center" vertical="center"/>
    </xf>
    <xf numFmtId="196" fontId="30" fillId="0" borderId="0" xfId="112" applyNumberFormat="1" applyFont="1" applyProtection="1">
      <protection hidden="1"/>
    </xf>
    <xf numFmtId="186" fontId="146" fillId="0" borderId="0" xfId="0" applyNumberFormat="1" applyFont="1"/>
    <xf numFmtId="171" fontId="155" fillId="0" borderId="0" xfId="109" applyNumberFormat="1" applyFont="1" applyFill="1" applyBorder="1" applyProtection="1"/>
    <xf numFmtId="9" fontId="154" fillId="0" borderId="0" xfId="238" applyFont="1" applyFill="1" applyAlignment="1" applyProtection="1">
      <alignment horizontal="left"/>
    </xf>
    <xf numFmtId="0" fontId="243" fillId="0" borderId="0" xfId="100" applyNumberFormat="1" applyFont="1" applyFill="1" applyAlignment="1" applyProtection="1">
      <alignment vertical="center" wrapText="1"/>
    </xf>
    <xf numFmtId="0" fontId="114" fillId="0" borderId="0" xfId="100" applyNumberFormat="1" applyFont="1" applyFill="1" applyAlignment="1" applyProtection="1">
      <alignment vertical="center" wrapText="1"/>
    </xf>
    <xf numFmtId="0" fontId="108" fillId="0" borderId="0" xfId="100" applyNumberFormat="1" applyFont="1" applyFill="1" applyAlignment="1" applyProtection="1">
      <alignment vertical="center" wrapText="1"/>
    </xf>
    <xf numFmtId="0" fontId="255" fillId="0" borderId="0" xfId="0" applyFont="1"/>
    <xf numFmtId="0" fontId="0" fillId="0" borderId="0" xfId="0" applyAlignment="1">
      <alignment vertical="center" wrapText="1"/>
    </xf>
    <xf numFmtId="0" fontId="256" fillId="0" borderId="0" xfId="0" applyFont="1" applyAlignment="1">
      <alignment vertical="center" wrapText="1"/>
    </xf>
    <xf numFmtId="0" fontId="255" fillId="0" borderId="0" xfId="0" applyFont="1" applyAlignment="1">
      <alignment wrapText="1"/>
    </xf>
    <xf numFmtId="0" fontId="255" fillId="0" borderId="0" xfId="0" applyFont="1" applyAlignment="1">
      <alignment vertical="center"/>
    </xf>
    <xf numFmtId="0" fontId="258" fillId="61" borderId="178" xfId="0" applyFont="1" applyFill="1" applyBorder="1" applyAlignment="1">
      <alignment horizontal="center" vertical="center" wrapText="1"/>
    </xf>
    <xf numFmtId="0" fontId="259" fillId="0" borderId="0" xfId="0" applyFont="1" applyAlignment="1">
      <alignment horizontal="left" vertical="center" wrapText="1"/>
    </xf>
    <xf numFmtId="0" fontId="0" fillId="0" borderId="4" xfId="0" applyBorder="1" applyAlignment="1">
      <alignment horizontal="center"/>
    </xf>
    <xf numFmtId="0" fontId="0" fillId="0" borderId="21" xfId="0" applyBorder="1"/>
    <xf numFmtId="0" fontId="0" fillId="0" borderId="21" xfId="0" applyBorder="1" applyAlignment="1">
      <alignment horizontal="center"/>
    </xf>
    <xf numFmtId="0" fontId="116" fillId="47" borderId="195" xfId="155" applyFont="1" applyFill="1" applyBorder="1" applyAlignment="1">
      <alignment horizontal="center" wrapText="1"/>
    </xf>
    <xf numFmtId="0" fontId="116" fillId="47" borderId="196" xfId="155" applyFont="1" applyFill="1" applyBorder="1" applyAlignment="1">
      <alignment horizontal="center" wrapText="1"/>
    </xf>
    <xf numFmtId="0" fontId="263" fillId="0" borderId="0" xfId="0" applyFont="1" applyAlignment="1">
      <alignment horizontal="left" vertical="center"/>
    </xf>
    <xf numFmtId="0" fontId="265" fillId="39" borderId="81" xfId="0" applyFont="1" applyFill="1" applyBorder="1" applyAlignment="1" applyProtection="1">
      <alignment horizontal="center" vertical="center" wrapText="1"/>
      <protection locked="0"/>
    </xf>
    <xf numFmtId="0" fontId="70" fillId="0" borderId="0" xfId="0" applyFont="1" applyAlignment="1">
      <alignment horizontal="center"/>
    </xf>
    <xf numFmtId="0" fontId="266" fillId="0" borderId="0" xfId="0" applyFont="1"/>
    <xf numFmtId="0" fontId="83" fillId="0" borderId="84" xfId="0" applyFont="1" applyBorder="1" applyAlignment="1">
      <alignment vertical="justify"/>
    </xf>
    <xf numFmtId="168" fontId="0" fillId="0" borderId="0" xfId="109" applyFont="1" applyProtection="1"/>
    <xf numFmtId="168" fontId="0" fillId="0" borderId="0" xfId="109" applyFont="1"/>
    <xf numFmtId="0" fontId="0" fillId="48" borderId="4" xfId="0" applyFill="1" applyBorder="1" applyAlignment="1" applyProtection="1">
      <alignment horizontal="center"/>
      <protection locked="0"/>
    </xf>
    <xf numFmtId="0" fontId="155" fillId="0" borderId="0" xfId="0" applyFont="1"/>
    <xf numFmtId="168" fontId="101" fillId="0" borderId="0" xfId="112" applyFont="1" applyFill="1" applyBorder="1" applyProtection="1"/>
    <xf numFmtId="0" fontId="267" fillId="0" borderId="0" xfId="0" applyFont="1"/>
    <xf numFmtId="0" fontId="268" fillId="0" borderId="0" xfId="0" applyFont="1" applyAlignment="1">
      <alignment horizontal="center"/>
    </xf>
    <xf numFmtId="0" fontId="269" fillId="66" borderId="151" xfId="0" applyFont="1" applyFill="1" applyBorder="1" applyAlignment="1">
      <alignment horizontal="center" vertical="center" wrapText="1"/>
    </xf>
    <xf numFmtId="0" fontId="257" fillId="68" borderId="151" xfId="0" applyFont="1" applyFill="1" applyBorder="1" applyAlignment="1">
      <alignment horizontal="center" vertical="center" wrapText="1"/>
    </xf>
    <xf numFmtId="168" fontId="267" fillId="0" borderId="0" xfId="109" applyFont="1" applyAlignment="1">
      <alignment vertical="center"/>
    </xf>
    <xf numFmtId="0" fontId="258" fillId="61" borderId="0" xfId="0" applyFont="1" applyFill="1" applyAlignment="1">
      <alignment vertical="center" wrapText="1"/>
    </xf>
    <xf numFmtId="0" fontId="256" fillId="62" borderId="151" xfId="0" applyFont="1" applyFill="1" applyBorder="1" applyAlignment="1">
      <alignment horizontal="left" vertical="center" wrapText="1" indent="1"/>
    </xf>
    <xf numFmtId="0" fontId="270" fillId="0" borderId="0" xfId="0" applyFont="1" applyAlignment="1">
      <alignment horizontal="left" vertical="center" wrapText="1" indent="1"/>
    </xf>
    <xf numFmtId="0" fontId="270" fillId="0" borderId="0" xfId="0" applyFont="1" applyAlignment="1">
      <alignment horizontal="left" vertical="center" wrapText="1"/>
    </xf>
    <xf numFmtId="0" fontId="197" fillId="0" borderId="0" xfId="0" applyFont="1" applyAlignment="1" applyProtection="1">
      <alignment horizontal="left"/>
      <protection locked="0"/>
    </xf>
    <xf numFmtId="0" fontId="271" fillId="0" borderId="0" xfId="0" applyFont="1" applyProtection="1">
      <protection locked="0"/>
    </xf>
    <xf numFmtId="0" fontId="0" fillId="0" borderId="0" xfId="0" applyProtection="1">
      <protection locked="0"/>
    </xf>
    <xf numFmtId="0" fontId="83" fillId="0" borderId="181" xfId="0" applyFont="1" applyBorder="1" applyAlignment="1">
      <alignment horizontal="left"/>
    </xf>
    <xf numFmtId="0" fontId="241" fillId="0" borderId="0" xfId="0" applyFont="1" applyAlignment="1">
      <alignment horizontal="left"/>
    </xf>
    <xf numFmtId="0" fontId="83" fillId="0" borderId="183" xfId="0" applyFont="1" applyBorder="1" applyAlignment="1">
      <alignment horizontal="left" vertical="top"/>
    </xf>
    <xf numFmtId="0" fontId="83" fillId="0" borderId="184" xfId="0" applyFont="1" applyBorder="1" applyAlignment="1">
      <alignment horizontal="left"/>
    </xf>
    <xf numFmtId="0" fontId="241" fillId="0" borderId="0" xfId="0" applyFont="1" applyAlignment="1">
      <alignment horizontal="left" vertical="top"/>
    </xf>
    <xf numFmtId="0" fontId="253" fillId="0" borderId="81" xfId="0" applyFont="1" applyBorder="1" applyAlignment="1">
      <alignment horizontal="center"/>
    </xf>
    <xf numFmtId="0" fontId="253" fillId="0" borderId="0" xfId="0" applyFont="1" applyAlignment="1">
      <alignment horizontal="right"/>
    </xf>
    <xf numFmtId="0" fontId="253" fillId="0" borderId="81" xfId="0" applyFont="1" applyBorder="1" applyAlignment="1">
      <alignment horizontal="center" vertical="center"/>
    </xf>
    <xf numFmtId="0" fontId="253" fillId="0" borderId="80" xfId="0" applyFont="1" applyBorder="1" applyAlignment="1">
      <alignment horizontal="center" vertical="center"/>
    </xf>
    <xf numFmtId="0" fontId="252" fillId="0" borderId="0" xfId="0" applyFont="1" applyAlignment="1">
      <alignment vertical="center" wrapText="1"/>
    </xf>
    <xf numFmtId="0" fontId="254" fillId="0" borderId="0" xfId="0" applyFont="1"/>
    <xf numFmtId="0" fontId="265" fillId="39" borderId="81" xfId="0" applyFont="1" applyFill="1" applyBorder="1" applyAlignment="1">
      <alignment horizontal="center" vertical="center" wrapText="1"/>
    </xf>
    <xf numFmtId="0" fontId="264" fillId="0" borderId="80" xfId="0" applyFont="1" applyBorder="1" applyAlignment="1">
      <alignment horizontal="center" vertical="center"/>
    </xf>
    <xf numFmtId="0" fontId="83" fillId="0" borderId="0" xfId="0" applyFont="1" applyAlignment="1">
      <alignment horizontal="center" vertical="center"/>
    </xf>
    <xf numFmtId="0" fontId="240" fillId="0" borderId="0" xfId="0" applyFont="1" applyAlignment="1">
      <alignment vertical="center" wrapText="1"/>
    </xf>
    <xf numFmtId="0" fontId="241" fillId="0" borderId="80" xfId="0" applyFont="1" applyBorder="1" applyAlignment="1">
      <alignment vertical="center"/>
    </xf>
    <xf numFmtId="0" fontId="245" fillId="0" borderId="0" xfId="0" applyFont="1"/>
    <xf numFmtId="0" fontId="26" fillId="0" borderId="112" xfId="0" applyFont="1" applyBorder="1" applyAlignment="1">
      <alignment vertical="top" wrapText="1"/>
    </xf>
    <xf numFmtId="0" fontId="26" fillId="0" borderId="185" xfId="0" applyFont="1" applyBorder="1" applyAlignment="1">
      <alignment vertical="top" wrapText="1"/>
    </xf>
    <xf numFmtId="0" fontId="83" fillId="0" borderId="190" xfId="0" applyFont="1" applyBorder="1" applyAlignment="1">
      <alignment vertical="center"/>
    </xf>
    <xf numFmtId="0" fontId="197" fillId="0" borderId="0" xfId="0" applyFont="1" applyAlignment="1">
      <alignment horizontal="left"/>
    </xf>
    <xf numFmtId="0" fontId="271" fillId="0" borderId="0" xfId="0" applyFont="1"/>
    <xf numFmtId="0" fontId="83" fillId="0" borderId="112" xfId="0" applyFont="1" applyBorder="1" applyAlignment="1">
      <alignment vertical="justify"/>
    </xf>
    <xf numFmtId="0" fontId="83" fillId="0" borderId="190" xfId="0" applyFont="1" applyBorder="1" applyAlignment="1">
      <alignment vertical="justify"/>
    </xf>
    <xf numFmtId="187" fontId="83" fillId="0" borderId="187" xfId="0" applyNumberFormat="1" applyFont="1" applyBorder="1" applyAlignment="1">
      <alignment vertical="justify"/>
    </xf>
    <xf numFmtId="199" fontId="246" fillId="0" borderId="197" xfId="0" applyNumberFormat="1" applyFont="1" applyBorder="1" applyAlignment="1">
      <alignment vertical="justify"/>
    </xf>
    <xf numFmtId="0" fontId="83" fillId="0" borderId="81" xfId="0" applyFont="1" applyBorder="1" applyAlignment="1">
      <alignment vertical="justify"/>
    </xf>
    <xf numFmtId="0" fontId="154" fillId="0" borderId="4" xfId="0" applyFont="1" applyBorder="1" applyAlignment="1">
      <alignment horizontal="center" vertical="center"/>
    </xf>
    <xf numFmtId="0" fontId="154" fillId="0" borderId="4" xfId="0" applyFont="1" applyBorder="1" applyAlignment="1">
      <alignment horizontal="center" vertical="center" wrapText="1"/>
    </xf>
    <xf numFmtId="0" fontId="110" fillId="0" borderId="0" xfId="0" applyFont="1" applyAlignment="1">
      <alignment horizontal="center"/>
    </xf>
    <xf numFmtId="0" fontId="154" fillId="0" borderId="60" xfId="0" applyFont="1" applyBorder="1" applyAlignment="1">
      <alignment horizontal="left"/>
    </xf>
    <xf numFmtId="0" fontId="110" fillId="0" borderId="143" xfId="0" applyFont="1" applyBorder="1"/>
    <xf numFmtId="0" fontId="0" fillId="0" borderId="194" xfId="0" applyBorder="1"/>
    <xf numFmtId="0" fontId="247" fillId="0" borderId="0" xfId="0" applyFont="1" applyAlignment="1">
      <alignment vertical="top"/>
    </xf>
    <xf numFmtId="0" fontId="248" fillId="0" borderId="0" xfId="0" applyFont="1"/>
    <xf numFmtId="0" fontId="249" fillId="0" borderId="0" xfId="0" applyFont="1" applyAlignment="1">
      <alignment horizontal="left"/>
    </xf>
    <xf numFmtId="0" fontId="250" fillId="0" borderId="0" xfId="0" applyFont="1"/>
    <xf numFmtId="0" fontId="251" fillId="0" borderId="0" xfId="0" applyFont="1"/>
    <xf numFmtId="0" fontId="110" fillId="0" borderId="4" xfId="0" applyFont="1" applyBorder="1" applyAlignment="1">
      <alignment horizontal="center" vertical="center"/>
    </xf>
    <xf numFmtId="0" fontId="101" fillId="39" borderId="0" xfId="0" applyFont="1" applyFill="1" applyAlignment="1">
      <alignment vertical="top" wrapText="1"/>
    </xf>
    <xf numFmtId="0" fontId="0" fillId="0" borderId="0" xfId="0" applyAlignment="1">
      <alignment vertical="top" wrapText="1"/>
    </xf>
    <xf numFmtId="0" fontId="253" fillId="0" borderId="202" xfId="0" applyFont="1" applyBorder="1" applyAlignment="1">
      <alignment horizontal="center" vertical="center"/>
    </xf>
    <xf numFmtId="171" fontId="36" fillId="55" borderId="71" xfId="112" applyNumberFormat="1" applyFont="1" applyFill="1" applyBorder="1" applyProtection="1"/>
    <xf numFmtId="171" fontId="36" fillId="55" borderId="4" xfId="112" applyNumberFormat="1" applyFont="1" applyFill="1" applyBorder="1" applyProtection="1"/>
    <xf numFmtId="0" fontId="274" fillId="0" borderId="0" xfId="0" applyFont="1"/>
    <xf numFmtId="0" fontId="274" fillId="39" borderId="0" xfId="0" applyFont="1" applyFill="1" applyProtection="1">
      <protection locked="0"/>
    </xf>
    <xf numFmtId="0" fontId="274" fillId="40" borderId="0" xfId="0" applyFont="1" applyFill="1"/>
    <xf numFmtId="0" fontId="275" fillId="0" borderId="0" xfId="0" applyFont="1"/>
    <xf numFmtId="0" fontId="275" fillId="0" borderId="0" xfId="0" applyFont="1" applyAlignment="1">
      <alignment horizontal="left" indent="2"/>
    </xf>
    <xf numFmtId="0" fontId="275" fillId="39" borderId="0" xfId="0" applyFont="1" applyFill="1" applyProtection="1">
      <protection locked="0"/>
    </xf>
    <xf numFmtId="0" fontId="275" fillId="40" borderId="0" xfId="0" applyFont="1" applyFill="1"/>
    <xf numFmtId="0" fontId="276" fillId="0" borderId="0" xfId="0" applyFont="1"/>
    <xf numFmtId="0" fontId="135" fillId="0" borderId="0" xfId="0" applyFont="1" applyAlignment="1">
      <alignment horizontal="left" indent="2"/>
    </xf>
    <xf numFmtId="0" fontId="135" fillId="39" borderId="0" xfId="0" applyFont="1" applyFill="1" applyProtection="1">
      <protection locked="0"/>
    </xf>
    <xf numFmtId="0" fontId="135" fillId="40" borderId="0" xfId="0" applyFont="1" applyFill="1"/>
    <xf numFmtId="0" fontId="111" fillId="71" borderId="13" xfId="0" applyFont="1" applyFill="1" applyBorder="1"/>
    <xf numFmtId="9" fontId="116" fillId="16" borderId="59" xfId="256" applyFont="1" applyFill="1" applyBorder="1" applyAlignment="1" applyProtection="1">
      <alignment horizontal="center" vertical="justify"/>
    </xf>
    <xf numFmtId="9" fontId="116" fillId="16" borderId="23" xfId="256" applyFont="1" applyFill="1" applyBorder="1" applyAlignment="1" applyProtection="1">
      <alignment horizontal="center" vertical="justify"/>
    </xf>
    <xf numFmtId="0" fontId="111" fillId="71" borderId="0" xfId="0" applyFont="1" applyFill="1" applyAlignment="1">
      <alignment horizontal="center"/>
    </xf>
    <xf numFmtId="188" fontId="0" fillId="0" borderId="4" xfId="0" applyNumberFormat="1" applyBorder="1"/>
    <xf numFmtId="0" fontId="0" fillId="0" borderId="4" xfId="112" applyNumberFormat="1" applyFont="1" applyBorder="1" applyProtection="1"/>
    <xf numFmtId="0" fontId="111" fillId="71" borderId="204" xfId="0" applyFont="1" applyFill="1" applyBorder="1" applyAlignment="1">
      <alignment horizontal="center"/>
    </xf>
    <xf numFmtId="188" fontId="36" fillId="23" borderId="4" xfId="0" applyNumberFormat="1" applyFont="1" applyFill="1" applyBorder="1" applyProtection="1">
      <protection locked="0"/>
    </xf>
    <xf numFmtId="188" fontId="76" fillId="23" borderId="4" xfId="0" applyNumberFormat="1" applyFont="1" applyFill="1" applyBorder="1" applyAlignment="1" applyProtection="1">
      <alignment horizontal="right"/>
      <protection locked="0"/>
    </xf>
    <xf numFmtId="188" fontId="36" fillId="48" borderId="4" xfId="0" applyNumberFormat="1" applyFont="1" applyFill="1" applyBorder="1" applyProtection="1">
      <protection locked="0"/>
    </xf>
    <xf numFmtId="188" fontId="30" fillId="23" borderId="4" xfId="0" applyNumberFormat="1" applyFont="1" applyFill="1" applyBorder="1" applyProtection="1">
      <protection locked="0"/>
    </xf>
    <xf numFmtId="0" fontId="277" fillId="0" borderId="0" xfId="0" applyFont="1"/>
    <xf numFmtId="0" fontId="277" fillId="39" borderId="0" xfId="0" applyFont="1" applyFill="1" applyProtection="1">
      <protection locked="0"/>
    </xf>
    <xf numFmtId="0" fontId="277" fillId="40" borderId="0" xfId="0" applyFont="1" applyFill="1"/>
    <xf numFmtId="0" fontId="161" fillId="48" borderId="0" xfId="0" applyFont="1" applyFill="1"/>
    <xf numFmtId="0" fontId="161" fillId="0" borderId="0" xfId="0" applyFont="1"/>
    <xf numFmtId="0" fontId="278" fillId="39" borderId="0" xfId="0" applyFont="1" applyFill="1" applyAlignment="1" applyProtection="1">
      <alignment vertical="justify"/>
      <protection locked="0"/>
    </xf>
    <xf numFmtId="0" fontId="278" fillId="39" borderId="0" xfId="0" applyFont="1" applyFill="1" applyAlignment="1" applyProtection="1">
      <alignment horizontal="left" vertical="justify" indent="2"/>
      <protection locked="0"/>
    </xf>
    <xf numFmtId="0" fontId="278" fillId="39" borderId="0" xfId="0" applyFont="1" applyFill="1" applyAlignment="1">
      <alignment horizontal="left" vertical="justify" indent="2"/>
    </xf>
    <xf numFmtId="0" fontId="278" fillId="23" borderId="0" xfId="0" applyFont="1" applyFill="1" applyAlignment="1" applyProtection="1">
      <alignment horizontal="right" vertical="justify"/>
      <protection locked="0"/>
    </xf>
    <xf numFmtId="0" fontId="278" fillId="23" borderId="0" xfId="0" applyFont="1" applyFill="1" applyAlignment="1" applyProtection="1">
      <alignment vertical="justify"/>
      <protection locked="0"/>
    </xf>
    <xf numFmtId="0" fontId="278" fillId="23" borderId="0" xfId="0" applyFont="1" applyFill="1" applyAlignment="1" applyProtection="1">
      <alignment horizontal="left" vertical="justify" indent="2"/>
      <protection locked="0"/>
    </xf>
    <xf numFmtId="0" fontId="278" fillId="23" borderId="0" xfId="0" applyFont="1" applyFill="1" applyAlignment="1" applyProtection="1">
      <alignment horizontal="left" vertical="justify" indent="5"/>
      <protection locked="0"/>
    </xf>
    <xf numFmtId="0" fontId="160" fillId="23" borderId="0" xfId="0" applyFont="1" applyFill="1" applyAlignment="1" applyProtection="1">
      <alignment horizontal="right" vertical="justify"/>
      <protection locked="0"/>
    </xf>
    <xf numFmtId="0" fontId="278" fillId="39" borderId="0" xfId="0" applyFont="1" applyFill="1" applyAlignment="1">
      <alignment horizontal="right"/>
    </xf>
    <xf numFmtId="0" fontId="0" fillId="48" borderId="0" xfId="0" applyFill="1" applyAlignment="1">
      <alignment horizontal="right"/>
    </xf>
    <xf numFmtId="0" fontId="0" fillId="39" borderId="0" xfId="0" applyFill="1" applyAlignment="1">
      <alignment horizontal="right"/>
    </xf>
    <xf numFmtId="0" fontId="278" fillId="39" borderId="0" xfId="0" applyFont="1" applyFill="1" applyAlignment="1" applyProtection="1">
      <alignment horizontal="right" vertical="justify"/>
      <protection locked="0"/>
    </xf>
    <xf numFmtId="0" fontId="59" fillId="72" borderId="4" xfId="0" applyFont="1" applyFill="1" applyBorder="1" applyAlignment="1" applyProtection="1">
      <alignment horizontal="center"/>
      <protection locked="0"/>
    </xf>
    <xf numFmtId="0" fontId="151" fillId="0" borderId="0" xfId="0" applyFont="1" applyAlignment="1">
      <alignment horizontal="right" vertical="center"/>
    </xf>
    <xf numFmtId="0" fontId="116" fillId="69" borderId="196" xfId="155" applyFont="1" applyFill="1" applyBorder="1" applyAlignment="1">
      <alignment horizontal="center" wrapText="1"/>
    </xf>
    <xf numFmtId="0" fontId="104" fillId="48" borderId="0" xfId="100" applyFill="1" applyBorder="1" applyAlignment="1" applyProtection="1">
      <alignment horizontal="center" vertical="center"/>
      <protection locked="0"/>
    </xf>
    <xf numFmtId="0" fontId="281" fillId="39" borderId="0" xfId="0" applyFont="1" applyFill="1" applyAlignment="1" applyProtection="1">
      <alignment horizontal="center" vertical="center"/>
      <protection locked="0"/>
    </xf>
    <xf numFmtId="0" fontId="155" fillId="39" borderId="0" xfId="0" applyFont="1" applyFill="1" applyAlignment="1" applyProtection="1">
      <alignment vertical="center"/>
      <protection locked="0"/>
    </xf>
    <xf numFmtId="0" fontId="83" fillId="39" borderId="80" xfId="0" applyFont="1" applyFill="1" applyBorder="1" applyAlignment="1" applyProtection="1">
      <alignment horizontal="center" vertical="justify"/>
      <protection locked="0"/>
    </xf>
    <xf numFmtId="0" fontId="83" fillId="39" borderId="147" xfId="0" applyFont="1" applyFill="1" applyBorder="1" applyAlignment="1" applyProtection="1">
      <alignment horizontal="center" vertical="justify"/>
      <protection locked="0"/>
    </xf>
    <xf numFmtId="171" fontId="48" fillId="0" borderId="57" xfId="109" applyNumberFormat="1" applyFont="1" applyBorder="1" applyAlignment="1" applyProtection="1">
      <alignment horizontal="left" vertical="center" indent="2"/>
    </xf>
    <xf numFmtId="0" fontId="59" fillId="0" borderId="0" xfId="0" applyFont="1" applyAlignment="1">
      <alignment horizontal="center"/>
    </xf>
    <xf numFmtId="0" fontId="37" fillId="0" borderId="0" xfId="0" applyFont="1" applyAlignment="1">
      <alignment horizontal="left" vertical="center"/>
    </xf>
    <xf numFmtId="0" fontId="59" fillId="0" borderId="67" xfId="0" applyFont="1" applyBorder="1" applyAlignment="1">
      <alignment horizontal="center" vertical="center"/>
    </xf>
    <xf numFmtId="0" fontId="282" fillId="0" borderId="134" xfId="0" applyFont="1" applyBorder="1"/>
    <xf numFmtId="0" fontId="284" fillId="0" borderId="0" xfId="0" applyFont="1" applyAlignment="1" applyProtection="1">
      <alignment horizontal="right" vertical="justify"/>
      <protection locked="0"/>
    </xf>
    <xf numFmtId="0" fontId="134" fillId="0" borderId="0" xfId="0" applyFont="1" applyAlignment="1" applyProtection="1">
      <alignment horizontal="center"/>
      <protection locked="0"/>
    </xf>
    <xf numFmtId="0" fontId="116" fillId="47" borderId="57" xfId="155" applyFont="1" applyFill="1" applyBorder="1" applyAlignment="1">
      <alignment horizontal="center" wrapText="1"/>
    </xf>
    <xf numFmtId="0" fontId="116" fillId="47" borderId="46" xfId="155" applyFont="1" applyFill="1" applyBorder="1" applyAlignment="1">
      <alignment horizontal="center" wrapText="1"/>
    </xf>
    <xf numFmtId="0" fontId="36" fillId="50" borderId="4" xfId="155" applyFont="1" applyFill="1" applyBorder="1" applyAlignment="1" applyProtection="1">
      <alignment horizontal="center" vertical="center" wrapText="1"/>
      <protection locked="0"/>
    </xf>
    <xf numFmtId="0" fontId="116" fillId="61" borderId="195" xfId="155" applyFont="1" applyFill="1" applyBorder="1" applyAlignment="1">
      <alignment horizontal="center" wrapText="1"/>
    </xf>
    <xf numFmtId="0" fontId="116" fillId="61" borderId="196" xfId="155" applyFont="1" applyFill="1" applyBorder="1" applyAlignment="1">
      <alignment horizontal="center" wrapText="1"/>
    </xf>
    <xf numFmtId="0" fontId="202" fillId="61" borderId="178" xfId="0" applyFont="1" applyFill="1" applyBorder="1" applyAlignment="1">
      <alignment horizontal="center" vertical="center" wrapText="1"/>
    </xf>
    <xf numFmtId="0" fontId="268" fillId="41" borderId="207" xfId="0" applyFont="1" applyFill="1" applyBorder="1" applyAlignment="1">
      <alignment horizontal="center"/>
    </xf>
    <xf numFmtId="0" fontId="257" fillId="68" borderId="155" xfId="0" applyFont="1" applyFill="1" applyBorder="1" applyAlignment="1">
      <alignment horizontal="center" vertical="center" wrapText="1"/>
    </xf>
    <xf numFmtId="0" fontId="257" fillId="68" borderId="220" xfId="0" applyFont="1" applyFill="1" applyBorder="1" applyAlignment="1">
      <alignment horizontal="center" vertical="center" wrapText="1"/>
    </xf>
    <xf numFmtId="0" fontId="257" fillId="68" borderId="221" xfId="0" applyFont="1" applyFill="1" applyBorder="1" applyAlignment="1">
      <alignment horizontal="center" vertical="center" wrapText="1"/>
    </xf>
    <xf numFmtId="0" fontId="257" fillId="68" borderId="222" xfId="0" applyFont="1" applyFill="1" applyBorder="1" applyAlignment="1">
      <alignment horizontal="center" vertical="center" wrapText="1"/>
    </xf>
    <xf numFmtId="0" fontId="256" fillId="62" borderId="223" xfId="0" applyFont="1" applyFill="1" applyBorder="1" applyAlignment="1">
      <alignment horizontal="left" vertical="center" wrapText="1" indent="1"/>
    </xf>
    <xf numFmtId="0" fontId="256" fillId="62" borderId="224" xfId="0" applyFont="1" applyFill="1" applyBorder="1" applyAlignment="1">
      <alignment horizontal="left" vertical="center" wrapText="1" indent="1"/>
    </xf>
    <xf numFmtId="0" fontId="256" fillId="62" borderId="225" xfId="0" applyFont="1" applyFill="1" applyBorder="1" applyAlignment="1">
      <alignment horizontal="left" vertical="center" wrapText="1" indent="1"/>
    </xf>
    <xf numFmtId="0" fontId="256" fillId="62" borderId="159" xfId="0" applyFont="1" applyFill="1" applyBorder="1" applyAlignment="1">
      <alignment horizontal="left" vertical="center" wrapText="1" indent="1"/>
    </xf>
    <xf numFmtId="0" fontId="261" fillId="39" borderId="81" xfId="0" applyFont="1" applyFill="1" applyBorder="1" applyAlignment="1" applyProtection="1">
      <alignment horizontal="center" vertical="center" wrapText="1"/>
      <protection locked="0"/>
    </xf>
    <xf numFmtId="0" fontId="230" fillId="48" borderId="159" xfId="0" applyFont="1" applyFill="1" applyBorder="1" applyAlignment="1">
      <alignment vertical="justify"/>
    </xf>
    <xf numFmtId="0" fontId="230" fillId="0" borderId="155" xfId="0" applyFont="1" applyBorder="1" applyAlignment="1">
      <alignment horizontal="center"/>
    </xf>
    <xf numFmtId="171" fontId="230" fillId="0" borderId="155" xfId="109" applyNumberFormat="1" applyFont="1" applyBorder="1"/>
    <xf numFmtId="0" fontId="230" fillId="66" borderId="248" xfId="0" applyFont="1" applyFill="1" applyBorder="1" applyAlignment="1">
      <alignment horizontal="center"/>
    </xf>
    <xf numFmtId="171" fontId="230" fillId="66" borderId="249" xfId="109" applyNumberFormat="1" applyFont="1" applyFill="1" applyBorder="1"/>
    <xf numFmtId="171" fontId="230" fillId="0" borderId="249" xfId="109" applyNumberFormat="1" applyFont="1" applyBorder="1"/>
    <xf numFmtId="171" fontId="230" fillId="0" borderId="250" xfId="109" applyNumberFormat="1" applyFont="1" applyBorder="1"/>
    <xf numFmtId="0" fontId="230" fillId="66" borderId="251" xfId="0" applyFont="1" applyFill="1" applyBorder="1" applyAlignment="1">
      <alignment horizontal="center"/>
    </xf>
    <xf numFmtId="171" fontId="230" fillId="0" borderId="252" xfId="109" applyNumberFormat="1" applyFont="1" applyBorder="1"/>
    <xf numFmtId="0" fontId="230" fillId="66" borderId="253" xfId="0" applyFont="1" applyFill="1" applyBorder="1" applyAlignment="1">
      <alignment horizontal="center"/>
    </xf>
    <xf numFmtId="171" fontId="230" fillId="66" borderId="254" xfId="109" applyNumberFormat="1" applyFont="1" applyFill="1" applyBorder="1"/>
    <xf numFmtId="171" fontId="230" fillId="0" borderId="254" xfId="109" applyNumberFormat="1" applyFont="1" applyBorder="1"/>
    <xf numFmtId="171" fontId="230" fillId="0" borderId="255" xfId="109" applyNumberFormat="1" applyFont="1" applyBorder="1"/>
    <xf numFmtId="0" fontId="233" fillId="66" borderId="248" xfId="0" applyFont="1" applyFill="1" applyBorder="1" applyAlignment="1">
      <alignment horizontal="center"/>
    </xf>
    <xf numFmtId="171" fontId="230" fillId="66" borderId="250" xfId="109" applyNumberFormat="1" applyFont="1" applyFill="1" applyBorder="1"/>
    <xf numFmtId="0" fontId="233" fillId="66" borderId="251" xfId="0" applyFont="1" applyFill="1" applyBorder="1" applyAlignment="1">
      <alignment horizontal="center"/>
    </xf>
    <xf numFmtId="171" fontId="230" fillId="66" borderId="252" xfId="109" applyNumberFormat="1" applyFont="1" applyFill="1" applyBorder="1"/>
    <xf numFmtId="0" fontId="233" fillId="66" borderId="253" xfId="0" applyFont="1" applyFill="1" applyBorder="1" applyAlignment="1">
      <alignment horizontal="center"/>
    </xf>
    <xf numFmtId="171" fontId="230" fillId="66" borderId="255" xfId="109" applyNumberFormat="1" applyFont="1" applyFill="1" applyBorder="1"/>
    <xf numFmtId="0" fontId="233" fillId="48" borderId="159" xfId="0" applyFont="1" applyFill="1" applyBorder="1" applyAlignment="1">
      <alignment vertical="justify"/>
    </xf>
    <xf numFmtId="0" fontId="233" fillId="67" borderId="248" xfId="0" applyFont="1" applyFill="1" applyBorder="1" applyAlignment="1">
      <alignment horizontal="center"/>
    </xf>
    <xf numFmtId="171" fontId="230" fillId="67" borderId="249" xfId="109" applyNumberFormat="1" applyFont="1" applyFill="1" applyBorder="1"/>
    <xf numFmtId="171" fontId="230" fillId="67" borderId="250" xfId="109" applyNumberFormat="1" applyFont="1" applyFill="1" applyBorder="1"/>
    <xf numFmtId="0" fontId="233" fillId="67" borderId="251" xfId="0" applyFont="1" applyFill="1" applyBorder="1" applyAlignment="1">
      <alignment horizontal="center"/>
    </xf>
    <xf numFmtId="171" fontId="230" fillId="67" borderId="252" xfId="109" applyNumberFormat="1" applyFont="1" applyFill="1" applyBorder="1"/>
    <xf numFmtId="0" fontId="233" fillId="67" borderId="253" xfId="0" applyFont="1" applyFill="1" applyBorder="1" applyAlignment="1">
      <alignment horizontal="center"/>
    </xf>
    <xf numFmtId="171" fontId="230" fillId="67" borderId="254" xfId="109" applyNumberFormat="1" applyFont="1" applyFill="1" applyBorder="1"/>
    <xf numFmtId="171" fontId="230" fillId="67" borderId="255" xfId="109" applyNumberFormat="1" applyFont="1" applyFill="1" applyBorder="1"/>
    <xf numFmtId="0" fontId="182" fillId="0" borderId="159" xfId="0" applyFont="1" applyBorder="1" applyAlignment="1">
      <alignment horizontal="center"/>
    </xf>
    <xf numFmtId="0" fontId="182" fillId="0" borderId="160" xfId="0" applyFont="1" applyBorder="1" applyAlignment="1">
      <alignment horizontal="center"/>
    </xf>
    <xf numFmtId="0" fontId="182" fillId="66" borderId="150" xfId="0" applyFont="1" applyFill="1" applyBorder="1" applyAlignment="1">
      <alignment horizontal="center"/>
    </xf>
    <xf numFmtId="0" fontId="182" fillId="66" borderId="150" xfId="0" applyFont="1" applyFill="1" applyBorder="1"/>
    <xf numFmtId="0" fontId="182" fillId="0" borderId="150" xfId="0" applyFont="1" applyBorder="1"/>
    <xf numFmtId="0" fontId="182" fillId="66" borderId="256" xfId="0" applyFont="1" applyFill="1" applyBorder="1" applyAlignment="1">
      <alignment horizontal="center"/>
    </xf>
    <xf numFmtId="0" fontId="182" fillId="66" borderId="257" xfId="0" applyFont="1" applyFill="1" applyBorder="1"/>
    <xf numFmtId="171" fontId="182" fillId="66" borderId="219" xfId="109" applyNumberFormat="1" applyFont="1" applyFill="1" applyBorder="1" applyAlignment="1">
      <alignment vertical="center"/>
    </xf>
    <xf numFmtId="171" fontId="182" fillId="0" borderId="219" xfId="109" applyNumberFormat="1" applyFont="1" applyBorder="1"/>
    <xf numFmtId="0" fontId="182" fillId="0" borderId="219" xfId="0" applyFont="1" applyBorder="1" applyAlignment="1">
      <alignment horizontal="center"/>
    </xf>
    <xf numFmtId="0" fontId="0" fillId="66" borderId="160" xfId="0" applyFill="1" applyBorder="1"/>
    <xf numFmtId="0" fontId="0" fillId="66" borderId="220" xfId="0" applyFill="1" applyBorder="1" applyAlignment="1">
      <alignment vertical="justify"/>
    </xf>
    <xf numFmtId="0" fontId="0" fillId="66" borderId="221" xfId="0" applyFill="1" applyBorder="1" applyAlignment="1">
      <alignment vertical="justify"/>
    </xf>
    <xf numFmtId="0" fontId="0" fillId="66" borderId="222" xfId="0" applyFill="1" applyBorder="1" applyAlignment="1">
      <alignment vertical="justify"/>
    </xf>
    <xf numFmtId="0" fontId="0" fillId="0" borderId="159" xfId="0" applyBorder="1"/>
    <xf numFmtId="0" fontId="0" fillId="66" borderId="155" xfId="0" applyFill="1" applyBorder="1"/>
    <xf numFmtId="0" fontId="0" fillId="0" borderId="155" xfId="0" applyBorder="1"/>
    <xf numFmtId="0" fontId="204" fillId="66" borderId="256" xfId="0" applyFont="1" applyFill="1" applyBorder="1" applyAlignment="1">
      <alignment horizontal="center"/>
    </xf>
    <xf numFmtId="0" fontId="204" fillId="66" borderId="258" xfId="0" applyFont="1" applyFill="1" applyBorder="1" applyAlignment="1">
      <alignment horizontal="center"/>
    </xf>
    <xf numFmtId="168" fontId="182" fillId="0" borderId="257" xfId="109" applyFont="1" applyBorder="1" applyAlignment="1">
      <alignment horizontal="center"/>
    </xf>
    <xf numFmtId="0" fontId="182" fillId="62" borderId="159" xfId="0" applyFont="1" applyFill="1" applyBorder="1"/>
    <xf numFmtId="0" fontId="182" fillId="62" borderId="162" xfId="0" applyFont="1" applyFill="1" applyBorder="1"/>
    <xf numFmtId="0" fontId="182" fillId="62" borderId="150" xfId="0" applyFont="1" applyFill="1" applyBorder="1"/>
    <xf numFmtId="188" fontId="181" fillId="66" borderId="219" xfId="0" applyNumberFormat="1" applyFont="1" applyFill="1" applyBorder="1"/>
    <xf numFmtId="9" fontId="181" fillId="0" borderId="220" xfId="0" applyNumberFormat="1" applyFont="1" applyBorder="1"/>
    <xf numFmtId="9" fontId="181" fillId="0" borderId="222" xfId="238" applyFont="1" applyBorder="1"/>
    <xf numFmtId="0" fontId="182" fillId="62" borderId="259" xfId="0" applyFont="1" applyFill="1" applyBorder="1"/>
    <xf numFmtId="42" fontId="181" fillId="66" borderId="260" xfId="0" applyNumberFormat="1" applyFont="1" applyFill="1" applyBorder="1"/>
    <xf numFmtId="9" fontId="181" fillId="0" borderId="220" xfId="238" applyFont="1" applyBorder="1"/>
    <xf numFmtId="0" fontId="182" fillId="62" borderId="178" xfId="0" applyFont="1" applyFill="1" applyBorder="1" applyAlignment="1">
      <alignment vertical="justify"/>
    </xf>
    <xf numFmtId="188" fontId="182" fillId="66" borderId="256" xfId="0" applyNumberFormat="1" applyFont="1" applyFill="1" applyBorder="1"/>
    <xf numFmtId="9" fontId="182" fillId="0" borderId="257" xfId="238" applyFont="1" applyBorder="1" applyAlignment="1">
      <alignment horizontal="center" vertical="center"/>
    </xf>
    <xf numFmtId="0" fontId="0" fillId="66" borderId="256" xfId="0" applyFill="1" applyBorder="1"/>
    <xf numFmtId="0" fontId="0" fillId="66" borderId="257" xfId="0" applyFill="1" applyBorder="1"/>
    <xf numFmtId="0" fontId="30" fillId="0" borderId="4" xfId="0" applyFont="1" applyBorder="1" applyAlignment="1">
      <alignment horizontal="center"/>
    </xf>
    <xf numFmtId="0" fontId="30" fillId="0" borderId="0" xfId="0" applyFont="1" applyAlignment="1">
      <alignment horizontal="center"/>
    </xf>
    <xf numFmtId="176" fontId="48" fillId="39" borderId="33" xfId="238" applyNumberFormat="1" applyFont="1" applyFill="1" applyBorder="1" applyAlignment="1" applyProtection="1">
      <alignment vertical="center"/>
    </xf>
    <xf numFmtId="176" fontId="48" fillId="48" borderId="89" xfId="238" applyNumberFormat="1" applyFont="1" applyFill="1" applyBorder="1" applyAlignment="1" applyProtection="1">
      <alignment vertical="center"/>
      <protection locked="0"/>
    </xf>
    <xf numFmtId="0" fontId="140" fillId="0" borderId="4" xfId="0" applyFont="1" applyBorder="1" applyAlignment="1">
      <alignment vertical="justify"/>
    </xf>
    <xf numFmtId="0" fontId="140" fillId="0" borderId="4" xfId="0" applyFont="1" applyBorder="1" applyAlignment="1">
      <alignment vertical="center"/>
    </xf>
    <xf numFmtId="0" fontId="0" fillId="48" borderId="101" xfId="0" applyFill="1" applyBorder="1" applyAlignment="1" applyProtection="1">
      <alignment vertical="justify"/>
      <protection locked="0"/>
    </xf>
    <xf numFmtId="0" fontId="0" fillId="48" borderId="1" xfId="0" applyFill="1" applyBorder="1" applyProtection="1">
      <protection locked="0"/>
    </xf>
    <xf numFmtId="0" fontId="0" fillId="48" borderId="73" xfId="0" applyFill="1" applyBorder="1" applyAlignment="1" applyProtection="1">
      <alignment vertical="justify"/>
      <protection locked="0"/>
    </xf>
    <xf numFmtId="0" fontId="0" fillId="48" borderId="103" xfId="0" applyFill="1" applyBorder="1" applyAlignment="1" applyProtection="1">
      <alignment vertical="justify"/>
      <protection locked="0"/>
    </xf>
    <xf numFmtId="0" fontId="0" fillId="48" borderId="87" xfId="0" applyFill="1" applyBorder="1" applyProtection="1">
      <protection locked="0"/>
    </xf>
    <xf numFmtId="0" fontId="0" fillId="39" borderId="194" xfId="0" applyFill="1" applyBorder="1" applyProtection="1">
      <protection locked="0"/>
    </xf>
    <xf numFmtId="0" fontId="0" fillId="39" borderId="194" xfId="0" applyFill="1" applyBorder="1" applyAlignment="1" applyProtection="1">
      <alignment horizontal="left"/>
      <protection locked="0"/>
    </xf>
    <xf numFmtId="0" fontId="0" fillId="39" borderId="194" xfId="0" applyFill="1" applyBorder="1"/>
    <xf numFmtId="0" fontId="30" fillId="0" borderId="139" xfId="0" applyFont="1" applyBorder="1" applyAlignment="1">
      <alignment horizontal="center" vertical="justify"/>
    </xf>
    <xf numFmtId="0" fontId="30" fillId="0" borderId="140" xfId="0" applyFont="1" applyBorder="1" applyAlignment="1">
      <alignment horizontal="center" vertical="justify"/>
    </xf>
    <xf numFmtId="0" fontId="30" fillId="0" borderId="140" xfId="0" applyFont="1" applyBorder="1" applyAlignment="1">
      <alignment horizontal="center"/>
    </xf>
    <xf numFmtId="0" fontId="30" fillId="41" borderId="0" xfId="0" applyFont="1" applyFill="1" applyAlignment="1">
      <alignment horizontal="center"/>
    </xf>
    <xf numFmtId="0" fontId="30" fillId="0" borderId="19" xfId="0" applyFont="1" applyBorder="1"/>
    <xf numFmtId="171" fontId="36" fillId="0" borderId="17" xfId="109" applyNumberFormat="1" applyFont="1" applyFill="1" applyBorder="1" applyProtection="1">
      <protection hidden="1"/>
    </xf>
    <xf numFmtId="171" fontId="30" fillId="0" borderId="17" xfId="109" applyNumberFormat="1" applyFont="1" applyFill="1" applyBorder="1" applyProtection="1">
      <protection hidden="1"/>
    </xf>
    <xf numFmtId="0" fontId="30" fillId="0" borderId="17" xfId="0" applyFont="1" applyBorder="1"/>
    <xf numFmtId="171" fontId="36" fillId="0" borderId="17" xfId="109" applyNumberFormat="1" applyFont="1" applyBorder="1" applyProtection="1">
      <protection hidden="1"/>
    </xf>
    <xf numFmtId="171" fontId="30" fillId="0" borderId="17" xfId="109" applyNumberFormat="1" applyFont="1" applyBorder="1" applyProtection="1">
      <protection hidden="1"/>
    </xf>
    <xf numFmtId="0" fontId="30" fillId="0" borderId="18" xfId="0" applyFont="1" applyBorder="1"/>
    <xf numFmtId="171" fontId="30" fillId="0" borderId="18" xfId="109" applyNumberFormat="1" applyFont="1" applyBorder="1" applyProtection="1">
      <protection hidden="1"/>
    </xf>
    <xf numFmtId="171" fontId="30" fillId="39" borderId="0" xfId="109" applyNumberFormat="1" applyFont="1" applyFill="1" applyBorder="1" applyProtection="1">
      <protection hidden="1"/>
    </xf>
    <xf numFmtId="9" fontId="36" fillId="39" borderId="4" xfId="238" applyFont="1" applyFill="1" applyBorder="1" applyProtection="1"/>
    <xf numFmtId="0" fontId="36" fillId="39" borderId="0" xfId="0" applyFont="1" applyFill="1"/>
    <xf numFmtId="171" fontId="36" fillId="39" borderId="4" xfId="109" applyNumberFormat="1" applyFont="1" applyFill="1" applyBorder="1" applyProtection="1"/>
    <xf numFmtId="171" fontId="36" fillId="0" borderId="0" xfId="0" applyNumberFormat="1" applyFont="1"/>
    <xf numFmtId="177" fontId="36" fillId="0" borderId="17" xfId="109" applyNumberFormat="1" applyFont="1" applyBorder="1" applyProtection="1">
      <protection hidden="1"/>
    </xf>
    <xf numFmtId="177" fontId="30" fillId="0" borderId="17" xfId="109" applyNumberFormat="1" applyFont="1" applyBorder="1" applyProtection="1">
      <protection hidden="1"/>
    </xf>
    <xf numFmtId="171" fontId="30" fillId="41" borderId="0" xfId="109" applyNumberFormat="1" applyFont="1" applyFill="1" applyBorder="1" applyProtection="1">
      <protection hidden="1"/>
    </xf>
    <xf numFmtId="9" fontId="36" fillId="41" borderId="4" xfId="238" applyFont="1" applyFill="1" applyBorder="1" applyProtection="1"/>
    <xf numFmtId="171" fontId="36" fillId="41" borderId="0" xfId="109" applyNumberFormat="1" applyFont="1" applyFill="1" applyBorder="1" applyProtection="1"/>
    <xf numFmtId="9" fontId="36" fillId="41" borderId="0" xfId="238" applyFont="1" applyFill="1" applyBorder="1" applyProtection="1"/>
    <xf numFmtId="171" fontId="36" fillId="41" borderId="4" xfId="109" applyNumberFormat="1" applyFont="1" applyFill="1" applyBorder="1" applyProtection="1"/>
    <xf numFmtId="176" fontId="30" fillId="0" borderId="0" xfId="238" applyNumberFormat="1" applyFont="1" applyAlignment="1" applyProtection="1">
      <alignment horizontal="left"/>
    </xf>
    <xf numFmtId="176" fontId="30" fillId="0" borderId="0" xfId="238" applyNumberFormat="1" applyFont="1" applyProtection="1"/>
    <xf numFmtId="176" fontId="30" fillId="0" borderId="0" xfId="238" applyNumberFormat="1" applyFont="1" applyAlignment="1" applyProtection="1">
      <alignment horizontal="left" vertical="top"/>
    </xf>
    <xf numFmtId="9" fontId="65" fillId="0" borderId="0" xfId="0" applyNumberFormat="1" applyFont="1" applyAlignment="1">
      <alignment horizontal="left"/>
    </xf>
    <xf numFmtId="0" fontId="36" fillId="55" borderId="4" xfId="0" applyFont="1" applyFill="1" applyBorder="1" applyAlignment="1">
      <alignment horizontal="center"/>
    </xf>
    <xf numFmtId="0" fontId="36" fillId="55" borderId="0" xfId="0" applyFont="1" applyFill="1" applyAlignment="1">
      <alignment horizontal="center"/>
    </xf>
    <xf numFmtId="177" fontId="30" fillId="0" borderId="17" xfId="112" applyNumberFormat="1" applyFont="1" applyFill="1" applyBorder="1" applyProtection="1">
      <protection hidden="1"/>
    </xf>
    <xf numFmtId="186" fontId="36" fillId="55" borderId="0" xfId="0" applyNumberFormat="1" applyFont="1" applyFill="1"/>
    <xf numFmtId="9" fontId="36" fillId="55" borderId="0" xfId="238" applyFont="1" applyFill="1"/>
    <xf numFmtId="9" fontId="36" fillId="55" borderId="4" xfId="238" applyFont="1" applyFill="1" applyBorder="1"/>
    <xf numFmtId="9" fontId="36" fillId="55" borderId="0" xfId="238" applyFont="1" applyFill="1" applyBorder="1"/>
    <xf numFmtId="168" fontId="36" fillId="55" borderId="4" xfId="109" applyFont="1" applyFill="1" applyBorder="1"/>
    <xf numFmtId="171" fontId="36" fillId="55" borderId="4" xfId="109" applyNumberFormat="1" applyFont="1" applyFill="1" applyBorder="1"/>
    <xf numFmtId="0" fontId="68" fillId="0" borderId="17" xfId="0" applyFont="1" applyBorder="1" applyAlignment="1">
      <alignment horizontal="right"/>
    </xf>
    <xf numFmtId="177" fontId="68" fillId="0" borderId="17" xfId="112" applyNumberFormat="1" applyFont="1" applyFill="1" applyBorder="1" applyProtection="1">
      <protection hidden="1"/>
    </xf>
    <xf numFmtId="168" fontId="36" fillId="55" borderId="0" xfId="109" applyFont="1" applyFill="1"/>
    <xf numFmtId="195" fontId="68" fillId="0" borderId="17" xfId="112" applyNumberFormat="1" applyFont="1" applyFill="1" applyBorder="1" applyProtection="1">
      <protection hidden="1"/>
    </xf>
    <xf numFmtId="195" fontId="36" fillId="0" borderId="17" xfId="112" applyNumberFormat="1" applyFont="1" applyFill="1" applyBorder="1" applyProtection="1">
      <protection hidden="1"/>
    </xf>
    <xf numFmtId="177" fontId="30" fillId="0" borderId="18" xfId="112" applyNumberFormat="1" applyFont="1" applyFill="1" applyBorder="1" applyProtection="1">
      <protection hidden="1"/>
    </xf>
    <xf numFmtId="177" fontId="36" fillId="55" borderId="0" xfId="0" applyNumberFormat="1" applyFont="1" applyFill="1"/>
    <xf numFmtId="170" fontId="36" fillId="55" borderId="0" xfId="0" applyNumberFormat="1" applyFont="1" applyFill="1"/>
    <xf numFmtId="164" fontId="36" fillId="55" borderId="0" xfId="0" applyNumberFormat="1" applyFont="1" applyFill="1"/>
    <xf numFmtId="177" fontId="30" fillId="41" borderId="0" xfId="112" applyNumberFormat="1" applyFont="1" applyFill="1" applyBorder="1" applyProtection="1">
      <protection hidden="1"/>
    </xf>
    <xf numFmtId="0" fontId="59" fillId="0" borderId="19" xfId="0" applyFont="1" applyBorder="1"/>
    <xf numFmtId="0" fontId="30" fillId="0" borderId="32" xfId="0" applyFont="1" applyBorder="1"/>
    <xf numFmtId="171" fontId="36" fillId="0" borderId="17" xfId="112" applyNumberFormat="1" applyFont="1" applyFill="1" applyBorder="1" applyProtection="1">
      <protection hidden="1"/>
    </xf>
    <xf numFmtId="171" fontId="30" fillId="0" borderId="17" xfId="112" applyNumberFormat="1" applyFont="1" applyFill="1" applyBorder="1" applyProtection="1">
      <protection hidden="1"/>
    </xf>
    <xf numFmtId="177" fontId="36" fillId="0" borderId="0" xfId="0" applyNumberFormat="1" applyFont="1"/>
    <xf numFmtId="185" fontId="36" fillId="55" borderId="0" xfId="0" applyNumberFormat="1" applyFont="1" applyFill="1"/>
    <xf numFmtId="1" fontId="36" fillId="0" borderId="17" xfId="112" applyNumberFormat="1" applyFont="1" applyFill="1" applyBorder="1" applyProtection="1">
      <protection hidden="1"/>
    </xf>
    <xf numFmtId="171" fontId="36" fillId="55" borderId="0" xfId="0" applyNumberFormat="1" applyFont="1" applyFill="1"/>
    <xf numFmtId="171" fontId="30" fillId="0" borderId="23" xfId="0" applyNumberFormat="1" applyFont="1" applyBorder="1"/>
    <xf numFmtId="171" fontId="36" fillId="0" borderId="32" xfId="112" applyNumberFormat="1" applyFont="1" applyFill="1" applyBorder="1" applyProtection="1">
      <protection hidden="1"/>
    </xf>
    <xf numFmtId="171" fontId="68" fillId="0" borderId="23" xfId="0" applyNumberFormat="1" applyFont="1" applyBorder="1" applyAlignment="1">
      <alignment horizontal="right"/>
    </xf>
    <xf numFmtId="168" fontId="68" fillId="0" borderId="17" xfId="112" applyFont="1" applyBorder="1" applyProtection="1">
      <protection hidden="1"/>
    </xf>
    <xf numFmtId="171" fontId="68" fillId="40" borderId="17" xfId="112" applyNumberFormat="1" applyFont="1" applyFill="1" applyBorder="1" applyProtection="1">
      <protection hidden="1"/>
    </xf>
    <xf numFmtId="171" fontId="68" fillId="40" borderId="32" xfId="112" applyNumberFormat="1" applyFont="1" applyFill="1" applyBorder="1" applyProtection="1">
      <protection hidden="1"/>
    </xf>
    <xf numFmtId="171" fontId="30" fillId="0" borderId="18" xfId="112" applyNumberFormat="1" applyFont="1" applyBorder="1" applyProtection="1">
      <protection hidden="1"/>
    </xf>
    <xf numFmtId="171" fontId="30" fillId="0" borderId="38" xfId="0" applyNumberFormat="1" applyFont="1" applyBorder="1"/>
    <xf numFmtId="177" fontId="30" fillId="0" borderId="18" xfId="112" applyNumberFormat="1" applyFont="1" applyBorder="1" applyProtection="1">
      <protection hidden="1"/>
    </xf>
    <xf numFmtId="171" fontId="30" fillId="41" borderId="0" xfId="112" applyNumberFormat="1" applyFont="1" applyFill="1" applyBorder="1" applyProtection="1">
      <protection hidden="1"/>
    </xf>
    <xf numFmtId="171" fontId="30" fillId="41" borderId="0" xfId="0" applyNumberFormat="1" applyFont="1" applyFill="1"/>
    <xf numFmtId="9" fontId="36" fillId="41" borderId="0" xfId="238" applyFont="1" applyFill="1" applyProtection="1"/>
    <xf numFmtId="0" fontId="36" fillId="0" borderId="0" xfId="0" applyFont="1" applyAlignment="1">
      <alignment horizontal="center"/>
    </xf>
    <xf numFmtId="0" fontId="30" fillId="0" borderId="20" xfId="0" applyFont="1" applyBorder="1" applyAlignment="1">
      <alignment horizontal="justify" vertical="center" wrapText="1"/>
    </xf>
    <xf numFmtId="0" fontId="36" fillId="0" borderId="23" xfId="0" applyFont="1" applyBorder="1" applyAlignment="1">
      <alignment horizontal="right" vertical="center" wrapText="1"/>
    </xf>
    <xf numFmtId="0" fontId="36" fillId="0" borderId="29" xfId="0" applyFont="1" applyBorder="1" applyAlignment="1">
      <alignment horizontal="right" vertical="center" wrapText="1"/>
    </xf>
    <xf numFmtId="170" fontId="36" fillId="0" borderId="30" xfId="0" applyNumberFormat="1" applyFont="1" applyBorder="1" applyProtection="1">
      <protection hidden="1"/>
    </xf>
    <xf numFmtId="170" fontId="36" fillId="0" borderId="31" xfId="0" applyNumberFormat="1" applyFont="1" applyBorder="1" applyProtection="1">
      <protection hidden="1"/>
    </xf>
    <xf numFmtId="0" fontId="36" fillId="0" borderId="40" xfId="0" applyFont="1" applyBorder="1"/>
    <xf numFmtId="170" fontId="36" fillId="0" borderId="27" xfId="0" applyNumberFormat="1" applyFont="1" applyBorder="1" applyProtection="1">
      <protection hidden="1"/>
    </xf>
    <xf numFmtId="170" fontId="36" fillId="0" borderId="28" xfId="0" applyNumberFormat="1" applyFont="1" applyBorder="1" applyProtection="1">
      <protection hidden="1"/>
    </xf>
    <xf numFmtId="0" fontId="30" fillId="0" borderId="43" xfId="0" applyFont="1" applyBorder="1"/>
    <xf numFmtId="171" fontId="36" fillId="0" borderId="18" xfId="109" applyNumberFormat="1" applyFont="1" applyBorder="1" applyProtection="1">
      <protection hidden="1"/>
    </xf>
    <xf numFmtId="170" fontId="36" fillId="0" borderId="18" xfId="109" applyNumberFormat="1" applyFont="1" applyBorder="1" applyProtection="1">
      <protection hidden="1"/>
    </xf>
    <xf numFmtId="177" fontId="36" fillId="0" borderId="18" xfId="109" applyNumberFormat="1" applyFont="1" applyBorder="1" applyProtection="1">
      <protection hidden="1"/>
    </xf>
    <xf numFmtId="193" fontId="36" fillId="0" borderId="18" xfId="109" applyNumberFormat="1" applyFont="1" applyBorder="1" applyProtection="1">
      <protection hidden="1"/>
    </xf>
    <xf numFmtId="177" fontId="36" fillId="0" borderId="29" xfId="109" applyNumberFormat="1" applyFont="1" applyBorder="1" applyProtection="1">
      <protection hidden="1"/>
    </xf>
    <xf numFmtId="196" fontId="36" fillId="0" borderId="29" xfId="109" applyNumberFormat="1" applyFont="1" applyBorder="1" applyProtection="1">
      <protection hidden="1"/>
    </xf>
    <xf numFmtId="171" fontId="36" fillId="0" borderId="0" xfId="109" applyNumberFormat="1" applyFont="1" applyBorder="1" applyProtection="1">
      <protection hidden="1"/>
    </xf>
    <xf numFmtId="177" fontId="36" fillId="0" borderId="0" xfId="109" applyNumberFormat="1" applyFont="1" applyBorder="1" applyProtection="1">
      <protection hidden="1"/>
    </xf>
    <xf numFmtId="171" fontId="36" fillId="41" borderId="0" xfId="109" applyNumberFormat="1" applyFont="1" applyFill="1" applyBorder="1" applyProtection="1">
      <protection hidden="1"/>
    </xf>
    <xf numFmtId="177" fontId="36" fillId="41" borderId="0" xfId="109" applyNumberFormat="1" applyFont="1" applyFill="1" applyBorder="1" applyProtection="1">
      <protection hidden="1"/>
    </xf>
    <xf numFmtId="171" fontId="36" fillId="0" borderId="0" xfId="109" applyNumberFormat="1" applyFont="1" applyProtection="1"/>
    <xf numFmtId="171" fontId="65" fillId="0" borderId="0" xfId="0" applyNumberFormat="1" applyFont="1"/>
    <xf numFmtId="9" fontId="36" fillId="0" borderId="0" xfId="238" applyFont="1" applyBorder="1" applyProtection="1"/>
    <xf numFmtId="177" fontId="36" fillId="0" borderId="0" xfId="109" applyNumberFormat="1" applyFont="1" applyProtection="1"/>
    <xf numFmtId="9" fontId="36" fillId="0" borderId="0" xfId="238" applyFont="1" applyProtection="1"/>
    <xf numFmtId="0" fontId="36" fillId="0" borderId="2" xfId="0" applyFont="1" applyBorder="1"/>
    <xf numFmtId="0" fontId="36" fillId="0" borderId="45" xfId="0" applyFont="1" applyBorder="1"/>
    <xf numFmtId="0" fontId="30" fillId="0" borderId="40" xfId="0" applyFont="1" applyBorder="1" applyAlignment="1">
      <alignment horizontal="justify" vertical="center" wrapText="1"/>
    </xf>
    <xf numFmtId="0" fontId="30" fillId="0" borderId="46" xfId="0" applyFont="1" applyBorder="1" applyAlignment="1">
      <alignment horizontal="left" vertical="center" wrapText="1"/>
    </xf>
    <xf numFmtId="0" fontId="30" fillId="0" borderId="47" xfId="156" applyFont="1" applyBorder="1" applyAlignment="1">
      <alignment vertical="justify"/>
    </xf>
    <xf numFmtId="0" fontId="30" fillId="0" borderId="48" xfId="156" applyFont="1" applyBorder="1" applyAlignment="1">
      <alignment vertical="justify"/>
    </xf>
    <xf numFmtId="0" fontId="30" fillId="0" borderId="49" xfId="0" applyFont="1" applyBorder="1" applyAlignment="1">
      <alignment horizontal="justify" vertical="center" wrapText="1"/>
    </xf>
    <xf numFmtId="3" fontId="36" fillId="0" borderId="50" xfId="0" applyNumberFormat="1" applyFont="1" applyBorder="1" applyAlignment="1">
      <alignment horizontal="justify" vertical="center" wrapText="1"/>
    </xf>
    <xf numFmtId="177" fontId="36" fillId="0" borderId="21" xfId="109" applyNumberFormat="1" applyFont="1" applyBorder="1" applyProtection="1">
      <protection hidden="1"/>
    </xf>
    <xf numFmtId="0" fontId="30" fillId="0" borderId="51" xfId="0" applyFont="1" applyBorder="1" applyAlignment="1">
      <alignment horizontal="justify" vertical="center" wrapText="1"/>
    </xf>
    <xf numFmtId="3" fontId="36" fillId="0" borderId="52" xfId="0" applyNumberFormat="1" applyFont="1" applyBorder="1" applyAlignment="1">
      <alignment horizontal="justify" vertical="center" wrapText="1"/>
    </xf>
    <xf numFmtId="177" fontId="36" fillId="0" borderId="4" xfId="109" applyNumberFormat="1" applyFont="1" applyBorder="1" applyProtection="1">
      <protection hidden="1"/>
    </xf>
    <xf numFmtId="0" fontId="36" fillId="0" borderId="54" xfId="0" applyFont="1" applyBorder="1" applyAlignment="1">
      <alignment horizontal="justify" vertical="center" wrapText="1"/>
    </xf>
    <xf numFmtId="177" fontId="30" fillId="0" borderId="0" xfId="0" applyNumberFormat="1" applyFont="1"/>
    <xf numFmtId="0" fontId="36" fillId="40" borderId="0" xfId="0" applyFont="1" applyFill="1"/>
    <xf numFmtId="9" fontId="36" fillId="39" borderId="0" xfId="238" applyFont="1" applyFill="1" applyBorder="1" applyProtection="1">
      <protection locked="0"/>
    </xf>
    <xf numFmtId="171" fontId="38" fillId="39" borderId="0" xfId="109" applyNumberFormat="1" applyFont="1" applyFill="1" applyBorder="1" applyProtection="1">
      <protection locked="0"/>
    </xf>
    <xf numFmtId="0" fontId="38" fillId="39" borderId="0" xfId="0" applyFont="1" applyFill="1" applyProtection="1">
      <protection locked="0"/>
    </xf>
    <xf numFmtId="171" fontId="38" fillId="39" borderId="0" xfId="0" applyNumberFormat="1" applyFont="1" applyFill="1" applyProtection="1">
      <protection locked="0"/>
    </xf>
    <xf numFmtId="171" fontId="38" fillId="41" borderId="4" xfId="0" applyNumberFormat="1" applyFont="1" applyFill="1" applyBorder="1"/>
    <xf numFmtId="175" fontId="38" fillId="39" borderId="0" xfId="0" applyNumberFormat="1" applyFont="1" applyFill="1" applyProtection="1">
      <protection locked="0"/>
    </xf>
    <xf numFmtId="1" fontId="38" fillId="39" borderId="0" xfId="0" applyNumberFormat="1" applyFont="1" applyFill="1" applyProtection="1">
      <protection locked="0"/>
    </xf>
    <xf numFmtId="171" fontId="36" fillId="39" borderId="0" xfId="0" applyNumberFormat="1" applyFont="1" applyFill="1" applyProtection="1">
      <protection locked="0"/>
    </xf>
    <xf numFmtId="0" fontId="32" fillId="41" borderId="0" xfId="0" applyFont="1" applyFill="1" applyProtection="1">
      <protection locked="0"/>
    </xf>
    <xf numFmtId="0" fontId="30" fillId="41" borderId="0" xfId="0" applyFont="1" applyFill="1" applyProtection="1">
      <protection locked="0"/>
    </xf>
    <xf numFmtId="0" fontId="30" fillId="39" borderId="0" xfId="0" applyFont="1" applyFill="1" applyProtection="1">
      <protection locked="0"/>
    </xf>
    <xf numFmtId="0" fontId="30" fillId="40" borderId="0" xfId="0" applyFont="1" applyFill="1"/>
    <xf numFmtId="0" fontId="32" fillId="40" borderId="0" xfId="0" applyFont="1" applyFill="1"/>
    <xf numFmtId="9" fontId="59" fillId="40" borderId="0" xfId="238" applyFont="1" applyFill="1" applyBorder="1" applyProtection="1"/>
    <xf numFmtId="0" fontId="38" fillId="40" borderId="0" xfId="0" applyFont="1" applyFill="1"/>
    <xf numFmtId="0" fontId="36" fillId="40" borderId="0" xfId="0" applyFont="1" applyFill="1" applyAlignment="1">
      <alignment horizontal="right"/>
    </xf>
    <xf numFmtId="176" fontId="48" fillId="0" borderId="58" xfId="238" applyNumberFormat="1" applyFont="1" applyFill="1" applyBorder="1" applyAlignment="1" applyProtection="1">
      <alignment horizontal="center" vertical="justify"/>
    </xf>
    <xf numFmtId="176" fontId="48" fillId="0" borderId="59" xfId="238" applyNumberFormat="1" applyFont="1" applyFill="1" applyBorder="1" applyAlignment="1" applyProtection="1">
      <alignment horizontal="center" vertical="justify"/>
    </xf>
    <xf numFmtId="176" fontId="48" fillId="0" borderId="29" xfId="238" applyNumberFormat="1" applyFont="1" applyFill="1" applyBorder="1" applyAlignment="1" applyProtection="1">
      <alignment horizontal="center" vertical="justify"/>
    </xf>
    <xf numFmtId="171" fontId="48" fillId="0" borderId="55" xfId="109" applyNumberFormat="1" applyFont="1" applyBorder="1" applyAlignment="1" applyProtection="1">
      <alignment horizontal="center" vertical="justify"/>
    </xf>
    <xf numFmtId="168" fontId="48" fillId="0" borderId="0" xfId="109" applyFont="1" applyAlignment="1" applyProtection="1">
      <alignment vertical="center"/>
    </xf>
    <xf numFmtId="0" fontId="37" fillId="0" borderId="62" xfId="0" applyFont="1" applyBorder="1" applyAlignment="1">
      <alignment horizontal="center" vertical="center"/>
    </xf>
    <xf numFmtId="177" fontId="48" fillId="0" borderId="64" xfId="109" applyNumberFormat="1" applyFont="1" applyBorder="1" applyAlignment="1" applyProtection="1">
      <alignment horizontal="center" vertical="center"/>
    </xf>
    <xf numFmtId="177" fontId="48" fillId="0" borderId="55" xfId="109" applyNumberFormat="1" applyFont="1" applyFill="1" applyBorder="1" applyAlignment="1" applyProtection="1">
      <alignment horizontal="center" vertical="center"/>
    </xf>
    <xf numFmtId="171" fontId="48" fillId="0" borderId="55" xfId="109" applyNumberFormat="1" applyFont="1" applyBorder="1" applyProtection="1"/>
    <xf numFmtId="9" fontId="48" fillId="0" borderId="144" xfId="238" applyFont="1" applyBorder="1" applyAlignment="1" applyProtection="1">
      <alignment horizontal="center" vertical="justify"/>
    </xf>
    <xf numFmtId="171" fontId="48" fillId="0" borderId="67" xfId="109" applyNumberFormat="1" applyFont="1" applyBorder="1" applyProtection="1"/>
    <xf numFmtId="9" fontId="48" fillId="0" borderId="67" xfId="238" applyFont="1" applyBorder="1" applyAlignment="1" applyProtection="1">
      <alignment horizontal="center" vertical="justify"/>
    </xf>
    <xf numFmtId="176" fontId="48" fillId="0" borderId="0" xfId="238" applyNumberFormat="1" applyFont="1" applyFill="1" applyBorder="1" applyAlignment="1" applyProtection="1">
      <alignment horizontal="center" vertical="center"/>
    </xf>
    <xf numFmtId="171" fontId="48" fillId="0" borderId="0" xfId="109" applyNumberFormat="1" applyFont="1" applyProtection="1"/>
    <xf numFmtId="0" fontId="8" fillId="0" borderId="4" xfId="0" applyFont="1" applyBorder="1" applyAlignment="1">
      <alignment horizontal="center"/>
    </xf>
    <xf numFmtId="0" fontId="8" fillId="0" borderId="72" xfId="0" applyFont="1" applyBorder="1"/>
    <xf numFmtId="189" fontId="1" fillId="0" borderId="4" xfId="112" applyNumberFormat="1" applyFont="1" applyBorder="1" applyAlignment="1" applyProtection="1">
      <alignment horizontal="center"/>
    </xf>
    <xf numFmtId="164" fontId="1" fillId="0" borderId="4" xfId="112" applyNumberFormat="1" applyFont="1" applyBorder="1" applyAlignment="1" applyProtection="1">
      <alignment horizontal="center"/>
    </xf>
    <xf numFmtId="9" fontId="1" fillId="0" borderId="4" xfId="256" applyFont="1" applyBorder="1" applyAlignment="1" applyProtection="1">
      <alignment horizontal="center"/>
    </xf>
    <xf numFmtId="0" fontId="30" fillId="0" borderId="4" xfId="0" applyFont="1" applyBorder="1" applyAlignment="1">
      <alignment horizontal="center" vertical="justify"/>
    </xf>
    <xf numFmtId="0" fontId="46" fillId="23" borderId="0" xfId="158" applyFont="1" applyFill="1" applyAlignment="1" applyProtection="1">
      <alignment vertical="top"/>
      <protection locked="0"/>
    </xf>
    <xf numFmtId="0" fontId="30" fillId="0" borderId="4" xfId="155" applyFont="1" applyBorder="1" applyAlignment="1">
      <alignment vertical="center"/>
    </xf>
    <xf numFmtId="0" fontId="30" fillId="0" borderId="4" xfId="155" applyFont="1" applyBorder="1" applyAlignment="1">
      <alignment vertical="center" wrapText="1"/>
    </xf>
    <xf numFmtId="0" fontId="30" fillId="0" borderId="79" xfId="0" applyFont="1" applyBorder="1"/>
    <xf numFmtId="0" fontId="46" fillId="23" borderId="0" xfId="162" applyFont="1" applyFill="1" applyAlignment="1" applyProtection="1">
      <alignment wrapText="1"/>
      <protection locked="0"/>
    </xf>
    <xf numFmtId="0" fontId="30" fillId="0" borderId="65" xfId="0" applyFont="1" applyBorder="1"/>
    <xf numFmtId="0" fontId="30" fillId="0" borderId="66" xfId="0" applyFont="1" applyBorder="1"/>
    <xf numFmtId="0" fontId="46" fillId="23" borderId="0" xfId="162" applyFont="1" applyFill="1" applyAlignment="1" applyProtection="1">
      <alignment horizontal="left"/>
      <protection locked="0"/>
    </xf>
    <xf numFmtId="0" fontId="36" fillId="39" borderId="0" xfId="0" applyFont="1" applyFill="1" applyAlignment="1" applyProtection="1">
      <alignment horizontal="center"/>
      <protection locked="0"/>
    </xf>
    <xf numFmtId="0" fontId="36" fillId="0" borderId="21" xfId="155" applyFont="1" applyBorder="1" applyAlignment="1">
      <alignment horizontal="center" vertical="center" wrapText="1"/>
    </xf>
    <xf numFmtId="190" fontId="36" fillId="0" borderId="21" xfId="155" applyNumberFormat="1" applyFont="1" applyBorder="1" applyAlignment="1">
      <alignment horizontal="center" vertical="center" wrapText="1"/>
    </xf>
    <xf numFmtId="9" fontId="36" fillId="0" borderId="21" xfId="238" applyFont="1" applyBorder="1" applyAlignment="1" applyProtection="1">
      <alignment horizontal="center" vertical="center" wrapText="1"/>
    </xf>
    <xf numFmtId="191" fontId="36" fillId="0" borderId="21" xfId="155" applyNumberFormat="1" applyFont="1" applyBorder="1" applyAlignment="1">
      <alignment horizontal="center" vertical="center" wrapText="1"/>
    </xf>
    <xf numFmtId="42" fontId="36" fillId="0" borderId="21" xfId="155" applyNumberFormat="1" applyFont="1" applyBorder="1" applyAlignment="1">
      <alignment horizontal="center" vertical="center" wrapText="1"/>
    </xf>
    <xf numFmtId="190" fontId="36" fillId="0" borderId="4" xfId="155" applyNumberFormat="1" applyFont="1" applyBorder="1" applyAlignment="1">
      <alignment horizontal="center" vertical="center" wrapText="1"/>
    </xf>
    <xf numFmtId="42" fontId="36" fillId="0" borderId="4" xfId="155" applyNumberFormat="1" applyFont="1" applyBorder="1" applyAlignment="1">
      <alignment horizontal="center" vertical="center" wrapText="1"/>
    </xf>
    <xf numFmtId="171" fontId="36" fillId="0" borderId="21" xfId="109" applyNumberFormat="1" applyFont="1" applyBorder="1" applyAlignment="1" applyProtection="1">
      <alignment horizontal="center" vertical="center"/>
    </xf>
    <xf numFmtId="0" fontId="36" fillId="0" borderId="4" xfId="155" applyFont="1" applyBorder="1" applyAlignment="1">
      <alignment horizontal="center" vertical="center"/>
    </xf>
    <xf numFmtId="0" fontId="36" fillId="0" borderId="4" xfId="155" applyFont="1" applyBorder="1" applyAlignment="1">
      <alignment horizontal="center" vertical="center" wrapText="1"/>
    </xf>
    <xf numFmtId="190" fontId="36" fillId="50" borderId="21" xfId="155" applyNumberFormat="1" applyFont="1" applyFill="1" applyBorder="1" applyAlignment="1" applyProtection="1">
      <alignment horizontal="center" vertical="center" wrapText="1"/>
      <protection locked="0"/>
    </xf>
    <xf numFmtId="191" fontId="36" fillId="50" borderId="21" xfId="155" applyNumberFormat="1" applyFont="1" applyFill="1" applyBorder="1" applyAlignment="1" applyProtection="1">
      <alignment horizontal="center" vertical="center" wrapText="1"/>
      <protection locked="0"/>
    </xf>
    <xf numFmtId="42" fontId="36" fillId="50" borderId="4" xfId="155" applyNumberFormat="1" applyFont="1" applyFill="1" applyBorder="1" applyAlignment="1" applyProtection="1">
      <alignment horizontal="center" vertical="center" wrapText="1"/>
      <protection locked="0"/>
    </xf>
    <xf numFmtId="190" fontId="36" fillId="50" borderId="4" xfId="155" applyNumberFormat="1" applyFont="1" applyFill="1" applyBorder="1" applyAlignment="1" applyProtection="1">
      <alignment horizontal="center" vertical="center" wrapText="1"/>
      <protection locked="0"/>
    </xf>
    <xf numFmtId="171" fontId="36" fillId="50" borderId="4" xfId="109" applyNumberFormat="1" applyFont="1" applyFill="1" applyBorder="1" applyAlignment="1" applyProtection="1">
      <alignment horizontal="center" vertical="center"/>
      <protection locked="0"/>
    </xf>
    <xf numFmtId="0" fontId="36" fillId="50" borderId="4" xfId="155" applyFont="1" applyFill="1" applyBorder="1" applyAlignment="1" applyProtection="1">
      <alignment horizontal="center" vertical="center"/>
      <protection locked="0"/>
    </xf>
    <xf numFmtId="171" fontId="36" fillId="50" borderId="21" xfId="109" applyNumberFormat="1" applyFont="1" applyFill="1" applyBorder="1" applyAlignment="1" applyProtection="1">
      <alignment horizontal="center" vertical="center"/>
      <protection locked="0"/>
    </xf>
    <xf numFmtId="9" fontId="36" fillId="24" borderId="0" xfId="238" applyFont="1" applyFill="1" applyAlignment="1" applyProtection="1">
      <alignment horizontal="center"/>
    </xf>
    <xf numFmtId="188" fontId="36" fillId="24" borderId="0" xfId="0" applyNumberFormat="1" applyFont="1" applyFill="1" applyAlignment="1">
      <alignment horizontal="center"/>
    </xf>
    <xf numFmtId="0" fontId="8" fillId="30" borderId="0" xfId="0" applyFont="1" applyFill="1" applyAlignment="1">
      <alignment vertical="justify"/>
    </xf>
    <xf numFmtId="0" fontId="8" fillId="30" borderId="0" xfId="0" applyFont="1" applyFill="1" applyAlignment="1">
      <alignment horizontal="center" vertical="justify"/>
    </xf>
    <xf numFmtId="0" fontId="8" fillId="30" borderId="0" xfId="0" applyFont="1" applyFill="1" applyAlignment="1">
      <alignment horizontal="left" vertical="justify"/>
    </xf>
    <xf numFmtId="9" fontId="8" fillId="30" borderId="0" xfId="238" applyFont="1" applyFill="1" applyAlignment="1" applyProtection="1">
      <alignment horizontal="left"/>
    </xf>
    <xf numFmtId="0" fontId="21" fillId="23" borderId="13" xfId="0" applyFont="1" applyFill="1" applyBorder="1" applyProtection="1">
      <protection locked="0"/>
    </xf>
    <xf numFmtId="0" fontId="21" fillId="23" borderId="13" xfId="0" applyFont="1" applyFill="1" applyBorder="1" applyAlignment="1" applyProtection="1">
      <alignment horizontal="left"/>
      <protection locked="0"/>
    </xf>
    <xf numFmtId="0" fontId="21" fillId="23" borderId="0" xfId="0" applyFont="1" applyFill="1" applyProtection="1">
      <protection locked="0"/>
    </xf>
    <xf numFmtId="0" fontId="21" fillId="23" borderId="0" xfId="0" applyFont="1" applyFill="1" applyAlignment="1" applyProtection="1">
      <alignment horizontal="left"/>
      <protection locked="0"/>
    </xf>
    <xf numFmtId="0" fontId="38" fillId="23" borderId="0" xfId="0" applyFont="1" applyFill="1" applyAlignment="1" applyProtection="1">
      <alignment horizontal="center"/>
      <protection locked="0"/>
    </xf>
    <xf numFmtId="0" fontId="21" fillId="23" borderId="4" xfId="0" applyFont="1" applyFill="1" applyBorder="1" applyAlignment="1" applyProtection="1">
      <alignment horizontal="left"/>
      <protection locked="0"/>
    </xf>
    <xf numFmtId="188" fontId="36" fillId="48" borderId="4" xfId="0" applyNumberFormat="1" applyFont="1" applyFill="1" applyBorder="1" applyAlignment="1" applyProtection="1">
      <alignment horizontal="center"/>
      <protection locked="0"/>
    </xf>
    <xf numFmtId="0" fontId="8" fillId="24" borderId="0" xfId="0" applyFont="1" applyFill="1"/>
    <xf numFmtId="0" fontId="8" fillId="39" borderId="0" xfId="0" applyFont="1" applyFill="1" applyProtection="1">
      <protection locked="0"/>
    </xf>
    <xf numFmtId="0" fontId="8" fillId="0" borderId="0" xfId="0" applyFont="1"/>
    <xf numFmtId="0" fontId="8" fillId="0" borderId="0" xfId="0" applyFont="1" applyAlignment="1">
      <alignment horizontal="left"/>
    </xf>
    <xf numFmtId="0" fontId="30" fillId="23" borderId="0" xfId="0" applyFont="1" applyFill="1" applyProtection="1">
      <protection locked="0"/>
    </xf>
    <xf numFmtId="0" fontId="30" fillId="23" borderId="0" xfId="0" applyFont="1" applyFill="1" applyAlignment="1" applyProtection="1">
      <alignment horizontal="left"/>
      <protection locked="0"/>
    </xf>
    <xf numFmtId="188" fontId="36" fillId="23" borderId="0" xfId="0" applyNumberFormat="1" applyFont="1" applyFill="1" applyAlignment="1" applyProtection="1">
      <alignment horizontal="center"/>
      <protection locked="0"/>
    </xf>
    <xf numFmtId="0" fontId="8" fillId="23" borderId="0" xfId="0" applyFont="1" applyFill="1" applyAlignment="1" applyProtection="1">
      <alignment horizontal="left"/>
      <protection locked="0"/>
    </xf>
    <xf numFmtId="0" fontId="8" fillId="0" borderId="0" xfId="0" applyFont="1" applyAlignment="1">
      <alignment horizontal="center"/>
    </xf>
    <xf numFmtId="187" fontId="8" fillId="23" borderId="4" xfId="0" applyNumberFormat="1" applyFont="1" applyFill="1" applyBorder="1" applyProtection="1">
      <protection locked="0"/>
    </xf>
    <xf numFmtId="187" fontId="8" fillId="0" borderId="0" xfId="0" applyNumberFormat="1" applyFont="1"/>
    <xf numFmtId="0" fontId="30" fillId="0" borderId="0" xfId="0" applyFont="1" applyAlignment="1">
      <alignment horizontal="left" vertical="center"/>
    </xf>
    <xf numFmtId="0" fontId="154" fillId="0" borderId="13" xfId="0" applyFont="1" applyBorder="1" applyAlignment="1">
      <alignment horizontal="left"/>
    </xf>
    <xf numFmtId="0" fontId="110" fillId="0" borderId="13" xfId="0" applyFont="1" applyBorder="1"/>
    <xf numFmtId="172" fontId="38" fillId="0" borderId="4" xfId="0" applyNumberFormat="1" applyFont="1" applyBorder="1" applyAlignment="1">
      <alignment horizontal="center"/>
    </xf>
    <xf numFmtId="0" fontId="8" fillId="0" borderId="4" xfId="0" applyFont="1" applyBorder="1" applyAlignment="1">
      <alignment vertical="justify"/>
    </xf>
    <xf numFmtId="11" fontId="8" fillId="0" borderId="4" xfId="0" applyNumberFormat="1" applyFont="1" applyBorder="1"/>
    <xf numFmtId="194" fontId="168" fillId="24" borderId="0" xfId="0" applyNumberFormat="1" applyFont="1" applyFill="1"/>
    <xf numFmtId="10" fontId="112" fillId="0" borderId="0" xfId="238" applyNumberFormat="1" applyFont="1" applyAlignment="1" applyProtection="1">
      <alignment vertical="justify"/>
    </xf>
    <xf numFmtId="177" fontId="48" fillId="0" borderId="55" xfId="109" applyNumberFormat="1" applyFont="1" applyFill="1" applyBorder="1" applyAlignment="1" applyProtection="1">
      <alignment horizontal="center" vertical="center" wrapText="1"/>
    </xf>
    <xf numFmtId="0" fontId="71" fillId="0" borderId="0" xfId="0" applyFont="1" applyAlignment="1">
      <alignment vertical="justify"/>
    </xf>
    <xf numFmtId="174" fontId="71" fillId="0" borderId="0" xfId="0" applyNumberFormat="1" applyFont="1" applyAlignment="1">
      <alignment vertical="justify"/>
    </xf>
    <xf numFmtId="0" fontId="71" fillId="24" borderId="0" xfId="0" applyFont="1" applyFill="1" applyAlignment="1">
      <alignment vertical="justify"/>
    </xf>
    <xf numFmtId="174" fontId="71" fillId="24" borderId="0" xfId="0" applyNumberFormat="1" applyFont="1" applyFill="1" applyAlignment="1">
      <alignment vertical="justify"/>
    </xf>
    <xf numFmtId="0" fontId="110" fillId="0" borderId="0" xfId="0" applyFont="1" applyAlignment="1">
      <alignment horizontal="right" vertical="center"/>
    </xf>
    <xf numFmtId="0" fontId="0" fillId="46" borderId="0" xfId="0" applyFill="1" applyAlignment="1">
      <alignment vertical="center"/>
    </xf>
    <xf numFmtId="0" fontId="60" fillId="0" borderId="0" xfId="0" applyFont="1" applyAlignment="1">
      <alignment vertical="center"/>
    </xf>
    <xf numFmtId="171" fontId="48" fillId="0" borderId="57" xfId="109" applyNumberFormat="1" applyFont="1" applyBorder="1" applyAlignment="1" applyProtection="1">
      <alignment horizontal="center" vertical="center"/>
    </xf>
    <xf numFmtId="168" fontId="112" fillId="0" borderId="0" xfId="109" applyFont="1" applyAlignment="1">
      <alignment vertical="justify"/>
    </xf>
    <xf numFmtId="0" fontId="0" fillId="0" borderId="0" xfId="0" applyAlignment="1">
      <alignment horizontal="left" wrapText="1"/>
    </xf>
    <xf numFmtId="168" fontId="101" fillId="0" borderId="0" xfId="0" applyNumberFormat="1" applyFont="1"/>
    <xf numFmtId="171" fontId="101" fillId="0" borderId="0" xfId="0" applyNumberFormat="1" applyFont="1"/>
    <xf numFmtId="0" fontId="0" fillId="0" borderId="21" xfId="0" applyBorder="1" applyAlignment="1">
      <alignment vertical="center"/>
    </xf>
    <xf numFmtId="0" fontId="0" fillId="0" borderId="21" xfId="0" applyBorder="1" applyAlignment="1">
      <alignment horizontal="center" vertical="center"/>
    </xf>
    <xf numFmtId="0" fontId="0" fillId="0" borderId="4" xfId="0" applyBorder="1" applyAlignment="1">
      <alignment vertical="center"/>
    </xf>
    <xf numFmtId="0" fontId="285" fillId="23" borderId="0" xfId="0" applyFont="1" applyFill="1" applyAlignment="1" applyProtection="1">
      <alignment horizontal="right"/>
      <protection locked="0"/>
    </xf>
    <xf numFmtId="0" fontId="135" fillId="23" borderId="0" xfId="0" applyFont="1" applyFill="1" applyProtection="1">
      <protection locked="0"/>
    </xf>
    <xf numFmtId="0" fontId="71" fillId="0" borderId="13" xfId="0" applyFont="1" applyBorder="1" applyAlignment="1">
      <alignment vertical="justify"/>
    </xf>
    <xf numFmtId="174" fontId="71" fillId="0" borderId="13" xfId="0" applyNumberFormat="1" applyFont="1" applyBorder="1" applyAlignment="1">
      <alignment vertical="justify"/>
    </xf>
    <xf numFmtId="0" fontId="104" fillId="0" borderId="13" xfId="100" applyFill="1" applyBorder="1" applyAlignment="1" applyProtection="1">
      <alignment horizontal="center" vertical="center"/>
      <protection locked="0"/>
    </xf>
    <xf numFmtId="0" fontId="104" fillId="0" borderId="13" xfId="100" applyFill="1" applyBorder="1" applyAlignment="1" applyProtection="1">
      <alignment horizontal="left" vertical="center"/>
      <protection locked="0"/>
    </xf>
    <xf numFmtId="177" fontId="48" fillId="0" borderId="13" xfId="109" applyNumberFormat="1" applyFont="1" applyBorder="1" applyAlignment="1" applyProtection="1">
      <alignment horizontal="center" vertical="justify"/>
    </xf>
    <xf numFmtId="0" fontId="182" fillId="0" borderId="265" xfId="0" applyFont="1" applyBorder="1"/>
    <xf numFmtId="0" fontId="0" fillId="0" borderId="264" xfId="0" applyBorder="1"/>
    <xf numFmtId="0" fontId="0" fillId="0" borderId="266" xfId="0" applyBorder="1"/>
    <xf numFmtId="0" fontId="30" fillId="0" borderId="267" xfId="0" applyFont="1" applyBorder="1" applyAlignment="1">
      <alignment horizontal="center" vertical="justify"/>
    </xf>
    <xf numFmtId="0" fontId="36" fillId="0" borderId="267" xfId="0" applyFont="1" applyBorder="1"/>
    <xf numFmtId="0" fontId="36" fillId="49" borderId="267" xfId="0" applyFont="1" applyFill="1" applyBorder="1" applyProtection="1">
      <protection locked="0"/>
    </xf>
    <xf numFmtId="0" fontId="36" fillId="72" borderId="267" xfId="0" applyFont="1" applyFill="1" applyBorder="1" applyProtection="1">
      <protection locked="0"/>
    </xf>
    <xf numFmtId="171" fontId="36" fillId="49" borderId="267" xfId="109" applyNumberFormat="1" applyFont="1" applyFill="1" applyBorder="1" applyProtection="1">
      <protection locked="0"/>
    </xf>
    <xf numFmtId="0" fontId="30" fillId="0" borderId="268" xfId="0" applyFont="1" applyBorder="1" applyAlignment="1">
      <alignment horizontal="center"/>
    </xf>
    <xf numFmtId="0" fontId="36" fillId="0" borderId="268" xfId="0" applyFont="1" applyBorder="1"/>
    <xf numFmtId="177" fontId="48" fillId="0" borderId="264" xfId="109" applyNumberFormat="1" applyFont="1" applyBorder="1" applyAlignment="1" applyProtection="1">
      <alignment horizontal="center" vertical="justify"/>
    </xf>
    <xf numFmtId="171" fontId="48" fillId="0" borderId="269" xfId="109" applyNumberFormat="1" applyFont="1" applyBorder="1" applyAlignment="1" applyProtection="1">
      <alignment horizontal="center" vertical="justify"/>
    </xf>
    <xf numFmtId="0" fontId="77" fillId="0" borderId="270" xfId="0" applyFont="1" applyBorder="1" applyAlignment="1">
      <alignment horizontal="right"/>
    </xf>
    <xf numFmtId="0" fontId="30" fillId="0" borderId="270" xfId="0" applyFont="1" applyBorder="1"/>
    <xf numFmtId="0" fontId="30" fillId="0" borderId="271" xfId="0" applyFont="1" applyBorder="1"/>
    <xf numFmtId="0" fontId="8" fillId="0" borderId="265" xfId="0" applyFont="1" applyBorder="1" applyAlignment="1">
      <alignment vertical="justify"/>
    </xf>
    <xf numFmtId="0" fontId="8" fillId="0" borderId="272" xfId="0" applyFont="1" applyBorder="1" applyAlignment="1">
      <alignment horizontal="center" vertical="justify"/>
    </xf>
    <xf numFmtId="9" fontId="8" fillId="39" borderId="273" xfId="238" applyFont="1" applyFill="1" applyBorder="1" applyAlignment="1" applyProtection="1">
      <alignment horizontal="center" vertical="justify"/>
      <protection locked="0"/>
    </xf>
    <xf numFmtId="0" fontId="8" fillId="0" borderId="272" xfId="0" applyFont="1" applyBorder="1" applyAlignment="1">
      <alignment horizontal="left" vertical="justify"/>
    </xf>
    <xf numFmtId="9" fontId="8" fillId="39" borderId="273" xfId="238" applyFont="1" applyFill="1" applyBorder="1" applyAlignment="1" applyProtection="1">
      <alignment horizontal="left" vertical="justify"/>
      <protection locked="0"/>
    </xf>
    <xf numFmtId="9" fontId="8" fillId="0" borderId="266" xfId="238" applyFont="1" applyBorder="1" applyAlignment="1" applyProtection="1">
      <alignment horizontal="left" vertical="justify"/>
    </xf>
    <xf numFmtId="0" fontId="30" fillId="0" borderId="12" xfId="0" applyFont="1" applyBorder="1"/>
    <xf numFmtId="0" fontId="30" fillId="0" borderId="12" xfId="0" applyFont="1" applyBorder="1" applyAlignment="1">
      <alignment horizontal="left"/>
    </xf>
    <xf numFmtId="0" fontId="30" fillId="0" borderId="12" xfId="0" applyFont="1" applyBorder="1" applyAlignment="1">
      <alignment horizontal="center"/>
    </xf>
    <xf numFmtId="0" fontId="30" fillId="0" borderId="12" xfId="0" applyFont="1" applyBorder="1" applyAlignment="1">
      <alignment horizontal="left" vertical="justify"/>
    </xf>
    <xf numFmtId="0" fontId="38" fillId="0" borderId="12" xfId="0" applyFont="1" applyBorder="1" applyAlignment="1" applyProtection="1">
      <alignment horizontal="center"/>
      <protection hidden="1"/>
    </xf>
    <xf numFmtId="0" fontId="50" fillId="0" borderId="12" xfId="0" applyFont="1" applyBorder="1" applyAlignment="1" applyProtection="1">
      <alignment horizontal="center"/>
      <protection hidden="1"/>
    </xf>
    <xf numFmtId="188" fontId="113" fillId="0" borderId="12" xfId="0" applyNumberFormat="1" applyFont="1" applyBorder="1" applyAlignment="1" applyProtection="1">
      <alignment horizontal="center"/>
      <protection hidden="1"/>
    </xf>
    <xf numFmtId="168" fontId="36" fillId="23" borderId="12" xfId="109" applyFont="1" applyFill="1" applyBorder="1" applyAlignment="1" applyProtection="1">
      <alignment horizontal="center"/>
      <protection locked="0"/>
    </xf>
    <xf numFmtId="188" fontId="36" fillId="23" borderId="12" xfId="0" applyNumberFormat="1" applyFont="1" applyFill="1" applyBorder="1" applyAlignment="1" applyProtection="1">
      <alignment horizontal="center"/>
      <protection locked="0"/>
    </xf>
    <xf numFmtId="0" fontId="214" fillId="0" borderId="12" xfId="155" applyFont="1" applyBorder="1" applyAlignment="1" applyProtection="1">
      <alignment horizontal="center" vertical="center"/>
      <protection locked="0"/>
    </xf>
    <xf numFmtId="0" fontId="214" fillId="0" borderId="12" xfId="155" applyFont="1" applyBorder="1" applyAlignment="1" applyProtection="1">
      <alignment vertical="center"/>
      <protection locked="0"/>
    </xf>
    <xf numFmtId="0" fontId="214" fillId="0" borderId="12" xfId="155" applyFont="1" applyBorder="1" applyAlignment="1">
      <alignment horizontal="center" vertical="center"/>
    </xf>
    <xf numFmtId="0" fontId="214" fillId="0" borderId="12" xfId="155" applyFont="1" applyBorder="1" applyAlignment="1">
      <alignment horizontal="center" vertical="center" wrapText="1"/>
    </xf>
    <xf numFmtId="0" fontId="214" fillId="0" borderId="12" xfId="155" applyFont="1" applyBorder="1" applyAlignment="1" applyProtection="1">
      <alignment horizontal="center"/>
      <protection locked="0"/>
    </xf>
    <xf numFmtId="171" fontId="209" fillId="0" borderId="12" xfId="109" applyNumberFormat="1" applyFont="1" applyFill="1" applyBorder="1" applyAlignment="1" applyProtection="1">
      <alignment horizontal="center" vertical="center"/>
    </xf>
    <xf numFmtId="177" fontId="48" fillId="0" borderId="263" xfId="109" applyNumberFormat="1" applyFont="1" applyBorder="1" applyAlignment="1" applyProtection="1">
      <alignment horizontal="center" vertical="justify"/>
    </xf>
    <xf numFmtId="0" fontId="8" fillId="0" borderId="263" xfId="0" applyFont="1" applyBorder="1"/>
    <xf numFmtId="0" fontId="0" fillId="0" borderId="263" xfId="0" applyBorder="1"/>
    <xf numFmtId="171" fontId="214" fillId="0" borderId="163" xfId="112" applyNumberFormat="1" applyFont="1" applyFill="1" applyBorder="1" applyAlignment="1" applyProtection="1">
      <alignment horizontal="center" vertical="center"/>
      <protection locked="0"/>
    </xf>
    <xf numFmtId="171" fontId="214" fillId="0" borderId="164" xfId="112" applyNumberFormat="1" applyFont="1" applyFill="1" applyBorder="1" applyAlignment="1" applyProtection="1">
      <alignment horizontal="center" vertical="center"/>
      <protection locked="0"/>
    </xf>
    <xf numFmtId="171" fontId="214" fillId="0" borderId="164" xfId="112" applyNumberFormat="1" applyFont="1" applyFill="1" applyBorder="1" applyAlignment="1" applyProtection="1">
      <alignment horizontal="center" vertical="center"/>
    </xf>
    <xf numFmtId="171" fontId="214" fillId="0" borderId="164" xfId="112" applyNumberFormat="1" applyFont="1" applyFill="1" applyBorder="1" applyAlignment="1" applyProtection="1">
      <alignment horizontal="center"/>
      <protection locked="0"/>
    </xf>
    <xf numFmtId="186" fontId="214" fillId="0" borderId="165" xfId="155" applyNumberFormat="1" applyFont="1" applyBorder="1" applyAlignment="1" applyProtection="1">
      <alignment horizontal="center"/>
      <protection locked="0"/>
    </xf>
    <xf numFmtId="171" fontId="214" fillId="0" borderId="119" xfId="112" applyNumberFormat="1" applyFont="1" applyFill="1" applyBorder="1" applyAlignment="1" applyProtection="1">
      <alignment horizontal="center" vertical="center"/>
      <protection locked="0"/>
    </xf>
    <xf numFmtId="171" fontId="214" fillId="0" borderId="118" xfId="112" applyNumberFormat="1" applyFont="1" applyFill="1" applyBorder="1" applyAlignment="1" applyProtection="1">
      <alignment horizontal="center" vertical="center"/>
      <protection locked="0"/>
    </xf>
    <xf numFmtId="171" fontId="214" fillId="0" borderId="118" xfId="112" applyNumberFormat="1" applyFont="1" applyFill="1" applyBorder="1" applyAlignment="1" applyProtection="1">
      <alignment horizontal="center" vertical="center"/>
    </xf>
    <xf numFmtId="171" fontId="214" fillId="0" borderId="118" xfId="112" applyNumberFormat="1" applyFont="1" applyFill="1" applyBorder="1" applyAlignment="1" applyProtection="1">
      <alignment horizontal="center"/>
      <protection locked="0"/>
    </xf>
    <xf numFmtId="0" fontId="30" fillId="0" borderId="277" xfId="0" applyFont="1" applyBorder="1"/>
    <xf numFmtId="168" fontId="112" fillId="0" borderId="278" xfId="109" applyFont="1" applyFill="1" applyBorder="1" applyAlignment="1" applyProtection="1">
      <alignment horizontal="center" vertical="justify"/>
      <protection hidden="1"/>
    </xf>
    <xf numFmtId="0" fontId="0" fillId="0" borderId="279" xfId="0" applyBorder="1"/>
    <xf numFmtId="0" fontId="83" fillId="0" borderId="286" xfId="0" applyFont="1" applyBorder="1" applyAlignment="1">
      <alignment vertical="justify"/>
    </xf>
    <xf numFmtId="0" fontId="83" fillId="0" borderId="280" xfId="0" applyFont="1" applyBorder="1" applyAlignment="1">
      <alignment vertical="justify"/>
    </xf>
    <xf numFmtId="0" fontId="8" fillId="0" borderId="279" xfId="0" applyFont="1" applyBorder="1"/>
    <xf numFmtId="172" fontId="0" fillId="0" borderId="279" xfId="0" applyNumberFormat="1" applyBorder="1"/>
    <xf numFmtId="2" fontId="0" fillId="0" borderId="279" xfId="0" applyNumberFormat="1" applyBorder="1"/>
    <xf numFmtId="2" fontId="0" fillId="0" borderId="279" xfId="0" applyNumberFormat="1" applyBorder="1" applyAlignment="1">
      <alignment vertical="justify"/>
    </xf>
    <xf numFmtId="177" fontId="49" fillId="0" borderId="279" xfId="109" applyNumberFormat="1" applyFill="1" applyBorder="1" applyProtection="1"/>
    <xf numFmtId="11" fontId="0" fillId="0" borderId="279" xfId="0" applyNumberFormat="1" applyBorder="1"/>
    <xf numFmtId="0" fontId="110" fillId="0" borderId="279" xfId="0" applyFont="1" applyBorder="1" applyAlignment="1">
      <alignment horizontal="center"/>
    </xf>
    <xf numFmtId="0" fontId="110" fillId="0" borderId="279" xfId="0" applyFont="1" applyBorder="1" applyAlignment="1">
      <alignment horizontal="center" vertical="justify"/>
    </xf>
    <xf numFmtId="187" fontId="84" fillId="45" borderId="280" xfId="0" applyNumberFormat="1" applyFont="1" applyFill="1" applyBorder="1" applyAlignment="1" applyProtection="1">
      <alignment vertical="justify"/>
      <protection locked="0"/>
    </xf>
    <xf numFmtId="187" fontId="83" fillId="0" borderId="287" xfId="0" applyNumberFormat="1" applyFont="1" applyBorder="1" applyAlignment="1">
      <alignment vertical="justify"/>
    </xf>
    <xf numFmtId="188" fontId="84" fillId="45" borderId="289" xfId="112" applyNumberFormat="1" applyFont="1" applyFill="1" applyBorder="1" applyAlignment="1" applyProtection="1">
      <alignment horizontal="center" vertical="justify"/>
      <protection locked="0"/>
    </xf>
    <xf numFmtId="185" fontId="83" fillId="0" borderId="287" xfId="112" applyNumberFormat="1" applyFont="1" applyBorder="1" applyAlignment="1" applyProtection="1">
      <alignment vertical="justify"/>
    </xf>
    <xf numFmtId="185" fontId="84" fillId="45" borderId="287" xfId="112" applyNumberFormat="1" applyFont="1" applyFill="1" applyBorder="1" applyAlignment="1" applyProtection="1">
      <alignment vertical="justify"/>
      <protection locked="0"/>
    </xf>
    <xf numFmtId="185" fontId="84" fillId="45" borderId="288" xfId="112" applyNumberFormat="1" applyFont="1" applyFill="1" applyBorder="1" applyAlignment="1" applyProtection="1">
      <alignment vertical="justify"/>
      <protection locked="0"/>
    </xf>
    <xf numFmtId="185" fontId="71" fillId="0" borderId="287" xfId="109" applyNumberFormat="1" applyFont="1" applyBorder="1" applyAlignment="1" applyProtection="1">
      <alignment vertical="justify"/>
      <protection hidden="1"/>
    </xf>
    <xf numFmtId="174" fontId="26" fillId="0" borderId="287" xfId="0" applyNumberFormat="1" applyFont="1" applyBorder="1" applyAlignment="1" applyProtection="1">
      <alignment vertical="justify"/>
      <protection hidden="1"/>
    </xf>
    <xf numFmtId="168" fontId="26" fillId="0" borderId="287" xfId="109" applyFont="1" applyBorder="1" applyAlignment="1" applyProtection="1">
      <alignment vertical="justify"/>
      <protection hidden="1"/>
    </xf>
    <xf numFmtId="185" fontId="26" fillId="0" borderId="287" xfId="109" applyNumberFormat="1" applyFont="1" applyBorder="1" applyAlignment="1" applyProtection="1">
      <alignment vertical="justify"/>
      <protection hidden="1"/>
    </xf>
    <xf numFmtId="0" fontId="8" fillId="0" borderId="279" xfId="0" applyFont="1" applyBorder="1" applyAlignment="1">
      <alignment vertical="justify"/>
    </xf>
    <xf numFmtId="0" fontId="8" fillId="0" borderId="279" xfId="0" applyFont="1" applyBorder="1" applyAlignment="1">
      <alignment horizontal="left" vertical="justify"/>
    </xf>
    <xf numFmtId="0" fontId="0" fillId="24" borderId="294" xfId="0" applyFill="1" applyBorder="1"/>
    <xf numFmtId="0" fontId="0" fillId="24" borderId="295" xfId="0" applyFill="1" applyBorder="1"/>
    <xf numFmtId="0" fontId="0" fillId="24" borderId="296" xfId="0" applyFill="1" applyBorder="1"/>
    <xf numFmtId="0" fontId="0" fillId="24" borderId="297" xfId="0" applyFill="1" applyBorder="1"/>
    <xf numFmtId="0" fontId="0" fillId="24" borderId="298" xfId="0" applyFill="1" applyBorder="1"/>
    <xf numFmtId="0" fontId="8" fillId="23" borderId="299" xfId="0" applyFont="1" applyFill="1" applyBorder="1" applyAlignment="1" applyProtection="1">
      <alignment horizontal="center"/>
      <protection locked="0"/>
    </xf>
    <xf numFmtId="0" fontId="0" fillId="0" borderId="299" xfId="0" applyBorder="1"/>
    <xf numFmtId="0" fontId="0" fillId="0" borderId="299" xfId="0" applyBorder="1" applyAlignment="1">
      <alignment vertical="justify"/>
    </xf>
    <xf numFmtId="188" fontId="0" fillId="0" borderId="299" xfId="0" applyNumberFormat="1" applyBorder="1"/>
    <xf numFmtId="0" fontId="83" fillId="0" borderId="306" xfId="0" applyFont="1" applyBorder="1" applyAlignment="1">
      <alignment vertical="justify"/>
    </xf>
    <xf numFmtId="0" fontId="261" fillId="39" borderId="307" xfId="0" applyFont="1" applyFill="1" applyBorder="1" applyAlignment="1" applyProtection="1">
      <alignment horizontal="left" vertical="center" wrapText="1"/>
      <protection locked="0"/>
    </xf>
    <xf numFmtId="0" fontId="261" fillId="39" borderId="308" xfId="0" applyFont="1" applyFill="1" applyBorder="1" applyAlignment="1" applyProtection="1">
      <alignment horizontal="left" vertical="center" wrapText="1"/>
      <protection locked="0"/>
    </xf>
    <xf numFmtId="0" fontId="261" fillId="39" borderId="309" xfId="0" applyFont="1" applyFill="1" applyBorder="1" applyAlignment="1" applyProtection="1">
      <alignment horizontal="left" vertical="center" wrapText="1"/>
      <protection locked="0"/>
    </xf>
    <xf numFmtId="0" fontId="83" fillId="0" borderId="310" xfId="0" applyFont="1" applyBorder="1" applyAlignment="1" applyProtection="1">
      <alignment vertical="justify" wrapText="1"/>
      <protection locked="0"/>
    </xf>
    <xf numFmtId="0" fontId="83" fillId="0" borderId="300" xfId="0" applyFont="1" applyBorder="1" applyAlignment="1">
      <alignment vertical="justify"/>
    </xf>
    <xf numFmtId="0" fontId="186" fillId="0" borderId="313" xfId="0" applyFont="1" applyBorder="1" applyAlignment="1">
      <alignment vertical="justify"/>
    </xf>
    <xf numFmtId="0" fontId="83" fillId="0" borderId="313" xfId="0" applyFont="1" applyBorder="1" applyAlignment="1">
      <alignment vertical="center"/>
    </xf>
    <xf numFmtId="0" fontId="186" fillId="0" borderId="314" xfId="0" applyFont="1" applyBorder="1" applyAlignment="1">
      <alignment vertical="justify"/>
    </xf>
    <xf numFmtId="0" fontId="261" fillId="39" borderId="315" xfId="0" applyFont="1" applyFill="1" applyBorder="1" applyAlignment="1" applyProtection="1">
      <alignment horizontal="left" vertical="center" wrapText="1"/>
      <protection locked="0"/>
    </xf>
    <xf numFmtId="0" fontId="83" fillId="0" borderId="314" xfId="0" applyFont="1" applyBorder="1" applyAlignment="1">
      <alignment vertical="center"/>
    </xf>
    <xf numFmtId="0" fontId="261" fillId="39" borderId="316" xfId="0" applyFont="1" applyFill="1" applyBorder="1" applyAlignment="1" applyProtection="1">
      <alignment horizontal="left" vertical="center" wrapText="1"/>
      <protection locked="0"/>
    </xf>
    <xf numFmtId="0" fontId="83" fillId="0" borderId="303" xfId="0" applyFont="1" applyBorder="1" applyAlignment="1">
      <alignment vertical="justify"/>
    </xf>
    <xf numFmtId="0" fontId="83" fillId="0" borderId="317" xfId="0" applyFont="1" applyBorder="1" applyAlignment="1">
      <alignment vertical="justify"/>
    </xf>
    <xf numFmtId="0" fontId="83" fillId="0" borderId="306" xfId="0" applyFont="1" applyBorder="1" applyAlignment="1">
      <alignment horizontal="left" vertical="justify"/>
    </xf>
    <xf numFmtId="185" fontId="83" fillId="0" borderId="315" xfId="109" applyNumberFormat="1" applyFont="1" applyFill="1" applyBorder="1" applyAlignment="1" applyProtection="1">
      <alignment vertical="justify"/>
    </xf>
    <xf numFmtId="0" fontId="83" fillId="0" borderId="310" xfId="0" applyFont="1" applyBorder="1" applyAlignment="1">
      <alignment vertical="justify"/>
    </xf>
    <xf numFmtId="0" fontId="261" fillId="39" borderId="307" xfId="0" applyFont="1" applyFill="1" applyBorder="1" applyAlignment="1">
      <alignment horizontal="left" vertical="center" wrapText="1"/>
    </xf>
    <xf numFmtId="0" fontId="261" fillId="39" borderId="307" xfId="0" applyFont="1" applyFill="1" applyBorder="1" applyAlignment="1" applyProtection="1">
      <alignment horizontal="center" vertical="center" wrapText="1"/>
      <protection locked="0"/>
    </xf>
    <xf numFmtId="0" fontId="261" fillId="39" borderId="323" xfId="0" applyFont="1" applyFill="1" applyBorder="1" applyAlignment="1" applyProtection="1">
      <alignment horizontal="left" vertical="center" wrapText="1"/>
      <protection locked="0"/>
    </xf>
    <xf numFmtId="0" fontId="261" fillId="39" borderId="324" xfId="0" applyFont="1" applyFill="1" applyBorder="1" applyAlignment="1" applyProtection="1">
      <alignment horizontal="left" vertical="center" wrapText="1"/>
      <protection locked="0"/>
    </xf>
    <xf numFmtId="0" fontId="220" fillId="0" borderId="327" xfId="155" applyFont="1" applyBorder="1" applyAlignment="1">
      <alignment horizontal="center" vertical="center"/>
    </xf>
    <xf numFmtId="0" fontId="221" fillId="0" borderId="327" xfId="155" applyFont="1" applyBorder="1" applyAlignment="1">
      <alignment horizontal="center" vertical="center" wrapText="1"/>
    </xf>
    <xf numFmtId="0" fontId="219" fillId="0" borderId="327" xfId="155" applyFont="1" applyBorder="1" applyAlignment="1">
      <alignment horizontal="center" vertical="center" wrapText="1"/>
    </xf>
    <xf numFmtId="0" fontId="1" fillId="0" borderId="299" xfId="0" applyFont="1" applyBorder="1"/>
    <xf numFmtId="0" fontId="146" fillId="0" borderId="299" xfId="0" applyFont="1" applyBorder="1" applyAlignment="1">
      <alignment horizontal="center"/>
    </xf>
    <xf numFmtId="0" fontId="115" fillId="39" borderId="0" xfId="0" applyFont="1" applyFill="1" applyAlignment="1">
      <alignment vertical="center"/>
    </xf>
    <xf numFmtId="0" fontId="114" fillId="39" borderId="0" xfId="0" applyFont="1" applyFill="1" applyAlignment="1">
      <alignment vertical="center"/>
    </xf>
    <xf numFmtId="186" fontId="36" fillId="39" borderId="0" xfId="0" applyNumberFormat="1" applyFont="1" applyFill="1"/>
    <xf numFmtId="173" fontId="36" fillId="39" borderId="0" xfId="0" applyNumberFormat="1" applyFont="1" applyFill="1"/>
    <xf numFmtId="0" fontId="36" fillId="39" borderId="0" xfId="0" applyFont="1" applyFill="1" applyAlignment="1">
      <alignment horizontal="center"/>
    </xf>
    <xf numFmtId="0" fontId="91" fillId="39" borderId="0" xfId="0" applyFont="1" applyFill="1"/>
    <xf numFmtId="0" fontId="287" fillId="39" borderId="0" xfId="0" applyFont="1" applyFill="1"/>
    <xf numFmtId="0" fontId="199" fillId="39" borderId="0" xfId="0" applyFont="1" applyFill="1"/>
    <xf numFmtId="0" fontId="199" fillId="41" borderId="0" xfId="0" applyFont="1" applyFill="1"/>
    <xf numFmtId="0" fontId="71" fillId="48" borderId="287" xfId="0" applyFont="1" applyFill="1" applyBorder="1" applyAlignment="1" applyProtection="1">
      <alignment vertical="justify" wrapText="1"/>
      <protection locked="0"/>
    </xf>
    <xf numFmtId="0" fontId="71" fillId="48" borderId="287" xfId="0" applyFont="1" applyFill="1" applyBorder="1" applyAlignment="1" applyProtection="1">
      <alignment vertical="justify"/>
      <protection locked="0"/>
    </xf>
    <xf numFmtId="0" fontId="26" fillId="48" borderId="287" xfId="0" applyFont="1" applyFill="1" applyBorder="1" applyAlignment="1" applyProtection="1">
      <alignment vertical="justify"/>
      <protection locked="0"/>
    </xf>
    <xf numFmtId="174" fontId="71" fillId="48" borderId="287" xfId="0" applyNumberFormat="1" applyFont="1" applyFill="1" applyBorder="1" applyAlignment="1" applyProtection="1">
      <alignment vertical="justify"/>
      <protection locked="0"/>
    </xf>
    <xf numFmtId="171" fontId="71" fillId="48" borderId="287" xfId="112" applyNumberFormat="1" applyFont="1" applyFill="1" applyBorder="1" applyAlignment="1" applyProtection="1">
      <alignment vertical="justify"/>
      <protection locked="0"/>
    </xf>
    <xf numFmtId="171" fontId="71" fillId="48" borderId="287" xfId="109" applyNumberFormat="1" applyFont="1" applyFill="1" applyBorder="1" applyAlignment="1" applyProtection="1">
      <alignment vertical="justify"/>
      <protection locked="0"/>
    </xf>
    <xf numFmtId="174" fontId="71" fillId="48" borderId="287" xfId="0" applyNumberFormat="1" applyFont="1" applyFill="1" applyBorder="1" applyAlignment="1" applyProtection="1">
      <alignment vertical="justify" wrapText="1"/>
      <protection locked="0"/>
    </xf>
    <xf numFmtId="0" fontId="71" fillId="32" borderId="290" xfId="0" applyFont="1" applyFill="1" applyBorder="1" applyAlignment="1" applyProtection="1">
      <alignment horizontal="center" vertical="justify"/>
      <protection locked="0"/>
    </xf>
    <xf numFmtId="199" fontId="71" fillId="48" borderId="287" xfId="0" applyNumberFormat="1" applyFont="1" applyFill="1" applyBorder="1" applyAlignment="1" applyProtection="1">
      <alignment vertical="justify"/>
      <protection locked="0"/>
    </xf>
    <xf numFmtId="177" fontId="71" fillId="48" borderId="287" xfId="109" applyNumberFormat="1" applyFont="1" applyFill="1" applyBorder="1" applyAlignment="1" applyProtection="1">
      <alignment vertical="justify"/>
      <protection locked="0"/>
    </xf>
    <xf numFmtId="177" fontId="26" fillId="0" borderId="287" xfId="109" applyNumberFormat="1" applyFont="1" applyBorder="1" applyAlignment="1" applyProtection="1">
      <alignment vertical="justify"/>
      <protection hidden="1"/>
    </xf>
    <xf numFmtId="171" fontId="36" fillId="0" borderId="71" xfId="112" applyNumberFormat="1" applyFont="1" applyFill="1" applyBorder="1" applyProtection="1">
      <protection locked="0"/>
    </xf>
    <xf numFmtId="171" fontId="36" fillId="0" borderId="4" xfId="112" applyNumberFormat="1" applyFont="1" applyFill="1" applyBorder="1" applyProtection="1">
      <protection locked="0"/>
    </xf>
    <xf numFmtId="0" fontId="30" fillId="0" borderId="105" xfId="0" applyFont="1" applyBorder="1" applyAlignment="1">
      <alignment horizontal="justify" vertical="center" wrapText="1"/>
    </xf>
    <xf numFmtId="177" fontId="30" fillId="0" borderId="91" xfId="109" applyNumberFormat="1" applyFont="1" applyBorder="1" applyProtection="1">
      <protection hidden="1"/>
    </xf>
    <xf numFmtId="0" fontId="30" fillId="0" borderId="45" xfId="0" applyFont="1" applyBorder="1" applyAlignment="1">
      <alignment horizontal="justify" vertical="center" wrapText="1"/>
    </xf>
    <xf numFmtId="177" fontId="30" fillId="0" borderId="74" xfId="109" applyNumberFormat="1" applyFont="1" applyBorder="1" applyProtection="1">
      <protection hidden="1"/>
    </xf>
    <xf numFmtId="0" fontId="30" fillId="0" borderId="89" xfId="0" applyFont="1" applyBorder="1" applyAlignment="1">
      <alignment horizontal="justify" vertical="center" wrapText="1"/>
    </xf>
    <xf numFmtId="0" fontId="36" fillId="0" borderId="328" xfId="0" applyFont="1" applyBorder="1" applyAlignment="1">
      <alignment horizontal="justify" vertical="center" wrapText="1"/>
    </xf>
    <xf numFmtId="171" fontId="36" fillId="0" borderId="87" xfId="112" applyNumberFormat="1" applyFont="1" applyFill="1" applyBorder="1" applyProtection="1">
      <protection locked="0"/>
    </xf>
    <xf numFmtId="171" fontId="36" fillId="55" borderId="329" xfId="112" applyNumberFormat="1" applyFont="1" applyFill="1" applyBorder="1" applyProtection="1"/>
    <xf numFmtId="177" fontId="36" fillId="0" borderId="87" xfId="109" applyNumberFormat="1" applyFont="1" applyBorder="1" applyProtection="1">
      <protection hidden="1"/>
    </xf>
    <xf numFmtId="177" fontId="30" fillId="0" borderId="145" xfId="109" applyNumberFormat="1" applyFont="1" applyBorder="1" applyProtection="1">
      <protection hidden="1"/>
    </xf>
    <xf numFmtId="0" fontId="187" fillId="39" borderId="0" xfId="0" applyFont="1" applyFill="1" applyAlignment="1" applyProtection="1">
      <alignment horizontal="justify" vertical="center" wrapText="1"/>
      <protection locked="0"/>
    </xf>
    <xf numFmtId="171" fontId="36" fillId="48" borderId="71" xfId="112" applyNumberFormat="1" applyFont="1" applyFill="1" applyBorder="1" applyAlignment="1" applyProtection="1">
      <alignment horizontal="center" vertical="center"/>
      <protection locked="0"/>
    </xf>
    <xf numFmtId="171" fontId="36" fillId="55" borderId="71" xfId="112" applyNumberFormat="1" applyFont="1" applyFill="1" applyBorder="1" applyAlignment="1" applyProtection="1">
      <alignment horizontal="center" vertical="center"/>
    </xf>
    <xf numFmtId="171" fontId="36" fillId="48" borderId="4" xfId="112" applyNumberFormat="1" applyFont="1" applyFill="1" applyBorder="1" applyAlignment="1" applyProtection="1">
      <alignment horizontal="center" vertical="center"/>
      <protection locked="0"/>
    </xf>
    <xf numFmtId="171" fontId="36" fillId="55" borderId="4" xfId="112" applyNumberFormat="1" applyFont="1" applyFill="1" applyBorder="1" applyAlignment="1" applyProtection="1">
      <alignment horizontal="center" vertical="center"/>
    </xf>
    <xf numFmtId="177" fontId="36" fillId="0" borderId="4" xfId="109" applyNumberFormat="1" applyFont="1" applyBorder="1" applyAlignment="1" applyProtection="1">
      <alignment horizontal="center" vertical="center"/>
      <protection hidden="1"/>
    </xf>
    <xf numFmtId="177" fontId="30" fillId="0" borderId="4" xfId="109" applyNumberFormat="1" applyFont="1" applyBorder="1" applyAlignment="1" applyProtection="1">
      <alignment horizontal="center" vertical="center"/>
      <protection hidden="1"/>
    </xf>
    <xf numFmtId="171" fontId="36" fillId="48" borderId="94" xfId="112" applyNumberFormat="1" applyFont="1" applyFill="1" applyBorder="1" applyAlignment="1" applyProtection="1">
      <alignment horizontal="center" vertical="center"/>
      <protection locked="0"/>
    </xf>
    <xf numFmtId="171" fontId="36" fillId="55" borderId="94" xfId="112" applyNumberFormat="1" applyFont="1" applyFill="1" applyBorder="1" applyAlignment="1" applyProtection="1">
      <alignment horizontal="center" vertical="center"/>
    </xf>
    <xf numFmtId="177" fontId="101" fillId="0" borderId="0" xfId="109" applyNumberFormat="1" applyFont="1"/>
    <xf numFmtId="177" fontId="167" fillId="0" borderId="0" xfId="109" applyNumberFormat="1" applyFont="1"/>
    <xf numFmtId="0" fontId="194" fillId="0" borderId="0" xfId="100" applyFont="1" applyAlignment="1">
      <alignment horizontal="center" vertical="justify"/>
    </xf>
    <xf numFmtId="0" fontId="194" fillId="0" borderId="0" xfId="100" quotePrefix="1" applyFont="1"/>
    <xf numFmtId="171" fontId="48" fillId="0" borderId="57" xfId="109" applyNumberFormat="1" applyFont="1" applyFill="1" applyBorder="1" applyAlignment="1" applyProtection="1">
      <alignment vertical="center"/>
    </xf>
    <xf numFmtId="171" fontId="48" fillId="0" borderId="55" xfId="109" applyNumberFormat="1" applyFont="1" applyFill="1" applyBorder="1" applyAlignment="1" applyProtection="1">
      <alignment vertical="center"/>
    </xf>
    <xf numFmtId="200" fontId="36" fillId="0" borderId="0" xfId="0" applyNumberFormat="1" applyFont="1"/>
    <xf numFmtId="186" fontId="36" fillId="41" borderId="0" xfId="0" applyNumberFormat="1" applyFont="1" applyFill="1"/>
    <xf numFmtId="173" fontId="36" fillId="41" borderId="0" xfId="0" applyNumberFormat="1" applyFont="1" applyFill="1"/>
    <xf numFmtId="0" fontId="36" fillId="41" borderId="0" xfId="0" applyFont="1" applyFill="1" applyAlignment="1">
      <alignment horizontal="center"/>
    </xf>
    <xf numFmtId="0" fontId="287" fillId="41" borderId="4" xfId="0" applyFont="1" applyFill="1" applyBorder="1"/>
    <xf numFmtId="0" fontId="199" fillId="41" borderId="4" xfId="0" applyFont="1" applyFill="1" applyBorder="1"/>
    <xf numFmtId="0" fontId="0" fillId="0" borderId="332" xfId="0" pivotButton="1" applyBorder="1"/>
    <xf numFmtId="0" fontId="0" fillId="0" borderId="333" xfId="0" applyBorder="1"/>
    <xf numFmtId="0" fontId="0" fillId="0" borderId="334" xfId="0" applyBorder="1"/>
    <xf numFmtId="0" fontId="0" fillId="0" borderId="332" xfId="0" applyBorder="1"/>
    <xf numFmtId="0" fontId="0" fillId="0" borderId="335" xfId="0" applyBorder="1"/>
    <xf numFmtId="0" fontId="0" fillId="0" borderId="336" xfId="0" applyBorder="1"/>
    <xf numFmtId="0" fontId="0" fillId="0" borderId="337" xfId="0" applyBorder="1"/>
    <xf numFmtId="0" fontId="0" fillId="0" borderId="339" xfId="0" applyBorder="1"/>
    <xf numFmtId="171" fontId="196" fillId="0" borderId="0" xfId="109" applyNumberFormat="1" applyFont="1" applyFill="1" applyBorder="1" applyAlignment="1" applyProtection="1">
      <alignment vertical="center"/>
    </xf>
    <xf numFmtId="171" fontId="195" fillId="0" borderId="0" xfId="109" applyNumberFormat="1" applyFont="1" applyFill="1" applyBorder="1" applyAlignment="1" applyProtection="1">
      <alignment vertical="center"/>
    </xf>
    <xf numFmtId="171" fontId="196" fillId="0" borderId="0" xfId="109" applyNumberFormat="1" applyFont="1" applyFill="1" applyBorder="1" applyAlignment="1" applyProtection="1">
      <alignment horizontal="center" vertical="center"/>
    </xf>
    <xf numFmtId="168" fontId="112" fillId="0" borderId="0" xfId="109" applyFont="1" applyFill="1" applyBorder="1" applyAlignment="1" applyProtection="1">
      <alignment vertical="center"/>
    </xf>
    <xf numFmtId="0" fontId="58" fillId="0" borderId="0" xfId="0" applyFont="1"/>
    <xf numFmtId="0" fontId="58" fillId="48" borderId="0" xfId="0" applyFont="1" applyFill="1" applyAlignment="1" applyProtection="1">
      <alignment horizontal="right"/>
      <protection locked="0"/>
    </xf>
    <xf numFmtId="9" fontId="58" fillId="48" borderId="0" xfId="238" applyFont="1" applyFill="1" applyProtection="1">
      <protection locked="0"/>
    </xf>
    <xf numFmtId="0" fontId="138" fillId="39" borderId="13" xfId="0" applyFont="1" applyFill="1" applyBorder="1" applyAlignment="1">
      <alignment horizontal="right" vertical="center"/>
    </xf>
    <xf numFmtId="0" fontId="108" fillId="39" borderId="13" xfId="100" applyFont="1" applyFill="1" applyBorder="1" applyAlignment="1" applyProtection="1">
      <alignment horizontal="center" vertical="center"/>
    </xf>
    <xf numFmtId="0" fontId="139" fillId="39" borderId="13" xfId="100" applyFont="1" applyFill="1" applyBorder="1" applyAlignment="1" applyProtection="1">
      <alignment horizontal="center" vertical="center"/>
    </xf>
    <xf numFmtId="0" fontId="194" fillId="39" borderId="0" xfId="100" applyFont="1" applyFill="1" applyBorder="1" applyAlignment="1" applyProtection="1">
      <alignment horizontal="center" vertical="center"/>
    </xf>
    <xf numFmtId="0" fontId="138" fillId="39" borderId="0" xfId="0" applyFont="1" applyFill="1" applyAlignment="1">
      <alignment horizontal="right" vertical="center"/>
    </xf>
    <xf numFmtId="0" fontId="108" fillId="39" borderId="0" xfId="100" applyFont="1" applyFill="1" applyBorder="1" applyAlignment="1" applyProtection="1">
      <alignment horizontal="center" vertical="center"/>
    </xf>
    <xf numFmtId="177" fontId="108" fillId="39" borderId="0" xfId="100" applyNumberFormat="1" applyFont="1" applyFill="1" applyBorder="1" applyAlignment="1" applyProtection="1">
      <alignment horizontal="center" vertical="center"/>
    </xf>
    <xf numFmtId="171" fontId="108" fillId="39" borderId="0" xfId="100" applyNumberFormat="1" applyFont="1" applyFill="1" applyBorder="1" applyAlignment="1" applyProtection="1">
      <alignment horizontal="center" vertical="center"/>
    </xf>
    <xf numFmtId="168" fontId="198" fillId="39" borderId="0" xfId="100" applyNumberFormat="1" applyFont="1" applyFill="1" applyBorder="1" applyAlignment="1" applyProtection="1">
      <alignment horizontal="center" vertical="center"/>
    </xf>
    <xf numFmtId="197" fontId="239" fillId="39" borderId="0" xfId="109" applyNumberFormat="1" applyFont="1" applyFill="1" applyBorder="1" applyAlignment="1" applyProtection="1">
      <alignment horizontal="center" vertical="center"/>
    </xf>
    <xf numFmtId="0" fontId="139" fillId="39" borderId="0" xfId="100" applyFont="1" applyFill="1" applyBorder="1" applyAlignment="1" applyProtection="1">
      <alignment horizontal="center" vertical="center"/>
    </xf>
    <xf numFmtId="0" fontId="198" fillId="39" borderId="0" xfId="100" applyFont="1" applyFill="1" applyBorder="1" applyAlignment="1" applyProtection="1">
      <alignment horizontal="center" vertical="center"/>
    </xf>
    <xf numFmtId="0" fontId="194" fillId="39" borderId="0" xfId="100" applyFont="1" applyFill="1" applyBorder="1" applyAlignment="1" applyProtection="1">
      <alignment horizontal="left" vertical="center"/>
    </xf>
    <xf numFmtId="0" fontId="37" fillId="0" borderId="57" xfId="0" applyFont="1" applyBorder="1" applyAlignment="1">
      <alignment horizontal="center" vertical="center"/>
    </xf>
    <xf numFmtId="0" fontId="198" fillId="39" borderId="0" xfId="0" applyFont="1" applyFill="1" applyAlignment="1">
      <alignment horizontal="center" vertical="center"/>
    </xf>
    <xf numFmtId="0" fontId="194" fillId="39" borderId="0" xfId="0" applyFont="1" applyFill="1" applyAlignment="1">
      <alignment horizontal="center" vertical="center"/>
    </xf>
    <xf numFmtId="0" fontId="101" fillId="39" borderId="0" xfId="0" applyFont="1" applyFill="1" applyAlignment="1">
      <alignment vertical="center"/>
    </xf>
    <xf numFmtId="0" fontId="37" fillId="0" borderId="0" xfId="0" applyFont="1" applyAlignment="1">
      <alignment horizontal="center" vertical="center"/>
    </xf>
    <xf numFmtId="0" fontId="48" fillId="0" borderId="0" xfId="0" applyFont="1" applyAlignment="1">
      <alignment horizontal="left" vertical="center"/>
    </xf>
    <xf numFmtId="171" fontId="48" fillId="39" borderId="55" xfId="109" applyNumberFormat="1" applyFont="1" applyFill="1" applyBorder="1" applyAlignment="1" applyProtection="1">
      <alignment horizontal="center" vertical="center"/>
    </xf>
    <xf numFmtId="9" fontId="200" fillId="39" borderId="0" xfId="0" applyNumberFormat="1" applyFont="1" applyFill="1" applyAlignment="1">
      <alignment horizontal="left" vertical="center" indent="2"/>
    </xf>
    <xf numFmtId="9" fontId="200" fillId="39" borderId="0" xfId="0" applyNumberFormat="1" applyFont="1" applyFill="1" applyAlignment="1">
      <alignment horizontal="left" vertical="center" indent="3"/>
    </xf>
    <xf numFmtId="0" fontId="37" fillId="0" borderId="56" xfId="0" applyFont="1" applyBorder="1" applyAlignment="1">
      <alignment horizontal="left" vertical="justify"/>
    </xf>
    <xf numFmtId="0" fontId="60" fillId="0" borderId="2" xfId="0" applyFont="1" applyBorder="1"/>
    <xf numFmtId="11" fontId="36" fillId="0" borderId="0" xfId="0" applyNumberFormat="1" applyFont="1"/>
    <xf numFmtId="168" fontId="36" fillId="0" borderId="0" xfId="109" applyFont="1" applyProtection="1"/>
    <xf numFmtId="0" fontId="38" fillId="0" borderId="0" xfId="0" applyFont="1"/>
    <xf numFmtId="0" fontId="120" fillId="0" borderId="0" xfId="0" applyFont="1"/>
    <xf numFmtId="0" fontId="120" fillId="39" borderId="0" xfId="0" applyFont="1" applyFill="1"/>
    <xf numFmtId="0" fontId="67" fillId="0" borderId="0" xfId="0" applyFont="1"/>
    <xf numFmtId="0" fontId="37" fillId="0" borderId="55" xfId="0" applyFont="1" applyBorder="1" applyAlignment="1">
      <alignment horizontal="center"/>
    </xf>
    <xf numFmtId="0" fontId="37" fillId="0" borderId="56" xfId="0" applyFont="1" applyBorder="1" applyAlignment="1">
      <alignment horizontal="center" vertical="justify"/>
    </xf>
    <xf numFmtId="11" fontId="37" fillId="0" borderId="55" xfId="0" applyNumberFormat="1" applyFont="1" applyBorder="1" applyAlignment="1">
      <alignment horizontal="center" vertical="justify"/>
    </xf>
    <xf numFmtId="0" fontId="280" fillId="0" borderId="55" xfId="0" applyFont="1" applyBorder="1" applyAlignment="1">
      <alignment horizontal="center" vertical="justify"/>
    </xf>
    <xf numFmtId="0" fontId="134" fillId="0" borderId="0" xfId="0" applyFont="1" applyAlignment="1">
      <alignment horizontal="center" vertical="center"/>
    </xf>
    <xf numFmtId="0" fontId="197" fillId="0" borderId="0" xfId="0" applyFont="1" applyAlignment="1">
      <alignment horizontal="center" vertical="center"/>
    </xf>
    <xf numFmtId="0" fontId="116" fillId="0" borderId="0" xfId="0" applyFont="1" applyAlignment="1">
      <alignment horizontal="center"/>
    </xf>
    <xf numFmtId="0" fontId="37" fillId="0" borderId="22" xfId="0" applyFont="1" applyBorder="1" applyAlignment="1">
      <alignment horizontal="left" vertical="justify"/>
    </xf>
    <xf numFmtId="177" fontId="48" fillId="39" borderId="58" xfId="112" applyNumberFormat="1" applyFont="1" applyFill="1" applyBorder="1" applyAlignment="1" applyProtection="1">
      <alignment horizontal="center" vertical="justify"/>
    </xf>
    <xf numFmtId="171" fontId="48" fillId="23" borderId="58" xfId="109" applyNumberFormat="1" applyFont="1" applyFill="1" applyBorder="1" applyAlignment="1" applyProtection="1">
      <alignment vertical="justify"/>
    </xf>
    <xf numFmtId="0" fontId="195" fillId="0" borderId="0" xfId="0" applyFont="1"/>
    <xf numFmtId="9" fontId="196" fillId="0" borderId="0" xfId="238" applyFont="1" applyBorder="1" applyProtection="1"/>
    <xf numFmtId="177" fontId="48" fillId="39" borderId="70" xfId="112" applyNumberFormat="1" applyFont="1" applyFill="1" applyBorder="1" applyAlignment="1" applyProtection="1">
      <alignment horizontal="center" vertical="justify"/>
    </xf>
    <xf numFmtId="171" fontId="48" fillId="23" borderId="29" xfId="109" applyNumberFormat="1" applyFont="1" applyFill="1" applyBorder="1" applyAlignment="1" applyProtection="1">
      <alignment vertical="justify"/>
    </xf>
    <xf numFmtId="0" fontId="37" fillId="39" borderId="105" xfId="0" applyFont="1" applyFill="1" applyBorder="1" applyAlignment="1">
      <alignment vertical="justify"/>
    </xf>
    <xf numFmtId="177" fontId="48" fillId="39" borderId="59" xfId="112" applyNumberFormat="1" applyFont="1" applyFill="1" applyBorder="1" applyAlignment="1" applyProtection="1">
      <alignment horizontal="center" vertical="justify"/>
    </xf>
    <xf numFmtId="171" fontId="48" fillId="39" borderId="59" xfId="109" applyNumberFormat="1" applyFont="1" applyFill="1" applyBorder="1" applyAlignment="1" applyProtection="1">
      <alignment horizontal="center" vertical="justify"/>
    </xf>
    <xf numFmtId="177" fontId="48" fillId="39" borderId="58" xfId="109" applyNumberFormat="1" applyFont="1" applyFill="1" applyBorder="1" applyAlignment="1" applyProtection="1">
      <alignment horizontal="center" vertical="justify"/>
    </xf>
    <xf numFmtId="0" fontId="196" fillId="0" borderId="0" xfId="0" applyFont="1" applyAlignment="1">
      <alignment horizontal="right"/>
    </xf>
    <xf numFmtId="0" fontId="37" fillId="39" borderId="45" xfId="0" applyFont="1" applyFill="1" applyBorder="1" applyAlignment="1">
      <alignment vertical="justify"/>
    </xf>
    <xf numFmtId="177" fontId="48" fillId="39" borderId="69" xfId="112" applyNumberFormat="1" applyFont="1" applyFill="1" applyBorder="1" applyAlignment="1" applyProtection="1">
      <alignment horizontal="center" vertical="justify"/>
    </xf>
    <xf numFmtId="171" fontId="48" fillId="39" borderId="69" xfId="109" applyNumberFormat="1" applyFont="1" applyFill="1" applyBorder="1" applyAlignment="1" applyProtection="1">
      <alignment horizontal="center" vertical="justify"/>
    </xf>
    <xf numFmtId="177" fontId="48" fillId="39" borderId="69" xfId="109" applyNumberFormat="1" applyFont="1" applyFill="1" applyBorder="1" applyAlignment="1" applyProtection="1">
      <alignment horizontal="center" vertical="justify"/>
    </xf>
    <xf numFmtId="0" fontId="120" fillId="24" borderId="0" xfId="0" applyFont="1" applyFill="1"/>
    <xf numFmtId="0" fontId="67" fillId="24" borderId="0" xfId="0" applyFont="1" applyFill="1"/>
    <xf numFmtId="0" fontId="37" fillId="39" borderId="60" xfId="0" applyFont="1" applyFill="1" applyBorder="1" applyAlignment="1">
      <alignment vertical="justify"/>
    </xf>
    <xf numFmtId="177" fontId="48" fillId="39" borderId="70" xfId="109" applyNumberFormat="1" applyFont="1" applyFill="1" applyBorder="1" applyAlignment="1" applyProtection="1">
      <alignment horizontal="center" vertical="justify"/>
    </xf>
    <xf numFmtId="177" fontId="48" fillId="0" borderId="55" xfId="0" applyNumberFormat="1" applyFont="1" applyBorder="1" applyAlignment="1">
      <alignment horizontal="center" vertical="justify"/>
    </xf>
    <xf numFmtId="11" fontId="48" fillId="0" borderId="0" xfId="0" applyNumberFormat="1" applyFont="1" applyAlignment="1">
      <alignment horizontal="center" vertical="justify"/>
    </xf>
    <xf numFmtId="0" fontId="121" fillId="0" borderId="0" xfId="0" applyFont="1"/>
    <xf numFmtId="0" fontId="30" fillId="0" borderId="2" xfId="0" applyFont="1" applyBorder="1" applyAlignment="1">
      <alignment horizontal="center" vertical="center" textRotation="90" readingOrder="1"/>
    </xf>
    <xf numFmtId="0" fontId="48" fillId="0" borderId="0" xfId="0" applyFont="1" applyAlignment="1">
      <alignment horizontal="center" vertical="justify"/>
    </xf>
    <xf numFmtId="11" fontId="48" fillId="0" borderId="0" xfId="0" applyNumberFormat="1" applyFont="1" applyAlignment="1">
      <alignment vertical="center"/>
    </xf>
    <xf numFmtId="171" fontId="116" fillId="0" borderId="0" xfId="0" applyNumberFormat="1" applyFont="1"/>
    <xf numFmtId="11" fontId="197" fillId="0" borderId="0" xfId="0" applyNumberFormat="1" applyFont="1" applyAlignment="1">
      <alignment horizontal="left" vertical="justify"/>
    </xf>
    <xf numFmtId="11" fontId="228" fillId="0" borderId="0" xfId="0" applyNumberFormat="1" applyFont="1" applyAlignment="1">
      <alignment vertical="justify"/>
    </xf>
    <xf numFmtId="0" fontId="37" fillId="39" borderId="33" xfId="0" applyFont="1" applyFill="1" applyBorder="1" applyAlignment="1">
      <alignment vertical="justify"/>
    </xf>
    <xf numFmtId="177" fontId="48" fillId="39" borderId="88" xfId="112" applyNumberFormat="1" applyFont="1" applyFill="1" applyBorder="1" applyAlignment="1" applyProtection="1">
      <alignment horizontal="center" vertical="justify"/>
    </xf>
    <xf numFmtId="171" fontId="48" fillId="39" borderId="58" xfId="109" applyNumberFormat="1" applyFont="1" applyFill="1" applyBorder="1" applyAlignment="1" applyProtection="1">
      <alignment horizontal="center" vertical="justify"/>
    </xf>
    <xf numFmtId="11" fontId="228" fillId="0" borderId="0" xfId="0" applyNumberFormat="1" applyFont="1" applyAlignment="1">
      <alignment horizontal="left" vertical="justify"/>
    </xf>
    <xf numFmtId="177" fontId="48" fillId="39" borderId="263" xfId="112" applyNumberFormat="1" applyFont="1" applyFill="1" applyBorder="1" applyAlignment="1" applyProtection="1">
      <alignment horizontal="center" vertical="justify"/>
    </xf>
    <xf numFmtId="177" fontId="48" fillId="39" borderId="67" xfId="112" applyNumberFormat="1" applyFont="1" applyFill="1" applyBorder="1" applyAlignment="1" applyProtection="1">
      <alignment horizontal="center" vertical="justify"/>
    </xf>
    <xf numFmtId="171" fontId="48" fillId="39" borderId="29" xfId="109" applyNumberFormat="1" applyFont="1" applyFill="1" applyBorder="1" applyAlignment="1" applyProtection="1">
      <alignment horizontal="center" vertical="justify"/>
    </xf>
    <xf numFmtId="0" fontId="37" fillId="0" borderId="269" xfId="0" applyFont="1" applyBorder="1" applyAlignment="1">
      <alignment horizontal="left" vertical="justify"/>
    </xf>
    <xf numFmtId="0" fontId="37" fillId="0" borderId="69" xfId="0" applyFont="1" applyBorder="1" applyAlignment="1">
      <alignment horizontal="left" vertical="justify"/>
    </xf>
    <xf numFmtId="0" fontId="37" fillId="0" borderId="59" xfId="0" applyFont="1" applyBorder="1" applyAlignment="1">
      <alignment horizontal="left" vertical="justify"/>
    </xf>
    <xf numFmtId="0" fontId="37" fillId="39" borderId="29" xfId="0" applyFont="1" applyFill="1" applyBorder="1" applyAlignment="1">
      <alignment horizontal="left" vertical="justify"/>
    </xf>
    <xf numFmtId="177" fontId="48" fillId="39" borderId="60" xfId="109" applyNumberFormat="1" applyFont="1" applyFill="1" applyBorder="1" applyAlignment="1" applyProtection="1">
      <alignment horizontal="center" vertical="justify"/>
    </xf>
    <xf numFmtId="0" fontId="37" fillId="23" borderId="55" xfId="0" applyFont="1" applyFill="1" applyBorder="1" applyAlignment="1">
      <alignment horizontal="center" vertical="center"/>
    </xf>
    <xf numFmtId="0" fontId="37" fillId="0" borderId="61" xfId="0" applyFont="1" applyBorder="1" applyAlignment="1">
      <alignment horizontal="center" vertical="justify"/>
    </xf>
    <xf numFmtId="0" fontId="112" fillId="0" borderId="0" xfId="0" applyFont="1" applyAlignment="1">
      <alignment vertical="justify"/>
    </xf>
    <xf numFmtId="0" fontId="120" fillId="0" borderId="0" xfId="0" applyFont="1" applyAlignment="1">
      <alignment vertical="justify"/>
    </xf>
    <xf numFmtId="0" fontId="37" fillId="0" borderId="36" xfId="0" applyFont="1" applyBorder="1" applyAlignment="1">
      <alignment horizontal="center" vertical="center"/>
    </xf>
    <xf numFmtId="0" fontId="48" fillId="39" borderId="64" xfId="0" applyFont="1" applyFill="1" applyBorder="1" applyAlignment="1">
      <alignment horizontal="center" vertical="justify"/>
    </xf>
    <xf numFmtId="0" fontId="226" fillId="0" borderId="0" xfId="0" applyFont="1" applyAlignment="1">
      <alignment vertical="center"/>
    </xf>
    <xf numFmtId="0" fontId="116" fillId="0" borderId="0" xfId="0" applyFont="1" applyAlignment="1">
      <alignment horizontal="center" vertical="center"/>
    </xf>
    <xf numFmtId="0" fontId="112" fillId="0" borderId="0" xfId="0" applyFont="1" applyAlignment="1">
      <alignment vertical="center"/>
    </xf>
    <xf numFmtId="0" fontId="37" fillId="0" borderId="65" xfId="0" applyFont="1" applyBorder="1" applyAlignment="1">
      <alignment horizontal="center" vertical="center"/>
    </xf>
    <xf numFmtId="0" fontId="195" fillId="0" borderId="0" xfId="0" applyFont="1" applyAlignment="1">
      <alignment vertical="center"/>
    </xf>
    <xf numFmtId="9" fontId="196" fillId="0" borderId="0" xfId="238" applyFont="1" applyBorder="1" applyAlignment="1" applyProtection="1">
      <alignment vertical="center"/>
    </xf>
    <xf numFmtId="0" fontId="196" fillId="0" borderId="0" xfId="0" applyFont="1" applyAlignment="1">
      <alignment horizontal="right" vertical="center"/>
    </xf>
    <xf numFmtId="0" fontId="37" fillId="0" borderId="66" xfId="0" applyFont="1" applyBorder="1" applyAlignment="1">
      <alignment horizontal="center" vertical="center"/>
    </xf>
    <xf numFmtId="0" fontId="48" fillId="39" borderId="90" xfId="0" applyFont="1" applyFill="1" applyBorder="1" applyAlignment="1">
      <alignment horizontal="center" vertical="justify"/>
    </xf>
    <xf numFmtId="177" fontId="48" fillId="0" borderId="55" xfId="0" applyNumberFormat="1" applyFont="1" applyBorder="1"/>
    <xf numFmtId="0" fontId="199" fillId="0" borderId="0" xfId="0" applyFont="1"/>
    <xf numFmtId="0" fontId="59" fillId="0" borderId="2" xfId="0" applyFont="1" applyBorder="1" applyAlignment="1">
      <alignment horizontal="center" vertical="center" textRotation="90" readingOrder="1"/>
    </xf>
    <xf numFmtId="0" fontId="37" fillId="0" borderId="0" xfId="0" applyFont="1" applyAlignment="1">
      <alignment horizontal="center"/>
    </xf>
    <xf numFmtId="177" fontId="48" fillId="0" borderId="0" xfId="0" applyNumberFormat="1" applyFont="1"/>
    <xf numFmtId="11" fontId="37" fillId="0" borderId="31" xfId="0" applyNumberFormat="1" applyFont="1" applyBorder="1" applyAlignment="1">
      <alignment horizontal="center" vertical="justify"/>
    </xf>
    <xf numFmtId="0" fontId="37" fillId="39" borderId="58" xfId="0" applyFont="1" applyFill="1" applyBorder="1" applyAlignment="1">
      <alignment horizontal="left" vertical="justify"/>
    </xf>
    <xf numFmtId="171" fontId="48" fillId="39" borderId="22" xfId="109" applyNumberFormat="1" applyFont="1" applyFill="1" applyBorder="1" applyProtection="1"/>
    <xf numFmtId="0" fontId="193" fillId="0" borderId="0" xfId="0" applyFont="1" applyAlignment="1">
      <alignment horizontal="left" vertical="center"/>
    </xf>
    <xf numFmtId="0" fontId="37" fillId="39" borderId="59" xfId="0" applyFont="1" applyFill="1" applyBorder="1" applyAlignment="1">
      <alignment horizontal="left" vertical="justify"/>
    </xf>
    <xf numFmtId="171" fontId="48" fillId="39" borderId="69" xfId="109" applyNumberFormat="1" applyFont="1" applyFill="1" applyBorder="1" applyProtection="1"/>
    <xf numFmtId="0" fontId="104" fillId="0" borderId="0" xfId="100" applyFill="1" applyProtection="1"/>
    <xf numFmtId="0" fontId="37" fillId="39" borderId="70" xfId="0" applyFont="1" applyFill="1" applyBorder="1" applyAlignment="1">
      <alignment horizontal="left" vertical="justify"/>
    </xf>
    <xf numFmtId="171" fontId="48" fillId="39" borderId="29" xfId="109" applyNumberFormat="1" applyFont="1" applyFill="1" applyBorder="1" applyProtection="1"/>
    <xf numFmtId="168" fontId="196" fillId="0" borderId="0" xfId="109" applyFont="1" applyBorder="1" applyAlignment="1" applyProtection="1">
      <alignment vertical="center"/>
    </xf>
    <xf numFmtId="0" fontId="30" fillId="0" borderId="0" xfId="0" applyFont="1" applyAlignment="1">
      <alignment vertical="center" textRotation="90" readingOrder="1"/>
    </xf>
    <xf numFmtId="0" fontId="37" fillId="0" borderId="0" xfId="0" applyFont="1" applyAlignment="1">
      <alignment horizontal="left" vertical="justify"/>
    </xf>
    <xf numFmtId="9" fontId="48" fillId="0" borderId="0" xfId="238" applyFont="1" applyFill="1" applyBorder="1" applyAlignment="1" applyProtection="1">
      <alignment horizontal="center" vertical="justify"/>
    </xf>
    <xf numFmtId="171" fontId="197" fillId="0" borderId="0" xfId="109" applyNumberFormat="1" applyFont="1" applyFill="1" applyBorder="1" applyProtection="1"/>
    <xf numFmtId="0" fontId="120" fillId="0" borderId="0" xfId="0" applyFont="1" applyAlignment="1">
      <alignment horizontal="center"/>
    </xf>
    <xf numFmtId="171" fontId="48" fillId="0" borderId="0" xfId="109" applyNumberFormat="1" applyFont="1" applyFill="1" applyBorder="1" applyProtection="1"/>
    <xf numFmtId="0" fontId="104" fillId="0" borderId="0" xfId="100" applyFill="1" applyAlignment="1" applyProtection="1">
      <alignment vertical="center"/>
    </xf>
    <xf numFmtId="11" fontId="48" fillId="0" borderId="0" xfId="0" applyNumberFormat="1" applyFont="1"/>
    <xf numFmtId="9" fontId="120" fillId="0" borderId="0" xfId="0" applyNumberFormat="1" applyFont="1"/>
    <xf numFmtId="0" fontId="66" fillId="24" borderId="0" xfId="0" applyFont="1" applyFill="1"/>
    <xf numFmtId="11" fontId="67" fillId="0" borderId="0" xfId="0" applyNumberFormat="1" applyFont="1"/>
    <xf numFmtId="0" fontId="66" fillId="39" borderId="0" xfId="0" applyFont="1" applyFill="1"/>
    <xf numFmtId="168" fontId="196" fillId="0" borderId="0" xfId="109" applyFont="1" applyFill="1" applyBorder="1" applyAlignment="1" applyProtection="1">
      <alignment vertical="center"/>
    </xf>
    <xf numFmtId="0" fontId="116" fillId="0" borderId="0" xfId="0" applyFont="1" applyAlignment="1">
      <alignment vertical="center"/>
    </xf>
    <xf numFmtId="171" fontId="116" fillId="0" borderId="0" xfId="0" applyNumberFormat="1" applyFont="1" applyAlignment="1">
      <alignment vertical="center"/>
    </xf>
    <xf numFmtId="0" fontId="113" fillId="0" borderId="0" xfId="0" applyFont="1" applyAlignment="1">
      <alignment vertical="justify"/>
    </xf>
    <xf numFmtId="0" fontId="143" fillId="0" borderId="0" xfId="0" applyFont="1" applyAlignment="1">
      <alignment vertical="justify"/>
    </xf>
    <xf numFmtId="0" fontId="143" fillId="0" borderId="135" xfId="0" applyFont="1" applyBorder="1" applyAlignment="1">
      <alignment vertical="justify"/>
    </xf>
    <xf numFmtId="0" fontId="0" fillId="0" borderId="135" xfId="0" applyBorder="1"/>
    <xf numFmtId="0" fontId="0" fillId="0" borderId="136" xfId="0" applyBorder="1"/>
    <xf numFmtId="0" fontId="0" fillId="0" borderId="137" xfId="0" applyBorder="1"/>
    <xf numFmtId="0" fontId="0" fillId="0" borderId="138" xfId="0" applyBorder="1"/>
    <xf numFmtId="0" fontId="0" fillId="0" borderId="135" xfId="0" applyBorder="1" applyAlignment="1">
      <alignment vertical="justify"/>
    </xf>
    <xf numFmtId="0" fontId="110" fillId="0" borderId="134" xfId="0" applyFont="1" applyBorder="1"/>
    <xf numFmtId="0" fontId="138" fillId="0" borderId="134" xfId="0" applyFont="1" applyBorder="1"/>
    <xf numFmtId="0" fontId="138" fillId="0" borderId="134" xfId="0" applyFont="1" applyBorder="1" applyAlignment="1">
      <alignment vertical="center"/>
    </xf>
    <xf numFmtId="14" fontId="283" fillId="23" borderId="0" xfId="100" applyNumberFormat="1" applyFont="1" applyFill="1" applyProtection="1">
      <protection locked="0"/>
    </xf>
    <xf numFmtId="0" fontId="114" fillId="0" borderId="135" xfId="0" applyFont="1" applyBorder="1" applyAlignment="1">
      <alignment wrapText="1"/>
    </xf>
    <xf numFmtId="0" fontId="114" fillId="0" borderId="135" xfId="0" applyFont="1" applyBorder="1" applyAlignment="1">
      <alignment vertical="justify"/>
    </xf>
    <xf numFmtId="0" fontId="288" fillId="0" borderId="134" xfId="0" applyFont="1" applyBorder="1"/>
    <xf numFmtId="0" fontId="30" fillId="0" borderId="327" xfId="0" applyFont="1" applyBorder="1" applyAlignment="1">
      <alignment horizontal="center" vertical="justify"/>
    </xf>
    <xf numFmtId="0" fontId="110" fillId="0" borderId="347" xfId="0" applyFont="1" applyBorder="1" applyAlignment="1">
      <alignment horizontal="center" vertical="center"/>
    </xf>
    <xf numFmtId="0" fontId="0" fillId="0" borderId="71" xfId="0" applyBorder="1" applyAlignment="1">
      <alignment horizontal="left"/>
    </xf>
    <xf numFmtId="3" fontId="101" fillId="0" borderId="0" xfId="0" applyNumberFormat="1" applyFont="1"/>
    <xf numFmtId="0" fontId="288" fillId="0" borderId="0" xfId="0" applyFont="1"/>
    <xf numFmtId="0" fontId="288" fillId="0" borderId="4" xfId="0" applyFont="1" applyBorder="1"/>
    <xf numFmtId="0" fontId="289" fillId="0" borderId="4" xfId="0" applyFont="1" applyBorder="1"/>
    <xf numFmtId="0" fontId="290" fillId="0" borderId="0" xfId="0" applyFont="1"/>
    <xf numFmtId="171" fontId="288" fillId="0" borderId="4" xfId="109" applyNumberFormat="1" applyFont="1" applyBorder="1"/>
    <xf numFmtId="171" fontId="289" fillId="0" borderId="4" xfId="0" applyNumberFormat="1" applyFont="1" applyBorder="1"/>
    <xf numFmtId="9" fontId="101" fillId="0" borderId="0" xfId="238" applyFont="1"/>
    <xf numFmtId="0" fontId="138" fillId="0" borderId="134" xfId="0" applyFont="1" applyBorder="1" applyAlignment="1">
      <alignment vertical="justify"/>
    </xf>
    <xf numFmtId="0" fontId="110" fillId="0" borderId="134" xfId="0" applyFont="1" applyBorder="1" applyAlignment="1">
      <alignment vertical="justify"/>
    </xf>
    <xf numFmtId="0" fontId="138" fillId="0" borderId="134" xfId="0" applyFont="1" applyBorder="1" applyAlignment="1">
      <alignment horizontal="left" vertical="center"/>
    </xf>
    <xf numFmtId="171" fontId="36" fillId="49" borderId="348" xfId="109" applyNumberFormat="1" applyFont="1" applyFill="1" applyBorder="1" applyProtection="1"/>
    <xf numFmtId="0" fontId="0" fillId="72" borderId="4" xfId="0" applyFill="1" applyBorder="1" applyAlignment="1" applyProtection="1">
      <alignment horizontal="center"/>
      <protection locked="0"/>
    </xf>
    <xf numFmtId="0" fontId="110" fillId="23" borderId="4" xfId="0" applyFont="1" applyFill="1" applyBorder="1" applyAlignment="1" applyProtection="1">
      <alignment horizontal="center" vertical="justify"/>
      <protection locked="0"/>
    </xf>
    <xf numFmtId="177" fontId="288" fillId="0" borderId="4" xfId="109" applyNumberFormat="1" applyFont="1" applyBorder="1"/>
    <xf numFmtId="0" fontId="0" fillId="48" borderId="4" xfId="0" applyFill="1" applyBorder="1" applyAlignment="1" applyProtection="1">
      <alignment horizontal="center" vertical="center"/>
      <protection locked="0"/>
    </xf>
    <xf numFmtId="168" fontId="179" fillId="0" borderId="0" xfId="109" applyFont="1" applyProtection="1">
      <protection locked="0"/>
    </xf>
    <xf numFmtId="168" fontId="185" fillId="57" borderId="0" xfId="109" applyFont="1" applyFill="1" applyProtection="1">
      <protection locked="0"/>
    </xf>
    <xf numFmtId="168" fontId="185" fillId="0" borderId="0" xfId="109" applyFont="1" applyProtection="1">
      <protection locked="0"/>
    </xf>
    <xf numFmtId="168" fontId="133" fillId="0" borderId="0" xfId="109" applyFont="1"/>
    <xf numFmtId="2" fontId="0" fillId="0" borderId="0" xfId="0" applyNumberFormat="1"/>
    <xf numFmtId="14" fontId="261" fillId="39" borderId="307" xfId="0" applyNumberFormat="1" applyFont="1" applyFill="1" applyBorder="1" applyAlignment="1" applyProtection="1">
      <alignment horizontal="center" vertical="center" wrapText="1"/>
      <protection locked="0"/>
    </xf>
    <xf numFmtId="9" fontId="0" fillId="24" borderId="0" xfId="0" applyNumberFormat="1" applyFill="1"/>
    <xf numFmtId="9" fontId="0" fillId="24" borderId="0" xfId="238" applyFont="1" applyFill="1"/>
    <xf numFmtId="0" fontId="168" fillId="24" borderId="0" xfId="0" applyFont="1" applyFill="1"/>
    <xf numFmtId="9" fontId="291" fillId="24" borderId="0" xfId="0" applyNumberFormat="1" applyFont="1" applyFill="1"/>
    <xf numFmtId="0" fontId="291" fillId="24" borderId="0" xfId="0" applyFont="1" applyFill="1"/>
    <xf numFmtId="168" fontId="291" fillId="24" borderId="0" xfId="109" applyFont="1" applyFill="1"/>
    <xf numFmtId="177" fontId="291" fillId="24" borderId="0" xfId="0" applyNumberFormat="1" applyFont="1" applyFill="1"/>
    <xf numFmtId="0" fontId="291" fillId="55" borderId="0" xfId="0" applyFont="1" applyFill="1"/>
    <xf numFmtId="0" fontId="38" fillId="41" borderId="0" xfId="0" applyFont="1" applyFill="1"/>
    <xf numFmtId="0" fontId="110" fillId="0" borderId="4" xfId="0" applyFont="1" applyBorder="1" applyAlignment="1">
      <alignment horizontal="center" vertical="center" wrapText="1"/>
    </xf>
    <xf numFmtId="0" fontId="83" fillId="0" borderId="310" xfId="0" applyFont="1" applyBorder="1" applyAlignment="1">
      <alignment vertical="justify" wrapText="1"/>
    </xf>
    <xf numFmtId="0" fontId="36" fillId="0" borderId="349" xfId="0" applyFont="1" applyBorder="1" applyAlignment="1">
      <alignment horizontal="justify" vertical="center" wrapText="1"/>
    </xf>
    <xf numFmtId="171" fontId="36" fillId="48" borderId="350" xfId="112" applyNumberFormat="1" applyFont="1" applyFill="1" applyBorder="1" applyAlignment="1" applyProtection="1">
      <alignment horizontal="center" vertical="center"/>
      <protection locked="0"/>
    </xf>
    <xf numFmtId="171" fontId="36" fillId="55" borderId="350" xfId="112" applyNumberFormat="1" applyFont="1" applyFill="1" applyBorder="1" applyAlignment="1" applyProtection="1">
      <alignment horizontal="center" vertical="center"/>
    </xf>
    <xf numFmtId="177" fontId="36" fillId="0" borderId="350" xfId="109" applyNumberFormat="1" applyFont="1" applyBorder="1" applyAlignment="1" applyProtection="1">
      <alignment horizontal="center" vertical="center"/>
      <protection hidden="1"/>
    </xf>
    <xf numFmtId="177" fontId="30" fillId="0" borderId="350" xfId="109" applyNumberFormat="1" applyFont="1" applyBorder="1" applyAlignment="1" applyProtection="1">
      <alignment horizontal="center" vertical="center"/>
      <protection hidden="1"/>
    </xf>
    <xf numFmtId="0" fontId="292" fillId="0" borderId="0" xfId="0" applyFont="1"/>
    <xf numFmtId="0" fontId="182" fillId="0" borderId="264" xfId="0" applyFont="1" applyBorder="1"/>
    <xf numFmtId="0" fontId="110" fillId="0" borderId="92" xfId="0" applyFont="1" applyBorder="1" applyAlignment="1">
      <alignment horizontal="center" vertical="center"/>
    </xf>
    <xf numFmtId="0" fontId="30" fillId="0" borderId="326" xfId="0" applyFont="1" applyBorder="1" applyAlignment="1">
      <alignment horizontal="center" vertical="justify"/>
    </xf>
    <xf numFmtId="0" fontId="30" fillId="0" borderId="325" xfId="0" applyFont="1" applyBorder="1"/>
    <xf numFmtId="0" fontId="0" fillId="0" borderId="0" xfId="109" applyNumberFormat="1" applyFont="1" applyBorder="1"/>
    <xf numFmtId="0" fontId="293" fillId="0" borderId="0" xfId="217" applyFont="1"/>
    <xf numFmtId="0" fontId="295" fillId="0" borderId="0" xfId="0" applyFont="1"/>
    <xf numFmtId="0" fontId="296" fillId="0" borderId="0" xfId="0" applyFont="1"/>
    <xf numFmtId="0" fontId="297" fillId="0" borderId="0" xfId="0" applyFont="1"/>
    <xf numFmtId="0" fontId="298" fillId="0" borderId="0" xfId="0" applyFont="1"/>
    <xf numFmtId="0" fontId="298" fillId="39" borderId="0" xfId="0" applyFont="1" applyFill="1"/>
    <xf numFmtId="0" fontId="299" fillId="0" borderId="0" xfId="0" applyFont="1"/>
    <xf numFmtId="0" fontId="175" fillId="51" borderId="353" xfId="0" applyFont="1" applyFill="1" applyBorder="1"/>
    <xf numFmtId="0" fontId="175" fillId="51" borderId="354" xfId="0" applyFont="1" applyFill="1" applyBorder="1"/>
    <xf numFmtId="0" fontId="175" fillId="51" borderId="355" xfId="0" applyFont="1" applyFill="1" applyBorder="1"/>
    <xf numFmtId="0" fontId="175" fillId="51" borderId="353" xfId="0" applyFont="1" applyFill="1" applyBorder="1" applyAlignment="1">
      <alignment vertical="justify"/>
    </xf>
    <xf numFmtId="0" fontId="175" fillId="51" borderId="355" xfId="0" applyFont="1" applyFill="1" applyBorder="1" applyAlignment="1">
      <alignment vertical="top"/>
    </xf>
    <xf numFmtId="0" fontId="300" fillId="39" borderId="0" xfId="0" applyFont="1" applyFill="1" applyProtection="1">
      <protection locked="0"/>
    </xf>
    <xf numFmtId="171" fontId="301" fillId="39" borderId="0" xfId="109" applyNumberFormat="1" applyFont="1" applyFill="1" applyProtection="1">
      <protection locked="0"/>
    </xf>
    <xf numFmtId="0" fontId="111" fillId="39" borderId="0" xfId="0" applyFont="1" applyFill="1" applyProtection="1">
      <protection locked="0"/>
    </xf>
    <xf numFmtId="177" fontId="101" fillId="39" borderId="0" xfId="0" applyNumberFormat="1" applyFont="1" applyFill="1" applyProtection="1">
      <protection locked="0"/>
    </xf>
    <xf numFmtId="0" fontId="294" fillId="23" borderId="0" xfId="0" applyFont="1" applyFill="1" applyAlignment="1" applyProtection="1">
      <alignment horizontal="left"/>
      <protection locked="0"/>
    </xf>
    <xf numFmtId="0" fontId="30" fillId="0" borderId="33" xfId="0" applyFont="1" applyBorder="1" applyAlignment="1">
      <alignment horizontal="justify" vertical="center" wrapText="1"/>
    </xf>
    <xf numFmtId="3" fontId="36" fillId="0" borderId="356" xfId="0" applyNumberFormat="1" applyFont="1" applyBorder="1" applyAlignment="1">
      <alignment horizontal="justify" vertical="center" wrapText="1"/>
    </xf>
    <xf numFmtId="171" fontId="36" fillId="48" borderId="357" xfId="112" applyNumberFormat="1" applyFont="1" applyFill="1" applyBorder="1" applyAlignment="1" applyProtection="1">
      <alignment horizontal="center" vertical="center"/>
      <protection locked="0"/>
    </xf>
    <xf numFmtId="171" fontId="36" fillId="55" borderId="357" xfId="112" applyNumberFormat="1" applyFont="1" applyFill="1" applyBorder="1" applyAlignment="1" applyProtection="1">
      <alignment horizontal="center" vertical="center"/>
    </xf>
    <xf numFmtId="177" fontId="36" fillId="0" borderId="1" xfId="109" applyNumberFormat="1" applyFont="1" applyBorder="1" applyAlignment="1" applyProtection="1">
      <alignment horizontal="center" vertical="center"/>
      <protection hidden="1"/>
    </xf>
    <xf numFmtId="177" fontId="30" fillId="0" borderId="1" xfId="109" applyNumberFormat="1" applyFont="1" applyBorder="1" applyAlignment="1" applyProtection="1">
      <alignment horizontal="center" vertical="center"/>
      <protection hidden="1"/>
    </xf>
    <xf numFmtId="9" fontId="30" fillId="0" borderId="102" xfId="238" applyFont="1" applyBorder="1" applyAlignment="1" applyProtection="1">
      <alignment horizontal="center" vertical="center"/>
      <protection hidden="1"/>
    </xf>
    <xf numFmtId="9" fontId="30" fillId="0" borderId="74" xfId="238" applyFont="1" applyBorder="1" applyAlignment="1" applyProtection="1">
      <alignment horizontal="center" vertical="center"/>
      <protection hidden="1"/>
    </xf>
    <xf numFmtId="0" fontId="30" fillId="0" borderId="358" xfId="0" applyFont="1" applyBorder="1" applyAlignment="1">
      <alignment horizontal="justify" vertical="center" wrapText="1"/>
    </xf>
    <xf numFmtId="9" fontId="30" fillId="0" borderId="359" xfId="238" applyFont="1" applyBorder="1" applyAlignment="1" applyProtection="1">
      <alignment horizontal="center" vertical="center"/>
      <protection hidden="1"/>
    </xf>
    <xf numFmtId="0" fontId="30" fillId="0" borderId="60" xfId="0" applyFont="1" applyBorder="1" applyAlignment="1">
      <alignment horizontal="justify" vertical="center" wrapText="1"/>
    </xf>
    <xf numFmtId="0" fontId="36" fillId="0" borderId="360" xfId="0" applyFont="1" applyBorder="1" applyAlignment="1">
      <alignment horizontal="justify" vertical="center" wrapText="1"/>
    </xf>
    <xf numFmtId="171" fontId="36" fillId="55" borderId="87" xfId="112" applyNumberFormat="1" applyFont="1" applyFill="1" applyBorder="1" applyAlignment="1" applyProtection="1">
      <alignment horizontal="center" vertical="center"/>
    </xf>
    <xf numFmtId="171" fontId="36" fillId="48" borderId="87" xfId="112" applyNumberFormat="1" applyFont="1" applyFill="1" applyBorder="1" applyAlignment="1" applyProtection="1">
      <alignment horizontal="center" vertical="center"/>
      <protection locked="0"/>
    </xf>
    <xf numFmtId="177" fontId="36" fillId="0" borderId="329" xfId="109" applyNumberFormat="1" applyFont="1" applyBorder="1" applyAlignment="1" applyProtection="1">
      <alignment horizontal="center" vertical="center"/>
      <protection hidden="1"/>
    </xf>
    <xf numFmtId="177" fontId="30" fillId="0" borderId="329" xfId="109" applyNumberFormat="1" applyFont="1" applyBorder="1" applyAlignment="1" applyProtection="1">
      <alignment horizontal="center" vertical="center"/>
      <protection hidden="1"/>
    </xf>
    <xf numFmtId="9" fontId="30" fillId="0" borderId="262" xfId="238" applyFont="1" applyBorder="1" applyAlignment="1" applyProtection="1">
      <alignment horizontal="center" vertical="center"/>
      <protection hidden="1"/>
    </xf>
    <xf numFmtId="0" fontId="302" fillId="39" borderId="0" xfId="0" applyFont="1" applyFill="1" applyAlignment="1">
      <alignment horizontal="center" vertical="center"/>
    </xf>
    <xf numFmtId="0" fontId="300" fillId="39" borderId="0" xfId="0" applyFont="1" applyFill="1" applyAlignment="1">
      <alignment vertical="center"/>
    </xf>
    <xf numFmtId="0" fontId="300" fillId="0" borderId="0" xfId="0" applyFont="1"/>
    <xf numFmtId="0" fontId="300" fillId="39" borderId="0" xfId="0" applyFont="1" applyFill="1"/>
    <xf numFmtId="0" fontId="301" fillId="0" borderId="0" xfId="0" applyFont="1"/>
    <xf numFmtId="0" fontId="301" fillId="39" borderId="0" xfId="0" applyFont="1" applyFill="1"/>
    <xf numFmtId="0" fontId="303" fillId="39" borderId="0" xfId="0" applyFont="1" applyFill="1" applyAlignment="1">
      <alignment horizontal="center" vertical="center"/>
    </xf>
    <xf numFmtId="9" fontId="304" fillId="39" borderId="0" xfId="238" applyFont="1" applyFill="1" applyAlignment="1" applyProtection="1">
      <alignment horizontal="center"/>
    </xf>
    <xf numFmtId="0" fontId="37" fillId="39" borderId="58" xfId="0" applyFont="1" applyFill="1" applyBorder="1" applyAlignment="1">
      <alignment vertical="justify"/>
    </xf>
    <xf numFmtId="0" fontId="37" fillId="39" borderId="69" xfId="0" applyFont="1" applyFill="1" applyBorder="1" applyAlignment="1">
      <alignment vertical="justify"/>
    </xf>
    <xf numFmtId="0" fontId="37" fillId="39" borderId="29" xfId="0" applyFont="1" applyFill="1" applyBorder="1" applyAlignment="1">
      <alignment vertical="justify"/>
    </xf>
    <xf numFmtId="177" fontId="48" fillId="39" borderId="0" xfId="112" applyNumberFormat="1" applyFont="1" applyFill="1" applyBorder="1" applyAlignment="1" applyProtection="1">
      <alignment horizontal="center" vertical="justify"/>
    </xf>
    <xf numFmtId="171" fontId="48" fillId="39" borderId="23" xfId="109" applyNumberFormat="1" applyFont="1" applyFill="1" applyBorder="1" applyAlignment="1" applyProtection="1">
      <alignment horizontal="center" vertical="justify"/>
    </xf>
    <xf numFmtId="0" fontId="301" fillId="55" borderId="0" xfId="0" applyFont="1" applyFill="1"/>
    <xf numFmtId="0" fontId="116" fillId="23" borderId="0" xfId="0" applyFont="1" applyFill="1"/>
    <xf numFmtId="0" fontId="112" fillId="23" borderId="0" xfId="0" applyFont="1" applyFill="1"/>
    <xf numFmtId="0" fontId="110" fillId="0" borderId="0" xfId="0" applyFont="1" applyAlignment="1" applyProtection="1">
      <alignment horizontal="center" vertical="justify"/>
      <protection locked="0"/>
    </xf>
    <xf numFmtId="177" fontId="110" fillId="0" borderId="0" xfId="109" applyNumberFormat="1" applyFont="1" applyFill="1" applyBorder="1" applyProtection="1">
      <protection locked="0"/>
    </xf>
    <xf numFmtId="9" fontId="110" fillId="0" borderId="0" xfId="238" applyFont="1" applyBorder="1" applyProtection="1"/>
    <xf numFmtId="174" fontId="26" fillId="0" borderId="307" xfId="0" applyNumberFormat="1" applyFont="1" applyBorder="1" applyAlignment="1" applyProtection="1">
      <alignment vertical="justify"/>
      <protection hidden="1"/>
    </xf>
    <xf numFmtId="0" fontId="26" fillId="48" borderId="361" xfId="0" applyFont="1" applyFill="1" applyBorder="1" applyAlignment="1" applyProtection="1">
      <alignment vertical="justify"/>
      <protection locked="0"/>
    </xf>
    <xf numFmtId="0" fontId="71" fillId="48" borderId="361" xfId="0" applyFont="1" applyFill="1" applyBorder="1" applyAlignment="1" applyProtection="1">
      <alignment vertical="justify" wrapText="1"/>
      <protection locked="0"/>
    </xf>
    <xf numFmtId="0" fontId="71" fillId="48" borderId="361" xfId="0" applyFont="1" applyFill="1" applyBorder="1" applyAlignment="1" applyProtection="1">
      <alignment vertical="justify"/>
      <protection locked="0"/>
    </xf>
    <xf numFmtId="0" fontId="104" fillId="0" borderId="0" xfId="100" applyAlignment="1" applyProtection="1">
      <alignment vertical="center"/>
    </xf>
    <xf numFmtId="0" fontId="300" fillId="0" borderId="0" xfId="100" applyFont="1" applyAlignment="1" applyProtection="1">
      <alignment vertical="justify"/>
    </xf>
    <xf numFmtId="0" fontId="271" fillId="0" borderId="0" xfId="0" applyFont="1" applyAlignment="1">
      <alignment horizontal="center" vertical="justify"/>
    </xf>
    <xf numFmtId="0" fontId="271" fillId="0" borderId="0" xfId="0" applyFont="1" applyAlignment="1" applyProtection="1">
      <alignment horizontal="center" vertical="center"/>
      <protection locked="0"/>
    </xf>
    <xf numFmtId="49" fontId="261" fillId="39" borderId="307" xfId="0" applyNumberFormat="1" applyFont="1" applyFill="1" applyBorder="1" applyAlignment="1" applyProtection="1">
      <alignment horizontal="center" vertical="center" wrapText="1"/>
      <protection locked="0"/>
    </xf>
    <xf numFmtId="0" fontId="84" fillId="45" borderId="311" xfId="0" applyFont="1" applyFill="1" applyBorder="1" applyAlignment="1" applyProtection="1">
      <alignment horizontal="left" vertical="justify" wrapText="1"/>
      <protection locked="0"/>
    </xf>
    <xf numFmtId="0" fontId="84" fillId="45" borderId="308" xfId="0" applyFont="1" applyFill="1" applyBorder="1" applyAlignment="1" applyProtection="1">
      <alignment horizontal="left" vertical="justify"/>
      <protection locked="0"/>
    </xf>
    <xf numFmtId="0" fontId="84" fillId="45" borderId="309" xfId="0" applyFont="1" applyFill="1" applyBorder="1" applyAlignment="1" applyProtection="1">
      <alignment horizontal="left" vertical="justify"/>
      <protection locked="0"/>
    </xf>
    <xf numFmtId="0" fontId="241" fillId="0" borderId="0" xfId="0" applyFont="1" applyAlignment="1">
      <alignment horizontal="left" vertical="center"/>
    </xf>
    <xf numFmtId="0" fontId="305" fillId="0" borderId="306" xfId="0" applyFont="1" applyBorder="1" applyAlignment="1">
      <alignment vertical="justify"/>
    </xf>
    <xf numFmtId="0" fontId="305" fillId="0" borderId="0" xfId="0" applyFont="1" applyAlignment="1">
      <alignment horizontal="left" vertical="justify"/>
    </xf>
    <xf numFmtId="0" fontId="305" fillId="0" borderId="0" xfId="0" applyFont="1" applyAlignment="1">
      <alignment vertical="justify"/>
    </xf>
    <xf numFmtId="168" fontId="110" fillId="0" borderId="0" xfId="109" applyFont="1"/>
    <xf numFmtId="0" fontId="0" fillId="0" borderId="194" xfId="0" applyBorder="1" applyAlignment="1">
      <alignment horizontal="left" vertical="justify"/>
    </xf>
    <xf numFmtId="0" fontId="261" fillId="39" borderId="101" xfId="0" applyFont="1" applyFill="1" applyBorder="1" applyAlignment="1" applyProtection="1">
      <alignment horizontal="center" vertical="center" wrapText="1"/>
      <protection locked="0"/>
    </xf>
    <xf numFmtId="0" fontId="261" fillId="39" borderId="363" xfId="0" applyFont="1" applyFill="1" applyBorder="1" applyAlignment="1" applyProtection="1">
      <alignment horizontal="center" vertical="center" wrapText="1"/>
      <protection locked="0"/>
    </xf>
    <xf numFmtId="0" fontId="261" fillId="39" borderId="364" xfId="0" applyFont="1" applyFill="1" applyBorder="1" applyAlignment="1" applyProtection="1">
      <alignment horizontal="center" vertical="center" wrapText="1"/>
      <protection locked="0"/>
    </xf>
    <xf numFmtId="0" fontId="261" fillId="39" borderId="73" xfId="0" applyFont="1" applyFill="1" applyBorder="1" applyAlignment="1" applyProtection="1">
      <alignment horizontal="center" vertical="center" wrapText="1"/>
      <protection locked="0"/>
    </xf>
    <xf numFmtId="0" fontId="261" fillId="39" borderId="365" xfId="0" applyFont="1" applyFill="1" applyBorder="1" applyAlignment="1" applyProtection="1">
      <alignment horizontal="center" vertical="center" wrapText="1"/>
      <protection locked="0"/>
    </xf>
    <xf numFmtId="0" fontId="261" fillId="39" borderId="103" xfId="0" applyFont="1" applyFill="1" applyBorder="1" applyAlignment="1" applyProtection="1">
      <alignment horizontal="center" vertical="center" wrapText="1"/>
      <protection locked="0"/>
    </xf>
    <xf numFmtId="0" fontId="261" fillId="39" borderId="366" xfId="0" applyFont="1" applyFill="1" applyBorder="1" applyAlignment="1" applyProtection="1">
      <alignment horizontal="center" vertical="center" wrapText="1"/>
      <protection locked="0"/>
    </xf>
    <xf numFmtId="0" fontId="261" fillId="39" borderId="367" xfId="0" applyFont="1" applyFill="1" applyBorder="1" applyAlignment="1" applyProtection="1">
      <alignment horizontal="center" vertical="center" wrapText="1"/>
      <protection locked="0"/>
    </xf>
    <xf numFmtId="0" fontId="110" fillId="0" borderId="299" xfId="0" applyFont="1" applyBorder="1" applyAlignment="1">
      <alignment horizontal="center" vertical="center"/>
    </xf>
    <xf numFmtId="0" fontId="110" fillId="0" borderId="299" xfId="0" applyFont="1" applyBorder="1" applyAlignment="1">
      <alignment horizontal="center" vertical="center" wrapText="1"/>
    </xf>
    <xf numFmtId="0" fontId="252" fillId="41" borderId="80" xfId="0" applyFont="1" applyFill="1" applyBorder="1" applyAlignment="1">
      <alignment horizontal="center" vertical="center" wrapText="1"/>
    </xf>
    <xf numFmtId="0" fontId="252" fillId="41" borderId="81" xfId="0" applyFont="1" applyFill="1" applyBorder="1" applyAlignment="1">
      <alignment horizontal="center" vertical="center" wrapText="1"/>
    </xf>
    <xf numFmtId="0" fontId="252" fillId="41" borderId="182" xfId="0" applyFont="1" applyFill="1" applyBorder="1" applyAlignment="1">
      <alignment horizontal="center" vertical="center" wrapText="1"/>
    </xf>
    <xf numFmtId="0" fontId="252" fillId="41" borderId="200" xfId="0" applyFont="1" applyFill="1" applyBorder="1" applyAlignment="1">
      <alignment horizontal="center" vertical="center" wrapText="1"/>
    </xf>
    <xf numFmtId="0" fontId="261" fillId="41" borderId="311" xfId="0" applyFont="1" applyFill="1" applyBorder="1" applyAlignment="1">
      <alignment vertical="center" wrapText="1"/>
    </xf>
    <xf numFmtId="198" fontId="262" fillId="41" borderId="186" xfId="0" applyNumberFormat="1" applyFont="1" applyFill="1" applyBorder="1" applyAlignment="1">
      <alignment vertical="justify"/>
    </xf>
    <xf numFmtId="0" fontId="83" fillId="41" borderId="306" xfId="0" applyFont="1" applyFill="1" applyBorder="1" applyAlignment="1">
      <alignment horizontal="left" vertical="justify"/>
    </xf>
    <xf numFmtId="199" fontId="262" fillId="41" borderId="318" xfId="0" applyNumberFormat="1" applyFont="1" applyFill="1" applyBorder="1" applyAlignment="1">
      <alignment vertical="justify"/>
    </xf>
    <xf numFmtId="199" fontId="262" fillId="41" borderId="319" xfId="0" applyNumberFormat="1" applyFont="1" applyFill="1" applyBorder="1" applyAlignment="1">
      <alignment vertical="justify"/>
    </xf>
    <xf numFmtId="199" fontId="262" fillId="41" borderId="305" xfId="0" applyNumberFormat="1" applyFont="1" applyFill="1" applyBorder="1" applyAlignment="1">
      <alignment vertical="justify"/>
    </xf>
    <xf numFmtId="168" fontId="261" fillId="41" borderId="101" xfId="109" applyFont="1" applyFill="1" applyBorder="1" applyAlignment="1" applyProtection="1">
      <alignment vertical="center" wrapText="1"/>
    </xf>
    <xf numFmtId="168" fontId="261" fillId="41" borderId="73" xfId="109" applyFont="1" applyFill="1" applyBorder="1" applyAlignment="1" applyProtection="1">
      <alignment vertical="center" wrapText="1"/>
    </xf>
    <xf numFmtId="168" fontId="261" fillId="41" borderId="103" xfId="109" applyFont="1" applyFill="1" applyBorder="1" applyAlignment="1" applyProtection="1">
      <alignment vertical="center" wrapText="1"/>
    </xf>
    <xf numFmtId="171" fontId="261" fillId="41" borderId="1" xfId="109" applyNumberFormat="1" applyFont="1" applyFill="1" applyBorder="1" applyAlignment="1" applyProtection="1">
      <alignment horizontal="left" vertical="center" wrapText="1"/>
    </xf>
    <xf numFmtId="171" fontId="261" fillId="41" borderId="4" xfId="109" applyNumberFormat="1" applyFont="1" applyFill="1" applyBorder="1" applyAlignment="1" applyProtection="1">
      <alignment horizontal="left" vertical="center" wrapText="1"/>
    </xf>
    <xf numFmtId="171" fontId="261" fillId="41" borderId="87" xfId="109" applyNumberFormat="1" applyFont="1" applyFill="1" applyBorder="1" applyAlignment="1" applyProtection="1">
      <alignment horizontal="left" vertical="center" wrapText="1"/>
    </xf>
    <xf numFmtId="0" fontId="253" fillId="41" borderId="81" xfId="0" applyFont="1" applyFill="1" applyBorder="1" applyAlignment="1">
      <alignment horizontal="center"/>
    </xf>
    <xf numFmtId="0" fontId="261" fillId="41" borderId="363" xfId="0" applyFont="1" applyFill="1" applyBorder="1" applyAlignment="1">
      <alignment horizontal="center" vertical="center" wrapText="1"/>
    </xf>
    <xf numFmtId="0" fontId="261" fillId="41" borderId="307" xfId="0" applyFont="1" applyFill="1" applyBorder="1" applyAlignment="1">
      <alignment horizontal="center" vertical="center" wrapText="1"/>
    </xf>
    <xf numFmtId="0" fontId="261" fillId="41" borderId="366" xfId="0" applyFont="1" applyFill="1" applyBorder="1" applyAlignment="1">
      <alignment horizontal="center" vertical="center" wrapText="1"/>
    </xf>
    <xf numFmtId="0" fontId="36" fillId="39" borderId="267" xfId="0" applyFont="1" applyFill="1" applyBorder="1"/>
    <xf numFmtId="0" fontId="36" fillId="39" borderId="292" xfId="0" applyFont="1" applyFill="1" applyBorder="1"/>
    <xf numFmtId="0" fontId="0" fillId="0" borderId="0" xfId="0" applyAlignment="1">
      <alignment horizontal="left" vertical="justify"/>
    </xf>
    <xf numFmtId="0" fontId="306" fillId="0" borderId="134" xfId="0" applyFont="1" applyBorder="1"/>
    <xf numFmtId="0" fontId="0" fillId="0" borderId="4" xfId="0" applyBorder="1" applyProtection="1">
      <protection locked="0"/>
    </xf>
    <xf numFmtId="0" fontId="292" fillId="48" borderId="21" xfId="0" applyFont="1" applyFill="1" applyBorder="1" applyProtection="1">
      <protection locked="0"/>
    </xf>
    <xf numFmtId="0" fontId="292" fillId="48" borderId="4" xfId="0" applyFont="1" applyFill="1" applyBorder="1" applyProtection="1">
      <protection locked="0"/>
    </xf>
    <xf numFmtId="0" fontId="292" fillId="48" borderId="299" xfId="0" applyFont="1" applyFill="1" applyBorder="1" applyProtection="1">
      <protection locked="0"/>
    </xf>
    <xf numFmtId="0" fontId="116" fillId="73" borderId="368" xfId="0" applyFont="1" applyFill="1" applyBorder="1" applyAlignment="1">
      <alignment horizontal="center" vertical="center"/>
    </xf>
    <xf numFmtId="0" fontId="287" fillId="44" borderId="368" xfId="0" applyFont="1" applyFill="1" applyBorder="1" applyAlignment="1">
      <alignment horizontal="center" vertical="center"/>
    </xf>
    <xf numFmtId="0" fontId="287" fillId="44" borderId="368" xfId="0" applyFont="1" applyFill="1" applyBorder="1" applyAlignment="1">
      <alignment horizontal="center" vertical="center" wrapText="1"/>
    </xf>
    <xf numFmtId="0" fontId="287" fillId="74" borderId="368" xfId="0" applyFont="1" applyFill="1" applyBorder="1" applyAlignment="1">
      <alignment horizontal="center" vertical="center" wrapText="1"/>
    </xf>
    <xf numFmtId="0" fontId="287" fillId="74" borderId="368" xfId="0" applyFont="1" applyFill="1" applyBorder="1" applyAlignment="1">
      <alignment horizontal="center" vertical="center"/>
    </xf>
    <xf numFmtId="0" fontId="116" fillId="75" borderId="368" xfId="0" applyFont="1" applyFill="1" applyBorder="1" applyAlignment="1">
      <alignment horizontal="center" vertical="center" wrapText="1"/>
    </xf>
    <xf numFmtId="0" fontId="0" fillId="0" borderId="299" xfId="0" applyBorder="1" applyProtection="1">
      <protection locked="0"/>
    </xf>
    <xf numFmtId="0" fontId="292" fillId="48" borderId="77" xfId="0" applyFont="1" applyFill="1" applyBorder="1" applyProtection="1">
      <protection locked="0"/>
    </xf>
    <xf numFmtId="0" fontId="292" fillId="48" borderId="78" xfId="0" applyFont="1" applyFill="1" applyBorder="1" applyProtection="1">
      <protection locked="0"/>
    </xf>
    <xf numFmtId="0" fontId="292" fillId="48" borderId="75" xfId="0" applyFont="1" applyFill="1" applyBorder="1" applyProtection="1">
      <protection locked="0"/>
    </xf>
    <xf numFmtId="0" fontId="292" fillId="48" borderId="72" xfId="0" applyFont="1" applyFill="1" applyBorder="1" applyProtection="1">
      <protection locked="0"/>
    </xf>
    <xf numFmtId="0" fontId="175" fillId="51" borderId="369" xfId="0" applyFont="1" applyFill="1" applyBorder="1"/>
    <xf numFmtId="0" fontId="175" fillId="51" borderId="370" xfId="0" applyFont="1" applyFill="1" applyBorder="1"/>
    <xf numFmtId="0" fontId="175" fillId="51" borderId="371" xfId="0" applyFont="1" applyFill="1" applyBorder="1"/>
    <xf numFmtId="0" fontId="292" fillId="48" borderId="266" xfId="0" applyFont="1" applyFill="1" applyBorder="1" applyProtection="1">
      <protection locked="0"/>
    </xf>
    <xf numFmtId="0" fontId="292" fillId="48" borderId="265" xfId="0" applyFont="1" applyFill="1" applyBorder="1" applyProtection="1">
      <protection locked="0"/>
    </xf>
    <xf numFmtId="0" fontId="175" fillId="51" borderId="372" xfId="0" applyFont="1" applyFill="1" applyBorder="1"/>
    <xf numFmtId="0" fontId="175" fillId="51" borderId="369" xfId="0" applyFont="1" applyFill="1" applyBorder="1" applyAlignment="1">
      <alignment horizontal="center"/>
    </xf>
    <xf numFmtId="0" fontId="175" fillId="51" borderId="371" xfId="0" applyFont="1" applyFill="1" applyBorder="1" applyAlignment="1">
      <alignment horizontal="center"/>
    </xf>
    <xf numFmtId="0" fontId="36" fillId="0" borderId="326" xfId="0" applyFont="1" applyBorder="1"/>
    <xf numFmtId="0" fontId="30" fillId="0" borderId="373" xfId="0" applyFont="1" applyBorder="1"/>
    <xf numFmtId="0" fontId="30" fillId="0" borderId="35" xfId="0" applyFont="1" applyBorder="1"/>
    <xf numFmtId="0" fontId="30" fillId="0" borderId="35" xfId="0" applyFont="1" applyBorder="1" applyAlignment="1">
      <alignment horizontal="left" vertical="justify"/>
    </xf>
    <xf numFmtId="0" fontId="30" fillId="0" borderId="35" xfId="0" applyFont="1" applyBorder="1" applyAlignment="1">
      <alignment horizontal="center"/>
    </xf>
    <xf numFmtId="0" fontId="30" fillId="0" borderId="35" xfId="0" applyFont="1" applyBorder="1" applyAlignment="1">
      <alignment horizontal="center" vertical="justify"/>
    </xf>
    <xf numFmtId="0" fontId="30" fillId="0" borderId="374" xfId="0" applyFont="1" applyBorder="1" applyAlignment="1">
      <alignment horizontal="center" vertical="justify"/>
    </xf>
    <xf numFmtId="0" fontId="36" fillId="0" borderId="375" xfId="0" applyFont="1" applyBorder="1"/>
    <xf numFmtId="0" fontId="36" fillId="39" borderId="327" xfId="0" applyFont="1" applyFill="1" applyBorder="1"/>
    <xf numFmtId="0" fontId="36" fillId="49" borderId="327" xfId="0" applyFont="1" applyFill="1" applyBorder="1" applyProtection="1">
      <protection locked="0"/>
    </xf>
    <xf numFmtId="0" fontId="36" fillId="72" borderId="327" xfId="0" applyFont="1" applyFill="1" applyBorder="1" applyProtection="1">
      <protection locked="0"/>
    </xf>
    <xf numFmtId="0" fontId="36" fillId="0" borderId="327" xfId="0" applyFont="1" applyBorder="1"/>
    <xf numFmtId="0" fontId="30" fillId="0" borderId="379" xfId="0" applyFont="1" applyBorder="1" applyAlignment="1">
      <alignment horizontal="center" vertical="justify"/>
    </xf>
    <xf numFmtId="0" fontId="26" fillId="48" borderId="307" xfId="0" applyFont="1" applyFill="1" applyBorder="1" applyAlignment="1" applyProtection="1">
      <alignment vertical="justify"/>
      <protection locked="0"/>
    </xf>
    <xf numFmtId="0" fontId="26" fillId="48" borderId="382" xfId="0" applyFont="1" applyFill="1" applyBorder="1" applyAlignment="1" applyProtection="1">
      <alignment vertical="justify"/>
      <protection locked="0"/>
    </xf>
    <xf numFmtId="1" fontId="71" fillId="48" borderId="313" xfId="0" applyNumberFormat="1" applyFont="1" applyFill="1" applyBorder="1" applyAlignment="1" applyProtection="1">
      <alignment vertical="justify"/>
      <protection locked="0"/>
    </xf>
    <xf numFmtId="0" fontId="26" fillId="0" borderId="383" xfId="0" applyFont="1" applyBorder="1" applyAlignment="1">
      <alignment vertical="justify"/>
    </xf>
    <xf numFmtId="0" fontId="26" fillId="0" borderId="384" xfId="0" applyFont="1" applyBorder="1" applyAlignment="1">
      <alignment vertical="justify"/>
    </xf>
    <xf numFmtId="174" fontId="26" fillId="0" borderId="384" xfId="0" applyNumberFormat="1" applyFont="1" applyBorder="1" applyAlignment="1">
      <alignment vertical="justify"/>
    </xf>
    <xf numFmtId="0" fontId="26" fillId="0" borderId="385" xfId="0" applyFont="1" applyBorder="1" applyAlignment="1">
      <alignment vertical="justify"/>
    </xf>
    <xf numFmtId="171" fontId="36" fillId="0" borderId="75" xfId="109" applyNumberFormat="1" applyFont="1" applyBorder="1" applyAlignment="1" applyProtection="1">
      <alignment horizontal="center" vertical="center"/>
    </xf>
    <xf numFmtId="171" fontId="36" fillId="50" borderId="72" xfId="109" applyNumberFormat="1" applyFont="1" applyFill="1" applyBorder="1" applyAlignment="1" applyProtection="1">
      <alignment horizontal="center" vertical="center"/>
      <protection locked="0"/>
    </xf>
    <xf numFmtId="0" fontId="0" fillId="0" borderId="338" xfId="0" applyBorder="1"/>
    <xf numFmtId="0" fontId="0" fillId="0" borderId="340" xfId="0" applyBorder="1"/>
    <xf numFmtId="0" fontId="0" fillId="0" borderId="341" xfId="0" applyBorder="1"/>
    <xf numFmtId="185" fontId="36" fillId="72" borderId="267" xfId="109" applyNumberFormat="1" applyFont="1" applyFill="1" applyBorder="1" applyProtection="1">
      <protection locked="0"/>
    </xf>
    <xf numFmtId="185" fontId="36" fillId="49" borderId="267" xfId="109" applyNumberFormat="1" applyFont="1" applyFill="1" applyBorder="1" applyProtection="1">
      <protection locked="0"/>
    </xf>
    <xf numFmtId="185" fontId="36" fillId="49" borderId="325" xfId="109" applyNumberFormat="1" applyFont="1" applyFill="1" applyBorder="1" applyProtection="1">
      <protection locked="0"/>
    </xf>
    <xf numFmtId="185" fontId="36" fillId="72" borderId="327" xfId="109" applyNumberFormat="1" applyFont="1" applyFill="1" applyBorder="1" applyProtection="1">
      <protection locked="0"/>
    </xf>
    <xf numFmtId="185" fontId="36" fillId="49" borderId="327" xfId="109" applyNumberFormat="1" applyFont="1" applyFill="1" applyBorder="1" applyProtection="1">
      <protection locked="0"/>
    </xf>
    <xf numFmtId="185" fontId="36" fillId="49" borderId="376" xfId="109" applyNumberFormat="1" applyFont="1" applyFill="1" applyBorder="1" applyProtection="1">
      <protection locked="0"/>
    </xf>
    <xf numFmtId="185" fontId="36" fillId="72" borderId="326" xfId="109" applyNumberFormat="1" applyFont="1" applyFill="1" applyBorder="1" applyProtection="1">
      <protection locked="0"/>
    </xf>
    <xf numFmtId="185" fontId="36" fillId="72" borderId="293" xfId="109" applyNumberFormat="1" applyFont="1" applyFill="1" applyBorder="1" applyProtection="1">
      <protection locked="0"/>
    </xf>
    <xf numFmtId="185" fontId="36" fillId="49" borderId="380" xfId="109" applyNumberFormat="1" applyFont="1" applyFill="1" applyBorder="1" applyProtection="1">
      <protection locked="0"/>
    </xf>
    <xf numFmtId="185" fontId="36" fillId="49" borderId="343" xfId="109" applyNumberFormat="1" applyFont="1" applyFill="1" applyBorder="1" applyProtection="1">
      <protection locked="0"/>
    </xf>
    <xf numFmtId="185" fontId="36" fillId="49" borderId="344" xfId="109" applyNumberFormat="1" applyFont="1" applyFill="1" applyBorder="1" applyProtection="1">
      <protection locked="0"/>
    </xf>
    <xf numFmtId="185" fontId="36" fillId="49" borderId="381" xfId="109" applyNumberFormat="1" applyFont="1" applyFill="1" applyBorder="1" applyProtection="1">
      <protection locked="0"/>
    </xf>
    <xf numFmtId="185" fontId="36" fillId="49" borderId="345" xfId="109" applyNumberFormat="1" applyFont="1" applyFill="1" applyBorder="1" applyProtection="1">
      <protection locked="0"/>
    </xf>
    <xf numFmtId="185" fontId="36" fillId="49" borderId="346" xfId="109" applyNumberFormat="1" applyFont="1" applyFill="1" applyBorder="1" applyProtection="1">
      <protection locked="0"/>
    </xf>
    <xf numFmtId="185" fontId="36" fillId="49" borderId="377" xfId="109" applyNumberFormat="1" applyFont="1" applyFill="1" applyBorder="1" applyProtection="1"/>
    <xf numFmtId="185" fontId="36" fillId="49" borderId="348" xfId="109" applyNumberFormat="1" applyFont="1" applyFill="1" applyBorder="1" applyProtection="1"/>
    <xf numFmtId="0" fontId="0" fillId="0" borderId="386" xfId="0" applyBorder="1"/>
    <xf numFmtId="0" fontId="0" fillId="48" borderId="48" xfId="0" applyFill="1" applyBorder="1" applyProtection="1">
      <protection locked="0"/>
    </xf>
    <xf numFmtId="0" fontId="36" fillId="48" borderId="4" xfId="0" applyFont="1" applyFill="1" applyBorder="1" applyAlignment="1" applyProtection="1">
      <alignment horizontal="center"/>
      <protection locked="0"/>
    </xf>
    <xf numFmtId="0" fontId="30" fillId="0" borderId="72" xfId="0" applyFont="1" applyBorder="1" applyAlignment="1">
      <alignment horizontal="left"/>
    </xf>
    <xf numFmtId="0" fontId="30" fillId="0" borderId="326" xfId="0" applyFont="1" applyBorder="1"/>
    <xf numFmtId="0" fontId="30" fillId="0" borderId="325" xfId="0" applyFont="1" applyBorder="1" applyAlignment="1">
      <alignment horizontal="center" vertical="justify"/>
    </xf>
    <xf numFmtId="0" fontId="116" fillId="0" borderId="378" xfId="0" applyFont="1" applyBorder="1" applyAlignment="1">
      <alignment horizontal="left"/>
    </xf>
    <xf numFmtId="0" fontId="116" fillId="0" borderId="78" xfId="0" applyFont="1" applyBorder="1" applyAlignment="1">
      <alignment horizontal="left"/>
    </xf>
    <xf numFmtId="0" fontId="112" fillId="39" borderId="378" xfId="0" applyFont="1" applyFill="1" applyBorder="1" applyAlignment="1" applyProtection="1">
      <alignment horizontal="center"/>
    </xf>
    <xf numFmtId="0" fontId="112" fillId="39" borderId="78" xfId="0" applyFont="1" applyFill="1" applyBorder="1" applyAlignment="1" applyProtection="1">
      <alignment horizontal="center"/>
    </xf>
    <xf numFmtId="0" fontId="116" fillId="39" borderId="34" xfId="0" applyFont="1" applyFill="1" applyBorder="1" applyAlignment="1" applyProtection="1">
      <alignment horizontal="left"/>
    </xf>
    <xf numFmtId="0" fontId="116" fillId="39" borderId="373" xfId="0" applyFont="1" applyFill="1" applyBorder="1" applyAlignment="1" applyProtection="1">
      <alignment horizontal="left"/>
    </xf>
    <xf numFmtId="0" fontId="112" fillId="39" borderId="274" xfId="0" applyFont="1" applyFill="1" applyBorder="1" applyAlignment="1" applyProtection="1">
      <alignment horizontal="center"/>
    </xf>
    <xf numFmtId="0" fontId="112" fillId="39" borderId="293" xfId="0" applyFont="1" applyFill="1" applyBorder="1" applyAlignment="1" applyProtection="1">
      <alignment horizontal="center"/>
    </xf>
    <xf numFmtId="0" fontId="112" fillId="39" borderId="387" xfId="0" applyFont="1" applyFill="1" applyBorder="1" applyAlignment="1" applyProtection="1">
      <alignment horizontal="center"/>
    </xf>
    <xf numFmtId="0" fontId="112" fillId="39" borderId="379" xfId="0" applyFont="1" applyFill="1" applyBorder="1" applyAlignment="1" applyProtection="1">
      <alignment horizontal="center"/>
    </xf>
    <xf numFmtId="0" fontId="36" fillId="0" borderId="274" xfId="0" applyFont="1" applyBorder="1"/>
    <xf numFmtId="0" fontId="36" fillId="0" borderId="387" xfId="0" applyFont="1" applyBorder="1"/>
    <xf numFmtId="0" fontId="30" fillId="0" borderId="388" xfId="0" applyFont="1" applyBorder="1" applyAlignment="1">
      <alignment horizontal="left"/>
    </xf>
    <xf numFmtId="185" fontId="36" fillId="72" borderId="379" xfId="109" applyNumberFormat="1" applyFont="1" applyFill="1" applyBorder="1" applyProtection="1">
      <protection locked="0"/>
    </xf>
    <xf numFmtId="0" fontId="307" fillId="0" borderId="342" xfId="0" applyFont="1" applyBorder="1" applyAlignment="1">
      <alignment horizontal="left" vertical="justify"/>
    </xf>
    <xf numFmtId="0" fontId="0" fillId="0" borderId="0" xfId="0" applyAlignment="1">
      <alignment horizontal="left" vertical="justify"/>
    </xf>
    <xf numFmtId="0" fontId="110" fillId="0" borderId="134" xfId="0" applyFont="1" applyBorder="1" applyAlignment="1">
      <alignment horizontal="left" vertical="center"/>
    </xf>
    <xf numFmtId="0" fontId="0" fillId="0" borderId="194" xfId="0" applyBorder="1" applyAlignment="1">
      <alignment horizontal="left" vertical="justify"/>
    </xf>
    <xf numFmtId="0" fontId="0" fillId="0" borderId="13" xfId="0" applyBorder="1" applyAlignment="1">
      <alignment horizontal="left" vertical="justify"/>
    </xf>
    <xf numFmtId="0" fontId="114" fillId="0" borderId="362" xfId="0" applyFont="1" applyBorder="1" applyAlignment="1">
      <alignment horizontal="left" vertical="justify"/>
    </xf>
    <xf numFmtId="0" fontId="114" fillId="0" borderId="342" xfId="0" applyFont="1" applyBorder="1" applyAlignment="1">
      <alignment horizontal="left" vertical="justify"/>
    </xf>
    <xf numFmtId="0" fontId="289" fillId="0" borderId="134" xfId="0" applyFont="1" applyBorder="1" applyAlignment="1">
      <alignment horizontal="left" vertical="justify"/>
    </xf>
    <xf numFmtId="0" fontId="159" fillId="23" borderId="0" xfId="0" applyFont="1" applyFill="1" applyAlignment="1">
      <alignment horizontal="center" vertical="justify"/>
    </xf>
    <xf numFmtId="0" fontId="114" fillId="0" borderId="342" xfId="0" applyFont="1" applyBorder="1" applyAlignment="1">
      <alignment horizontal="left" vertical="justify" wrapText="1"/>
    </xf>
    <xf numFmtId="0" fontId="0" fillId="0" borderId="342" xfId="0" applyBorder="1" applyAlignment="1">
      <alignment horizontal="left" vertical="justify"/>
    </xf>
    <xf numFmtId="0" fontId="0" fillId="0" borderId="362" xfId="0" applyBorder="1" applyAlignment="1">
      <alignment horizontal="left" vertical="center" wrapText="1"/>
    </xf>
    <xf numFmtId="0" fontId="0" fillId="0" borderId="342" xfId="0" applyBorder="1" applyAlignment="1">
      <alignment horizontal="left" vertical="justify" wrapText="1"/>
    </xf>
    <xf numFmtId="0" fontId="0" fillId="0" borderId="194" xfId="0" applyBorder="1" applyAlignment="1">
      <alignment horizontal="left" vertical="center" wrapText="1"/>
    </xf>
    <xf numFmtId="0" fontId="114" fillId="0" borderId="194" xfId="0" applyFont="1" applyBorder="1" applyAlignment="1">
      <alignment horizontal="left" vertical="justify"/>
    </xf>
    <xf numFmtId="0" fontId="114" fillId="0" borderId="0" xfId="0" applyFont="1" applyAlignment="1">
      <alignment horizontal="left" vertical="justify"/>
    </xf>
    <xf numFmtId="0" fontId="0" fillId="48" borderId="0" xfId="0" applyFill="1" applyAlignment="1" applyProtection="1">
      <alignment horizontal="left" vertical="center"/>
      <protection locked="0"/>
    </xf>
    <xf numFmtId="0" fontId="0" fillId="72" borderId="0" xfId="0" applyFill="1" applyAlignment="1" applyProtection="1">
      <alignment horizontal="left" vertical="center"/>
      <protection locked="0"/>
    </xf>
    <xf numFmtId="0" fontId="111" fillId="47" borderId="0" xfId="0" applyFont="1" applyFill="1" applyAlignment="1" applyProtection="1">
      <alignment horizontal="center" vertical="center"/>
      <protection locked="0"/>
    </xf>
    <xf numFmtId="0" fontId="163" fillId="47" borderId="0" xfId="100" applyFont="1" applyFill="1" applyBorder="1" applyAlignment="1" applyProtection="1">
      <alignment horizontal="center" vertical="center"/>
      <protection locked="0"/>
    </xf>
    <xf numFmtId="0" fontId="165" fillId="23" borderId="0" xfId="0" applyFont="1" applyFill="1" applyAlignment="1" applyProtection="1">
      <alignment horizontal="left" vertical="justify"/>
      <protection locked="0"/>
    </xf>
    <xf numFmtId="0" fontId="104" fillId="23" borderId="0" xfId="100" applyFill="1" applyAlignment="1" applyProtection="1">
      <alignment horizontal="right" vertical="justify"/>
      <protection locked="0"/>
    </xf>
    <xf numFmtId="0" fontId="111" fillId="51" borderId="0" xfId="0" applyFont="1" applyFill="1" applyAlignment="1" applyProtection="1">
      <alignment horizontal="center" vertical="center"/>
      <protection locked="0"/>
    </xf>
    <xf numFmtId="0" fontId="111" fillId="52" borderId="0" xfId="0" applyFont="1" applyFill="1" applyAlignment="1" applyProtection="1">
      <alignment horizontal="center" vertical="center"/>
      <protection locked="0"/>
    </xf>
    <xf numFmtId="0" fontId="162" fillId="48" borderId="0" xfId="0" applyFont="1" applyFill="1" applyAlignment="1" applyProtection="1">
      <alignment horizontal="center" vertical="center"/>
      <protection locked="0"/>
    </xf>
    <xf numFmtId="0" fontId="292" fillId="48" borderId="4" xfId="0" applyFont="1" applyFill="1" applyBorder="1" applyAlignment="1" applyProtection="1">
      <alignment horizontal="center"/>
      <protection locked="0"/>
    </xf>
    <xf numFmtId="0" fontId="110" fillId="0" borderId="101" xfId="0" applyFont="1" applyBorder="1" applyAlignment="1">
      <alignment horizontal="center" vertical="center"/>
    </xf>
    <xf numFmtId="0" fontId="110" fillId="0" borderId="103" xfId="0" applyFont="1" applyBorder="1" applyAlignment="1">
      <alignment horizontal="center" vertical="center"/>
    </xf>
    <xf numFmtId="0" fontId="0" fillId="0" borderId="107" xfId="0" applyBorder="1" applyAlignment="1">
      <alignment horizontal="center"/>
    </xf>
    <xf numFmtId="0" fontId="0" fillId="0" borderId="95" xfId="0" applyBorder="1" applyAlignment="1">
      <alignment horizontal="center"/>
    </xf>
    <xf numFmtId="0" fontId="0" fillId="0" borderId="352" xfId="0" applyBorder="1" applyAlignment="1">
      <alignment horizontal="center"/>
    </xf>
    <xf numFmtId="0" fontId="0" fillId="0" borderId="104" xfId="0" applyBorder="1" applyAlignment="1">
      <alignment horizontal="center"/>
    </xf>
    <xf numFmtId="0" fontId="0" fillId="0" borderId="88" xfId="0" applyBorder="1" applyAlignment="1">
      <alignment horizontal="center"/>
    </xf>
    <xf numFmtId="0" fontId="0" fillId="0" borderId="351" xfId="0" applyBorder="1" applyAlignment="1">
      <alignment horizontal="center"/>
    </xf>
    <xf numFmtId="44" fontId="0" fillId="48" borderId="264" xfId="355" applyFont="1" applyFill="1" applyBorder="1" applyAlignment="1">
      <alignment vertical="center"/>
    </xf>
    <xf numFmtId="0" fontId="0" fillId="72" borderId="0" xfId="0" applyFill="1" applyAlignment="1">
      <alignment horizontal="left" vertical="center"/>
    </xf>
    <xf numFmtId="0" fontId="30" fillId="0" borderId="4" xfId="0" applyFont="1" applyBorder="1" applyAlignment="1">
      <alignment horizontal="center"/>
    </xf>
    <xf numFmtId="0" fontId="30" fillId="0" borderId="72" xfId="0" applyFont="1" applyBorder="1" applyAlignment="1">
      <alignment horizontal="center"/>
    </xf>
    <xf numFmtId="0" fontId="36" fillId="48" borderId="4" xfId="0" applyFont="1" applyFill="1" applyBorder="1" applyAlignment="1" applyProtection="1">
      <alignment horizontal="center"/>
      <protection locked="0"/>
    </xf>
    <xf numFmtId="0" fontId="36" fillId="48" borderId="72" xfId="0" applyFont="1" applyFill="1" applyBorder="1" applyAlignment="1" applyProtection="1">
      <alignment horizontal="center"/>
      <protection locked="0"/>
    </xf>
    <xf numFmtId="0" fontId="30" fillId="0" borderId="325" xfId="0" applyFont="1" applyBorder="1" applyAlignment="1">
      <alignment horizontal="center"/>
    </xf>
    <xf numFmtId="0" fontId="30" fillId="0" borderId="274" xfId="0" applyFont="1" applyBorder="1" applyAlignment="1">
      <alignment horizontal="center"/>
    </xf>
    <xf numFmtId="0" fontId="36" fillId="48" borderId="325" xfId="0" applyFont="1" applyFill="1" applyBorder="1" applyAlignment="1" applyProtection="1">
      <alignment horizontal="center"/>
      <protection locked="0"/>
    </xf>
    <xf numFmtId="0" fontId="36" fillId="48" borderId="274" xfId="0" applyFont="1" applyFill="1" applyBorder="1" applyAlignment="1" applyProtection="1">
      <alignment horizontal="center"/>
      <protection locked="0"/>
    </xf>
    <xf numFmtId="0" fontId="30" fillId="0" borderId="0" xfId="0" applyFont="1" applyAlignment="1">
      <alignment horizontal="center"/>
    </xf>
    <xf numFmtId="0" fontId="150" fillId="0" borderId="0" xfId="0" applyFont="1" applyAlignment="1">
      <alignment horizontal="center" vertical="justify"/>
    </xf>
    <xf numFmtId="0" fontId="30" fillId="23" borderId="265" xfId="0" applyFont="1" applyFill="1" applyBorder="1" applyAlignment="1" applyProtection="1">
      <alignment horizontal="center"/>
      <protection locked="0"/>
    </xf>
    <xf numFmtId="0" fontId="30" fillId="23" borderId="264" xfId="0" applyFont="1" applyFill="1" applyBorder="1" applyAlignment="1" applyProtection="1">
      <alignment horizontal="center"/>
      <protection locked="0"/>
    </xf>
    <xf numFmtId="0" fontId="30" fillId="23" borderId="266" xfId="0" applyFont="1" applyFill="1" applyBorder="1" applyAlignment="1" applyProtection="1">
      <alignment horizontal="center"/>
      <protection locked="0"/>
    </xf>
    <xf numFmtId="0" fontId="30" fillId="23" borderId="86" xfId="0" applyFont="1" applyFill="1" applyBorder="1" applyAlignment="1" applyProtection="1">
      <alignment horizontal="center"/>
      <protection locked="0"/>
    </xf>
    <xf numFmtId="0" fontId="30" fillId="23" borderId="0" xfId="0" applyFont="1" applyFill="1" applyAlignment="1" applyProtection="1">
      <alignment horizontal="center"/>
      <protection locked="0"/>
    </xf>
    <xf numFmtId="0" fontId="30" fillId="23" borderId="92" xfId="0" applyFont="1" applyFill="1" applyBorder="1" applyAlignment="1" applyProtection="1">
      <alignment horizontal="center"/>
      <protection locked="0"/>
    </xf>
    <xf numFmtId="0" fontId="30" fillId="23" borderId="75" xfId="0" applyFont="1" applyFill="1" applyBorder="1" applyAlignment="1" applyProtection="1">
      <alignment horizontal="center"/>
      <protection locked="0"/>
    </xf>
    <xf numFmtId="0" fontId="30" fillId="23" borderId="13" xfId="0" applyFont="1" applyFill="1" applyBorder="1" applyAlignment="1" applyProtection="1">
      <alignment horizontal="center"/>
      <protection locked="0"/>
    </xf>
    <xf numFmtId="0" fontId="30" fillId="23" borderId="77" xfId="0" applyFont="1" applyFill="1" applyBorder="1" applyAlignment="1" applyProtection="1">
      <alignment horizontal="center"/>
      <protection locked="0"/>
    </xf>
    <xf numFmtId="0" fontId="289" fillId="0" borderId="4" xfId="0" applyFont="1" applyBorder="1" applyAlignment="1">
      <alignment horizontal="left"/>
    </xf>
    <xf numFmtId="0" fontId="30" fillId="0" borderId="43" xfId="0" applyFont="1" applyBorder="1" applyAlignment="1">
      <alignment horizontal="center"/>
    </xf>
    <xf numFmtId="0" fontId="30" fillId="0" borderId="64" xfId="0" applyFont="1" applyBorder="1" applyAlignment="1">
      <alignment horizontal="center"/>
    </xf>
    <xf numFmtId="0" fontId="30" fillId="0" borderId="65" xfId="0" applyFont="1" applyBorder="1" applyAlignment="1">
      <alignment horizontal="center"/>
    </xf>
    <xf numFmtId="9" fontId="0" fillId="0" borderId="180" xfId="238" applyFont="1" applyFill="1" applyBorder="1" applyAlignment="1">
      <alignment horizontal="center"/>
    </xf>
    <xf numFmtId="0" fontId="36" fillId="55" borderId="72" xfId="0" applyFont="1" applyFill="1" applyBorder="1" applyAlignment="1">
      <alignment horizontal="center"/>
    </xf>
    <xf numFmtId="0" fontId="36" fillId="55" borderId="78" xfId="0" applyFont="1" applyFill="1" applyBorder="1" applyAlignment="1">
      <alignment horizontal="center"/>
    </xf>
    <xf numFmtId="0" fontId="36" fillId="55" borderId="4" xfId="0" applyFont="1" applyFill="1" applyBorder="1" applyAlignment="1">
      <alignment horizontal="center"/>
    </xf>
    <xf numFmtId="0" fontId="36" fillId="55" borderId="263" xfId="0" applyFont="1" applyFill="1" applyBorder="1" applyAlignment="1">
      <alignment horizontal="center"/>
    </xf>
    <xf numFmtId="0" fontId="58" fillId="48" borderId="0" xfId="0" applyFont="1" applyFill="1" applyAlignment="1" applyProtection="1">
      <alignment horizontal="center"/>
      <protection locked="0"/>
    </xf>
    <xf numFmtId="0" fontId="30" fillId="0" borderId="18" xfId="0" applyFont="1" applyBorder="1" applyAlignment="1">
      <alignment horizontal="center"/>
    </xf>
    <xf numFmtId="0" fontId="113" fillId="41" borderId="4" xfId="0" applyFont="1" applyFill="1" applyBorder="1" applyAlignment="1">
      <alignment horizontal="left" vertical="center" wrapText="1"/>
    </xf>
    <xf numFmtId="0" fontId="30" fillId="0" borderId="57" xfId="112" applyNumberFormat="1" applyFont="1" applyBorder="1" applyAlignment="1" applyProtection="1">
      <alignment horizontal="center"/>
      <protection hidden="1"/>
    </xf>
    <xf numFmtId="0" fontId="30" fillId="0" borderId="56" xfId="112" applyNumberFormat="1" applyFont="1" applyBorder="1" applyAlignment="1" applyProtection="1">
      <alignment horizontal="center"/>
      <protection hidden="1"/>
    </xf>
    <xf numFmtId="0" fontId="30" fillId="0" borderId="68" xfId="112" applyNumberFormat="1" applyFont="1" applyBorder="1" applyAlignment="1" applyProtection="1">
      <alignment horizontal="center"/>
      <protection hidden="1"/>
    </xf>
    <xf numFmtId="0" fontId="59" fillId="0" borderId="32" xfId="0" applyFont="1" applyBorder="1" applyAlignment="1">
      <alignment horizontal="center" vertical="justify"/>
    </xf>
    <xf numFmtId="0" fontId="59" fillId="0" borderId="36" xfId="0" applyFont="1" applyBorder="1" applyAlignment="1">
      <alignment horizontal="center" vertical="justify"/>
    </xf>
    <xf numFmtId="0" fontId="113" fillId="41" borderId="72" xfId="0" applyFont="1" applyFill="1" applyBorder="1" applyAlignment="1">
      <alignment horizontal="left" vertical="center" wrapText="1"/>
    </xf>
    <xf numFmtId="0" fontId="113" fillId="41" borderId="263" xfId="0" applyFont="1" applyFill="1" applyBorder="1" applyAlignment="1">
      <alignment horizontal="left" vertical="center" wrapText="1"/>
    </xf>
    <xf numFmtId="0" fontId="113" fillId="41" borderId="78" xfId="0" applyFont="1" applyFill="1" applyBorder="1" applyAlignment="1">
      <alignment horizontal="left" vertical="center" wrapText="1"/>
    </xf>
    <xf numFmtId="0" fontId="59" fillId="0" borderId="0" xfId="0" applyFont="1" applyAlignment="1">
      <alignment horizontal="left" vertical="center" wrapText="1"/>
    </xf>
    <xf numFmtId="0" fontId="146" fillId="41" borderId="0" xfId="0" applyFont="1" applyFill="1" applyAlignment="1">
      <alignment horizontal="left" vertical="center" wrapText="1"/>
    </xf>
    <xf numFmtId="0" fontId="68" fillId="0" borderId="0" xfId="0" applyFont="1" applyAlignment="1">
      <alignment horizontal="left" vertical="justify"/>
    </xf>
    <xf numFmtId="0" fontId="30" fillId="0" borderId="4" xfId="0" applyFont="1" applyBorder="1" applyAlignment="1">
      <alignment horizontal="left" vertical="justify"/>
    </xf>
    <xf numFmtId="0" fontId="176" fillId="0" borderId="0" xfId="0" applyFont="1" applyAlignment="1">
      <alignment horizontal="left" vertical="justify"/>
    </xf>
    <xf numFmtId="0" fontId="120" fillId="39" borderId="0" xfId="0" applyFont="1" applyFill="1" applyAlignment="1">
      <alignment horizontal="right"/>
    </xf>
    <xf numFmtId="0" fontId="59" fillId="39" borderId="0" xfId="0" applyFont="1" applyFill="1" applyAlignment="1">
      <alignment horizontal="center" vertical="justify"/>
    </xf>
    <xf numFmtId="0" fontId="59" fillId="40" borderId="0" xfId="0" applyFont="1" applyFill="1" applyAlignment="1">
      <alignment horizontal="center" vertical="justify"/>
    </xf>
    <xf numFmtId="0" fontId="30" fillId="40" borderId="0" xfId="0" applyFont="1" applyFill="1" applyAlignment="1">
      <alignment horizontal="center"/>
    </xf>
    <xf numFmtId="0" fontId="122" fillId="39" borderId="0" xfId="0" applyFont="1" applyFill="1" applyAlignment="1">
      <alignment horizontal="center" vertical="justify"/>
    </xf>
    <xf numFmtId="171" fontId="63" fillId="40" borderId="0" xfId="0" applyNumberFormat="1" applyFont="1" applyFill="1" applyAlignment="1">
      <alignment horizontal="center"/>
    </xf>
    <xf numFmtId="0" fontId="63" fillId="40" borderId="0" xfId="0" applyFont="1" applyFill="1" applyAlignment="1">
      <alignment horizontal="center"/>
    </xf>
    <xf numFmtId="0" fontId="73" fillId="39" borderId="0" xfId="0" applyFont="1" applyFill="1" applyAlignment="1">
      <alignment horizontal="center"/>
    </xf>
    <xf numFmtId="0" fontId="59" fillId="39" borderId="0" xfId="0" applyFont="1" applyFill="1" applyAlignment="1">
      <alignment horizontal="center"/>
    </xf>
    <xf numFmtId="0" fontId="50" fillId="39" borderId="0" xfId="0" applyFont="1" applyFill="1" applyAlignment="1">
      <alignment horizontal="right"/>
    </xf>
    <xf numFmtId="9" fontId="68" fillId="39" borderId="0" xfId="238" applyFont="1" applyFill="1" applyBorder="1" applyAlignment="1" applyProtection="1">
      <alignment horizontal="left" vertical="justify"/>
      <protection locked="0"/>
    </xf>
    <xf numFmtId="0" fontId="59" fillId="0" borderId="22" xfId="0" applyFont="1" applyBorder="1" applyAlignment="1">
      <alignment horizontal="center" vertical="center" textRotation="90" readingOrder="1"/>
    </xf>
    <xf numFmtId="0" fontId="59" fillId="0" borderId="23" xfId="0" applyFont="1" applyBorder="1" applyAlignment="1">
      <alignment horizontal="center" vertical="center" textRotation="90" readingOrder="1"/>
    </xf>
    <xf numFmtId="0" fontId="59" fillId="0" borderId="29" xfId="0" applyFont="1" applyBorder="1" applyAlignment="1">
      <alignment horizontal="center" vertical="center" textRotation="90" readingOrder="1"/>
    </xf>
    <xf numFmtId="9" fontId="48" fillId="48" borderId="33" xfId="238" applyFont="1" applyFill="1" applyBorder="1" applyAlignment="1" applyProtection="1">
      <alignment horizontal="center" vertical="center"/>
      <protection locked="0"/>
    </xf>
    <xf numFmtId="9" fontId="48" fillId="48" borderId="106" xfId="238" applyFont="1" applyFill="1" applyBorder="1" applyAlignment="1" applyProtection="1">
      <alignment horizontal="center" vertical="center"/>
      <protection locked="0"/>
    </xf>
    <xf numFmtId="9" fontId="48" fillId="48" borderId="60" xfId="238" applyFont="1" applyFill="1" applyBorder="1" applyAlignment="1" applyProtection="1">
      <alignment horizontal="center" vertical="center"/>
      <protection locked="0"/>
    </xf>
    <xf numFmtId="9" fontId="48" fillId="48" borderId="143" xfId="238" applyFont="1" applyFill="1" applyBorder="1" applyAlignment="1" applyProtection="1">
      <alignment horizontal="center" vertical="center"/>
      <protection locked="0"/>
    </xf>
    <xf numFmtId="0" fontId="59" fillId="0" borderId="60" xfId="0" applyFont="1" applyBorder="1" applyAlignment="1">
      <alignment horizontal="left" vertical="center" readingOrder="1"/>
    </xf>
    <xf numFmtId="0" fontId="59" fillId="0" borderId="67" xfId="0" applyFont="1" applyBorder="1" applyAlignment="1">
      <alignment horizontal="left" vertical="center" readingOrder="1"/>
    </xf>
    <xf numFmtId="0" fontId="59" fillId="0" borderId="22" xfId="0" applyFont="1" applyBorder="1" applyAlignment="1">
      <alignment horizontal="center" vertical="justify" textRotation="90" readingOrder="1"/>
    </xf>
    <xf numFmtId="0" fontId="59" fillId="0" borderId="23" xfId="0" applyFont="1" applyBorder="1" applyAlignment="1">
      <alignment horizontal="center" vertical="justify" textRotation="90" readingOrder="1"/>
    </xf>
    <xf numFmtId="0" fontId="59" fillId="0" borderId="29" xfId="0" applyFont="1" applyBorder="1" applyAlignment="1">
      <alignment horizontal="center" vertical="justify" textRotation="90" readingOrder="1"/>
    </xf>
    <xf numFmtId="9" fontId="48" fillId="48" borderId="45" xfId="238" applyFont="1" applyFill="1" applyBorder="1" applyAlignment="1" applyProtection="1">
      <alignment horizontal="center" vertical="center"/>
      <protection locked="0"/>
    </xf>
    <xf numFmtId="9" fontId="48" fillId="48" borderId="99" xfId="238" applyFont="1" applyFill="1" applyBorder="1" applyAlignment="1" applyProtection="1">
      <alignment horizontal="center" vertical="center"/>
      <protection locked="0"/>
    </xf>
    <xf numFmtId="0" fontId="37" fillId="0" borderId="108" xfId="0" applyFont="1" applyBorder="1" applyAlignment="1">
      <alignment horizontal="center" vertical="justify"/>
    </xf>
    <xf numFmtId="0" fontId="37" fillId="0" borderId="68" xfId="0" applyFont="1" applyBorder="1" applyAlignment="1">
      <alignment horizontal="center" vertical="justify"/>
    </xf>
    <xf numFmtId="9" fontId="48" fillId="48" borderId="144" xfId="238" applyFont="1" applyFill="1" applyBorder="1" applyAlignment="1" applyProtection="1">
      <alignment horizontal="center" vertical="center"/>
      <protection locked="0"/>
    </xf>
    <xf numFmtId="9" fontId="48" fillId="48" borderId="142" xfId="238" applyFont="1" applyFill="1" applyBorder="1" applyAlignment="1" applyProtection="1">
      <alignment horizontal="center" vertical="center"/>
      <protection locked="0"/>
    </xf>
    <xf numFmtId="0" fontId="59" fillId="0" borderId="67" xfId="0" applyFont="1" applyBorder="1" applyAlignment="1">
      <alignment horizontal="center"/>
    </xf>
    <xf numFmtId="0" fontId="59" fillId="0" borderId="143" xfId="0" applyFont="1" applyBorder="1" applyAlignment="1">
      <alignment horizontal="center"/>
    </xf>
    <xf numFmtId="9" fontId="36" fillId="60" borderId="22" xfId="238" applyFont="1" applyFill="1" applyBorder="1" applyAlignment="1" applyProtection="1">
      <alignment horizontal="center"/>
    </xf>
    <xf numFmtId="9" fontId="36" fillId="60" borderId="29" xfId="238" applyFont="1" applyFill="1" applyBorder="1" applyAlignment="1" applyProtection="1">
      <alignment horizontal="center"/>
    </xf>
    <xf numFmtId="0" fontId="37" fillId="0" borderId="144" xfId="0" applyFont="1" applyBorder="1" applyAlignment="1">
      <alignment horizontal="left" vertical="justify"/>
    </xf>
    <xf numFmtId="0" fontId="37" fillId="0" borderId="142" xfId="0" applyFont="1" applyBorder="1" applyAlignment="1">
      <alignment horizontal="left" vertical="justify"/>
    </xf>
    <xf numFmtId="0" fontId="37" fillId="0" borderId="60" xfId="0" applyFont="1" applyBorder="1" applyAlignment="1">
      <alignment horizontal="left" vertical="justify"/>
    </xf>
    <xf numFmtId="0" fontId="37" fillId="0" borderId="143" xfId="0" applyFont="1" applyBorder="1" applyAlignment="1">
      <alignment horizontal="left" vertical="justify"/>
    </xf>
    <xf numFmtId="0" fontId="30" fillId="0" borderId="57" xfId="0" applyFont="1" applyBorder="1" applyAlignment="1">
      <alignment horizontal="left" vertical="justify"/>
    </xf>
    <xf numFmtId="0" fontId="30" fillId="0" borderId="68" xfId="0" applyFont="1" applyBorder="1" applyAlignment="1">
      <alignment horizontal="left" vertical="justify"/>
    </xf>
    <xf numFmtId="0" fontId="134" fillId="0" borderId="0" xfId="0" applyFont="1" applyAlignment="1">
      <alignment horizontal="center"/>
    </xf>
    <xf numFmtId="177" fontId="48" fillId="23" borderId="22" xfId="109" applyNumberFormat="1" applyFont="1" applyFill="1" applyBorder="1" applyAlignment="1" applyProtection="1">
      <alignment horizontal="center" vertical="justify"/>
    </xf>
    <xf numFmtId="177" fontId="48" fillId="23" borderId="29" xfId="109" applyNumberFormat="1" applyFont="1" applyFill="1" applyBorder="1" applyAlignment="1" applyProtection="1">
      <alignment horizontal="center" vertical="justify"/>
    </xf>
    <xf numFmtId="176" fontId="48" fillId="48" borderId="105" xfId="238" applyNumberFormat="1" applyFont="1" applyFill="1" applyBorder="1" applyAlignment="1" applyProtection="1">
      <alignment horizontal="center" vertical="center"/>
      <protection locked="0"/>
    </xf>
    <xf numFmtId="176" fontId="48" fillId="48" borderId="98" xfId="238" applyNumberFormat="1" applyFont="1" applyFill="1" applyBorder="1" applyAlignment="1" applyProtection="1">
      <alignment horizontal="center" vertical="center"/>
      <protection locked="0"/>
    </xf>
    <xf numFmtId="176" fontId="48" fillId="48" borderId="45" xfId="238" applyNumberFormat="1" applyFont="1" applyFill="1" applyBorder="1" applyAlignment="1" applyProtection="1">
      <alignment horizontal="center" vertical="center"/>
      <protection locked="0"/>
    </xf>
    <xf numFmtId="176" fontId="48" fillId="48" borderId="99" xfId="238" applyNumberFormat="1" applyFont="1" applyFill="1" applyBorder="1" applyAlignment="1" applyProtection="1">
      <alignment horizontal="center" vertical="center"/>
      <protection locked="0"/>
    </xf>
    <xf numFmtId="176" fontId="48" fillId="39" borderId="261" xfId="238" applyNumberFormat="1" applyFont="1" applyFill="1" applyBorder="1" applyAlignment="1" applyProtection="1">
      <alignment horizontal="center" vertical="center"/>
    </xf>
    <xf numFmtId="176" fontId="48" fillId="39" borderId="262" xfId="238" applyNumberFormat="1" applyFont="1" applyFill="1" applyBorder="1" applyAlignment="1" applyProtection="1">
      <alignment horizontal="center" vertical="center"/>
    </xf>
    <xf numFmtId="0" fontId="193" fillId="0" borderId="0" xfId="0" applyFont="1" applyAlignment="1">
      <alignment horizontal="left" vertical="justify"/>
    </xf>
    <xf numFmtId="0" fontId="112" fillId="0" borderId="0" xfId="0" applyFont="1" applyAlignment="1">
      <alignment horizontal="center"/>
    </xf>
    <xf numFmtId="0" fontId="37" fillId="0" borderId="56" xfId="0" applyFont="1" applyBorder="1" applyAlignment="1">
      <alignment horizontal="center"/>
    </xf>
    <xf numFmtId="176" fontId="48" fillId="0" borderId="22" xfId="238" applyNumberFormat="1" applyFont="1" applyFill="1" applyBorder="1" applyAlignment="1" applyProtection="1">
      <alignment horizontal="center" vertical="center"/>
    </xf>
    <xf numFmtId="176" fontId="48" fillId="0" borderId="23" xfId="238" applyNumberFormat="1" applyFont="1" applyFill="1" applyBorder="1" applyAlignment="1" applyProtection="1">
      <alignment horizontal="center" vertical="center"/>
    </xf>
    <xf numFmtId="176" fontId="48" fillId="0" borderId="29" xfId="238" applyNumberFormat="1" applyFont="1" applyFill="1" applyBorder="1" applyAlignment="1" applyProtection="1">
      <alignment horizontal="center" vertical="center"/>
    </xf>
    <xf numFmtId="0" fontId="37" fillId="0" borderId="93" xfId="0" applyFont="1" applyBorder="1" applyAlignment="1">
      <alignment horizontal="center"/>
    </xf>
    <xf numFmtId="9" fontId="48" fillId="48" borderId="104" xfId="238" applyFont="1" applyFill="1" applyBorder="1" applyAlignment="1" applyProtection="1">
      <alignment horizontal="center" vertical="justify"/>
      <protection locked="0"/>
    </xf>
    <xf numFmtId="9" fontId="48" fillId="48" borderId="88" xfId="238" applyFont="1" applyFill="1" applyBorder="1" applyAlignment="1" applyProtection="1">
      <alignment horizontal="center" vertical="justify"/>
      <protection locked="0"/>
    </xf>
    <xf numFmtId="9" fontId="48" fillId="48" borderId="106" xfId="238" applyFont="1" applyFill="1" applyBorder="1" applyAlignment="1" applyProtection="1">
      <alignment horizontal="center" vertical="justify"/>
      <protection locked="0"/>
    </xf>
    <xf numFmtId="9" fontId="48" fillId="48" borderId="107" xfId="238" applyFont="1" applyFill="1" applyBorder="1" applyAlignment="1" applyProtection="1">
      <alignment horizontal="center" vertical="justify"/>
      <protection locked="0"/>
    </xf>
    <xf numFmtId="9" fontId="48" fillId="48" borderId="95" xfId="238" applyFont="1" applyFill="1" applyBorder="1" applyAlignment="1" applyProtection="1">
      <alignment horizontal="center" vertical="justify"/>
      <protection locked="0"/>
    </xf>
    <xf numFmtId="0" fontId="30" fillId="0" borderId="22" xfId="0" applyFont="1" applyBorder="1" applyAlignment="1">
      <alignment horizontal="center" vertical="center" textRotation="90" readingOrder="1"/>
    </xf>
    <xf numFmtId="0" fontId="30" fillId="0" borderId="23" xfId="0" applyFont="1" applyBorder="1" applyAlignment="1">
      <alignment horizontal="center" vertical="center" textRotation="90" readingOrder="1"/>
    </xf>
    <xf numFmtId="0" fontId="30" fillId="0" borderId="29" xfId="0" applyFont="1" applyBorder="1" applyAlignment="1">
      <alignment horizontal="center" vertical="center" textRotation="90" readingOrder="1"/>
    </xf>
    <xf numFmtId="0" fontId="37" fillId="0" borderId="330" xfId="0" applyFont="1" applyBorder="1" applyAlignment="1">
      <alignment horizontal="center" vertical="center"/>
    </xf>
    <xf numFmtId="0" fontId="37" fillId="0" borderId="331" xfId="0" applyFont="1" applyBorder="1" applyAlignment="1">
      <alignment horizontal="center" vertical="center"/>
    </xf>
    <xf numFmtId="0" fontId="48" fillId="48" borderId="89" xfId="0" applyFont="1" applyFill="1" applyBorder="1" applyAlignment="1" applyProtection="1">
      <alignment vertical="justify"/>
      <protection locked="0"/>
    </xf>
    <xf numFmtId="0" fontId="48" fillId="48" borderId="95" xfId="0" applyFont="1" applyFill="1" applyBorder="1" applyAlignment="1" applyProtection="1">
      <alignment vertical="justify"/>
      <protection locked="0"/>
    </xf>
    <xf numFmtId="0" fontId="48" fillId="48" borderId="100" xfId="0" applyFont="1" applyFill="1" applyBorder="1" applyAlignment="1" applyProtection="1">
      <alignment vertical="justify"/>
      <protection locked="0"/>
    </xf>
    <xf numFmtId="9" fontId="48" fillId="48" borderId="45" xfId="238" applyFont="1" applyFill="1" applyBorder="1" applyAlignment="1" applyProtection="1">
      <alignment horizontal="center" vertical="justify"/>
      <protection locked="0"/>
    </xf>
    <xf numFmtId="9" fontId="48" fillId="48" borderId="263" xfId="238" applyFont="1" applyFill="1" applyBorder="1" applyAlignment="1" applyProtection="1">
      <alignment horizontal="center" vertical="justify"/>
      <protection locked="0"/>
    </xf>
    <xf numFmtId="9" fontId="48" fillId="48" borderId="99" xfId="238" applyFont="1" applyFill="1" applyBorder="1" applyAlignment="1" applyProtection="1">
      <alignment horizontal="center" vertical="justify"/>
      <protection locked="0"/>
    </xf>
    <xf numFmtId="11" fontId="197" fillId="0" borderId="2" xfId="0" applyNumberFormat="1" applyFont="1" applyBorder="1" applyAlignment="1">
      <alignment horizontal="left" vertical="justify"/>
    </xf>
    <xf numFmtId="11" fontId="197" fillId="0" borderId="0" xfId="0" applyNumberFormat="1" applyFont="1" applyAlignment="1">
      <alignment horizontal="left" vertical="justify"/>
    </xf>
    <xf numFmtId="0" fontId="48" fillId="48" borderId="45" xfId="0" applyFont="1" applyFill="1" applyBorder="1" applyAlignment="1" applyProtection="1">
      <alignment vertical="justify"/>
      <protection locked="0"/>
    </xf>
    <xf numFmtId="0" fontId="48" fillId="48" borderId="263" xfId="0" applyFont="1" applyFill="1" applyBorder="1" applyAlignment="1" applyProtection="1">
      <alignment vertical="justify"/>
      <protection locked="0"/>
    </xf>
    <xf numFmtId="0" fontId="48" fillId="48" borderId="99" xfId="0" applyFont="1" applyFill="1" applyBorder="1" applyAlignment="1" applyProtection="1">
      <alignment vertical="justify"/>
      <protection locked="0"/>
    </xf>
    <xf numFmtId="176" fontId="48" fillId="48" borderId="33" xfId="238" applyNumberFormat="1" applyFont="1" applyFill="1" applyBorder="1" applyAlignment="1" applyProtection="1">
      <alignment horizontal="center" vertical="center"/>
      <protection locked="0"/>
    </xf>
    <xf numFmtId="176" fontId="48" fillId="48" borderId="106" xfId="238" applyNumberFormat="1" applyFont="1" applyFill="1" applyBorder="1" applyAlignment="1" applyProtection="1">
      <alignment horizontal="center" vertical="center"/>
      <protection locked="0"/>
    </xf>
    <xf numFmtId="176" fontId="48" fillId="48" borderId="60" xfId="238" applyNumberFormat="1" applyFont="1" applyFill="1" applyBorder="1" applyAlignment="1" applyProtection="1">
      <alignment horizontal="center" vertical="center"/>
      <protection locked="0"/>
    </xf>
    <xf numFmtId="176" fontId="48" fillId="48" borderId="143" xfId="238" applyNumberFormat="1" applyFont="1" applyFill="1" applyBorder="1" applyAlignment="1" applyProtection="1">
      <alignment horizontal="center" vertical="center"/>
      <protection locked="0"/>
    </xf>
    <xf numFmtId="9" fontId="48" fillId="48" borderId="2" xfId="238" applyFont="1" applyFill="1" applyBorder="1" applyAlignment="1" applyProtection="1">
      <alignment horizontal="center" vertical="center"/>
      <protection locked="0"/>
    </xf>
    <xf numFmtId="9" fontId="48" fillId="48" borderId="177" xfId="238" applyFont="1" applyFill="1" applyBorder="1" applyAlignment="1" applyProtection="1">
      <alignment horizontal="center" vertical="center"/>
      <protection locked="0"/>
    </xf>
    <xf numFmtId="11" fontId="37" fillId="0" borderId="57" xfId="0" applyNumberFormat="1" applyFont="1" applyBorder="1" applyAlignment="1">
      <alignment horizontal="center" vertical="justify"/>
    </xf>
    <xf numFmtId="11" fontId="37" fillId="0" borderId="68" xfId="0" applyNumberFormat="1" applyFont="1" applyBorder="1" applyAlignment="1">
      <alignment horizontal="center" vertical="justify"/>
    </xf>
    <xf numFmtId="0" fontId="37" fillId="0" borderId="57" xfId="0" applyFont="1" applyBorder="1" applyAlignment="1">
      <alignment horizontal="center" vertical="center"/>
    </xf>
    <xf numFmtId="0" fontId="37" fillId="0" borderId="56" xfId="0" applyFont="1" applyBorder="1" applyAlignment="1">
      <alignment horizontal="center" vertical="center"/>
    </xf>
    <xf numFmtId="0" fontId="37" fillId="0" borderId="68" xfId="0" applyFont="1" applyBorder="1" applyAlignment="1">
      <alignment horizontal="center" vertical="center"/>
    </xf>
    <xf numFmtId="0" fontId="48" fillId="48" borderId="33" xfId="0" applyFont="1" applyFill="1" applyBorder="1" applyAlignment="1" applyProtection="1">
      <alignment vertical="justify"/>
      <protection locked="0"/>
    </xf>
    <xf numFmtId="0" fontId="48" fillId="48" borderId="88" xfId="0" applyFont="1" applyFill="1" applyBorder="1" applyAlignment="1" applyProtection="1">
      <alignment vertical="justify"/>
      <protection locked="0"/>
    </xf>
    <xf numFmtId="0" fontId="48" fillId="48" borderId="106" xfId="0" applyFont="1" applyFill="1" applyBorder="1" applyAlignment="1" applyProtection="1">
      <alignment vertical="justify"/>
      <protection locked="0"/>
    </xf>
    <xf numFmtId="0" fontId="37" fillId="0" borderId="68" xfId="0" applyFont="1" applyBorder="1" applyAlignment="1">
      <alignment horizontal="center"/>
    </xf>
    <xf numFmtId="0" fontId="37" fillId="0" borderId="22" xfId="0" applyFont="1" applyBorder="1" applyAlignment="1">
      <alignment horizontal="left" vertical="justify"/>
    </xf>
    <xf numFmtId="0" fontId="37" fillId="0" borderId="29" xfId="0" applyFont="1" applyBorder="1" applyAlignment="1">
      <alignment horizontal="left" vertical="justify"/>
    </xf>
    <xf numFmtId="9" fontId="48" fillId="48" borderId="89" xfId="238" applyFont="1" applyFill="1" applyBorder="1" applyAlignment="1" applyProtection="1">
      <alignment horizontal="center" vertical="center"/>
      <protection locked="0"/>
    </xf>
    <xf numFmtId="9" fontId="48" fillId="48" borderId="100" xfId="238" applyFont="1" applyFill="1" applyBorder="1" applyAlignment="1" applyProtection="1">
      <alignment horizontal="center" vertical="center"/>
      <protection locked="0"/>
    </xf>
    <xf numFmtId="0" fontId="181" fillId="0" borderId="2" xfId="100" applyFont="1" applyBorder="1" applyAlignment="1" applyProtection="1">
      <alignment horizontal="left" vertical="center"/>
    </xf>
    <xf numFmtId="0" fontId="181" fillId="0" borderId="0" xfId="100" applyFont="1" applyBorder="1" applyAlignment="1" applyProtection="1">
      <alignment horizontal="left" vertical="center"/>
    </xf>
    <xf numFmtId="0" fontId="300" fillId="0" borderId="2" xfId="100" applyFont="1" applyBorder="1" applyAlignment="1" applyProtection="1">
      <alignment horizontal="left" vertical="justify"/>
    </xf>
    <xf numFmtId="0" fontId="300" fillId="0" borderId="0" xfId="100" applyFont="1" applyBorder="1" applyAlignment="1" applyProtection="1">
      <alignment horizontal="left" vertical="justify"/>
    </xf>
    <xf numFmtId="0" fontId="48" fillId="48" borderId="45" xfId="0" applyFont="1" applyFill="1" applyBorder="1" applyAlignment="1" applyProtection="1">
      <alignment horizontal="left" vertical="justify"/>
      <protection locked="0"/>
    </xf>
    <xf numFmtId="0" fontId="48" fillId="48" borderId="263" xfId="0" applyFont="1" applyFill="1" applyBorder="1" applyAlignment="1" applyProtection="1">
      <alignment horizontal="left" vertical="justify"/>
      <protection locked="0"/>
    </xf>
    <xf numFmtId="0" fontId="48" fillId="48" borderId="99" xfId="0" applyFont="1" applyFill="1" applyBorder="1" applyAlignment="1" applyProtection="1">
      <alignment horizontal="left" vertical="justify"/>
      <protection locked="0"/>
    </xf>
    <xf numFmtId="0" fontId="123" fillId="42" borderId="0" xfId="0" applyFont="1" applyFill="1" applyAlignment="1">
      <alignment horizontal="left" wrapText="1"/>
    </xf>
    <xf numFmtId="0" fontId="0" fillId="0" borderId="0" xfId="0" applyAlignment="1">
      <alignment horizontal="center"/>
    </xf>
    <xf numFmtId="0" fontId="110" fillId="0" borderId="72" xfId="0" applyFont="1" applyBorder="1" applyAlignment="1" applyProtection="1">
      <alignment horizontal="center" vertical="justify"/>
      <protection locked="0"/>
    </xf>
    <xf numFmtId="0" fontId="110" fillId="0" borderId="78" xfId="0" applyFont="1" applyBorder="1" applyAlignment="1" applyProtection="1">
      <alignment horizontal="center" vertical="justify"/>
      <protection locked="0"/>
    </xf>
    <xf numFmtId="171" fontId="100" fillId="0" borderId="72" xfId="109" applyNumberFormat="1" applyFont="1" applyBorder="1" applyAlignment="1">
      <alignment horizontal="center"/>
    </xf>
    <xf numFmtId="171" fontId="100" fillId="0" borderId="78" xfId="109" applyNumberFormat="1" applyFont="1" applyBorder="1" applyAlignment="1">
      <alignment horizontal="center"/>
    </xf>
    <xf numFmtId="0" fontId="0" fillId="48" borderId="72" xfId="0" applyFill="1" applyBorder="1" applyAlignment="1" applyProtection="1">
      <alignment horizontal="center"/>
      <protection locked="0"/>
    </xf>
    <xf numFmtId="0" fontId="0" fillId="54" borderId="78" xfId="0" applyFill="1" applyBorder="1" applyAlignment="1" applyProtection="1">
      <alignment horizontal="center"/>
      <protection locked="0"/>
    </xf>
    <xf numFmtId="0" fontId="110" fillId="0" borderId="72" xfId="0" applyFont="1" applyBorder="1" applyAlignment="1">
      <alignment horizontal="center" vertical="justify"/>
    </xf>
    <xf numFmtId="0" fontId="110" fillId="0" borderId="78" xfId="0" applyFont="1" applyBorder="1" applyAlignment="1">
      <alignment horizontal="center" vertical="justify"/>
    </xf>
    <xf numFmtId="0" fontId="110" fillId="0" borderId="0" xfId="0" applyFont="1" applyAlignment="1">
      <alignment horizontal="center" vertical="justify"/>
    </xf>
    <xf numFmtId="9" fontId="0" fillId="48" borderId="72" xfId="238" applyFont="1" applyFill="1" applyBorder="1" applyAlignment="1" applyProtection="1">
      <alignment horizontal="center"/>
      <protection locked="0"/>
    </xf>
    <xf numFmtId="9" fontId="0" fillId="54" borderId="78" xfId="238" applyFont="1" applyFill="1" applyBorder="1" applyAlignment="1" applyProtection="1">
      <alignment horizontal="center"/>
      <protection locked="0"/>
    </xf>
    <xf numFmtId="9" fontId="100" fillId="0" borderId="72" xfId="238" applyFont="1" applyBorder="1" applyAlignment="1">
      <alignment horizontal="center"/>
    </xf>
    <xf numFmtId="9" fontId="100" fillId="0" borderId="78" xfId="238" applyFont="1" applyBorder="1" applyAlignment="1">
      <alignment horizontal="center"/>
    </xf>
    <xf numFmtId="0" fontId="84" fillId="0" borderId="280" xfId="0" applyFont="1" applyBorder="1" applyAlignment="1" applyProtection="1">
      <alignment horizontal="right" vertical="justify"/>
      <protection locked="0"/>
    </xf>
    <xf numFmtId="0" fontId="84" fillId="0" borderId="281" xfId="0" applyFont="1" applyBorder="1" applyAlignment="1" applyProtection="1">
      <alignment horizontal="right" vertical="justify"/>
      <protection locked="0"/>
    </xf>
    <xf numFmtId="0" fontId="84" fillId="0" borderId="282" xfId="0" applyFont="1" applyBorder="1" applyAlignment="1" applyProtection="1">
      <alignment horizontal="right" vertical="justify"/>
      <protection locked="0"/>
    </xf>
    <xf numFmtId="187" fontId="84" fillId="45" borderId="290" xfId="0" applyNumberFormat="1" applyFont="1" applyFill="1" applyBorder="1" applyAlignment="1" applyProtection="1">
      <alignment horizontal="center" vertical="justify"/>
      <protection locked="0"/>
    </xf>
    <xf numFmtId="187" fontId="84" fillId="45" borderId="281" xfId="0" applyNumberFormat="1" applyFont="1" applyFill="1" applyBorder="1" applyAlignment="1" applyProtection="1">
      <alignment horizontal="center" vertical="justify"/>
      <protection locked="0"/>
    </xf>
    <xf numFmtId="187" fontId="84" fillId="45" borderId="282" xfId="0" applyNumberFormat="1" applyFont="1" applyFill="1" applyBorder="1" applyAlignment="1" applyProtection="1">
      <alignment horizontal="center" vertical="justify"/>
      <protection locked="0"/>
    </xf>
    <xf numFmtId="188" fontId="84" fillId="0" borderId="280" xfId="0" applyNumberFormat="1" applyFont="1" applyBorder="1" applyAlignment="1" applyProtection="1">
      <alignment horizontal="center" vertical="justify"/>
      <protection locked="0"/>
    </xf>
    <xf numFmtId="188" fontId="84" fillId="0" borderId="281" xfId="0" applyNumberFormat="1" applyFont="1" applyBorder="1" applyAlignment="1" applyProtection="1">
      <alignment horizontal="center" vertical="justify"/>
      <protection locked="0"/>
    </xf>
    <xf numFmtId="188" fontId="84" fillId="0" borderId="282" xfId="0" applyNumberFormat="1" applyFont="1" applyBorder="1" applyAlignment="1" applyProtection="1">
      <alignment horizontal="center" vertical="justify"/>
      <protection locked="0"/>
    </xf>
    <xf numFmtId="188" fontId="84" fillId="45" borderId="291" xfId="0" applyNumberFormat="1" applyFont="1" applyFill="1" applyBorder="1" applyAlignment="1" applyProtection="1">
      <alignment horizontal="center" vertical="justify"/>
      <protection locked="0"/>
    </xf>
    <xf numFmtId="188" fontId="84" fillId="45" borderId="275" xfId="0" applyNumberFormat="1" applyFont="1" applyFill="1" applyBorder="1" applyAlignment="1" applyProtection="1">
      <alignment horizontal="center" vertical="justify"/>
      <protection locked="0"/>
    </xf>
    <xf numFmtId="188" fontId="84" fillId="45" borderId="276" xfId="0" applyNumberFormat="1" applyFont="1" applyFill="1" applyBorder="1" applyAlignment="1" applyProtection="1">
      <alignment horizontal="center" vertical="justify"/>
      <protection locked="0"/>
    </xf>
    <xf numFmtId="0" fontId="84" fillId="45" borderId="83" xfId="0" applyFont="1" applyFill="1" applyBorder="1" applyAlignment="1" applyProtection="1">
      <alignment horizontal="center" vertical="justify"/>
      <protection locked="0"/>
    </xf>
    <xf numFmtId="0" fontId="84" fillId="45" borderId="109" xfId="0" applyFont="1" applyFill="1" applyBorder="1" applyAlignment="1" applyProtection="1">
      <alignment horizontal="center" vertical="justify"/>
      <protection locked="0"/>
    </xf>
    <xf numFmtId="0" fontId="84" fillId="45" borderId="110" xfId="0" applyFont="1" applyFill="1" applyBorder="1" applyAlignment="1" applyProtection="1">
      <alignment horizontal="center" vertical="justify"/>
      <protection locked="0"/>
    </xf>
    <xf numFmtId="171" fontId="71" fillId="45" borderId="283" xfId="112" applyNumberFormat="1" applyFont="1" applyFill="1" applyBorder="1" applyAlignment="1" applyProtection="1">
      <alignment horizontal="center"/>
      <protection locked="0"/>
    </xf>
    <xf numFmtId="171" fontId="71" fillId="45" borderId="284" xfId="112" applyNumberFormat="1" applyFont="1" applyFill="1" applyBorder="1" applyAlignment="1" applyProtection="1">
      <alignment horizontal="center"/>
      <protection locked="0"/>
    </xf>
    <xf numFmtId="171" fontId="71" fillId="45" borderId="285" xfId="112" applyNumberFormat="1" applyFont="1" applyFill="1" applyBorder="1" applyAlignment="1" applyProtection="1">
      <alignment horizontal="center"/>
      <protection locked="0"/>
    </xf>
    <xf numFmtId="0" fontId="112" fillId="39" borderId="0" xfId="0" applyFont="1" applyFill="1" applyAlignment="1">
      <alignment horizontal="left" vertical="center"/>
    </xf>
    <xf numFmtId="0" fontId="84" fillId="45" borderId="280" xfId="0" applyFont="1" applyFill="1" applyBorder="1" applyAlignment="1" applyProtection="1">
      <alignment horizontal="right" vertical="justify"/>
      <protection locked="0"/>
    </xf>
    <xf numFmtId="0" fontId="84" fillId="45" borderId="281" xfId="0" applyFont="1" applyFill="1" applyBorder="1" applyAlignment="1" applyProtection="1">
      <alignment horizontal="right" vertical="justify"/>
      <protection locked="0"/>
    </xf>
    <xf numFmtId="0" fontId="84" fillId="45" borderId="282" xfId="0" applyFont="1" applyFill="1" applyBorder="1" applyAlignment="1" applyProtection="1">
      <alignment horizontal="right" vertical="justify"/>
      <protection locked="0"/>
    </xf>
    <xf numFmtId="0" fontId="83" fillId="0" borderId="80" xfId="0" applyFont="1" applyBorder="1" applyAlignment="1">
      <alignment horizontal="center" vertical="center"/>
    </xf>
    <xf numFmtId="0" fontId="83" fillId="0" borderId="82" xfId="0" applyFont="1" applyBorder="1" applyAlignment="1">
      <alignment horizontal="center" vertical="center"/>
    </xf>
    <xf numFmtId="9" fontId="83" fillId="45" borderId="80" xfId="256" applyFont="1" applyFill="1" applyBorder="1" applyAlignment="1" applyProtection="1">
      <alignment horizontal="center" vertical="center"/>
      <protection locked="0"/>
    </xf>
    <xf numFmtId="9" fontId="83" fillId="45" borderId="82" xfId="256" applyFont="1" applyFill="1" applyBorder="1" applyAlignment="1" applyProtection="1">
      <alignment horizontal="center" vertical="center"/>
      <protection locked="0"/>
    </xf>
    <xf numFmtId="0" fontId="83" fillId="0" borderId="80" xfId="0" applyFont="1" applyBorder="1" applyAlignment="1">
      <alignment horizontal="center" vertical="justify"/>
    </xf>
    <xf numFmtId="0" fontId="83" fillId="0" borderId="82" xfId="0" applyFont="1" applyBorder="1" applyAlignment="1">
      <alignment horizontal="center" vertical="justify"/>
    </xf>
    <xf numFmtId="0" fontId="83" fillId="45" borderId="80" xfId="0" applyFont="1" applyFill="1" applyBorder="1" applyAlignment="1" applyProtection="1">
      <alignment horizontal="center"/>
      <protection locked="0"/>
    </xf>
    <xf numFmtId="0" fontId="83" fillId="45" borderId="111" xfId="0" applyFont="1" applyFill="1" applyBorder="1" applyAlignment="1" applyProtection="1">
      <alignment horizontal="center"/>
      <protection locked="0"/>
    </xf>
    <xf numFmtId="0" fontId="83" fillId="45" borderId="82" xfId="0" applyFont="1" applyFill="1" applyBorder="1" applyAlignment="1" applyProtection="1">
      <alignment horizontal="center"/>
      <protection locked="0"/>
    </xf>
    <xf numFmtId="0" fontId="84" fillId="45" borderId="112" xfId="0" applyFont="1" applyFill="1" applyBorder="1" applyAlignment="1" applyProtection="1">
      <alignment horizontal="left" vertical="justify" wrapText="1"/>
      <protection locked="0"/>
    </xf>
    <xf numFmtId="0" fontId="84" fillId="45" borderId="113" xfId="0" applyFont="1" applyFill="1" applyBorder="1" applyAlignment="1" applyProtection="1">
      <alignment horizontal="left" vertical="justify"/>
      <protection locked="0"/>
    </xf>
    <xf numFmtId="0" fontId="84" fillId="45" borderId="114" xfId="0" applyFont="1" applyFill="1" applyBorder="1" applyAlignment="1" applyProtection="1">
      <alignment horizontal="left" vertical="justify"/>
      <protection locked="0"/>
    </xf>
    <xf numFmtId="0" fontId="84" fillId="45" borderId="280" xfId="0" applyFont="1" applyFill="1" applyBorder="1" applyAlignment="1" applyProtection="1">
      <alignment horizontal="left" vertical="justify" wrapText="1"/>
      <protection locked="0"/>
    </xf>
    <xf numFmtId="0" fontId="84" fillId="45" borderId="281" xfId="0" applyFont="1" applyFill="1" applyBorder="1" applyAlignment="1" applyProtection="1">
      <alignment horizontal="left" vertical="justify"/>
      <protection locked="0"/>
    </xf>
    <xf numFmtId="0" fontId="84" fillId="45" borderId="282" xfId="0" applyFont="1" applyFill="1" applyBorder="1" applyAlignment="1" applyProtection="1">
      <alignment horizontal="left" vertical="justify"/>
      <protection locked="0"/>
    </xf>
    <xf numFmtId="0" fontId="84" fillId="45" borderId="280" xfId="0" applyFont="1" applyFill="1" applyBorder="1" applyAlignment="1" applyProtection="1">
      <alignment horizontal="center" vertical="justify"/>
      <protection locked="0"/>
    </xf>
    <xf numFmtId="0" fontId="84" fillId="45" borderId="281" xfId="0" applyFont="1" applyFill="1" applyBorder="1" applyAlignment="1" applyProtection="1">
      <alignment horizontal="center" vertical="justify"/>
      <protection locked="0"/>
    </xf>
    <xf numFmtId="0" fontId="84" fillId="45" borderId="282" xfId="0" applyFont="1" applyFill="1" applyBorder="1" applyAlignment="1" applyProtection="1">
      <alignment horizontal="center" vertical="justify"/>
      <protection locked="0"/>
    </xf>
    <xf numFmtId="0" fontId="43" fillId="26" borderId="0" xfId="158" applyFont="1" applyFill="1" applyAlignment="1">
      <alignment horizontal="left" vertical="center" wrapText="1"/>
    </xf>
    <xf numFmtId="0" fontId="81" fillId="23" borderId="0" xfId="162" applyFont="1" applyFill="1" applyAlignment="1">
      <alignment horizontal="center" wrapText="1"/>
    </xf>
    <xf numFmtId="0" fontId="26" fillId="0" borderId="72" xfId="0" applyFont="1" applyBorder="1" applyAlignment="1" applyProtection="1">
      <alignment horizontal="center" vertical="justify"/>
      <protection hidden="1"/>
    </xf>
    <xf numFmtId="0" fontId="26" fillId="0" borderId="263" xfId="0" applyFont="1" applyBorder="1" applyAlignment="1" applyProtection="1">
      <alignment horizontal="center" vertical="justify"/>
      <protection hidden="1"/>
    </xf>
    <xf numFmtId="0" fontId="26" fillId="0" borderId="78" xfId="0" applyFont="1" applyBorder="1" applyAlignment="1" applyProtection="1">
      <alignment horizontal="center" vertical="justify"/>
      <protection hidden="1"/>
    </xf>
    <xf numFmtId="0" fontId="3" fillId="28" borderId="4" xfId="155" applyFill="1" applyBorder="1" applyAlignment="1" applyProtection="1">
      <alignment horizontal="center" vertical="center"/>
      <protection locked="0"/>
    </xf>
    <xf numFmtId="0" fontId="0" fillId="24" borderId="0" xfId="0" applyFill="1" applyAlignment="1">
      <alignment horizontal="center"/>
    </xf>
    <xf numFmtId="0" fontId="0" fillId="24" borderId="0" xfId="0" quotePrefix="1" applyFill="1" applyAlignment="1">
      <alignment horizontal="center"/>
    </xf>
    <xf numFmtId="0" fontId="0" fillId="24" borderId="67" xfId="0" applyFill="1" applyBorder="1" applyAlignment="1">
      <alignment horizontal="left"/>
    </xf>
    <xf numFmtId="0" fontId="8" fillId="0" borderId="101" xfId="0" applyFont="1" applyBorder="1" applyAlignment="1" applyProtection="1">
      <alignment horizontal="center" vertical="justify"/>
      <protection locked="0"/>
    </xf>
    <xf numFmtId="0" fontId="8" fillId="0" borderId="1" xfId="0" applyFont="1" applyBorder="1" applyAlignment="1" applyProtection="1">
      <alignment vertical="justify"/>
      <protection locked="0"/>
    </xf>
    <xf numFmtId="0" fontId="8" fillId="0" borderId="102" xfId="0" applyFont="1" applyBorder="1" applyAlignment="1" applyProtection="1">
      <alignment horizontal="center" vertical="justify"/>
      <protection locked="0"/>
    </xf>
    <xf numFmtId="0" fontId="8" fillId="0" borderId="101" xfId="0" applyFont="1" applyBorder="1" applyAlignment="1" applyProtection="1">
      <alignment horizontal="left" vertical="justify"/>
      <protection locked="0"/>
    </xf>
    <xf numFmtId="0" fontId="8" fillId="0" borderId="1" xfId="0" applyFont="1" applyBorder="1" applyAlignment="1" applyProtection="1">
      <alignment horizontal="left" vertical="justify"/>
      <protection locked="0"/>
    </xf>
    <xf numFmtId="0" fontId="8" fillId="0" borderId="102" xfId="0" applyFont="1" applyBorder="1" applyAlignment="1" applyProtection="1">
      <alignment horizontal="left" vertical="justify"/>
      <protection locked="0"/>
    </xf>
    <xf numFmtId="9" fontId="3" fillId="28" borderId="4" xfId="155" applyNumberFormat="1" applyFill="1" applyBorder="1" applyAlignment="1" applyProtection="1">
      <alignment horizontal="center" vertical="center"/>
      <protection locked="0"/>
    </xf>
    <xf numFmtId="0" fontId="30" fillId="23" borderId="12" xfId="0" applyFont="1" applyFill="1" applyBorder="1" applyAlignment="1">
      <alignment horizontal="center"/>
    </xf>
    <xf numFmtId="0" fontId="85" fillId="23" borderId="0" xfId="0" applyFont="1" applyFill="1" applyAlignment="1">
      <alignment horizontal="left"/>
    </xf>
    <xf numFmtId="0" fontId="30" fillId="23" borderId="12" xfId="0" applyFont="1" applyFill="1" applyBorder="1" applyAlignment="1">
      <alignment horizontal="left" vertical="justify"/>
    </xf>
    <xf numFmtId="0" fontId="276" fillId="0" borderId="0" xfId="0" applyFont="1" applyAlignment="1">
      <alignment horizontal="left"/>
    </xf>
    <xf numFmtId="0" fontId="272" fillId="0" borderId="0" xfId="0" applyFont="1" applyAlignment="1">
      <alignment horizontal="left"/>
    </xf>
    <xf numFmtId="0" fontId="273" fillId="0" borderId="0" xfId="0" applyFont="1" applyAlignment="1">
      <alignment horizontal="left"/>
    </xf>
    <xf numFmtId="0" fontId="179" fillId="0" borderId="0" xfId="0" applyFont="1" applyAlignment="1">
      <alignment horizontal="left"/>
    </xf>
    <xf numFmtId="0" fontId="37" fillId="0" borderId="22" xfId="0" applyFont="1" applyBorder="1" applyAlignment="1">
      <alignment horizontal="center" vertical="center"/>
    </xf>
    <xf numFmtId="0" fontId="37" fillId="0" borderId="29" xfId="0" applyFont="1" applyBorder="1" applyAlignment="1">
      <alignment horizontal="center" vertical="center"/>
    </xf>
    <xf numFmtId="0" fontId="0" fillId="0" borderId="0" xfId="0" applyAlignment="1">
      <alignment horizontal="left" wrapText="1"/>
    </xf>
    <xf numFmtId="0" fontId="261" fillId="39" borderId="320" xfId="0" applyFont="1" applyFill="1" applyBorder="1" applyAlignment="1" applyProtection="1">
      <alignment horizontal="left" vertical="center" wrapText="1"/>
      <protection locked="0"/>
    </xf>
    <xf numFmtId="0" fontId="261" fillId="39" borderId="321" xfId="0" applyFont="1" applyFill="1" applyBorder="1" applyAlignment="1" applyProtection="1">
      <alignment horizontal="left" vertical="center" wrapText="1"/>
      <protection locked="0"/>
    </xf>
    <xf numFmtId="0" fontId="261" fillId="39" borderId="322" xfId="0" applyFont="1" applyFill="1" applyBorder="1" applyAlignment="1" applyProtection="1">
      <alignment horizontal="left" vertical="center" wrapText="1"/>
      <protection locked="0"/>
    </xf>
    <xf numFmtId="0" fontId="279" fillId="0" borderId="205" xfId="0" applyFont="1" applyBorder="1" applyAlignment="1">
      <alignment horizontal="left" vertical="justify"/>
    </xf>
    <xf numFmtId="0" fontId="261" fillId="0" borderId="303" xfId="0" applyFont="1" applyBorder="1" applyAlignment="1">
      <alignment horizontal="left" vertical="center" wrapText="1"/>
    </xf>
    <xf numFmtId="0" fontId="261" fillId="0" borderId="304" xfId="0" applyFont="1" applyBorder="1" applyAlignment="1">
      <alignment horizontal="left" vertical="center" wrapText="1"/>
    </xf>
    <xf numFmtId="0" fontId="261" fillId="0" borderId="305" xfId="0" applyFont="1" applyBorder="1" applyAlignment="1">
      <alignment horizontal="left" vertical="center" wrapText="1"/>
    </xf>
    <xf numFmtId="0" fontId="253" fillId="0" borderId="80" xfId="0" applyFont="1" applyBorder="1" applyAlignment="1">
      <alignment horizontal="center" vertical="center"/>
    </xf>
    <xf numFmtId="0" fontId="253" fillId="0" borderId="82" xfId="0" applyFont="1" applyBorder="1" applyAlignment="1">
      <alignment horizontal="center" vertical="center"/>
    </xf>
    <xf numFmtId="0" fontId="252" fillId="41" borderId="80" xfId="238" applyNumberFormat="1" applyFont="1" applyFill="1" applyBorder="1" applyAlignment="1" applyProtection="1">
      <alignment horizontal="center" vertical="center" wrapText="1"/>
    </xf>
    <xf numFmtId="0" fontId="252" fillId="41" borderId="82" xfId="238" applyNumberFormat="1" applyFont="1" applyFill="1" applyBorder="1" applyAlignment="1" applyProtection="1">
      <alignment horizontal="center" vertical="center" wrapText="1"/>
    </xf>
    <xf numFmtId="0" fontId="260" fillId="41" borderId="80" xfId="0" applyFont="1" applyFill="1" applyBorder="1" applyAlignment="1">
      <alignment vertical="center" wrapText="1"/>
    </xf>
    <xf numFmtId="0" fontId="260" fillId="41" borderId="111" xfId="0" applyFont="1" applyFill="1" applyBorder="1" applyAlignment="1">
      <alignment vertical="center" wrapText="1"/>
    </xf>
    <xf numFmtId="0" fontId="260" fillId="41" borderId="82" xfId="0" applyFont="1" applyFill="1" applyBorder="1" applyAlignment="1">
      <alignment vertical="center" wrapText="1"/>
    </xf>
    <xf numFmtId="0" fontId="242" fillId="0" borderId="111" xfId="0" applyFont="1" applyBorder="1" applyAlignment="1">
      <alignment horizontal="center" vertical="center" wrapText="1"/>
    </xf>
    <xf numFmtId="0" fontId="244" fillId="0" borderId="112" xfId="0" applyFont="1" applyBorder="1" applyAlignment="1">
      <alignment vertical="center" wrapText="1"/>
    </xf>
    <xf numFmtId="0" fontId="244" fillId="0" borderId="113" xfId="0" applyFont="1" applyBorder="1" applyAlignment="1">
      <alignment vertical="center" wrapText="1"/>
    </xf>
    <xf numFmtId="0" fontId="244" fillId="0" borderId="114" xfId="0" applyFont="1" applyBorder="1" applyAlignment="1">
      <alignment vertical="center" wrapText="1"/>
    </xf>
    <xf numFmtId="0" fontId="244" fillId="0" borderId="300" xfId="0" applyFont="1" applyBorder="1" applyAlignment="1">
      <alignment vertical="center" wrapText="1"/>
    </xf>
    <xf numFmtId="0" fontId="244" fillId="0" borderId="301" xfId="0" applyFont="1" applyBorder="1" applyAlignment="1">
      <alignment vertical="center" wrapText="1"/>
    </xf>
    <xf numFmtId="0" fontId="244" fillId="0" borderId="302" xfId="0" applyFont="1" applyBorder="1" applyAlignment="1">
      <alignment vertical="center" wrapText="1"/>
    </xf>
    <xf numFmtId="0" fontId="244" fillId="0" borderId="303" xfId="0" applyFont="1" applyBorder="1" applyAlignment="1">
      <alignment vertical="center" wrapText="1"/>
    </xf>
    <xf numFmtId="0" fontId="244" fillId="0" borderId="304" xfId="0" applyFont="1" applyBorder="1" applyAlignment="1">
      <alignment vertical="center" wrapText="1"/>
    </xf>
    <xf numFmtId="0" fontId="244" fillId="0" borderId="305" xfId="0" applyFont="1" applyBorder="1" applyAlignment="1">
      <alignment vertical="center" wrapText="1"/>
    </xf>
    <xf numFmtId="0" fontId="83" fillId="0" borderId="111" xfId="0" applyFont="1" applyBorder="1" applyAlignment="1">
      <alignment horizontal="center" vertical="top" wrapText="1"/>
    </xf>
    <xf numFmtId="0" fontId="262" fillId="41" borderId="191" xfId="0" applyFont="1" applyFill="1" applyBorder="1" applyAlignment="1">
      <alignment vertical="center" wrapText="1"/>
    </xf>
    <xf numFmtId="0" fontId="262" fillId="41" borderId="187" xfId="0" applyFont="1" applyFill="1" applyBorder="1" applyAlignment="1">
      <alignment vertical="center" wrapText="1"/>
    </xf>
    <xf numFmtId="0" fontId="262" fillId="41" borderId="188" xfId="0" applyFont="1" applyFill="1" applyBorder="1" applyAlignment="1">
      <alignment vertical="center" wrapText="1"/>
    </xf>
    <xf numFmtId="0" fontId="261" fillId="39" borderId="307" xfId="0" applyFont="1" applyFill="1" applyBorder="1" applyAlignment="1" applyProtection="1">
      <alignment horizontal="left" vertical="center" wrapText="1"/>
      <protection locked="0"/>
    </xf>
    <xf numFmtId="0" fontId="261" fillId="39" borderId="308" xfId="0" applyFont="1" applyFill="1" applyBorder="1" applyAlignment="1" applyProtection="1">
      <alignment horizontal="left" vertical="center" wrapText="1"/>
      <protection locked="0"/>
    </xf>
    <xf numFmtId="0" fontId="261" fillId="39" borderId="309" xfId="0" applyFont="1" applyFill="1" applyBorder="1" applyAlignment="1" applyProtection="1">
      <alignment horizontal="left" vertical="center" wrapText="1"/>
      <protection locked="0"/>
    </xf>
    <xf numFmtId="0" fontId="254" fillId="39" borderId="303" xfId="0" applyFont="1" applyFill="1" applyBorder="1" applyAlignment="1">
      <alignment horizontal="left" vertical="justify"/>
    </xf>
    <xf numFmtId="0" fontId="254" fillId="39" borderId="304" xfId="0" applyFont="1" applyFill="1" applyBorder="1" applyAlignment="1">
      <alignment horizontal="left" vertical="justify"/>
    </xf>
    <xf numFmtId="0" fontId="254" fillId="39" borderId="305" xfId="0" applyFont="1" applyFill="1" applyBorder="1" applyAlignment="1">
      <alignment horizontal="left" vertical="justify"/>
    </xf>
    <xf numFmtId="0" fontId="262" fillId="41" borderId="186" xfId="0" applyFont="1" applyFill="1" applyBorder="1" applyAlignment="1">
      <alignment vertical="center" wrapText="1"/>
    </xf>
    <xf numFmtId="0" fontId="262" fillId="41" borderId="311" xfId="0" applyFont="1" applyFill="1" applyBorder="1" applyAlignment="1">
      <alignment horizontal="left" vertical="center" wrapText="1"/>
    </xf>
    <xf numFmtId="0" fontId="262" fillId="41" borderId="308" xfId="0" applyFont="1" applyFill="1" applyBorder="1" applyAlignment="1">
      <alignment horizontal="left" vertical="center" wrapText="1"/>
    </xf>
    <xf numFmtId="0" fontId="262" fillId="41" borderId="309" xfId="0" applyFont="1" applyFill="1" applyBorder="1" applyAlignment="1">
      <alignment horizontal="left" vertical="center" wrapText="1"/>
    </xf>
    <xf numFmtId="0" fontId="83" fillId="0" borderId="312" xfId="0" applyFont="1" applyBorder="1" applyAlignment="1">
      <alignment horizontal="left" vertical="center"/>
    </xf>
    <xf numFmtId="0" fontId="83" fillId="0" borderId="189" xfId="0" applyFont="1" applyBorder="1" applyAlignment="1">
      <alignment horizontal="left" vertical="center"/>
    </xf>
    <xf numFmtId="0" fontId="83" fillId="0" borderId="84" xfId="0" applyFont="1" applyBorder="1" applyAlignment="1">
      <alignment horizontal="left" vertical="center"/>
    </xf>
    <xf numFmtId="0" fontId="261" fillId="39" borderId="112" xfId="0" applyFont="1" applyFill="1" applyBorder="1" applyAlignment="1" applyProtection="1">
      <alignment horizontal="left" vertical="center" wrapText="1"/>
      <protection locked="0"/>
    </xf>
    <xf numFmtId="0" fontId="261" fillId="39" borderId="113" xfId="0" applyFont="1" applyFill="1" applyBorder="1" applyAlignment="1" applyProtection="1">
      <alignment horizontal="left" vertical="center" wrapText="1"/>
      <protection locked="0"/>
    </xf>
    <xf numFmtId="0" fontId="261" fillId="39" borderId="114" xfId="0" applyFont="1" applyFill="1" applyBorder="1" applyAlignment="1" applyProtection="1">
      <alignment horizontal="left" vertical="center" wrapText="1"/>
      <protection locked="0"/>
    </xf>
    <xf numFmtId="0" fontId="261" fillId="39" borderId="303" xfId="0" applyFont="1" applyFill="1" applyBorder="1" applyAlignment="1" applyProtection="1">
      <alignment horizontal="left" vertical="center" wrapText="1"/>
      <protection locked="0"/>
    </xf>
    <xf numFmtId="0" fontId="261" fillId="39" borderId="304" xfId="0" applyFont="1" applyFill="1" applyBorder="1" applyAlignment="1" applyProtection="1">
      <alignment horizontal="left" vertical="center" wrapText="1"/>
      <protection locked="0"/>
    </xf>
    <xf numFmtId="0" fontId="261" fillId="39" borderId="305" xfId="0" applyFont="1" applyFill="1" applyBorder="1" applyAlignment="1" applyProtection="1">
      <alignment horizontal="left" vertical="center" wrapText="1"/>
      <protection locked="0"/>
    </xf>
    <xf numFmtId="0" fontId="0" fillId="0" borderId="111" xfId="0" applyBorder="1" applyAlignment="1">
      <alignment horizontal="center"/>
    </xf>
    <xf numFmtId="0" fontId="254" fillId="41" borderId="112" xfId="109" applyNumberFormat="1" applyFont="1" applyFill="1" applyBorder="1" applyAlignment="1" applyProtection="1">
      <alignment horizontal="left" vertical="justify"/>
    </xf>
    <xf numFmtId="0" fontId="254" fillId="41" borderId="113" xfId="109" applyNumberFormat="1" applyFont="1" applyFill="1" applyBorder="1" applyAlignment="1" applyProtection="1">
      <alignment horizontal="left" vertical="justify"/>
    </xf>
    <xf numFmtId="0" fontId="254" fillId="41" borderId="114" xfId="109" applyNumberFormat="1" applyFont="1" applyFill="1" applyBorder="1" applyAlignment="1" applyProtection="1">
      <alignment horizontal="left" vertical="justify"/>
    </xf>
    <xf numFmtId="0" fontId="254" fillId="41" borderId="300" xfId="0" applyFont="1" applyFill="1" applyBorder="1" applyAlignment="1">
      <alignment horizontal="left" vertical="justify"/>
    </xf>
    <xf numFmtId="0" fontId="254" fillId="41" borderId="301" xfId="0" applyFont="1" applyFill="1" applyBorder="1" applyAlignment="1">
      <alignment horizontal="left" vertical="justify"/>
    </xf>
    <xf numFmtId="0" fontId="254" fillId="41" borderId="302" xfId="0" applyFont="1" applyFill="1" applyBorder="1" applyAlignment="1">
      <alignment horizontal="left" vertical="justify"/>
    </xf>
    <xf numFmtId="0" fontId="262" fillId="41" borderId="80" xfId="0" applyFont="1" applyFill="1" applyBorder="1" applyAlignment="1">
      <alignment horizontal="left" vertical="justify"/>
    </xf>
    <xf numFmtId="0" fontId="262" fillId="41" borderId="111" xfId="0" applyFont="1" applyFill="1" applyBorder="1" applyAlignment="1">
      <alignment horizontal="left" vertical="justify"/>
    </xf>
    <xf numFmtId="0" fontId="262" fillId="41" borderId="192" xfId="0" applyFont="1" applyFill="1" applyBorder="1" applyAlignment="1">
      <alignment horizontal="left" vertical="justify"/>
    </xf>
    <xf numFmtId="0" fontId="246" fillId="0" borderId="80" xfId="0" applyFont="1" applyBorder="1" applyAlignment="1">
      <alignment horizontal="center" vertical="justify"/>
    </xf>
    <xf numFmtId="0" fontId="246" fillId="0" borderId="111" xfId="0" applyFont="1" applyBorder="1" applyAlignment="1">
      <alignment horizontal="center" vertical="justify"/>
    </xf>
    <xf numFmtId="0" fontId="0" fillId="0" borderId="193" xfId="0" applyBorder="1"/>
    <xf numFmtId="187" fontId="262" fillId="41" borderId="187" xfId="0" applyNumberFormat="1" applyFont="1" applyFill="1" applyBorder="1" applyAlignment="1">
      <alignment horizontal="left" vertical="justify"/>
    </xf>
    <xf numFmtId="187" fontId="262" fillId="41" borderId="188" xfId="0" applyNumberFormat="1" applyFont="1" applyFill="1" applyBorder="1" applyAlignment="1">
      <alignment horizontal="left" vertical="justify"/>
    </xf>
    <xf numFmtId="198" fontId="262" fillId="41" borderId="300" xfId="0" applyNumberFormat="1" applyFont="1" applyFill="1" applyBorder="1" applyAlignment="1">
      <alignment horizontal="left" vertical="justify"/>
    </xf>
    <xf numFmtId="198" fontId="262" fillId="41" borderId="301" xfId="0" applyNumberFormat="1" applyFont="1" applyFill="1" applyBorder="1" applyAlignment="1">
      <alignment horizontal="left" vertical="justify"/>
    </xf>
    <xf numFmtId="198" fontId="262" fillId="41" borderId="302" xfId="0" applyNumberFormat="1" applyFont="1" applyFill="1" applyBorder="1" applyAlignment="1">
      <alignment horizontal="left" vertical="justify"/>
    </xf>
    <xf numFmtId="0" fontId="246" fillId="41" borderId="300" xfId="0" applyFont="1" applyFill="1" applyBorder="1" applyAlignment="1">
      <alignment horizontal="left" vertical="justify"/>
    </xf>
    <xf numFmtId="0" fontId="246" fillId="41" borderId="302" xfId="0" applyFont="1" applyFill="1" applyBorder="1" applyAlignment="1">
      <alignment horizontal="left" vertical="justify"/>
    </xf>
    <xf numFmtId="0" fontId="246" fillId="41" borderId="300" xfId="109" applyNumberFormat="1" applyFont="1" applyFill="1" applyBorder="1" applyAlignment="1" applyProtection="1">
      <alignment horizontal="left" vertical="justify"/>
    </xf>
    <xf numFmtId="0" fontId="246" fillId="41" borderId="302" xfId="109" applyNumberFormat="1" applyFont="1" applyFill="1" applyBorder="1" applyAlignment="1" applyProtection="1">
      <alignment horizontal="left" vertical="justify"/>
    </xf>
    <xf numFmtId="199" fontId="262" fillId="41" borderId="311" xfId="0" applyNumberFormat="1" applyFont="1" applyFill="1" applyBorder="1" applyAlignment="1">
      <alignment horizontal="left" vertical="justify"/>
    </xf>
    <xf numFmtId="199" fontId="262" fillId="41" borderId="308" xfId="0" applyNumberFormat="1" applyFont="1" applyFill="1" applyBorder="1" applyAlignment="1">
      <alignment horizontal="left" vertical="justify"/>
    </xf>
    <xf numFmtId="199" fontId="262" fillId="41" borderId="309" xfId="0" applyNumberFormat="1" applyFont="1" applyFill="1" applyBorder="1" applyAlignment="1">
      <alignment horizontal="left" vertical="justify"/>
    </xf>
    <xf numFmtId="0" fontId="110" fillId="0" borderId="4" xfId="0" applyFont="1" applyBorder="1" applyAlignment="1">
      <alignment horizontal="center"/>
    </xf>
    <xf numFmtId="0" fontId="70" fillId="0" borderId="0" xfId="0" applyFont="1" applyAlignment="1">
      <alignment horizontal="center" vertical="justify"/>
    </xf>
    <xf numFmtId="0" fontId="70" fillId="0" borderId="203" xfId="0" applyFont="1" applyBorder="1" applyAlignment="1">
      <alignment horizontal="center" vertical="justify"/>
    </xf>
    <xf numFmtId="0" fontId="0" fillId="0" borderId="0" xfId="0" applyAlignment="1">
      <alignment horizontal="left" vertical="top" wrapText="1"/>
    </xf>
    <xf numFmtId="0" fontId="156" fillId="0" borderId="13" xfId="0" applyFont="1" applyBorder="1" applyAlignment="1">
      <alignment horizontal="left" vertical="top"/>
    </xf>
    <xf numFmtId="0" fontId="83" fillId="0" borderId="263" xfId="0" applyFont="1" applyBorder="1" applyAlignment="1">
      <alignment horizontal="center" vertical="justify"/>
    </xf>
    <xf numFmtId="0" fontId="154" fillId="0" borderId="4" xfId="0" applyFont="1" applyBorder="1" applyAlignment="1">
      <alignment horizontal="center" vertical="center"/>
    </xf>
    <xf numFmtId="0" fontId="83" fillId="0" borderId="198" xfId="0" applyFont="1" applyBorder="1" applyAlignment="1">
      <alignment horizontal="left" vertical="justify"/>
    </xf>
    <xf numFmtId="0" fontId="246" fillId="0" borderId="198" xfId="109" applyNumberFormat="1" applyFont="1" applyFill="1" applyBorder="1" applyAlignment="1" applyProtection="1">
      <alignment horizontal="center" vertical="justify"/>
    </xf>
    <xf numFmtId="0" fontId="246" fillId="0" borderId="199" xfId="109" applyNumberFormat="1" applyFont="1" applyFill="1" applyBorder="1" applyAlignment="1" applyProtection="1">
      <alignment horizontal="center" vertical="justify"/>
    </xf>
    <xf numFmtId="0" fontId="261" fillId="0" borderId="303" xfId="0" applyFont="1" applyBorder="1" applyAlignment="1" applyProtection="1">
      <alignment horizontal="left" vertical="center" wrapText="1"/>
      <protection locked="0"/>
    </xf>
    <xf numFmtId="0" fontId="261" fillId="0" borderId="304" xfId="0" applyFont="1" applyBorder="1" applyAlignment="1" applyProtection="1">
      <alignment horizontal="left" vertical="center" wrapText="1"/>
      <protection locked="0"/>
    </xf>
    <xf numFmtId="0" fontId="261" fillId="0" borderId="305" xfId="0" applyFont="1" applyBorder="1" applyAlignment="1" applyProtection="1">
      <alignment horizontal="left" vertical="center" wrapText="1"/>
      <protection locked="0"/>
    </xf>
    <xf numFmtId="0" fontId="246" fillId="0" borderId="300" xfId="0" applyFont="1" applyBorder="1" applyAlignment="1">
      <alignment horizontal="left" vertical="justify"/>
    </xf>
    <xf numFmtId="0" fontId="246" fillId="0" borderId="302" xfId="0" applyFont="1" applyBorder="1" applyAlignment="1">
      <alignment horizontal="left" vertical="justify"/>
    </xf>
    <xf numFmtId="0" fontId="246" fillId="66" borderId="300" xfId="109" applyNumberFormat="1" applyFont="1" applyFill="1" applyBorder="1" applyAlignment="1" applyProtection="1">
      <alignment horizontal="left" vertical="justify"/>
    </xf>
    <xf numFmtId="0" fontId="246" fillId="66" borderId="302" xfId="109" applyNumberFormat="1" applyFont="1" applyFill="1" applyBorder="1" applyAlignment="1" applyProtection="1">
      <alignment horizontal="left" vertical="justify"/>
    </xf>
    <xf numFmtId="0" fontId="177" fillId="0" borderId="86" xfId="100" applyFont="1" applyFill="1" applyBorder="1" applyAlignment="1">
      <alignment horizontal="left" indent="2"/>
    </xf>
    <xf numFmtId="0" fontId="177" fillId="0" borderId="0" xfId="100" applyFont="1" applyFill="1" applyBorder="1" applyAlignment="1">
      <alignment horizontal="left" indent="2"/>
    </xf>
    <xf numFmtId="0" fontId="178" fillId="0" borderId="2" xfId="0" applyFont="1" applyBorder="1" applyAlignment="1">
      <alignment horizontal="left" vertical="justify" indent="3"/>
    </xf>
    <xf numFmtId="0" fontId="178" fillId="0" borderId="0" xfId="0" applyFont="1" applyAlignment="1">
      <alignment horizontal="left" vertical="justify" indent="3"/>
    </xf>
    <xf numFmtId="0" fontId="209" fillId="48" borderId="151" xfId="155" applyFont="1" applyFill="1" applyBorder="1" applyAlignment="1">
      <alignment horizontal="left" vertical="center" indent="2"/>
    </xf>
    <xf numFmtId="0" fontId="209" fillId="63" borderId="151" xfId="155" applyFont="1" applyFill="1" applyBorder="1" applyAlignment="1">
      <alignment horizontal="left" vertical="center"/>
    </xf>
    <xf numFmtId="0" fontId="225" fillId="51" borderId="153" xfId="155" applyFont="1" applyFill="1" applyBorder="1" applyAlignment="1">
      <alignment horizontal="left" vertical="center"/>
    </xf>
    <xf numFmtId="0" fontId="225" fillId="51" borderId="148" xfId="155" applyFont="1" applyFill="1" applyBorder="1" applyAlignment="1">
      <alignment horizontal="left" vertical="center"/>
    </xf>
    <xf numFmtId="0" fontId="225" fillId="51" borderId="0" xfId="155" applyFont="1" applyFill="1" applyAlignment="1">
      <alignment horizontal="left" vertical="center"/>
    </xf>
    <xf numFmtId="0" fontId="225" fillId="51" borderId="152" xfId="155" applyFont="1" applyFill="1" applyBorder="1" applyAlignment="1">
      <alignment horizontal="left" vertical="center"/>
    </xf>
    <xf numFmtId="0" fontId="209" fillId="48" borderId="151" xfId="155" applyFont="1" applyFill="1" applyBorder="1" applyAlignment="1">
      <alignment horizontal="left" vertical="center"/>
    </xf>
    <xf numFmtId="0" fontId="209" fillId="48" borderId="159" xfId="155" applyFont="1" applyFill="1" applyBorder="1" applyAlignment="1">
      <alignment horizontal="left" vertical="center"/>
    </xf>
    <xf numFmtId="0" fontId="209" fillId="64" borderId="151" xfId="155" applyFont="1" applyFill="1" applyBorder="1" applyAlignment="1">
      <alignment horizontal="left" vertical="center"/>
    </xf>
    <xf numFmtId="0" fontId="225" fillId="51" borderId="156" xfId="155" applyFont="1" applyFill="1" applyBorder="1" applyAlignment="1">
      <alignment horizontal="left" vertical="center"/>
    </xf>
    <xf numFmtId="0" fontId="225" fillId="51" borderId="157" xfId="155" applyFont="1" applyFill="1" applyBorder="1" applyAlignment="1">
      <alignment horizontal="left" vertical="center"/>
    </xf>
    <xf numFmtId="0" fontId="225" fillId="51" borderId="158" xfId="155" applyFont="1" applyFill="1" applyBorder="1" applyAlignment="1">
      <alignment horizontal="left" vertical="center"/>
    </xf>
    <xf numFmtId="0" fontId="225" fillId="61" borderId="151" xfId="155" applyFont="1" applyFill="1" applyBorder="1" applyAlignment="1">
      <alignment horizontal="left" vertical="center"/>
    </xf>
    <xf numFmtId="0" fontId="209" fillId="0" borderId="151" xfId="155" applyFont="1" applyBorder="1" applyAlignment="1">
      <alignment horizontal="left" vertical="center"/>
    </xf>
    <xf numFmtId="0" fontId="209" fillId="0" borderId="159" xfId="155" applyFont="1" applyBorder="1" applyAlignment="1">
      <alignment horizontal="left" vertical="center"/>
    </xf>
    <xf numFmtId="0" fontId="201" fillId="0" borderId="0" xfId="0" applyFont="1" applyAlignment="1">
      <alignment horizontal="left" vertical="center" wrapText="1"/>
    </xf>
    <xf numFmtId="0" fontId="209" fillId="0" borderId="151" xfId="155" applyFont="1" applyBorder="1" applyAlignment="1">
      <alignment horizontal="left" vertical="justify"/>
    </xf>
    <xf numFmtId="0" fontId="209" fillId="0" borderId="159" xfId="155" applyFont="1" applyBorder="1" applyAlignment="1">
      <alignment horizontal="left" vertical="justify"/>
    </xf>
    <xf numFmtId="0" fontId="209" fillId="63" borderId="151" xfId="0" applyFont="1" applyFill="1" applyBorder="1" applyAlignment="1">
      <alignment horizontal="left" vertical="center" wrapText="1"/>
    </xf>
    <xf numFmtId="0" fontId="209" fillId="63" borderId="151" xfId="155" applyFont="1" applyFill="1" applyBorder="1" applyAlignment="1">
      <alignment horizontal="left" vertical="center" wrapText="1"/>
    </xf>
    <xf numFmtId="0" fontId="225" fillId="51" borderId="151" xfId="155" applyFont="1" applyFill="1" applyBorder="1" applyAlignment="1">
      <alignment horizontal="left" vertical="center"/>
    </xf>
    <xf numFmtId="0" fontId="225" fillId="61" borderId="151" xfId="155" applyFont="1" applyFill="1" applyBorder="1" applyAlignment="1">
      <alignment horizontal="center" vertical="center" wrapText="1"/>
    </xf>
    <xf numFmtId="0" fontId="225" fillId="61" borderId="151" xfId="155" applyFont="1" applyFill="1" applyBorder="1" applyAlignment="1">
      <alignment horizontal="center" vertical="center"/>
    </xf>
    <xf numFmtId="0" fontId="225" fillId="61" borderId="150" xfId="155" applyFont="1" applyFill="1" applyBorder="1" applyAlignment="1">
      <alignment horizontal="center" vertical="center" wrapText="1"/>
    </xf>
    <xf numFmtId="0" fontId="225" fillId="61" borderId="150" xfId="155" applyFont="1" applyFill="1" applyBorder="1" applyAlignment="1">
      <alignment horizontal="center" vertical="center"/>
    </xf>
    <xf numFmtId="0" fontId="116" fillId="61" borderId="151" xfId="155" applyFont="1" applyFill="1" applyBorder="1" applyAlignment="1">
      <alignment horizontal="center" vertical="center" wrapText="1"/>
    </xf>
    <xf numFmtId="0" fontId="116" fillId="61" borderId="150" xfId="155" applyFont="1" applyFill="1" applyBorder="1" applyAlignment="1">
      <alignment horizontal="center" vertical="center" wrapText="1"/>
    </xf>
    <xf numFmtId="0" fontId="209" fillId="0" borderId="12" xfId="155" applyFont="1" applyBorder="1" applyAlignment="1">
      <alignment horizontal="left" vertical="center"/>
    </xf>
    <xf numFmtId="0" fontId="209" fillId="0" borderId="325" xfId="155" applyFont="1" applyBorder="1" applyAlignment="1">
      <alignment horizontal="left" vertical="center"/>
    </xf>
    <xf numFmtId="0" fontId="214" fillId="0" borderId="326" xfId="155" applyFont="1" applyBorder="1" applyAlignment="1">
      <alignment horizontal="left" vertical="center"/>
    </xf>
    <xf numFmtId="0" fontId="219" fillId="0" borderId="12" xfId="155" applyFont="1" applyBorder="1" applyAlignment="1">
      <alignment horizontal="center" vertical="center" wrapText="1"/>
    </xf>
    <xf numFmtId="0" fontId="219" fillId="0" borderId="327" xfId="155" applyFont="1" applyBorder="1" applyAlignment="1">
      <alignment horizontal="center" vertical="center" wrapText="1"/>
    </xf>
    <xf numFmtId="0" fontId="209" fillId="63" borderId="159" xfId="155" applyFont="1" applyFill="1" applyBorder="1" applyAlignment="1">
      <alignment horizontal="left" vertical="center"/>
    </xf>
    <xf numFmtId="0" fontId="214" fillId="63" borderId="159" xfId="155" applyFont="1" applyFill="1" applyBorder="1" applyAlignment="1">
      <alignment horizontal="left" vertical="center"/>
    </xf>
    <xf numFmtId="0" fontId="209" fillId="63" borderId="159" xfId="0" applyFont="1" applyFill="1" applyBorder="1" applyAlignment="1">
      <alignment horizontal="left" vertical="center" wrapText="1"/>
    </xf>
    <xf numFmtId="0" fontId="209" fillId="63" borderId="159" xfId="155" applyFont="1" applyFill="1" applyBorder="1" applyAlignment="1">
      <alignment horizontal="left" vertical="center" wrapText="1"/>
    </xf>
    <xf numFmtId="0" fontId="225" fillId="51" borderId="161" xfId="155" applyFont="1" applyFill="1" applyBorder="1" applyAlignment="1">
      <alignment horizontal="left" vertical="center"/>
    </xf>
    <xf numFmtId="0" fontId="225" fillId="51" borderId="162" xfId="155" applyFont="1" applyFill="1" applyBorder="1" applyAlignment="1">
      <alignment horizontal="left" vertical="center"/>
    </xf>
    <xf numFmtId="0" fontId="209" fillId="48" borderId="159" xfId="155" applyFont="1" applyFill="1" applyBorder="1" applyAlignment="1">
      <alignment horizontal="left" vertical="center" indent="2"/>
    </xf>
    <xf numFmtId="0" fontId="209" fillId="48" borderId="162" xfId="155" applyFont="1" applyFill="1" applyBorder="1" applyAlignment="1">
      <alignment horizontal="left" vertical="center" indent="2"/>
    </xf>
    <xf numFmtId="0" fontId="225" fillId="51" borderId="159" xfId="155" applyFont="1" applyFill="1" applyBorder="1" applyAlignment="1">
      <alignment horizontal="left" vertical="center"/>
    </xf>
    <xf numFmtId="0" fontId="206" fillId="0" borderId="129" xfId="155" applyFont="1" applyBorder="1" applyAlignment="1">
      <alignment horizontal="center" vertical="center" wrapText="1"/>
    </xf>
    <xf numFmtId="0" fontId="206" fillId="0" borderId="179" xfId="155" applyFont="1" applyBorder="1" applyAlignment="1">
      <alignment horizontal="center" vertical="center" wrapText="1"/>
    </xf>
    <xf numFmtId="0" fontId="206" fillId="0" borderId="130" xfId="155" applyFont="1" applyBorder="1" applyAlignment="1">
      <alignment horizontal="center" vertical="center" wrapText="1"/>
    </xf>
    <xf numFmtId="0" fontId="0" fillId="0" borderId="214" xfId="0" applyBorder="1" applyAlignment="1">
      <alignment horizontal="left"/>
    </xf>
    <xf numFmtId="0" fontId="0" fillId="0" borderId="215" xfId="0" applyBorder="1" applyAlignment="1">
      <alignment horizontal="left"/>
    </xf>
    <xf numFmtId="0" fontId="0" fillId="0" borderId="216" xfId="0" applyBorder="1" applyAlignment="1">
      <alignment horizontal="left"/>
    </xf>
    <xf numFmtId="0" fontId="203" fillId="61" borderId="0" xfId="0" applyFont="1" applyFill="1" applyAlignment="1">
      <alignment horizontal="center" vertical="center" wrapText="1"/>
    </xf>
    <xf numFmtId="0" fontId="203" fillId="61" borderId="152" xfId="0" applyFont="1" applyFill="1" applyBorder="1" applyAlignment="1">
      <alignment horizontal="center" vertical="center" wrapText="1"/>
    </xf>
    <xf numFmtId="0" fontId="203" fillId="61" borderId="154" xfId="0" applyFont="1" applyFill="1" applyBorder="1" applyAlignment="1">
      <alignment horizontal="center" vertical="center" wrapText="1"/>
    </xf>
    <xf numFmtId="0" fontId="202" fillId="61" borderId="148" xfId="0" applyFont="1" applyFill="1" applyBorder="1" applyAlignment="1">
      <alignment horizontal="center" vertical="center" wrapText="1"/>
    </xf>
    <xf numFmtId="0" fontId="202" fillId="61" borderId="149" xfId="0" applyFont="1" applyFill="1" applyBorder="1" applyAlignment="1">
      <alignment horizontal="center" vertical="center" wrapText="1"/>
    </xf>
    <xf numFmtId="0" fontId="202" fillId="61" borderId="152" xfId="0" applyFont="1" applyFill="1" applyBorder="1" applyAlignment="1">
      <alignment horizontal="center" vertical="center" wrapText="1"/>
    </xf>
    <xf numFmtId="0" fontId="202" fillId="61" borderId="153" xfId="0" applyFont="1" applyFill="1" applyBorder="1" applyAlignment="1">
      <alignment horizontal="center" vertical="center" wrapText="1"/>
    </xf>
    <xf numFmtId="0" fontId="0" fillId="0" borderId="4" xfId="0" applyBorder="1" applyAlignment="1">
      <alignment horizontal="left" vertical="justify"/>
    </xf>
    <xf numFmtId="0" fontId="116" fillId="61" borderId="206" xfId="155" applyFont="1" applyFill="1" applyBorder="1" applyAlignment="1">
      <alignment horizontal="center" wrapText="1"/>
    </xf>
    <xf numFmtId="0" fontId="116" fillId="61" borderId="0" xfId="155" applyFont="1" applyFill="1" applyAlignment="1">
      <alignment horizontal="center" wrapText="1"/>
    </xf>
    <xf numFmtId="0" fontId="230" fillId="40" borderId="153" xfId="0" applyFont="1" applyFill="1" applyBorder="1" applyAlignment="1">
      <alignment horizontal="center"/>
    </xf>
    <xf numFmtId="0" fontId="230" fillId="40" borderId="148" xfId="0" applyFont="1" applyFill="1" applyBorder="1" applyAlignment="1">
      <alignment horizontal="center"/>
    </xf>
    <xf numFmtId="0" fontId="230" fillId="40" borderId="149" xfId="0" applyFont="1" applyFill="1" applyBorder="1" applyAlignment="1">
      <alignment horizontal="center"/>
    </xf>
    <xf numFmtId="0" fontId="202" fillId="61" borderId="178" xfId="0" applyFont="1" applyFill="1" applyBorder="1" applyAlignment="1">
      <alignment horizontal="center" vertical="center" wrapText="1"/>
    </xf>
    <xf numFmtId="0" fontId="231" fillId="0" borderId="157" xfId="0" applyFont="1" applyBorder="1" applyAlignment="1">
      <alignment horizontal="right"/>
    </xf>
    <xf numFmtId="168" fontId="230" fillId="40" borderId="153" xfId="109" applyFont="1" applyFill="1" applyBorder="1" applyAlignment="1">
      <alignment horizontal="center"/>
    </xf>
    <xf numFmtId="168" fontId="230" fillId="40" borderId="148" xfId="109" applyFont="1" applyFill="1" applyBorder="1" applyAlignment="1">
      <alignment horizontal="center"/>
    </xf>
    <xf numFmtId="168" fontId="230" fillId="40" borderId="149" xfId="109" applyFont="1" applyFill="1" applyBorder="1" applyAlignment="1">
      <alignment horizontal="center"/>
    </xf>
    <xf numFmtId="0" fontId="234" fillId="0" borderId="0" xfId="0" applyFont="1" applyAlignment="1">
      <alignment horizontal="left" vertical="center" wrapText="1"/>
    </xf>
    <xf numFmtId="0" fontId="256" fillId="68" borderId="159" xfId="0" applyFont="1" applyFill="1" applyBorder="1" applyAlignment="1">
      <alignment horizontal="center" vertical="center" wrapText="1"/>
    </xf>
    <xf numFmtId="0" fontId="256" fillId="68" borderId="162" xfId="0" applyFont="1" applyFill="1" applyBorder="1" applyAlignment="1">
      <alignment horizontal="center" vertical="center" wrapText="1"/>
    </xf>
    <xf numFmtId="0" fontId="256" fillId="68" borderId="160" xfId="0" applyFont="1" applyFill="1" applyBorder="1" applyAlignment="1">
      <alignment horizontal="center" vertical="center" wrapText="1"/>
    </xf>
    <xf numFmtId="0" fontId="256" fillId="66" borderId="239" xfId="0" applyFont="1" applyFill="1" applyBorder="1" applyAlignment="1">
      <alignment horizontal="center" vertical="center" wrapText="1"/>
    </xf>
    <xf numFmtId="0" fontId="256" fillId="66" borderId="240" xfId="0" applyFont="1" applyFill="1" applyBorder="1" applyAlignment="1">
      <alignment horizontal="center" vertical="center" wrapText="1"/>
    </xf>
    <xf numFmtId="0" fontId="256" fillId="66" borderId="241" xfId="0" applyFont="1" applyFill="1" applyBorder="1" applyAlignment="1">
      <alignment horizontal="center" vertical="center" wrapText="1"/>
    </xf>
    <xf numFmtId="0" fontId="202" fillId="61" borderId="154" xfId="0" applyFont="1" applyFill="1" applyBorder="1" applyAlignment="1">
      <alignment horizontal="center" vertical="center" wrapText="1"/>
    </xf>
    <xf numFmtId="0" fontId="202" fillId="61" borderId="0" xfId="0" applyFont="1" applyFill="1" applyAlignment="1">
      <alignment horizontal="center" vertical="center" wrapText="1"/>
    </xf>
    <xf numFmtId="0" fontId="256" fillId="66" borderId="237" xfId="0" applyFont="1" applyFill="1" applyBorder="1" applyAlignment="1">
      <alignment horizontal="center" vertical="center" wrapText="1"/>
    </xf>
    <xf numFmtId="0" fontId="256" fillId="66" borderId="162" xfId="0" applyFont="1" applyFill="1" applyBorder="1" applyAlignment="1">
      <alignment horizontal="center" vertical="center" wrapText="1"/>
    </xf>
    <xf numFmtId="0" fontId="256" fillId="66" borderId="238" xfId="0" applyFont="1" applyFill="1" applyBorder="1" applyAlignment="1">
      <alignment horizontal="center" vertical="center" wrapText="1"/>
    </xf>
    <xf numFmtId="0" fontId="256" fillId="66" borderId="234" xfId="0" applyFont="1" applyFill="1" applyBorder="1" applyAlignment="1">
      <alignment horizontal="center" vertical="center" wrapText="1"/>
    </xf>
    <xf numFmtId="0" fontId="256" fillId="66" borderId="235" xfId="0" applyFont="1" applyFill="1" applyBorder="1" applyAlignment="1">
      <alignment horizontal="center" vertical="center" wrapText="1"/>
    </xf>
    <xf numFmtId="0" fontId="256" fillId="66" borderId="236" xfId="0" applyFont="1" applyFill="1" applyBorder="1" applyAlignment="1">
      <alignment horizontal="center" vertical="center" wrapText="1"/>
    </xf>
    <xf numFmtId="0" fontId="256" fillId="68" borderId="239" xfId="0" applyFont="1" applyFill="1" applyBorder="1" applyAlignment="1">
      <alignment horizontal="center" vertical="center" wrapText="1"/>
    </xf>
    <xf numFmtId="0" fontId="256" fillId="68" borderId="240" xfId="0" applyFont="1" applyFill="1" applyBorder="1" applyAlignment="1">
      <alignment horizontal="center" vertical="center" wrapText="1"/>
    </xf>
    <xf numFmtId="0" fontId="256" fillId="68" borderId="241" xfId="0" applyFont="1" applyFill="1" applyBorder="1" applyAlignment="1">
      <alignment horizontal="center" vertical="center" wrapText="1"/>
    </xf>
    <xf numFmtId="0" fontId="256" fillId="68" borderId="237" xfId="0" applyFont="1" applyFill="1" applyBorder="1" applyAlignment="1">
      <alignment horizontal="center" vertical="center" wrapText="1"/>
    </xf>
    <xf numFmtId="0" fontId="256" fillId="68" borderId="238" xfId="0" applyFont="1" applyFill="1" applyBorder="1" applyAlignment="1">
      <alignment horizontal="center" vertical="center" wrapText="1"/>
    </xf>
    <xf numFmtId="0" fontId="256" fillId="68" borderId="234" xfId="0" applyFont="1" applyFill="1" applyBorder="1" applyAlignment="1">
      <alignment horizontal="center" vertical="center" wrapText="1"/>
    </xf>
    <xf numFmtId="0" fontId="256" fillId="68" borderId="235" xfId="0" applyFont="1" applyFill="1" applyBorder="1" applyAlignment="1">
      <alignment horizontal="center" vertical="center" wrapText="1"/>
    </xf>
    <xf numFmtId="0" fontId="256" fillId="68" borderId="236" xfId="0" applyFont="1" applyFill="1" applyBorder="1" applyAlignment="1">
      <alignment horizontal="center" vertical="center" wrapText="1"/>
    </xf>
    <xf numFmtId="0" fontId="258" fillId="61" borderId="0" xfId="0" applyFont="1" applyFill="1" applyAlignment="1">
      <alignment horizontal="center" vertical="center" wrapText="1"/>
    </xf>
    <xf numFmtId="171" fontId="256" fillId="70" borderId="226" xfId="109" applyNumberFormat="1" applyFont="1" applyFill="1" applyBorder="1" applyAlignment="1">
      <alignment vertical="center" wrapText="1"/>
    </xf>
    <xf numFmtId="171" fontId="256" fillId="70" borderId="227" xfId="109" applyNumberFormat="1" applyFont="1" applyFill="1" applyBorder="1" applyAlignment="1">
      <alignment vertical="center" wrapText="1"/>
    </xf>
    <xf numFmtId="171" fontId="256" fillId="70" borderId="228" xfId="109" applyNumberFormat="1" applyFont="1" applyFill="1" applyBorder="1" applyAlignment="1">
      <alignment vertical="center" wrapText="1"/>
    </xf>
    <xf numFmtId="168" fontId="256" fillId="70" borderId="229" xfId="109" applyFont="1" applyFill="1" applyBorder="1" applyAlignment="1">
      <alignment horizontal="center" vertical="center" wrapText="1"/>
    </xf>
    <xf numFmtId="168" fontId="256" fillId="70" borderId="201" xfId="109" applyFont="1" applyFill="1" applyBorder="1" applyAlignment="1">
      <alignment horizontal="center" vertical="center" wrapText="1"/>
    </xf>
    <xf numFmtId="168" fontId="256" fillId="70" borderId="230" xfId="109" applyFont="1" applyFill="1" applyBorder="1" applyAlignment="1">
      <alignment horizontal="center" vertical="center" wrapText="1"/>
    </xf>
    <xf numFmtId="171" fontId="256" fillId="70" borderId="231" xfId="109" applyNumberFormat="1" applyFont="1" applyFill="1" applyBorder="1" applyAlignment="1">
      <alignment horizontal="center" vertical="center" wrapText="1"/>
    </xf>
    <xf numFmtId="171" fontId="256" fillId="70" borderId="232" xfId="109" applyNumberFormat="1" applyFont="1" applyFill="1" applyBorder="1" applyAlignment="1">
      <alignment horizontal="center" vertical="center" wrapText="1"/>
    </xf>
    <xf numFmtId="171" fontId="256" fillId="70" borderId="233" xfId="109" applyNumberFormat="1" applyFont="1" applyFill="1" applyBorder="1" applyAlignment="1">
      <alignment horizontal="center" vertical="center" wrapText="1"/>
    </xf>
    <xf numFmtId="0" fontId="267" fillId="66" borderId="214" xfId="0" applyFont="1" applyFill="1" applyBorder="1" applyAlignment="1">
      <alignment horizontal="left" vertical="center"/>
    </xf>
    <xf numFmtId="0" fontId="267" fillId="66" borderId="215" xfId="0" applyFont="1" applyFill="1" applyBorder="1" applyAlignment="1">
      <alignment horizontal="left" vertical="center"/>
    </xf>
    <xf numFmtId="0" fontId="267" fillId="66" borderId="216" xfId="0" applyFont="1" applyFill="1" applyBorder="1" applyAlignment="1">
      <alignment horizontal="left" vertical="center"/>
    </xf>
    <xf numFmtId="0" fontId="257" fillId="62" borderId="151" xfId="0" applyFont="1" applyFill="1" applyBorder="1" applyAlignment="1">
      <alignment horizontal="left" vertical="center" wrapText="1" indent="1"/>
    </xf>
    <xf numFmtId="0" fontId="267" fillId="66" borderId="208" xfId="0" applyFont="1" applyFill="1" applyBorder="1" applyAlignment="1">
      <alignment horizontal="left" vertical="center"/>
    </xf>
    <xf numFmtId="0" fontId="267" fillId="66" borderId="209" xfId="0" applyFont="1" applyFill="1" applyBorder="1" applyAlignment="1">
      <alignment horizontal="left" vertical="center"/>
    </xf>
    <xf numFmtId="0" fontId="267" fillId="66" borderId="210" xfId="0" applyFont="1" applyFill="1" applyBorder="1" applyAlignment="1">
      <alignment horizontal="left" vertical="center"/>
    </xf>
    <xf numFmtId="0" fontId="267" fillId="66" borderId="211" xfId="0" applyFont="1" applyFill="1" applyBorder="1" applyAlignment="1">
      <alignment horizontal="left" vertical="center"/>
    </xf>
    <xf numFmtId="0" fontId="267" fillId="66" borderId="212" xfId="0" applyFont="1" applyFill="1" applyBorder="1" applyAlignment="1">
      <alignment horizontal="left" vertical="center"/>
    </xf>
    <xf numFmtId="0" fontId="267" fillId="66" borderId="213" xfId="0" applyFont="1" applyFill="1" applyBorder="1" applyAlignment="1">
      <alignment horizontal="left" vertical="center"/>
    </xf>
    <xf numFmtId="0" fontId="258" fillId="61" borderId="152" xfId="0" applyFont="1" applyFill="1" applyBorder="1" applyAlignment="1">
      <alignment horizontal="center" vertical="center" wrapText="1"/>
    </xf>
    <xf numFmtId="0" fontId="267" fillId="66" borderId="208" xfId="0" applyFont="1" applyFill="1" applyBorder="1" applyAlignment="1">
      <alignment horizontal="left" vertical="justify"/>
    </xf>
    <xf numFmtId="0" fontId="267" fillId="66" borderId="209" xfId="0" applyFont="1" applyFill="1" applyBorder="1" applyAlignment="1">
      <alignment horizontal="left" vertical="justify"/>
    </xf>
    <xf numFmtId="0" fontId="267" fillId="66" borderId="210" xfId="0" applyFont="1" applyFill="1" applyBorder="1" applyAlignment="1">
      <alignment horizontal="left" vertical="justify"/>
    </xf>
    <xf numFmtId="0" fontId="267" fillId="66" borderId="217" xfId="0" applyFont="1" applyFill="1" applyBorder="1" applyAlignment="1">
      <alignment horizontal="left" vertical="justify"/>
    </xf>
    <xf numFmtId="0" fontId="267" fillId="66" borderId="0" xfId="0" applyFont="1" applyFill="1" applyAlignment="1">
      <alignment horizontal="left" vertical="justify"/>
    </xf>
    <xf numFmtId="0" fontId="267" fillId="66" borderId="218" xfId="0" applyFont="1" applyFill="1" applyBorder="1" applyAlignment="1">
      <alignment horizontal="left" vertical="justify"/>
    </xf>
    <xf numFmtId="0" fontId="267" fillId="66" borderId="211" xfId="0" applyFont="1" applyFill="1" applyBorder="1" applyAlignment="1">
      <alignment horizontal="left" vertical="justify"/>
    </xf>
    <xf numFmtId="0" fontId="267" fillId="66" borderId="212" xfId="0" applyFont="1" applyFill="1" applyBorder="1" applyAlignment="1">
      <alignment horizontal="left" vertical="justify"/>
    </xf>
    <xf numFmtId="0" fontId="267" fillId="66" borderId="213" xfId="0" applyFont="1" applyFill="1" applyBorder="1" applyAlignment="1">
      <alignment horizontal="left" vertical="justify"/>
    </xf>
    <xf numFmtId="0" fontId="0" fillId="41" borderId="0" xfId="0" applyFill="1" applyAlignment="1">
      <alignment horizontal="left"/>
    </xf>
    <xf numFmtId="0" fontId="255" fillId="0" borderId="0" xfId="0" applyFont="1" applyAlignment="1">
      <alignment horizontal="left" vertical="center"/>
    </xf>
    <xf numFmtId="0" fontId="0" fillId="41" borderId="0" xfId="0" applyFill="1" applyAlignment="1">
      <alignment horizontal="center"/>
    </xf>
    <xf numFmtId="171" fontId="267" fillId="66" borderId="0" xfId="109" applyNumberFormat="1" applyFont="1" applyFill="1" applyAlignment="1">
      <alignment horizontal="left" vertical="center"/>
    </xf>
    <xf numFmtId="0" fontId="257" fillId="62" borderId="159" xfId="0" applyFont="1" applyFill="1" applyBorder="1" applyAlignment="1">
      <alignment horizontal="left" vertical="center" wrapText="1" indent="1"/>
    </xf>
    <xf numFmtId="171" fontId="267" fillId="41" borderId="214" xfId="109" applyNumberFormat="1" applyFont="1" applyFill="1" applyBorder="1" applyAlignment="1">
      <alignment horizontal="center" vertical="center"/>
    </xf>
    <xf numFmtId="171" fontId="267" fillId="41" borderId="215" xfId="109" applyNumberFormat="1" applyFont="1" applyFill="1" applyBorder="1" applyAlignment="1">
      <alignment horizontal="center" vertical="center"/>
    </xf>
    <xf numFmtId="171" fontId="267" fillId="41" borderId="216" xfId="109" applyNumberFormat="1" applyFont="1" applyFill="1" applyBorder="1" applyAlignment="1">
      <alignment horizontal="center" vertical="center"/>
    </xf>
    <xf numFmtId="171" fontId="256" fillId="70" borderId="242" xfId="109" applyNumberFormat="1" applyFont="1" applyFill="1" applyBorder="1" applyAlignment="1">
      <alignment horizontal="center" vertical="center" wrapText="1"/>
    </xf>
    <xf numFmtId="171" fontId="256" fillId="70" borderId="243" xfId="109" applyNumberFormat="1" applyFont="1" applyFill="1" applyBorder="1" applyAlignment="1">
      <alignment horizontal="center" vertical="center" wrapText="1"/>
    </xf>
    <xf numFmtId="171" fontId="256" fillId="70" borderId="244" xfId="109" applyNumberFormat="1" applyFont="1" applyFill="1" applyBorder="1" applyAlignment="1">
      <alignment horizontal="center" vertical="center" wrapText="1"/>
    </xf>
    <xf numFmtId="168" fontId="256" fillId="70" borderId="245" xfId="109" applyFont="1" applyFill="1" applyBorder="1" applyAlignment="1">
      <alignment horizontal="center" vertical="center" wrapText="1"/>
    </xf>
    <xf numFmtId="168" fontId="256" fillId="70" borderId="246" xfId="109" applyFont="1" applyFill="1" applyBorder="1" applyAlignment="1">
      <alignment horizontal="center" vertical="center" wrapText="1"/>
    </xf>
    <xf numFmtId="168" fontId="256" fillId="70" borderId="247" xfId="109" applyFont="1" applyFill="1" applyBorder="1" applyAlignment="1">
      <alignment horizontal="center" vertical="center" wrapText="1"/>
    </xf>
    <xf numFmtId="0" fontId="38" fillId="0" borderId="4" xfId="158" applyFont="1" applyBorder="1" applyAlignment="1">
      <alignment horizontal="center" vertical="center" wrapText="1"/>
    </xf>
    <xf numFmtId="0" fontId="113" fillId="0" borderId="4" xfId="0" applyFont="1" applyBorder="1" applyAlignment="1">
      <alignment horizontal="left"/>
    </xf>
    <xf numFmtId="0" fontId="149" fillId="0" borderId="0" xfId="0" applyFont="1" applyAlignment="1">
      <alignment horizontal="left" vertical="center"/>
    </xf>
    <xf numFmtId="0" fontId="143" fillId="0" borderId="0" xfId="0" applyFont="1" applyAlignment="1">
      <alignment horizontal="left" vertical="justify"/>
    </xf>
    <xf numFmtId="0" fontId="146" fillId="0" borderId="4" xfId="158" applyFont="1" applyBorder="1" applyAlignment="1">
      <alignment horizontal="center" vertical="center" wrapText="1"/>
    </xf>
    <xf numFmtId="0" fontId="147" fillId="0" borderId="0" xfId="0" applyFont="1" applyAlignment="1">
      <alignment horizontal="left" vertical="center" wrapText="1"/>
    </xf>
    <xf numFmtId="0" fontId="140" fillId="0" borderId="4" xfId="0" applyFont="1" applyBorder="1" applyAlignment="1">
      <alignment horizontal="center" vertical="center"/>
    </xf>
    <xf numFmtId="0" fontId="148" fillId="0" borderId="4" xfId="0" applyFont="1" applyBorder="1" applyAlignment="1">
      <alignment horizontal="left"/>
    </xf>
  </cellXfs>
  <cellStyles count="356">
    <cellStyle name="=C:\WINNT35\SYSTEM32\COMMAND.COM" xfId="1" xr:uid="{00000000-0005-0000-0000-000000000000}"/>
    <cellStyle name="20 % - Accent1 2" xfId="2" xr:uid="{00000000-0005-0000-0000-000001000000}"/>
    <cellStyle name="20 % - Accent1 2 2" xfId="3" xr:uid="{00000000-0005-0000-0000-000002000000}"/>
    <cellStyle name="20 % - Accent2 2" xfId="4" xr:uid="{00000000-0005-0000-0000-000003000000}"/>
    <cellStyle name="20 % - Accent2 2 2" xfId="5" xr:uid="{00000000-0005-0000-0000-000004000000}"/>
    <cellStyle name="20 % - Accent3 2" xfId="6" xr:uid="{00000000-0005-0000-0000-000005000000}"/>
    <cellStyle name="20 % - Accent3 2 2" xfId="7" xr:uid="{00000000-0005-0000-0000-000006000000}"/>
    <cellStyle name="20 % - Accent4 2" xfId="8" xr:uid="{00000000-0005-0000-0000-000007000000}"/>
    <cellStyle name="20 % - Accent4 2 2" xfId="9" xr:uid="{00000000-0005-0000-0000-000008000000}"/>
    <cellStyle name="20 % - Accent5 2" xfId="10" xr:uid="{00000000-0005-0000-0000-000009000000}"/>
    <cellStyle name="20 % - Accent5 2 2" xfId="11" xr:uid="{00000000-0005-0000-0000-00000A000000}"/>
    <cellStyle name="20 % - Accent6 2" xfId="12" xr:uid="{00000000-0005-0000-0000-00000B000000}"/>
    <cellStyle name="20 % - Accent6 2 2" xfId="13" xr:uid="{00000000-0005-0000-0000-00000C000000}"/>
    <cellStyle name="20% - Accent1 2" xfId="14" xr:uid="{00000000-0005-0000-0000-00000D000000}"/>
    <cellStyle name="20% - Accent2 2" xfId="15" xr:uid="{00000000-0005-0000-0000-00000E000000}"/>
    <cellStyle name="20% - Accent3 2" xfId="16" xr:uid="{00000000-0005-0000-0000-00000F000000}"/>
    <cellStyle name="20% - Accent4 2" xfId="17" xr:uid="{00000000-0005-0000-0000-000010000000}"/>
    <cellStyle name="20% - Accent5 2" xfId="18" xr:uid="{00000000-0005-0000-0000-000011000000}"/>
    <cellStyle name="20% - Accent6 2" xfId="19" xr:uid="{00000000-0005-0000-0000-000012000000}"/>
    <cellStyle name="40 % - Accent1 2" xfId="20" xr:uid="{00000000-0005-0000-0000-000013000000}"/>
    <cellStyle name="40 % - Accent1 2 2" xfId="21" xr:uid="{00000000-0005-0000-0000-000014000000}"/>
    <cellStyle name="40 % - Accent2 2" xfId="22" xr:uid="{00000000-0005-0000-0000-000015000000}"/>
    <cellStyle name="40 % - Accent2 2 2" xfId="23" xr:uid="{00000000-0005-0000-0000-000016000000}"/>
    <cellStyle name="40 % - Accent3 2" xfId="24" xr:uid="{00000000-0005-0000-0000-000017000000}"/>
    <cellStyle name="40 % - Accent3 2 2" xfId="25" xr:uid="{00000000-0005-0000-0000-000018000000}"/>
    <cellStyle name="40 % - Accent4 2" xfId="26" xr:uid="{00000000-0005-0000-0000-000019000000}"/>
    <cellStyle name="40 % - Accent4 2 2" xfId="27" xr:uid="{00000000-0005-0000-0000-00001A000000}"/>
    <cellStyle name="40 % - Accent5 2" xfId="28" xr:uid="{00000000-0005-0000-0000-00001B000000}"/>
    <cellStyle name="40 % - Accent5 2 2" xfId="29" xr:uid="{00000000-0005-0000-0000-00001C000000}"/>
    <cellStyle name="40 % - Accent6 2" xfId="30" xr:uid="{00000000-0005-0000-0000-00001D000000}"/>
    <cellStyle name="40 % - Accent6 2 2" xfId="31" xr:uid="{00000000-0005-0000-0000-00001E000000}"/>
    <cellStyle name="40% - Accent1 2" xfId="32" xr:uid="{00000000-0005-0000-0000-00001F000000}"/>
    <cellStyle name="40% - Accent2 2" xfId="33" xr:uid="{00000000-0005-0000-0000-000020000000}"/>
    <cellStyle name="40% - Accent3 2" xfId="34" xr:uid="{00000000-0005-0000-0000-000021000000}"/>
    <cellStyle name="40% - Accent4 2" xfId="35" xr:uid="{00000000-0005-0000-0000-000022000000}"/>
    <cellStyle name="40% - Accent5 2" xfId="36" xr:uid="{00000000-0005-0000-0000-000023000000}"/>
    <cellStyle name="40% - Accent6 2" xfId="37" xr:uid="{00000000-0005-0000-0000-000024000000}"/>
    <cellStyle name="Accent1" xfId="38" builtinId="29" customBuiltin="1"/>
    <cellStyle name="Accent2" xfId="39" builtinId="33" customBuiltin="1"/>
    <cellStyle name="Accent3" xfId="40" builtinId="37" customBuiltin="1"/>
    <cellStyle name="Accent4" xfId="41" builtinId="41" customBuiltin="1"/>
    <cellStyle name="Accent5" xfId="42" builtinId="45" customBuiltin="1"/>
    <cellStyle name="Accent6" xfId="43" builtinId="49" customBuiltin="1"/>
    <cellStyle name="AggCels_T(2)" xfId="44" xr:uid="{00000000-0005-0000-0000-00002B000000}"/>
    <cellStyle name="Background table" xfId="45" xr:uid="{00000000-0005-0000-0000-00002C000000}"/>
    <cellStyle name="Bad" xfId="46" xr:uid="{00000000-0005-0000-0000-00002D000000}"/>
    <cellStyle name="Bad 3" xfId="47" xr:uid="{00000000-0005-0000-0000-00002E000000}"/>
    <cellStyle name="Berekening" xfId="48" xr:uid="{00000000-0005-0000-0000-00002F000000}"/>
    <cellStyle name="Bron" xfId="49" xr:uid="{00000000-0005-0000-0000-000030000000}"/>
    <cellStyle name="Calc cel" xfId="50" xr:uid="{00000000-0005-0000-0000-000031000000}"/>
    <cellStyle name="Calc cel 2" xfId="51" xr:uid="{00000000-0005-0000-0000-000032000000}"/>
    <cellStyle name="Calc cel 3" xfId="52" xr:uid="{00000000-0005-0000-0000-000033000000}"/>
    <cellStyle name="Check Cell" xfId="53" xr:uid="{00000000-0005-0000-0000-000034000000}"/>
    <cellStyle name="Comma 2" xfId="54" xr:uid="{00000000-0005-0000-0000-000035000000}"/>
    <cellStyle name="Comma 2 2" xfId="55" xr:uid="{00000000-0005-0000-0000-000036000000}"/>
    <cellStyle name="Comma 3" xfId="56" xr:uid="{00000000-0005-0000-0000-000037000000}"/>
    <cellStyle name="Comma 3 2" xfId="57" xr:uid="{00000000-0005-0000-0000-000038000000}"/>
    <cellStyle name="Controlecel" xfId="58" xr:uid="{00000000-0005-0000-0000-000039000000}"/>
    <cellStyle name="Cover" xfId="59" xr:uid="{00000000-0005-0000-0000-00003A000000}"/>
    <cellStyle name="Currency 0,0" xfId="60" xr:uid="{00000000-0005-0000-0000-00003B000000}"/>
    <cellStyle name="Dezimal [0]_Input" xfId="61" xr:uid="{00000000-0005-0000-0000-00003C000000}"/>
    <cellStyle name="Dezimal_Input" xfId="62" xr:uid="{00000000-0005-0000-0000-00003D000000}"/>
    <cellStyle name="Euro" xfId="63" xr:uid="{00000000-0005-0000-0000-00003E000000}"/>
    <cellStyle name="Euro 2" xfId="64" xr:uid="{00000000-0005-0000-0000-00003F000000}"/>
    <cellStyle name="Euro 2 2" xfId="65" xr:uid="{00000000-0005-0000-0000-000040000000}"/>
    <cellStyle name="Euro 2 3" xfId="66" xr:uid="{00000000-0005-0000-0000-000041000000}"/>
    <cellStyle name="Euro 3" xfId="67" xr:uid="{00000000-0005-0000-0000-000042000000}"/>
    <cellStyle name="Euro 3 2" xfId="68" xr:uid="{00000000-0005-0000-0000-000043000000}"/>
    <cellStyle name="Euro 4" xfId="69" xr:uid="{00000000-0005-0000-0000-000044000000}"/>
    <cellStyle name="Euro 5" xfId="70" xr:uid="{00000000-0005-0000-0000-000045000000}"/>
    <cellStyle name="Euro 6" xfId="71" xr:uid="{00000000-0005-0000-0000-000046000000}"/>
    <cellStyle name="Euro 6 2" xfId="72" xr:uid="{00000000-0005-0000-0000-000047000000}"/>
    <cellStyle name="Explanatory Text" xfId="73" xr:uid="{00000000-0005-0000-0000-000048000000}"/>
    <cellStyle name="Gekoppelde cel" xfId="74" xr:uid="{00000000-0005-0000-0000-000049000000}"/>
    <cellStyle name="Goed" xfId="75" xr:uid="{00000000-0005-0000-0000-00004A000000}"/>
    <cellStyle name="Good" xfId="76" xr:uid="{00000000-0005-0000-0000-00004B000000}"/>
    <cellStyle name="Heading 1" xfId="77" xr:uid="{00000000-0005-0000-0000-00004C000000}"/>
    <cellStyle name="Heading 1 2" xfId="78" xr:uid="{00000000-0005-0000-0000-00004D000000}"/>
    <cellStyle name="Heading 2" xfId="79" xr:uid="{00000000-0005-0000-0000-00004E000000}"/>
    <cellStyle name="Heading 3" xfId="80" xr:uid="{00000000-0005-0000-0000-00004F000000}"/>
    <cellStyle name="Heading 3 2" xfId="81" xr:uid="{00000000-0005-0000-0000-000050000000}"/>
    <cellStyle name="Heading 4" xfId="82" xr:uid="{00000000-0005-0000-0000-000051000000}"/>
    <cellStyle name="Heading 4 2" xfId="83" xr:uid="{00000000-0005-0000-0000-000052000000}"/>
    <cellStyle name="Hyperlink 2" xfId="84" xr:uid="{00000000-0005-0000-0000-000053000000}"/>
    <cellStyle name="Input cel" xfId="85" xr:uid="{00000000-0005-0000-0000-000054000000}"/>
    <cellStyle name="Input cel 2" xfId="86" xr:uid="{00000000-0005-0000-0000-000055000000}"/>
    <cellStyle name="Input cel 2 2" xfId="87" xr:uid="{00000000-0005-0000-0000-000056000000}"/>
    <cellStyle name="Input cel 3" xfId="88" xr:uid="{00000000-0005-0000-0000-000057000000}"/>
    <cellStyle name="Input cel 3 2" xfId="89" xr:uid="{00000000-0005-0000-0000-000058000000}"/>
    <cellStyle name="Input cel 4" xfId="90" xr:uid="{00000000-0005-0000-0000-000059000000}"/>
    <cellStyle name="Input cel new" xfId="91" xr:uid="{00000000-0005-0000-0000-00005A000000}"/>
    <cellStyle name="Input cel new 2" xfId="92" xr:uid="{00000000-0005-0000-0000-00005B000000}"/>
    <cellStyle name="Input cel new 3" xfId="93" xr:uid="{00000000-0005-0000-0000-00005C000000}"/>
    <cellStyle name="Invoer" xfId="94" xr:uid="{00000000-0005-0000-0000-00005D000000}"/>
    <cellStyle name="Komma 2" xfId="95" xr:uid="{00000000-0005-0000-0000-00005E000000}"/>
    <cellStyle name="Kop 1" xfId="96" xr:uid="{00000000-0005-0000-0000-00005F000000}"/>
    <cellStyle name="Kop 2" xfId="97" xr:uid="{00000000-0005-0000-0000-000060000000}"/>
    <cellStyle name="Kop 3" xfId="98" xr:uid="{00000000-0005-0000-0000-000061000000}"/>
    <cellStyle name="Kop 4" xfId="99" xr:uid="{00000000-0005-0000-0000-000062000000}"/>
    <cellStyle name="Lien hypertexte" xfId="100" builtinId="8"/>
    <cellStyle name="Lien hypertexte 2" xfId="101" xr:uid="{00000000-0005-0000-0000-000064000000}"/>
    <cellStyle name="Lien hypertexte 2 2" xfId="102" xr:uid="{00000000-0005-0000-0000-000065000000}"/>
    <cellStyle name="Lien hypertexte 2 2 2" xfId="103" xr:uid="{00000000-0005-0000-0000-000066000000}"/>
    <cellStyle name="Lien hypertexte 2 3" xfId="104" xr:uid="{00000000-0005-0000-0000-000067000000}"/>
    <cellStyle name="Lien hypertexte 3" xfId="105" xr:uid="{00000000-0005-0000-0000-000068000000}"/>
    <cellStyle name="Lien hypertexte 3 2" xfId="106" xr:uid="{00000000-0005-0000-0000-000069000000}"/>
    <cellStyle name="Lien hypertexte 4" xfId="107" xr:uid="{00000000-0005-0000-0000-00006A000000}"/>
    <cellStyle name="Menu" xfId="108" xr:uid="{00000000-0005-0000-0000-00006B000000}"/>
    <cellStyle name="Milliers" xfId="109" builtinId="3"/>
    <cellStyle name="Milliers 10" xfId="110" xr:uid="{00000000-0005-0000-0000-00006D000000}"/>
    <cellStyle name="Milliers 11" xfId="111" xr:uid="{00000000-0005-0000-0000-00006E000000}"/>
    <cellStyle name="Milliers 12" xfId="112" xr:uid="{00000000-0005-0000-0000-00006F000000}"/>
    <cellStyle name="Milliers 13" xfId="113" xr:uid="{00000000-0005-0000-0000-000070000000}"/>
    <cellStyle name="Milliers 14" xfId="114" xr:uid="{00000000-0005-0000-0000-000071000000}"/>
    <cellStyle name="Milliers 15" xfId="115" xr:uid="{00000000-0005-0000-0000-000072000000}"/>
    <cellStyle name="Milliers 2" xfId="116" xr:uid="{00000000-0005-0000-0000-000073000000}"/>
    <cellStyle name="Milliers 2 2" xfId="117" xr:uid="{00000000-0005-0000-0000-000074000000}"/>
    <cellStyle name="Milliers 2 3" xfId="118" xr:uid="{00000000-0005-0000-0000-000075000000}"/>
    <cellStyle name="Milliers 2 4" xfId="119" xr:uid="{00000000-0005-0000-0000-000076000000}"/>
    <cellStyle name="Milliers 2_Bilan territorial" xfId="120" xr:uid="{00000000-0005-0000-0000-000077000000}"/>
    <cellStyle name="Milliers 3" xfId="121" xr:uid="{00000000-0005-0000-0000-000078000000}"/>
    <cellStyle name="Milliers 3 2" xfId="122" xr:uid="{00000000-0005-0000-0000-000079000000}"/>
    <cellStyle name="Milliers 3 3" xfId="123" xr:uid="{00000000-0005-0000-0000-00007A000000}"/>
    <cellStyle name="Milliers 4" xfId="124" xr:uid="{00000000-0005-0000-0000-00007B000000}"/>
    <cellStyle name="Milliers 4 2" xfId="125" xr:uid="{00000000-0005-0000-0000-00007C000000}"/>
    <cellStyle name="Milliers 4 2 2" xfId="126" xr:uid="{00000000-0005-0000-0000-00007D000000}"/>
    <cellStyle name="Milliers 4 3" xfId="127" xr:uid="{00000000-0005-0000-0000-00007E000000}"/>
    <cellStyle name="Milliers 4 3 2" xfId="128" xr:uid="{00000000-0005-0000-0000-00007F000000}"/>
    <cellStyle name="Milliers 4 4" xfId="129" xr:uid="{00000000-0005-0000-0000-000080000000}"/>
    <cellStyle name="Milliers 5" xfId="130" xr:uid="{00000000-0005-0000-0000-000081000000}"/>
    <cellStyle name="Milliers 5 2" xfId="131" xr:uid="{00000000-0005-0000-0000-000082000000}"/>
    <cellStyle name="Milliers 5 3" xfId="132" xr:uid="{00000000-0005-0000-0000-000083000000}"/>
    <cellStyle name="Milliers 5 3 2" xfId="133" xr:uid="{00000000-0005-0000-0000-000084000000}"/>
    <cellStyle name="Milliers 6" xfId="134" xr:uid="{00000000-0005-0000-0000-000085000000}"/>
    <cellStyle name="Milliers 6 2" xfId="135" xr:uid="{00000000-0005-0000-0000-000086000000}"/>
    <cellStyle name="Milliers 7" xfId="136" xr:uid="{00000000-0005-0000-0000-000087000000}"/>
    <cellStyle name="Milliers 8" xfId="137" xr:uid="{00000000-0005-0000-0000-000088000000}"/>
    <cellStyle name="Milliers 9" xfId="138" xr:uid="{00000000-0005-0000-0000-000089000000}"/>
    <cellStyle name="Milliers 9 2" xfId="139" xr:uid="{00000000-0005-0000-0000-00008A000000}"/>
    <cellStyle name="Monétaire" xfId="355" builtinId="4"/>
    <cellStyle name="Monétaire 2" xfId="140" xr:uid="{00000000-0005-0000-0000-00008B000000}"/>
    <cellStyle name="Monétaire 2 2" xfId="141" xr:uid="{00000000-0005-0000-0000-00008C000000}"/>
    <cellStyle name="Monétaire 3" xfId="142" xr:uid="{00000000-0005-0000-0000-00008D000000}"/>
    <cellStyle name="Monétaire 3 2" xfId="143" xr:uid="{00000000-0005-0000-0000-00008E000000}"/>
    <cellStyle name="Monétaire 3 2 2" xfId="144" xr:uid="{00000000-0005-0000-0000-00008F000000}"/>
    <cellStyle name="Monétaire 3 3" xfId="145" xr:uid="{00000000-0005-0000-0000-000090000000}"/>
    <cellStyle name="Neutraal" xfId="146" xr:uid="{00000000-0005-0000-0000-000091000000}"/>
    <cellStyle name="Neutral" xfId="147" xr:uid="{00000000-0005-0000-0000-000092000000}"/>
    <cellStyle name="Normal" xfId="0" builtinId="0"/>
    <cellStyle name="Normal 10" xfId="148" xr:uid="{00000000-0005-0000-0000-000094000000}"/>
    <cellStyle name="Normal 10 2" xfId="149" xr:uid="{00000000-0005-0000-0000-000095000000}"/>
    <cellStyle name="Normal 10 3" xfId="150" xr:uid="{00000000-0005-0000-0000-000096000000}"/>
    <cellStyle name="Normal 11" xfId="151" xr:uid="{00000000-0005-0000-0000-000097000000}"/>
    <cellStyle name="Normal 12" xfId="152" xr:uid="{00000000-0005-0000-0000-000098000000}"/>
    <cellStyle name="Normal 13" xfId="153" xr:uid="{00000000-0005-0000-0000-000099000000}"/>
    <cellStyle name="Normal 14" xfId="154" xr:uid="{00000000-0005-0000-0000-00009A000000}"/>
    <cellStyle name="Normal 2" xfId="155" xr:uid="{00000000-0005-0000-0000-00009B000000}"/>
    <cellStyle name="Normal 2 2" xfId="156" xr:uid="{00000000-0005-0000-0000-00009C000000}"/>
    <cellStyle name="Normal 2 2 2" xfId="157" xr:uid="{00000000-0005-0000-0000-00009D000000}"/>
    <cellStyle name="Normal 2 2 3" xfId="158" xr:uid="{00000000-0005-0000-0000-00009E000000}"/>
    <cellStyle name="Normal 2 3" xfId="159" xr:uid="{00000000-0005-0000-0000-00009F000000}"/>
    <cellStyle name="Normal 2_Bilan territorial" xfId="160" xr:uid="{00000000-0005-0000-0000-0000A0000000}"/>
    <cellStyle name="Normal 3" xfId="161" xr:uid="{00000000-0005-0000-0000-0000A1000000}"/>
    <cellStyle name="Normal 3 2" xfId="162" xr:uid="{00000000-0005-0000-0000-0000A2000000}"/>
    <cellStyle name="Normal 3 2 2" xfId="163" xr:uid="{00000000-0005-0000-0000-0000A3000000}"/>
    <cellStyle name="Normal 3 2 2 2" xfId="164" xr:uid="{00000000-0005-0000-0000-0000A4000000}"/>
    <cellStyle name="Normal 3 3" xfId="165" xr:uid="{00000000-0005-0000-0000-0000A5000000}"/>
    <cellStyle name="Normal 3 3 2" xfId="166" xr:uid="{00000000-0005-0000-0000-0000A6000000}"/>
    <cellStyle name="Normal 3_Bilan territorial" xfId="167" xr:uid="{00000000-0005-0000-0000-0000A7000000}"/>
    <cellStyle name="Normal 4" xfId="168" xr:uid="{00000000-0005-0000-0000-0000A8000000}"/>
    <cellStyle name="Normal 4 2" xfId="169" xr:uid="{00000000-0005-0000-0000-0000A9000000}"/>
    <cellStyle name="Normal 4 2 2" xfId="170" xr:uid="{00000000-0005-0000-0000-0000AA000000}"/>
    <cellStyle name="Normal 5" xfId="171" xr:uid="{00000000-0005-0000-0000-0000AB000000}"/>
    <cellStyle name="Normal 5 10" xfId="172" xr:uid="{00000000-0005-0000-0000-0000AC000000}"/>
    <cellStyle name="Normal 5 10 2" xfId="173" xr:uid="{00000000-0005-0000-0000-0000AD000000}"/>
    <cellStyle name="Normal 5 11" xfId="174" xr:uid="{00000000-0005-0000-0000-0000AE000000}"/>
    <cellStyle name="Normal 5 11 2" xfId="175" xr:uid="{00000000-0005-0000-0000-0000AF000000}"/>
    <cellStyle name="Normal 5 12" xfId="176" xr:uid="{00000000-0005-0000-0000-0000B0000000}"/>
    <cellStyle name="Normal 5 12 2" xfId="177" xr:uid="{00000000-0005-0000-0000-0000B1000000}"/>
    <cellStyle name="Normal 5 13" xfId="178" xr:uid="{00000000-0005-0000-0000-0000B2000000}"/>
    <cellStyle name="Normal 5 13 2" xfId="179" xr:uid="{00000000-0005-0000-0000-0000B3000000}"/>
    <cellStyle name="Normal 5 14" xfId="180" xr:uid="{00000000-0005-0000-0000-0000B4000000}"/>
    <cellStyle name="Normal 5 14 2" xfId="181" xr:uid="{00000000-0005-0000-0000-0000B5000000}"/>
    <cellStyle name="Normal 5 15" xfId="182" xr:uid="{00000000-0005-0000-0000-0000B6000000}"/>
    <cellStyle name="Normal 5 15 2" xfId="183" xr:uid="{00000000-0005-0000-0000-0000B7000000}"/>
    <cellStyle name="Normal 5 16" xfId="184" xr:uid="{00000000-0005-0000-0000-0000B8000000}"/>
    <cellStyle name="Normal 5 16 2" xfId="185" xr:uid="{00000000-0005-0000-0000-0000B9000000}"/>
    <cellStyle name="Normal 5 17" xfId="186" xr:uid="{00000000-0005-0000-0000-0000BA000000}"/>
    <cellStyle name="Normal 5 17 2" xfId="187" xr:uid="{00000000-0005-0000-0000-0000BB000000}"/>
    <cellStyle name="Normal 5 18" xfId="188" xr:uid="{00000000-0005-0000-0000-0000BC000000}"/>
    <cellStyle name="Normal 5 18 2" xfId="189" xr:uid="{00000000-0005-0000-0000-0000BD000000}"/>
    <cellStyle name="Normal 5 19" xfId="190" xr:uid="{00000000-0005-0000-0000-0000BE000000}"/>
    <cellStyle name="Normal 5 19 2" xfId="191" xr:uid="{00000000-0005-0000-0000-0000BF000000}"/>
    <cellStyle name="Normal 5 2" xfId="192" xr:uid="{00000000-0005-0000-0000-0000C0000000}"/>
    <cellStyle name="Normal 5 2 2" xfId="193" xr:uid="{00000000-0005-0000-0000-0000C1000000}"/>
    <cellStyle name="Normal 5 2 3" xfId="194" xr:uid="{00000000-0005-0000-0000-0000C2000000}"/>
    <cellStyle name="Normal 5 20" xfId="195" xr:uid="{00000000-0005-0000-0000-0000C3000000}"/>
    <cellStyle name="Normal 5 20 2" xfId="196" xr:uid="{00000000-0005-0000-0000-0000C4000000}"/>
    <cellStyle name="Normal 5 21" xfId="197" xr:uid="{00000000-0005-0000-0000-0000C5000000}"/>
    <cellStyle name="Normal 5 21 2" xfId="198" xr:uid="{00000000-0005-0000-0000-0000C6000000}"/>
    <cellStyle name="Normal 5 22" xfId="199" xr:uid="{00000000-0005-0000-0000-0000C7000000}"/>
    <cellStyle name="Normal 5 22 2" xfId="200" xr:uid="{00000000-0005-0000-0000-0000C8000000}"/>
    <cellStyle name="Normal 5 23" xfId="201" xr:uid="{00000000-0005-0000-0000-0000C9000000}"/>
    <cellStyle name="Normal 5 3" xfId="202" xr:uid="{00000000-0005-0000-0000-0000CA000000}"/>
    <cellStyle name="Normal 5 3 2" xfId="203" xr:uid="{00000000-0005-0000-0000-0000CB000000}"/>
    <cellStyle name="Normal 5 4" xfId="204" xr:uid="{00000000-0005-0000-0000-0000CC000000}"/>
    <cellStyle name="Normal 5 4 2" xfId="205" xr:uid="{00000000-0005-0000-0000-0000CD000000}"/>
    <cellStyle name="Normal 5 5" xfId="206" xr:uid="{00000000-0005-0000-0000-0000CE000000}"/>
    <cellStyle name="Normal 5 5 2" xfId="207" xr:uid="{00000000-0005-0000-0000-0000CF000000}"/>
    <cellStyle name="Normal 5 6" xfId="208" xr:uid="{00000000-0005-0000-0000-0000D0000000}"/>
    <cellStyle name="Normal 5 6 2" xfId="209" xr:uid="{00000000-0005-0000-0000-0000D1000000}"/>
    <cellStyle name="Normal 5 7" xfId="210" xr:uid="{00000000-0005-0000-0000-0000D2000000}"/>
    <cellStyle name="Normal 5 7 2" xfId="211" xr:uid="{00000000-0005-0000-0000-0000D3000000}"/>
    <cellStyle name="Normal 5 8" xfId="212" xr:uid="{00000000-0005-0000-0000-0000D4000000}"/>
    <cellStyle name="Normal 5 8 2" xfId="213" xr:uid="{00000000-0005-0000-0000-0000D5000000}"/>
    <cellStyle name="Normal 5 9" xfId="214" xr:uid="{00000000-0005-0000-0000-0000D6000000}"/>
    <cellStyle name="Normal 5 9 2" xfId="215" xr:uid="{00000000-0005-0000-0000-0000D7000000}"/>
    <cellStyle name="Normal 5_INTERIM BEREKENINGEN Landbouw" xfId="216" xr:uid="{00000000-0005-0000-0000-0000D8000000}"/>
    <cellStyle name="Normal 6" xfId="217" xr:uid="{00000000-0005-0000-0000-0000D9000000}"/>
    <cellStyle name="Normal 6 2" xfId="218" xr:uid="{00000000-0005-0000-0000-0000DA000000}"/>
    <cellStyle name="Normal 7" xfId="219" xr:uid="{00000000-0005-0000-0000-0000DB000000}"/>
    <cellStyle name="Normal 7 2" xfId="220" xr:uid="{00000000-0005-0000-0000-0000DC000000}"/>
    <cellStyle name="Normal 7 3" xfId="221" xr:uid="{00000000-0005-0000-0000-0000DD000000}"/>
    <cellStyle name="Normal 8" xfId="222" xr:uid="{00000000-0005-0000-0000-0000DE000000}"/>
    <cellStyle name="Normal 8 2" xfId="223" xr:uid="{00000000-0005-0000-0000-0000DF000000}"/>
    <cellStyle name="Normal 9" xfId="224" xr:uid="{00000000-0005-0000-0000-0000E0000000}"/>
    <cellStyle name="Normal 9 2" xfId="225" xr:uid="{00000000-0005-0000-0000-0000E1000000}"/>
    <cellStyle name="Normal 9 3" xfId="226" xr:uid="{00000000-0005-0000-0000-0000E2000000}"/>
    <cellStyle name="Normal GHG Numbers (0.00)" xfId="227" xr:uid="{00000000-0005-0000-0000-0000E3000000}"/>
    <cellStyle name="Normal_Feuil1" xfId="228" xr:uid="{00000000-0005-0000-0000-0000E4000000}"/>
    <cellStyle name="Note 2" xfId="229" xr:uid="{00000000-0005-0000-0000-0000E5000000}"/>
    <cellStyle name="Notitie" xfId="230" xr:uid="{00000000-0005-0000-0000-0000E6000000}"/>
    <cellStyle name="Notitie 2" xfId="231" xr:uid="{00000000-0005-0000-0000-0000E7000000}"/>
    <cellStyle name="Ongeldig" xfId="232" xr:uid="{00000000-0005-0000-0000-0000E8000000}"/>
    <cellStyle name="Output" xfId="233" xr:uid="{00000000-0005-0000-0000-0000E9000000}"/>
    <cellStyle name="Percent 2" xfId="234" xr:uid="{00000000-0005-0000-0000-0000EA000000}"/>
    <cellStyle name="Percent 2 2" xfId="235" xr:uid="{00000000-0005-0000-0000-0000EB000000}"/>
    <cellStyle name="Percent 3" xfId="236" xr:uid="{00000000-0005-0000-0000-0000EC000000}"/>
    <cellStyle name="Percent 4" xfId="237" xr:uid="{00000000-0005-0000-0000-0000ED000000}"/>
    <cellStyle name="Pourcentage" xfId="238" builtinId="5"/>
    <cellStyle name="Pourcentage 10" xfId="239" xr:uid="{00000000-0005-0000-0000-0000EF000000}"/>
    <cellStyle name="Pourcentage 11" xfId="240" xr:uid="{00000000-0005-0000-0000-0000F0000000}"/>
    <cellStyle name="Pourcentage 2" xfId="241" xr:uid="{00000000-0005-0000-0000-0000F1000000}"/>
    <cellStyle name="Pourcentage 2 2" xfId="242" xr:uid="{00000000-0005-0000-0000-0000F2000000}"/>
    <cellStyle name="Pourcentage 3" xfId="243" xr:uid="{00000000-0005-0000-0000-0000F3000000}"/>
    <cellStyle name="Pourcentage 3 2" xfId="244" xr:uid="{00000000-0005-0000-0000-0000F4000000}"/>
    <cellStyle name="Pourcentage 3 3" xfId="245" xr:uid="{00000000-0005-0000-0000-0000F5000000}"/>
    <cellStyle name="Pourcentage 3 4" xfId="246" xr:uid="{00000000-0005-0000-0000-0000F6000000}"/>
    <cellStyle name="Pourcentage 4" xfId="247" xr:uid="{00000000-0005-0000-0000-0000F7000000}"/>
    <cellStyle name="Pourcentage 4 2" xfId="248" xr:uid="{00000000-0005-0000-0000-0000F8000000}"/>
    <cellStyle name="Pourcentage 4 2 2" xfId="249" xr:uid="{00000000-0005-0000-0000-0000F9000000}"/>
    <cellStyle name="Pourcentage 4 3" xfId="250" xr:uid="{00000000-0005-0000-0000-0000FA000000}"/>
    <cellStyle name="Pourcentage 4 4" xfId="251" xr:uid="{00000000-0005-0000-0000-0000FB000000}"/>
    <cellStyle name="Pourcentage 5" xfId="252" xr:uid="{00000000-0005-0000-0000-0000FC000000}"/>
    <cellStyle name="Pourcentage 6" xfId="253" xr:uid="{00000000-0005-0000-0000-0000FD000000}"/>
    <cellStyle name="Pourcentage 6 2" xfId="254" xr:uid="{00000000-0005-0000-0000-0000FE000000}"/>
    <cellStyle name="Pourcentage 7" xfId="255" xr:uid="{00000000-0005-0000-0000-0000FF000000}"/>
    <cellStyle name="Pourcentage 8" xfId="256" xr:uid="{00000000-0005-0000-0000-000000010000}"/>
    <cellStyle name="Pourcentage 9" xfId="257" xr:uid="{00000000-0005-0000-0000-000001010000}"/>
    <cellStyle name="Procent 11" xfId="258" xr:uid="{00000000-0005-0000-0000-000002010000}"/>
    <cellStyle name="Procent 11 2" xfId="259" xr:uid="{00000000-0005-0000-0000-000003010000}"/>
    <cellStyle name="Procent 2" xfId="260" xr:uid="{00000000-0005-0000-0000-000004010000}"/>
    <cellStyle name="Qualität1 fett" xfId="261" xr:uid="{00000000-0005-0000-0000-000005010000}"/>
    <cellStyle name="Standaard 10" xfId="262" xr:uid="{00000000-0005-0000-0000-000006010000}"/>
    <cellStyle name="Standaard 11" xfId="263" xr:uid="{00000000-0005-0000-0000-000007010000}"/>
    <cellStyle name="Standaard 12" xfId="264" xr:uid="{00000000-0005-0000-0000-000008010000}"/>
    <cellStyle name="Standaard 12 2" xfId="265" xr:uid="{00000000-0005-0000-0000-000009010000}"/>
    <cellStyle name="Standaard 13" xfId="266" xr:uid="{00000000-0005-0000-0000-00000A010000}"/>
    <cellStyle name="Standaard 13 2" xfId="267" xr:uid="{00000000-0005-0000-0000-00000B010000}"/>
    <cellStyle name="Standaard 14" xfId="268" xr:uid="{00000000-0005-0000-0000-00000C010000}"/>
    <cellStyle name="Standaard 14 2" xfId="269" xr:uid="{00000000-0005-0000-0000-00000D010000}"/>
    <cellStyle name="Standaard 15" xfId="270" xr:uid="{00000000-0005-0000-0000-00000E010000}"/>
    <cellStyle name="Standaard 15 2" xfId="271" xr:uid="{00000000-0005-0000-0000-00000F010000}"/>
    <cellStyle name="Standaard 16" xfId="272" xr:uid="{00000000-0005-0000-0000-000010010000}"/>
    <cellStyle name="Standaard 16 2" xfId="273" xr:uid="{00000000-0005-0000-0000-000011010000}"/>
    <cellStyle name="Standaard 17" xfId="274" xr:uid="{00000000-0005-0000-0000-000012010000}"/>
    <cellStyle name="Standaard 17 2" xfId="275" xr:uid="{00000000-0005-0000-0000-000013010000}"/>
    <cellStyle name="Standaard 18" xfId="276" xr:uid="{00000000-0005-0000-0000-000014010000}"/>
    <cellStyle name="Standaard 18 2" xfId="277" xr:uid="{00000000-0005-0000-0000-000015010000}"/>
    <cellStyle name="Standaard 19" xfId="278" xr:uid="{00000000-0005-0000-0000-000016010000}"/>
    <cellStyle name="Standaard 19 2" xfId="279" xr:uid="{00000000-0005-0000-0000-000017010000}"/>
    <cellStyle name="Standaard 2" xfId="280" xr:uid="{00000000-0005-0000-0000-000018010000}"/>
    <cellStyle name="Standaard 2 2" xfId="281" xr:uid="{00000000-0005-0000-0000-000019010000}"/>
    <cellStyle name="Standaard 2 2 2" xfId="282" xr:uid="{00000000-0005-0000-0000-00001A010000}"/>
    <cellStyle name="Standaard 2 2 2 2" xfId="283" xr:uid="{00000000-0005-0000-0000-00001B010000}"/>
    <cellStyle name="Standaard 2 3" xfId="284" xr:uid="{00000000-0005-0000-0000-00001C010000}"/>
    <cellStyle name="Standaard 2 4" xfId="285" xr:uid="{00000000-0005-0000-0000-00001D010000}"/>
    <cellStyle name="Standaard 20" xfId="286" xr:uid="{00000000-0005-0000-0000-00001E010000}"/>
    <cellStyle name="Standaard 20 2" xfId="287" xr:uid="{00000000-0005-0000-0000-00001F010000}"/>
    <cellStyle name="Standaard 21" xfId="288" xr:uid="{00000000-0005-0000-0000-000020010000}"/>
    <cellStyle name="Standaard 21 2" xfId="289" xr:uid="{00000000-0005-0000-0000-000021010000}"/>
    <cellStyle name="Standaard 22" xfId="290" xr:uid="{00000000-0005-0000-0000-000022010000}"/>
    <cellStyle name="Standaard 22 2" xfId="291" xr:uid="{00000000-0005-0000-0000-000023010000}"/>
    <cellStyle name="Standaard 23" xfId="292" xr:uid="{00000000-0005-0000-0000-000024010000}"/>
    <cellStyle name="Standaard 23 2" xfId="293" xr:uid="{00000000-0005-0000-0000-000025010000}"/>
    <cellStyle name="Standaard 24" xfId="294" xr:uid="{00000000-0005-0000-0000-000026010000}"/>
    <cellStyle name="Standaard 24 2" xfId="295" xr:uid="{00000000-0005-0000-0000-000027010000}"/>
    <cellStyle name="Standaard 24 2 2" xfId="296" xr:uid="{00000000-0005-0000-0000-000028010000}"/>
    <cellStyle name="Standaard 24 3" xfId="297" xr:uid="{00000000-0005-0000-0000-000029010000}"/>
    <cellStyle name="Standaard 25" xfId="298" xr:uid="{00000000-0005-0000-0000-00002A010000}"/>
    <cellStyle name="Standaard 25 2" xfId="299" xr:uid="{00000000-0005-0000-0000-00002B010000}"/>
    <cellStyle name="Standaard 26" xfId="300" xr:uid="{00000000-0005-0000-0000-00002C010000}"/>
    <cellStyle name="Standaard 26 2" xfId="301" xr:uid="{00000000-0005-0000-0000-00002D010000}"/>
    <cellStyle name="Standaard 3" xfId="302" xr:uid="{00000000-0005-0000-0000-00002E010000}"/>
    <cellStyle name="Standaard 3 2" xfId="303" xr:uid="{00000000-0005-0000-0000-00002F010000}"/>
    <cellStyle name="Standaard 30" xfId="304" xr:uid="{00000000-0005-0000-0000-000030010000}"/>
    <cellStyle name="Standaard 4" xfId="305" xr:uid="{00000000-0005-0000-0000-000031010000}"/>
    <cellStyle name="Standaard 4 2" xfId="306" xr:uid="{00000000-0005-0000-0000-000032010000}"/>
    <cellStyle name="Standaard 4 3" xfId="307" xr:uid="{00000000-0005-0000-0000-000033010000}"/>
    <cellStyle name="Standaard 44" xfId="308" xr:uid="{00000000-0005-0000-0000-000034010000}"/>
    <cellStyle name="Standaard 44 2" xfId="309" xr:uid="{00000000-0005-0000-0000-000035010000}"/>
    <cellStyle name="Standaard 45" xfId="310" xr:uid="{00000000-0005-0000-0000-000036010000}"/>
    <cellStyle name="Standaard 45 2" xfId="311" xr:uid="{00000000-0005-0000-0000-000037010000}"/>
    <cellStyle name="Standaard 46" xfId="312" xr:uid="{00000000-0005-0000-0000-000038010000}"/>
    <cellStyle name="Standaard 46 2" xfId="313" xr:uid="{00000000-0005-0000-0000-000039010000}"/>
    <cellStyle name="Standaard 47" xfId="314" xr:uid="{00000000-0005-0000-0000-00003A010000}"/>
    <cellStyle name="Standaard 48" xfId="315" xr:uid="{00000000-0005-0000-0000-00003B010000}"/>
    <cellStyle name="Standaard 49" xfId="316" xr:uid="{00000000-0005-0000-0000-00003C010000}"/>
    <cellStyle name="Standaard 5" xfId="317" xr:uid="{00000000-0005-0000-0000-00003D010000}"/>
    <cellStyle name="Standaard 50" xfId="318" xr:uid="{00000000-0005-0000-0000-00003E010000}"/>
    <cellStyle name="Standaard 51" xfId="319" xr:uid="{00000000-0005-0000-0000-00003F010000}"/>
    <cellStyle name="Standaard 52" xfId="320" xr:uid="{00000000-0005-0000-0000-000040010000}"/>
    <cellStyle name="Standaard 53" xfId="321" xr:uid="{00000000-0005-0000-0000-000041010000}"/>
    <cellStyle name="Standaard 54" xfId="322" xr:uid="{00000000-0005-0000-0000-000042010000}"/>
    <cellStyle name="Standaard 55" xfId="323" xr:uid="{00000000-0005-0000-0000-000043010000}"/>
    <cellStyle name="Standaard 59" xfId="324" xr:uid="{00000000-0005-0000-0000-000044010000}"/>
    <cellStyle name="Standaard 6" xfId="325" xr:uid="{00000000-0005-0000-0000-000045010000}"/>
    <cellStyle name="Standaard 60" xfId="326" xr:uid="{00000000-0005-0000-0000-000046010000}"/>
    <cellStyle name="Standaard 61" xfId="327" xr:uid="{00000000-0005-0000-0000-000047010000}"/>
    <cellStyle name="Standaard 7" xfId="328" xr:uid="{00000000-0005-0000-0000-000048010000}"/>
    <cellStyle name="Standaard 7 2" xfId="329" xr:uid="{00000000-0005-0000-0000-000049010000}"/>
    <cellStyle name="Standaard 8" xfId="330" xr:uid="{00000000-0005-0000-0000-00004A010000}"/>
    <cellStyle name="Standaard 8 2" xfId="331" xr:uid="{00000000-0005-0000-0000-00004B010000}"/>
    <cellStyle name="Standaard 9" xfId="332" xr:uid="{00000000-0005-0000-0000-00004C010000}"/>
    <cellStyle name="Standaard_4000 à 4999" xfId="333" xr:uid="{00000000-0005-0000-0000-00004D010000}"/>
    <cellStyle name="Standard_Aggregate CO2 balance" xfId="334" xr:uid="{00000000-0005-0000-0000-00004E010000}"/>
    <cellStyle name="Style 1" xfId="335" xr:uid="{00000000-0005-0000-0000-00004F010000}"/>
    <cellStyle name="Style 1 2" xfId="336" xr:uid="{00000000-0005-0000-0000-000050010000}"/>
    <cellStyle name="Style 1 3" xfId="337" xr:uid="{00000000-0005-0000-0000-000051010000}"/>
    <cellStyle name="Style 2" xfId="338" xr:uid="{00000000-0005-0000-0000-000052010000}"/>
    <cellStyle name="Tabeltitel" xfId="339" xr:uid="{00000000-0005-0000-0000-000053010000}"/>
    <cellStyle name="Titel" xfId="340" xr:uid="{00000000-0005-0000-0000-000054010000}"/>
    <cellStyle name="Title" xfId="341" xr:uid="{00000000-0005-0000-0000-000055010000}"/>
    <cellStyle name="Title 2" xfId="342" xr:uid="{00000000-0005-0000-0000-000056010000}"/>
    <cellStyle name="Titre 1" xfId="343" xr:uid="{00000000-0005-0000-0000-000057010000}"/>
    <cellStyle name="Totaal" xfId="344" xr:uid="{00000000-0005-0000-0000-000058010000}"/>
    <cellStyle name="Uitvoer" xfId="345" xr:uid="{00000000-0005-0000-0000-000059010000}"/>
    <cellStyle name="Valuta [0]_BLOCS96" xfId="346" xr:uid="{00000000-0005-0000-0000-00005A010000}"/>
    <cellStyle name="Valuta_BLOCS96" xfId="347" xr:uid="{00000000-0005-0000-0000-00005B010000}"/>
    <cellStyle name="Verklarende tekst" xfId="348" xr:uid="{00000000-0005-0000-0000-00005C010000}"/>
    <cellStyle name="W?rung [0]_Input" xfId="349" xr:uid="{00000000-0005-0000-0000-00005D010000}"/>
    <cellStyle name="W?rung_Input" xfId="350" xr:uid="{00000000-0005-0000-0000-00005E010000}"/>
    <cellStyle name="Waarschuwingstekst" xfId="351" xr:uid="{00000000-0005-0000-0000-00005F010000}"/>
    <cellStyle name="Währung [0]_car park new" xfId="352" xr:uid="{00000000-0005-0000-0000-000060010000}"/>
    <cellStyle name="Währung_car park new" xfId="353" xr:uid="{00000000-0005-0000-0000-000061010000}"/>
    <cellStyle name="Year" xfId="354" xr:uid="{00000000-0005-0000-0000-000062010000}"/>
  </cellStyles>
  <dxfs count="68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strike val="0"/>
        <outline val="0"/>
        <shadow val="0"/>
        <u val="none"/>
        <vertAlign val="baseline"/>
        <sz val="11"/>
        <name val="Calibri"/>
        <family val="2"/>
        <scheme val="minor"/>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88" formatCode="#,##0\ &quot;€&quo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88" formatCode="#,##0\ &quot;€&quo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rgb="FF006E9A"/>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indexed="42"/>
        </patternFill>
      </fill>
      <alignment horizontal="center" vertical="justify" textRotation="0" wrapText="0" indent="0" justifyLastLine="0" shrinkToFit="0" readingOrder="0"/>
      <border diagonalUp="0" diagonalDown="0" outline="0">
        <left style="medium">
          <color indexed="64"/>
        </left>
        <right style="medium">
          <color indexed="64"/>
        </right>
        <top/>
        <bottom style="thin">
          <color indexed="64"/>
        </bottom>
      </border>
      <protection locked="0" hidden="0"/>
    </dxf>
    <dxf>
      <font>
        <strike val="0"/>
        <outline val="0"/>
        <shadow val="0"/>
        <u val="none"/>
        <vertAlign val="baseline"/>
        <sz val="11"/>
        <name val="Calibri"/>
        <family val="2"/>
      </font>
      <alignment horizontal="general" vertical="justify"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Calibri"/>
        <family val="2"/>
      </font>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name val="Calibri"/>
        <family val="2"/>
      </font>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E9A"/>
        </patternFill>
      </fill>
    </dxf>
    <dxf>
      <font>
        <color rgb="FFC00000"/>
      </font>
    </dxf>
    <dxf>
      <font>
        <b/>
        <i val="0"/>
        <color rgb="FF00B050"/>
      </font>
    </dxf>
    <dxf>
      <font>
        <b/>
        <i val="0"/>
        <color rgb="FF00B050"/>
      </font>
    </dxf>
    <dxf>
      <font>
        <color rgb="FFC00000"/>
      </font>
    </dxf>
    <dxf>
      <font>
        <b/>
        <i val="0"/>
        <color rgb="FF00B050"/>
      </font>
    </dxf>
    <dxf>
      <font>
        <b/>
        <i val="0"/>
        <color theme="0"/>
      </font>
      <fill>
        <patternFill>
          <bgColor rgb="FFFF0000"/>
        </patternFill>
      </fill>
    </dxf>
    <dxf>
      <font>
        <b/>
        <i val="0"/>
        <color theme="0"/>
      </font>
      <fill>
        <patternFill>
          <bgColor theme="9" tint="-0.2499465926084170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theme="1" tint="0.24994659260841701"/>
        </patternFill>
      </fill>
    </dxf>
    <dxf>
      <font>
        <color rgb="FFCCFFCC"/>
        <name val="Cambria"/>
        <scheme val="none"/>
      </font>
      <fill>
        <patternFill>
          <bgColor rgb="FFCCFFCC"/>
        </patternFill>
      </fill>
    </dxf>
    <dxf>
      <font>
        <color rgb="FFFFAB2F"/>
      </font>
      <fill>
        <patternFill>
          <bgColor rgb="FFFFAB2F"/>
        </patternFill>
      </fill>
    </dxf>
    <dxf>
      <font>
        <color rgb="FFFF4343"/>
      </font>
      <fill>
        <patternFill>
          <bgColor rgb="FFFF4343"/>
        </patternFill>
      </fill>
    </dxf>
    <dxf>
      <font>
        <b/>
        <i val="0"/>
        <color theme="0"/>
      </font>
      <fill>
        <patternFill>
          <bgColor theme="1" tint="0.24994659260841701"/>
        </patternFill>
      </fill>
    </dxf>
    <dxf>
      <font>
        <b val="0"/>
        <i val="0"/>
        <color theme="1" tint="0.24994659260841701"/>
        <name val="Cambria"/>
        <scheme val="none"/>
      </font>
      <fill>
        <patternFill>
          <bgColor rgb="FFCCFFCC"/>
        </patternFill>
      </fill>
    </dxf>
    <dxf>
      <font>
        <b val="0"/>
        <i val="0"/>
        <color theme="1" tint="0.24994659260841701"/>
        <name val="Cambria"/>
        <scheme val="none"/>
      </font>
      <fill>
        <patternFill>
          <bgColor rgb="FFFFAB2F"/>
        </patternFill>
      </fill>
    </dxf>
    <dxf>
      <font>
        <b val="0"/>
        <i val="0"/>
        <color theme="1" tint="0.24994659260841701"/>
        <name val="Cambria"/>
        <scheme val="none"/>
      </font>
      <fill>
        <patternFill>
          <bgColor rgb="FFFF4343"/>
        </patternFill>
      </fill>
    </dxf>
    <dxf>
      <font>
        <color rgb="FFCCFFCC"/>
        <name val="Cambria"/>
        <scheme val="none"/>
      </font>
      <fill>
        <patternFill>
          <bgColor rgb="FFCCFFCC"/>
        </patternFill>
      </fill>
    </dxf>
    <dxf>
      <font>
        <color rgb="FFFFAB2F"/>
      </font>
      <fill>
        <patternFill>
          <bgColor rgb="FFFFAB2F"/>
        </patternFill>
      </fill>
    </dxf>
    <dxf>
      <font>
        <color rgb="FFFF4343"/>
      </font>
      <fill>
        <patternFill>
          <bgColor rgb="FFFF4343"/>
        </patternFill>
      </fill>
    </dxf>
    <dxf>
      <font>
        <b val="0"/>
        <i val="0"/>
        <strike val="0"/>
        <condense val="0"/>
        <extend val="0"/>
        <outline val="0"/>
        <shadow val="0"/>
        <u val="none"/>
        <vertAlign val="baseline"/>
        <sz val="11"/>
        <color indexed="63"/>
        <name val="Calibri"/>
        <family val="2"/>
        <scheme val="none"/>
      </font>
      <numFmt numFmtId="171" formatCode="_ * #,##0_ ;_ * \-#,##0_ ;_ * &quot;-&quot;??_ ;_ @_ "/>
      <fill>
        <patternFill patternType="solid">
          <fgColor indexed="64"/>
          <bgColor rgb="FFF0F8FA"/>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71" formatCode="_ * #,##0_ ;_ * \-#,##0_ ;_ * &quot;-&quot;??_ ;_ @_ "/>
      <fill>
        <patternFill patternType="solid">
          <fgColor indexed="64"/>
          <bgColor rgb="FFF0F8FA"/>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fill>
        <patternFill patternType="solid">
          <fgColor indexed="64"/>
          <bgColor rgb="FFF0F8F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71" formatCode="_ * #,##0_ ;_ * \-#,##0_ ;_ * &quot;-&quot;??_ ;_ @_ "/>
      <fill>
        <patternFill patternType="solid">
          <fgColor indexed="64"/>
          <bgColor rgb="FFF0F8F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32" formatCode="_-* #,##0\ &quot;€&quot;_-;\-* #,##0\ &quot;€&quot;_-;_-* &quot;-&quot;\ &quot;€&quot;_-;_-@_-"/>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32" formatCode="_-* #,##0\ &quot;€&quot;_-;\-* #,##0\ &quot;€&quot;_-;_-* &quot;-&quot;\ &quot;€&quot;_-;_-@_-"/>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32" formatCode="_-* #,##0\ &quot;€&quot;_-;\-* #,##0\ &quot;€&quot;_-;_-* &quot;-&quot;\ &quot;€&quot;_-;_-@_-"/>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1" formatCode="_-* ###0_-;\-* ###0_-;_-* &quot;-&quot;_-;_-@_-"/>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1" formatCode="_-* ###0_-;\-* ###0_-;_-* &quot;-&quot;_-;_-@_-"/>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numFmt numFmtId="190" formatCode="\-"/>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fill>
        <patternFill patternType="solid">
          <fgColor indexed="64"/>
          <bgColor rgb="FFF0F8FA"/>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63"/>
        <name val="Calibri"/>
        <family val="2"/>
        <scheme val="none"/>
      </font>
      <alignment horizontal="center" vertical="bottom" textRotation="0" wrapText="0" indent="0" justifyLastLine="0" shrinkToFit="0" readingOrder="0"/>
    </dxf>
    <dxf>
      <border outline="0">
        <right style="thin">
          <color indexed="64"/>
        </right>
      </border>
    </dxf>
    <dxf>
      <font>
        <b/>
        <i val="0"/>
        <strike val="0"/>
        <condense val="0"/>
        <extend val="0"/>
        <outline val="0"/>
        <shadow val="0"/>
        <u val="none"/>
        <vertAlign val="baseline"/>
        <sz val="11"/>
        <color theme="0"/>
        <name val="Calibri"/>
        <family val="2"/>
        <scheme val="none"/>
      </font>
      <fill>
        <patternFill patternType="solid">
          <fgColor indexed="64"/>
          <bgColor theme="8"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color theme="9" tint="-0.24994659260841701"/>
      </font>
      <fill>
        <patternFill>
          <bgColor theme="8" tint="0.59996337778862885"/>
        </patternFill>
      </fill>
      <border>
        <left style="thin">
          <color theme="9" tint="0.39994506668294322"/>
        </left>
        <right style="thin">
          <color theme="9" tint="0.39994506668294322"/>
        </right>
        <top style="thin">
          <color theme="9" tint="0.39994506668294322"/>
        </top>
        <bottom style="thin">
          <color theme="9" tint="0.39994506668294322"/>
        </bottom>
        <vertical/>
        <horizontal/>
      </border>
    </dxf>
    <dxf>
      <font>
        <b/>
        <i val="0"/>
        <color theme="9" tint="-0.24994659260841701"/>
      </font>
      <border>
        <left style="thin">
          <color theme="9" tint="0.39994506668294322"/>
        </left>
        <right style="thin">
          <color theme="9" tint="0.39994506668294322"/>
        </right>
        <top style="thin">
          <color theme="9" tint="0.39994506668294322"/>
        </top>
        <bottom style="thin">
          <color theme="9" tint="0.39994506668294322"/>
        </bottom>
        <vertical/>
        <horizontal/>
      </border>
    </dxf>
    <dxf>
      <fill>
        <patternFill>
          <bgColor theme="8" tint="0.59996337778862885"/>
        </patternFill>
      </fill>
    </dxf>
    <dxf>
      <fill>
        <patternFill>
          <bgColor theme="8" tint="0.59996337778862885"/>
        </patternFill>
      </fill>
    </dxf>
    <dxf>
      <fill>
        <patternFill>
          <bgColor theme="8" tint="0.79998168889431442"/>
        </patternFill>
      </fill>
    </dxf>
    <dxf>
      <font>
        <color theme="0"/>
      </font>
      <fill>
        <patternFill patternType="none">
          <bgColor indexed="65"/>
        </patternFill>
      </fill>
      <border>
        <right/>
        <top/>
        <bottom/>
      </border>
    </dxf>
    <dxf>
      <fill>
        <patternFill>
          <bgColor theme="8" tint="0.79998168889431442"/>
        </patternFill>
      </fill>
    </dxf>
    <dxf>
      <font>
        <color rgb="FF003742"/>
      </font>
      <fill>
        <patternFill>
          <bgColor rgb="FF003742"/>
        </patternFill>
      </fill>
    </dxf>
    <dxf>
      <font>
        <color rgb="FF003742"/>
      </font>
      <fill>
        <patternFill>
          <bgColor rgb="FF003742"/>
        </patternFill>
      </fill>
    </dxf>
    <dxf>
      <font>
        <color rgb="FFFF0000"/>
      </font>
    </dxf>
    <dxf>
      <font>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patternType="none">
          <bgColor indexed="65"/>
        </patternFill>
      </fill>
      <border>
        <left/>
        <right/>
        <top/>
        <bottom/>
      </border>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ont>
        <b val="0"/>
        <i val="0"/>
        <strike val="0"/>
        <condense val="0"/>
        <extend val="0"/>
        <outline val="0"/>
        <shadow val="0"/>
        <u val="none"/>
        <vertAlign val="baseline"/>
        <sz val="11"/>
        <color indexed="56"/>
        <name val="Calibri"/>
        <family val="2"/>
        <scheme val="none"/>
      </font>
      <numFmt numFmtId="1" formatCode="0"/>
      <fill>
        <patternFill patternType="solid">
          <fgColor indexed="64"/>
          <bgColor theme="8" tint="0.79998168889431442"/>
        </patternFill>
      </fill>
      <alignment horizontal="general" vertical="justify" textRotation="0" wrapText="0" indent="0" justifyLastLine="0" shrinkToFit="0" readingOrder="0"/>
      <border diagonalUp="0" diagonalDown="0">
        <left style="thin">
          <color indexed="56"/>
        </left>
        <right/>
        <top style="thin">
          <color indexed="56"/>
        </top>
        <bottom style="thin">
          <color indexed="56"/>
        </bottom>
        <vertical/>
        <horizontal/>
      </border>
      <protection locked="0" hidden="0"/>
    </dxf>
    <dxf>
      <font>
        <b val="0"/>
        <i val="0"/>
        <strike val="0"/>
        <condense val="0"/>
        <extend val="0"/>
        <outline val="0"/>
        <shadow val="0"/>
        <u val="none"/>
        <vertAlign val="baseline"/>
        <sz val="11"/>
        <color indexed="56"/>
        <name val="Calibri"/>
        <family val="2"/>
        <scheme val="none"/>
      </font>
      <fill>
        <patternFill patternType="solid">
          <fgColor indexed="64"/>
          <bgColor indexed="10"/>
        </patternFill>
      </fill>
      <alignment horizontal="center" vertical="justify" textRotation="0" wrapText="0" indent="0" justifyLastLine="0" shrinkToFit="0" readingOrder="0"/>
      <border diagonalUp="0" diagonalDown="0">
        <left style="thin">
          <color indexed="56"/>
        </left>
        <right/>
        <top style="thin">
          <color indexed="56"/>
        </top>
        <bottom style="thin">
          <color indexed="56"/>
        </bottom>
        <vertical/>
        <horizontal/>
      </border>
      <protection locked="0" hidden="0"/>
    </dxf>
    <dxf>
      <font>
        <b val="0"/>
        <i val="0"/>
        <strike val="0"/>
        <condense val="0"/>
        <extend val="0"/>
        <outline val="0"/>
        <shadow val="0"/>
        <u val="none"/>
        <vertAlign val="baseline"/>
        <sz val="11"/>
        <color indexed="56"/>
        <name val="Calibri"/>
        <family val="2"/>
        <scheme val="none"/>
      </font>
      <numFmt numFmtId="177" formatCode="_ * #,##0.000_ ;_ * \-#,##0.000_ ;_ * &quot;-&quot;??_ ;_ @_ "/>
      <fill>
        <patternFill patternType="solid">
          <fgColor indexed="64"/>
          <bgColor theme="8" tint="0.79998168889431442"/>
        </patternFill>
      </fill>
      <alignment horizontal="general" vertical="justify" textRotation="0" wrapText="0" indent="0" justifyLastLine="0" shrinkToFit="0" readingOrder="0"/>
      <border diagonalUp="0" diagonalDown="0">
        <left style="thin">
          <color indexed="56"/>
        </left>
        <right style="thin">
          <color indexed="56"/>
        </right>
        <top style="thin">
          <color indexed="56"/>
        </top>
        <bottom style="thin">
          <color indexed="56"/>
        </bottom>
        <vertical/>
        <horizontal/>
      </border>
      <protection locked="0" hidden="0"/>
    </dxf>
    <dxf>
      <font>
        <b val="0"/>
        <i val="0"/>
        <strike val="0"/>
        <condense val="0"/>
        <extend val="0"/>
        <outline val="0"/>
        <shadow val="0"/>
        <u val="none"/>
        <vertAlign val="baseline"/>
        <sz val="11"/>
        <color indexed="56"/>
        <name val="Calibri"/>
        <family val="2"/>
        <scheme val="none"/>
      </font>
      <numFmt numFmtId="185" formatCode="_ * #,##0.0_ ;_ * \-#,##0.0_ ;_ * &quot;-&quot;??_ ;_ @_ "/>
      <alignment horizontal="general" vertical="justify" textRotation="0" wrapText="0" indent="0" justifyLastLine="0" shrinkToFit="0" readingOrder="0"/>
      <border diagonalUp="0" diagonalDown="0">
        <left style="thin">
          <color indexed="56"/>
        </left>
        <right style="thin">
          <color indexed="56"/>
        </right>
        <top style="thin">
          <color indexed="56"/>
        </top>
        <bottom style="thin">
          <color indexed="56"/>
        </bottom>
        <vertical/>
        <horizontal/>
      </border>
      <protection locked="1" hidden="1"/>
    </dxf>
    <dxf>
      <font>
        <b val="0"/>
        <i val="0"/>
        <strike val="0"/>
        <condense val="0"/>
        <extend val="0"/>
        <outline val="0"/>
        <shadow val="0"/>
        <u val="none"/>
        <vertAlign val="baseline"/>
        <sz val="11"/>
        <color indexed="56"/>
        <name val="Calibri"/>
        <family val="2"/>
        <scheme val="none"/>
      </font>
      <numFmt numFmtId="185" formatCode="_ * #,##0.0_ ;_ * \-#,##0.0_ ;_ * &quot;-&quot;??_ ;_ @_ "/>
      <alignment horizontal="general" vertical="justify" textRotation="0" wrapText="0" indent="0" justifyLastLine="0" shrinkToFit="0" readingOrder="0"/>
      <border diagonalUp="0" diagonalDown="0">
        <left style="thin">
          <color indexed="56"/>
        </left>
        <right style="thin">
          <color indexed="56"/>
        </right>
        <top style="thin">
          <color indexed="56"/>
        </top>
        <bottom style="thin">
          <color indexed="56"/>
        </bottom>
        <vertical/>
        <horizontal/>
      </border>
      <protection locked="1" hidden="1"/>
    </dxf>
    <dxf>
      <font>
        <b val="0"/>
        <i val="0"/>
        <strike val="0"/>
        <condense val="0"/>
        <extend val="0"/>
        <outline val="0"/>
        <shadow val="0"/>
        <u val="none"/>
        <vertAlign val="baseline"/>
        <sz val="11"/>
        <color indexed="56"/>
        <name val="Calibri"/>
        <family val="2"/>
        <scheme val="none"/>
      </font>
      <numFmt numFmtId="174" formatCode="_-* #,##0\ [$€-40C]_-;\-* #,##0\ [$€-40C]_-;_-* &quot;-&quot;??\ [$€-40C]_-;_-@_-"/>
      <fill>
        <patternFill patternType="solid">
          <fgColor indexed="64"/>
          <bgColor theme="8" tint="0.79998168889431442"/>
        </patternFill>
      </fill>
      <alignment horizontal="general" vertical="justify" textRotation="0" wrapText="0" indent="0" justifyLastLine="0" shrinkToFit="0" readingOrder="0"/>
      <border diagonalUp="0" diagonalDown="0">
        <left style="thin">
          <color indexed="56"/>
        </left>
        <right style="thin">
          <color indexed="56"/>
        </right>
        <top style="thin">
          <color indexed="56"/>
        </top>
        <bottom style="thin">
          <color indexed="56"/>
        </bottom>
        <vertical/>
        <horizontal/>
      </border>
      <protection locked="0" hidden="0"/>
    </dxf>
    <dxf>
      <font>
        <b val="0"/>
        <i val="0"/>
        <strike val="0"/>
        <condense val="0"/>
        <extend val="0"/>
        <outline val="0"/>
        <shadow val="0"/>
        <u val="none"/>
        <vertAlign val="baseline"/>
        <sz val="11"/>
        <color indexed="56"/>
        <name val="Calibri"/>
        <family val="2"/>
        <scheme val="none"/>
      </font>
      <numFmt numFmtId="171" formatCode="_ * #,##0_ ;_ * \-#,##0_ ;_ * &quot;-&quot;??_ ;_ @_ "/>
      <fill>
        <patternFill patternType="solid">
          <fgColor indexed="64"/>
          <bgColor theme="8" tint="0.79998168889431442"/>
        </patternFill>
      </fill>
      <alignment horizontal="general" vertical="justify" textRotation="0" wrapText="0" indent="0" justifyLastLine="0" shrinkToFit="0" readingOrder="0"/>
      <border diagonalUp="0" diagonalDown="0">
        <left style="thin">
          <color indexed="56"/>
        </left>
        <right style="thin">
          <color indexed="56"/>
        </right>
        <top style="thin">
          <color indexed="56"/>
        </top>
        <bottom style="thin">
          <color indexed="56"/>
        </bottom>
        <vertical/>
        <horizontal/>
      </border>
      <protection locked="0" hidden="0"/>
    </dxf>
    <dxf>
      <font>
        <b val="0"/>
        <i val="0"/>
        <strike val="0"/>
        <condense val="0"/>
        <extend val="0"/>
        <outline val="0"/>
        <shadow val="0"/>
        <u val="none"/>
        <vertAlign val="baseline"/>
        <sz val="11"/>
        <color indexed="56"/>
        <name val="Calibri"/>
        <family val="2"/>
        <scheme val="none"/>
      </font>
      <numFmt numFmtId="174" formatCode="_-* #,##0\ [$€-40C]_-;\-* #,##0\ [$€-40C]_-;_-* &quot;-&quot;??\ [$€-40C]_-;_-@_-"/>
      <fill>
        <patternFill patternType="solid">
          <fgColor indexed="64"/>
          <bgColor theme="8" tint="0.79998168889431442"/>
        </patternFill>
      </fill>
      <alignment horizontal="general" vertical="justify" textRotation="0" wrapText="0" indent="0" justifyLastLine="0" shrinkToFit="0" readingOrder="0"/>
      <border diagonalUp="0" diagonalDown="0">
        <left style="thin">
          <color indexed="56"/>
        </left>
        <right style="thin">
          <color indexed="56"/>
        </right>
        <top style="thin">
          <color indexed="56"/>
        </top>
        <bottom style="thin">
          <color indexed="56"/>
        </bottom>
        <vertical/>
        <horizontal/>
      </border>
      <protection locked="0" hidden="0"/>
    </dxf>
    <dxf>
      <font>
        <b val="0"/>
        <i val="0"/>
        <strike val="0"/>
        <condense val="0"/>
        <extend val="0"/>
        <outline val="0"/>
        <shadow val="0"/>
        <u val="none"/>
        <vertAlign val="baseline"/>
        <sz val="11"/>
        <color indexed="56"/>
        <name val="Calibri"/>
        <family val="2"/>
        <scheme val="none"/>
      </font>
      <numFmt numFmtId="174" formatCode="_-* #,##0\ [$€-40C]_-;\-* #,##0\ [$€-40C]_-;_-* &quot;-&quot;??\ [$€-40C]_-;_-@_-"/>
      <fill>
        <patternFill patternType="solid">
          <fgColor indexed="64"/>
          <bgColor theme="8" tint="0.79998168889431442"/>
        </patternFill>
      </fill>
      <alignment horizontal="general" vertical="justify" textRotation="0" wrapText="0" indent="0" justifyLastLine="0" shrinkToFit="0" readingOrder="0"/>
      <border diagonalUp="0" diagonalDown="0">
        <left style="thin">
          <color indexed="56"/>
        </left>
        <right style="thin">
          <color indexed="56"/>
        </right>
        <top style="thin">
          <color indexed="56"/>
        </top>
        <bottom style="thin">
          <color indexed="56"/>
        </bottom>
        <vertical/>
        <horizontal/>
      </border>
      <protection locked="0" hidden="0"/>
    </dxf>
    <dxf>
      <font>
        <b val="0"/>
        <i val="0"/>
        <strike val="0"/>
        <condense val="0"/>
        <extend val="0"/>
        <outline val="0"/>
        <shadow val="0"/>
        <u val="none"/>
        <vertAlign val="baseline"/>
        <sz val="11"/>
        <color indexed="56"/>
        <name val="Calibri"/>
        <family val="2"/>
        <scheme val="none"/>
      </font>
      <numFmt numFmtId="199" formatCode="#,##0.00\ &quot;€&quot;"/>
      <fill>
        <patternFill patternType="solid">
          <fgColor indexed="64"/>
          <bgColor theme="8" tint="0.79998168889431442"/>
        </patternFill>
      </fill>
      <alignment horizontal="general" vertical="justify" textRotation="0" wrapText="0" indent="0" justifyLastLine="0" shrinkToFit="0" readingOrder="0"/>
      <border diagonalUp="0" diagonalDown="0">
        <left style="thin">
          <color indexed="56"/>
        </left>
        <right style="thin">
          <color indexed="56"/>
        </right>
        <top style="thin">
          <color indexed="56"/>
        </top>
        <bottom style="thin">
          <color indexed="56"/>
        </bottom>
        <vertical/>
        <horizontal/>
      </border>
      <protection locked="0" hidden="0"/>
    </dxf>
    <dxf>
      <font>
        <b val="0"/>
        <i val="0"/>
        <strike val="0"/>
        <condense val="0"/>
        <extend val="0"/>
        <outline val="0"/>
        <shadow val="0"/>
        <u val="none"/>
        <vertAlign val="baseline"/>
        <sz val="11"/>
        <color indexed="56"/>
        <name val="Calibri"/>
        <family val="2"/>
        <scheme val="none"/>
      </font>
      <numFmt numFmtId="199" formatCode="#,##0.00\ &quot;€&quot;"/>
      <fill>
        <patternFill patternType="solid">
          <fgColor indexed="64"/>
          <bgColor theme="8" tint="0.79998168889431442"/>
        </patternFill>
      </fill>
      <alignment horizontal="general" vertical="justify" textRotation="0" wrapText="0" indent="0" justifyLastLine="0" shrinkToFit="0" readingOrder="0"/>
      <border diagonalUp="0" diagonalDown="0">
        <left style="thin">
          <color indexed="56"/>
        </left>
        <right style="thin">
          <color indexed="56"/>
        </right>
        <top style="thin">
          <color indexed="56"/>
        </top>
        <bottom style="thin">
          <color indexed="56"/>
        </bottom>
        <vertical/>
        <horizontal/>
      </border>
      <protection locked="0" hidden="0"/>
    </dxf>
    <dxf>
      <font>
        <b val="0"/>
        <i val="0"/>
        <strike val="0"/>
        <condense val="0"/>
        <extend val="0"/>
        <outline val="0"/>
        <shadow val="0"/>
        <u val="none"/>
        <vertAlign val="baseline"/>
        <sz val="11"/>
        <color indexed="56"/>
        <name val="Calibri"/>
        <family val="2"/>
        <scheme val="none"/>
      </font>
      <fill>
        <patternFill patternType="solid">
          <fgColor indexed="64"/>
          <bgColor theme="8" tint="0.79998168889431442"/>
        </patternFill>
      </fill>
      <alignment horizontal="general" vertical="justify" textRotation="0" wrapText="0" indent="0" justifyLastLine="0" shrinkToFit="0" readingOrder="0"/>
      <border diagonalUp="0" diagonalDown="0">
        <left style="thin">
          <color indexed="56"/>
        </left>
        <right style="thin">
          <color indexed="56"/>
        </right>
        <top style="thin">
          <color indexed="56"/>
        </top>
        <bottom style="thin">
          <color indexed="56"/>
        </bottom>
        <vertical/>
        <horizontal/>
      </border>
      <protection locked="0" hidden="0"/>
    </dxf>
    <dxf>
      <font>
        <b val="0"/>
        <i val="0"/>
        <strike val="0"/>
        <condense val="0"/>
        <extend val="0"/>
        <outline val="0"/>
        <shadow val="0"/>
        <u val="none"/>
        <vertAlign val="baseline"/>
        <sz val="11"/>
        <color indexed="56"/>
        <name val="Calibri"/>
        <family val="2"/>
        <scheme val="none"/>
      </font>
      <fill>
        <patternFill patternType="solid">
          <fgColor indexed="64"/>
          <bgColor theme="8" tint="0.79998168889431442"/>
        </patternFill>
      </fill>
      <alignment horizontal="general" vertical="justify" textRotation="0" wrapText="1" indent="0" justifyLastLine="0" shrinkToFit="0" readingOrder="0"/>
      <border diagonalUp="0" diagonalDown="0">
        <left style="thin">
          <color indexed="56"/>
        </left>
        <right style="thin">
          <color indexed="56"/>
        </right>
        <top style="thin">
          <color indexed="56"/>
        </top>
        <bottom style="thin">
          <color indexed="56"/>
        </bottom>
        <vertical/>
        <horizontal/>
      </border>
      <protection locked="0" hidden="0"/>
    </dxf>
    <dxf>
      <font>
        <b val="0"/>
        <i val="0"/>
        <strike val="0"/>
        <condense val="0"/>
        <extend val="0"/>
        <outline val="0"/>
        <shadow val="0"/>
        <u val="none"/>
        <vertAlign val="baseline"/>
        <sz val="11"/>
        <color indexed="56"/>
        <name val="Calibri"/>
        <family val="2"/>
        <scheme val="none"/>
      </font>
      <fill>
        <patternFill patternType="solid">
          <fgColor indexed="64"/>
          <bgColor theme="8" tint="0.79998168889431442"/>
        </patternFill>
      </fill>
      <alignment horizontal="general" vertical="justify" textRotation="0" wrapText="1" indent="0" justifyLastLine="0" shrinkToFit="0" readingOrder="0"/>
      <border diagonalUp="0" diagonalDown="0">
        <left style="thin">
          <color indexed="56"/>
        </left>
        <right style="thin">
          <color indexed="56"/>
        </right>
        <top style="thin">
          <color indexed="56"/>
        </top>
        <bottom style="thin">
          <color indexed="56"/>
        </bottom>
        <vertical/>
        <horizontal/>
      </border>
      <protection locked="0" hidden="0"/>
    </dxf>
    <dxf>
      <font>
        <b/>
        <i val="0"/>
        <strike val="0"/>
        <condense val="0"/>
        <extend val="0"/>
        <outline val="0"/>
        <shadow val="0"/>
        <u val="none"/>
        <vertAlign val="baseline"/>
        <sz val="11"/>
        <color indexed="56"/>
        <name val="Calibri"/>
        <family val="2"/>
        <scheme val="none"/>
      </font>
      <fill>
        <patternFill patternType="solid">
          <fgColor indexed="64"/>
          <bgColor theme="8" tint="0.79998168889431442"/>
        </patternFill>
      </fill>
      <alignment horizontal="general" vertical="justify" textRotation="0" wrapText="0" indent="0" justifyLastLine="0" shrinkToFit="0" readingOrder="0"/>
      <border diagonalUp="0" diagonalDown="0">
        <left style="thin">
          <color indexed="56"/>
        </left>
        <right style="thin">
          <color indexed="56"/>
        </right>
        <top style="thin">
          <color indexed="56"/>
        </top>
        <bottom style="thin">
          <color indexed="56"/>
        </bottom>
        <vertical/>
        <horizontal/>
      </border>
      <protection locked="0" hidden="0"/>
    </dxf>
    <dxf>
      <font>
        <b/>
        <i val="0"/>
        <strike val="0"/>
        <condense val="0"/>
        <extend val="0"/>
        <outline val="0"/>
        <shadow val="0"/>
        <u val="none"/>
        <vertAlign val="baseline"/>
        <sz val="11"/>
        <color indexed="56"/>
        <name val="Calibri"/>
        <family val="2"/>
        <scheme val="none"/>
      </font>
      <fill>
        <patternFill patternType="solid">
          <fgColor indexed="64"/>
          <bgColor theme="8" tint="0.79998168889431442"/>
        </patternFill>
      </fill>
      <alignment horizontal="general" vertical="justify" textRotation="0" wrapText="0" indent="0" justifyLastLine="0" shrinkToFit="0" readingOrder="0"/>
      <border diagonalUp="0" diagonalDown="0">
        <left/>
        <right style="thin">
          <color indexed="56"/>
        </right>
        <top style="thin">
          <color indexed="56"/>
        </top>
        <bottom style="thin">
          <color indexed="56"/>
        </bottom>
        <vertical/>
        <horizontal/>
      </border>
      <protection locked="0" hidden="0"/>
    </dxf>
    <dxf>
      <border outline="0">
        <top style="thin">
          <color indexed="56"/>
        </top>
      </border>
    </dxf>
    <dxf>
      <border outline="0">
        <left style="thin">
          <color indexed="56"/>
        </left>
        <right style="thin">
          <color indexed="56"/>
        </right>
        <top style="thin">
          <color indexed="56"/>
        </top>
      </border>
    </dxf>
    <dxf>
      <border outline="0">
        <bottom style="thin">
          <color indexed="56"/>
        </bottom>
      </border>
    </dxf>
    <dxf>
      <font>
        <b/>
        <i val="0"/>
        <strike val="0"/>
        <condense val="0"/>
        <extend val="0"/>
        <outline val="0"/>
        <shadow val="0"/>
        <u val="none"/>
        <vertAlign val="baseline"/>
        <sz val="11"/>
        <color indexed="56"/>
        <name val="Calibri"/>
        <family val="2"/>
        <scheme val="none"/>
      </font>
      <alignment horizontal="general" vertical="justify" textRotation="0" wrapText="0" indent="0" justifyLastLine="0" shrinkToFit="0" readingOrder="0"/>
    </dxf>
    <dxf>
      <fill>
        <patternFill>
          <bgColor rgb="FF92D050"/>
        </patternFill>
      </fill>
    </dxf>
    <dxf>
      <fill>
        <patternFill>
          <bgColor rgb="FF92D05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ont>
        <color theme="0"/>
      </font>
      <fill>
        <patternFill patternType="darkUp">
          <fgColor theme="3" tint="-0.499984740745262"/>
        </patternFill>
      </fill>
    </dxf>
    <dxf>
      <font>
        <b/>
        <i val="0"/>
        <color theme="9" tint="-0.24994659260841701"/>
      </font>
      <border>
        <left style="thin">
          <color theme="9" tint="0.39994506668294322"/>
        </left>
        <right style="thin">
          <color theme="9" tint="0.39994506668294322"/>
        </right>
        <top style="thin">
          <color theme="9" tint="0.39994506668294322"/>
        </top>
        <bottom style="thin">
          <color theme="9" tint="0.39994506668294322"/>
        </bottom>
        <vertical/>
        <horizontal/>
      </border>
    </dxf>
    <dxf>
      <font>
        <b/>
        <i val="0"/>
        <color theme="9" tint="-0.24994659260841701"/>
      </font>
      <fill>
        <patternFill>
          <bgColor theme="8" tint="0.59996337778862885"/>
        </patternFill>
      </fill>
      <border>
        <left style="thin">
          <color theme="9" tint="0.39994506668294322"/>
        </left>
        <right style="thin">
          <color theme="9" tint="0.39994506668294322"/>
        </right>
        <top style="thin">
          <color theme="9" tint="0.39994506668294322"/>
        </top>
        <bottom style="thin">
          <color theme="9" tint="0.39994506668294322"/>
        </bottom>
        <vertical/>
        <horizontal/>
      </border>
    </dxf>
    <dxf>
      <fill>
        <patternFill>
          <bgColor theme="8" tint="0.59996337778862885"/>
        </patternFill>
      </fill>
    </dxf>
    <dxf>
      <fill>
        <patternFill>
          <bgColor theme="8" tint="0.59996337778862885"/>
        </patternFill>
      </fill>
    </dxf>
    <dxf>
      <fill>
        <patternFill>
          <bgColor theme="8" tint="0.79998168889431442"/>
        </patternFill>
      </fill>
    </dxf>
    <dxf>
      <font>
        <color theme="0"/>
      </font>
      <fill>
        <patternFill patternType="none">
          <bgColor indexed="65"/>
        </patternFill>
      </fill>
      <border>
        <right/>
        <top/>
        <bottom/>
      </border>
    </dxf>
    <dxf>
      <fill>
        <patternFill>
          <bgColor theme="8" tint="0.79998168889431442"/>
        </patternFill>
      </fill>
    </dxf>
    <dxf>
      <font>
        <color rgb="FF003742"/>
      </font>
      <fill>
        <patternFill>
          <bgColor rgb="FF003742"/>
        </patternFill>
      </fill>
    </dxf>
    <dxf>
      <font>
        <color rgb="FF003742"/>
      </font>
      <fill>
        <patternFill>
          <bgColor rgb="FF003742"/>
        </patternFill>
      </fill>
    </dxf>
    <dxf>
      <font>
        <color rgb="FFFF0000"/>
      </font>
    </dxf>
    <dxf>
      <font>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patternType="none">
          <bgColor indexed="65"/>
        </patternFill>
      </fill>
      <border>
        <left/>
        <right/>
        <top/>
        <bottom/>
      </border>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1"/>
        </patternFill>
      </fill>
    </dxf>
    <dxf>
      <font>
        <color theme="9" tint="-0.499984740745262"/>
      </font>
    </dxf>
    <dxf>
      <fill>
        <patternFill>
          <bgColor rgb="FFCCFFCC"/>
        </patternFill>
      </fill>
    </dxf>
    <dxf>
      <font>
        <b/>
        <i val="0"/>
        <color theme="0"/>
      </font>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FFC000"/>
        </patternFill>
      </fill>
    </dxf>
    <dxf>
      <font>
        <b/>
        <i val="0"/>
        <color theme="0"/>
      </font>
      <fill>
        <patternFill>
          <bgColor rgb="FF92D050"/>
        </patternFill>
      </fill>
    </dxf>
    <dxf>
      <font>
        <color rgb="FFC00000"/>
      </font>
    </dxf>
    <dxf>
      <font>
        <b/>
        <i val="0"/>
        <color rgb="FF00B050"/>
      </font>
    </dxf>
    <dxf>
      <font>
        <color rgb="FFC00000"/>
      </font>
    </dxf>
    <dxf>
      <font>
        <b/>
        <i val="0"/>
        <color rgb="FF00B050"/>
      </font>
    </dxf>
    <dxf>
      <font>
        <color theme="9" tint="-0.499984740745262"/>
      </font>
    </dxf>
    <dxf>
      <font>
        <b/>
        <i val="0"/>
        <color theme="0"/>
      </font>
      <fill>
        <patternFill>
          <bgColor rgb="FFFF0000"/>
        </patternFill>
      </fill>
    </dxf>
    <dxf>
      <font>
        <b/>
        <i val="0"/>
        <color theme="0"/>
      </font>
      <fill>
        <patternFill>
          <bgColor theme="9" tint="-0.24994659260841701"/>
        </patternFill>
      </fill>
    </dxf>
    <dxf>
      <font>
        <b/>
        <i val="0"/>
        <color theme="0"/>
      </font>
      <fill>
        <patternFill>
          <bgColor rgb="FFD19853"/>
        </patternFill>
      </fill>
    </dxf>
    <dxf>
      <font>
        <b/>
        <i val="0"/>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D19853"/>
        </patternFill>
      </fill>
    </dxf>
    <dxf>
      <font>
        <b/>
        <i val="0"/>
        <color theme="0"/>
      </font>
      <fill>
        <patternFill>
          <bgColor rgb="FF92D050"/>
        </patternFill>
      </fill>
    </dxf>
    <dxf>
      <font>
        <b/>
        <i val="0"/>
        <color rgb="FF00B050"/>
      </font>
    </dxf>
    <dxf>
      <font>
        <color rgb="FF00B050"/>
      </font>
    </dxf>
    <dxf>
      <fill>
        <patternFill>
          <bgColor rgb="FFCCFFCC"/>
        </patternFill>
      </fill>
    </dxf>
    <dxf>
      <font>
        <b/>
        <i val="0"/>
        <color rgb="FFC00000"/>
      </font>
    </dxf>
    <dxf>
      <font>
        <color rgb="FFC0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9"/>
        <color theme="1" tint="0.249977111117893"/>
        <name val="Calibri"/>
        <family val="2"/>
        <scheme val="minor"/>
      </font>
      <numFmt numFmtId="171" formatCode="_ * #,##0_ ;_ * \-#,##0_ ;_ * &quot;-&quot;??_ ;_ @_ "/>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9"/>
        <color theme="1" tint="0.249977111117893"/>
        <name val="Calibri"/>
        <family val="2"/>
        <scheme val="minor"/>
      </font>
      <numFmt numFmtId="176" formatCode="0.0%"/>
    </dxf>
    <dxf>
      <font>
        <b val="0"/>
        <i val="0"/>
        <strike val="0"/>
        <condense val="0"/>
        <extend val="0"/>
        <outline val="0"/>
        <shadow val="0"/>
        <u val="none"/>
        <vertAlign val="baseline"/>
        <sz val="10"/>
        <color theme="1" tint="0.249977111117893"/>
        <name val="Calibri"/>
        <family val="2"/>
        <scheme val="minor"/>
      </font>
    </dxf>
    <dxf>
      <font>
        <strike val="0"/>
        <outline val="0"/>
        <shadow val="0"/>
        <u val="none"/>
        <vertAlign val="baseline"/>
        <sz val="10"/>
        <color theme="1" tint="0.249977111117893"/>
        <name val="Calibri"/>
        <family val="2"/>
        <scheme val="minor"/>
      </font>
    </dxf>
    <dxf>
      <font>
        <b val="0"/>
        <i val="0"/>
        <strike val="0"/>
        <condense val="0"/>
        <extend val="0"/>
        <outline val="0"/>
        <shadow val="0"/>
        <u val="none"/>
        <vertAlign val="baseline"/>
        <sz val="10"/>
        <color theme="1" tint="0.249977111117893"/>
        <name val="Calibri"/>
        <family val="2"/>
        <scheme val="minor"/>
      </font>
    </dxf>
    <dxf>
      <font>
        <strike val="0"/>
        <outline val="0"/>
        <shadow val="0"/>
        <u val="none"/>
        <vertAlign val="baseline"/>
        <sz val="10"/>
        <color theme="1" tint="0.249977111117893"/>
        <name val="Calibri"/>
        <family val="2"/>
        <scheme val="minor"/>
      </font>
    </dxf>
    <dxf>
      <font>
        <strike val="0"/>
        <outline val="0"/>
        <shadow val="0"/>
        <u val="none"/>
        <vertAlign val="baseline"/>
        <sz val="10"/>
        <color theme="1" tint="0.249977111117893"/>
        <name val="Calibri"/>
        <family val="2"/>
        <scheme val="minor"/>
      </font>
    </dxf>
    <dxf>
      <font>
        <b val="0"/>
        <i val="0"/>
        <strike val="0"/>
        <condense val="0"/>
        <extend val="0"/>
        <outline val="0"/>
        <shadow val="0"/>
        <u val="none"/>
        <vertAlign val="baseline"/>
        <sz val="10"/>
        <color theme="1" tint="0.249977111117893"/>
        <name val="Calibri"/>
        <family val="2"/>
        <scheme val="minor"/>
      </font>
    </dxf>
    <dxf>
      <font>
        <b val="0"/>
        <i val="0"/>
        <strike val="0"/>
        <condense val="0"/>
        <extend val="0"/>
        <outline val="0"/>
        <shadow val="0"/>
        <u val="none"/>
        <vertAlign val="baseline"/>
        <sz val="10"/>
        <color theme="1" tint="0.249977111117893"/>
        <name val="Calibri"/>
        <family val="2"/>
        <scheme val="minor"/>
      </font>
    </dxf>
    <dxf>
      <font>
        <b/>
        <i val="0"/>
        <strike val="0"/>
        <condense val="0"/>
        <extend val="0"/>
        <outline val="0"/>
        <shadow val="0"/>
        <u val="none"/>
        <vertAlign val="baseline"/>
        <sz val="10"/>
        <color theme="0"/>
        <name val="Calibri"/>
        <family val="2"/>
        <scheme val="minor"/>
      </font>
      <fill>
        <patternFill patternType="solid">
          <fgColor indexed="64"/>
          <bgColor rgb="FF00709E"/>
        </patternFill>
      </fill>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theme="8" tint="0.59999389629810485"/>
        </patternFill>
      </fill>
      <border diagonalUp="0" diagonalDown="0">
        <left/>
        <right style="thin">
          <color indexed="63"/>
        </right>
        <top style="thin">
          <color indexed="63"/>
        </top>
        <bottom style="thin">
          <color indexed="63"/>
        </bottom>
        <vertical/>
        <horizontal/>
      </border>
      <protection locked="0" hidden="0"/>
    </dxf>
    <dxf>
      <border outline="0">
        <top style="thin">
          <color indexed="63"/>
        </top>
      </border>
    </dxf>
    <dxf>
      <border outline="0">
        <left style="thin">
          <color indexed="63"/>
        </left>
        <right style="thin">
          <color indexed="63"/>
        </right>
        <top style="thin">
          <color indexed="63"/>
        </top>
        <bottom style="thin">
          <color indexed="63"/>
        </bottom>
      </border>
    </dxf>
    <dxf>
      <font>
        <b val="0"/>
        <i val="0"/>
        <strike val="0"/>
        <condense val="0"/>
        <extend val="0"/>
        <outline val="0"/>
        <shadow val="0"/>
        <u val="none"/>
        <vertAlign val="baseline"/>
        <sz val="11"/>
        <color indexed="63"/>
        <name val="Calibri"/>
        <family val="2"/>
        <scheme val="none"/>
      </font>
      <fill>
        <patternFill patternType="solid">
          <fgColor indexed="64"/>
          <bgColor rgb="FFDAEEF3"/>
        </patternFill>
      </fill>
      <protection locked="0" hidden="0"/>
    </dxf>
    <dxf>
      <border outline="0">
        <bottom style="thin">
          <color indexed="63"/>
        </bottom>
      </border>
    </dxf>
    <dxf>
      <font>
        <b/>
        <i val="0"/>
        <strike val="0"/>
        <condense val="0"/>
        <extend val="0"/>
        <outline val="0"/>
        <shadow val="0"/>
        <u val="none"/>
        <vertAlign val="baseline"/>
        <sz val="11"/>
        <color indexed="63"/>
        <name val="Calibri"/>
        <family val="2"/>
        <scheme val="none"/>
      </font>
      <alignment horizontal="center" vertical="justify" textRotation="0" wrapText="0" indent="0" justifyLastLine="0" shrinkToFit="0" readingOrder="0"/>
      <border diagonalUp="0" diagonalDown="0" outline="0">
        <left style="thin">
          <color indexed="63"/>
        </left>
        <right style="thin">
          <color indexed="63"/>
        </right>
        <top/>
        <bottom/>
      </border>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theme="8" tint="0.59999389629810485"/>
        </patternFill>
      </fill>
      <border diagonalUp="0" diagonalDown="0">
        <left/>
        <right style="thin">
          <color indexed="63"/>
        </right>
        <top style="thin">
          <color indexed="63"/>
        </top>
        <bottom/>
        <vertical/>
        <horizontal/>
      </border>
      <protection locked="0" hidden="0"/>
    </dxf>
    <dxf>
      <border outline="0">
        <top style="thin">
          <color indexed="63"/>
        </top>
      </border>
    </dxf>
    <dxf>
      <border outline="0">
        <left style="thin">
          <color indexed="64"/>
        </left>
        <right style="thin">
          <color indexed="63"/>
        </right>
        <top style="thin">
          <color indexed="63"/>
        </top>
        <bottom style="thin">
          <color indexed="63"/>
        </bottom>
      </border>
    </dxf>
    <dxf>
      <font>
        <b val="0"/>
        <i val="0"/>
        <strike val="0"/>
        <condense val="0"/>
        <extend val="0"/>
        <outline val="0"/>
        <shadow val="0"/>
        <u val="none"/>
        <vertAlign val="baseline"/>
        <sz val="11"/>
        <color indexed="63"/>
        <name val="Calibri"/>
        <family val="2"/>
        <scheme val="none"/>
      </font>
      <fill>
        <patternFill patternType="solid">
          <fgColor indexed="64"/>
          <bgColor rgb="FFDAEEF3"/>
        </patternFill>
      </fill>
      <protection locked="0" hidden="0"/>
    </dxf>
    <dxf>
      <border outline="0">
        <bottom style="thin">
          <color indexed="63"/>
        </bottom>
      </border>
    </dxf>
    <dxf>
      <font>
        <b/>
        <i val="0"/>
        <strike val="0"/>
        <condense val="0"/>
        <extend val="0"/>
        <outline val="0"/>
        <shadow val="0"/>
        <u val="none"/>
        <vertAlign val="baseline"/>
        <sz val="11"/>
        <color indexed="63"/>
        <name val="Calibri"/>
        <family val="2"/>
        <scheme val="none"/>
      </font>
      <alignment horizontal="center" vertical="justify" textRotation="0" wrapText="0" indent="0" justifyLastLine="0" shrinkToFit="0" readingOrder="0"/>
      <border diagonalUp="0" diagonalDown="0" outline="0">
        <left style="thin">
          <color indexed="63"/>
        </left>
        <right style="thin">
          <color indexed="63"/>
        </right>
        <top/>
        <bottom/>
      </border>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theme="8" tint="0.59999389629810485"/>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theme="0"/>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left/>
        <right style="thin">
          <color indexed="63"/>
        </right>
        <top style="thin">
          <color indexed="63"/>
        </top>
        <bottom style="thin">
          <color indexed="63"/>
        </bottom>
      </border>
      <protection locked="1" hidden="0"/>
    </dxf>
    <dxf>
      <font>
        <b val="0"/>
        <i val="0"/>
        <strike val="0"/>
        <condense val="0"/>
        <extend val="0"/>
        <outline val="0"/>
        <shadow val="0"/>
        <u val="none"/>
        <vertAlign val="baseline"/>
        <sz val="11"/>
        <color theme="0"/>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3"/>
        </top>
        <bottom style="thin">
          <color indexed="63"/>
        </bottom>
      </border>
      <protection locked="1" hidden="0"/>
    </dxf>
    <dxf>
      <font>
        <b val="0"/>
        <i val="0"/>
        <strike val="0"/>
        <condense val="0"/>
        <extend val="0"/>
        <outline val="0"/>
        <shadow val="0"/>
        <u val="none"/>
        <vertAlign val="baseline"/>
        <sz val="11"/>
        <color theme="0"/>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3"/>
        </top>
        <bottom style="thin">
          <color indexed="63"/>
        </bottom>
      </border>
      <protection locked="1" hidden="0"/>
    </dxf>
    <dxf>
      <font>
        <b val="0"/>
        <i val="0"/>
        <strike val="0"/>
        <condense val="0"/>
        <extend val="0"/>
        <outline val="0"/>
        <shadow val="0"/>
        <u val="none"/>
        <vertAlign val="baseline"/>
        <sz val="11"/>
        <color indexed="63"/>
        <name val="Calibri"/>
        <family val="2"/>
        <scheme val="none"/>
      </font>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63"/>
        <name val="Calibri"/>
        <family val="2"/>
        <scheme val="none"/>
      </font>
      <border diagonalUp="0" diagonalDown="0">
        <left/>
        <right style="thin">
          <color indexed="63"/>
        </right>
        <top style="thin">
          <color indexed="63"/>
        </top>
        <bottom style="thin">
          <color indexed="63"/>
        </bottom>
        <vertical/>
        <horizontal/>
      </border>
    </dxf>
    <dxf>
      <border outline="0">
        <top style="thin">
          <color indexed="63"/>
        </top>
      </border>
    </dxf>
    <dxf>
      <border outline="0">
        <left style="thin">
          <color indexed="63"/>
        </left>
        <right style="thin">
          <color indexed="63"/>
        </right>
        <top style="thin">
          <color indexed="63"/>
        </top>
        <bottom style="thin">
          <color indexed="63"/>
        </bottom>
      </border>
    </dxf>
    <dxf>
      <font>
        <b val="0"/>
        <i val="0"/>
        <strike val="0"/>
        <condense val="0"/>
        <extend val="0"/>
        <outline val="0"/>
        <shadow val="0"/>
        <u val="none"/>
        <vertAlign val="baseline"/>
        <sz val="11"/>
        <color indexed="63"/>
        <name val="Calibri"/>
        <family val="2"/>
        <scheme val="none"/>
      </font>
      <fill>
        <patternFill patternType="solid">
          <fgColor indexed="64"/>
          <bgColor rgb="FFDAEEF3"/>
        </patternFill>
      </fill>
      <protection locked="0" hidden="0"/>
    </dxf>
    <dxf>
      <border outline="0">
        <bottom style="thin">
          <color indexed="63"/>
        </bottom>
      </border>
    </dxf>
    <dxf>
      <font>
        <b/>
        <i val="0"/>
        <strike val="0"/>
        <condense val="0"/>
        <extend val="0"/>
        <outline val="0"/>
        <shadow val="0"/>
        <u val="none"/>
        <vertAlign val="baseline"/>
        <sz val="11"/>
        <color indexed="63"/>
        <name val="Calibri"/>
        <family val="2"/>
        <scheme val="none"/>
      </font>
      <alignment horizontal="center" vertical="justify" textRotation="0" wrapText="0" indent="0" justifyLastLine="0" shrinkToFit="0" readingOrder="0"/>
      <border diagonalUp="0" diagonalDown="0" outline="0">
        <left style="thin">
          <color indexed="63"/>
        </left>
        <right style="thin">
          <color indexed="63"/>
        </right>
        <top/>
        <bottom/>
      </border>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theme="8" tint="0.59999389629810485"/>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theme="0"/>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0"/>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
        <color indexed="63"/>
        <name val="Calibri"/>
        <family val="2"/>
        <scheme val="none"/>
      </font>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63"/>
        <name val="Calibri"/>
        <family val="2"/>
        <scheme val="none"/>
      </font>
      <fill>
        <patternFill patternType="solid">
          <fgColor indexed="64"/>
          <bgColor theme="0"/>
        </patternFill>
      </fill>
      <border diagonalUp="0" diagonalDown="0">
        <left style="thin">
          <color indexed="63"/>
        </left>
        <right/>
        <top style="thin">
          <color indexed="63"/>
        </top>
        <bottom style="thin">
          <color indexed="63"/>
        </bottom>
        <vertical/>
        <horizontal/>
      </border>
    </dxf>
    <dxf>
      <font>
        <b val="0"/>
        <i val="0"/>
        <strike val="0"/>
        <condense val="0"/>
        <extend val="0"/>
        <outline val="0"/>
        <shadow val="0"/>
        <u val="none"/>
        <vertAlign val="baseline"/>
        <sz val="11"/>
        <color indexed="63"/>
        <name val="Calibri"/>
        <family val="2"/>
        <scheme val="none"/>
      </font>
      <border diagonalUp="0" diagonalDown="0">
        <left/>
        <right style="thin">
          <color indexed="63"/>
        </right>
        <top style="thin">
          <color indexed="63"/>
        </top>
        <bottom style="thin">
          <color indexed="63"/>
        </bottom>
        <vertical/>
        <horizontal/>
      </border>
    </dxf>
    <dxf>
      <border outline="0">
        <left style="thin">
          <color indexed="63"/>
        </left>
        <right style="thin">
          <color indexed="63"/>
        </right>
      </border>
    </dxf>
    <dxf>
      <font>
        <b val="0"/>
        <i val="0"/>
        <strike val="0"/>
        <condense val="0"/>
        <extend val="0"/>
        <outline val="0"/>
        <shadow val="0"/>
        <u val="none"/>
        <vertAlign val="baseline"/>
        <sz val="11"/>
        <color indexed="63"/>
        <name val="Calibri"/>
        <family val="2"/>
        <scheme val="none"/>
      </font>
      <fill>
        <patternFill patternType="solid">
          <fgColor indexed="64"/>
          <bgColor rgb="FFDAEEF3"/>
        </patternFill>
      </fill>
      <protection locked="0" hidden="0"/>
    </dxf>
    <dxf>
      <font>
        <b/>
        <i val="0"/>
        <strike val="0"/>
        <condense val="0"/>
        <extend val="0"/>
        <outline val="0"/>
        <shadow val="0"/>
        <u val="none"/>
        <vertAlign val="baseline"/>
        <sz val="11"/>
        <color indexed="63"/>
        <name val="Calibri"/>
        <family val="2"/>
        <scheme val="none"/>
      </font>
      <alignment horizontal="center" vertical="justify" textRotation="0" wrapText="0" indent="0" justifyLastLine="0" shrinkToFit="0" readingOrder="0"/>
      <border diagonalUp="0" diagonalDown="0" outline="0">
        <left style="thin">
          <color indexed="63"/>
        </left>
        <right style="thin">
          <color indexed="63"/>
        </right>
        <top/>
        <bottom/>
      </border>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numFmt numFmtId="185" formatCode="_ * #,##0.0_ ;_ * \-#,##0.0_ ;_ * &quot;-&quot;??_ ;_ @_ "/>
    </dxf>
    <dxf>
      <border outline="0">
        <left style="thin">
          <color indexed="63"/>
        </left>
      </border>
    </dxf>
    <dxf>
      <font>
        <b/>
        <i val="0"/>
        <strike val="0"/>
        <condense val="0"/>
        <extend val="0"/>
        <outline val="0"/>
        <shadow val="0"/>
        <u val="none"/>
        <vertAlign val="baseline"/>
        <sz val="11"/>
        <color indexed="63"/>
        <name val="Calibri"/>
        <family val="2"/>
        <scheme val="none"/>
      </font>
      <alignment horizontal="center" vertical="justify" textRotation="0" wrapText="0" indent="0" justifyLastLine="0" shrinkToFit="0" readingOrder="0"/>
      <border diagonalUp="0" diagonalDown="0" outline="0">
        <left style="thin">
          <color indexed="63"/>
        </left>
        <right style="thin">
          <color indexed="63"/>
        </right>
        <top/>
        <bottom/>
      </border>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rgb="FFDAEEF3"/>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numFmt numFmtId="185" formatCode="_ * #,##0.0_ ;_ * \-#,##0.0_ ;_ * &quot;-&quot;??_ ;_ @_ "/>
      <fill>
        <patternFill patternType="solid">
          <fgColor indexed="64"/>
          <bgColor theme="8" tint="0.59999389629810485"/>
        </patternFill>
      </fill>
      <border diagonalUp="0" diagonalDown="0" outline="0">
        <left style="thin">
          <color indexed="63"/>
        </left>
        <right style="thin">
          <color indexed="63"/>
        </right>
        <top style="thin">
          <color indexed="63"/>
        </top>
        <bottom style="thin">
          <color indexed="63"/>
        </bottom>
      </border>
      <protection locked="0" hidden="0"/>
    </dxf>
    <dxf>
      <font>
        <b val="0"/>
        <i val="0"/>
        <strike val="0"/>
        <condense val="0"/>
        <extend val="0"/>
        <outline val="0"/>
        <shadow val="0"/>
        <u val="none"/>
        <vertAlign val="baseline"/>
        <sz val="11"/>
        <color indexed="63"/>
        <name val="Calibri"/>
        <family val="2"/>
        <scheme val="none"/>
      </font>
      <border diagonalUp="0" diagonalDown="0" outline="0">
        <left style="thin">
          <color indexed="63"/>
        </left>
        <right style="thin">
          <color indexed="63"/>
        </right>
        <top style="thin">
          <color indexed="63"/>
        </top>
        <bottom style="thin">
          <color indexed="63"/>
        </bottom>
      </border>
    </dxf>
    <dxf>
      <font>
        <b val="0"/>
        <i val="0"/>
        <strike val="0"/>
        <condense val="0"/>
        <extend val="0"/>
        <outline val="0"/>
        <shadow val="0"/>
        <u val="none"/>
        <vertAlign val="baseline"/>
        <sz val="11"/>
        <color indexed="63"/>
        <name val="Calibri"/>
        <family val="2"/>
        <scheme val="none"/>
      </font>
      <fill>
        <patternFill patternType="solid">
          <fgColor indexed="64"/>
          <bgColor theme="8" tint="0.59999389629810485"/>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fill>
        <patternFill patternType="solid">
          <fgColor indexed="64"/>
          <bgColor rgb="FFDAEEF3"/>
        </patternFill>
      </fill>
      <border diagonalUp="0" diagonalDown="0">
        <left style="thin">
          <color indexed="63"/>
        </left>
        <right style="thin">
          <color indexed="63"/>
        </right>
        <top style="thin">
          <color indexed="63"/>
        </top>
        <bottom style="thin">
          <color indexed="63"/>
        </bottom>
        <vertical/>
        <horizontal/>
      </border>
      <protection locked="0" hidden="0"/>
    </dxf>
    <dxf>
      <font>
        <b val="0"/>
        <i val="0"/>
        <strike val="0"/>
        <condense val="0"/>
        <extend val="0"/>
        <outline val="0"/>
        <shadow val="0"/>
        <u val="none"/>
        <vertAlign val="baseline"/>
        <sz val="11"/>
        <color indexed="63"/>
        <name val="Calibri"/>
        <family val="2"/>
        <scheme val="none"/>
      </font>
      <fill>
        <patternFill patternType="solid">
          <fgColor indexed="64"/>
          <bgColor theme="0"/>
        </patternFill>
      </fill>
      <border diagonalUp="0" diagonalDown="0">
        <left style="thin">
          <color indexed="63"/>
        </left>
        <right style="thin">
          <color indexed="63"/>
        </right>
        <top style="thin">
          <color indexed="63"/>
        </top>
        <bottom style="thin">
          <color indexed="63"/>
        </bottom>
        <vertical/>
        <horizontal/>
      </border>
    </dxf>
    <dxf>
      <font>
        <b val="0"/>
        <i val="0"/>
        <strike val="0"/>
        <condense val="0"/>
        <extend val="0"/>
        <outline val="0"/>
        <shadow val="0"/>
        <u val="none"/>
        <vertAlign val="baseline"/>
        <sz val="11"/>
        <color indexed="63"/>
        <name val="Calibri"/>
        <family val="2"/>
        <scheme val="none"/>
      </font>
      <border diagonalUp="0" diagonalDown="0">
        <left/>
        <right style="thin">
          <color indexed="63"/>
        </right>
        <top style="thin">
          <color indexed="63"/>
        </top>
        <bottom style="thin">
          <color indexed="63"/>
        </bottom>
        <vertical/>
        <horizontal/>
      </border>
    </dxf>
    <dxf>
      <border outline="0">
        <top style="thin">
          <color indexed="63"/>
        </top>
      </border>
    </dxf>
    <dxf>
      <border outline="0">
        <left style="thin">
          <color indexed="63"/>
        </left>
        <right style="thin">
          <color indexed="63"/>
        </right>
        <top style="thin">
          <color indexed="63"/>
        </top>
        <bottom style="thin">
          <color indexed="63"/>
        </bottom>
      </border>
    </dxf>
    <dxf>
      <font>
        <b val="0"/>
        <i val="0"/>
        <strike val="0"/>
        <condense val="0"/>
        <extend val="0"/>
        <outline val="0"/>
        <shadow val="0"/>
        <u val="none"/>
        <vertAlign val="baseline"/>
        <sz val="11"/>
        <color indexed="63"/>
        <name val="Calibri"/>
        <family val="2"/>
        <scheme val="none"/>
      </font>
      <fill>
        <patternFill patternType="solid">
          <fgColor indexed="64"/>
          <bgColor rgb="FFDAEEF3"/>
        </patternFill>
      </fill>
      <protection locked="0" hidden="0"/>
    </dxf>
    <dxf>
      <border outline="0">
        <bottom style="thin">
          <color indexed="63"/>
        </bottom>
      </border>
    </dxf>
    <dxf>
      <font>
        <b/>
        <i val="0"/>
        <strike val="0"/>
        <condense val="0"/>
        <extend val="0"/>
        <outline val="0"/>
        <shadow val="0"/>
        <u val="none"/>
        <vertAlign val="baseline"/>
        <sz val="11"/>
        <color indexed="63"/>
        <name val="Calibri"/>
        <family val="2"/>
        <scheme val="none"/>
      </font>
      <alignment horizontal="center" vertical="justify" textRotation="0" wrapText="0" indent="0" justifyLastLine="0" shrinkToFit="0" readingOrder="0"/>
      <border diagonalUp="0" diagonalDown="0" outline="0">
        <left style="thin">
          <color indexed="63"/>
        </left>
        <right style="thin">
          <color indexed="63"/>
        </right>
        <top/>
        <bottom/>
      </border>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theme="8" tint="-0.499984740745262"/>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theme="0"/>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protection locked="0" hidden="0"/>
    </dxf>
    <dxf>
      <border outline="0">
        <bottom style="thin">
          <color theme="0"/>
        </bottom>
      </border>
    </dxf>
    <dxf>
      <font>
        <b val="0"/>
        <i val="0"/>
        <strike val="0"/>
        <condense val="0"/>
        <extend val="0"/>
        <outline val="0"/>
        <shadow val="0"/>
        <u val="none"/>
        <vertAlign val="baseline"/>
        <sz val="11"/>
        <color theme="0"/>
        <name val="Arial"/>
        <family val="2"/>
        <scheme val="none"/>
      </font>
      <fill>
        <patternFill patternType="solid">
          <fgColor indexed="64"/>
          <bgColor theme="8" tint="-0.499984740745262"/>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theme="8" tint="-0.499984740745262"/>
        </patternFill>
      </fill>
      <border diagonalUp="0" diagonalDown="0" outline="0">
        <left style="thin">
          <color theme="0"/>
        </left>
        <right style="thin">
          <color theme="0"/>
        </right>
        <top/>
        <bottom/>
      </border>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theme="0"/>
        </top>
        <bottom style="thin">
          <color indexed="64"/>
        </bottom>
      </border>
    </dxf>
    <dxf>
      <protection locked="0" hidden="0"/>
    </dxf>
    <dxf>
      <font>
        <b/>
        <i val="0"/>
        <strike val="0"/>
        <condense val="0"/>
        <extend val="0"/>
        <outline val="0"/>
        <shadow val="0"/>
        <u val="none"/>
        <vertAlign val="baseline"/>
        <sz val="11"/>
        <color theme="0"/>
        <name val="Calibri"/>
        <family val="2"/>
        <scheme val="none"/>
      </font>
      <fill>
        <patternFill patternType="solid">
          <fgColor rgb="FF156082"/>
          <bgColor theme="4" tint="-0.249977111117893"/>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E699"/>
      <color rgb="FF003366"/>
      <color rgb="FF36ABB2"/>
      <color rgb="FF99CCFF"/>
      <color rgb="FFCCFFFF"/>
      <color rgb="FFE8F5F8"/>
      <color rgb="FF003742"/>
      <color rgb="FF31869B"/>
      <color rgb="FF00709E"/>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haredStrings" Target="sharedStrings.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eetMetadata" Target="metadata.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7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pivotCacheDefinition" Target="pivotCache/pivotCacheDefinition1.xml"/><Relationship Id="rId65"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'Bilan patrimonial'!$H$35</c:f>
          <c:strCache>
            <c:ptCount val="1"/>
            <c:pt idx="0">
              <c:v>#REF!</c:v>
            </c:pt>
          </c:strCache>
        </c:strRef>
      </c:tx>
      <c:layout>
        <c:manualLayout>
          <c:xMode val="edge"/>
          <c:yMode val="edge"/>
          <c:x val="6.4372695039914274E-2"/>
          <c:y val="2.1726107765941024E-2"/>
        </c:manualLayout>
      </c:layout>
      <c:overlay val="0"/>
      <c:txPr>
        <a:bodyPr/>
        <a:lstStyle/>
        <a:p>
          <a:pPr>
            <a:defRPr sz="1800" b="1" i="0" u="none" strike="noStrike" baseline="0">
              <a:solidFill>
                <a:srgbClr val="333333"/>
              </a:solidFill>
              <a:latin typeface="Calibri"/>
              <a:ea typeface="Calibri"/>
              <a:cs typeface="Calibri"/>
            </a:defRPr>
          </a:pPr>
          <a:endParaRPr lang="fr-FR"/>
        </a:p>
      </c:txPr>
    </c:title>
    <c:autoTitleDeleted val="0"/>
    <c:plotArea>
      <c:layout/>
      <c:barChart>
        <c:barDir val="col"/>
        <c:grouping val="stacked"/>
        <c:varyColors val="0"/>
        <c:ser>
          <c:idx val="0"/>
          <c:order val="0"/>
          <c:tx>
            <c:strRef>
              <c:f>'Bilan patrimonial'!$S$22</c:f>
              <c:strCache>
                <c:ptCount val="1"/>
                <c:pt idx="0">
                  <c:v>#REF!</c:v>
                </c:pt>
              </c:strCache>
            </c:strRef>
          </c:tx>
          <c:invertIfNegative val="0"/>
          <c:dLbls>
            <c:dLbl>
              <c:idx val="0"/>
              <c:tx>
                <c:strRef>
                  <c:f>'Bilan patrimonial'!$O$22</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{0B92865A-2908-4928-ACBF-7178AF94549D}</c15:txfldGUID>
                      <c15:f>'Bilan patrimonial'!$O$22</c15:f>
                      <c15:dlblFieldTableCache>
                        <c:ptCount val="1"/>
                        <c:pt idx="0">
                          <c:v>#DIV/0!</c:v>
                        </c:pt>
                      </c15:dlblFieldTableCache>
                    </c15:dlblFTEntry>
                  </c15:dlblFieldTable>
                  <c15:showDataLabelsRange val="0"/>
                </c:ext>
                <c:ext xmlns:c16="http://schemas.microsoft.com/office/drawing/2014/chart" uri="{C3380CC4-5D6E-409C-BE32-E72D297353CC}">
                  <c16:uniqueId val="{00000000-F7CC-463D-B260-6C01994A696E}"/>
                </c:ext>
              </c:extLst>
            </c:dLbl>
            <c:dLbl>
              <c:idx val="1"/>
              <c:tx>
                <c:strRef>
                  <c:f>'Bilan patrimonial'!$P$22</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{AF76BF00-FEC0-470D-9C58-5B9A10D20F6E}</c15:txfldGUID>
                      <c15:f>'Bilan patrimonial'!$P$22</c15:f>
                      <c15:dlblFieldTableCache>
                        <c:ptCount val="1"/>
                        <c:pt idx="0">
                          <c:v>#REF!</c:v>
                        </c:pt>
                      </c15:dlblFieldTableCache>
                    </c15:dlblFTEntry>
                  </c15:dlblFieldTable>
                  <c15:showDataLabelsRange val="0"/>
                </c:ext>
                <c:ext xmlns:c16="http://schemas.microsoft.com/office/drawing/2014/chart" uri="{C3380CC4-5D6E-409C-BE32-E72D297353CC}">
                  <c16:uniqueId val="{00000001-F7CC-463D-B260-6C01994A696E}"/>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patrimonial'!$F$22,'Bilan patrimonial'!$M$22)</c:f>
              <c:numCache>
                <c:formatCode>_ * #,##0_ ;_ * \-#,##0_ ;_ * "-"??_ ;_ @_ </c:formatCode>
                <c:ptCount val="2"/>
                <c:pt idx="0">
                  <c:v>0</c:v>
                </c:pt>
                <c:pt idx="1">
                  <c:v>0</c:v>
                </c:pt>
              </c:numCache>
            </c:numRef>
          </c:val>
          <c:extLst>
            <c:ext xmlns:c16="http://schemas.microsoft.com/office/drawing/2014/chart" uri="{C3380CC4-5D6E-409C-BE32-E72D297353CC}">
              <c16:uniqueId val="{00000002-F7CC-463D-B260-6C01994A696E}"/>
            </c:ext>
          </c:extLst>
        </c:ser>
        <c:ser>
          <c:idx val="1"/>
          <c:order val="1"/>
          <c:tx>
            <c:strRef>
              <c:f>'Bilan patrimonial'!$S$23</c:f>
              <c:strCache>
                <c:ptCount val="1"/>
                <c:pt idx="0">
                  <c:v>#REF!</c:v>
                </c:pt>
              </c:strCache>
            </c:strRef>
          </c:tx>
          <c:invertIfNegative val="0"/>
          <c:dLbls>
            <c:dLbl>
              <c:idx val="0"/>
              <c:tx>
                <c:strRef>
                  <c:f>'Bilan patrimonial'!$O$23</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{B1F93053-850C-4C83-B452-F1FD1F21BE01}</c15:txfldGUID>
                      <c15:f>'Bilan patrimonial'!$O$23</c15:f>
                      <c15:dlblFieldTableCache>
                        <c:ptCount val="1"/>
                        <c:pt idx="0">
                          <c:v>#DIV/0!</c:v>
                        </c:pt>
                      </c15:dlblFieldTableCache>
                    </c15:dlblFTEntry>
                  </c15:dlblFieldTable>
                  <c15:showDataLabelsRange val="0"/>
                </c:ext>
                <c:ext xmlns:c16="http://schemas.microsoft.com/office/drawing/2014/chart" uri="{C3380CC4-5D6E-409C-BE32-E72D297353CC}">
                  <c16:uniqueId val="{00000003-F7CC-463D-B260-6C01994A696E}"/>
                </c:ext>
              </c:extLst>
            </c:dLbl>
            <c:dLbl>
              <c:idx val="1"/>
              <c:tx>
                <c:strRef>
                  <c:f>'Bilan patrimonial'!$P$23</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{3131F5ED-56C7-471C-BD3E-371015B63C7B}</c15:txfldGUID>
                      <c15:f>'Bilan patrimonial'!$P$23</c15:f>
                      <c15:dlblFieldTableCache>
                        <c:ptCount val="1"/>
                        <c:pt idx="0">
                          <c:v>#REF!</c:v>
                        </c:pt>
                      </c15:dlblFieldTableCache>
                    </c15:dlblFTEntry>
                  </c15:dlblFieldTable>
                  <c15:showDataLabelsRange val="0"/>
                </c:ext>
                <c:ext xmlns:c16="http://schemas.microsoft.com/office/drawing/2014/chart" uri="{C3380CC4-5D6E-409C-BE32-E72D297353CC}">
                  <c16:uniqueId val="{00000004-F7CC-463D-B260-6C01994A696E}"/>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patrimonial'!$F$23,'Bilan patrimonial'!$M$23)</c:f>
              <c:numCache>
                <c:formatCode>_ * #,##0_ ;_ * \-#,##0_ ;_ * "-"??_ ;_ @_ </c:formatCode>
                <c:ptCount val="2"/>
                <c:pt idx="0">
                  <c:v>0</c:v>
                </c:pt>
                <c:pt idx="1">
                  <c:v>0</c:v>
                </c:pt>
              </c:numCache>
            </c:numRef>
          </c:val>
          <c:extLst>
            <c:ext xmlns:c16="http://schemas.microsoft.com/office/drawing/2014/chart" uri="{C3380CC4-5D6E-409C-BE32-E72D297353CC}">
              <c16:uniqueId val="{00000005-F7CC-463D-B260-6C01994A696E}"/>
            </c:ext>
          </c:extLst>
        </c:ser>
        <c:ser>
          <c:idx val="2"/>
          <c:order val="2"/>
          <c:tx>
            <c:strRef>
              <c:f>'Bilan patrimonial'!$S$25</c:f>
              <c:strCache>
                <c:ptCount val="1"/>
                <c:pt idx="0">
                  <c:v>#REF!</c:v>
                </c:pt>
              </c:strCache>
            </c:strRef>
          </c:tx>
          <c:invertIfNegative val="0"/>
          <c:dLbls>
            <c:dLbl>
              <c:idx val="0"/>
              <c:tx>
                <c:strRef>
                  <c:f>'Bilan patrimonial'!$O$25</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{C98688F9-9EF7-4369-8CB9-BDF157AEC905}</c15:txfldGUID>
                      <c15:f>'Bilan patrimonial'!$O$25</c15:f>
                      <c15:dlblFieldTableCache>
                        <c:ptCount val="1"/>
                        <c:pt idx="0">
                          <c:v>#DIV/0!</c:v>
                        </c:pt>
                      </c15:dlblFieldTableCache>
                    </c15:dlblFTEntry>
                  </c15:dlblFieldTable>
                  <c15:showDataLabelsRange val="0"/>
                </c:ext>
                <c:ext xmlns:c16="http://schemas.microsoft.com/office/drawing/2014/chart" uri="{C3380CC4-5D6E-409C-BE32-E72D297353CC}">
                  <c16:uniqueId val="{00000006-F7CC-463D-B260-6C01994A696E}"/>
                </c:ext>
              </c:extLst>
            </c:dLbl>
            <c:dLbl>
              <c:idx val="1"/>
              <c:tx>
                <c:strRef>
                  <c:f>'Bilan patrimonial'!$P$25</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{041F71B0-B694-4D93-8402-F80B04D68D4F}</c15:txfldGUID>
                      <c15:f>'Bilan patrimonial'!$P$25</c15:f>
                      <c15:dlblFieldTableCache>
                        <c:ptCount val="1"/>
                        <c:pt idx="0">
                          <c:v>#REF!</c:v>
                        </c:pt>
                      </c15:dlblFieldTableCache>
                    </c15:dlblFTEntry>
                  </c15:dlblFieldTable>
                  <c15:showDataLabelsRange val="0"/>
                </c:ext>
                <c:ext xmlns:c16="http://schemas.microsoft.com/office/drawing/2014/chart" uri="{C3380CC4-5D6E-409C-BE32-E72D297353CC}">
                  <c16:uniqueId val="{00000007-F7CC-463D-B260-6C01994A696E}"/>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patrimonial'!$F$25,'Bilan patrimonial'!$M$25)</c:f>
              <c:numCache>
                <c:formatCode>_ * #,##0_ ;_ * \-#,##0_ ;_ * "-"??_ ;_ @_ </c:formatCode>
                <c:ptCount val="2"/>
                <c:pt idx="0">
                  <c:v>0</c:v>
                </c:pt>
                <c:pt idx="1">
                  <c:v>0</c:v>
                </c:pt>
              </c:numCache>
            </c:numRef>
          </c:val>
          <c:extLst>
            <c:ext xmlns:c16="http://schemas.microsoft.com/office/drawing/2014/chart" uri="{C3380CC4-5D6E-409C-BE32-E72D297353CC}">
              <c16:uniqueId val="{00000008-F7CC-463D-B260-6C01994A696E}"/>
            </c:ext>
          </c:extLst>
        </c:ser>
        <c:ser>
          <c:idx val="4"/>
          <c:order val="3"/>
          <c:tx>
            <c:strRef>
              <c:f>'Bilan patrimonial'!$S$24</c:f>
              <c:strCache>
                <c:ptCount val="1"/>
                <c:pt idx="0">
                  <c:v>#REF!</c:v>
                </c:pt>
              </c:strCache>
            </c:strRef>
          </c:tx>
          <c:invertIfNegative val="0"/>
          <c:dLbls>
            <c:dLbl>
              <c:idx val="0"/>
              <c:tx>
                <c:strRef>
                  <c:f>'Bilan patrimonial'!$O$24</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{B2CDA927-83FD-49D5-BB42-706CEB2983CA}</c15:txfldGUID>
                      <c15:f>'Bilan patrimonial'!$O$24</c15:f>
                      <c15:dlblFieldTableCache>
                        <c:ptCount val="1"/>
                        <c:pt idx="0">
                          <c:v>#DIV/0!</c:v>
                        </c:pt>
                      </c15:dlblFieldTableCache>
                    </c15:dlblFTEntry>
                  </c15:dlblFieldTable>
                  <c15:showDataLabelsRange val="0"/>
                </c:ext>
                <c:ext xmlns:c16="http://schemas.microsoft.com/office/drawing/2014/chart" uri="{C3380CC4-5D6E-409C-BE32-E72D297353CC}">
                  <c16:uniqueId val="{00000009-F7CC-463D-B260-6C01994A696E}"/>
                </c:ext>
              </c:extLst>
            </c:dLbl>
            <c:dLbl>
              <c:idx val="1"/>
              <c:tx>
                <c:strRef>
                  <c:f>'Bilan patrimonial'!$P$24</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{D0CDF5F8-C599-47B9-BA7C-E422820A8380}</c15:txfldGUID>
                      <c15:f>'Bilan patrimonial'!$P$24</c15:f>
                      <c15:dlblFieldTableCache>
                        <c:ptCount val="1"/>
                        <c:pt idx="0">
                          <c:v>#REF!</c:v>
                        </c:pt>
                      </c15:dlblFieldTableCache>
                    </c15:dlblFTEntry>
                  </c15:dlblFieldTable>
                  <c15:showDataLabelsRange val="0"/>
                </c:ext>
                <c:ext xmlns:c16="http://schemas.microsoft.com/office/drawing/2014/chart" uri="{C3380CC4-5D6E-409C-BE32-E72D297353CC}">
                  <c16:uniqueId val="{0000000A-F7CC-463D-B260-6C01994A696E}"/>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patrimonial'!$F$24,'Bilan patrimonial'!$M$24)</c:f>
              <c:numCache>
                <c:formatCode>_ * #,##0_ ;_ * \-#,##0_ ;_ * "-"??_ ;_ @_ </c:formatCode>
                <c:ptCount val="2"/>
                <c:pt idx="0">
                  <c:v>0</c:v>
                </c:pt>
                <c:pt idx="1">
                  <c:v>0</c:v>
                </c:pt>
              </c:numCache>
            </c:numRef>
          </c:val>
          <c:extLst>
            <c:ext xmlns:c16="http://schemas.microsoft.com/office/drawing/2014/chart" uri="{C3380CC4-5D6E-409C-BE32-E72D297353CC}">
              <c16:uniqueId val="{0000000B-F7CC-463D-B260-6C01994A696E}"/>
            </c:ext>
          </c:extLst>
        </c:ser>
        <c:ser>
          <c:idx val="3"/>
          <c:order val="4"/>
          <c:tx>
            <c:strRef>
              <c:f>'Bilan patrimonial'!$S$26</c:f>
              <c:strCache>
                <c:ptCount val="1"/>
                <c:pt idx="0">
                  <c:v>#REF!</c:v>
                </c:pt>
              </c:strCache>
            </c:strRef>
          </c:tx>
          <c:invertIfNegative val="0"/>
          <c:dLbls>
            <c:dLbl>
              <c:idx val="0"/>
              <c:tx>
                <c:strRef>
                  <c:f>'Bilan patrimonial'!$O$26</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{A25A1C9B-2119-4C3A-9EFE-ECC32E4919E0}</c15:txfldGUID>
                      <c15:f>'Bilan patrimonial'!$O$26</c15:f>
                      <c15:dlblFieldTableCache>
                        <c:ptCount val="1"/>
                        <c:pt idx="0">
                          <c:v>#DIV/0!</c:v>
                        </c:pt>
                      </c15:dlblFieldTableCache>
                    </c15:dlblFTEntry>
                  </c15:dlblFieldTable>
                  <c15:showDataLabelsRange val="0"/>
                </c:ext>
                <c:ext xmlns:c16="http://schemas.microsoft.com/office/drawing/2014/chart" uri="{C3380CC4-5D6E-409C-BE32-E72D297353CC}">
                  <c16:uniqueId val="{0000000C-F7CC-463D-B260-6C01994A696E}"/>
                </c:ext>
              </c:extLst>
            </c:dLbl>
            <c:dLbl>
              <c:idx val="1"/>
              <c:tx>
                <c:strRef>
                  <c:f>'Bilan patrimonial'!$P$26</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{085D8FB3-681E-4657-884A-0AAE630EEDC8}</c15:txfldGUID>
                      <c15:f>'Bilan patrimonial'!$P$26</c15:f>
                      <c15:dlblFieldTableCache>
                        <c:ptCount val="1"/>
                        <c:pt idx="0">
                          <c:v>#REF!</c:v>
                        </c:pt>
                      </c15:dlblFieldTableCache>
                    </c15:dlblFTEntry>
                  </c15:dlblFieldTable>
                  <c15:showDataLabelsRange val="0"/>
                </c:ext>
                <c:ext xmlns:c16="http://schemas.microsoft.com/office/drawing/2014/chart" uri="{C3380CC4-5D6E-409C-BE32-E72D297353CC}">
                  <c16:uniqueId val="{0000000D-F7CC-463D-B260-6C01994A696E}"/>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patrimonial'!$F$26,'Bilan patrimonial'!$M$26)</c:f>
              <c:numCache>
                <c:formatCode>_ * #,##0_ ;_ * \-#,##0_ ;_ * "-"??_ ;_ @_ </c:formatCode>
                <c:ptCount val="2"/>
                <c:pt idx="0">
                  <c:v>0</c:v>
                </c:pt>
                <c:pt idx="1">
                  <c:v>0</c:v>
                </c:pt>
              </c:numCache>
            </c:numRef>
          </c:val>
          <c:extLst>
            <c:ext xmlns:c16="http://schemas.microsoft.com/office/drawing/2014/chart" uri="{C3380CC4-5D6E-409C-BE32-E72D297353CC}">
              <c16:uniqueId val="{0000000E-F7CC-463D-B260-6C01994A696E}"/>
            </c:ext>
          </c:extLst>
        </c:ser>
        <c:dLbls>
          <c:showLegendKey val="0"/>
          <c:showVal val="0"/>
          <c:showCatName val="0"/>
          <c:showSerName val="0"/>
          <c:showPercent val="0"/>
          <c:showBubbleSize val="0"/>
        </c:dLbls>
        <c:gapWidth val="300"/>
        <c:overlap val="100"/>
        <c:serLines>
          <c:spPr>
            <a:ln>
              <a:solidFill>
                <a:schemeClr val="tx1">
                  <a:lumMod val="75000"/>
                  <a:lumOff val="25000"/>
                </a:schemeClr>
              </a:solidFill>
            </a:ln>
          </c:spPr>
        </c:serLines>
        <c:axId val="1858040703"/>
        <c:axId val="1"/>
      </c:barChart>
      <c:catAx>
        <c:axId val="1858040703"/>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6350">
              <a:prstDash val="sysDash"/>
            </a:ln>
          </c:spPr>
        </c:majorGridlines>
        <c:title>
          <c:tx>
            <c:rich>
              <a:bodyPr/>
              <a:lstStyle/>
              <a:p>
                <a:pPr>
                  <a:defRPr sz="1400" b="1" i="0" u="none" strike="noStrike" baseline="0">
                    <a:solidFill>
                      <a:srgbClr val="333333"/>
                    </a:solidFill>
                    <a:latin typeface="Calibri"/>
                    <a:ea typeface="Calibri"/>
                    <a:cs typeface="Calibri"/>
                  </a:defRPr>
                </a:pPr>
                <a:r>
                  <a:rPr lang="fr-BE"/>
                  <a:t>tCO2eq</a:t>
                </a:r>
              </a:p>
            </c:rich>
          </c:tx>
          <c:overlay val="0"/>
        </c:title>
        <c:numFmt formatCode="_ * #,##0_ ;_ * \-#,##0_ ;_ * &quot;-&quot;??_ ;_ @_ "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858040703"/>
        <c:crosses val="autoZero"/>
        <c:crossBetween val="between"/>
      </c:valAx>
    </c:plotArea>
    <c:legend>
      <c:legendPos val="r"/>
      <c:overlay val="0"/>
      <c:txPr>
        <a:bodyPr/>
        <a:lstStyle/>
        <a:p>
          <a:pPr>
            <a:defRPr sz="1000" b="0" i="0" u="none" strike="noStrike" baseline="0">
              <a:solidFill>
                <a:srgbClr val="333333"/>
              </a:solidFill>
              <a:latin typeface="Calibri"/>
              <a:ea typeface="Calibri"/>
              <a:cs typeface="Calibri"/>
            </a:defRPr>
          </a:pPr>
          <a:endParaRPr lang="fr-FR"/>
        </a:p>
      </c:txPr>
    </c:legend>
    <c:plotVisOnly val="1"/>
    <c:dispBlanksAs val="gap"/>
    <c:showDLblsOverMax val="0"/>
  </c:chart>
  <c:spPr>
    <a:noFill/>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'Bilan patrimonial'!$A$35</c:f>
          <c:strCache>
            <c:ptCount val="1"/>
            <c:pt idx="0">
              <c:v>#REF!</c:v>
            </c:pt>
          </c:strCache>
        </c:strRef>
      </c:tx>
      <c:layout>
        <c:manualLayout>
          <c:xMode val="edge"/>
          <c:yMode val="edge"/>
          <c:x val="0.10194545906480791"/>
          <c:y val="2.1725958953925938E-2"/>
        </c:manualLayout>
      </c:layout>
      <c:overlay val="0"/>
      <c:txPr>
        <a:bodyPr/>
        <a:lstStyle/>
        <a:p>
          <a:pPr>
            <a:defRPr sz="1800" b="1" i="0" u="none" strike="noStrike" baseline="0">
              <a:solidFill>
                <a:srgbClr val="333333"/>
              </a:solidFill>
              <a:latin typeface="Calibri"/>
              <a:ea typeface="Calibri"/>
              <a:cs typeface="Calibri"/>
            </a:defRPr>
          </a:pPr>
          <a:endParaRPr lang="fr-FR"/>
        </a:p>
      </c:txPr>
    </c:title>
    <c:autoTitleDeleted val="0"/>
    <c:plotArea>
      <c:layout/>
      <c:areaChart>
        <c:grouping val="stacked"/>
        <c:varyColors val="0"/>
        <c:ser>
          <c:idx val="5"/>
          <c:order val="5"/>
          <c:tx>
            <c:v>Production renouvelable</c:v>
          </c:tx>
          <c:dLbls>
            <c:dLbl>
              <c:idx val="0"/>
              <c:layout>
                <c:manualLayout>
                  <c:x val="5.5963818876992699E-2"/>
                  <c:y val="-4.4005637839197906E-2"/>
                </c:manualLayout>
              </c:layout>
              <c:tx>
                <c:strRef>
                  <c:f>'Bilan patrimonial'!$B$46</c:f>
                  <c:strCache>
                    <c:ptCount val="1"/>
                    <c:pt idx="0">
                      <c:v>#DIV/0!</c:v>
                    </c:pt>
                  </c:strCache>
                </c:strRef>
              </c:tx>
              <c:spPr>
                <a:noFill/>
                <a:ln>
                  <a:noFill/>
                </a:ln>
                <a:effectLst/>
              </c:spPr>
              <c:txPr>
                <a:bodyPr wrap="square" lIns="38100" tIns="19050" rIns="38100" bIns="19050" anchor="ctr">
                  <a:spAutoFit/>
                </a:bodyPr>
                <a:lstStyle/>
                <a:p>
                  <a:pPr>
                    <a:defRPr sz="1200" b="1">
                      <a:solidFill>
                        <a:schemeClr val="accent6">
                          <a:lumMod val="7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15:dlblFieldTable>
                    <c15:dlblFTEntry>
                      <c15:txfldGUID>{F15A14E7-CEDF-43C9-81D9-402C7D454117}</c15:txfldGUID>
                      <c15:f>'Bilan patrimonial'!$B$46</c15:f>
                      <c15:dlblFieldTableCache>
                        <c:ptCount val="1"/>
                        <c:pt idx="0">
                          <c:v>#DIV/0!</c:v>
                        </c:pt>
                      </c15:dlblFieldTableCache>
                    </c15:dlblFTEntry>
                  </c15:dlblFieldTable>
                  <c15:showDataLabelsRange val="0"/>
                </c:ext>
                <c:ext xmlns:c16="http://schemas.microsoft.com/office/drawing/2014/chart" uri="{C3380CC4-5D6E-409C-BE32-E72D297353CC}">
                  <c16:uniqueId val="{00000002-E3E6-43CA-B285-CB6C68530B1D}"/>
                </c:ext>
              </c:extLst>
            </c:dLbl>
            <c:dLbl>
              <c:idx val="1"/>
              <c:layout>
                <c:manualLayout>
                  <c:x val="-6.1051438774901129E-2"/>
                  <c:y val="-5.4160785032858962E-2"/>
                </c:manualLayout>
              </c:layout>
              <c:tx>
                <c:strRef>
                  <c:f>'Bilan patrimonial'!$I$46</c:f>
                  <c:strCache>
                    <c:ptCount val="1"/>
                    <c:pt idx="0">
                      <c:v>#N/A</c:v>
                    </c:pt>
                  </c:strCache>
                </c:strRef>
              </c:tx>
              <c:spPr>
                <a:noFill/>
                <a:ln>
                  <a:noFill/>
                </a:ln>
                <a:effectLst/>
              </c:spPr>
              <c:txPr>
                <a:bodyPr wrap="square" lIns="38100" tIns="19050" rIns="38100" bIns="19050" anchor="ctr">
                  <a:spAutoFit/>
                </a:bodyPr>
                <a:lstStyle/>
                <a:p>
                  <a:pPr>
                    <a:defRPr sz="1200" b="1">
                      <a:solidFill>
                        <a:schemeClr val="accent6">
                          <a:lumMod val="7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15:dlblFieldTable>
                    <c15:dlblFTEntry>
                      <c15:txfldGUID>{C807F145-3FBB-4A56-B9D5-A72DCDC24C10}</c15:txfldGUID>
                      <c15:f>'Bilan patrimonial'!$I$46</c15:f>
                      <c15:dlblFieldTableCache>
                        <c:ptCount val="1"/>
                        <c:pt idx="0">
                          <c:v>#N/A</c:v>
                        </c:pt>
                      </c15:dlblFieldTableCache>
                    </c15:dlblFTEntry>
                  </c15:dlblFieldTable>
                  <c15:showDataLabelsRange val="0"/>
                </c:ext>
                <c:ext xmlns:c16="http://schemas.microsoft.com/office/drawing/2014/chart" uri="{C3380CC4-5D6E-409C-BE32-E72D297353CC}">
                  <c16:uniqueId val="{00000001-E3E6-43CA-B285-CB6C68530B1D}"/>
                </c:ext>
              </c:extLst>
            </c:dLbl>
            <c:spPr>
              <a:noFill/>
              <a:ln>
                <a:noFill/>
              </a:ln>
              <a:effectLst/>
            </c:spPr>
            <c:txPr>
              <a:bodyPr wrap="square" lIns="38100" tIns="19050" rIns="38100" bIns="19050" anchor="ctr">
                <a:spAutoFit/>
              </a:bodyPr>
              <a:lstStyle/>
              <a:p>
                <a:pPr>
                  <a:defRPr sz="12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patrimonial'!$B$44,'Bilan patrimonial'!$I$44)</c:f>
              <c:numCache>
                <c:formatCode>_ * #,##0_ ;_ * \-#,##0_ ;_ * "-"??_ ;_ @_ </c:formatCode>
                <c:ptCount val="2"/>
                <c:pt idx="0">
                  <c:v>0</c:v>
                </c:pt>
                <c:pt idx="1">
                  <c:v>#N/A</c:v>
                </c:pt>
              </c:numCache>
            </c:numRef>
          </c:val>
          <c:extLst>
            <c:ext xmlns:c16="http://schemas.microsoft.com/office/drawing/2014/chart" uri="{C3380CC4-5D6E-409C-BE32-E72D297353CC}">
              <c16:uniqueId val="{00000000-E3E6-43CA-B285-CB6C68530B1D}"/>
            </c:ext>
          </c:extLst>
        </c:ser>
        <c:dLbls>
          <c:showLegendKey val="0"/>
          <c:showVal val="0"/>
          <c:showCatName val="0"/>
          <c:showSerName val="0"/>
          <c:showPercent val="0"/>
          <c:showBubbleSize val="0"/>
        </c:dLbls>
        <c:axId val="1858037903"/>
        <c:axId val="1"/>
      </c:areaChart>
      <c:barChart>
        <c:barDir val="col"/>
        <c:grouping val="stacked"/>
        <c:varyColors val="0"/>
        <c:ser>
          <c:idx val="0"/>
          <c:order val="0"/>
          <c:tx>
            <c:strRef>
              <c:f>'Bilan patrimonial'!$S$8</c:f>
              <c:strCache>
                <c:ptCount val="1"/>
                <c:pt idx="0">
                  <c:v>#REF!</c:v>
                </c:pt>
              </c:strCache>
            </c:strRef>
          </c:tx>
          <c:invertIfNegative val="0"/>
          <c:dLbls>
            <c:dLbl>
              <c:idx val="0"/>
              <c:tx>
                <c:strRef>
                  <c:f>'Bilan patrimonial'!$O$8</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{04944413-C571-4E6B-9B0E-C6D04D92EF51}</c15:txfldGUID>
                      <c15:f>'Bilan patrimonial'!$O$8</c15:f>
                      <c15:dlblFieldTableCache>
                        <c:ptCount val="1"/>
                        <c:pt idx="0">
                          <c:v>#DIV/0!</c:v>
                        </c:pt>
                      </c15:dlblFieldTableCache>
                    </c15:dlblFTEntry>
                  </c15:dlblFieldTable>
                  <c15:showDataLabelsRange val="0"/>
                </c:ext>
                <c:ext xmlns:c16="http://schemas.microsoft.com/office/drawing/2014/chart" uri="{C3380CC4-5D6E-409C-BE32-E72D297353CC}">
                  <c16:uniqueId val="{00000000-A4EF-48DE-81D6-68152C821AA0}"/>
                </c:ext>
              </c:extLst>
            </c:dLbl>
            <c:dLbl>
              <c:idx val="1"/>
              <c:tx>
                <c:strRef>
                  <c:f>'Bilan patrimonial'!$P$8</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{53E2717B-E059-4D54-9B28-1CD5C16001B5}</c15:txfldGUID>
                      <c15:f>'Bilan patrimonial'!$P$8</c15:f>
                      <c15:dlblFieldTableCache>
                        <c:ptCount val="1"/>
                        <c:pt idx="0">
                          <c:v>#REF!</c:v>
                        </c:pt>
                      </c15:dlblFieldTableCache>
                    </c15:dlblFTEntry>
                  </c15:dlblFieldTable>
                  <c15:showDataLabelsRange val="0"/>
                </c:ext>
                <c:ext xmlns:c16="http://schemas.microsoft.com/office/drawing/2014/chart" uri="{C3380CC4-5D6E-409C-BE32-E72D297353CC}">
                  <c16:uniqueId val="{00000001-A4EF-48DE-81D6-68152C821AA0}"/>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patrimonial'!$F$8,'Bilan patrimonial'!$M$8)</c:f>
              <c:numCache>
                <c:formatCode>_ * #,##0_ ;_ * \-#,##0_ ;_ * "-"??_ ;_ @_ </c:formatCode>
                <c:ptCount val="2"/>
                <c:pt idx="0">
                  <c:v>0</c:v>
                </c:pt>
                <c:pt idx="1">
                  <c:v>0</c:v>
                </c:pt>
              </c:numCache>
            </c:numRef>
          </c:val>
          <c:extLst>
            <c:ext xmlns:c16="http://schemas.microsoft.com/office/drawing/2014/chart" uri="{C3380CC4-5D6E-409C-BE32-E72D297353CC}">
              <c16:uniqueId val="{00000002-A4EF-48DE-81D6-68152C821AA0}"/>
            </c:ext>
          </c:extLst>
        </c:ser>
        <c:ser>
          <c:idx val="1"/>
          <c:order val="1"/>
          <c:tx>
            <c:strRef>
              <c:f>'Bilan patrimonial'!$S$9</c:f>
              <c:strCache>
                <c:ptCount val="1"/>
                <c:pt idx="0">
                  <c:v>#REF!</c:v>
                </c:pt>
              </c:strCache>
            </c:strRef>
          </c:tx>
          <c:invertIfNegative val="0"/>
          <c:dLbls>
            <c:dLbl>
              <c:idx val="0"/>
              <c:tx>
                <c:strRef>
                  <c:f>'Bilan patrimonial'!$O$9</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{BE886D85-6C6E-47E9-8150-2C1423E4BAEE}</c15:txfldGUID>
                      <c15:f>'Bilan patrimonial'!$O$9</c15:f>
                      <c15:dlblFieldTableCache>
                        <c:ptCount val="1"/>
                        <c:pt idx="0">
                          <c:v>#DIV/0!</c:v>
                        </c:pt>
                      </c15:dlblFieldTableCache>
                    </c15:dlblFTEntry>
                  </c15:dlblFieldTable>
                  <c15:showDataLabelsRange val="0"/>
                </c:ext>
                <c:ext xmlns:c16="http://schemas.microsoft.com/office/drawing/2014/chart" uri="{C3380CC4-5D6E-409C-BE32-E72D297353CC}">
                  <c16:uniqueId val="{00000003-A4EF-48DE-81D6-68152C821AA0}"/>
                </c:ext>
              </c:extLst>
            </c:dLbl>
            <c:dLbl>
              <c:idx val="1"/>
              <c:tx>
                <c:strRef>
                  <c:f>'Bilan patrimonial'!$P$9</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{4B309C5B-1BBF-4104-9E99-F6256A28F0B6}</c15:txfldGUID>
                      <c15:f>'Bilan patrimonial'!$P$9</c15:f>
                      <c15:dlblFieldTableCache>
                        <c:ptCount val="1"/>
                        <c:pt idx="0">
                          <c:v>#REF!</c:v>
                        </c:pt>
                      </c15:dlblFieldTableCache>
                    </c15:dlblFTEntry>
                  </c15:dlblFieldTable>
                  <c15:showDataLabelsRange val="0"/>
                </c:ext>
                <c:ext xmlns:c16="http://schemas.microsoft.com/office/drawing/2014/chart" uri="{C3380CC4-5D6E-409C-BE32-E72D297353CC}">
                  <c16:uniqueId val="{00000004-A4EF-48DE-81D6-68152C821AA0}"/>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patrimonial'!$F$9,'Bilan patrimonial'!$M$9)</c:f>
              <c:numCache>
                <c:formatCode>_ * #,##0_ ;_ * \-#,##0_ ;_ * "-"??_ ;_ @_ </c:formatCode>
                <c:ptCount val="2"/>
                <c:pt idx="0">
                  <c:v>0</c:v>
                </c:pt>
                <c:pt idx="1">
                  <c:v>0</c:v>
                </c:pt>
              </c:numCache>
            </c:numRef>
          </c:val>
          <c:extLst>
            <c:ext xmlns:c16="http://schemas.microsoft.com/office/drawing/2014/chart" uri="{C3380CC4-5D6E-409C-BE32-E72D297353CC}">
              <c16:uniqueId val="{00000005-A4EF-48DE-81D6-68152C821AA0}"/>
            </c:ext>
          </c:extLst>
        </c:ser>
        <c:ser>
          <c:idx val="2"/>
          <c:order val="2"/>
          <c:tx>
            <c:strRef>
              <c:f>'Bilan patrimonial'!$S$11</c:f>
              <c:strCache>
                <c:ptCount val="1"/>
                <c:pt idx="0">
                  <c:v>#REF!</c:v>
                </c:pt>
              </c:strCache>
            </c:strRef>
          </c:tx>
          <c:invertIfNegative val="0"/>
          <c:dLbls>
            <c:dLbl>
              <c:idx val="0"/>
              <c:tx>
                <c:strRef>
                  <c:f>'Bilan patrimonial'!$O$11</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{C77C565F-2FC4-4FB5-B3C1-197130AD4357}</c15:txfldGUID>
                      <c15:f>'Bilan patrimonial'!$O$11</c15:f>
                      <c15:dlblFieldTableCache>
                        <c:ptCount val="1"/>
                        <c:pt idx="0">
                          <c:v>#DIV/0!</c:v>
                        </c:pt>
                      </c15:dlblFieldTableCache>
                    </c15:dlblFTEntry>
                  </c15:dlblFieldTable>
                  <c15:showDataLabelsRange val="0"/>
                </c:ext>
                <c:ext xmlns:c16="http://schemas.microsoft.com/office/drawing/2014/chart" uri="{C3380CC4-5D6E-409C-BE32-E72D297353CC}">
                  <c16:uniqueId val="{00000006-A4EF-48DE-81D6-68152C821AA0}"/>
                </c:ext>
              </c:extLst>
            </c:dLbl>
            <c:dLbl>
              <c:idx val="1"/>
              <c:tx>
                <c:strRef>
                  <c:f>'Bilan patrimonial'!$P$11</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{BF4A8FB7-62CD-4A84-9354-C3AE7D4AF323}</c15:txfldGUID>
                      <c15:f>'Bilan patrimonial'!$P$11</c15:f>
                      <c15:dlblFieldTableCache>
                        <c:ptCount val="1"/>
                        <c:pt idx="0">
                          <c:v>#REF!</c:v>
                        </c:pt>
                      </c15:dlblFieldTableCache>
                    </c15:dlblFTEntry>
                  </c15:dlblFieldTable>
                  <c15:showDataLabelsRange val="0"/>
                </c:ext>
                <c:ext xmlns:c16="http://schemas.microsoft.com/office/drawing/2014/chart" uri="{C3380CC4-5D6E-409C-BE32-E72D297353CC}">
                  <c16:uniqueId val="{00000007-A4EF-48DE-81D6-68152C821AA0}"/>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patrimonial'!$F$11,'Bilan patrimonial'!$M$11)</c:f>
              <c:numCache>
                <c:formatCode>_ * #,##0_ ;_ * \-#,##0_ ;_ * "-"??_ ;_ @_ </c:formatCode>
                <c:ptCount val="2"/>
                <c:pt idx="0">
                  <c:v>0</c:v>
                </c:pt>
                <c:pt idx="1">
                  <c:v>0</c:v>
                </c:pt>
              </c:numCache>
            </c:numRef>
          </c:val>
          <c:extLst>
            <c:ext xmlns:c16="http://schemas.microsoft.com/office/drawing/2014/chart" uri="{C3380CC4-5D6E-409C-BE32-E72D297353CC}">
              <c16:uniqueId val="{00000008-A4EF-48DE-81D6-68152C821AA0}"/>
            </c:ext>
          </c:extLst>
        </c:ser>
        <c:ser>
          <c:idx val="4"/>
          <c:order val="3"/>
          <c:tx>
            <c:strRef>
              <c:f>'Bilan patrimonial'!$S$10</c:f>
              <c:strCache>
                <c:ptCount val="1"/>
                <c:pt idx="0">
                  <c:v>#REF!</c:v>
                </c:pt>
              </c:strCache>
            </c:strRef>
          </c:tx>
          <c:invertIfNegative val="0"/>
          <c:dLbls>
            <c:dLbl>
              <c:idx val="0"/>
              <c:tx>
                <c:strRef>
                  <c:f>'Bilan patrimonial'!$O$10</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{64DA8668-0DAE-4CBE-A351-1CA25A167868}</c15:txfldGUID>
                      <c15:f>'Bilan patrimonial'!$O$10</c15:f>
                      <c15:dlblFieldTableCache>
                        <c:ptCount val="1"/>
                        <c:pt idx="0">
                          <c:v>#DIV/0!</c:v>
                        </c:pt>
                      </c15:dlblFieldTableCache>
                    </c15:dlblFTEntry>
                  </c15:dlblFieldTable>
                  <c15:showDataLabelsRange val="0"/>
                </c:ext>
                <c:ext xmlns:c16="http://schemas.microsoft.com/office/drawing/2014/chart" uri="{C3380CC4-5D6E-409C-BE32-E72D297353CC}">
                  <c16:uniqueId val="{00000009-A4EF-48DE-81D6-68152C821AA0}"/>
                </c:ext>
              </c:extLst>
            </c:dLbl>
            <c:dLbl>
              <c:idx val="1"/>
              <c:tx>
                <c:strRef>
                  <c:f>'Bilan patrimonial'!$P$10</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{9468E3F0-AADE-47BB-AE47-60DBEDFE803D}</c15:txfldGUID>
                      <c15:f>'Bilan patrimonial'!$P$10</c15:f>
                      <c15:dlblFieldTableCache>
                        <c:ptCount val="1"/>
                        <c:pt idx="0">
                          <c:v>#REF!</c:v>
                        </c:pt>
                      </c15:dlblFieldTableCache>
                    </c15:dlblFTEntry>
                  </c15:dlblFieldTable>
                  <c15:showDataLabelsRange val="0"/>
                </c:ext>
                <c:ext xmlns:c16="http://schemas.microsoft.com/office/drawing/2014/chart" uri="{C3380CC4-5D6E-409C-BE32-E72D297353CC}">
                  <c16:uniqueId val="{0000000A-A4EF-48DE-81D6-68152C821AA0}"/>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patrimonial'!$F$10,'Bilan patrimonial'!$M$10)</c:f>
              <c:numCache>
                <c:formatCode>_ * #,##0_ ;_ * \-#,##0_ ;_ * "-"??_ ;_ @_ </c:formatCode>
                <c:ptCount val="2"/>
                <c:pt idx="0">
                  <c:v>0</c:v>
                </c:pt>
                <c:pt idx="1">
                  <c:v>0</c:v>
                </c:pt>
              </c:numCache>
            </c:numRef>
          </c:val>
          <c:extLst>
            <c:ext xmlns:c16="http://schemas.microsoft.com/office/drawing/2014/chart" uri="{C3380CC4-5D6E-409C-BE32-E72D297353CC}">
              <c16:uniqueId val="{0000000B-A4EF-48DE-81D6-68152C821AA0}"/>
            </c:ext>
          </c:extLst>
        </c:ser>
        <c:ser>
          <c:idx val="3"/>
          <c:order val="4"/>
          <c:tx>
            <c:strRef>
              <c:f>'Bilan patrimonial'!$S$12</c:f>
              <c:strCache>
                <c:ptCount val="1"/>
                <c:pt idx="0">
                  <c:v>#REF!</c:v>
                </c:pt>
              </c:strCache>
            </c:strRef>
          </c:tx>
          <c:invertIfNegative val="0"/>
          <c:dLbls>
            <c:dLbl>
              <c:idx val="0"/>
              <c:tx>
                <c:strRef>
                  <c:f>'Bilan patrimonial'!$O$12</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{0D93C7B2-7077-49DB-ABEA-762663D5703F}</c15:txfldGUID>
                      <c15:f>'Bilan patrimonial'!$O$12</c15:f>
                      <c15:dlblFieldTableCache>
                        <c:ptCount val="1"/>
                        <c:pt idx="0">
                          <c:v>#DIV/0!</c:v>
                        </c:pt>
                      </c15:dlblFieldTableCache>
                    </c15:dlblFTEntry>
                  </c15:dlblFieldTable>
                  <c15:showDataLabelsRange val="0"/>
                </c:ext>
                <c:ext xmlns:c16="http://schemas.microsoft.com/office/drawing/2014/chart" uri="{C3380CC4-5D6E-409C-BE32-E72D297353CC}">
                  <c16:uniqueId val="{0000000C-A4EF-48DE-81D6-68152C821AA0}"/>
                </c:ext>
              </c:extLst>
            </c:dLbl>
            <c:dLbl>
              <c:idx val="1"/>
              <c:tx>
                <c:strRef>
                  <c:f>'Bilan patrimonial'!$P$12</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{06986381-64C3-4B9F-BD6D-C662D1A784D1}</c15:txfldGUID>
                      <c15:f>'Bilan patrimonial'!$P$12</c15:f>
                      <c15:dlblFieldTableCache>
                        <c:ptCount val="1"/>
                        <c:pt idx="0">
                          <c:v>#REF!</c:v>
                        </c:pt>
                      </c15:dlblFieldTableCache>
                    </c15:dlblFTEntry>
                  </c15:dlblFieldTable>
                  <c15:showDataLabelsRange val="0"/>
                </c:ext>
                <c:ext xmlns:c16="http://schemas.microsoft.com/office/drawing/2014/chart" uri="{C3380CC4-5D6E-409C-BE32-E72D297353CC}">
                  <c16:uniqueId val="{0000000D-A4EF-48DE-81D6-68152C821AA0}"/>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patrimonial'!$F$12,'Bilan patrimonial'!$M$12)</c:f>
              <c:numCache>
                <c:formatCode>_ * #,##0_ ;_ * \-#,##0_ ;_ * "-"??_ ;_ @_ </c:formatCode>
                <c:ptCount val="2"/>
                <c:pt idx="0">
                  <c:v>0</c:v>
                </c:pt>
                <c:pt idx="1">
                  <c:v>0</c:v>
                </c:pt>
              </c:numCache>
            </c:numRef>
          </c:val>
          <c:extLst>
            <c:ext xmlns:c16="http://schemas.microsoft.com/office/drawing/2014/chart" uri="{C3380CC4-5D6E-409C-BE32-E72D297353CC}">
              <c16:uniqueId val="{0000000E-A4EF-48DE-81D6-68152C821AA0}"/>
            </c:ext>
          </c:extLst>
        </c:ser>
        <c:dLbls>
          <c:showLegendKey val="0"/>
          <c:showVal val="0"/>
          <c:showCatName val="0"/>
          <c:showSerName val="0"/>
          <c:showPercent val="0"/>
          <c:showBubbleSize val="0"/>
        </c:dLbls>
        <c:gapWidth val="300"/>
        <c:overlap val="100"/>
        <c:axId val="1858037903"/>
        <c:axId val="1"/>
      </c:barChart>
      <c:catAx>
        <c:axId val="1858037903"/>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6350">
              <a:prstDash val="sysDash"/>
            </a:ln>
          </c:spPr>
        </c:majorGridlines>
        <c:title>
          <c:tx>
            <c:rich>
              <a:bodyPr/>
              <a:lstStyle/>
              <a:p>
                <a:pPr>
                  <a:defRPr sz="1400" b="1" i="0" u="none" strike="noStrike" baseline="0">
                    <a:solidFill>
                      <a:srgbClr val="333333"/>
                    </a:solidFill>
                    <a:latin typeface="Calibri"/>
                    <a:ea typeface="Calibri"/>
                    <a:cs typeface="Calibri"/>
                  </a:defRPr>
                </a:pPr>
                <a:r>
                  <a:rPr lang="fr-BE"/>
                  <a:t>kWh</a:t>
                </a:r>
              </a:p>
            </c:rich>
          </c:tx>
          <c:overlay val="0"/>
        </c:title>
        <c:numFmt formatCode="_ * #,##0_ ;_ * \-#,##0_ ;_ * &quot;-&quot;??_ ;_ @_ "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858037903"/>
        <c:crosses val="autoZero"/>
        <c:crossBetween val="between"/>
      </c:valAx>
    </c:plotArea>
    <c:legend>
      <c:legendPos val="r"/>
      <c:overlay val="0"/>
      <c:txPr>
        <a:bodyPr/>
        <a:lstStyle/>
        <a:p>
          <a:pPr>
            <a:defRPr sz="1000" b="0" i="0" u="none" strike="noStrike" baseline="0">
              <a:solidFill>
                <a:srgbClr val="333333"/>
              </a:solidFill>
              <a:latin typeface="Calibri"/>
              <a:ea typeface="Calibri"/>
              <a:cs typeface="Calibri"/>
            </a:defRPr>
          </a:pPr>
          <a:endParaRPr lang="fr-FR"/>
        </a:p>
      </c:txPr>
    </c:legend>
    <c:plotVisOnly val="1"/>
    <c:dispBlanksAs val="gap"/>
    <c:showDLblsOverMax val="0"/>
  </c:chart>
  <c:spPr>
    <a:noFill/>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'Bilan patrimonial'!$A$46</c:f>
          <c:strCache>
            <c:ptCount val="1"/>
            <c:pt idx="0">
              <c:v>#REF!</c:v>
            </c:pt>
          </c:strCache>
        </c:strRef>
      </c:tx>
      <c:layout>
        <c:manualLayout>
          <c:xMode val="edge"/>
          <c:yMode val="edge"/>
          <c:x val="0.11227448900493656"/>
          <c:y val="1.8400979179348218E-2"/>
        </c:manualLayout>
      </c:layout>
      <c:overlay val="0"/>
      <c:txPr>
        <a:bodyPr/>
        <a:lstStyle/>
        <a:p>
          <a:pPr>
            <a:defRPr sz="1800" b="1" i="0" u="none" strike="noStrike" baseline="0">
              <a:solidFill>
                <a:srgbClr val="333333"/>
              </a:solidFill>
              <a:latin typeface="Calibri"/>
              <a:ea typeface="Calibri"/>
              <a:cs typeface="Calibri"/>
            </a:defRPr>
          </a:pPr>
          <a:endParaRPr lang="fr-FR"/>
        </a:p>
      </c:txPr>
    </c:title>
    <c:autoTitleDeleted val="0"/>
    <c:plotArea>
      <c:layout/>
      <c:barChart>
        <c:barDir val="col"/>
        <c:grouping val="stacked"/>
        <c:varyColors val="0"/>
        <c:ser>
          <c:idx val="0"/>
          <c:order val="0"/>
          <c:tx>
            <c:strRef>
              <c:f>'Bilan patrimonial'!$I$18</c:f>
              <c:strCache>
                <c:ptCount val="1"/>
                <c:pt idx="0">
                  <c:v>#REF!</c:v>
                </c:pt>
              </c:strCache>
            </c:strRef>
          </c:tx>
          <c:invertIfNegative val="0"/>
          <c:dLbls>
            <c:dLbl>
              <c:idx val="0"/>
              <c:tx>
                <c:strRef>
                  <c:f>'Bilan patrimonial'!$B$15</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{99C288EA-2E20-4037-9B98-3693482A61A2}</c15:txfldGUID>
                      <c15:f>'Bilan patrimonial'!$B$15</c15:f>
                      <c15:dlblFieldTableCache>
                        <c:ptCount val="1"/>
                        <c:pt idx="0">
                          <c:v>#DIV/0!</c:v>
                        </c:pt>
                      </c15:dlblFieldTableCache>
                    </c15:dlblFTEntry>
                  </c15:dlblFieldTable>
                  <c15:showDataLabelsRange val="0"/>
                </c:ext>
                <c:ext xmlns:c16="http://schemas.microsoft.com/office/drawing/2014/chart" uri="{C3380CC4-5D6E-409C-BE32-E72D297353CC}">
                  <c16:uniqueId val="{00000000-38FF-4C89-B0E8-31154DD8AB70}"/>
                </c:ext>
              </c:extLst>
            </c:dLbl>
            <c:dLbl>
              <c:idx val="1"/>
              <c:tx>
                <c:strRef>
                  <c:f>'Bilan patrimonial'!$I$15</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{9BB66720-34E1-46A2-BE49-2CE7208D7E8C}</c15:txfldGUID>
                      <c15:f>'Bilan patrimonial'!$I$15</c15:f>
                      <c15:dlblFieldTableCache>
                        <c:ptCount val="1"/>
                        <c:pt idx="0">
                          <c:v>#REF!</c:v>
                        </c:pt>
                      </c15:dlblFieldTableCache>
                    </c15:dlblFTEntry>
                  </c15:dlblFieldTable>
                  <c15:showDataLabelsRange val="0"/>
                </c:ext>
                <c:ext xmlns:c16="http://schemas.microsoft.com/office/drawing/2014/chart" uri="{C3380CC4-5D6E-409C-BE32-E72D297353CC}">
                  <c16:uniqueId val="{00000001-38FF-4C89-B0E8-31154DD8AB70}"/>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patrimonial'!$B$13,'Bilan patrimonial'!$I$13)</c:f>
              <c:numCache>
                <c:formatCode>_ * #,##0_ ;_ * \-#,##0_ ;_ * "-"??_ ;_ @_ </c:formatCode>
                <c:ptCount val="2"/>
                <c:pt idx="0">
                  <c:v>0</c:v>
                </c:pt>
                <c:pt idx="1">
                  <c:v>0</c:v>
                </c:pt>
              </c:numCache>
            </c:numRef>
          </c:val>
          <c:extLst>
            <c:ext xmlns:c16="http://schemas.microsoft.com/office/drawing/2014/chart" uri="{C3380CC4-5D6E-409C-BE32-E72D297353CC}">
              <c16:uniqueId val="{00000002-38FF-4C89-B0E8-31154DD8AB70}"/>
            </c:ext>
          </c:extLst>
        </c:ser>
        <c:ser>
          <c:idx val="1"/>
          <c:order val="1"/>
          <c:tx>
            <c:strRef>
              <c:f>'Bilan patrimonial'!$J$18</c:f>
              <c:strCache>
                <c:ptCount val="1"/>
                <c:pt idx="0">
                  <c:v>#REF!</c:v>
                </c:pt>
              </c:strCache>
            </c:strRef>
          </c:tx>
          <c:invertIfNegative val="0"/>
          <c:dLbls>
            <c:dLbl>
              <c:idx val="0"/>
              <c:tx>
                <c:strRef>
                  <c:f>'Bilan patrimonial'!$C$15</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{F492E995-FC0F-4951-8BC1-4B896D068D75}</c15:txfldGUID>
                      <c15:f>'Bilan patrimonial'!$C$15</c15:f>
                      <c15:dlblFieldTableCache>
                        <c:ptCount val="1"/>
                        <c:pt idx="0">
                          <c:v>#DIV/0!</c:v>
                        </c:pt>
                      </c15:dlblFieldTableCache>
                    </c15:dlblFTEntry>
                  </c15:dlblFieldTable>
                  <c15:showDataLabelsRange val="0"/>
                </c:ext>
                <c:ext xmlns:c16="http://schemas.microsoft.com/office/drawing/2014/chart" uri="{C3380CC4-5D6E-409C-BE32-E72D297353CC}">
                  <c16:uniqueId val="{00000003-38FF-4C89-B0E8-31154DD8AB70}"/>
                </c:ext>
              </c:extLst>
            </c:dLbl>
            <c:dLbl>
              <c:idx val="1"/>
              <c:tx>
                <c:strRef>
                  <c:f>'Bilan patrimonial'!$J$15</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{1AADDA93-B808-4B91-A089-43CE753BF57B}</c15:txfldGUID>
                      <c15:f>'Bilan patrimonial'!$J$15</c15:f>
                      <c15:dlblFieldTableCache>
                        <c:ptCount val="1"/>
                        <c:pt idx="0">
                          <c:v>#REF!</c:v>
                        </c:pt>
                      </c15:dlblFieldTableCache>
                    </c15:dlblFTEntry>
                  </c15:dlblFieldTable>
                  <c15:showDataLabelsRange val="0"/>
                </c:ext>
                <c:ext xmlns:c16="http://schemas.microsoft.com/office/drawing/2014/chart" uri="{C3380CC4-5D6E-409C-BE32-E72D297353CC}">
                  <c16:uniqueId val="{00000004-38FF-4C89-B0E8-31154DD8AB70}"/>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patrimonial'!$C$13,'Bilan patrimonial'!$J$13)</c:f>
              <c:numCache>
                <c:formatCode>_ * #,##0_ ;_ * \-#,##0_ ;_ * "-"??_ ;_ @_ </c:formatCode>
                <c:ptCount val="2"/>
                <c:pt idx="0">
                  <c:v>0</c:v>
                </c:pt>
                <c:pt idx="1">
                  <c:v>0</c:v>
                </c:pt>
              </c:numCache>
            </c:numRef>
          </c:val>
          <c:extLst>
            <c:ext xmlns:c16="http://schemas.microsoft.com/office/drawing/2014/chart" uri="{C3380CC4-5D6E-409C-BE32-E72D297353CC}">
              <c16:uniqueId val="{00000005-38FF-4C89-B0E8-31154DD8AB70}"/>
            </c:ext>
          </c:extLst>
        </c:ser>
        <c:ser>
          <c:idx val="2"/>
          <c:order val="2"/>
          <c:tx>
            <c:strRef>
              <c:f>'Bilan patrimonial'!$K$18</c:f>
              <c:strCache>
                <c:ptCount val="1"/>
                <c:pt idx="0">
                  <c:v>#REF!</c:v>
                </c:pt>
              </c:strCache>
            </c:strRef>
          </c:tx>
          <c:invertIfNegative val="0"/>
          <c:dLbls>
            <c:dLbl>
              <c:idx val="0"/>
              <c:tx>
                <c:strRef>
                  <c:f>'Bilan patrimonial'!$D$15</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{0B380535-C64D-402D-87AE-AC069FD07CA2}</c15:txfldGUID>
                      <c15:f>'Bilan patrimonial'!$D$15</c15:f>
                      <c15:dlblFieldTableCache>
                        <c:ptCount val="1"/>
                        <c:pt idx="0">
                          <c:v>#DIV/0!</c:v>
                        </c:pt>
                      </c15:dlblFieldTableCache>
                    </c15:dlblFTEntry>
                  </c15:dlblFieldTable>
                  <c15:showDataLabelsRange val="0"/>
                </c:ext>
                <c:ext xmlns:c16="http://schemas.microsoft.com/office/drawing/2014/chart" uri="{C3380CC4-5D6E-409C-BE32-E72D297353CC}">
                  <c16:uniqueId val="{00000006-38FF-4C89-B0E8-31154DD8AB70}"/>
                </c:ext>
              </c:extLst>
            </c:dLbl>
            <c:dLbl>
              <c:idx val="1"/>
              <c:tx>
                <c:strRef>
                  <c:f>'Bilan patrimonial'!$K$15</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{99A92B8D-1D1D-4D0C-8A81-237CDC46E515}</c15:txfldGUID>
                      <c15:f>'Bilan patrimonial'!$K$15</c15:f>
                      <c15:dlblFieldTableCache>
                        <c:ptCount val="1"/>
                        <c:pt idx="0">
                          <c:v>#REF!</c:v>
                        </c:pt>
                      </c15:dlblFieldTableCache>
                    </c15:dlblFTEntry>
                  </c15:dlblFieldTable>
                  <c15:showDataLabelsRange val="0"/>
                </c:ext>
                <c:ext xmlns:c16="http://schemas.microsoft.com/office/drawing/2014/chart" uri="{C3380CC4-5D6E-409C-BE32-E72D297353CC}">
                  <c16:uniqueId val="{00000007-38FF-4C89-B0E8-31154DD8AB70}"/>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patrimonial'!$D$13,'Bilan patrimonial'!$K$13)</c:f>
              <c:numCache>
                <c:formatCode>_ * #,##0_ ;_ * \-#,##0_ ;_ * "-"??_ ;_ @_ </c:formatCode>
                <c:ptCount val="2"/>
                <c:pt idx="0">
                  <c:v>0</c:v>
                </c:pt>
                <c:pt idx="1">
                  <c:v>0</c:v>
                </c:pt>
              </c:numCache>
            </c:numRef>
          </c:val>
          <c:extLst>
            <c:ext xmlns:c16="http://schemas.microsoft.com/office/drawing/2014/chart" uri="{C3380CC4-5D6E-409C-BE32-E72D297353CC}">
              <c16:uniqueId val="{00000008-38FF-4C89-B0E8-31154DD8AB70}"/>
            </c:ext>
          </c:extLst>
        </c:ser>
        <c:ser>
          <c:idx val="3"/>
          <c:order val="3"/>
          <c:tx>
            <c:strRef>
              <c:f>'Bilan patrimonial'!$L$18</c:f>
              <c:strCache>
                <c:ptCount val="1"/>
                <c:pt idx="0">
                  <c:v>#REF!</c:v>
                </c:pt>
              </c:strCache>
            </c:strRef>
          </c:tx>
          <c:invertIfNegative val="0"/>
          <c:dLbls>
            <c:dLbl>
              <c:idx val="0"/>
              <c:tx>
                <c:strRef>
                  <c:f>'Bilan patrimonial'!$E$15</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{7825FB11-606A-4E7C-A709-AA503A1E2BE0}</c15:txfldGUID>
                      <c15:f>'Bilan patrimonial'!$E$15</c15:f>
                      <c15:dlblFieldTableCache>
                        <c:ptCount val="1"/>
                        <c:pt idx="0">
                          <c:v>#DIV/0!</c:v>
                        </c:pt>
                      </c15:dlblFieldTableCache>
                    </c15:dlblFTEntry>
                  </c15:dlblFieldTable>
                  <c15:showDataLabelsRange val="0"/>
                </c:ext>
                <c:ext xmlns:c16="http://schemas.microsoft.com/office/drawing/2014/chart" uri="{C3380CC4-5D6E-409C-BE32-E72D297353CC}">
                  <c16:uniqueId val="{00000009-38FF-4C89-B0E8-31154DD8AB70}"/>
                </c:ext>
              </c:extLst>
            </c:dLbl>
            <c:dLbl>
              <c:idx val="1"/>
              <c:tx>
                <c:strRef>
                  <c:f>'Bilan patrimonial'!$L$15</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{F689F87D-66DA-4951-836B-AF8426CC2B37}</c15:txfldGUID>
                      <c15:f>'Bilan patrimonial'!$L$15</c15:f>
                      <c15:dlblFieldTableCache>
                        <c:ptCount val="1"/>
                        <c:pt idx="0">
                          <c:v>#REF!</c:v>
                        </c:pt>
                      </c15:dlblFieldTableCache>
                    </c15:dlblFTEntry>
                  </c15:dlblFieldTable>
                  <c15:showDataLabelsRange val="0"/>
                </c:ext>
                <c:ext xmlns:c16="http://schemas.microsoft.com/office/drawing/2014/chart" uri="{C3380CC4-5D6E-409C-BE32-E72D297353CC}">
                  <c16:uniqueId val="{0000000A-38FF-4C89-B0E8-31154DD8AB70}"/>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patrimonial'!$E$13,'Bilan patrimonial'!$L$13)</c:f>
              <c:numCache>
                <c:formatCode>_ * #,##0_ ;_ * \-#,##0_ ;_ * "-"??_ ;_ @_ </c:formatCode>
                <c:ptCount val="2"/>
                <c:pt idx="0">
                  <c:v>0</c:v>
                </c:pt>
                <c:pt idx="1">
                  <c:v>0</c:v>
                </c:pt>
              </c:numCache>
            </c:numRef>
          </c:val>
          <c:extLst>
            <c:ext xmlns:c16="http://schemas.microsoft.com/office/drawing/2014/chart" uri="{C3380CC4-5D6E-409C-BE32-E72D297353CC}">
              <c16:uniqueId val="{0000000B-38FF-4C89-B0E8-31154DD8AB70}"/>
            </c:ext>
          </c:extLst>
        </c:ser>
        <c:dLbls>
          <c:showLegendKey val="0"/>
          <c:showVal val="0"/>
          <c:showCatName val="0"/>
          <c:showSerName val="0"/>
          <c:showPercent val="0"/>
          <c:showBubbleSize val="0"/>
        </c:dLbls>
        <c:gapWidth val="300"/>
        <c:overlap val="100"/>
        <c:serLines>
          <c:spPr>
            <a:ln>
              <a:solidFill>
                <a:schemeClr val="tx1">
                  <a:lumMod val="75000"/>
                  <a:lumOff val="25000"/>
                </a:schemeClr>
              </a:solidFill>
            </a:ln>
          </c:spPr>
        </c:serLines>
        <c:axId val="1858041103"/>
        <c:axId val="1"/>
      </c:barChart>
      <c:catAx>
        <c:axId val="1858041103"/>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6350">
              <a:prstDash val="sysDash"/>
            </a:ln>
          </c:spPr>
        </c:majorGridlines>
        <c:title>
          <c:tx>
            <c:rich>
              <a:bodyPr/>
              <a:lstStyle/>
              <a:p>
                <a:pPr>
                  <a:defRPr sz="1400" b="1" i="0" u="none" strike="noStrike" baseline="0">
                    <a:solidFill>
                      <a:srgbClr val="333333"/>
                    </a:solidFill>
                    <a:latin typeface="Calibri"/>
                    <a:ea typeface="Calibri"/>
                    <a:cs typeface="Calibri"/>
                  </a:defRPr>
                </a:pPr>
                <a:r>
                  <a:rPr lang="fr-BE"/>
                  <a:t>kWh</a:t>
                </a:r>
              </a:p>
            </c:rich>
          </c:tx>
          <c:overlay val="0"/>
        </c:title>
        <c:numFmt formatCode="_ * #,##0_ ;_ * \-#,##0_ ;_ * &quot;-&quot;??_ ;_ @_ "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858041103"/>
        <c:crosses val="autoZero"/>
        <c:crossBetween val="between"/>
      </c:valAx>
    </c:plotArea>
    <c:legend>
      <c:legendPos val="r"/>
      <c:overlay val="0"/>
      <c:txPr>
        <a:bodyPr/>
        <a:lstStyle/>
        <a:p>
          <a:pPr>
            <a:defRPr sz="1000" b="0" i="0" u="none" strike="noStrike" baseline="0">
              <a:solidFill>
                <a:srgbClr val="333333"/>
              </a:solidFill>
              <a:latin typeface="Calibri"/>
              <a:ea typeface="Calibri"/>
              <a:cs typeface="Calibri"/>
            </a:defRPr>
          </a:pPr>
          <a:endParaRPr lang="fr-FR"/>
        </a:p>
      </c:txPr>
    </c:legend>
    <c:plotVisOnly val="1"/>
    <c:dispBlanksAs val="gap"/>
    <c:showDLblsOverMax val="0"/>
  </c:chart>
  <c:spPr>
    <a:noFill/>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'Bilan patrimonial'!$H$46</c:f>
          <c:strCache>
            <c:ptCount val="1"/>
            <c:pt idx="0">
              <c:v>#REF!</c:v>
            </c:pt>
          </c:strCache>
        </c:strRef>
      </c:tx>
      <c:layout>
        <c:manualLayout>
          <c:xMode val="edge"/>
          <c:yMode val="edge"/>
          <c:x val="0.17272351594348578"/>
          <c:y val="2.1726049089469519E-2"/>
        </c:manualLayout>
      </c:layout>
      <c:overlay val="0"/>
      <c:txPr>
        <a:bodyPr/>
        <a:lstStyle/>
        <a:p>
          <a:pPr>
            <a:defRPr sz="1800" b="1" i="0" u="none" strike="noStrike" baseline="0">
              <a:solidFill>
                <a:srgbClr val="333333"/>
              </a:solidFill>
              <a:latin typeface="Calibri"/>
              <a:ea typeface="Calibri"/>
              <a:cs typeface="Calibri"/>
            </a:defRPr>
          </a:pPr>
          <a:endParaRPr lang="fr-FR"/>
        </a:p>
      </c:txPr>
    </c:title>
    <c:autoTitleDeleted val="0"/>
    <c:plotArea>
      <c:layout/>
      <c:barChart>
        <c:barDir val="col"/>
        <c:grouping val="stacked"/>
        <c:varyColors val="0"/>
        <c:ser>
          <c:idx val="0"/>
          <c:order val="0"/>
          <c:tx>
            <c:strRef>
              <c:f>'Bilan patrimonial'!$I$32</c:f>
              <c:strCache>
                <c:ptCount val="1"/>
                <c:pt idx="0">
                  <c:v>#REF!</c:v>
                </c:pt>
              </c:strCache>
            </c:strRef>
          </c:tx>
          <c:invertIfNegative val="0"/>
          <c:dLbls>
            <c:dLbl>
              <c:idx val="0"/>
              <c:tx>
                <c:strRef>
                  <c:f>'Bilan patrimonial'!$B$29</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{A54BB4AB-2A65-49B7-AB2F-4F8322E55B49}</c15:txfldGUID>
                      <c15:f>'Bilan patrimonial'!$B$29</c15:f>
                      <c15:dlblFieldTableCache>
                        <c:ptCount val="1"/>
                        <c:pt idx="0">
                          <c:v>#DIV/0!</c:v>
                        </c:pt>
                      </c15:dlblFieldTableCache>
                    </c15:dlblFTEntry>
                  </c15:dlblFieldTable>
                  <c15:showDataLabelsRange val="0"/>
                </c:ext>
                <c:ext xmlns:c16="http://schemas.microsoft.com/office/drawing/2014/chart" uri="{C3380CC4-5D6E-409C-BE32-E72D297353CC}">
                  <c16:uniqueId val="{00000000-AC0A-40A6-B39F-B3AFD4B3AA04}"/>
                </c:ext>
              </c:extLst>
            </c:dLbl>
            <c:dLbl>
              <c:idx val="1"/>
              <c:tx>
                <c:strRef>
                  <c:f>'Bilan patrimonial'!$I$29</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{64FA634E-A14A-436C-8C05-B9C40F35E43A}</c15:txfldGUID>
                      <c15:f>'Bilan patrimonial'!$I$29</c15:f>
                      <c15:dlblFieldTableCache>
                        <c:ptCount val="1"/>
                        <c:pt idx="0">
                          <c:v>#REF!</c:v>
                        </c:pt>
                      </c15:dlblFieldTableCache>
                    </c15:dlblFTEntry>
                  </c15:dlblFieldTable>
                  <c15:showDataLabelsRange val="0"/>
                </c:ext>
                <c:ext xmlns:c16="http://schemas.microsoft.com/office/drawing/2014/chart" uri="{C3380CC4-5D6E-409C-BE32-E72D297353CC}">
                  <c16:uniqueId val="{00000001-AC0A-40A6-B39F-B3AFD4B3AA04}"/>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patrimonial'!$B$27,'Bilan patrimonial'!$I$27)</c:f>
              <c:numCache>
                <c:formatCode>_ * #,##0_ ;_ * \-#,##0_ ;_ * "-"??_ ;_ @_ </c:formatCode>
                <c:ptCount val="2"/>
                <c:pt idx="0">
                  <c:v>0</c:v>
                </c:pt>
                <c:pt idx="1">
                  <c:v>0</c:v>
                </c:pt>
              </c:numCache>
            </c:numRef>
          </c:val>
          <c:extLst>
            <c:ext xmlns:c16="http://schemas.microsoft.com/office/drawing/2014/chart" uri="{C3380CC4-5D6E-409C-BE32-E72D297353CC}">
              <c16:uniqueId val="{00000002-AC0A-40A6-B39F-B3AFD4B3AA04}"/>
            </c:ext>
          </c:extLst>
        </c:ser>
        <c:ser>
          <c:idx val="1"/>
          <c:order val="1"/>
          <c:tx>
            <c:strRef>
              <c:f>'Bilan patrimonial'!$J$32</c:f>
              <c:strCache>
                <c:ptCount val="1"/>
                <c:pt idx="0">
                  <c:v>#REF!</c:v>
                </c:pt>
              </c:strCache>
            </c:strRef>
          </c:tx>
          <c:invertIfNegative val="0"/>
          <c:dLbls>
            <c:dLbl>
              <c:idx val="0"/>
              <c:tx>
                <c:strRef>
                  <c:f>'Bilan patrimonial'!$C$29</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{FAC70F02-09D1-4E14-9A82-0AC612B3DA25}</c15:txfldGUID>
                      <c15:f>'Bilan patrimonial'!$C$29</c15:f>
                      <c15:dlblFieldTableCache>
                        <c:ptCount val="1"/>
                        <c:pt idx="0">
                          <c:v>#DIV/0!</c:v>
                        </c:pt>
                      </c15:dlblFieldTableCache>
                    </c15:dlblFTEntry>
                  </c15:dlblFieldTable>
                  <c15:showDataLabelsRange val="0"/>
                </c:ext>
                <c:ext xmlns:c16="http://schemas.microsoft.com/office/drawing/2014/chart" uri="{C3380CC4-5D6E-409C-BE32-E72D297353CC}">
                  <c16:uniqueId val="{00000003-AC0A-40A6-B39F-B3AFD4B3AA04}"/>
                </c:ext>
              </c:extLst>
            </c:dLbl>
            <c:dLbl>
              <c:idx val="1"/>
              <c:tx>
                <c:strRef>
                  <c:f>'Bilan patrimonial'!$J$29</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{2E984222-065B-4B46-9467-A1EE88D7E79C}</c15:txfldGUID>
                      <c15:f>'Bilan patrimonial'!$J$29</c15:f>
                      <c15:dlblFieldTableCache>
                        <c:ptCount val="1"/>
                        <c:pt idx="0">
                          <c:v>#REF!</c:v>
                        </c:pt>
                      </c15:dlblFieldTableCache>
                    </c15:dlblFTEntry>
                  </c15:dlblFieldTable>
                  <c15:showDataLabelsRange val="0"/>
                </c:ext>
                <c:ext xmlns:c16="http://schemas.microsoft.com/office/drawing/2014/chart" uri="{C3380CC4-5D6E-409C-BE32-E72D297353CC}">
                  <c16:uniqueId val="{00000004-AC0A-40A6-B39F-B3AFD4B3AA04}"/>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patrimonial'!$C$27,'Bilan patrimonial'!$J$27)</c:f>
              <c:numCache>
                <c:formatCode>_ * #,##0_ ;_ * \-#,##0_ ;_ * "-"??_ ;_ @_ </c:formatCode>
                <c:ptCount val="2"/>
                <c:pt idx="0">
                  <c:v>0</c:v>
                </c:pt>
                <c:pt idx="1">
                  <c:v>0</c:v>
                </c:pt>
              </c:numCache>
            </c:numRef>
          </c:val>
          <c:extLst>
            <c:ext xmlns:c16="http://schemas.microsoft.com/office/drawing/2014/chart" uri="{C3380CC4-5D6E-409C-BE32-E72D297353CC}">
              <c16:uniqueId val="{00000005-AC0A-40A6-B39F-B3AFD4B3AA04}"/>
            </c:ext>
          </c:extLst>
        </c:ser>
        <c:ser>
          <c:idx val="2"/>
          <c:order val="2"/>
          <c:tx>
            <c:strRef>
              <c:f>'Bilan patrimonial'!$K$32</c:f>
              <c:strCache>
                <c:ptCount val="1"/>
                <c:pt idx="0">
                  <c:v>#REF!</c:v>
                </c:pt>
              </c:strCache>
            </c:strRef>
          </c:tx>
          <c:invertIfNegative val="0"/>
          <c:dLbls>
            <c:dLbl>
              <c:idx val="0"/>
              <c:tx>
                <c:strRef>
                  <c:f>'Bilan patrimonial'!$D$29</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{6648E95F-C247-46FB-BA52-A838D505F725}</c15:txfldGUID>
                      <c15:f>'Bilan patrimonial'!$D$29</c15:f>
                      <c15:dlblFieldTableCache>
                        <c:ptCount val="1"/>
                        <c:pt idx="0">
                          <c:v>#DIV/0!</c:v>
                        </c:pt>
                      </c15:dlblFieldTableCache>
                    </c15:dlblFTEntry>
                  </c15:dlblFieldTable>
                  <c15:showDataLabelsRange val="0"/>
                </c:ext>
                <c:ext xmlns:c16="http://schemas.microsoft.com/office/drawing/2014/chart" uri="{C3380CC4-5D6E-409C-BE32-E72D297353CC}">
                  <c16:uniqueId val="{00000006-AC0A-40A6-B39F-B3AFD4B3AA04}"/>
                </c:ext>
              </c:extLst>
            </c:dLbl>
            <c:dLbl>
              <c:idx val="1"/>
              <c:tx>
                <c:strRef>
                  <c:f>'Bilan patrimonial'!$K$29</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{6FEB1966-0A66-49FF-B794-4DDFCFB0321D}</c15:txfldGUID>
                      <c15:f>'Bilan patrimonial'!$K$29</c15:f>
                      <c15:dlblFieldTableCache>
                        <c:ptCount val="1"/>
                        <c:pt idx="0">
                          <c:v>#REF!</c:v>
                        </c:pt>
                      </c15:dlblFieldTableCache>
                    </c15:dlblFTEntry>
                  </c15:dlblFieldTable>
                  <c15:showDataLabelsRange val="0"/>
                </c:ext>
                <c:ext xmlns:c16="http://schemas.microsoft.com/office/drawing/2014/chart" uri="{C3380CC4-5D6E-409C-BE32-E72D297353CC}">
                  <c16:uniqueId val="{00000007-AC0A-40A6-B39F-B3AFD4B3AA04}"/>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patrimonial'!$D$27,'Bilan patrimonial'!$K$27)</c:f>
              <c:numCache>
                <c:formatCode>_ * #,##0_ ;_ * \-#,##0_ ;_ * "-"??_ ;_ @_ </c:formatCode>
                <c:ptCount val="2"/>
                <c:pt idx="0">
                  <c:v>0</c:v>
                </c:pt>
                <c:pt idx="1">
                  <c:v>0</c:v>
                </c:pt>
              </c:numCache>
            </c:numRef>
          </c:val>
          <c:extLst>
            <c:ext xmlns:c16="http://schemas.microsoft.com/office/drawing/2014/chart" uri="{C3380CC4-5D6E-409C-BE32-E72D297353CC}">
              <c16:uniqueId val="{00000008-AC0A-40A6-B39F-B3AFD4B3AA04}"/>
            </c:ext>
          </c:extLst>
        </c:ser>
        <c:ser>
          <c:idx val="3"/>
          <c:order val="3"/>
          <c:tx>
            <c:strRef>
              <c:f>'Bilan patrimonial'!$L$32</c:f>
              <c:strCache>
                <c:ptCount val="1"/>
                <c:pt idx="0">
                  <c:v>#REF!</c:v>
                </c:pt>
              </c:strCache>
            </c:strRef>
          </c:tx>
          <c:invertIfNegative val="0"/>
          <c:dLbls>
            <c:dLbl>
              <c:idx val="0"/>
              <c:layout>
                <c:manualLayout>
                  <c:x val="0"/>
                  <c:y val="2.5329817408415632E-2"/>
                </c:manualLayout>
              </c:layout>
              <c:tx>
                <c:strRef>
                  <c:f>'Bilan patrimonial'!$E$29</c:f>
                  <c:strCache>
                    <c:ptCount val="1"/>
                    <c:pt idx="0">
                      <c:v>#DIV/0!</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{1E749DA9-57C3-4C2D-A143-1CD8A5F3545B}</c15:txfldGUID>
                      <c15:f>'Bilan patrimonial'!$E$29</c15:f>
                      <c15:dlblFieldTableCache>
                        <c:ptCount val="1"/>
                        <c:pt idx="0">
                          <c:v>#DIV/0!</c:v>
                        </c:pt>
                      </c15:dlblFieldTableCache>
                    </c15:dlblFTEntry>
                  </c15:dlblFieldTable>
                  <c15:showDataLabelsRange val="0"/>
                </c:ext>
                <c:ext xmlns:c16="http://schemas.microsoft.com/office/drawing/2014/chart" uri="{C3380CC4-5D6E-409C-BE32-E72D297353CC}">
                  <c16:uniqueId val="{00000009-AC0A-40A6-B39F-B3AFD4B3AA04}"/>
                </c:ext>
              </c:extLst>
            </c:dLbl>
            <c:dLbl>
              <c:idx val="1"/>
              <c:layout>
                <c:manualLayout>
                  <c:x val="0"/>
                  <c:y val="3.166227176051948E-2"/>
                </c:manualLayout>
              </c:layout>
              <c:tx>
                <c:strRef>
                  <c:f>'Bilan patrimonial'!$L$29</c:f>
                  <c:strCache>
                    <c:ptCount val="1"/>
                    <c:pt idx="0">
                      <c:v>#REF!</c:v>
                    </c:pt>
                  </c:strCache>
                </c:strRef>
              </c:tx>
              <c:spPr/>
              <c:txPr>
                <a:bodyPr/>
                <a:lstStyle/>
                <a:p>
                  <a:pPr>
                    <a:defRPr sz="10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{A410E8F7-CDE9-4E33-881D-3691BD9E4B73}</c15:txfldGUID>
                      <c15:f>'Bilan patrimonial'!$L$29</c15:f>
                      <c15:dlblFieldTableCache>
                        <c:ptCount val="1"/>
                        <c:pt idx="0">
                          <c:v>#REF!</c:v>
                        </c:pt>
                      </c15:dlblFieldTableCache>
                    </c15:dlblFTEntry>
                  </c15:dlblFieldTable>
                  <c15:showDataLabelsRange val="0"/>
                </c:ext>
                <c:ext xmlns:c16="http://schemas.microsoft.com/office/drawing/2014/chart" uri="{C3380CC4-5D6E-409C-BE32-E72D297353CC}">
                  <c16:uniqueId val="{0000000A-AC0A-40A6-B39F-B3AFD4B3AA04}"/>
                </c:ext>
              </c:extLst>
            </c:dLbl>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patrimonial'!$A$5,'Bilan patrimonial'!$H$5)</c:f>
              <c:numCache>
                <c:formatCode>General</c:formatCode>
                <c:ptCount val="2"/>
                <c:pt idx="0">
                  <c:v>2006</c:v>
                </c:pt>
                <c:pt idx="1">
                  <c:v>0</c:v>
                </c:pt>
              </c:numCache>
            </c:numRef>
          </c:cat>
          <c:val>
            <c:numRef>
              <c:f>('Bilan patrimonial'!$E$27,'Bilan patrimonial'!$L$27)</c:f>
              <c:numCache>
                <c:formatCode>_ * #,##0_ ;_ * \-#,##0_ ;_ * "-"??_ ;_ @_ </c:formatCode>
                <c:ptCount val="2"/>
                <c:pt idx="0">
                  <c:v>0</c:v>
                </c:pt>
                <c:pt idx="1">
                  <c:v>0</c:v>
                </c:pt>
              </c:numCache>
            </c:numRef>
          </c:val>
          <c:extLst>
            <c:ext xmlns:c16="http://schemas.microsoft.com/office/drawing/2014/chart" uri="{C3380CC4-5D6E-409C-BE32-E72D297353CC}">
              <c16:uniqueId val="{0000000B-AC0A-40A6-B39F-B3AFD4B3AA04}"/>
            </c:ext>
          </c:extLst>
        </c:ser>
        <c:dLbls>
          <c:showLegendKey val="0"/>
          <c:showVal val="0"/>
          <c:showCatName val="0"/>
          <c:showSerName val="0"/>
          <c:showPercent val="0"/>
          <c:showBubbleSize val="0"/>
        </c:dLbls>
        <c:gapWidth val="300"/>
        <c:overlap val="100"/>
        <c:serLines>
          <c:spPr>
            <a:ln>
              <a:solidFill>
                <a:schemeClr val="tx1">
                  <a:lumMod val="75000"/>
                  <a:lumOff val="25000"/>
                </a:schemeClr>
              </a:solidFill>
            </a:ln>
          </c:spPr>
        </c:serLines>
        <c:axId val="1858037503"/>
        <c:axId val="1"/>
      </c:barChart>
      <c:catAx>
        <c:axId val="1858037503"/>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6350">
              <a:prstDash val="sysDash"/>
            </a:ln>
          </c:spPr>
        </c:majorGridlines>
        <c:title>
          <c:tx>
            <c:rich>
              <a:bodyPr/>
              <a:lstStyle/>
              <a:p>
                <a:pPr>
                  <a:defRPr sz="1400" b="1" i="0" u="none" strike="noStrike" baseline="0">
                    <a:solidFill>
                      <a:srgbClr val="333333"/>
                    </a:solidFill>
                    <a:latin typeface="Calibri"/>
                    <a:ea typeface="Calibri"/>
                    <a:cs typeface="Calibri"/>
                  </a:defRPr>
                </a:pPr>
                <a:r>
                  <a:rPr lang="fr-BE"/>
                  <a:t>tCO2eq</a:t>
                </a:r>
              </a:p>
            </c:rich>
          </c:tx>
          <c:overlay val="0"/>
        </c:title>
        <c:numFmt formatCode="_ * #,##0_ ;_ * \-#,##0_ ;_ * &quot;-&quot;??_ ;_ @_ "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858037503"/>
        <c:crosses val="autoZero"/>
        <c:crossBetween val="between"/>
      </c:valAx>
    </c:plotArea>
    <c:legend>
      <c:legendPos val="r"/>
      <c:overlay val="0"/>
      <c:txPr>
        <a:bodyPr/>
        <a:lstStyle/>
        <a:p>
          <a:pPr>
            <a:defRPr sz="1000" b="0" i="0" u="none" strike="noStrike" baseline="0">
              <a:solidFill>
                <a:srgbClr val="333333"/>
              </a:solidFill>
              <a:latin typeface="Calibri"/>
              <a:ea typeface="Calibri"/>
              <a:cs typeface="Calibri"/>
            </a:defRPr>
          </a:pPr>
          <a:endParaRPr lang="fr-FR"/>
        </a:p>
      </c:txPr>
    </c:legend>
    <c:plotVisOnly val="1"/>
    <c:dispBlanksAs val="gap"/>
    <c:showDLblsOverMax val="0"/>
  </c:chart>
  <c:spPr>
    <a:noFill/>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'Bilan territorial'!$A$78</c:f>
          <c:strCache>
            <c:ptCount val="1"/>
            <c:pt idx="0">
              <c:v>#REF!</c:v>
            </c:pt>
          </c:strCache>
        </c:strRef>
      </c:tx>
      <c:layout>
        <c:manualLayout>
          <c:xMode val="edge"/>
          <c:yMode val="edge"/>
          <c:x val="7.3909820171326218E-2"/>
          <c:y val="2.2342459486142215E-2"/>
        </c:manualLayout>
      </c:layout>
      <c:overlay val="0"/>
      <c:txPr>
        <a:bodyPr/>
        <a:lstStyle/>
        <a:p>
          <a:pPr>
            <a:defRPr sz="1800" b="1" i="0" u="none" strike="noStrike" baseline="0">
              <a:solidFill>
                <a:srgbClr val="333333"/>
              </a:solidFill>
              <a:latin typeface="Calibri"/>
              <a:ea typeface="Calibri"/>
              <a:cs typeface="Calibri"/>
            </a:defRPr>
          </a:pPr>
          <a:endParaRPr lang="fr-FR"/>
        </a:p>
      </c:txPr>
    </c:title>
    <c:autoTitleDeleted val="0"/>
    <c:plotArea>
      <c:layout/>
      <c:barChart>
        <c:barDir val="col"/>
        <c:grouping val="stacked"/>
        <c:varyColors val="0"/>
        <c:ser>
          <c:idx val="0"/>
          <c:order val="0"/>
          <c:tx>
            <c:strRef>
              <c:f>'Bilan territorial'!$S$11</c:f>
              <c:strCache>
                <c:ptCount val="1"/>
                <c:pt idx="0">
                  <c:v>#REF!</c:v>
                </c:pt>
              </c:strCache>
            </c:strRef>
          </c:tx>
          <c:spPr>
            <a:solidFill>
              <a:srgbClr val="4F81BD"/>
            </a:solidFill>
          </c:spPr>
          <c:invertIfNegative val="0"/>
          <c:dLbls>
            <c:dLbl>
              <c:idx val="0"/>
              <c:tx>
                <c:strRef>
                  <c:f>'Bilan territorial'!$O$11</c:f>
                  <c:strCache>
                    <c:ptCount val="1"/>
                    <c:pt idx="0">
                      <c:v>#DIV/0!</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{DBD77F26-9704-4E4E-8467-881FA02DCFED}</c15:txfldGUID>
                      <c15:f>'Bilan territorial'!$O$11</c15:f>
                      <c15:dlblFieldTableCache>
                        <c:ptCount val="1"/>
                        <c:pt idx="0">
                          <c:v>#DIV/0!</c:v>
                        </c:pt>
                      </c15:dlblFieldTableCache>
                    </c15:dlblFTEntry>
                  </c15:dlblFieldTable>
                  <c15:showDataLabelsRange val="0"/>
                </c:ext>
                <c:ext xmlns:c16="http://schemas.microsoft.com/office/drawing/2014/chart" uri="{C3380CC4-5D6E-409C-BE32-E72D297353CC}">
                  <c16:uniqueId val="{00000000-6AAF-4C63-AFC3-62BEE2112625}"/>
                </c:ext>
              </c:extLst>
            </c:dLbl>
            <c:dLbl>
              <c:idx val="1"/>
              <c:tx>
                <c:strRef>
                  <c:f>'Bilan territorial'!$P$11</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{E7E84ED6-5B3C-482D-8F3E-993EC4CF33C4}</c15:txfldGUID>
                      <c15:f>'Bilan territorial'!$P$11</c15:f>
                      <c15:dlblFieldTableCache>
                        <c:ptCount val="1"/>
                        <c:pt idx="0">
                          <c:v>#REF!</c:v>
                        </c:pt>
                      </c15:dlblFieldTableCache>
                    </c15:dlblFTEntry>
                  </c15:dlblFieldTable>
                  <c15:showDataLabelsRange val="0"/>
                </c:ext>
                <c:ext xmlns:c16="http://schemas.microsoft.com/office/drawing/2014/chart" uri="{C3380CC4-5D6E-409C-BE32-E72D297353CC}">
                  <c16:uniqueId val="{00000001-6AAF-4C63-AFC3-62BEE2112625}"/>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territorial'!$A$9,'Bilan territorial'!$H$9)</c:f>
              <c:numCache>
                <c:formatCode>General</c:formatCode>
                <c:ptCount val="2"/>
                <c:pt idx="0">
                  <c:v>2006</c:v>
                </c:pt>
                <c:pt idx="1">
                  <c:v>0</c:v>
                </c:pt>
              </c:numCache>
            </c:numRef>
          </c:cat>
          <c:val>
            <c:numRef>
              <c:f>('Bilan territorial'!$F$11,'Bilan territorial'!$M$11)</c:f>
              <c:numCache>
                <c:formatCode>_ * #,##0.000_ ;_ * \-#,##0.000_ ;_ * "-"??_ ;_ @_ </c:formatCode>
                <c:ptCount val="2"/>
                <c:pt idx="0">
                  <c:v>0</c:v>
                </c:pt>
                <c:pt idx="1">
                  <c:v>0</c:v>
                </c:pt>
              </c:numCache>
            </c:numRef>
          </c:val>
          <c:extLst>
            <c:ext xmlns:c16="http://schemas.microsoft.com/office/drawing/2014/chart" uri="{C3380CC4-5D6E-409C-BE32-E72D297353CC}">
              <c16:uniqueId val="{00000002-6AAF-4C63-AFC3-62BEE2112625}"/>
            </c:ext>
          </c:extLst>
        </c:ser>
        <c:ser>
          <c:idx val="1"/>
          <c:order val="1"/>
          <c:tx>
            <c:strRef>
              <c:f>'Bilan territorial'!$S$12</c:f>
              <c:strCache>
                <c:ptCount val="1"/>
                <c:pt idx="0">
                  <c:v>#REF!</c:v>
                </c:pt>
              </c:strCache>
            </c:strRef>
          </c:tx>
          <c:spPr>
            <a:solidFill>
              <a:srgbClr val="C0504D"/>
            </a:solidFill>
          </c:spPr>
          <c:invertIfNegative val="0"/>
          <c:dLbls>
            <c:dLbl>
              <c:idx val="0"/>
              <c:tx>
                <c:strRef>
                  <c:f>'Bilan territorial'!$O$12</c:f>
                  <c:strCache>
                    <c:ptCount val="1"/>
                    <c:pt idx="0">
                      <c:v>#DIV/0!</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{9ACAF0B9-939C-4B39-ACFB-165588D3561B}</c15:txfldGUID>
                      <c15:f>'Bilan territorial'!$O$12</c15:f>
                      <c15:dlblFieldTableCache>
                        <c:ptCount val="1"/>
                        <c:pt idx="0">
                          <c:v>#DIV/0!</c:v>
                        </c:pt>
                      </c15:dlblFieldTableCache>
                    </c15:dlblFTEntry>
                  </c15:dlblFieldTable>
                  <c15:showDataLabelsRange val="0"/>
                </c:ext>
                <c:ext xmlns:c16="http://schemas.microsoft.com/office/drawing/2014/chart" uri="{C3380CC4-5D6E-409C-BE32-E72D297353CC}">
                  <c16:uniqueId val="{00000003-6AAF-4C63-AFC3-62BEE2112625}"/>
                </c:ext>
              </c:extLst>
            </c:dLbl>
            <c:dLbl>
              <c:idx val="1"/>
              <c:tx>
                <c:strRef>
                  <c:f>'Bilan territorial'!$P$12</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{CFB3ECBE-3910-409E-B5DE-874C0746434C}</c15:txfldGUID>
                      <c15:f>'Bilan territorial'!$P$12</c15:f>
                      <c15:dlblFieldTableCache>
                        <c:ptCount val="1"/>
                        <c:pt idx="0">
                          <c:v>#REF!</c:v>
                        </c:pt>
                      </c15:dlblFieldTableCache>
                    </c15:dlblFTEntry>
                  </c15:dlblFieldTable>
                  <c15:showDataLabelsRange val="0"/>
                </c:ext>
                <c:ext xmlns:c16="http://schemas.microsoft.com/office/drawing/2014/chart" uri="{C3380CC4-5D6E-409C-BE32-E72D297353CC}">
                  <c16:uniqueId val="{00000004-6AAF-4C63-AFC3-62BEE2112625}"/>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territorial'!$F$12,'Bilan territorial'!$M$12)</c:f>
              <c:numCache>
                <c:formatCode>_ * #,##0.000_ ;_ * \-#,##0.000_ ;_ * "-"??_ ;_ @_ </c:formatCode>
                <c:ptCount val="2"/>
                <c:pt idx="0">
                  <c:v>0</c:v>
                </c:pt>
                <c:pt idx="1">
                  <c:v>0</c:v>
                </c:pt>
              </c:numCache>
            </c:numRef>
          </c:val>
          <c:extLst>
            <c:ext xmlns:c16="http://schemas.microsoft.com/office/drawing/2014/chart" uri="{C3380CC4-5D6E-409C-BE32-E72D297353CC}">
              <c16:uniqueId val="{00000005-6AAF-4C63-AFC3-62BEE2112625}"/>
            </c:ext>
          </c:extLst>
        </c:ser>
        <c:ser>
          <c:idx val="2"/>
          <c:order val="2"/>
          <c:tx>
            <c:strRef>
              <c:f>'Bilan territorial'!$S$15</c:f>
              <c:strCache>
                <c:ptCount val="1"/>
                <c:pt idx="0">
                  <c:v>#REF!</c:v>
                </c:pt>
              </c:strCache>
            </c:strRef>
          </c:tx>
          <c:spPr>
            <a:solidFill>
              <a:srgbClr val="9BBB59"/>
            </a:solidFill>
          </c:spPr>
          <c:invertIfNegative val="0"/>
          <c:dLbls>
            <c:dLbl>
              <c:idx val="0"/>
              <c:tx>
                <c:strRef>
                  <c:f>'Bilan territorial'!$O$15</c:f>
                  <c:strCache>
                    <c:ptCount val="1"/>
                    <c:pt idx="0">
                      <c:v>#DIV/0!</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{BBB943B0-D828-4958-ACAF-0A979E39E75A}</c15:txfldGUID>
                      <c15:f>'Bilan territorial'!$O$15</c15:f>
                      <c15:dlblFieldTableCache>
                        <c:ptCount val="1"/>
                        <c:pt idx="0">
                          <c:v>#DIV/0!</c:v>
                        </c:pt>
                      </c15:dlblFieldTableCache>
                    </c15:dlblFTEntry>
                  </c15:dlblFieldTable>
                  <c15:showDataLabelsRange val="0"/>
                </c:ext>
                <c:ext xmlns:c16="http://schemas.microsoft.com/office/drawing/2014/chart" uri="{C3380CC4-5D6E-409C-BE32-E72D297353CC}">
                  <c16:uniqueId val="{00000006-6AAF-4C63-AFC3-62BEE2112625}"/>
                </c:ext>
              </c:extLst>
            </c:dLbl>
            <c:dLbl>
              <c:idx val="1"/>
              <c:tx>
                <c:strRef>
                  <c:f>'Bilan territorial'!$P$15</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{092391DA-6303-4EE2-9969-234D56851E0E}</c15:txfldGUID>
                      <c15:f>'Bilan territorial'!$P$15</c15:f>
                      <c15:dlblFieldTableCache>
                        <c:ptCount val="1"/>
                        <c:pt idx="0">
                          <c:v>#REF!</c:v>
                        </c:pt>
                      </c15:dlblFieldTableCache>
                    </c15:dlblFTEntry>
                  </c15:dlblFieldTable>
                  <c15:showDataLabelsRange val="0"/>
                </c:ext>
                <c:ext xmlns:c16="http://schemas.microsoft.com/office/drawing/2014/chart" uri="{C3380CC4-5D6E-409C-BE32-E72D297353CC}">
                  <c16:uniqueId val="{00000007-6AAF-4C63-AFC3-62BEE2112625}"/>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territorial'!$F$15,'Bilan territorial'!$M$15)</c:f>
              <c:numCache>
                <c:formatCode>_ * #,##0.000_ ;_ * \-#,##0.000_ ;_ * "-"??_ ;_ @_ </c:formatCode>
                <c:ptCount val="2"/>
                <c:pt idx="0">
                  <c:v>0</c:v>
                </c:pt>
                <c:pt idx="1">
                  <c:v>0</c:v>
                </c:pt>
              </c:numCache>
            </c:numRef>
          </c:val>
          <c:extLst>
            <c:ext xmlns:c16="http://schemas.microsoft.com/office/drawing/2014/chart" uri="{C3380CC4-5D6E-409C-BE32-E72D297353CC}">
              <c16:uniqueId val="{00000008-6AAF-4C63-AFC3-62BEE2112625}"/>
            </c:ext>
          </c:extLst>
        </c:ser>
        <c:ser>
          <c:idx val="3"/>
          <c:order val="3"/>
          <c:tx>
            <c:strRef>
              <c:f>'Bilan territorial'!$S$16</c:f>
              <c:strCache>
                <c:ptCount val="1"/>
                <c:pt idx="0">
                  <c:v>#REF!</c:v>
                </c:pt>
              </c:strCache>
            </c:strRef>
          </c:tx>
          <c:invertIfNegative val="0"/>
          <c:dLbls>
            <c:dLbl>
              <c:idx val="0"/>
              <c:tx>
                <c:strRef>
                  <c:f>'Bilan territorial'!$O$16</c:f>
                  <c:strCache>
                    <c:ptCount val="1"/>
                    <c:pt idx="0">
                      <c:v>#DIV/0!</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{52924374-14C6-4689-8613-5F2013C37A11}</c15:txfldGUID>
                      <c15:f>'Bilan territorial'!$O$16</c15:f>
                      <c15:dlblFieldTableCache>
                        <c:ptCount val="1"/>
                        <c:pt idx="0">
                          <c:v>#DIV/0!</c:v>
                        </c:pt>
                      </c15:dlblFieldTableCache>
                    </c15:dlblFTEntry>
                  </c15:dlblFieldTable>
                  <c15:showDataLabelsRange val="0"/>
                </c:ext>
                <c:ext xmlns:c16="http://schemas.microsoft.com/office/drawing/2014/chart" uri="{C3380CC4-5D6E-409C-BE32-E72D297353CC}">
                  <c16:uniqueId val="{00000009-6AAF-4C63-AFC3-62BEE2112625}"/>
                </c:ext>
              </c:extLst>
            </c:dLbl>
            <c:dLbl>
              <c:idx val="1"/>
              <c:tx>
                <c:strRef>
                  <c:f>'Bilan territorial'!$P$16</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{A3489DE5-E12A-4995-B954-D59C48DB6556}</c15:txfldGUID>
                      <c15:f>'Bilan territorial'!$P$16</c15:f>
                      <c15:dlblFieldTableCache>
                        <c:ptCount val="1"/>
                        <c:pt idx="0">
                          <c:v>#REF!</c:v>
                        </c:pt>
                      </c15:dlblFieldTableCache>
                    </c15:dlblFTEntry>
                  </c15:dlblFieldTable>
                  <c15:showDataLabelsRange val="0"/>
                </c:ext>
                <c:ext xmlns:c16="http://schemas.microsoft.com/office/drawing/2014/chart" uri="{C3380CC4-5D6E-409C-BE32-E72D297353CC}">
                  <c16:uniqueId val="{0000000A-6AAF-4C63-AFC3-62BEE2112625}"/>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territorial'!$F$16,'Bilan territorial'!$M$16)</c:f>
              <c:numCache>
                <c:formatCode>_ * #,##0.000_ ;_ * \-#,##0.000_ ;_ * "-"??_ ;_ @_ </c:formatCode>
                <c:ptCount val="2"/>
                <c:pt idx="0">
                  <c:v>0</c:v>
                </c:pt>
                <c:pt idx="1">
                  <c:v>0</c:v>
                </c:pt>
              </c:numCache>
            </c:numRef>
          </c:val>
          <c:extLst>
            <c:ext xmlns:c16="http://schemas.microsoft.com/office/drawing/2014/chart" uri="{C3380CC4-5D6E-409C-BE32-E72D297353CC}">
              <c16:uniqueId val="{0000000B-6AAF-4C63-AFC3-62BEE2112625}"/>
            </c:ext>
          </c:extLst>
        </c:ser>
        <c:ser>
          <c:idx val="4"/>
          <c:order val="4"/>
          <c:tx>
            <c:strRef>
              <c:f>'Bilan territorial'!$S$17</c:f>
              <c:strCache>
                <c:ptCount val="1"/>
                <c:pt idx="0">
                  <c:v>#REF!</c:v>
                </c:pt>
              </c:strCache>
            </c:strRef>
          </c:tx>
          <c:spPr>
            <a:solidFill>
              <a:srgbClr val="4BACC6"/>
            </a:solidFill>
          </c:spPr>
          <c:invertIfNegative val="0"/>
          <c:dLbls>
            <c:dLbl>
              <c:idx val="0"/>
              <c:tx>
                <c:strRef>
                  <c:f>'Bilan territorial'!$O$17</c:f>
                  <c:strCache>
                    <c:ptCount val="1"/>
                    <c:pt idx="0">
                      <c:v>#DIV/0!</c:v>
                    </c:pt>
                  </c:strCache>
                </c:strRef>
              </c:tx>
              <c:spPr>
                <a:noFill/>
                <a:ln w="19050">
                  <a:solidFill>
                    <a:schemeClr val="accent5">
                      <a:lumMod val="50000"/>
                    </a:schemeClr>
                  </a:solid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{A7DF389E-8393-401E-A93A-DA4771DF979E}</c15:txfldGUID>
                      <c15:f>'Bilan territorial'!$O$17</c15:f>
                      <c15:dlblFieldTableCache>
                        <c:ptCount val="1"/>
                        <c:pt idx="0">
                          <c:v>#DIV/0!</c:v>
                        </c:pt>
                      </c15:dlblFieldTableCache>
                    </c15:dlblFTEntry>
                  </c15:dlblFieldTable>
                  <c15:showDataLabelsRange val="0"/>
                </c:ext>
                <c:ext xmlns:c16="http://schemas.microsoft.com/office/drawing/2014/chart" uri="{C3380CC4-5D6E-409C-BE32-E72D297353CC}">
                  <c16:uniqueId val="{0000000C-6AAF-4C63-AFC3-62BEE2112625}"/>
                </c:ext>
              </c:extLst>
            </c:dLbl>
            <c:dLbl>
              <c:idx val="1"/>
              <c:tx>
                <c:strRef>
                  <c:f>'Bilan territorial'!$P$17</c:f>
                  <c:strCache>
                    <c:ptCount val="1"/>
                    <c:pt idx="0">
                      <c:v>#REF!</c:v>
                    </c:pt>
                  </c:strCache>
                </c:strRef>
              </c:tx>
              <c:spPr>
                <a:noFill/>
                <a:ln w="19050">
                  <a:solidFill>
                    <a:schemeClr val="accent5">
                      <a:lumMod val="50000"/>
                    </a:schemeClr>
                  </a:solid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{476488BD-3742-48EF-8756-4A717132CE6D}</c15:txfldGUID>
                      <c15:f>'Bilan territorial'!$P$17</c15:f>
                      <c15:dlblFieldTableCache>
                        <c:ptCount val="1"/>
                        <c:pt idx="0">
                          <c:v>#REF!</c:v>
                        </c:pt>
                      </c15:dlblFieldTableCache>
                    </c15:dlblFTEntry>
                  </c15:dlblFieldTable>
                  <c15:showDataLabelsRange val="0"/>
                </c:ext>
                <c:ext xmlns:c16="http://schemas.microsoft.com/office/drawing/2014/chart" uri="{C3380CC4-5D6E-409C-BE32-E72D297353CC}">
                  <c16:uniqueId val="{0000000D-6AAF-4C63-AFC3-62BEE2112625}"/>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territorial'!$F$17,'Bilan territorial'!$M$17)</c:f>
              <c:numCache>
                <c:formatCode>_ * #,##0.000_ ;_ * \-#,##0.000_ ;_ * "-"??_ ;_ @_ </c:formatCode>
                <c:ptCount val="2"/>
                <c:pt idx="0">
                  <c:v>0</c:v>
                </c:pt>
                <c:pt idx="1">
                  <c:v>0</c:v>
                </c:pt>
              </c:numCache>
            </c:numRef>
          </c:val>
          <c:extLst>
            <c:ext xmlns:c16="http://schemas.microsoft.com/office/drawing/2014/chart" uri="{C3380CC4-5D6E-409C-BE32-E72D297353CC}">
              <c16:uniqueId val="{0000000E-6AAF-4C63-AFC3-62BEE2112625}"/>
            </c:ext>
          </c:extLst>
        </c:ser>
        <c:dLbls>
          <c:showLegendKey val="0"/>
          <c:showVal val="0"/>
          <c:showCatName val="0"/>
          <c:showSerName val="0"/>
          <c:showPercent val="0"/>
          <c:showBubbleSize val="0"/>
        </c:dLbls>
        <c:gapWidth val="300"/>
        <c:overlap val="100"/>
        <c:serLines>
          <c:spPr>
            <a:ln>
              <a:solidFill>
                <a:schemeClr val="tx1">
                  <a:lumMod val="75000"/>
                  <a:lumOff val="25000"/>
                </a:schemeClr>
              </a:solidFill>
            </a:ln>
          </c:spPr>
        </c:serLines>
        <c:axId val="1858038303"/>
        <c:axId val="1"/>
      </c:barChart>
      <c:catAx>
        <c:axId val="1858038303"/>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6350">
              <a:prstDash val="sysDash"/>
            </a:ln>
          </c:spPr>
        </c:majorGridlines>
        <c:title>
          <c:tx>
            <c:rich>
              <a:bodyPr/>
              <a:lstStyle/>
              <a:p>
                <a:pPr>
                  <a:defRPr sz="1400" b="1" i="0" u="none" strike="noStrike" baseline="0">
                    <a:solidFill>
                      <a:srgbClr val="333333"/>
                    </a:solidFill>
                    <a:latin typeface="Calibri"/>
                    <a:ea typeface="Calibri"/>
                    <a:cs typeface="Calibri"/>
                  </a:defRPr>
                </a:pPr>
                <a:r>
                  <a:rPr lang="fr-BE"/>
                  <a:t>GWh</a:t>
                </a:r>
              </a:p>
            </c:rich>
          </c:tx>
          <c:overlay val="0"/>
        </c:title>
        <c:numFmt formatCode="_ * #,##0.000_ ;_ * \-#,##0.000_ ;_ * &quot;-&quot;??_ ;_ @_ "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858038303"/>
        <c:crosses val="autoZero"/>
        <c:crossBetween val="between"/>
      </c:valAx>
    </c:plotArea>
    <c:legend>
      <c:legendPos val="r"/>
      <c:overlay val="0"/>
      <c:spPr>
        <a:ln w="22225">
          <a:solidFill>
            <a:schemeClr val="accent6">
              <a:lumMod val="50000"/>
            </a:schemeClr>
          </a:solidFill>
        </a:ln>
      </c:spPr>
      <c:txPr>
        <a:bodyPr/>
        <a:lstStyle/>
        <a:p>
          <a:pPr>
            <a:defRPr sz="1000" b="0" i="0" u="none" strike="noStrike" baseline="0">
              <a:solidFill>
                <a:srgbClr val="333333"/>
              </a:solidFill>
              <a:latin typeface="Calibri"/>
              <a:ea typeface="Calibri"/>
              <a:cs typeface="Calibri"/>
            </a:defRPr>
          </a:pPr>
          <a:endParaRPr lang="fr-FR"/>
        </a:p>
      </c:txPr>
    </c:legend>
    <c:plotVisOnly val="1"/>
    <c:dispBlanksAs val="gap"/>
    <c:showDLblsOverMax val="0"/>
  </c:chart>
  <c:spPr>
    <a:noFill/>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'Bilan territorial'!$A$79:$F$79</c:f>
          <c:strCache>
            <c:ptCount val="6"/>
            <c:pt idx="0">
              <c:v>#DIV/0!</c:v>
            </c:pt>
          </c:strCache>
        </c:strRef>
      </c:tx>
      <c:layout>
        <c:manualLayout>
          <c:xMode val="edge"/>
          <c:yMode val="edge"/>
          <c:x val="0.11911047967796909"/>
          <c:y val="1.9277076666786512E-2"/>
        </c:manualLayout>
      </c:layout>
      <c:overlay val="0"/>
      <c:txPr>
        <a:bodyPr/>
        <a:lstStyle/>
        <a:p>
          <a:pPr>
            <a:defRPr sz="1800" b="1" i="0" u="none" strike="noStrike" baseline="0">
              <a:solidFill>
                <a:srgbClr val="333333"/>
              </a:solidFill>
              <a:latin typeface="Calibri"/>
              <a:ea typeface="Calibri"/>
              <a:cs typeface="Calibri"/>
            </a:defRPr>
          </a:pPr>
          <a:endParaRPr lang="fr-FR"/>
        </a:p>
      </c:txPr>
    </c:title>
    <c:autoTitleDeleted val="0"/>
    <c:plotArea>
      <c:layout>
        <c:manualLayout>
          <c:layoutTarget val="inner"/>
          <c:xMode val="edge"/>
          <c:yMode val="edge"/>
          <c:x val="0.12574155965915454"/>
          <c:y val="0.12792770923973282"/>
          <c:w val="0.62677430347789076"/>
          <c:h val="0.77333417599459164"/>
        </c:manualLayout>
      </c:layout>
      <c:barChart>
        <c:barDir val="col"/>
        <c:grouping val="stacked"/>
        <c:varyColors val="0"/>
        <c:ser>
          <c:idx val="0"/>
          <c:order val="0"/>
          <c:tx>
            <c:strRef>
              <c:f>'Bilan territorial'!$S$29</c:f>
              <c:strCache>
                <c:ptCount val="1"/>
                <c:pt idx="0">
                  <c:v>#DIV/0!</c:v>
                </c:pt>
              </c:strCache>
            </c:strRef>
          </c:tx>
          <c:invertIfNegative val="0"/>
          <c:dLbls>
            <c:dLbl>
              <c:idx val="0"/>
              <c:tx>
                <c:strRef>
                  <c:f>'Bilan territorial'!$O$29</c:f>
                  <c:strCache>
                    <c:ptCount val="1"/>
                    <c:pt idx="0">
                      <c:v>#DIV/0!</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{DF36E227-BCCA-46C8-A098-E1954FDA65C2}</c15:txfldGUID>
                      <c15:f>'Bilan territorial'!$O$29</c15:f>
                      <c15:dlblFieldTableCache>
                        <c:ptCount val="1"/>
                        <c:pt idx="0">
                          <c:v>#DIV/0!</c:v>
                        </c:pt>
                      </c15:dlblFieldTableCache>
                    </c15:dlblFTEntry>
                  </c15:dlblFieldTable>
                  <c15:showDataLabelsRange val="0"/>
                </c:ext>
                <c:ext xmlns:c16="http://schemas.microsoft.com/office/drawing/2014/chart" uri="{C3380CC4-5D6E-409C-BE32-E72D297353CC}">
                  <c16:uniqueId val="{00000000-8446-40E9-8718-EB67B6F0376D}"/>
                </c:ext>
              </c:extLst>
            </c:dLbl>
            <c:dLbl>
              <c:idx val="1"/>
              <c:tx>
                <c:strRef>
                  <c:f>'Bilan territorial'!$P$29</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{34D96555-ADF9-4769-8CA2-6E43E960FA9D}</c15:txfldGUID>
                      <c15:f>'Bilan territorial'!$P$29</c15:f>
                      <c15:dlblFieldTableCache>
                        <c:ptCount val="1"/>
                        <c:pt idx="0">
                          <c:v>#REF!</c:v>
                        </c:pt>
                      </c15:dlblFieldTableCache>
                    </c15:dlblFTEntry>
                  </c15:dlblFieldTable>
                  <c15:showDataLabelsRange val="0"/>
                </c:ext>
                <c:ext xmlns:c16="http://schemas.microsoft.com/office/drawing/2014/chart" uri="{C3380CC4-5D6E-409C-BE32-E72D297353CC}">
                  <c16:uniqueId val="{00000001-8446-40E9-8718-EB67B6F0376D}"/>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territorial'!$A$9,'Bilan territorial'!$H$9)</c:f>
              <c:numCache>
                <c:formatCode>General</c:formatCode>
                <c:ptCount val="2"/>
                <c:pt idx="0">
                  <c:v>2006</c:v>
                </c:pt>
                <c:pt idx="1">
                  <c:v>0</c:v>
                </c:pt>
              </c:numCache>
            </c:numRef>
          </c:cat>
          <c:val>
            <c:numRef>
              <c:f>('Bilan territorial'!$F$29,'Bilan territorial'!$M$29)</c:f>
              <c:numCache>
                <c:formatCode>_ * #,##0_ ;_ * \-#,##0_ ;_ * "-"??_ ;_ @_ </c:formatCode>
                <c:ptCount val="2"/>
                <c:pt idx="0">
                  <c:v>0</c:v>
                </c:pt>
                <c:pt idx="1">
                  <c:v>0</c:v>
                </c:pt>
              </c:numCache>
            </c:numRef>
          </c:val>
          <c:extLst>
            <c:ext xmlns:c16="http://schemas.microsoft.com/office/drawing/2014/chart" uri="{C3380CC4-5D6E-409C-BE32-E72D297353CC}">
              <c16:uniqueId val="{00000002-8446-40E9-8718-EB67B6F0376D}"/>
            </c:ext>
          </c:extLst>
        </c:ser>
        <c:ser>
          <c:idx val="1"/>
          <c:order val="1"/>
          <c:tx>
            <c:strRef>
              <c:f>'Bilan territorial'!$S$30</c:f>
              <c:strCache>
                <c:ptCount val="1"/>
                <c:pt idx="0">
                  <c:v>#DIV/0!</c:v>
                </c:pt>
              </c:strCache>
            </c:strRef>
          </c:tx>
          <c:invertIfNegative val="0"/>
          <c:dLbls>
            <c:dLbl>
              <c:idx val="0"/>
              <c:tx>
                <c:strRef>
                  <c:f>'Bilan territorial'!$O$30</c:f>
                  <c:strCache>
                    <c:ptCount val="1"/>
                    <c:pt idx="0">
                      <c:v>#DIV/0!</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{F187DB06-3B6C-4A4B-9C20-4FDA3B564F2E}</c15:txfldGUID>
                      <c15:f>'Bilan territorial'!$O$30</c15:f>
                      <c15:dlblFieldTableCache>
                        <c:ptCount val="1"/>
                        <c:pt idx="0">
                          <c:v>#DIV/0!</c:v>
                        </c:pt>
                      </c15:dlblFieldTableCache>
                    </c15:dlblFTEntry>
                  </c15:dlblFieldTable>
                  <c15:showDataLabelsRange val="0"/>
                </c:ext>
                <c:ext xmlns:c16="http://schemas.microsoft.com/office/drawing/2014/chart" uri="{C3380CC4-5D6E-409C-BE32-E72D297353CC}">
                  <c16:uniqueId val="{00000003-8446-40E9-8718-EB67B6F0376D}"/>
                </c:ext>
              </c:extLst>
            </c:dLbl>
            <c:dLbl>
              <c:idx val="1"/>
              <c:tx>
                <c:strRef>
                  <c:f>'Bilan territorial'!$P$30</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{468AF0DF-6950-45DB-8045-182CD2F4CAB9}</c15:txfldGUID>
                      <c15:f>'Bilan territorial'!$P$30</c15:f>
                      <c15:dlblFieldTableCache>
                        <c:ptCount val="1"/>
                        <c:pt idx="0">
                          <c:v>#REF!</c:v>
                        </c:pt>
                      </c15:dlblFieldTableCache>
                    </c15:dlblFTEntry>
                  </c15:dlblFieldTable>
                  <c15:showDataLabelsRange val="0"/>
                </c:ext>
                <c:ext xmlns:c16="http://schemas.microsoft.com/office/drawing/2014/chart" uri="{C3380CC4-5D6E-409C-BE32-E72D297353CC}">
                  <c16:uniqueId val="{00000004-8446-40E9-8718-EB67B6F0376D}"/>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territorial'!$F$30,'Bilan territorial'!$M$30)</c:f>
              <c:numCache>
                <c:formatCode>_ * #,##0_ ;_ * \-#,##0_ ;_ * "-"??_ ;_ @_ </c:formatCode>
                <c:ptCount val="2"/>
                <c:pt idx="0">
                  <c:v>0</c:v>
                </c:pt>
                <c:pt idx="1">
                  <c:v>0</c:v>
                </c:pt>
              </c:numCache>
            </c:numRef>
          </c:val>
          <c:extLst>
            <c:ext xmlns:c16="http://schemas.microsoft.com/office/drawing/2014/chart" uri="{C3380CC4-5D6E-409C-BE32-E72D297353CC}">
              <c16:uniqueId val="{00000005-8446-40E9-8718-EB67B6F0376D}"/>
            </c:ext>
          </c:extLst>
        </c:ser>
        <c:ser>
          <c:idx val="2"/>
          <c:order val="2"/>
          <c:tx>
            <c:strRef>
              <c:f>'Bilan territorial'!$S$33</c:f>
              <c:strCache>
                <c:ptCount val="1"/>
                <c:pt idx="0">
                  <c:v>#DIV/0!</c:v>
                </c:pt>
              </c:strCache>
            </c:strRef>
          </c:tx>
          <c:invertIfNegative val="0"/>
          <c:dLbls>
            <c:dLbl>
              <c:idx val="0"/>
              <c:tx>
                <c:strRef>
                  <c:f>'Bilan territorial'!$O$33</c:f>
                  <c:strCache>
                    <c:ptCount val="1"/>
                    <c:pt idx="0">
                      <c:v>#DIV/0!</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{601964EB-974A-4C86-9E69-0D7F0960AF3E}</c15:txfldGUID>
                      <c15:f>'Bilan territorial'!$O$33</c15:f>
                      <c15:dlblFieldTableCache>
                        <c:ptCount val="1"/>
                        <c:pt idx="0">
                          <c:v>#DIV/0!</c:v>
                        </c:pt>
                      </c15:dlblFieldTableCache>
                    </c15:dlblFTEntry>
                  </c15:dlblFieldTable>
                  <c15:showDataLabelsRange val="0"/>
                </c:ext>
                <c:ext xmlns:c16="http://schemas.microsoft.com/office/drawing/2014/chart" uri="{C3380CC4-5D6E-409C-BE32-E72D297353CC}">
                  <c16:uniqueId val="{00000006-8446-40E9-8718-EB67B6F0376D}"/>
                </c:ext>
              </c:extLst>
            </c:dLbl>
            <c:dLbl>
              <c:idx val="1"/>
              <c:tx>
                <c:strRef>
                  <c:f>'Bilan territorial'!$P$33</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{EA2B937D-1932-4842-8BE4-16BD4BD2784C}</c15:txfldGUID>
                      <c15:f>'Bilan territorial'!$P$33</c15:f>
                      <c15:dlblFieldTableCache>
                        <c:ptCount val="1"/>
                        <c:pt idx="0">
                          <c:v>#REF!</c:v>
                        </c:pt>
                      </c15:dlblFieldTableCache>
                    </c15:dlblFTEntry>
                  </c15:dlblFieldTable>
                  <c15:showDataLabelsRange val="0"/>
                </c:ext>
                <c:ext xmlns:c16="http://schemas.microsoft.com/office/drawing/2014/chart" uri="{C3380CC4-5D6E-409C-BE32-E72D297353CC}">
                  <c16:uniqueId val="{00000007-8446-40E9-8718-EB67B6F0376D}"/>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territorial'!$F$33,'Bilan territorial'!$M$33)</c:f>
              <c:numCache>
                <c:formatCode>_ * #,##0_ ;_ * \-#,##0_ ;_ * "-"??_ ;_ @_ </c:formatCode>
                <c:ptCount val="2"/>
                <c:pt idx="0">
                  <c:v>0</c:v>
                </c:pt>
                <c:pt idx="1">
                  <c:v>0</c:v>
                </c:pt>
              </c:numCache>
            </c:numRef>
          </c:val>
          <c:extLst>
            <c:ext xmlns:c16="http://schemas.microsoft.com/office/drawing/2014/chart" uri="{C3380CC4-5D6E-409C-BE32-E72D297353CC}">
              <c16:uniqueId val="{00000008-8446-40E9-8718-EB67B6F0376D}"/>
            </c:ext>
          </c:extLst>
        </c:ser>
        <c:ser>
          <c:idx val="3"/>
          <c:order val="3"/>
          <c:tx>
            <c:strRef>
              <c:f>'Bilan territorial'!$S$34</c:f>
              <c:strCache>
                <c:ptCount val="1"/>
                <c:pt idx="0">
                  <c:v>#DIV/0!</c:v>
                </c:pt>
              </c:strCache>
            </c:strRef>
          </c:tx>
          <c:invertIfNegative val="0"/>
          <c:dLbls>
            <c:dLbl>
              <c:idx val="0"/>
              <c:tx>
                <c:strRef>
                  <c:f>'Bilan territorial'!$O$34</c:f>
                  <c:strCache>
                    <c:ptCount val="1"/>
                    <c:pt idx="0">
                      <c:v>#DIV/0!</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{9E5AA6B6-0439-4620-9B30-970DC7C1ED35}</c15:txfldGUID>
                      <c15:f>'Bilan territorial'!$O$34</c15:f>
                      <c15:dlblFieldTableCache>
                        <c:ptCount val="1"/>
                        <c:pt idx="0">
                          <c:v>#DIV/0!</c:v>
                        </c:pt>
                      </c15:dlblFieldTableCache>
                    </c15:dlblFTEntry>
                  </c15:dlblFieldTable>
                  <c15:showDataLabelsRange val="0"/>
                </c:ext>
                <c:ext xmlns:c16="http://schemas.microsoft.com/office/drawing/2014/chart" uri="{C3380CC4-5D6E-409C-BE32-E72D297353CC}">
                  <c16:uniqueId val="{00000009-8446-40E9-8718-EB67B6F0376D}"/>
                </c:ext>
              </c:extLst>
            </c:dLbl>
            <c:dLbl>
              <c:idx val="1"/>
              <c:tx>
                <c:strRef>
                  <c:f>'Bilan territorial'!$P$34</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{A6EFCB76-9D2D-47FC-878A-7BAE68282528}</c15:txfldGUID>
                      <c15:f>'Bilan territorial'!$P$34</c15:f>
                      <c15:dlblFieldTableCache>
                        <c:ptCount val="1"/>
                        <c:pt idx="0">
                          <c:v>#REF!</c:v>
                        </c:pt>
                      </c15:dlblFieldTableCache>
                    </c15:dlblFTEntry>
                  </c15:dlblFieldTable>
                  <c15:showDataLabelsRange val="0"/>
                </c:ext>
                <c:ext xmlns:c16="http://schemas.microsoft.com/office/drawing/2014/chart" uri="{C3380CC4-5D6E-409C-BE32-E72D297353CC}">
                  <c16:uniqueId val="{0000000A-8446-40E9-8718-EB67B6F0376D}"/>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territorial'!$F$34,'Bilan territorial'!$M$34)</c:f>
              <c:numCache>
                <c:formatCode>_ * #,##0_ ;_ * \-#,##0_ ;_ * "-"??_ ;_ @_ </c:formatCode>
                <c:ptCount val="2"/>
                <c:pt idx="0">
                  <c:v>0</c:v>
                </c:pt>
                <c:pt idx="1">
                  <c:v>0</c:v>
                </c:pt>
              </c:numCache>
            </c:numRef>
          </c:val>
          <c:extLst>
            <c:ext xmlns:c16="http://schemas.microsoft.com/office/drawing/2014/chart" uri="{C3380CC4-5D6E-409C-BE32-E72D297353CC}">
              <c16:uniqueId val="{0000000B-8446-40E9-8718-EB67B6F0376D}"/>
            </c:ext>
          </c:extLst>
        </c:ser>
        <c:ser>
          <c:idx val="4"/>
          <c:order val="4"/>
          <c:tx>
            <c:strRef>
              <c:f>'Bilan territorial'!$S$35</c:f>
              <c:strCache>
                <c:ptCount val="1"/>
                <c:pt idx="0">
                  <c:v>#DIV/0!</c:v>
                </c:pt>
              </c:strCache>
            </c:strRef>
          </c:tx>
          <c:invertIfNegative val="0"/>
          <c:dLbls>
            <c:dLbl>
              <c:idx val="0"/>
              <c:layout>
                <c:manualLayout>
                  <c:x val="-5.7736437759637411E-17"/>
                  <c:y val="9.0629568646070358E-3"/>
                </c:manualLayout>
              </c:layout>
              <c:tx>
                <c:strRef>
                  <c:f>'Bilan territorial'!$O$35</c:f>
                  <c:strCache>
                    <c:ptCount val="1"/>
                    <c:pt idx="0">
                      <c:v>#DIV/0!</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{C979445E-0F4D-49F9-AF86-0AA4214E091C}</c15:txfldGUID>
                      <c15:f>'Bilan territorial'!$O$35</c15:f>
                      <c15:dlblFieldTableCache>
                        <c:ptCount val="1"/>
                        <c:pt idx="0">
                          <c:v>#DIV/0!</c:v>
                        </c:pt>
                      </c15:dlblFieldTableCache>
                    </c15:dlblFTEntry>
                  </c15:dlblFieldTable>
                  <c15:showDataLabelsRange val="0"/>
                </c:ext>
                <c:ext xmlns:c16="http://schemas.microsoft.com/office/drawing/2014/chart" uri="{C3380CC4-5D6E-409C-BE32-E72D297353CC}">
                  <c16:uniqueId val="{0000000C-8446-40E9-8718-EB67B6F0376D}"/>
                </c:ext>
              </c:extLst>
            </c:dLbl>
            <c:dLbl>
              <c:idx val="1"/>
              <c:tx>
                <c:strRef>
                  <c:f>'Bilan territorial'!$P$35</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{F554B971-2D57-4281-9665-BE272644EB55}</c15:txfldGUID>
                      <c15:f>'Bilan territorial'!$P$35</c15:f>
                      <c15:dlblFieldTableCache>
                        <c:ptCount val="1"/>
                        <c:pt idx="0">
                          <c:v>#REF!</c:v>
                        </c:pt>
                      </c15:dlblFieldTableCache>
                    </c15:dlblFTEntry>
                  </c15:dlblFieldTable>
                  <c15:showDataLabelsRange val="0"/>
                </c:ext>
                <c:ext xmlns:c16="http://schemas.microsoft.com/office/drawing/2014/chart" uri="{C3380CC4-5D6E-409C-BE32-E72D297353CC}">
                  <c16:uniqueId val="{0000000D-8446-40E9-8718-EB67B6F0376D}"/>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territorial'!$F$35,'Bilan territorial'!$M$35)</c:f>
              <c:numCache>
                <c:formatCode>_ * #,##0_ ;_ * \-#,##0_ ;_ * "-"??_ ;_ @_ </c:formatCode>
                <c:ptCount val="2"/>
                <c:pt idx="0">
                  <c:v>0</c:v>
                </c:pt>
                <c:pt idx="1">
                  <c:v>0</c:v>
                </c:pt>
              </c:numCache>
            </c:numRef>
          </c:val>
          <c:extLst>
            <c:ext xmlns:c16="http://schemas.microsoft.com/office/drawing/2014/chart" uri="{C3380CC4-5D6E-409C-BE32-E72D297353CC}">
              <c16:uniqueId val="{0000000E-8446-40E9-8718-EB67B6F0376D}"/>
            </c:ext>
          </c:extLst>
        </c:ser>
        <c:dLbls>
          <c:showLegendKey val="0"/>
          <c:showVal val="0"/>
          <c:showCatName val="0"/>
          <c:showSerName val="0"/>
          <c:showPercent val="0"/>
          <c:showBubbleSize val="0"/>
        </c:dLbls>
        <c:gapWidth val="300"/>
        <c:overlap val="100"/>
        <c:serLines>
          <c:spPr>
            <a:ln>
              <a:solidFill>
                <a:schemeClr val="tx1">
                  <a:lumMod val="75000"/>
                  <a:lumOff val="25000"/>
                </a:schemeClr>
              </a:solidFill>
            </a:ln>
          </c:spPr>
        </c:serLines>
        <c:axId val="1858039503"/>
        <c:axId val="1"/>
      </c:barChart>
      <c:catAx>
        <c:axId val="1858039503"/>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6350">
              <a:prstDash val="sysDash"/>
            </a:ln>
          </c:spPr>
        </c:majorGridlines>
        <c:title>
          <c:tx>
            <c:rich>
              <a:bodyPr/>
              <a:lstStyle/>
              <a:p>
                <a:pPr>
                  <a:defRPr sz="1400" b="1" i="0" u="none" strike="noStrike" baseline="0">
                    <a:solidFill>
                      <a:srgbClr val="333333"/>
                    </a:solidFill>
                    <a:latin typeface="Calibri"/>
                    <a:ea typeface="Calibri"/>
                    <a:cs typeface="Calibri"/>
                  </a:defRPr>
                </a:pPr>
                <a:r>
                  <a:rPr lang="fr-BE"/>
                  <a:t>tCO2eq</a:t>
                </a:r>
              </a:p>
            </c:rich>
          </c:tx>
          <c:overlay val="0"/>
        </c:title>
        <c:numFmt formatCode="_ * #,##0_ ;_ * \-#,##0_ ;_ * &quot;-&quot;??_ ;_ @_ "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858039503"/>
        <c:crosses val="autoZero"/>
        <c:crossBetween val="between"/>
      </c:valAx>
    </c:plotArea>
    <c:legend>
      <c:legendPos val="r"/>
      <c:layout>
        <c:manualLayout>
          <c:xMode val="edge"/>
          <c:yMode val="edge"/>
          <c:x val="0.77114151656816532"/>
          <c:y val="0.4096434920457086"/>
          <c:w val="0.21869903610576918"/>
          <c:h val="0.27488591755038372"/>
        </c:manualLayout>
      </c:layout>
      <c:overlay val="0"/>
      <c:txPr>
        <a:bodyPr/>
        <a:lstStyle/>
        <a:p>
          <a:pPr>
            <a:defRPr sz="1000" b="0" i="0" u="none" strike="noStrike" baseline="0">
              <a:solidFill>
                <a:srgbClr val="333333"/>
              </a:solidFill>
              <a:latin typeface="Calibri"/>
              <a:ea typeface="Calibri"/>
              <a:cs typeface="Calibri"/>
            </a:defRPr>
          </a:pPr>
          <a:endParaRPr lang="fr-FR"/>
        </a:p>
      </c:txPr>
    </c:legend>
    <c:plotVisOnly val="1"/>
    <c:dispBlanksAs val="gap"/>
    <c:showDLblsOverMax val="0"/>
  </c:chart>
  <c:spPr>
    <a:noFill/>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333333"/>
                </a:solidFill>
                <a:latin typeface="Calibri"/>
                <a:ea typeface="Calibri"/>
                <a:cs typeface="Calibri"/>
              </a:defRPr>
            </a:pPr>
            <a:r>
              <a:rPr lang="fr-BE"/>
              <a:t>Evolution de la couverture renouvelable</a:t>
            </a:r>
          </a:p>
        </c:rich>
      </c:tx>
      <c:layout>
        <c:manualLayout>
          <c:xMode val="edge"/>
          <c:yMode val="edge"/>
          <c:x val="0.21910411198600172"/>
          <c:y val="1.9277556058917292E-2"/>
        </c:manualLayout>
      </c:layout>
      <c:overlay val="0"/>
    </c:title>
    <c:autoTitleDeleted val="0"/>
    <c:plotArea>
      <c:layout>
        <c:manualLayout>
          <c:layoutTarget val="inner"/>
          <c:xMode val="edge"/>
          <c:yMode val="edge"/>
          <c:x val="0.10975898427921424"/>
          <c:y val="0.12598071573388656"/>
          <c:w val="0.60669329482603607"/>
          <c:h val="0.77678391248998069"/>
        </c:manualLayout>
      </c:layout>
      <c:barChart>
        <c:barDir val="col"/>
        <c:grouping val="stacked"/>
        <c:varyColors val="0"/>
        <c:ser>
          <c:idx val="4"/>
          <c:order val="0"/>
          <c:tx>
            <c:strRef>
              <c:f>'Bilan territorial'!$S$49</c:f>
              <c:strCache>
                <c:ptCount val="1"/>
                <c:pt idx="0">
                  <c:v>#REF!</c:v>
                </c:pt>
              </c:strCache>
            </c:strRef>
          </c:tx>
          <c:invertIfNegative val="0"/>
          <c:cat>
            <c:numRef>
              <c:f>('Bilan territorial'!$A$9,'Bilan territorial'!$H$9)</c:f>
              <c:numCache>
                <c:formatCode>General</c:formatCode>
                <c:ptCount val="2"/>
                <c:pt idx="0">
                  <c:v>2006</c:v>
                </c:pt>
                <c:pt idx="1">
                  <c:v>0</c:v>
                </c:pt>
              </c:numCache>
            </c:numRef>
          </c:cat>
          <c:val>
            <c:numRef>
              <c:f>('Bilan territorial'!$D$49,'Bilan territorial'!$K$49)</c:f>
              <c:numCache>
                <c:formatCode>_ * #,##0.000_ ;_ * \-#,##0.000_ ;_ * "-"??_ ;_ @_ </c:formatCode>
                <c:ptCount val="2"/>
                <c:pt idx="0">
                  <c:v>0</c:v>
                </c:pt>
                <c:pt idx="1">
                  <c:v>0</c:v>
                </c:pt>
              </c:numCache>
            </c:numRef>
          </c:val>
          <c:extLst>
            <c:ext xmlns:c16="http://schemas.microsoft.com/office/drawing/2014/chart" uri="{C3380CC4-5D6E-409C-BE32-E72D297353CC}">
              <c16:uniqueId val="{00000000-B4FF-4F66-8565-983E19F7F338}"/>
            </c:ext>
          </c:extLst>
        </c:ser>
        <c:ser>
          <c:idx val="0"/>
          <c:order val="1"/>
          <c:tx>
            <c:strRef>
              <c:f>'Bilan territorial'!$S$50</c:f>
              <c:strCache>
                <c:ptCount val="1"/>
                <c:pt idx="0">
                  <c:v>#REF!</c:v>
                </c:pt>
              </c:strCache>
            </c:strRef>
          </c:tx>
          <c:invertIfNegative val="0"/>
          <c:cat>
            <c:numRef>
              <c:f>('Bilan territorial'!$A$9,'Bilan territorial'!$H$9)</c:f>
              <c:numCache>
                <c:formatCode>General</c:formatCode>
                <c:ptCount val="2"/>
                <c:pt idx="0">
                  <c:v>2006</c:v>
                </c:pt>
                <c:pt idx="1">
                  <c:v>0</c:v>
                </c:pt>
              </c:numCache>
            </c:numRef>
          </c:cat>
          <c:val>
            <c:numRef>
              <c:f>('Bilan territorial'!$D$50,'Bilan territorial'!$K$50)</c:f>
              <c:numCache>
                <c:formatCode>_ * #,##0.000_ ;_ * \-#,##0.000_ ;_ * "-"??_ ;_ @_ </c:formatCode>
                <c:ptCount val="2"/>
                <c:pt idx="0">
                  <c:v>0</c:v>
                </c:pt>
                <c:pt idx="1">
                  <c:v>0</c:v>
                </c:pt>
              </c:numCache>
            </c:numRef>
          </c:val>
          <c:extLst>
            <c:ext xmlns:c16="http://schemas.microsoft.com/office/drawing/2014/chart" uri="{C3380CC4-5D6E-409C-BE32-E72D297353CC}">
              <c16:uniqueId val="{00000001-B4FF-4F66-8565-983E19F7F338}"/>
            </c:ext>
          </c:extLst>
        </c:ser>
        <c:ser>
          <c:idx val="1"/>
          <c:order val="2"/>
          <c:tx>
            <c:strRef>
              <c:f>'Bilan territorial'!$S$51</c:f>
              <c:strCache>
                <c:ptCount val="1"/>
                <c:pt idx="0">
                  <c:v>#REF!</c:v>
                </c:pt>
              </c:strCache>
            </c:strRef>
          </c:tx>
          <c:invertIfNegative val="0"/>
          <c:cat>
            <c:numRef>
              <c:f>('Bilan territorial'!$A$9,'Bilan territorial'!$H$9)</c:f>
              <c:numCache>
                <c:formatCode>General</c:formatCode>
                <c:ptCount val="2"/>
                <c:pt idx="0">
                  <c:v>2006</c:v>
                </c:pt>
                <c:pt idx="1">
                  <c:v>0</c:v>
                </c:pt>
              </c:numCache>
            </c:numRef>
          </c:cat>
          <c:val>
            <c:numRef>
              <c:f>('Bilan territorial'!$D$51,'Bilan territorial'!$K$51)</c:f>
              <c:numCache>
                <c:formatCode>_ * #,##0.000_ ;_ * \-#,##0.000_ ;_ * "-"??_ ;_ @_ </c:formatCode>
                <c:ptCount val="2"/>
                <c:pt idx="0">
                  <c:v>0</c:v>
                </c:pt>
                <c:pt idx="1">
                  <c:v>0</c:v>
                </c:pt>
              </c:numCache>
            </c:numRef>
          </c:val>
          <c:extLst>
            <c:ext xmlns:c16="http://schemas.microsoft.com/office/drawing/2014/chart" uri="{C3380CC4-5D6E-409C-BE32-E72D297353CC}">
              <c16:uniqueId val="{00000002-B4FF-4F66-8565-983E19F7F338}"/>
            </c:ext>
          </c:extLst>
        </c:ser>
        <c:ser>
          <c:idx val="2"/>
          <c:order val="3"/>
          <c:tx>
            <c:strRef>
              <c:f>'Bilan territorial'!$S$52</c:f>
              <c:strCache>
                <c:ptCount val="1"/>
                <c:pt idx="0">
                  <c:v>#REF!</c:v>
                </c:pt>
              </c:strCache>
            </c:strRef>
          </c:tx>
          <c:invertIfNegative val="0"/>
          <c:dLbls>
            <c:dLbl>
              <c:idx val="0"/>
              <c:layout>
                <c:manualLayout>
                  <c:x val="0.12269454973935874"/>
                  <c:y val="-4.2127150698368122E-2"/>
                </c:manualLayout>
              </c:layout>
              <c:tx>
                <c:strRef>
                  <c:f>'Bilan territorial'!$G$59</c:f>
                  <c:strCache>
                    <c:ptCount val="1"/>
                    <c:pt idx="0">
                      <c:v>#DIV/0!</c:v>
                    </c:pt>
                  </c:strCache>
                </c:strRef>
              </c:tx>
              <c:spPr>
                <a:noFill/>
                <a:ln w="25400">
                  <a:noFill/>
                </a:ln>
              </c:spPr>
              <c:txPr>
                <a:bodyPr/>
                <a:lstStyle/>
                <a:p>
                  <a:pPr>
                    <a:defRPr sz="1200" b="1" i="0" u="none" strike="noStrike" baseline="0">
                      <a:solidFill>
                        <a:srgbClr val="333333"/>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{D39D379E-BEF5-47FC-A1EC-2B8444714415}</c15:txfldGUID>
                      <c15:f>'Bilan territorial'!$G$59</c15:f>
                      <c15:dlblFieldTableCache>
                        <c:ptCount val="1"/>
                        <c:pt idx="0">
                          <c:v>#DIV/0!</c:v>
                        </c:pt>
                      </c15:dlblFieldTableCache>
                    </c15:dlblFTEntry>
                  </c15:dlblFieldTable>
                  <c15:showDataLabelsRange val="0"/>
                </c:ext>
                <c:ext xmlns:c16="http://schemas.microsoft.com/office/drawing/2014/chart" uri="{C3380CC4-5D6E-409C-BE32-E72D297353CC}">
                  <c16:uniqueId val="{00000003-B4FF-4F66-8565-983E19F7F338}"/>
                </c:ext>
              </c:extLst>
            </c:dLbl>
            <c:dLbl>
              <c:idx val="1"/>
              <c:layout>
                <c:manualLayout>
                  <c:x val="0.12854995942287825"/>
                  <c:y val="-3.3230876227700858E-2"/>
                </c:manualLayout>
              </c:layout>
              <c:tx>
                <c:strRef>
                  <c:f>'Bilan territorial'!$R$59</c:f>
                  <c:strCache>
                    <c:ptCount val="1"/>
                    <c:pt idx="0">
                      <c:v>#REF!</c:v>
                    </c:pt>
                  </c:strCache>
                </c:strRef>
              </c:tx>
              <c:spPr>
                <a:noFill/>
                <a:ln w="25400">
                  <a:noFill/>
                </a:ln>
              </c:spPr>
              <c:txPr>
                <a:bodyPr/>
                <a:lstStyle/>
                <a:p>
                  <a:pPr>
                    <a:defRPr sz="1200" b="1" i="0" u="none" strike="noStrike" baseline="0">
                      <a:solidFill>
                        <a:srgbClr val="333333"/>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{3C96ECB7-9703-414C-8C0E-605E636D997F}</c15:txfldGUID>
                      <c15:f>'Bilan territorial'!$R$59</c15:f>
                      <c15:dlblFieldTableCache>
                        <c:ptCount val="1"/>
                        <c:pt idx="0">
                          <c:v>#REF!</c:v>
                        </c:pt>
                      </c15:dlblFieldTableCache>
                    </c15:dlblFTEntry>
                  </c15:dlblFieldTable>
                  <c15:showDataLabelsRange val="0"/>
                </c:ext>
                <c:ext xmlns:c16="http://schemas.microsoft.com/office/drawing/2014/chart" uri="{C3380CC4-5D6E-409C-BE32-E72D297353CC}">
                  <c16:uniqueId val="{00000004-B4FF-4F66-8565-983E19F7F338}"/>
                </c:ext>
              </c:extLst>
            </c:dLbl>
            <c:spPr>
              <a:noFill/>
              <a:ln w="25400">
                <a:noFill/>
              </a:ln>
            </c:spPr>
            <c:txPr>
              <a:bodyPr wrap="square" lIns="38100" tIns="19050" rIns="38100" bIns="19050" anchor="ctr">
                <a:spAutoFit/>
              </a:bodyPr>
              <a:lstStyle/>
              <a:p>
                <a:pPr>
                  <a:defRPr sz="1200" b="0" i="0" u="none" strike="noStrike" baseline="0">
                    <a:solidFill>
                      <a:srgbClr val="333333"/>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territorial'!$A$9,'Bilan territorial'!$H$9)</c:f>
              <c:numCache>
                <c:formatCode>General</c:formatCode>
                <c:ptCount val="2"/>
                <c:pt idx="0">
                  <c:v>2006</c:v>
                </c:pt>
                <c:pt idx="1">
                  <c:v>0</c:v>
                </c:pt>
              </c:numCache>
            </c:numRef>
          </c:cat>
          <c:val>
            <c:numRef>
              <c:f>('Bilan territorial'!$D$52,'Bilan territorial'!$K$52)</c:f>
              <c:numCache>
                <c:formatCode>_ * #,##0.000_ ;_ * \-#,##0.000_ ;_ * "-"??_ ;_ @_ </c:formatCode>
                <c:ptCount val="2"/>
                <c:pt idx="0">
                  <c:v>0</c:v>
                </c:pt>
                <c:pt idx="1">
                  <c:v>0</c:v>
                </c:pt>
              </c:numCache>
            </c:numRef>
          </c:val>
          <c:extLst>
            <c:ext xmlns:c16="http://schemas.microsoft.com/office/drawing/2014/chart" uri="{C3380CC4-5D6E-409C-BE32-E72D297353CC}">
              <c16:uniqueId val="{00000005-B4FF-4F66-8565-983E19F7F338}"/>
            </c:ext>
          </c:extLst>
        </c:ser>
        <c:ser>
          <c:idx val="3"/>
          <c:order val="4"/>
          <c:tx>
            <c:strRef>
              <c:f>'Bilan territorial'!$S$54</c:f>
              <c:strCache>
                <c:ptCount val="1"/>
                <c:pt idx="0">
                  <c:v>#REF!</c:v>
                </c:pt>
              </c:strCache>
            </c:strRef>
          </c:tx>
          <c:invertIfNegative val="0"/>
          <c:cat>
            <c:numRef>
              <c:f>('Bilan territorial'!$A$9,'Bilan territorial'!$H$9)</c:f>
              <c:numCache>
                <c:formatCode>General</c:formatCode>
                <c:ptCount val="2"/>
                <c:pt idx="0">
                  <c:v>2006</c:v>
                </c:pt>
                <c:pt idx="1">
                  <c:v>0</c:v>
                </c:pt>
              </c:numCache>
            </c:numRef>
          </c:cat>
          <c:val>
            <c:numRef>
              <c:f>('Bilan territorial'!$D$54,'Bilan territorial'!$K$54)</c:f>
              <c:numCache>
                <c:formatCode>_ * #,##0.000_ ;_ * \-#,##0.000_ ;_ * "-"??_ ;_ @_ </c:formatCode>
                <c:ptCount val="2"/>
                <c:pt idx="0">
                  <c:v>0</c:v>
                </c:pt>
                <c:pt idx="1">
                  <c:v>0</c:v>
                </c:pt>
              </c:numCache>
            </c:numRef>
          </c:val>
          <c:extLst>
            <c:ext xmlns:c16="http://schemas.microsoft.com/office/drawing/2014/chart" uri="{C3380CC4-5D6E-409C-BE32-E72D297353CC}">
              <c16:uniqueId val="{00000006-B4FF-4F66-8565-983E19F7F338}"/>
            </c:ext>
          </c:extLst>
        </c:ser>
        <c:ser>
          <c:idx val="5"/>
          <c:order val="5"/>
          <c:tx>
            <c:strRef>
              <c:f>'Bilan territorial'!$S$55</c:f>
              <c:strCache>
                <c:ptCount val="1"/>
                <c:pt idx="0">
                  <c:v>#REF!</c:v>
                </c:pt>
              </c:strCache>
            </c:strRef>
          </c:tx>
          <c:invertIfNegative val="0"/>
          <c:cat>
            <c:numRef>
              <c:f>('Bilan territorial'!$A$9,'Bilan territorial'!$H$9)</c:f>
              <c:numCache>
                <c:formatCode>General</c:formatCode>
                <c:ptCount val="2"/>
                <c:pt idx="0">
                  <c:v>2006</c:v>
                </c:pt>
                <c:pt idx="1">
                  <c:v>0</c:v>
                </c:pt>
              </c:numCache>
            </c:numRef>
          </c:cat>
          <c:val>
            <c:numRef>
              <c:f>('Bilan territorial'!$D$55,'Bilan territorial'!$K$55)</c:f>
              <c:numCache>
                <c:formatCode>_ * #,##0.000_ ;_ * \-#,##0.000_ ;_ * "-"??_ ;_ @_ </c:formatCode>
                <c:ptCount val="2"/>
                <c:pt idx="0">
                  <c:v>0</c:v>
                </c:pt>
                <c:pt idx="1">
                  <c:v>0</c:v>
                </c:pt>
              </c:numCache>
            </c:numRef>
          </c:val>
          <c:extLst>
            <c:ext xmlns:c16="http://schemas.microsoft.com/office/drawing/2014/chart" uri="{C3380CC4-5D6E-409C-BE32-E72D297353CC}">
              <c16:uniqueId val="{00000007-B4FF-4F66-8565-983E19F7F338}"/>
            </c:ext>
          </c:extLst>
        </c:ser>
        <c:ser>
          <c:idx val="8"/>
          <c:order val="6"/>
          <c:tx>
            <c:strRef>
              <c:f>'Bilan territorial'!$S$62</c:f>
              <c:strCache>
                <c:ptCount val="1"/>
                <c:pt idx="0">
                  <c:v>Biocarburants: 100%</c:v>
                </c:pt>
              </c:strCache>
            </c:strRef>
          </c:tx>
          <c:invertIfNegative val="0"/>
          <c:val>
            <c:numRef>
              <c:f>('Bilan territorial'!$E$17,'Bilan territorial'!$L$17)</c:f>
              <c:numCache>
                <c:formatCode>_ * #,##0.000_ ;_ * \-#,##0.000_ ;_ * "-"??_ ;_ @_ </c:formatCode>
                <c:ptCount val="2"/>
                <c:pt idx="0">
                  <c:v>0</c:v>
                </c:pt>
                <c:pt idx="1">
                  <c:v>0</c:v>
                </c:pt>
              </c:numCache>
            </c:numRef>
          </c:val>
          <c:extLst>
            <c:ext xmlns:c16="http://schemas.microsoft.com/office/drawing/2014/chart" uri="{C3380CC4-5D6E-409C-BE32-E72D297353CC}">
              <c16:uniqueId val="{00000000-3D86-4CDA-8760-93F9F5FD50CB}"/>
            </c:ext>
          </c:extLst>
        </c:ser>
        <c:ser>
          <c:idx val="7"/>
          <c:order val="7"/>
          <c:tx>
            <c:strRef>
              <c:f>'Bilan territorial'!$S$75</c:f>
              <c:strCache>
                <c:ptCount val="1"/>
                <c:pt idx="0">
                  <c:v>#REF!</c:v>
                </c:pt>
              </c:strCache>
            </c:strRef>
          </c:tx>
          <c:invertIfNegative val="0"/>
          <c:val>
            <c:numRef>
              <c:f>('Bilan territorial'!$D$75,'Bilan territorial'!$K$75)</c:f>
            </c:numRef>
          </c:val>
          <c:extLst>
            <c:ext xmlns:c16="http://schemas.microsoft.com/office/drawing/2014/chart" uri="{C3380CC4-5D6E-409C-BE32-E72D297353CC}">
              <c16:uniqueId val="{00000008-B4FF-4F66-8565-983E19F7F338}"/>
            </c:ext>
          </c:extLst>
        </c:ser>
        <c:ser>
          <c:idx val="6"/>
          <c:order val="8"/>
          <c:tx>
            <c:strRef>
              <c:f>'Bilan territorial'!$S$60</c:f>
              <c:strCache>
                <c:ptCount val="1"/>
                <c:pt idx="0">
                  <c:v>#REF!</c:v>
                </c:pt>
              </c:strCache>
            </c:strRef>
          </c:tx>
          <c:invertIfNegative val="0"/>
          <c:dLbls>
            <c:dLbl>
              <c:idx val="0"/>
              <c:tx>
                <c:strRef>
                  <c:f>'Bilan territorial'!$E$60</c:f>
                  <c:strCache>
                    <c:ptCount val="1"/>
                    <c:pt idx="0">
                      <c:v>#DIV/0!</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{AA3F4EF0-FFA4-4A4A-B136-51CDEACAD876}</c15:txfldGUID>
                      <c15:f>'Bilan territorial'!$E$60</c15:f>
                      <c15:dlblFieldTableCache>
                        <c:ptCount val="1"/>
                        <c:pt idx="0">
                          <c:v>#DIV/0!</c:v>
                        </c:pt>
                      </c15:dlblFieldTableCache>
                    </c15:dlblFTEntry>
                  </c15:dlblFieldTable>
                  <c15:showDataLabelsRange val="0"/>
                </c:ext>
                <c:ext xmlns:c16="http://schemas.microsoft.com/office/drawing/2014/chart" uri="{C3380CC4-5D6E-409C-BE32-E72D297353CC}">
                  <c16:uniqueId val="{00000009-B4FF-4F66-8565-983E19F7F338}"/>
                </c:ext>
              </c:extLst>
            </c:dLbl>
            <c:dLbl>
              <c:idx val="1"/>
              <c:tx>
                <c:strRef>
                  <c:f>'Bilan territorial'!$P$60</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{4ED5820E-1F49-4839-8025-69EC93E740BB}</c15:txfldGUID>
                      <c15:f>'Bilan territorial'!$P$60</c15:f>
                      <c15:dlblFieldTableCache>
                        <c:ptCount val="1"/>
                        <c:pt idx="0">
                          <c:v>#REF!</c:v>
                        </c:pt>
                      </c15:dlblFieldTableCache>
                    </c15:dlblFTEntry>
                  </c15:dlblFieldTable>
                  <c15:showDataLabelsRange val="0"/>
                </c:ext>
                <c:ext xmlns:c16="http://schemas.microsoft.com/office/drawing/2014/chart" uri="{C3380CC4-5D6E-409C-BE32-E72D297353CC}">
                  <c16:uniqueId val="{0000000A-B4FF-4F66-8565-983E19F7F338}"/>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territorial'!$A$9,'Bilan territorial'!$H$9)</c:f>
              <c:numCache>
                <c:formatCode>General</c:formatCode>
                <c:ptCount val="2"/>
                <c:pt idx="0">
                  <c:v>2006</c:v>
                </c:pt>
                <c:pt idx="1">
                  <c:v>0</c:v>
                </c:pt>
              </c:numCache>
            </c:numRef>
          </c:cat>
          <c:val>
            <c:numRef>
              <c:f>('Bilan territorial'!$D$60,'Bilan territorial'!$K$60)</c:f>
              <c:numCache>
                <c:formatCode>_ * #,##0.00_ ;_ * \-#,##0.00_ ;_ * "-"??_ ;_ @_ </c:formatCode>
                <c:ptCount val="2"/>
                <c:pt idx="0" formatCode="_-* #,##0.000\ _€_-;\-* #,##0.000\ _€_-;_-* &quot;-&quot;???\ _€_-;_-@_-">
                  <c:v>0</c:v>
                </c:pt>
                <c:pt idx="1">
                  <c:v>0</c:v>
                </c:pt>
              </c:numCache>
            </c:numRef>
          </c:val>
          <c:extLst>
            <c:ext xmlns:c16="http://schemas.microsoft.com/office/drawing/2014/chart" uri="{C3380CC4-5D6E-409C-BE32-E72D297353CC}">
              <c16:uniqueId val="{0000000B-B4FF-4F66-8565-983E19F7F338}"/>
            </c:ext>
          </c:extLst>
        </c:ser>
        <c:dLbls>
          <c:showLegendKey val="0"/>
          <c:showVal val="0"/>
          <c:showCatName val="0"/>
          <c:showSerName val="0"/>
          <c:showPercent val="0"/>
          <c:showBubbleSize val="0"/>
        </c:dLbls>
        <c:gapWidth val="300"/>
        <c:overlap val="100"/>
        <c:serLines>
          <c:spPr>
            <a:ln>
              <a:solidFill>
                <a:schemeClr val="tx1">
                  <a:lumMod val="75000"/>
                  <a:lumOff val="25000"/>
                </a:schemeClr>
              </a:solidFill>
            </a:ln>
          </c:spPr>
        </c:serLines>
        <c:axId val="1858038703"/>
        <c:axId val="1"/>
      </c:barChart>
      <c:catAx>
        <c:axId val="1858038703"/>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6350">
              <a:prstDash val="sysDash"/>
            </a:ln>
          </c:spPr>
        </c:majorGridlines>
        <c:title>
          <c:tx>
            <c:rich>
              <a:bodyPr/>
              <a:lstStyle/>
              <a:p>
                <a:pPr>
                  <a:defRPr sz="1400" b="1" i="0" u="none" strike="noStrike" baseline="0">
                    <a:solidFill>
                      <a:srgbClr val="333333"/>
                    </a:solidFill>
                    <a:latin typeface="Calibri"/>
                    <a:ea typeface="Calibri"/>
                    <a:cs typeface="Calibri"/>
                  </a:defRPr>
                </a:pPr>
                <a:r>
                  <a:rPr lang="fr-BE"/>
                  <a:t>GWh</a:t>
                </a:r>
              </a:p>
            </c:rich>
          </c:tx>
          <c:overlay val="0"/>
        </c:title>
        <c:numFmt formatCode="_ * #,##0.000_ ;_ * \-#,##0.000_ ;_ * &quot;-&quot;??_ ;_ @_ "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858038703"/>
        <c:crosses val="autoZero"/>
        <c:crossBetween val="between"/>
      </c:valAx>
    </c:plotArea>
    <c:legend>
      <c:legendPos val="r"/>
      <c:layout>
        <c:manualLayout>
          <c:xMode val="edge"/>
          <c:yMode val="edge"/>
          <c:x val="0.73570657513964599"/>
          <c:y val="0.31723318831721375"/>
          <c:w val="0.24684287154246731"/>
          <c:h val="0.44082274320035242"/>
        </c:manualLayout>
      </c:layout>
      <c:overlay val="0"/>
      <c:txPr>
        <a:bodyPr/>
        <a:lstStyle/>
        <a:p>
          <a:pPr>
            <a:defRPr sz="1000" b="0" i="0" u="none" strike="noStrike" baseline="0">
              <a:solidFill>
                <a:srgbClr val="333333"/>
              </a:solidFill>
              <a:latin typeface="Calibri"/>
              <a:ea typeface="Calibri"/>
              <a:cs typeface="Calibri"/>
            </a:defRPr>
          </a:pPr>
          <a:endParaRPr lang="fr-FR"/>
        </a:p>
      </c:txPr>
    </c:legend>
    <c:plotVisOnly val="1"/>
    <c:dispBlanksAs val="gap"/>
    <c:showDLblsOverMax val="0"/>
  </c:chart>
  <c:spPr>
    <a:noFill/>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333333"/>
                </a:solidFill>
                <a:latin typeface="Calibri"/>
                <a:ea typeface="Calibri"/>
                <a:cs typeface="Calibri"/>
              </a:defRPr>
            </a:pPr>
            <a:r>
              <a:rPr lang="fr-BE" sz="1800" b="1" i="0" u="none" strike="noStrike" baseline="0">
                <a:solidFill>
                  <a:srgbClr val="333333"/>
                </a:solidFill>
                <a:latin typeface="Calibri"/>
                <a:cs typeface="Calibri"/>
              </a:rPr>
              <a:t>Emissions par habitant</a:t>
            </a:r>
          </a:p>
          <a:p>
            <a:pPr>
              <a:defRPr sz="1000" b="0" i="0" u="none" strike="noStrike" baseline="0">
                <a:solidFill>
                  <a:srgbClr val="333333"/>
                </a:solidFill>
                <a:latin typeface="Calibri"/>
                <a:ea typeface="Calibri"/>
                <a:cs typeface="Calibri"/>
              </a:defRPr>
            </a:pPr>
            <a:r>
              <a:rPr lang="fr-BE" sz="1000" b="1" i="0" u="none" strike="noStrike" baseline="0">
                <a:solidFill>
                  <a:srgbClr val="333333"/>
                </a:solidFill>
                <a:latin typeface="Calibri"/>
                <a:cs typeface="Calibri"/>
              </a:rPr>
              <a:t>(secteurs énergétiques uniquement) </a:t>
            </a:r>
          </a:p>
        </c:rich>
      </c:tx>
      <c:layout>
        <c:manualLayout>
          <c:xMode val="edge"/>
          <c:yMode val="edge"/>
          <c:x val="0.22170429855208498"/>
          <c:y val="3.1088084673454905E-2"/>
        </c:manualLayout>
      </c:layout>
      <c:overlay val="0"/>
    </c:title>
    <c:autoTitleDeleted val="0"/>
    <c:plotArea>
      <c:layout/>
      <c:barChart>
        <c:barDir val="col"/>
        <c:grouping val="clustered"/>
        <c:varyColors val="0"/>
        <c:ser>
          <c:idx val="0"/>
          <c:order val="0"/>
          <c:tx>
            <c:strRef>
              <c:f>'Bilan territorial'!$Q$117</c:f>
              <c:strCache>
                <c:ptCount val="1"/>
                <c:pt idx="0">
                  <c:v>#N/A</c:v>
                </c:pt>
              </c:strCache>
            </c:strRef>
          </c:tx>
          <c:invertIfNegative val="0"/>
          <c:cat>
            <c:numRef>
              <c:f>'Bilan territorial'!$P$113:$P$114</c:f>
              <c:numCache>
                <c:formatCode>General</c:formatCode>
                <c:ptCount val="2"/>
                <c:pt idx="0">
                  <c:v>2006</c:v>
                </c:pt>
                <c:pt idx="1">
                  <c:v>0</c:v>
                </c:pt>
              </c:numCache>
            </c:numRef>
          </c:cat>
          <c:val>
            <c:numRef>
              <c:f>'Bilan territorial'!$Q$113:$Q$114</c:f>
              <c:numCache>
                <c:formatCode>General</c:formatCode>
                <c:ptCount val="2"/>
                <c:pt idx="0">
                  <c:v>6.5540000000000003</c:v>
                </c:pt>
                <c:pt idx="1">
                  <c:v>#N/A</c:v>
                </c:pt>
              </c:numCache>
            </c:numRef>
          </c:val>
          <c:extLst>
            <c:ext xmlns:c16="http://schemas.microsoft.com/office/drawing/2014/chart" uri="{C3380CC4-5D6E-409C-BE32-E72D297353CC}">
              <c16:uniqueId val="{00000000-0582-43D5-9220-142460383F42}"/>
            </c:ext>
          </c:extLst>
        </c:ser>
        <c:ser>
          <c:idx val="1"/>
          <c:order val="1"/>
          <c:tx>
            <c:strRef>
              <c:f>'Bilan territorial'!$R$117</c:f>
              <c:strCache>
                <c:ptCount val="1"/>
                <c:pt idx="0">
                  <c:v>#REF!</c:v>
                </c:pt>
              </c:strCache>
            </c:strRef>
          </c:tx>
          <c:invertIfNegative val="0"/>
          <c:cat>
            <c:numRef>
              <c:f>'Bilan territorial'!$P$113:$P$114</c:f>
              <c:numCache>
                <c:formatCode>General</c:formatCode>
                <c:ptCount val="2"/>
                <c:pt idx="0">
                  <c:v>2006</c:v>
                </c:pt>
                <c:pt idx="1">
                  <c:v>0</c:v>
                </c:pt>
              </c:numCache>
            </c:numRef>
          </c:cat>
          <c:val>
            <c:numRef>
              <c:f>'Bilan territorial'!$R$113:$R$114</c:f>
              <c:numCache>
                <c:formatCode>_ * #,##0.000_ ;_ * \-#,##0.000_ ;_ * "-"??_ ;_ @_ </c:formatCode>
                <c:ptCount val="2"/>
                <c:pt idx="0">
                  <c:v>0</c:v>
                </c:pt>
                <c:pt idx="1">
                  <c:v>0</c:v>
                </c:pt>
              </c:numCache>
            </c:numRef>
          </c:val>
          <c:extLst>
            <c:ext xmlns:c16="http://schemas.microsoft.com/office/drawing/2014/chart" uri="{C3380CC4-5D6E-409C-BE32-E72D297353CC}">
              <c16:uniqueId val="{00000001-0582-43D5-9220-142460383F42}"/>
            </c:ext>
          </c:extLst>
        </c:ser>
        <c:dLbls>
          <c:showLegendKey val="0"/>
          <c:showVal val="0"/>
          <c:showCatName val="0"/>
          <c:showSerName val="0"/>
          <c:showPercent val="0"/>
          <c:showBubbleSize val="0"/>
        </c:dLbls>
        <c:gapWidth val="150"/>
        <c:axId val="1858039103"/>
        <c:axId val="1"/>
      </c:barChart>
      <c:catAx>
        <c:axId val="1858039103"/>
        <c:scaling>
          <c:orientation val="minMax"/>
        </c:scaling>
        <c:delete val="0"/>
        <c:axPos val="b"/>
        <c:numFmt formatCode="General" sourceLinked="1"/>
        <c:majorTickMark val="out"/>
        <c:minorTickMark val="none"/>
        <c:tickLblPos val="nextTo"/>
        <c:txPr>
          <a:bodyPr rot="0" vert="horz"/>
          <a:lstStyle/>
          <a:p>
            <a:pPr>
              <a:defRPr sz="14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333333"/>
                    </a:solidFill>
                    <a:latin typeface="Calibri"/>
                    <a:ea typeface="Calibri"/>
                    <a:cs typeface="Calibri"/>
                  </a:defRPr>
                </a:pPr>
                <a:r>
                  <a:rPr lang="fr-BE"/>
                  <a:t>tCO2eq/hab</a:t>
                </a:r>
              </a:p>
            </c:rich>
          </c:tx>
          <c:overlay val="0"/>
        </c:title>
        <c:numFmt formatCode="General"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858039103"/>
        <c:crosses val="autoZero"/>
        <c:crossBetween val="between"/>
      </c:valAx>
    </c:plotArea>
    <c:legend>
      <c:legendPos val="r"/>
      <c:overlay val="0"/>
      <c:txPr>
        <a:bodyPr/>
        <a:lstStyle/>
        <a:p>
          <a:pPr>
            <a:defRPr sz="850" b="0" i="0" u="none" strike="noStrike" baseline="0">
              <a:solidFill>
                <a:srgbClr val="333333"/>
              </a:solidFill>
              <a:latin typeface="Calibri"/>
              <a:ea typeface="Calibri"/>
              <a:cs typeface="Calibri"/>
            </a:defRPr>
          </a:pPr>
          <a:endParaRPr lang="fr-FR"/>
        </a:p>
      </c:txPr>
    </c:legend>
    <c:plotVisOnly val="0"/>
    <c:dispBlanksAs val="gap"/>
    <c:showDLblsOverMax val="0"/>
  </c:chart>
  <c:spPr>
    <a:noFill/>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'Bilan territorial'!$A$80:$G$80</c:f>
          <c:strCache>
            <c:ptCount val="7"/>
            <c:pt idx="0">
              <c:v>#REF!</c:v>
            </c:pt>
          </c:strCache>
        </c:strRef>
      </c:tx>
      <c:layout>
        <c:manualLayout>
          <c:xMode val="edge"/>
          <c:yMode val="edge"/>
          <c:x val="7.3909697611966377E-2"/>
          <c:y val="2.2342504099101625E-2"/>
        </c:manualLayout>
      </c:layout>
      <c:overlay val="0"/>
      <c:txPr>
        <a:bodyPr/>
        <a:lstStyle/>
        <a:p>
          <a:pPr>
            <a:defRPr sz="1800" b="1" i="0" u="none" strike="noStrike" baseline="0">
              <a:solidFill>
                <a:srgbClr val="333333"/>
              </a:solidFill>
              <a:latin typeface="Calibri"/>
              <a:ea typeface="Calibri"/>
              <a:cs typeface="Calibri"/>
            </a:defRPr>
          </a:pPr>
          <a:endParaRPr lang="fr-FR"/>
        </a:p>
      </c:txPr>
    </c:title>
    <c:autoTitleDeleted val="0"/>
    <c:plotArea>
      <c:layout/>
      <c:barChart>
        <c:barDir val="col"/>
        <c:grouping val="stacked"/>
        <c:varyColors val="0"/>
        <c:ser>
          <c:idx val="0"/>
          <c:order val="0"/>
          <c:tx>
            <c:strRef>
              <c:f>'Bilan territorial'!$I$25</c:f>
              <c:strCache>
                <c:ptCount val="1"/>
                <c:pt idx="0">
                  <c:v>#REF!</c:v>
                </c:pt>
              </c:strCache>
            </c:strRef>
          </c:tx>
          <c:invertIfNegative val="0"/>
          <c:dLbls>
            <c:dLbl>
              <c:idx val="0"/>
              <c:tx>
                <c:strRef>
                  <c:f>'Bilan territorial'!$B$22</c:f>
                  <c:strCache>
                    <c:ptCount val="1"/>
                    <c:pt idx="0">
                      <c:v>#DIV/0!</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{9DB2A3C8-220B-46CF-8E75-54E868C3B6C3}</c15:txfldGUID>
                      <c15:f>'Bilan territorial'!$B$22</c15:f>
                      <c15:dlblFieldTableCache>
                        <c:ptCount val="1"/>
                        <c:pt idx="0">
                          <c:v>#DIV/0!</c:v>
                        </c:pt>
                      </c15:dlblFieldTableCache>
                    </c15:dlblFTEntry>
                  </c15:dlblFieldTable>
                  <c15:showDataLabelsRange val="0"/>
                </c:ext>
                <c:ext xmlns:c16="http://schemas.microsoft.com/office/drawing/2014/chart" uri="{C3380CC4-5D6E-409C-BE32-E72D297353CC}">
                  <c16:uniqueId val="{00000000-185B-486B-A200-94A70D4CA22C}"/>
                </c:ext>
              </c:extLst>
            </c:dLbl>
            <c:dLbl>
              <c:idx val="1"/>
              <c:tx>
                <c:strRef>
                  <c:f>'Bilan territorial'!$I$22</c:f>
                  <c:strCache>
                    <c:ptCount val="1"/>
                    <c:pt idx="0">
                      <c:v>#REF!</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{A3F651F3-F757-48ED-B66D-FF96202458B2}</c15:txfldGUID>
                      <c15:f>'Bilan territorial'!$I$22</c15:f>
                      <c15:dlblFieldTableCache>
                        <c:ptCount val="1"/>
                        <c:pt idx="0">
                          <c:v>#REF!</c:v>
                        </c:pt>
                      </c15:dlblFieldTableCache>
                    </c15:dlblFTEntry>
                  </c15:dlblFieldTable>
                  <c15:showDataLabelsRange val="0"/>
                </c:ext>
                <c:ext xmlns:c16="http://schemas.microsoft.com/office/drawing/2014/chart" uri="{C3380CC4-5D6E-409C-BE32-E72D297353CC}">
                  <c16:uniqueId val="{00000001-185B-486B-A200-94A70D4CA22C}"/>
                </c:ext>
              </c:extLst>
            </c:dLbl>
            <c:spPr>
              <a:noFill/>
              <a:ln w="25400">
                <a:noFill/>
              </a:ln>
            </c:spPr>
            <c:txPr>
              <a:bodyPr wrap="square" lIns="38100" tIns="19050" rIns="38100" bIns="19050" anchor="ctr">
                <a:spAutoFit/>
              </a:bodyPr>
              <a:lstStyle/>
              <a:p>
                <a:pPr>
                  <a:defRPr sz="11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territorial'!$A$27,'Bilan territorial'!$H$27)</c:f>
              <c:numCache>
                <c:formatCode>General</c:formatCode>
                <c:ptCount val="2"/>
                <c:pt idx="0">
                  <c:v>2006</c:v>
                </c:pt>
                <c:pt idx="1">
                  <c:v>0</c:v>
                </c:pt>
              </c:numCache>
            </c:numRef>
          </c:cat>
          <c:val>
            <c:numRef>
              <c:f>('Bilan territorial'!$B$20,'Bilan territorial'!$I$20)</c:f>
              <c:numCache>
                <c:formatCode>_ * #,##0.000_ ;_ * \-#,##0.000_ ;_ * "-"??_ ;_ @_ </c:formatCode>
                <c:ptCount val="2"/>
                <c:pt idx="0">
                  <c:v>0</c:v>
                </c:pt>
                <c:pt idx="1">
                  <c:v>0</c:v>
                </c:pt>
              </c:numCache>
            </c:numRef>
          </c:val>
          <c:extLst>
            <c:ext xmlns:c16="http://schemas.microsoft.com/office/drawing/2014/chart" uri="{C3380CC4-5D6E-409C-BE32-E72D297353CC}">
              <c16:uniqueId val="{00000002-185B-486B-A200-94A70D4CA22C}"/>
            </c:ext>
          </c:extLst>
        </c:ser>
        <c:ser>
          <c:idx val="1"/>
          <c:order val="1"/>
          <c:tx>
            <c:strRef>
              <c:f>'Bilan territorial'!$J$25</c:f>
              <c:strCache>
                <c:ptCount val="1"/>
                <c:pt idx="0">
                  <c:v>Gaz naturel : 0%</c:v>
                </c:pt>
              </c:strCache>
            </c:strRef>
          </c:tx>
          <c:invertIfNegative val="0"/>
          <c:dLbls>
            <c:dLbl>
              <c:idx val="0"/>
              <c:tx>
                <c:strRef>
                  <c:f>'Bilan territorial'!$C$22</c:f>
                  <c:strCache>
                    <c:ptCount val="1"/>
                    <c:pt idx="0">
                      <c:v>#DIV/0!</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{3AD1BE8A-E997-4819-A52C-3BD0E9D13BB8}</c15:txfldGUID>
                      <c15:f>'Bilan territorial'!$C$22</c15:f>
                      <c15:dlblFieldTableCache>
                        <c:ptCount val="1"/>
                        <c:pt idx="0">
                          <c:v>#DIV/0!</c:v>
                        </c:pt>
                      </c15:dlblFieldTableCache>
                    </c15:dlblFTEntry>
                  </c15:dlblFieldTable>
                  <c15:showDataLabelsRange val="0"/>
                </c:ext>
                <c:ext xmlns:c16="http://schemas.microsoft.com/office/drawing/2014/chart" uri="{C3380CC4-5D6E-409C-BE32-E72D297353CC}">
                  <c16:uniqueId val="{00000003-185B-486B-A200-94A70D4CA22C}"/>
                </c:ext>
              </c:extLst>
            </c:dLbl>
            <c:dLbl>
              <c:idx val="1"/>
              <c:tx>
                <c:strRef>
                  <c:f>'Bilan territorial'!$J$22</c:f>
                  <c:strCache>
                    <c:ptCount val="1"/>
                    <c:pt idx="0">
                      <c:v>#REF!</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{BA0C93E2-0BBE-4B03-A94B-E9FAE628A46D}</c15:txfldGUID>
                      <c15:f>'Bilan territorial'!$J$22</c15:f>
                      <c15:dlblFieldTableCache>
                        <c:ptCount val="1"/>
                        <c:pt idx="0">
                          <c:v>#REF!</c:v>
                        </c:pt>
                      </c15:dlblFieldTableCache>
                    </c15:dlblFTEntry>
                  </c15:dlblFieldTable>
                  <c15:showDataLabelsRange val="0"/>
                </c:ext>
                <c:ext xmlns:c16="http://schemas.microsoft.com/office/drawing/2014/chart" uri="{C3380CC4-5D6E-409C-BE32-E72D297353CC}">
                  <c16:uniqueId val="{00000004-185B-486B-A200-94A70D4CA22C}"/>
                </c:ext>
              </c:extLst>
            </c:dLbl>
            <c:spPr>
              <a:noFill/>
              <a:ln w="25400">
                <a:noFill/>
              </a:ln>
            </c:spPr>
            <c:txPr>
              <a:bodyPr wrap="square" lIns="38100" tIns="19050" rIns="38100" bIns="19050" anchor="ctr">
                <a:spAutoFit/>
              </a:bodyPr>
              <a:lstStyle/>
              <a:p>
                <a:pPr>
                  <a:defRPr sz="11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territorial'!$A$27,'Bilan territorial'!$H$27)</c:f>
              <c:numCache>
                <c:formatCode>General</c:formatCode>
                <c:ptCount val="2"/>
                <c:pt idx="0">
                  <c:v>2006</c:v>
                </c:pt>
                <c:pt idx="1">
                  <c:v>0</c:v>
                </c:pt>
              </c:numCache>
            </c:numRef>
          </c:cat>
          <c:val>
            <c:numRef>
              <c:f>('Bilan territorial'!$C$20,'Bilan territorial'!$J$20)</c:f>
              <c:numCache>
                <c:formatCode>_ * #,##0.000_ ;_ * \-#,##0.000_ ;_ * "-"??_ ;_ @_ </c:formatCode>
                <c:ptCount val="2"/>
                <c:pt idx="0">
                  <c:v>0</c:v>
                </c:pt>
                <c:pt idx="1">
                  <c:v>0</c:v>
                </c:pt>
              </c:numCache>
            </c:numRef>
          </c:val>
          <c:extLst>
            <c:ext xmlns:c16="http://schemas.microsoft.com/office/drawing/2014/chart" uri="{C3380CC4-5D6E-409C-BE32-E72D297353CC}">
              <c16:uniqueId val="{00000005-185B-486B-A200-94A70D4CA22C}"/>
            </c:ext>
          </c:extLst>
        </c:ser>
        <c:ser>
          <c:idx val="2"/>
          <c:order val="2"/>
          <c:tx>
            <c:strRef>
              <c:f>'Bilan territorial'!$K$25</c:f>
              <c:strCache>
                <c:ptCount val="1"/>
                <c:pt idx="0">
                  <c:v>Prod. Petr. : 0%</c:v>
                </c:pt>
              </c:strCache>
            </c:strRef>
          </c:tx>
          <c:invertIfNegative val="0"/>
          <c:dLbls>
            <c:dLbl>
              <c:idx val="0"/>
              <c:tx>
                <c:strRef>
                  <c:f>'Bilan territorial'!$D$22</c:f>
                  <c:strCache>
                    <c:ptCount val="1"/>
                    <c:pt idx="0">
                      <c:v>#DIV/0!</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{8DB27F5D-EE5D-4CAF-A3EC-AC34ACD61DAE}</c15:txfldGUID>
                      <c15:f>'Bilan territorial'!$D$22</c15:f>
                      <c15:dlblFieldTableCache>
                        <c:ptCount val="1"/>
                        <c:pt idx="0">
                          <c:v>#DIV/0!</c:v>
                        </c:pt>
                      </c15:dlblFieldTableCache>
                    </c15:dlblFTEntry>
                  </c15:dlblFieldTable>
                  <c15:showDataLabelsRange val="0"/>
                </c:ext>
                <c:ext xmlns:c16="http://schemas.microsoft.com/office/drawing/2014/chart" uri="{C3380CC4-5D6E-409C-BE32-E72D297353CC}">
                  <c16:uniqueId val="{00000006-185B-486B-A200-94A70D4CA22C}"/>
                </c:ext>
              </c:extLst>
            </c:dLbl>
            <c:dLbl>
              <c:idx val="1"/>
              <c:tx>
                <c:strRef>
                  <c:f>'Bilan territorial'!$K$22</c:f>
                  <c:strCache>
                    <c:ptCount val="1"/>
                    <c:pt idx="0">
                      <c:v>#REF!</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{8C478722-E104-4C55-BA57-8BF1D192A398}</c15:txfldGUID>
                      <c15:f>'Bilan territorial'!$K$22</c15:f>
                      <c15:dlblFieldTableCache>
                        <c:ptCount val="1"/>
                        <c:pt idx="0">
                          <c:v>#REF!</c:v>
                        </c:pt>
                      </c15:dlblFieldTableCache>
                    </c15:dlblFTEntry>
                  </c15:dlblFieldTable>
                  <c15:showDataLabelsRange val="0"/>
                </c:ext>
                <c:ext xmlns:c16="http://schemas.microsoft.com/office/drawing/2014/chart" uri="{C3380CC4-5D6E-409C-BE32-E72D297353CC}">
                  <c16:uniqueId val="{00000007-185B-486B-A200-94A70D4CA22C}"/>
                </c:ext>
              </c:extLst>
            </c:dLbl>
            <c:spPr>
              <a:noFill/>
              <a:ln w="25400">
                <a:noFill/>
              </a:ln>
            </c:spPr>
            <c:txPr>
              <a:bodyPr wrap="square" lIns="38100" tIns="19050" rIns="38100" bIns="19050" anchor="ctr">
                <a:spAutoFit/>
              </a:bodyPr>
              <a:lstStyle/>
              <a:p>
                <a:pPr>
                  <a:defRPr sz="11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territorial'!$A$27,'Bilan territorial'!$H$27)</c:f>
              <c:numCache>
                <c:formatCode>General</c:formatCode>
                <c:ptCount val="2"/>
                <c:pt idx="0">
                  <c:v>2006</c:v>
                </c:pt>
                <c:pt idx="1">
                  <c:v>0</c:v>
                </c:pt>
              </c:numCache>
            </c:numRef>
          </c:cat>
          <c:val>
            <c:numRef>
              <c:f>('Bilan territorial'!$D$20,'Bilan territorial'!$K$20)</c:f>
              <c:numCache>
                <c:formatCode>_ * #,##0.000_ ;_ * \-#,##0.000_ ;_ * "-"??_ ;_ @_ </c:formatCode>
                <c:ptCount val="2"/>
                <c:pt idx="0">
                  <c:v>0</c:v>
                </c:pt>
                <c:pt idx="1">
                  <c:v>0</c:v>
                </c:pt>
              </c:numCache>
            </c:numRef>
          </c:val>
          <c:extLst>
            <c:ext xmlns:c16="http://schemas.microsoft.com/office/drawing/2014/chart" uri="{C3380CC4-5D6E-409C-BE32-E72D297353CC}">
              <c16:uniqueId val="{00000008-185B-486B-A200-94A70D4CA22C}"/>
            </c:ext>
          </c:extLst>
        </c:ser>
        <c:ser>
          <c:idx val="3"/>
          <c:order val="3"/>
          <c:tx>
            <c:strRef>
              <c:f>'Bilan territorial'!$L$25</c:f>
              <c:strCache>
                <c:ptCount val="1"/>
                <c:pt idx="0">
                  <c:v>Total autres : 0%</c:v>
                </c:pt>
              </c:strCache>
            </c:strRef>
          </c:tx>
          <c:invertIfNegative val="0"/>
          <c:dLbls>
            <c:dLbl>
              <c:idx val="0"/>
              <c:tx>
                <c:strRef>
                  <c:f>'Bilan territorial'!$E$22</c:f>
                  <c:strCache>
                    <c:ptCount val="1"/>
                    <c:pt idx="0">
                      <c:v>#DIV/0!</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{8AE408DB-2780-49DA-9DE1-E6D23508E402}</c15:txfldGUID>
                      <c15:f>'Bilan territorial'!$E$22</c15:f>
                      <c15:dlblFieldTableCache>
                        <c:ptCount val="1"/>
                        <c:pt idx="0">
                          <c:v>#DIV/0!</c:v>
                        </c:pt>
                      </c15:dlblFieldTableCache>
                    </c15:dlblFTEntry>
                  </c15:dlblFieldTable>
                  <c15:showDataLabelsRange val="0"/>
                </c:ext>
                <c:ext xmlns:c16="http://schemas.microsoft.com/office/drawing/2014/chart" uri="{C3380CC4-5D6E-409C-BE32-E72D297353CC}">
                  <c16:uniqueId val="{00000009-185B-486B-A200-94A70D4CA22C}"/>
                </c:ext>
              </c:extLst>
            </c:dLbl>
            <c:dLbl>
              <c:idx val="1"/>
              <c:tx>
                <c:strRef>
                  <c:f>'Bilan territorial'!$L$22</c:f>
                  <c:strCache>
                    <c:ptCount val="1"/>
                    <c:pt idx="0">
                      <c:v>#REF!</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{FAC2716F-61A8-47FA-A0A8-5D3C782CAB60}</c15:txfldGUID>
                      <c15:f>'Bilan territorial'!$L$22</c15:f>
                      <c15:dlblFieldTableCache>
                        <c:ptCount val="1"/>
                        <c:pt idx="0">
                          <c:v>#REF!</c:v>
                        </c:pt>
                      </c15:dlblFieldTableCache>
                    </c15:dlblFTEntry>
                  </c15:dlblFieldTable>
                  <c15:showDataLabelsRange val="0"/>
                </c:ext>
                <c:ext xmlns:c16="http://schemas.microsoft.com/office/drawing/2014/chart" uri="{C3380CC4-5D6E-409C-BE32-E72D297353CC}">
                  <c16:uniqueId val="{0000000A-185B-486B-A200-94A70D4CA22C}"/>
                </c:ext>
              </c:extLst>
            </c:dLbl>
            <c:spPr>
              <a:noFill/>
              <a:ln w="25400">
                <a:noFill/>
              </a:ln>
            </c:spPr>
            <c:txPr>
              <a:bodyPr wrap="square" lIns="38100" tIns="19050" rIns="38100" bIns="19050" anchor="ctr">
                <a:spAutoFit/>
              </a:bodyPr>
              <a:lstStyle/>
              <a:p>
                <a:pPr>
                  <a:defRPr sz="11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territorial'!$A$27,'Bilan territorial'!$H$27)</c:f>
              <c:numCache>
                <c:formatCode>General</c:formatCode>
                <c:ptCount val="2"/>
                <c:pt idx="0">
                  <c:v>2006</c:v>
                </c:pt>
                <c:pt idx="1">
                  <c:v>0</c:v>
                </c:pt>
              </c:numCache>
            </c:numRef>
          </c:cat>
          <c:val>
            <c:numRef>
              <c:f>('Bilan territorial'!$E$20,'Bilan territorial'!$L$20)</c:f>
              <c:numCache>
                <c:formatCode>_ * #,##0.000_ ;_ * \-#,##0.000_ ;_ * "-"??_ ;_ @_ </c:formatCode>
                <c:ptCount val="2"/>
                <c:pt idx="0">
                  <c:v>0</c:v>
                </c:pt>
                <c:pt idx="1">
                  <c:v>0</c:v>
                </c:pt>
              </c:numCache>
            </c:numRef>
          </c:val>
          <c:extLst>
            <c:ext xmlns:c16="http://schemas.microsoft.com/office/drawing/2014/chart" uri="{C3380CC4-5D6E-409C-BE32-E72D297353CC}">
              <c16:uniqueId val="{0000000B-185B-486B-A200-94A70D4CA22C}"/>
            </c:ext>
          </c:extLst>
        </c:ser>
        <c:dLbls>
          <c:showLegendKey val="0"/>
          <c:showVal val="0"/>
          <c:showCatName val="0"/>
          <c:showSerName val="0"/>
          <c:showPercent val="0"/>
          <c:showBubbleSize val="0"/>
        </c:dLbls>
        <c:gapWidth val="300"/>
        <c:overlap val="100"/>
        <c:serLines>
          <c:spPr>
            <a:ln>
              <a:solidFill>
                <a:schemeClr val="tx1">
                  <a:lumMod val="75000"/>
                  <a:lumOff val="25000"/>
                </a:schemeClr>
              </a:solidFill>
            </a:ln>
          </c:spPr>
        </c:serLines>
        <c:axId val="1856549535"/>
        <c:axId val="1"/>
      </c:barChart>
      <c:catAx>
        <c:axId val="1856549535"/>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6350">
              <a:prstDash val="sysDash"/>
            </a:ln>
          </c:spPr>
        </c:majorGridlines>
        <c:title>
          <c:tx>
            <c:rich>
              <a:bodyPr/>
              <a:lstStyle/>
              <a:p>
                <a:pPr>
                  <a:defRPr sz="1400" b="1" i="0" u="none" strike="noStrike" baseline="0">
                    <a:solidFill>
                      <a:srgbClr val="333333"/>
                    </a:solidFill>
                    <a:latin typeface="Calibri"/>
                    <a:ea typeface="Calibri"/>
                    <a:cs typeface="Calibri"/>
                  </a:defRPr>
                </a:pPr>
                <a:r>
                  <a:rPr lang="fr-BE"/>
                  <a:t>GWh</a:t>
                </a:r>
              </a:p>
            </c:rich>
          </c:tx>
          <c:overlay val="0"/>
        </c:title>
        <c:numFmt formatCode="_ * #,##0.000_ ;_ * \-#,##0.000_ ;_ * &quot;-&quot;??_ ;_ @_ "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856549535"/>
        <c:crosses val="autoZero"/>
        <c:crossBetween val="between"/>
      </c:valAx>
    </c:plotArea>
    <c:legend>
      <c:legendPos val="r"/>
      <c:overlay val="0"/>
      <c:txPr>
        <a:bodyPr/>
        <a:lstStyle/>
        <a:p>
          <a:pPr>
            <a:defRPr sz="1000" b="0" i="0" u="none" strike="noStrike" baseline="0">
              <a:solidFill>
                <a:srgbClr val="333333"/>
              </a:solidFill>
              <a:latin typeface="Calibri"/>
              <a:ea typeface="Calibri"/>
              <a:cs typeface="Calibri"/>
            </a:defRPr>
          </a:pPr>
          <a:endParaRPr lang="fr-FR"/>
        </a:p>
      </c:txPr>
    </c:legend>
    <c:plotVisOnly val="1"/>
    <c:dispBlanksAs val="gap"/>
    <c:showDLblsOverMax val="0"/>
  </c:chart>
  <c:spPr>
    <a:noFill/>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'Bilan territorial'!$A$81:$F$81</c:f>
          <c:strCache>
            <c:ptCount val="6"/>
            <c:pt idx="0">
              <c:v>#DIV/0!</c:v>
            </c:pt>
          </c:strCache>
        </c:strRef>
      </c:tx>
      <c:layout>
        <c:manualLayout>
          <c:xMode val="edge"/>
          <c:yMode val="edge"/>
          <c:x val="0.11300670008370937"/>
          <c:y val="1.3535379015838123E-3"/>
        </c:manualLayout>
      </c:layout>
      <c:overlay val="0"/>
      <c:txPr>
        <a:bodyPr/>
        <a:lstStyle/>
        <a:p>
          <a:pPr>
            <a:defRPr sz="1800" b="1" i="0" u="none" strike="noStrike" baseline="0">
              <a:solidFill>
                <a:srgbClr val="333333"/>
              </a:solidFill>
              <a:latin typeface="Calibri"/>
              <a:ea typeface="Calibri"/>
              <a:cs typeface="Calibri"/>
            </a:defRPr>
          </a:pPr>
          <a:endParaRPr lang="fr-FR"/>
        </a:p>
      </c:txPr>
    </c:title>
    <c:autoTitleDeleted val="0"/>
    <c:plotArea>
      <c:layout>
        <c:manualLayout>
          <c:layoutTarget val="inner"/>
          <c:xMode val="edge"/>
          <c:yMode val="edge"/>
          <c:x val="0.1257948098985319"/>
          <c:y val="0.12818753710622424"/>
          <c:w val="0.64369174600816059"/>
          <c:h val="0.77287380585423771"/>
        </c:manualLayout>
      </c:layout>
      <c:barChart>
        <c:barDir val="col"/>
        <c:grouping val="stacked"/>
        <c:varyColors val="0"/>
        <c:ser>
          <c:idx val="0"/>
          <c:order val="0"/>
          <c:tx>
            <c:strRef>
              <c:f>'Bilan territorial'!$I$44</c:f>
              <c:strCache>
                <c:ptCount val="1"/>
                <c:pt idx="0">
                  <c:v>#DIV/0!</c:v>
                </c:pt>
              </c:strCache>
            </c:strRef>
          </c:tx>
          <c:invertIfNegative val="0"/>
          <c:dLbls>
            <c:dLbl>
              <c:idx val="0"/>
              <c:tx>
                <c:strRef>
                  <c:f>'Bilan territorial'!$B$41</c:f>
                  <c:strCache>
                    <c:ptCount val="1"/>
                    <c:pt idx="0">
                      <c:v>#DIV/0!</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{106C5450-7A51-45E5-8D1D-FA07DA8CDCCF}</c15:txfldGUID>
                      <c15:f>'Bilan territorial'!$B$41</c15:f>
                      <c15:dlblFieldTableCache>
                        <c:ptCount val="1"/>
                        <c:pt idx="0">
                          <c:v>#DIV/0!</c:v>
                        </c:pt>
                      </c15:dlblFieldTableCache>
                    </c15:dlblFTEntry>
                  </c15:dlblFieldTable>
                  <c15:showDataLabelsRange val="0"/>
                </c:ext>
                <c:ext xmlns:c16="http://schemas.microsoft.com/office/drawing/2014/chart" uri="{C3380CC4-5D6E-409C-BE32-E72D297353CC}">
                  <c16:uniqueId val="{00000000-64C3-4210-8462-C1D10EB95418}"/>
                </c:ext>
              </c:extLst>
            </c:dLbl>
            <c:dLbl>
              <c:idx val="1"/>
              <c:tx>
                <c:strRef>
                  <c:f>'Bilan territorial'!$I$41</c:f>
                  <c:strCache>
                    <c:ptCount val="1"/>
                    <c:pt idx="0">
                      <c:v>#REF!</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{7F8DA292-9593-4BB1-B20E-FF6BF90B6867}</c15:txfldGUID>
                      <c15:f>'Bilan territorial'!$I$41</c15:f>
                      <c15:dlblFieldTableCache>
                        <c:ptCount val="1"/>
                        <c:pt idx="0">
                          <c:v>#REF!</c:v>
                        </c:pt>
                      </c15:dlblFieldTableCache>
                    </c15:dlblFTEntry>
                  </c15:dlblFieldTable>
                  <c15:showDataLabelsRange val="0"/>
                </c:ext>
                <c:ext xmlns:c16="http://schemas.microsoft.com/office/drawing/2014/chart" uri="{C3380CC4-5D6E-409C-BE32-E72D297353CC}">
                  <c16:uniqueId val="{00000001-64C3-4210-8462-C1D10EB95418}"/>
                </c:ext>
              </c:extLst>
            </c:dLbl>
            <c:spPr>
              <a:noFill/>
              <a:ln w="25400">
                <a:noFill/>
              </a:ln>
            </c:spPr>
            <c:txPr>
              <a:bodyPr wrap="square" lIns="38100" tIns="19050" rIns="38100" bIns="19050" anchor="ctr">
                <a:spAutoFit/>
              </a:bodyPr>
              <a:lstStyle/>
              <a:p>
                <a:pPr>
                  <a:defRPr sz="11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('Bilan territorial'!$A$27,'Bilan territorial'!$H$27)</c:f>
              <c:numCache>
                <c:formatCode>General</c:formatCode>
                <c:ptCount val="2"/>
                <c:pt idx="0">
                  <c:v>2006</c:v>
                </c:pt>
                <c:pt idx="1">
                  <c:v>0</c:v>
                </c:pt>
              </c:numCache>
            </c:numRef>
          </c:cat>
          <c:val>
            <c:numRef>
              <c:f>('Bilan territorial'!$B$39,'Bilan territorial'!$I$39)</c:f>
              <c:numCache>
                <c:formatCode>_ * #,##0_ ;_ * \-#,##0_ ;_ * "-"??_ ;_ @_ </c:formatCode>
                <c:ptCount val="2"/>
                <c:pt idx="0">
                  <c:v>0</c:v>
                </c:pt>
                <c:pt idx="1">
                  <c:v>0</c:v>
                </c:pt>
              </c:numCache>
            </c:numRef>
          </c:val>
          <c:extLst>
            <c:ext xmlns:c16="http://schemas.microsoft.com/office/drawing/2014/chart" uri="{C3380CC4-5D6E-409C-BE32-E72D297353CC}">
              <c16:uniqueId val="{00000002-64C3-4210-8462-C1D10EB95418}"/>
            </c:ext>
          </c:extLst>
        </c:ser>
        <c:ser>
          <c:idx val="1"/>
          <c:order val="1"/>
          <c:tx>
            <c:strRef>
              <c:f>'Bilan territorial'!$J$44</c:f>
              <c:strCache>
                <c:ptCount val="1"/>
                <c:pt idx="0">
                  <c:v>Gaz naturel : 0%</c:v>
                </c:pt>
              </c:strCache>
            </c:strRef>
          </c:tx>
          <c:invertIfNegative val="0"/>
          <c:dLbls>
            <c:dLbl>
              <c:idx val="0"/>
              <c:tx>
                <c:strRef>
                  <c:f>'Bilan territorial'!$C$41</c:f>
                  <c:strCache>
                    <c:ptCount val="1"/>
                    <c:pt idx="0">
                      <c:v>#DIV/0!</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{D7383634-CC5F-4D1B-810C-226D0529A11E}</c15:txfldGUID>
                      <c15:f>'Bilan territorial'!$C$41</c15:f>
                      <c15:dlblFieldTableCache>
                        <c:ptCount val="1"/>
                        <c:pt idx="0">
                          <c:v>#DIV/0!</c:v>
                        </c:pt>
                      </c15:dlblFieldTableCache>
                    </c15:dlblFTEntry>
                  </c15:dlblFieldTable>
                  <c15:showDataLabelsRange val="0"/>
                </c:ext>
                <c:ext xmlns:c16="http://schemas.microsoft.com/office/drawing/2014/chart" uri="{C3380CC4-5D6E-409C-BE32-E72D297353CC}">
                  <c16:uniqueId val="{00000003-64C3-4210-8462-C1D10EB95418}"/>
                </c:ext>
              </c:extLst>
            </c:dLbl>
            <c:dLbl>
              <c:idx val="1"/>
              <c:tx>
                <c:strRef>
                  <c:f>'Bilan territorial'!$J$41</c:f>
                  <c:strCache>
                    <c:ptCount val="1"/>
                    <c:pt idx="0">
                      <c:v>#REF!</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{9B532940-882D-4578-888C-9B2568F169C8}</c15:txfldGUID>
                      <c15:f>'Bilan territorial'!$J$41</c15:f>
                      <c15:dlblFieldTableCache>
                        <c:ptCount val="1"/>
                        <c:pt idx="0">
                          <c:v>#REF!</c:v>
                        </c:pt>
                      </c15:dlblFieldTableCache>
                    </c15:dlblFTEntry>
                  </c15:dlblFieldTable>
                  <c15:showDataLabelsRange val="0"/>
                </c:ext>
                <c:ext xmlns:c16="http://schemas.microsoft.com/office/drawing/2014/chart" uri="{C3380CC4-5D6E-409C-BE32-E72D297353CC}">
                  <c16:uniqueId val="{00000004-64C3-4210-8462-C1D10EB95418}"/>
                </c:ext>
              </c:extLst>
            </c:dLbl>
            <c:spPr>
              <a:noFill/>
              <a:ln w="25400">
                <a:noFill/>
              </a:ln>
            </c:spPr>
            <c:txPr>
              <a:bodyPr wrap="square" lIns="38100" tIns="19050" rIns="38100" bIns="19050" anchor="ctr">
                <a:spAutoFit/>
              </a:bodyPr>
              <a:lstStyle/>
              <a:p>
                <a:pPr>
                  <a:defRPr sz="11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territorial'!$C$39,'Bilan territorial'!$J$39)</c:f>
              <c:numCache>
                <c:formatCode>_ * #,##0_ ;_ * \-#,##0_ ;_ * "-"??_ ;_ @_ </c:formatCode>
                <c:ptCount val="2"/>
                <c:pt idx="0">
                  <c:v>0</c:v>
                </c:pt>
                <c:pt idx="1">
                  <c:v>0</c:v>
                </c:pt>
              </c:numCache>
            </c:numRef>
          </c:val>
          <c:extLst>
            <c:ext xmlns:c16="http://schemas.microsoft.com/office/drawing/2014/chart" uri="{C3380CC4-5D6E-409C-BE32-E72D297353CC}">
              <c16:uniqueId val="{00000005-64C3-4210-8462-C1D10EB95418}"/>
            </c:ext>
          </c:extLst>
        </c:ser>
        <c:ser>
          <c:idx val="2"/>
          <c:order val="2"/>
          <c:tx>
            <c:strRef>
              <c:f>'Bilan territorial'!$K$44</c:f>
              <c:strCache>
                <c:ptCount val="1"/>
                <c:pt idx="0">
                  <c:v>Prod. Petr. : 0%</c:v>
                </c:pt>
              </c:strCache>
            </c:strRef>
          </c:tx>
          <c:invertIfNegative val="0"/>
          <c:dLbls>
            <c:dLbl>
              <c:idx val="0"/>
              <c:tx>
                <c:strRef>
                  <c:f>'Bilan territorial'!$D$41</c:f>
                  <c:strCache>
                    <c:ptCount val="1"/>
                    <c:pt idx="0">
                      <c:v>#DIV/0!</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{09C7F8B0-C7AA-401E-A82A-C029297814EA}</c15:txfldGUID>
                      <c15:f>'Bilan territorial'!$D$41</c15:f>
                      <c15:dlblFieldTableCache>
                        <c:ptCount val="1"/>
                        <c:pt idx="0">
                          <c:v>#DIV/0!</c:v>
                        </c:pt>
                      </c15:dlblFieldTableCache>
                    </c15:dlblFTEntry>
                  </c15:dlblFieldTable>
                  <c15:showDataLabelsRange val="0"/>
                </c:ext>
                <c:ext xmlns:c16="http://schemas.microsoft.com/office/drawing/2014/chart" uri="{C3380CC4-5D6E-409C-BE32-E72D297353CC}">
                  <c16:uniqueId val="{00000006-64C3-4210-8462-C1D10EB95418}"/>
                </c:ext>
              </c:extLst>
            </c:dLbl>
            <c:dLbl>
              <c:idx val="1"/>
              <c:tx>
                <c:strRef>
                  <c:f>'Bilan territorial'!$K$41</c:f>
                  <c:strCache>
                    <c:ptCount val="1"/>
                    <c:pt idx="0">
                      <c:v>#REF!</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{9A7A8929-3DBB-4BDD-952A-EEE2F811F001}</c15:txfldGUID>
                      <c15:f>'Bilan territorial'!$K$41</c15:f>
                      <c15:dlblFieldTableCache>
                        <c:ptCount val="1"/>
                        <c:pt idx="0">
                          <c:v>#REF!</c:v>
                        </c:pt>
                      </c15:dlblFieldTableCache>
                    </c15:dlblFTEntry>
                  </c15:dlblFieldTable>
                  <c15:showDataLabelsRange val="0"/>
                </c:ext>
                <c:ext xmlns:c16="http://schemas.microsoft.com/office/drawing/2014/chart" uri="{C3380CC4-5D6E-409C-BE32-E72D297353CC}">
                  <c16:uniqueId val="{00000007-64C3-4210-8462-C1D10EB95418}"/>
                </c:ext>
              </c:extLst>
            </c:dLbl>
            <c:spPr>
              <a:noFill/>
              <a:ln w="25400">
                <a:noFill/>
              </a:ln>
            </c:spPr>
            <c:txPr>
              <a:bodyPr wrap="square" lIns="38100" tIns="19050" rIns="38100" bIns="19050" anchor="ctr">
                <a:spAutoFit/>
              </a:bodyPr>
              <a:lstStyle/>
              <a:p>
                <a:pPr>
                  <a:defRPr sz="11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territorial'!$D$39,'Bilan territorial'!$K$39)</c:f>
              <c:numCache>
                <c:formatCode>_ * #,##0_ ;_ * \-#,##0_ ;_ * "-"??_ ;_ @_ </c:formatCode>
                <c:ptCount val="2"/>
                <c:pt idx="0">
                  <c:v>0</c:v>
                </c:pt>
                <c:pt idx="1">
                  <c:v>0</c:v>
                </c:pt>
              </c:numCache>
            </c:numRef>
          </c:val>
          <c:extLst>
            <c:ext xmlns:c16="http://schemas.microsoft.com/office/drawing/2014/chart" uri="{C3380CC4-5D6E-409C-BE32-E72D297353CC}">
              <c16:uniqueId val="{00000008-64C3-4210-8462-C1D10EB95418}"/>
            </c:ext>
          </c:extLst>
        </c:ser>
        <c:ser>
          <c:idx val="3"/>
          <c:order val="3"/>
          <c:tx>
            <c:strRef>
              <c:f>'Bilan territorial'!$L$44</c:f>
              <c:strCache>
                <c:ptCount val="1"/>
                <c:pt idx="0">
                  <c:v>Total autres : 0%</c:v>
                </c:pt>
              </c:strCache>
            </c:strRef>
          </c:tx>
          <c:invertIfNegative val="0"/>
          <c:dLbls>
            <c:dLbl>
              <c:idx val="0"/>
              <c:tx>
                <c:strRef>
                  <c:f>'Bilan territorial'!$E$41</c:f>
                  <c:strCache>
                    <c:ptCount val="1"/>
                    <c:pt idx="0">
                      <c:v>#DIV/0!</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{C7D2EBA9-F54D-4CE3-A03B-80002B98C4D5}</c15:txfldGUID>
                      <c15:f>'Bilan territorial'!$E$41</c15:f>
                      <c15:dlblFieldTableCache>
                        <c:ptCount val="1"/>
                        <c:pt idx="0">
                          <c:v>#DIV/0!</c:v>
                        </c:pt>
                      </c15:dlblFieldTableCache>
                    </c15:dlblFTEntry>
                  </c15:dlblFieldTable>
                  <c15:showDataLabelsRange val="0"/>
                </c:ext>
                <c:ext xmlns:c16="http://schemas.microsoft.com/office/drawing/2014/chart" uri="{C3380CC4-5D6E-409C-BE32-E72D297353CC}">
                  <c16:uniqueId val="{00000009-64C3-4210-8462-C1D10EB95418}"/>
                </c:ext>
              </c:extLst>
            </c:dLbl>
            <c:dLbl>
              <c:idx val="1"/>
              <c:tx>
                <c:strRef>
                  <c:f>'Bilan territorial'!$L$41</c:f>
                  <c:strCache>
                    <c:ptCount val="1"/>
                    <c:pt idx="0">
                      <c:v>#REF!</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{ABD96013-7021-4F11-A48E-FEB53134E3D2}</c15:txfldGUID>
                      <c15:f>'Bilan territorial'!$L$41</c15:f>
                      <c15:dlblFieldTableCache>
                        <c:ptCount val="1"/>
                        <c:pt idx="0">
                          <c:v>#REF!</c:v>
                        </c:pt>
                      </c15:dlblFieldTableCache>
                    </c15:dlblFTEntry>
                  </c15:dlblFieldTable>
                  <c15:showDataLabelsRange val="0"/>
                </c:ext>
                <c:ext xmlns:c16="http://schemas.microsoft.com/office/drawing/2014/chart" uri="{C3380CC4-5D6E-409C-BE32-E72D297353CC}">
                  <c16:uniqueId val="{0000000A-64C3-4210-8462-C1D10EB95418}"/>
                </c:ext>
              </c:extLst>
            </c:dLbl>
            <c:spPr>
              <a:noFill/>
              <a:ln w="25400">
                <a:noFill/>
              </a:ln>
            </c:spPr>
            <c:txPr>
              <a:bodyPr wrap="square" lIns="38100" tIns="19050" rIns="38100" bIns="19050" anchor="ctr">
                <a:spAutoFit/>
              </a:bodyPr>
              <a:lstStyle/>
              <a:p>
                <a:pPr>
                  <a:defRPr sz="11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('Bilan territorial'!$E$39,'Bilan territorial'!$L$39)</c:f>
              <c:numCache>
                <c:formatCode>_ * #,##0_ ;_ * \-#,##0_ ;_ * "-"??_ ;_ @_ </c:formatCode>
                <c:ptCount val="2"/>
                <c:pt idx="0">
                  <c:v>0</c:v>
                </c:pt>
                <c:pt idx="1">
                  <c:v>0</c:v>
                </c:pt>
              </c:numCache>
            </c:numRef>
          </c:val>
          <c:extLst>
            <c:ext xmlns:c16="http://schemas.microsoft.com/office/drawing/2014/chart" uri="{C3380CC4-5D6E-409C-BE32-E72D297353CC}">
              <c16:uniqueId val="{0000000B-64C3-4210-8462-C1D10EB95418}"/>
            </c:ext>
          </c:extLst>
        </c:ser>
        <c:dLbls>
          <c:showLegendKey val="0"/>
          <c:showVal val="0"/>
          <c:showCatName val="0"/>
          <c:showSerName val="0"/>
          <c:showPercent val="0"/>
          <c:showBubbleSize val="0"/>
        </c:dLbls>
        <c:gapWidth val="300"/>
        <c:overlap val="100"/>
        <c:serLines>
          <c:spPr>
            <a:ln>
              <a:solidFill>
                <a:schemeClr val="tx1">
                  <a:lumMod val="75000"/>
                  <a:lumOff val="25000"/>
                </a:schemeClr>
              </a:solidFill>
            </a:ln>
          </c:spPr>
        </c:serLines>
        <c:axId val="1790372879"/>
        <c:axId val="1"/>
      </c:barChart>
      <c:catAx>
        <c:axId val="1790372879"/>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6350">
              <a:prstDash val="sysDash"/>
            </a:ln>
          </c:spPr>
        </c:majorGridlines>
        <c:title>
          <c:tx>
            <c:rich>
              <a:bodyPr/>
              <a:lstStyle/>
              <a:p>
                <a:pPr>
                  <a:defRPr sz="1400" b="1" i="0" u="none" strike="noStrike" baseline="0">
                    <a:solidFill>
                      <a:srgbClr val="333333"/>
                    </a:solidFill>
                    <a:latin typeface="Calibri"/>
                    <a:ea typeface="Calibri"/>
                    <a:cs typeface="Calibri"/>
                  </a:defRPr>
                </a:pPr>
                <a:r>
                  <a:rPr lang="fr-BE"/>
                  <a:t>tCO2eq</a:t>
                </a:r>
              </a:p>
            </c:rich>
          </c:tx>
          <c:overlay val="0"/>
        </c:title>
        <c:numFmt formatCode="_ * #,##0_ ;_ * \-#,##0_ ;_ * &quot;-&quot;??_ ;_ @_ "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790372879"/>
        <c:crosses val="autoZero"/>
        <c:crossBetween val="between"/>
      </c:valAx>
    </c:plotArea>
    <c:legend>
      <c:legendPos val="r"/>
      <c:layout>
        <c:manualLayout>
          <c:xMode val="edge"/>
          <c:yMode val="edge"/>
          <c:x val="0.80505968001794792"/>
          <c:y val="0.43700439577573746"/>
          <c:w val="0.18477657023597904"/>
          <c:h val="0.22035538017763012"/>
        </c:manualLayout>
      </c:layout>
      <c:overlay val="0"/>
      <c:txPr>
        <a:bodyPr/>
        <a:lstStyle/>
        <a:p>
          <a:pPr>
            <a:defRPr sz="1000" b="0" i="0" u="none" strike="noStrike" baseline="0">
              <a:solidFill>
                <a:srgbClr val="333333"/>
              </a:solidFill>
              <a:latin typeface="Calibri"/>
              <a:ea typeface="Calibri"/>
              <a:cs typeface="Calibri"/>
            </a:defRPr>
          </a:pPr>
          <a:endParaRPr lang="fr-FR"/>
        </a:p>
      </c:txPr>
    </c:legend>
    <c:plotVisOnly val="1"/>
    <c:dispBlanksAs val="gap"/>
    <c:showDLblsOverMax val="0"/>
  </c:chart>
  <c:spPr>
    <a:noFill/>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'Bilan territorial'!$A$137</c:f>
          <c:strCache>
            <c:ptCount val="1"/>
            <c:pt idx="0">
              <c:v>Détail de l'évolution des consommations par secteur (Réel)</c:v>
            </c:pt>
          </c:strCache>
        </c:strRef>
      </c:tx>
      <c:layout>
        <c:manualLayout>
          <c:xMode val="edge"/>
          <c:yMode val="edge"/>
          <c:x val="7.2203596865781081E-2"/>
          <c:y val="2.8450826705452754E-2"/>
        </c:manualLayout>
      </c:layout>
      <c:overlay val="0"/>
      <c:txPr>
        <a:bodyPr/>
        <a:lstStyle/>
        <a:p>
          <a:pPr>
            <a:defRPr sz="1800" b="1" i="0" u="none" strike="noStrike" baseline="0">
              <a:solidFill>
                <a:srgbClr val="333333"/>
              </a:solidFill>
              <a:latin typeface="Calibri"/>
              <a:ea typeface="Calibri"/>
              <a:cs typeface="Calibri"/>
            </a:defRPr>
          </a:pPr>
          <a:endParaRPr lang="fr-FR"/>
        </a:p>
      </c:txPr>
    </c:title>
    <c:autoTitleDeleted val="0"/>
    <c:plotArea>
      <c:layout/>
      <c:barChart>
        <c:barDir val="col"/>
        <c:grouping val="stacked"/>
        <c:varyColors val="0"/>
        <c:ser>
          <c:idx val="1"/>
          <c:order val="1"/>
          <c:tx>
            <c:strRef>
              <c:f>'Bilan territorial'!$O$140</c:f>
              <c:strCache>
                <c:ptCount val="1"/>
                <c:pt idx="0">
                  <c:v>Industrie non-ETS</c:v>
                </c:pt>
              </c:strCache>
            </c:strRef>
          </c:tx>
          <c:spPr>
            <a:solidFill>
              <a:srgbClr val="4F81BD"/>
            </a:solidFill>
          </c:spPr>
          <c:invertIfNegative val="0"/>
          <c:cat>
            <c:numRef>
              <c:f>'Bilan territorial'!$P$139:$AC$139</c:f>
              <c:numCache>
                <c:formatCode>General</c:formatCode>
                <c:ptCount val="14"/>
                <c:pt idx="0">
                  <c:v>2006</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'Bilan territorial'!$P$140:$AC$140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E3A-4B7E-81CC-400A98A063D0}"/>
            </c:ext>
          </c:extLst>
        </c:ser>
        <c:ser>
          <c:idx val="2"/>
          <c:order val="2"/>
          <c:tx>
            <c:strRef>
              <c:f>'Bilan territorial'!$O$141</c:f>
              <c:strCache>
                <c:ptCount val="1"/>
                <c:pt idx="0">
                  <c:v>Tertiaire</c:v>
                </c:pt>
              </c:strCache>
            </c:strRef>
          </c:tx>
          <c:spPr>
            <a:solidFill>
              <a:srgbClr val="C0504D"/>
            </a:solidFill>
          </c:spPr>
          <c:invertIfNegative val="0"/>
          <c:cat>
            <c:numRef>
              <c:f>'Bilan territorial'!$P$139:$AC$139</c:f>
              <c:numCache>
                <c:formatCode>General</c:formatCode>
                <c:ptCount val="14"/>
                <c:pt idx="0">
                  <c:v>2006</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'Bilan territorial'!$P$141:$AC$141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0E3A-4B7E-81CC-400A98A063D0}"/>
            </c:ext>
          </c:extLst>
        </c:ser>
        <c:ser>
          <c:idx val="3"/>
          <c:order val="3"/>
          <c:tx>
            <c:strRef>
              <c:f>'Bilan territorial'!$O$142</c:f>
              <c:strCache>
                <c:ptCount val="1"/>
                <c:pt idx="0">
                  <c:v>Logement</c:v>
                </c:pt>
              </c:strCache>
            </c:strRef>
          </c:tx>
          <c:spPr>
            <a:solidFill>
              <a:srgbClr val="9BBB59"/>
            </a:solidFill>
          </c:spPr>
          <c:invertIfNegative val="0"/>
          <c:cat>
            <c:numRef>
              <c:f>'Bilan territorial'!$P$139:$AC$139</c:f>
              <c:numCache>
                <c:formatCode>General</c:formatCode>
                <c:ptCount val="14"/>
                <c:pt idx="0">
                  <c:v>2006</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'Bilan territorial'!$P$142:$AC$142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E3A-4B7E-81CC-400A98A063D0}"/>
            </c:ext>
          </c:extLst>
        </c:ser>
        <c:ser>
          <c:idx val="4"/>
          <c:order val="4"/>
          <c:tx>
            <c:strRef>
              <c:f>'Bilan territorial'!$O$143</c:f>
              <c:strCache>
                <c:ptCount val="1"/>
                <c:pt idx="0">
                  <c:v>Agriculture</c:v>
                </c:pt>
              </c:strCache>
            </c:strRef>
          </c:tx>
          <c:spPr>
            <a:solidFill>
              <a:srgbClr val="7030A0"/>
            </a:solidFill>
          </c:spPr>
          <c:invertIfNegative val="0"/>
          <c:cat>
            <c:numRef>
              <c:f>'Bilan territorial'!$P$139:$AC$139</c:f>
              <c:numCache>
                <c:formatCode>General</c:formatCode>
                <c:ptCount val="14"/>
                <c:pt idx="0">
                  <c:v>2006</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'Bilan territorial'!$P$143:$AC$143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0E3A-4B7E-81CC-400A98A063D0}"/>
            </c:ext>
          </c:extLst>
        </c:ser>
        <c:ser>
          <c:idx val="5"/>
          <c:order val="5"/>
          <c:tx>
            <c:strRef>
              <c:f>'Bilan territorial'!$O$144</c:f>
              <c:strCache>
                <c:ptCount val="1"/>
                <c:pt idx="0">
                  <c:v>Transport</c:v>
                </c:pt>
              </c:strCache>
            </c:strRef>
          </c:tx>
          <c:spPr>
            <a:solidFill>
              <a:srgbClr val="4BACC6"/>
            </a:solidFill>
          </c:spPr>
          <c:invertIfNegative val="0"/>
          <c:cat>
            <c:numRef>
              <c:f>'Bilan territorial'!$P$139:$AC$139</c:f>
              <c:numCache>
                <c:formatCode>General</c:formatCode>
                <c:ptCount val="14"/>
                <c:pt idx="0">
                  <c:v>2006</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'Bilan territorial'!$P$144:$AC$144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0E3A-4B7E-81CC-400A98A063D0}"/>
            </c:ext>
          </c:extLst>
        </c:ser>
        <c:dLbls>
          <c:showLegendKey val="0"/>
          <c:showVal val="0"/>
          <c:showCatName val="0"/>
          <c:showSerName val="0"/>
          <c:showPercent val="0"/>
          <c:showBubbleSize val="0"/>
        </c:dLbls>
        <c:gapWidth val="300"/>
        <c:overlap val="100"/>
        <c:serLines>
          <c:spPr>
            <a:ln>
              <a:solidFill>
                <a:schemeClr val="tx1">
                  <a:lumMod val="75000"/>
                  <a:lumOff val="25000"/>
                </a:schemeClr>
              </a:solidFill>
            </a:ln>
          </c:spPr>
        </c:serLines>
        <c:axId val="1858038303"/>
        <c:axId val="1"/>
        <c:extLst>
          <c:ext xmlns:c15="http://schemas.microsoft.com/office/drawing/2012/chart" uri="{02D57815-91ED-43cb-92C2-25804820EDAC}">
            <c15:filteredBarSeries>
              <c15:ser>
                <c:idx val="0"/>
                <c:order val="0"/>
                <c:tx>
                  <c:strRef>
                    <c:extLst>
                      <c:ext uri="{02D57815-91ED-43cb-92C2-25804820EDAC}">
                        <c15:formulaRef>
                          <c15:sqref>'Bilan territorial'!$O$139</c15:sqref>
                        </c15:formulaRef>
                      </c:ext>
                    </c:extLst>
                    <c:strCache>
                      <c:ptCount val="1"/>
                      <c:pt idx="0">
                        <c:v>Secteur </c:v>
                      </c:pt>
                    </c:strCache>
                  </c:strRef>
                </c:tx>
                <c:invertIfNegative val="0"/>
                <c:dLbls>
                  <c:dLbl>
                    <c:idx val="0"/>
                    <c:tx>
                      <c:strRef>
                        <c:f>'Bilan territorial'!$O$11</c:f>
                        <c:strCache>
                          <c:ptCount val="1"/>
                          <c:pt idx="0">
                            <c:v>#DIV/0!</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uri="{CE6537A1-D6FC-4f65-9D91-7224C49458BB}">
                        <c15:dlblFieldTable>
                          <c15:dlblFTEntry>
                            <c15:txfldGUID>{1FFA528E-CA69-4E01-9374-31426A5F9975}</c15:txfldGUID>
                            <c15:f>'Bilan territorial'!$O$11</c15:f>
                            <c15:dlblFieldTableCache>
                              <c:ptCount val="1"/>
                              <c:pt idx="0">
                                <c:v>#DIV/0!</c:v>
                              </c:pt>
                            </c15:dlblFieldTableCache>
                          </c15:dlblFTEntry>
                        </c15:dlblFieldTable>
                        <c15:showDataLabelsRange val="0"/>
                      </c:ext>
                      <c:ext xmlns:c16="http://schemas.microsoft.com/office/drawing/2014/chart" uri="{C3380CC4-5D6E-409C-BE32-E72D297353CC}">
                        <c16:uniqueId val="{00000005-0E3A-4B7E-81CC-400A98A063D0}"/>
                      </c:ext>
                    </c:extLst>
                  </c:dLbl>
                  <c:dLbl>
                    <c:idx val="1"/>
                    <c:tx>
                      <c:strRef>
                        <c:f>'Bilan territorial'!$P$11</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uri="{CE6537A1-D6FC-4f65-9D91-7224C49458BB}">
                        <c15:dlblFieldTable>
                          <c15:dlblFTEntry>
                            <c15:txfldGUID>{86C8E68D-C292-4B0B-B4C2-F61364B62D95}</c15:txfldGUID>
                            <c15:f>'Bilan territorial'!$P$11</c15:f>
                            <c15:dlblFieldTableCache>
                              <c:ptCount val="1"/>
                              <c:pt idx="0">
                                <c:v>#REF!</c:v>
                              </c:pt>
                            </c15:dlblFieldTableCache>
                          </c15:dlblFTEntry>
                        </c15:dlblFieldTable>
                        <c15:showDataLabelsRange val="0"/>
                      </c:ext>
                      <c:ext xmlns:c16="http://schemas.microsoft.com/office/drawing/2014/chart" uri="{C3380CC4-5D6E-409C-BE32-E72D297353CC}">
                        <c16:uniqueId val="{00000006-0E3A-4B7E-81CC-400A98A063D0}"/>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uri="{CE6537A1-D6FC-4f65-9D91-7224C49458BB}">
                      <c15:showLeaderLines val="0"/>
                    </c:ext>
                  </c:extLst>
                </c:dLbls>
                <c:cat>
                  <c:numRef>
                    <c:extLst>
                      <c:ext uri="{02D57815-91ED-43cb-92C2-25804820EDAC}">
                        <c15:formulaRef>
                          <c15:sqref>'Bilan territorial'!$P$139:$AC$139</c15:sqref>
                        </c15:formulaRef>
                      </c:ext>
                    </c:extLst>
                    <c:numCache>
                      <c:formatCode>General</c:formatCode>
                      <c:ptCount val="14"/>
                      <c:pt idx="0">
                        <c:v>2006</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extLst>
                      <c:ext uri="{02D57815-91ED-43cb-92C2-25804820EDAC}">
                        <c15:formulaRef>
                          <c15:sqref>'Bilan territorial'!$P$139:$AC$139</c15:sqref>
                        </c15:formulaRef>
                      </c:ext>
                    </c:extLst>
                    <c:numCache>
                      <c:formatCode>General</c:formatCode>
                      <c:ptCount val="14"/>
                      <c:pt idx="0">
                        <c:v>2006</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val>
                <c:extLst>
                  <c:ext xmlns:c16="http://schemas.microsoft.com/office/drawing/2014/chart" uri="{C3380CC4-5D6E-409C-BE32-E72D297353CC}">
                    <c16:uniqueId val="{00000007-0E3A-4B7E-81CC-400A98A063D0}"/>
                  </c:ext>
                </c:extLst>
              </c15:ser>
            </c15:filteredBarSeries>
          </c:ext>
        </c:extLst>
      </c:barChart>
      <c:catAx>
        <c:axId val="1858038303"/>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6350">
              <a:prstDash val="sysDash"/>
            </a:ln>
          </c:spPr>
        </c:majorGridlines>
        <c:title>
          <c:tx>
            <c:rich>
              <a:bodyPr/>
              <a:lstStyle/>
              <a:p>
                <a:pPr>
                  <a:defRPr sz="1400" b="1" i="0" u="none" strike="noStrike" baseline="0">
                    <a:solidFill>
                      <a:srgbClr val="333333"/>
                    </a:solidFill>
                    <a:latin typeface="Calibri"/>
                    <a:ea typeface="Calibri"/>
                    <a:cs typeface="Calibri"/>
                  </a:defRPr>
                </a:pPr>
                <a:r>
                  <a:rPr lang="fr-BE"/>
                  <a:t>GWh</a:t>
                </a:r>
              </a:p>
            </c:rich>
          </c:tx>
          <c:overlay val="0"/>
        </c:title>
        <c:numFmt formatCode="General"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858038303"/>
        <c:crosses val="autoZero"/>
        <c:crossBetween val="between"/>
      </c:valAx>
    </c:plotArea>
    <c:legend>
      <c:legendPos val="r"/>
      <c:overlay val="0"/>
      <c:txPr>
        <a:bodyPr/>
        <a:lstStyle/>
        <a:p>
          <a:pPr>
            <a:defRPr sz="1000" b="0" i="0" u="none" strike="noStrike" baseline="0">
              <a:solidFill>
                <a:srgbClr val="333333"/>
              </a:solidFill>
              <a:latin typeface="Calibri"/>
              <a:ea typeface="Calibri"/>
              <a:cs typeface="Calibri"/>
            </a:defRPr>
          </a:pPr>
          <a:endParaRPr lang="fr-FR"/>
        </a:p>
      </c:txPr>
    </c:legend>
    <c:plotVisOnly val="0"/>
    <c:dispBlanksAs val="gap"/>
    <c:showDLblsOverMax val="0"/>
  </c:chart>
  <c:spPr>
    <a:noFill/>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333333"/>
                </a:solidFill>
                <a:latin typeface="Calibri"/>
                <a:ea typeface="Calibri"/>
                <a:cs typeface="Calibri"/>
              </a:defRPr>
            </a:pPr>
            <a:r>
              <a:rPr lang="fr-BE"/>
              <a:t>Potentiel de production d'énergie à partir de sources renouvelables</a:t>
            </a:r>
          </a:p>
        </c:rich>
      </c:tx>
      <c:layout>
        <c:manualLayout>
          <c:xMode val="edge"/>
          <c:yMode val="edge"/>
          <c:x val="0.15025495257076268"/>
          <c:y val="3.2031939669513142E-2"/>
        </c:manualLayout>
      </c:layout>
      <c:overlay val="0"/>
    </c:title>
    <c:autoTitleDeleted val="0"/>
    <c:plotArea>
      <c:layout>
        <c:manualLayout>
          <c:layoutTarget val="inner"/>
          <c:xMode val="edge"/>
          <c:yMode val="edge"/>
          <c:x val="9.97661854768154E-2"/>
          <c:y val="0.18626033907923673"/>
          <c:w val="0.82724838525619082"/>
          <c:h val="0.44228812243539978"/>
        </c:manualLayout>
      </c:layout>
      <c:barChart>
        <c:barDir val="col"/>
        <c:grouping val="stacked"/>
        <c:varyColors val="0"/>
        <c:ser>
          <c:idx val="1"/>
          <c:order val="0"/>
          <c:tx>
            <c:strRef>
              <c:f>'Potentiel EnR'!$M$12</c:f>
              <c:strCache>
                <c:ptCount val="1"/>
                <c:pt idx="0">
                  <c:v>Productible thermique</c:v>
                </c:pt>
              </c:strCache>
            </c:strRef>
          </c:tx>
          <c:invertIfNegative val="0"/>
          <c:cat>
            <c:strRef>
              <c:f>'Potentiel EnR'!$K$13:$K$20</c:f>
              <c:strCache>
                <c:ptCount val="8"/>
                <c:pt idx="0">
                  <c:v>Chaleur fatale</c:v>
                </c:pt>
                <c:pt idx="1">
                  <c:v>Eolien</c:v>
                </c:pt>
                <c:pt idx="2">
                  <c:v>Photovoltaïque </c:v>
                </c:pt>
                <c:pt idx="3">
                  <c:v>Solaire thermique</c:v>
                </c:pt>
                <c:pt idx="4">
                  <c:v>Bois</c:v>
                </c:pt>
                <c:pt idx="5">
                  <c:v>Biométhanisation </c:v>
                </c:pt>
                <c:pt idx="6">
                  <c:v>Hydroélectricité</c:v>
                </c:pt>
                <c:pt idx="7">
                  <c:v>PAC</c:v>
                </c:pt>
              </c:strCache>
            </c:strRef>
          </c:cat>
          <c:val>
            <c:numRef>
              <c:f>'Potentiel EnR'!$M$13:$M$20</c:f>
              <c:numCache>
                <c:formatCode>_ * #,##0_ ;_ * \-#,##0_ ;_ * "-"??_ ;_ @_ </c:formatCode>
                <c:ptCount val="8"/>
                <c:pt idx="0" formatCode="_ * #,##0.000_ ;_ * \-#,##0.000_ ;_ * &quot;-&quot;??_ ;_ @_ ">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E6D-424F-BC3F-4C0A401E78CA}"/>
            </c:ext>
          </c:extLst>
        </c:ser>
        <c:ser>
          <c:idx val="0"/>
          <c:order val="1"/>
          <c:tx>
            <c:strRef>
              <c:f>'Potentiel EnR'!$L$12</c:f>
              <c:strCache>
                <c:ptCount val="1"/>
                <c:pt idx="0">
                  <c:v>Productible électrique </c:v>
                </c:pt>
              </c:strCache>
            </c:strRef>
          </c:tx>
          <c:invertIfNegative val="0"/>
          <c:cat>
            <c:strRef>
              <c:f>'Potentiel EnR'!$K$13:$K$20</c:f>
              <c:strCache>
                <c:ptCount val="8"/>
                <c:pt idx="0">
                  <c:v>Chaleur fatale</c:v>
                </c:pt>
                <c:pt idx="1">
                  <c:v>Eolien</c:v>
                </c:pt>
                <c:pt idx="2">
                  <c:v>Photovoltaïque </c:v>
                </c:pt>
                <c:pt idx="3">
                  <c:v>Solaire thermique</c:v>
                </c:pt>
                <c:pt idx="4">
                  <c:v>Bois</c:v>
                </c:pt>
                <c:pt idx="5">
                  <c:v>Biométhanisation </c:v>
                </c:pt>
                <c:pt idx="6">
                  <c:v>Hydroélectricité</c:v>
                </c:pt>
                <c:pt idx="7">
                  <c:v>PAC</c:v>
                </c:pt>
              </c:strCache>
            </c:strRef>
          </c:cat>
          <c:val>
            <c:numRef>
              <c:f>'Potentiel EnR'!$L$13:$L$20</c:f>
              <c:numCache>
                <c:formatCode>_ * #,##0_ ;_ * \-#,##0_ ;_ * "-"??_ ;_ @_ </c:formatCode>
                <c:ptCount val="8"/>
                <c:pt idx="0" formatCode="_ * #,##0.000_ ;_ * \-#,##0.000_ ;_ * &quot;-&quot;??_ ;_ @_ ">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E6D-424F-BC3F-4C0A401E78CA}"/>
            </c:ext>
          </c:extLst>
        </c:ser>
        <c:dLbls>
          <c:showLegendKey val="0"/>
          <c:showVal val="0"/>
          <c:showCatName val="0"/>
          <c:showSerName val="0"/>
          <c:showPercent val="0"/>
          <c:showBubbleSize val="0"/>
        </c:dLbls>
        <c:gapWidth val="150"/>
        <c:overlap val="100"/>
        <c:axId val="1869245951"/>
        <c:axId val="1"/>
      </c:barChart>
      <c:catAx>
        <c:axId val="1869245951"/>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333333"/>
                    </a:solidFill>
                    <a:latin typeface="Calibri"/>
                    <a:ea typeface="Calibri"/>
                    <a:cs typeface="Calibri"/>
                  </a:defRPr>
                </a:pPr>
                <a:r>
                  <a:rPr lang="fr-BE"/>
                  <a:t>GWh/an</a:t>
                </a:r>
              </a:p>
            </c:rich>
          </c:tx>
          <c:overlay val="0"/>
        </c:title>
        <c:numFmt formatCode="General" sourceLinked="0"/>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869245951"/>
        <c:crosses val="autoZero"/>
        <c:crossBetween val="between"/>
      </c:valAx>
    </c:plotArea>
    <c:legend>
      <c:legendPos val="b"/>
      <c:overlay val="0"/>
      <c:txPr>
        <a:bodyPr/>
        <a:lstStyle/>
        <a:p>
          <a:pPr>
            <a:defRPr sz="1200" b="0" i="0" u="none" strike="noStrike" baseline="0">
              <a:solidFill>
                <a:srgbClr val="333333"/>
              </a:solidFill>
              <a:latin typeface="Calibri"/>
              <a:ea typeface="Calibri"/>
              <a:cs typeface="Calibri"/>
            </a:defRPr>
          </a:pPr>
          <a:endParaRPr lang="fr-FR"/>
        </a:p>
      </c:txPr>
    </c:legend>
    <c:plotVisOnly val="0"/>
    <c:dispBlanksAs val="gap"/>
    <c:showDLblsOverMax val="0"/>
  </c:chart>
  <c:spPr>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'Potentiel EnR'!$A$27</c:f>
          <c:strCache>
            <c:ptCount val="1"/>
            <c:pt idx="0">
              <c:v>#REF!</c:v>
            </c:pt>
          </c:strCache>
        </c:strRef>
      </c:tx>
      <c:layout>
        <c:manualLayout>
          <c:xMode val="edge"/>
          <c:yMode val="edge"/>
          <c:x val="5.3989294836525814E-2"/>
          <c:y val="2.934902238343802E-2"/>
        </c:manualLayout>
      </c:layout>
      <c:overlay val="0"/>
      <c:spPr>
        <a:noFill/>
        <a:ln w="25400">
          <a:noFill/>
        </a:ln>
      </c:spPr>
      <c:txPr>
        <a:bodyPr/>
        <a:lstStyle/>
        <a:p>
          <a:pPr>
            <a:defRPr sz="1600" b="1" i="0" u="none" strike="noStrike" baseline="0">
              <a:solidFill>
                <a:srgbClr val="333333"/>
              </a:solidFill>
              <a:latin typeface="Calibri"/>
              <a:ea typeface="Calibri"/>
              <a:cs typeface="Calibri"/>
            </a:defRPr>
          </a:pPr>
          <a:endParaRPr lang="fr-FR"/>
        </a:p>
      </c:txPr>
    </c:title>
    <c:autoTitleDeleted val="0"/>
    <c:plotArea>
      <c:layout/>
      <c:barChart>
        <c:barDir val="col"/>
        <c:grouping val="stacked"/>
        <c:varyColors val="0"/>
        <c:ser>
          <c:idx val="4"/>
          <c:order val="0"/>
          <c:tx>
            <c:strRef>
              <c:f>'Potentiel EnR'!$A$35</c:f>
              <c:strCache>
                <c:ptCount val="1"/>
                <c:pt idx="0">
                  <c:v>Energie renouvelable en surplus</c:v>
                </c:pt>
              </c:strCache>
            </c:strRef>
          </c:tx>
          <c:spPr>
            <a:solidFill>
              <a:srgbClr val="4BACC6"/>
            </a:solidFill>
            <a:ln w="25400">
              <a:noFill/>
            </a:ln>
          </c:spPr>
          <c:invertIfNegative val="0"/>
          <c:cat>
            <c:strRef>
              <c:f>'Potentiel EnR'!$B$30:$D$30</c:f>
              <c:strCache>
                <c:ptCount val="3"/>
                <c:pt idx="0">
                  <c:v>Electricité 
(hors transport)</c:v>
                </c:pt>
                <c:pt idx="1">
                  <c:v>Chaleur</c:v>
                </c:pt>
                <c:pt idx="2">
                  <c:v>Transport</c:v>
                </c:pt>
              </c:strCache>
            </c:strRef>
          </c:cat>
          <c:val>
            <c:numRef>
              <c:f>'Potentiel EnR'!$B$35:$D$35</c:f>
              <c:numCache>
                <c:formatCode>_ * #,##0.000_ ;_ * \-#,##0.000_ ;_ * "-"??_ ;_ @_ </c:formatCode>
                <c:ptCount val="3"/>
                <c:pt idx="0">
                  <c:v>0</c:v>
                </c:pt>
                <c:pt idx="1">
                  <c:v>0</c:v>
                </c:pt>
                <c:pt idx="2">
                  <c:v>0</c:v>
                </c:pt>
              </c:numCache>
            </c:numRef>
          </c:val>
          <c:extLst>
            <c:ext xmlns:c16="http://schemas.microsoft.com/office/drawing/2014/chart" uri="{C3380CC4-5D6E-409C-BE32-E72D297353CC}">
              <c16:uniqueId val="{00000000-0572-43D5-ABB0-3703FAA2D086}"/>
            </c:ext>
          </c:extLst>
        </c:ser>
        <c:ser>
          <c:idx val="3"/>
          <c:order val="1"/>
          <c:tx>
            <c:strRef>
              <c:f>'Potentiel EnR'!$A$34</c:f>
              <c:strCache>
                <c:ptCount val="1"/>
                <c:pt idx="0">
                  <c:v>Consommation énergie renouvelable </c:v>
                </c:pt>
              </c:strCache>
            </c:strRef>
          </c:tx>
          <c:spPr>
            <a:solidFill>
              <a:srgbClr val="92D050"/>
            </a:solidFill>
            <a:ln w="25400">
              <a:noFill/>
            </a:ln>
          </c:spPr>
          <c:invertIfNegative val="0"/>
          <c:dLbls>
            <c:dLbl>
              <c:idx val="0"/>
              <c:tx>
                <c:strRef>
                  <c:f>'Potentiel EnR'!$B$36</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{017AB5E9-161F-41FE-8CE4-85893E78FBB3}</c15:txfldGUID>
                      <c15:f>'Potentiel EnR'!$B$36</c15:f>
                      <c15:dlblFieldTableCache>
                        <c:ptCount val="1"/>
                        <c:pt idx="0">
                          <c:v>#REF!</c:v>
                        </c:pt>
                      </c15:dlblFieldTableCache>
                    </c15:dlblFTEntry>
                  </c15:dlblFieldTable>
                  <c15:showDataLabelsRange val="0"/>
                </c:ext>
                <c:ext xmlns:c16="http://schemas.microsoft.com/office/drawing/2014/chart" uri="{C3380CC4-5D6E-409C-BE32-E72D297353CC}">
                  <c16:uniqueId val="{00000001-0572-43D5-ABB0-3703FAA2D086}"/>
                </c:ext>
              </c:extLst>
            </c:dLbl>
            <c:dLbl>
              <c:idx val="1"/>
              <c:tx>
                <c:strRef>
                  <c:f>'Potentiel EnR'!$C$36</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{D9B9A2FB-5840-4144-AD97-8C4D1E0F62BF}</c15:txfldGUID>
                      <c15:f>'Potentiel EnR'!$C$36</c15:f>
                      <c15:dlblFieldTableCache>
                        <c:ptCount val="1"/>
                        <c:pt idx="0">
                          <c:v>#REF!</c:v>
                        </c:pt>
                      </c15:dlblFieldTableCache>
                    </c15:dlblFTEntry>
                  </c15:dlblFieldTable>
                  <c15:showDataLabelsRange val="0"/>
                </c:ext>
                <c:ext xmlns:c16="http://schemas.microsoft.com/office/drawing/2014/chart" uri="{C3380CC4-5D6E-409C-BE32-E72D297353CC}">
                  <c16:uniqueId val="{00000002-0572-43D5-ABB0-3703FAA2D086}"/>
                </c:ext>
              </c:extLst>
            </c:dLbl>
            <c:dLbl>
              <c:idx val="2"/>
              <c:layout>
                <c:manualLayout>
                  <c:x val="0"/>
                  <c:y val="-1.957904739763627E-2"/>
                </c:manualLayout>
              </c:layout>
              <c:tx>
                <c:strRef>
                  <c:f>'Potentiel EnR'!$D$36</c:f>
                  <c:strCache>
                    <c:ptCount val="1"/>
                    <c:pt idx="0">
                      <c:v>#REF!</c:v>
                    </c:pt>
                  </c:strCache>
                </c:strRef>
              </c:tx>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{D018F9F0-CA51-4920-B9EC-FCF37B52927C}</c15:txfldGUID>
                      <c15:f>'Potentiel EnR'!$D$36</c15:f>
                      <c15:dlblFieldTableCache>
                        <c:ptCount val="1"/>
                        <c:pt idx="0">
                          <c:v>#REF!</c:v>
                        </c:pt>
                      </c15:dlblFieldTableCache>
                    </c15:dlblFTEntry>
                  </c15:dlblFieldTable>
                  <c15:showDataLabelsRange val="0"/>
                </c:ext>
                <c:ext xmlns:c16="http://schemas.microsoft.com/office/drawing/2014/chart" uri="{C3380CC4-5D6E-409C-BE32-E72D297353CC}">
                  <c16:uniqueId val="{00000003-0572-43D5-ABB0-3703FAA2D086}"/>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'Potentiel EnR'!$B$30:$D$30</c:f>
              <c:strCache>
                <c:ptCount val="3"/>
                <c:pt idx="0">
                  <c:v>Electricité 
(hors transport)</c:v>
                </c:pt>
                <c:pt idx="1">
                  <c:v>Chaleur</c:v>
                </c:pt>
                <c:pt idx="2">
                  <c:v>Transport</c:v>
                </c:pt>
              </c:strCache>
            </c:strRef>
          </c:cat>
          <c:val>
            <c:numRef>
              <c:f>'Potentiel EnR'!$B$34:$D$34</c:f>
              <c:numCache>
                <c:formatCode>_ * #,##0.000_ ;_ * \-#,##0.000_ ;_ * "-"??_ ;_ @_ </c:formatCode>
                <c:ptCount val="3"/>
                <c:pt idx="0">
                  <c:v>0</c:v>
                </c:pt>
                <c:pt idx="1">
                  <c:v>0</c:v>
                </c:pt>
                <c:pt idx="2">
                  <c:v>0</c:v>
                </c:pt>
              </c:numCache>
            </c:numRef>
          </c:val>
          <c:extLst>
            <c:ext xmlns:c16="http://schemas.microsoft.com/office/drawing/2014/chart" uri="{C3380CC4-5D6E-409C-BE32-E72D297353CC}">
              <c16:uniqueId val="{00000004-0572-43D5-ABB0-3703FAA2D086}"/>
            </c:ext>
          </c:extLst>
        </c:ser>
        <c:ser>
          <c:idx val="2"/>
          <c:order val="2"/>
          <c:tx>
            <c:strRef>
              <c:f>'Potentiel EnR'!$A$33</c:f>
              <c:strCache>
                <c:ptCount val="1"/>
                <c:pt idx="0">
                  <c:v>Consommation énergie non renouvelable</c:v>
                </c:pt>
              </c:strCache>
            </c:strRef>
          </c:tx>
          <c:spPr>
            <a:solidFill>
              <a:srgbClr val="7030A0"/>
            </a:solidFill>
            <a:ln w="25400">
              <a:noFill/>
            </a:ln>
          </c:spPr>
          <c:invertIfNegative val="0"/>
          <c:cat>
            <c:strRef>
              <c:f>'Potentiel EnR'!$B$30:$D$30</c:f>
              <c:strCache>
                <c:ptCount val="3"/>
                <c:pt idx="0">
                  <c:v>Electricité 
(hors transport)</c:v>
                </c:pt>
                <c:pt idx="1">
                  <c:v>Chaleur</c:v>
                </c:pt>
                <c:pt idx="2">
                  <c:v>Transport</c:v>
                </c:pt>
              </c:strCache>
            </c:strRef>
          </c:cat>
          <c:val>
            <c:numRef>
              <c:f>'Potentiel EnR'!$B$33:$D$33</c:f>
              <c:numCache>
                <c:formatCode>_ * #,##0.000_ ;_ * \-#,##0.000_ ;_ * "-"??_ ;_ @_ </c:formatCode>
                <c:ptCount val="3"/>
                <c:pt idx="0">
                  <c:v>0</c:v>
                </c:pt>
                <c:pt idx="1">
                  <c:v>0</c:v>
                </c:pt>
                <c:pt idx="2">
                  <c:v>0</c:v>
                </c:pt>
              </c:numCache>
            </c:numRef>
          </c:val>
          <c:extLst>
            <c:ext xmlns:c16="http://schemas.microsoft.com/office/drawing/2014/chart" uri="{C3380CC4-5D6E-409C-BE32-E72D297353CC}">
              <c16:uniqueId val="{00000005-0572-43D5-ABB0-3703FAA2D086}"/>
            </c:ext>
          </c:extLst>
        </c:ser>
        <c:dLbls>
          <c:showLegendKey val="0"/>
          <c:showVal val="0"/>
          <c:showCatName val="0"/>
          <c:showSerName val="0"/>
          <c:showPercent val="0"/>
          <c:showBubbleSize val="0"/>
        </c:dLbls>
        <c:gapWidth val="150"/>
        <c:overlap val="100"/>
        <c:axId val="1869245551"/>
        <c:axId val="1"/>
      </c:barChart>
      <c:catAx>
        <c:axId val="1869245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2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200" b="1" i="0" u="none" strike="noStrike" baseline="0">
                    <a:solidFill>
                      <a:srgbClr val="333333"/>
                    </a:solidFill>
                    <a:latin typeface="Calibri"/>
                    <a:ea typeface="Calibri"/>
                    <a:cs typeface="Calibri"/>
                  </a:defRPr>
                </a:pPr>
                <a:r>
                  <a:rPr lang="fr-BE"/>
                  <a:t>GWh/an</a:t>
                </a:r>
              </a:p>
            </c:rich>
          </c:tx>
          <c:overlay val="0"/>
          <c:spPr>
            <a:noFill/>
            <a:ln w="25400">
              <a:noFill/>
            </a:ln>
          </c:spPr>
        </c:title>
        <c:numFmt formatCode="#,##0" sourceLinked="0"/>
        <c:majorTickMark val="none"/>
        <c:minorTickMark val="none"/>
        <c:tickLblPos val="nextTo"/>
        <c:spPr>
          <a:ln w="9525">
            <a:noFill/>
          </a:ln>
        </c:spPr>
        <c:txPr>
          <a:bodyPr rot="0" vert="horz"/>
          <a:lstStyle/>
          <a:p>
            <a:pPr>
              <a:defRPr sz="1200" b="0" i="0" u="none" strike="noStrike" baseline="0">
                <a:solidFill>
                  <a:srgbClr val="333333"/>
                </a:solidFill>
                <a:latin typeface="Calibri"/>
                <a:ea typeface="Calibri"/>
                <a:cs typeface="Calibri"/>
              </a:defRPr>
            </a:pPr>
            <a:endParaRPr lang="fr-FR"/>
          </a:p>
        </c:txPr>
        <c:crossAx val="1869245551"/>
        <c:crosses val="autoZero"/>
        <c:crossBetween val="between"/>
      </c:valAx>
      <c:spPr>
        <a:noFill/>
        <a:ln w="25400">
          <a:noFill/>
        </a:ln>
      </c:spPr>
    </c:plotArea>
    <c:legend>
      <c:legendPos val="r"/>
      <c:layout>
        <c:manualLayout>
          <c:xMode val="edge"/>
          <c:yMode val="edge"/>
          <c:x val="0.72081157373247939"/>
          <c:y val="0.31400300805095988"/>
          <c:w val="0.26683427456729264"/>
          <c:h val="0.51158948951605765"/>
        </c:manualLayout>
      </c:layout>
      <c:overlay val="0"/>
      <c:spPr>
        <a:noFill/>
        <a:ln w="25400">
          <a:noFill/>
        </a:ln>
      </c:spPr>
      <c:txPr>
        <a:bodyPr/>
        <a:lstStyle/>
        <a:p>
          <a:pPr>
            <a:defRPr sz="1200" b="0" i="0" u="none" strike="noStrike" baseline="0">
              <a:solidFill>
                <a:srgbClr val="333333"/>
              </a:solidFill>
              <a:latin typeface="Calibri"/>
              <a:ea typeface="Calibri"/>
              <a:cs typeface="Calibri"/>
            </a:defRPr>
          </a:pPr>
          <a:endParaRPr lang="fr-FR"/>
        </a:p>
      </c:txPr>
    </c:legend>
    <c:plotVisOnly val="1"/>
    <c:dispBlanksAs val="gap"/>
    <c:showDLblsOverMax val="0"/>
  </c:chart>
  <c:spPr>
    <a:noFill/>
    <a:ln w="9525">
      <a:noFill/>
    </a:ln>
  </c:spPr>
  <c:txPr>
    <a:bodyPr/>
    <a:lstStyle/>
    <a:p>
      <a:pPr>
        <a:defRPr sz="12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333333"/>
                </a:solidFill>
                <a:latin typeface="Calibri"/>
                <a:ea typeface="Calibri"/>
                <a:cs typeface="Calibri"/>
              </a:defRPr>
            </a:pPr>
            <a:r>
              <a:rPr lang="fr-BE"/>
              <a:t>Vision 2050</a:t>
            </a:r>
          </a:p>
        </c:rich>
      </c:tx>
      <c:layout>
        <c:manualLayout>
          <c:xMode val="edge"/>
          <c:yMode val="edge"/>
          <c:x val="0.42535989145424624"/>
          <c:y val="1.1493452821159785E-2"/>
        </c:manualLayout>
      </c:layout>
      <c:overlay val="0"/>
    </c:title>
    <c:autoTitleDeleted val="0"/>
    <c:plotArea>
      <c:layout/>
      <c:barChart>
        <c:barDir val="col"/>
        <c:grouping val="stacked"/>
        <c:varyColors val="0"/>
        <c:ser>
          <c:idx val="1"/>
          <c:order val="0"/>
          <c:tx>
            <c:strRef>
              <c:f>Vision!$J$8</c:f>
              <c:strCache>
                <c:ptCount val="1"/>
                <c:pt idx="0">
                  <c:v>Consommation d'énergie renouvelable</c:v>
                </c:pt>
              </c:strCache>
            </c:strRef>
          </c:tx>
          <c:invertIfNegative val="0"/>
          <c:dLbls>
            <c:dLbl>
              <c:idx val="0"/>
              <c:layout>
                <c:manualLayout>
                  <c:x val="0"/>
                  <c:y val="-6.4516129032258063E-2"/>
                </c:manualLayout>
              </c:layout>
              <c:tx>
                <c:strRef>
                  <c:f>Vision!$K$10</c:f>
                  <c:strCache>
                    <c:ptCount val="1"/>
                    <c:pt idx="0">
                      <c:v>#REF!</c:v>
                    </c:pt>
                  </c:strCache>
                </c:strRef>
              </c:tx>
              <c:spPr/>
              <c:txPr>
                <a:bodyPr/>
                <a:lstStyle/>
                <a:p>
                  <a:pPr>
                    <a:defRPr sz="1800" b="1" i="0" u="none" strike="noStrike" baseline="0">
                      <a:solidFill>
                        <a:srgbClr val="FFFFFF"/>
                      </a:solidFill>
                      <a:latin typeface="Calibri"/>
                      <a:ea typeface="Calibri"/>
                      <a:cs typeface="Calibri"/>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{01F92C8E-D089-4E08-9076-C16536D506E6}</c15:txfldGUID>
                      <c15:f>Vision!$K$10</c15:f>
                      <c15:dlblFieldTableCache>
                        <c:ptCount val="1"/>
                        <c:pt idx="0">
                          <c:v>#REF!</c:v>
                        </c:pt>
                      </c15:dlblFieldTableCache>
                    </c15:dlblFTEntry>
                  </c15:dlblFieldTable>
                  <c15:showDataLabelsRange val="0"/>
                </c:ext>
                <c:ext xmlns:c16="http://schemas.microsoft.com/office/drawing/2014/chart" uri="{C3380CC4-5D6E-409C-BE32-E72D297353CC}">
                  <c16:uniqueId val="{00000000-832B-4E86-88BA-585EBE20C040}"/>
                </c:ext>
              </c:extLst>
            </c:dLbl>
            <c:dLbl>
              <c:idx val="1"/>
              <c:tx>
                <c:strRef>
                  <c:f>Vision!$B$7</c:f>
                  <c:strCache>
                    <c:ptCount val="1"/>
                  </c:strCache>
                </c:strRef>
              </c:tx>
              <c:spPr/>
              <c:txPr>
                <a:bodyPr/>
                <a:lstStyle/>
                <a:p>
                  <a:pPr>
                    <a:defRPr sz="18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{72D5DCA1-B056-4925-8158-0FFDA130E514}</c15:txfldGUID>
                      <c15:f>Vision!$B$7</c15:f>
                      <c15:dlblFieldTableCache>
                        <c:ptCount val="1"/>
                      </c15:dlblFieldTableCache>
                    </c15:dlblFTEntry>
                  </c15:dlblFieldTable>
                  <c15:showDataLabelsRange val="0"/>
                </c:ext>
                <c:ext xmlns:c16="http://schemas.microsoft.com/office/drawing/2014/chart" uri="{C3380CC4-5D6E-409C-BE32-E72D297353CC}">
                  <c16:uniqueId val="{00000001-832B-4E86-88BA-585EBE20C040}"/>
                </c:ext>
              </c:extLst>
            </c:dLbl>
            <c:dLbl>
              <c:idx val="2"/>
              <c:tx>
                <c:rich>
                  <a:bodyPr/>
                  <a:lstStyle/>
                  <a:p>
                    <a:pPr>
                      <a:defRPr sz="1100" b="0" i="0" u="none" strike="noStrike" baseline="0">
                        <a:solidFill>
                          <a:srgbClr val="000000"/>
                        </a:solidFill>
                        <a:latin typeface="Calibri"/>
                        <a:ea typeface="Calibri"/>
                        <a:cs typeface="Calibri"/>
                      </a:defRPr>
                    </a:pPr>
                    <a:endParaRPr lang="fr-BE"/>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32B-4E86-88BA-585EBE20C040}"/>
                </c:ext>
              </c:extLst>
            </c:dLbl>
            <c:dLbl>
              <c:idx val="3"/>
              <c:tx>
                <c:rich>
                  <a:bodyPr/>
                  <a:lstStyle/>
                  <a:p>
                    <a:pPr>
                      <a:defRPr sz="1100" b="0" i="0" u="none" strike="noStrike" baseline="0">
                        <a:solidFill>
                          <a:srgbClr val="000000"/>
                        </a:solidFill>
                        <a:latin typeface="Calibri"/>
                        <a:ea typeface="Calibri"/>
                        <a:cs typeface="Calibri"/>
                      </a:defRPr>
                    </a:pPr>
                    <a:endParaRPr lang="fr-BE"/>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32B-4E86-88BA-585EBE20C040}"/>
                </c:ext>
              </c:extLst>
            </c:dLbl>
            <c:dLbl>
              <c:idx val="4"/>
              <c:tx>
                <c:rich>
                  <a:bodyPr/>
                  <a:lstStyle/>
                  <a:p>
                    <a:pPr>
                      <a:defRPr sz="1100" b="0" i="0" u="none" strike="noStrike" baseline="0">
                        <a:solidFill>
                          <a:srgbClr val="000000"/>
                        </a:solidFill>
                        <a:latin typeface="Calibri"/>
                        <a:ea typeface="Calibri"/>
                        <a:cs typeface="Calibri"/>
                      </a:defRPr>
                    </a:pPr>
                    <a:endParaRPr lang="fr-BE"/>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32B-4E86-88BA-585EBE20C040}"/>
                </c:ext>
              </c:extLst>
            </c:dLbl>
            <c:spPr>
              <a:noFill/>
              <a:ln w="25400">
                <a:noFill/>
              </a:ln>
            </c:spPr>
            <c:txPr>
              <a:bodyPr wrap="square" lIns="38100" tIns="19050" rIns="38100" bIns="19050" anchor="ctr">
                <a:spAutoFit/>
              </a:bodyPr>
              <a:lstStyle/>
              <a:p>
                <a:pPr>
                  <a:defRPr sz="1800" b="1" i="0" u="none" strike="noStrike" baseline="0">
                    <a:solidFill>
                      <a:srgbClr val="C0C0C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(Vision!$K$5,Vision!$L$5)</c:f>
              <c:numCache>
                <c:formatCode>General</c:formatCode>
                <c:ptCount val="2"/>
                <c:pt idx="0">
                  <c:v>0</c:v>
                </c:pt>
                <c:pt idx="1">
                  <c:v>2050</c:v>
                </c:pt>
              </c:numCache>
            </c:numRef>
          </c:cat>
          <c:val>
            <c:numRef>
              <c:f>Vision!$K$8:$L$8</c:f>
              <c:numCache>
                <c:formatCode>_ * #,##0_ ;_ * \-#,##0_ ;_ * "-"??_ ;_ @_ </c:formatCode>
                <c:ptCount val="2"/>
                <c:pt idx="0">
                  <c:v>0</c:v>
                </c:pt>
                <c:pt idx="1">
                  <c:v>0</c:v>
                </c:pt>
              </c:numCache>
            </c:numRef>
          </c:val>
          <c:extLst>
            <c:ext xmlns:c16="http://schemas.microsoft.com/office/drawing/2014/chart" uri="{C3380CC4-5D6E-409C-BE32-E72D297353CC}">
              <c16:uniqueId val="{00000005-832B-4E86-88BA-585EBE20C040}"/>
            </c:ext>
          </c:extLst>
        </c:ser>
        <c:ser>
          <c:idx val="0"/>
          <c:order val="1"/>
          <c:tx>
            <c:strRef>
              <c:f>Vision!$J$7</c:f>
              <c:strCache>
                <c:ptCount val="1"/>
                <c:pt idx="0">
                  <c:v>Consommation d'énergie non renouvelable</c:v>
                </c:pt>
              </c:strCache>
            </c:strRef>
          </c:tx>
          <c:invertIfNegative val="0"/>
          <c:cat>
            <c:numRef>
              <c:f>(Vision!$K$5,Vision!$L$5)</c:f>
              <c:numCache>
                <c:formatCode>General</c:formatCode>
                <c:ptCount val="2"/>
                <c:pt idx="0">
                  <c:v>0</c:v>
                </c:pt>
                <c:pt idx="1">
                  <c:v>2050</c:v>
                </c:pt>
              </c:numCache>
            </c:numRef>
          </c:cat>
          <c:val>
            <c:numRef>
              <c:f>Vision!$K$7:$L$7</c:f>
              <c:numCache>
                <c:formatCode>_ * #,##0_ ;_ * \-#,##0_ ;_ * "-"??_ ;_ @_ </c:formatCode>
                <c:ptCount val="2"/>
                <c:pt idx="0">
                  <c:v>0</c:v>
                </c:pt>
                <c:pt idx="1">
                  <c:v>0</c:v>
                </c:pt>
              </c:numCache>
            </c:numRef>
          </c:val>
          <c:extLst>
            <c:ext xmlns:c16="http://schemas.microsoft.com/office/drawing/2014/chart" uri="{C3380CC4-5D6E-409C-BE32-E72D297353CC}">
              <c16:uniqueId val="{00000006-832B-4E86-88BA-585EBE20C040}"/>
            </c:ext>
          </c:extLst>
        </c:ser>
        <c:dLbls>
          <c:showLegendKey val="0"/>
          <c:showVal val="0"/>
          <c:showCatName val="0"/>
          <c:showSerName val="0"/>
          <c:showPercent val="0"/>
          <c:showBubbleSize val="0"/>
        </c:dLbls>
        <c:gapWidth val="150"/>
        <c:overlap val="100"/>
        <c:axId val="1869243151"/>
        <c:axId val="1"/>
      </c:barChart>
      <c:lineChart>
        <c:grouping val="standard"/>
        <c:varyColors val="0"/>
        <c:ser>
          <c:idx val="2"/>
          <c:order val="2"/>
          <c:tx>
            <c:strRef>
              <c:f>Vision!$J$6</c:f>
              <c:strCache>
                <c:ptCount val="1"/>
                <c:pt idx="0">
                  <c:v>Potentiel renouvelable</c:v>
                </c:pt>
              </c:strCache>
            </c:strRef>
          </c:tx>
          <c:spPr>
            <a:ln>
              <a:prstDash val="dash"/>
            </a:ln>
          </c:spPr>
          <c:marker>
            <c:symbol val="none"/>
          </c:marker>
          <c:cat>
            <c:numLit>
              <c:formatCode>General</c:formatCode>
              <c:ptCount val="2"/>
              <c:pt idx="0">
                <c:v>2006</c:v>
              </c:pt>
              <c:pt idx="1">
                <c:v>2030</c:v>
              </c:pt>
            </c:numLit>
          </c:cat>
          <c:val>
            <c:numRef>
              <c:f>Vision!$K$6:$L$6</c:f>
              <c:numCache>
                <c:formatCode>_ * #,##0_ ;_ * \-#,##0_ ;_ * "-"??_ ;_ @_ </c:formatCode>
                <c:ptCount val="2"/>
                <c:pt idx="0">
                  <c:v>0</c:v>
                </c:pt>
                <c:pt idx="1">
                  <c:v>0</c:v>
                </c:pt>
              </c:numCache>
            </c:numRef>
          </c:val>
          <c:smooth val="0"/>
          <c:extLst>
            <c:ext xmlns:c16="http://schemas.microsoft.com/office/drawing/2014/chart" uri="{C3380CC4-5D6E-409C-BE32-E72D297353CC}">
              <c16:uniqueId val="{00000007-832B-4E86-88BA-585EBE20C040}"/>
            </c:ext>
          </c:extLst>
        </c:ser>
        <c:dLbls>
          <c:showLegendKey val="0"/>
          <c:showVal val="0"/>
          <c:showCatName val="0"/>
          <c:showSerName val="0"/>
          <c:showPercent val="0"/>
          <c:showBubbleSize val="0"/>
        </c:dLbls>
        <c:marker val="1"/>
        <c:smooth val="0"/>
        <c:axId val="1869243151"/>
        <c:axId val="1"/>
      </c:lineChart>
      <c:catAx>
        <c:axId val="1869243151"/>
        <c:scaling>
          <c:orientation val="minMax"/>
        </c:scaling>
        <c:delete val="0"/>
        <c:axPos val="b"/>
        <c:numFmt formatCode="General" sourceLinked="1"/>
        <c:majorTickMark val="out"/>
        <c:minorTickMark val="none"/>
        <c:tickLblPos val="nextTo"/>
        <c:txPr>
          <a:bodyPr rot="0" vert="horz"/>
          <a:lstStyle/>
          <a:p>
            <a:pPr>
              <a:defRPr sz="14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333333"/>
                    </a:solidFill>
                    <a:latin typeface="Calibri"/>
                    <a:ea typeface="Calibri"/>
                    <a:cs typeface="Calibri"/>
                  </a:defRPr>
                </a:pPr>
                <a:r>
                  <a:rPr lang="fr-BE"/>
                  <a:t>GWh</a:t>
                </a:r>
              </a:p>
            </c:rich>
          </c:tx>
          <c:overlay val="0"/>
        </c:title>
        <c:numFmt formatCode="#,##0" sourceLinked="0"/>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fr-FR"/>
          </a:p>
        </c:txPr>
        <c:crossAx val="1869243151"/>
        <c:crosses val="autoZero"/>
        <c:crossBetween val="between"/>
      </c:valAx>
    </c:plotArea>
    <c:legend>
      <c:legendPos val="b"/>
      <c:overlay val="0"/>
      <c:txPr>
        <a:bodyPr/>
        <a:lstStyle/>
        <a:p>
          <a:pPr>
            <a:defRPr sz="1200" b="0" i="0" u="none" strike="noStrike" baseline="0">
              <a:solidFill>
                <a:srgbClr val="333333"/>
              </a:solidFill>
              <a:latin typeface="Calibri"/>
              <a:ea typeface="Calibri"/>
              <a:cs typeface="Calibri"/>
            </a:defRPr>
          </a:pPr>
          <a:endParaRPr lang="fr-FR"/>
        </a:p>
      </c:txPr>
    </c:legend>
    <c:plotVisOnly val="0"/>
    <c:dispBlanksAs val="gap"/>
    <c:showDLblsOverMax val="0"/>
  </c:chart>
  <c:spPr>
    <a:noFill/>
    <a:ln>
      <a:noFill/>
    </a:ln>
  </c:spPr>
  <c:txPr>
    <a:bodyPr/>
    <a:lstStyle/>
    <a:p>
      <a:pPr>
        <a:defRPr sz="1000" b="0" i="0" u="none" strike="noStrike" baseline="0">
          <a:solidFill>
            <a:srgbClr val="333333"/>
          </a:solidFill>
          <a:latin typeface="Calibri"/>
          <a:ea typeface="Calibri"/>
          <a:cs typeface="Calibri"/>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b="1"/>
              <a:t>Objectifs</a:t>
            </a:r>
            <a:r>
              <a:rPr lang="fr-BE" b="1" baseline="0"/>
              <a:t> d'évolution des émissions 2006-2030</a:t>
            </a:r>
            <a:endParaRPr lang="fr-BE" b="1"/>
          </a:p>
        </c:rich>
      </c:tx>
      <c:layout>
        <c:manualLayout>
          <c:xMode val="edge"/>
          <c:yMode val="edge"/>
          <c:x val="0.18540071057561394"/>
          <c:y val="2.495624091045265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9121471316475"/>
          <c:y val="0.16327412198475194"/>
          <c:w val="0.53059175340164944"/>
          <c:h val="0.64928305014504761"/>
        </c:manualLayout>
      </c:layout>
      <c:barChart>
        <c:barDir val="col"/>
        <c:grouping val="stacked"/>
        <c:varyColors val="0"/>
        <c:ser>
          <c:idx val="0"/>
          <c:order val="0"/>
          <c:tx>
            <c:strRef>
              <c:f>Objectifs!$L$11</c:f>
              <c:strCache>
                <c:ptCount val="1"/>
                <c:pt idx="0">
                  <c:v>Industrie non-ETS</c:v>
                </c:pt>
              </c:strCache>
            </c:strRef>
          </c:tx>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726-4549-BF11-225A0E10CBD7}"/>
                </c:ext>
              </c:extLst>
            </c:dLbl>
            <c:dLbl>
              <c:idx val="1"/>
              <c:tx>
                <c:strRef>
                  <c:f>Objectifs!$S$11</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{200D5792-0912-4A5F-8D04-6643A29F5DA6}</c15:txfldGUID>
                      <c15:f>Objectifs!$S$11</c15:f>
                      <c15:dlblFieldTableCache>
                        <c:ptCount val="1"/>
                        <c:pt idx="0">
                          <c:v>#DIV/0!</c:v>
                        </c:pt>
                      </c15:dlblFieldTableCache>
                    </c15:dlblFTEntry>
                  </c15:dlblFieldTable>
                  <c15:showDataLabelsRange val="0"/>
                </c:ext>
                <c:ext xmlns:c16="http://schemas.microsoft.com/office/drawing/2014/chart" uri="{C3380CC4-5D6E-409C-BE32-E72D297353CC}">
                  <c16:uniqueId val="{00000009-E726-4549-BF11-225A0E10CBD7}"/>
                </c:ext>
              </c:extLst>
            </c:dLbl>
            <c:dLbl>
              <c:idx val="2"/>
              <c:tx>
                <c:strRef>
                  <c:f>Objectifs!$Q$11</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{5D8FE5F8-996B-4B5A-9E3E-8FCE560B27EC}</c15:txfldGUID>
                      <c15:f>Objectifs!$Q$11</c15:f>
                      <c15:dlblFieldTableCache>
                        <c:ptCount val="1"/>
                        <c:pt idx="0">
                          <c:v>#DIV/0!</c:v>
                        </c:pt>
                      </c15:dlblFieldTableCache>
                    </c15:dlblFTEntry>
                  </c15:dlblFieldTable>
                  <c15:showDataLabelsRange val="0"/>
                </c:ext>
                <c:ext xmlns:c16="http://schemas.microsoft.com/office/drawing/2014/chart" uri="{C3380CC4-5D6E-409C-BE32-E72D297353CC}">
                  <c16:uniqueId val="{0000000E-E726-4549-BF11-225A0E10CBD7}"/>
                </c:ext>
              </c:extLst>
            </c:dLbl>
            <c:dLbl>
              <c:idx val="3"/>
              <c:tx>
                <c:strRef>
                  <c:f>Objectifs!$R$11</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{E6C5F8B3-137D-42C8-8228-AADDA74D4210}</c15:txfldGUID>
                      <c15:f>Objectifs!$R$11</c15:f>
                      <c15:dlblFieldTableCache>
                        <c:ptCount val="1"/>
                        <c:pt idx="0">
                          <c:v>#DIV/0!</c:v>
                        </c:pt>
                      </c15:dlblFieldTableCache>
                    </c15:dlblFTEntry>
                  </c15:dlblFieldTable>
                  <c15:showDataLabelsRange val="0"/>
                </c:ext>
                <c:ext xmlns:c16="http://schemas.microsoft.com/office/drawing/2014/chart" uri="{C3380CC4-5D6E-409C-BE32-E72D297353CC}">
                  <c16:uniqueId val="{00000005-7692-473E-A412-9D76FE4EDE9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Objectifs!$M$11:$P$11</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0-15FD-4031-ACDB-8BE4D8DD1ED4}"/>
            </c:ext>
          </c:extLst>
        </c:ser>
        <c:ser>
          <c:idx val="1"/>
          <c:order val="1"/>
          <c:tx>
            <c:strRef>
              <c:f>Objectifs!$L$12</c:f>
              <c:strCache>
                <c:ptCount val="1"/>
                <c:pt idx="0">
                  <c:v>Tertiaire</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E726-4549-BF11-225A0E10CBD7}"/>
                </c:ext>
              </c:extLst>
            </c:dLbl>
            <c:dLbl>
              <c:idx val="1"/>
              <c:tx>
                <c:strRef>
                  <c:f>Objectifs!$S$12</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{448D92AD-57C8-40B5-9A17-FB4FD79A6163}</c15:txfldGUID>
                      <c15:f>Objectifs!$S$12</c15:f>
                      <c15:dlblFieldTableCache>
                        <c:ptCount val="1"/>
                        <c:pt idx="0">
                          <c:v>#REF!</c:v>
                        </c:pt>
                      </c15:dlblFieldTableCache>
                    </c15:dlblFTEntry>
                  </c15:dlblFieldTable>
                  <c15:showDataLabelsRange val="0"/>
                </c:ext>
                <c:ext xmlns:c16="http://schemas.microsoft.com/office/drawing/2014/chart" uri="{C3380CC4-5D6E-409C-BE32-E72D297353CC}">
                  <c16:uniqueId val="{00000008-E726-4549-BF11-225A0E10CBD7}"/>
                </c:ext>
              </c:extLst>
            </c:dLbl>
            <c:dLbl>
              <c:idx val="2"/>
              <c:tx>
                <c:strRef>
                  <c:f>Objectifs!$Q$12</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{71CBAD09-4AFA-4568-AD85-9B623A36E2A9}</c15:txfldGUID>
                      <c15:f>Objectifs!$Q$12</c15:f>
                      <c15:dlblFieldTableCache>
                        <c:ptCount val="1"/>
                        <c:pt idx="0">
                          <c:v>#DIV/0!</c:v>
                        </c:pt>
                      </c15:dlblFieldTableCache>
                    </c15:dlblFTEntry>
                  </c15:dlblFieldTable>
                  <c15:showDataLabelsRange val="0"/>
                </c:ext>
                <c:ext xmlns:c16="http://schemas.microsoft.com/office/drawing/2014/chart" uri="{C3380CC4-5D6E-409C-BE32-E72D297353CC}">
                  <c16:uniqueId val="{0000000D-E726-4549-BF11-225A0E10CBD7}"/>
                </c:ext>
              </c:extLst>
            </c:dLbl>
            <c:dLbl>
              <c:idx val="3"/>
              <c:tx>
                <c:strRef>
                  <c:f>Objectifs!$R$12</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{4890D629-2C5C-4793-A9B3-FD718F4DB11C}</c15:txfldGUID>
                      <c15:f>Objectifs!$R$12</c15:f>
                      <c15:dlblFieldTableCache>
                        <c:ptCount val="1"/>
                        <c:pt idx="0">
                          <c:v>#DIV/0!</c:v>
                        </c:pt>
                      </c15:dlblFieldTableCache>
                    </c15:dlblFTEntry>
                  </c15:dlblFieldTable>
                  <c15:showDataLabelsRange val="0"/>
                </c:ext>
                <c:ext xmlns:c16="http://schemas.microsoft.com/office/drawing/2014/chart" uri="{C3380CC4-5D6E-409C-BE32-E72D297353CC}">
                  <c16:uniqueId val="{00000004-7692-473E-A412-9D76FE4EDE9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Objectifs!$M$12:$P$12</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1-15FD-4031-ACDB-8BE4D8DD1ED4}"/>
            </c:ext>
          </c:extLst>
        </c:ser>
        <c:ser>
          <c:idx val="5"/>
          <c:order val="5"/>
          <c:tx>
            <c:strRef>
              <c:f>Objectifs!$L$15</c:f>
              <c:strCache>
                <c:ptCount val="1"/>
                <c:pt idx="0">
                  <c:v>Logement</c:v>
                </c:pt>
              </c:strCache>
            </c:strRef>
          </c:tx>
          <c:spPr>
            <a:solidFill>
              <a:srgbClr val="9BBB5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726-4549-BF11-225A0E10CBD7}"/>
                </c:ext>
              </c:extLst>
            </c:dLbl>
            <c:dLbl>
              <c:idx val="1"/>
              <c:tx>
                <c:strRef>
                  <c:f>Objectifs!$S$15</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{BA797623-8064-4149-B500-D376D8371569}</c15:txfldGUID>
                      <c15:f>Objectifs!$S$15</c15:f>
                      <c15:dlblFieldTableCache>
                        <c:ptCount val="1"/>
                        <c:pt idx="0">
                          <c:v>#REF!</c:v>
                        </c:pt>
                      </c15:dlblFieldTableCache>
                    </c15:dlblFTEntry>
                  </c15:dlblFieldTable>
                  <c15:showDataLabelsRange val="0"/>
                </c:ext>
                <c:ext xmlns:c16="http://schemas.microsoft.com/office/drawing/2014/chart" uri="{C3380CC4-5D6E-409C-BE32-E72D297353CC}">
                  <c16:uniqueId val="{00000007-E726-4549-BF11-225A0E10CBD7}"/>
                </c:ext>
              </c:extLst>
            </c:dLbl>
            <c:dLbl>
              <c:idx val="2"/>
              <c:tx>
                <c:strRef>
                  <c:f>Objectifs!$Q$15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{1F82FA84-1553-4CB8-8A26-E522AB51C421}</c15:txfldGUID>
                      <c15:f>Objectifs!$Q$15</c15:f>
                      <c15:dlblFieldTableCache>
                        <c:ptCount val="1"/>
                        <c:pt idx="0">
                          <c:v>#DIV/0!</c:v>
                        </c:pt>
                      </c15:dlblFieldTableCache>
                    </c15:dlblFTEntry>
                  </c15:dlblFieldTable>
                  <c15:showDataLabelsRange val="0"/>
                </c:ext>
                <c:ext xmlns:c16="http://schemas.microsoft.com/office/drawing/2014/chart" uri="{C3380CC4-5D6E-409C-BE32-E72D297353CC}">
                  <c16:uniqueId val="{0000000C-E726-4549-BF11-225A0E10CBD7}"/>
                </c:ext>
              </c:extLst>
            </c:dLbl>
            <c:dLbl>
              <c:idx val="3"/>
              <c:tx>
                <c:strRef>
                  <c:f>Objectifs!$R$15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{85B87295-FEFD-43F1-8EC5-CABF4C69A3F3}</c15:txfldGUID>
                      <c15:f>Objectifs!$R$15</c15:f>
                      <c15:dlblFieldTableCache>
                        <c:ptCount val="1"/>
                        <c:pt idx="0">
                          <c:v>#DIV/0!</c:v>
                        </c:pt>
                      </c15:dlblFieldTableCache>
                    </c15:dlblFTEntry>
                  </c15:dlblFieldTable>
                  <c15:showDataLabelsRange val="0"/>
                </c:ext>
                <c:ext xmlns:c16="http://schemas.microsoft.com/office/drawing/2014/chart" uri="{C3380CC4-5D6E-409C-BE32-E72D297353CC}">
                  <c16:uniqueId val="{00000003-7692-473E-A412-9D76FE4EDE9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Objectifs!$M$15:$P$15</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2-15FD-4031-ACDB-8BE4D8DD1ED4}"/>
            </c:ext>
          </c:extLst>
        </c:ser>
        <c:ser>
          <c:idx val="6"/>
          <c:order val="6"/>
          <c:tx>
            <c:strRef>
              <c:f>Objectifs!$L$16</c:f>
              <c:strCache>
                <c:ptCount val="1"/>
                <c:pt idx="0">
                  <c:v>Agriculture</c:v>
                </c:pt>
              </c:strCache>
            </c:strRef>
          </c:tx>
          <c:spPr>
            <a:solidFill>
              <a:srgbClr val="7030A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726-4549-BF11-225A0E10CBD7}"/>
                </c:ext>
              </c:extLst>
            </c:dLbl>
            <c:dLbl>
              <c:idx val="1"/>
              <c:tx>
                <c:strRef>
                  <c:f>Objectifs!$S$16</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{73498B55-528F-49FB-BA75-DF40989AD5E3}</c15:txfldGUID>
                      <c15:f>Objectifs!$S$16</c15:f>
                      <c15:dlblFieldTableCache>
                        <c:ptCount val="1"/>
                        <c:pt idx="0">
                          <c:v>#REF!</c:v>
                        </c:pt>
                      </c15:dlblFieldTableCache>
                    </c15:dlblFTEntry>
                  </c15:dlblFieldTable>
                  <c15:showDataLabelsRange val="0"/>
                </c:ext>
                <c:ext xmlns:c16="http://schemas.microsoft.com/office/drawing/2014/chart" uri="{C3380CC4-5D6E-409C-BE32-E72D297353CC}">
                  <c16:uniqueId val="{00000006-E726-4549-BF11-225A0E10CBD7}"/>
                </c:ext>
              </c:extLst>
            </c:dLbl>
            <c:dLbl>
              <c:idx val="2"/>
              <c:tx>
                <c:strRef>
                  <c:f>Objectifs!$Q$16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{9CC0F28A-42C9-4AD4-84C4-754CE415A8A4}</c15:txfldGUID>
                      <c15:f>Objectifs!$Q$16</c15:f>
                      <c15:dlblFieldTableCache>
                        <c:ptCount val="1"/>
                        <c:pt idx="0">
                          <c:v>#DIV/0!</c:v>
                        </c:pt>
                      </c15:dlblFieldTableCache>
                    </c15:dlblFTEntry>
                  </c15:dlblFieldTable>
                  <c15:showDataLabelsRange val="0"/>
                </c:ext>
                <c:ext xmlns:c16="http://schemas.microsoft.com/office/drawing/2014/chart" uri="{C3380CC4-5D6E-409C-BE32-E72D297353CC}">
                  <c16:uniqueId val="{0000000B-E726-4549-BF11-225A0E10CBD7}"/>
                </c:ext>
              </c:extLst>
            </c:dLbl>
            <c:dLbl>
              <c:idx val="3"/>
              <c:tx>
                <c:strRef>
                  <c:f>Objectifs!$R$16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{E382FEFB-1A0C-437E-A071-AB01B8DE813B}</c15:txfldGUID>
                      <c15:f>Objectifs!$R$16</c15:f>
                      <c15:dlblFieldTableCache>
                        <c:ptCount val="1"/>
                        <c:pt idx="0">
                          <c:v>#DIV/0!</c:v>
                        </c:pt>
                      </c15:dlblFieldTableCache>
                    </c15:dlblFTEntry>
                  </c15:dlblFieldTable>
                  <c15:showDataLabelsRange val="0"/>
                </c:ext>
                <c:ext xmlns:c16="http://schemas.microsoft.com/office/drawing/2014/chart" uri="{C3380CC4-5D6E-409C-BE32-E72D297353CC}">
                  <c16:uniqueId val="{00000002-7692-473E-A412-9D76FE4EDE9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Objectifs!$M$16:$P$16</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3-15FD-4031-ACDB-8BE4D8DD1ED4}"/>
            </c:ext>
          </c:extLst>
        </c:ser>
        <c:ser>
          <c:idx val="7"/>
          <c:order val="7"/>
          <c:tx>
            <c:strRef>
              <c:f>Objectifs!$L$17</c:f>
              <c:strCache>
                <c:ptCount val="1"/>
                <c:pt idx="0">
                  <c:v>Transport</c:v>
                </c:pt>
              </c:strCache>
            </c:strRef>
          </c:tx>
          <c:spPr>
            <a:solidFill>
              <a:srgbClr val="4BACC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E726-4549-BF11-225A0E10CBD7}"/>
                </c:ext>
              </c:extLst>
            </c:dLbl>
            <c:dLbl>
              <c:idx val="1"/>
              <c:tx>
                <c:strRef>
                  <c:f>Objectifs!$S$17</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{628BB6B8-3F5F-4438-B8F5-E443D6862A79}</c15:txfldGUID>
                      <c15:f>Objectifs!$S$17</c15:f>
                      <c15:dlblFieldTableCache>
                        <c:ptCount val="1"/>
                        <c:pt idx="0">
                          <c:v>#REF!</c:v>
                        </c:pt>
                      </c15:dlblFieldTableCache>
                    </c15:dlblFTEntry>
                  </c15:dlblFieldTable>
                  <c15:showDataLabelsRange val="0"/>
                </c:ext>
                <c:ext xmlns:c16="http://schemas.microsoft.com/office/drawing/2014/chart" uri="{C3380CC4-5D6E-409C-BE32-E72D297353CC}">
                  <c16:uniqueId val="{00000005-E726-4549-BF11-225A0E10CBD7}"/>
                </c:ext>
              </c:extLst>
            </c:dLbl>
            <c:dLbl>
              <c:idx val="2"/>
              <c:tx>
                <c:strRef>
                  <c:f>Objectifs!$Q$17</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{603AEFE5-BE65-4CF9-887D-366B0C27BC4B}</c15:txfldGUID>
                      <c15:f>Objectifs!$Q$17</c15:f>
                      <c15:dlblFieldTableCache>
                        <c:ptCount val="1"/>
                        <c:pt idx="0">
                          <c:v>#DIV/0!</c:v>
                        </c:pt>
                      </c15:dlblFieldTableCache>
                    </c15:dlblFTEntry>
                  </c15:dlblFieldTable>
                  <c15:showDataLabelsRange val="0"/>
                </c:ext>
                <c:ext xmlns:c16="http://schemas.microsoft.com/office/drawing/2014/chart" uri="{C3380CC4-5D6E-409C-BE32-E72D297353CC}">
                  <c16:uniqueId val="{0000000A-E726-4549-BF11-225A0E10CBD7}"/>
                </c:ext>
              </c:extLst>
            </c:dLbl>
            <c:dLbl>
              <c:idx val="3"/>
              <c:tx>
                <c:strRef>
                  <c:f>Objectifs!$R$17</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{2C84AFFB-3745-4DF9-A5F2-C3C449FC6EF2}</c15:txfldGUID>
                      <c15:f>Objectifs!$R$17</c15:f>
                      <c15:dlblFieldTableCache>
                        <c:ptCount val="1"/>
                        <c:pt idx="0">
                          <c:v>#DIV/0!</c:v>
                        </c:pt>
                      </c15:dlblFieldTableCache>
                    </c15:dlblFTEntry>
                  </c15:dlblFieldTable>
                  <c15:showDataLabelsRange val="0"/>
                </c:ext>
                <c:ext xmlns:c16="http://schemas.microsoft.com/office/drawing/2014/chart" uri="{C3380CC4-5D6E-409C-BE32-E72D297353CC}">
                  <c16:uniqueId val="{00000001-7692-473E-A412-9D76FE4EDE9A}"/>
                </c:ext>
              </c:extLst>
            </c:dLbl>
            <c:spPr>
              <a:noFill/>
              <a:ln w="22225">
                <a:solidFill>
                  <a:schemeClr val="accent5">
                    <a:lumMod val="50000"/>
                  </a:schemeClr>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Objectifs!$M$17:$P$17</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4-15FD-4031-ACDB-8BE4D8DD1ED4}"/>
            </c:ext>
          </c:extLst>
        </c:ser>
        <c:ser>
          <c:idx val="10"/>
          <c:order val="10"/>
          <c:tx>
            <c:strRef>
              <c:f>Objectifs!$L$20</c:f>
              <c:strCache>
                <c:ptCount val="1"/>
                <c:pt idx="0">
                  <c:v>Secteurs non-énergétiques</c:v>
                </c:pt>
              </c:strCache>
            </c:strRef>
          </c:tx>
          <c:spPr>
            <a:solidFill>
              <a:schemeClr val="accent5">
                <a:lumMod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D1-4BEE-B923-FC98B7EF1FF3}"/>
                </c:ext>
              </c:extLst>
            </c:dLbl>
            <c:dLbl>
              <c:idx val="1"/>
              <c:layout>
                <c:manualLayout>
                  <c:x val="7.617640947606317E-17"/>
                  <c:y val="-2.8969954634014233E-2"/>
                </c:manualLayout>
              </c:layout>
              <c:tx>
                <c:strRef>
                  <c:f>Objectifs!$S$20</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{D164BDAA-CB54-4B85-92BB-BFA56A762D07}</c15:txfldGUID>
                      <c15:f>Objectifs!$S$20</c15:f>
                      <c15:dlblFieldTableCache>
                        <c:ptCount val="1"/>
                        <c:pt idx="0">
                          <c:v>0%</c:v>
                        </c:pt>
                      </c15:dlblFieldTableCache>
                    </c15:dlblFTEntry>
                  </c15:dlblFieldTable>
                  <c15:showDataLabelsRange val="0"/>
                </c:ext>
                <c:ext xmlns:c16="http://schemas.microsoft.com/office/drawing/2014/chart" uri="{C3380CC4-5D6E-409C-BE32-E72D297353CC}">
                  <c16:uniqueId val="{00000002-35D1-4BEE-B923-FC98B7EF1FF3}"/>
                </c:ext>
              </c:extLst>
            </c:dLbl>
            <c:dLbl>
              <c:idx val="2"/>
              <c:layout>
                <c:manualLayout>
                  <c:x val="0"/>
                  <c:y val="-2.2532186937566579E-2"/>
                </c:manualLayout>
              </c:layout>
              <c:tx>
                <c:strRef>
                  <c:f>Objectifs!$Q$20</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{128375D0-27CF-4F4B-BB3B-5282D5736DAA}</c15:txfldGUID>
                      <c15:f>Objectifs!$Q$20</c15:f>
                      <c15:dlblFieldTableCache>
                        <c:ptCount val="1"/>
                        <c:pt idx="0">
                          <c:v>0%</c:v>
                        </c:pt>
                      </c15:dlblFieldTableCache>
                    </c15:dlblFTEntry>
                  </c15:dlblFieldTable>
                  <c15:showDataLabelsRange val="0"/>
                </c:ext>
                <c:ext xmlns:c16="http://schemas.microsoft.com/office/drawing/2014/chart" uri="{C3380CC4-5D6E-409C-BE32-E72D297353CC}">
                  <c16:uniqueId val="{00000003-35D1-4BEE-B923-FC98B7EF1FF3}"/>
                </c:ext>
              </c:extLst>
            </c:dLbl>
            <c:dLbl>
              <c:idx val="3"/>
              <c:layout>
                <c:manualLayout>
                  <c:x val="4.0256315447219195E-3"/>
                  <c:y val="-3.852533900528788E-2"/>
                </c:manualLayout>
              </c:layout>
              <c:tx>
                <c:strRef>
                  <c:f>Objectifs!$R$20</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{F83D52B1-3801-481A-8D28-BC04BB9FFDF6}</c15:txfldGUID>
                      <c15:f>Objectifs!$R$20</c15:f>
                      <c15:dlblFieldTableCache>
                        <c:ptCount val="1"/>
                        <c:pt idx="0">
                          <c:v>0%</c:v>
                        </c:pt>
                      </c15:dlblFieldTableCache>
                    </c15:dlblFTEntry>
                  </c15:dlblFieldTable>
                  <c15:showDataLabelsRange val="0"/>
                </c:ext>
                <c:ext xmlns:c16="http://schemas.microsoft.com/office/drawing/2014/chart" uri="{C3380CC4-5D6E-409C-BE32-E72D297353CC}">
                  <c16:uniqueId val="{00000000-7692-473E-A412-9D76FE4EDE9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Objectifs!$M$20:$P$20</c:f>
              <c:numCache>
                <c:formatCode>_ * #,##0_ ;_ * \-#,##0_ ;_ * "-"??_ ;_ @_ </c:formatCode>
                <c:ptCount val="4"/>
                <c:pt idx="0">
                  <c:v>0</c:v>
                </c:pt>
                <c:pt idx="1">
                  <c:v>#N/A</c:v>
                </c:pt>
                <c:pt idx="2">
                  <c:v>#N/A</c:v>
                </c:pt>
                <c:pt idx="3">
                  <c:v>#N/A</c:v>
                </c:pt>
              </c:numCache>
            </c:numRef>
          </c:val>
          <c:extLst>
            <c:ext xmlns:c16="http://schemas.microsoft.com/office/drawing/2014/chart" uri="{C3380CC4-5D6E-409C-BE32-E72D297353CC}">
              <c16:uniqueId val="{00000000-35D1-4BEE-B923-FC98B7EF1FF3}"/>
            </c:ext>
          </c:extLst>
        </c:ser>
        <c:dLbls>
          <c:dLblPos val="ctr"/>
          <c:showLegendKey val="0"/>
          <c:showVal val="1"/>
          <c:showCatName val="0"/>
          <c:showSerName val="0"/>
          <c:showPercent val="0"/>
          <c:showBubbleSize val="0"/>
        </c:dLbls>
        <c:gapWidth val="150"/>
        <c:overlap val="100"/>
        <c:axId val="1432417359"/>
        <c:axId val="1432417775"/>
        <c:extLst>
          <c:ext xmlns:c15="http://schemas.microsoft.com/office/drawing/2012/chart" uri="{02D57815-91ED-43cb-92C2-25804820EDAC}">
            <c15:filteredBarSeries>
              <c15:ser>
                <c:idx val="2"/>
                <c:order val="2"/>
                <c:tx>
                  <c:strRef>
                    <c:extLst>
                      <c:ext uri="{02D57815-91ED-43cb-92C2-25804820EDAC}">
                        <c15:formulaRef>
                          <c15:sqref>Objectifs!$L$13</c15:sqref>
                        </c15:formulaRef>
                      </c:ext>
                    </c:extLst>
                    <c:strCache>
                      <c:ptCount val="1"/>
                      <c:pt idx="0">
                        <c:v>Administration communale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Objectifs!$M$10:$P$10</c15:sqref>
                        </c15:formulaRef>
                      </c:ext>
                    </c:extLst>
                    <c:numCache>
                      <c:formatCode>General</c:formatCode>
                      <c:ptCount val="4"/>
                      <c:pt idx="0">
                        <c:v>2006</c:v>
                      </c:pt>
                      <c:pt idx="1">
                        <c:v>0</c:v>
                      </c:pt>
                      <c:pt idx="2">
                        <c:v>0</c:v>
                      </c:pt>
                      <c:pt idx="3">
                        <c:v>2030</c:v>
                      </c:pt>
                    </c:numCache>
                  </c:numRef>
                </c:cat>
                <c:val>
                  <c:numRef>
                    <c:extLst>
                      <c:ext uri="{02D57815-91ED-43cb-92C2-25804820EDAC}">
                        <c15:formulaRef>
                          <c15:sqref>Objectifs!$M$13:$P$13</c15:sqref>
                        </c15:formulaRef>
                      </c:ext>
                    </c:extLst>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5-15FD-4031-ACDB-8BE4D8DD1ED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Objectifs!#REF!</c15:sqref>
                        </c15:formulaRef>
                      </c:ext>
                    </c:extLst>
                    <c:strCache>
                      <c:ptCount val="1"/>
                      <c:pt idx="0">
                        <c:v>#REF!</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Objectifs!$M$10:$P$10</c15:sqref>
                        </c15:formulaRef>
                      </c:ext>
                    </c:extLst>
                    <c:numCache>
                      <c:formatCode>General</c:formatCode>
                      <c:ptCount val="4"/>
                      <c:pt idx="0">
                        <c:v>2006</c:v>
                      </c:pt>
                      <c:pt idx="1">
                        <c:v>0</c:v>
                      </c:pt>
                      <c:pt idx="2">
                        <c:v>0</c:v>
                      </c:pt>
                      <c:pt idx="3">
                        <c:v>2030</c:v>
                      </c:pt>
                    </c:numCache>
                  </c:numRef>
                </c:cat>
                <c:val>
                  <c:numRef>
                    <c:extLst xmlns:c15="http://schemas.microsoft.com/office/drawing/2012/chart">
                      <c:ext xmlns:c15="http://schemas.microsoft.com/office/drawing/2012/chart" uri="{02D57815-91ED-43cb-92C2-25804820EDAC}">
                        <c15:formulaRef>
                          <c15:sqref>Objectifs!#REF!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15FD-4031-ACDB-8BE4D8DD1ED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Objectifs!$L$14</c15:sqref>
                        </c15:formulaRef>
                      </c:ext>
                    </c:extLst>
                    <c:strCache>
                      <c:ptCount val="1"/>
                      <c:pt idx="0">
                        <c:v>Autres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Objectifs!$M$10:$P$10</c15:sqref>
                        </c15:formulaRef>
                      </c:ext>
                    </c:extLst>
                    <c:numCache>
                      <c:formatCode>General</c:formatCode>
                      <c:ptCount val="4"/>
                      <c:pt idx="0">
                        <c:v>2006</c:v>
                      </c:pt>
                      <c:pt idx="1">
                        <c:v>0</c:v>
                      </c:pt>
                      <c:pt idx="2">
                        <c:v>0</c:v>
                      </c:pt>
                      <c:pt idx="3">
                        <c:v>2030</c:v>
                      </c:pt>
                    </c:numCache>
                  </c:numRef>
                </c:cat>
                <c:val>
                  <c:numRef>
                    <c:extLst xmlns:c15="http://schemas.microsoft.com/office/drawing/2012/chart">
                      <c:ext xmlns:c15="http://schemas.microsoft.com/office/drawing/2012/chart" uri="{02D57815-91ED-43cb-92C2-25804820EDAC}">
                        <c15:formulaRef>
                          <c15:sqref>Objectifs!$M$14:$P$14</c15:sqref>
                        </c15:formulaRef>
                      </c:ext>
                    </c:extLst>
                    <c:numCache>
                      <c:formatCode>_ * #,##0_ ;_ * \-#,##0_ ;_ * "-"??_ ;_ @_ </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7-15FD-4031-ACDB-8BE4D8DD1ED4}"/>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Objectifs!$L$18</c15:sqref>
                        </c15:formulaRef>
                      </c:ext>
                    </c:extLst>
                    <c:strCache>
                      <c:ptCount val="1"/>
                      <c:pt idx="0">
                        <c:v>Véhicules communaux</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Objectifs!$M$10:$P$10</c15:sqref>
                        </c15:formulaRef>
                      </c:ext>
                    </c:extLst>
                    <c:numCache>
                      <c:formatCode>General</c:formatCode>
                      <c:ptCount val="4"/>
                      <c:pt idx="0">
                        <c:v>2006</c:v>
                      </c:pt>
                      <c:pt idx="1">
                        <c:v>0</c:v>
                      </c:pt>
                      <c:pt idx="2">
                        <c:v>0</c:v>
                      </c:pt>
                      <c:pt idx="3">
                        <c:v>2030</c:v>
                      </c:pt>
                    </c:numCache>
                  </c:numRef>
                </c:cat>
                <c:val>
                  <c:numRef>
                    <c:extLst xmlns:c15="http://schemas.microsoft.com/office/drawing/2012/chart">
                      <c:ext xmlns:c15="http://schemas.microsoft.com/office/drawing/2012/chart" uri="{02D57815-91ED-43cb-92C2-25804820EDAC}">
                        <c15:formulaRef>
                          <c15:sqref>Objectifs!$M$18:$P$18</c15:sqref>
                        </c15:formulaRef>
                      </c:ext>
                    </c:extLst>
                    <c:numCache>
                      <c:formatCode>_ * #,##0_ ;_ * \-#,##0_ ;_ * "-"??_ ;_ @_ </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8-15FD-4031-ACDB-8BE4D8DD1ED4}"/>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Objectifs!$L$19</c15:sqref>
                        </c15:formulaRef>
                      </c:ext>
                    </c:extLst>
                    <c:strCache>
                      <c:ptCount val="1"/>
                      <c:pt idx="0">
                        <c:v>Autres </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Objectifs!$M$10:$P$10</c15:sqref>
                        </c15:formulaRef>
                      </c:ext>
                    </c:extLst>
                    <c:numCache>
                      <c:formatCode>General</c:formatCode>
                      <c:ptCount val="4"/>
                      <c:pt idx="0">
                        <c:v>2006</c:v>
                      </c:pt>
                      <c:pt idx="1">
                        <c:v>0</c:v>
                      </c:pt>
                      <c:pt idx="2">
                        <c:v>0</c:v>
                      </c:pt>
                      <c:pt idx="3">
                        <c:v>2030</c:v>
                      </c:pt>
                    </c:numCache>
                  </c:numRef>
                </c:cat>
                <c:val>
                  <c:numRef>
                    <c:extLst xmlns:c15="http://schemas.microsoft.com/office/drawing/2012/chart">
                      <c:ext xmlns:c15="http://schemas.microsoft.com/office/drawing/2012/chart" uri="{02D57815-91ED-43cb-92C2-25804820EDAC}">
                        <c15:formulaRef>
                          <c15:sqref>Objectifs!$M$19:$P$19</c15:sqref>
                        </c15:formulaRef>
                      </c:ext>
                    </c:extLst>
                    <c:numCache>
                      <c:formatCode>_ * #,##0_ ;_ * \-#,##0_ ;_ * "-"??_ ;_ @_ </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15FD-4031-ACDB-8BE4D8DD1ED4}"/>
                  </c:ext>
                </c:extLst>
              </c15:ser>
            </c15:filteredBarSeries>
          </c:ext>
        </c:extLst>
      </c:barChart>
      <c:catAx>
        <c:axId val="1432417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1432417775"/>
        <c:crosses val="autoZero"/>
        <c:auto val="1"/>
        <c:lblAlgn val="ctr"/>
        <c:lblOffset val="100"/>
        <c:noMultiLvlLbl val="0"/>
      </c:catAx>
      <c:valAx>
        <c:axId val="14324177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tCO2éq</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4324173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b="1"/>
              <a:t>Objectifs</a:t>
            </a:r>
            <a:r>
              <a:rPr lang="fr-BE" b="1" baseline="0"/>
              <a:t> d'évolution des consommations/productions 2006-2030</a:t>
            </a:r>
            <a:endParaRPr lang="fr-BE" b="1"/>
          </a:p>
        </c:rich>
      </c:tx>
      <c:layout>
        <c:manualLayout>
          <c:xMode val="edge"/>
          <c:yMode val="edge"/>
          <c:x val="0.11019182563065669"/>
          <c:y val="2.22486489805420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462228621118586"/>
          <c:y val="0.1411193501046106"/>
          <c:w val="0.59222013684753483"/>
          <c:h val="0.74567245291447293"/>
        </c:manualLayout>
      </c:layout>
      <c:areaChart>
        <c:grouping val="stacked"/>
        <c:varyColors val="0"/>
        <c:ser>
          <c:idx val="2"/>
          <c:order val="5"/>
          <c:tx>
            <c:strRef>
              <c:f>Objectifs!$L$60</c:f>
              <c:strCache>
                <c:ptCount val="1"/>
                <c:pt idx="0">
                  <c:v>Production renouvelable </c:v>
                </c:pt>
              </c:strCache>
            </c:strRef>
          </c:tx>
          <c:spPr>
            <a:solidFill>
              <a:schemeClr val="accent6">
                <a:lumMod val="75000"/>
              </a:schemeClr>
            </a:solidFill>
            <a:ln>
              <a:noFill/>
            </a:ln>
            <a:effectLst/>
          </c:spPr>
          <c:val>
            <c:numRef>
              <c:f>Objectifs!$M$60:$P$60</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0-FAB6-44F1-A348-3F386C789F04}"/>
            </c:ext>
          </c:extLst>
        </c:ser>
        <c:dLbls>
          <c:showLegendKey val="0"/>
          <c:showVal val="0"/>
          <c:showCatName val="0"/>
          <c:showSerName val="0"/>
          <c:showPercent val="0"/>
          <c:showBubbleSize val="0"/>
        </c:dLbls>
        <c:axId val="1432417359"/>
        <c:axId val="1432417775"/>
      </c:areaChart>
      <c:barChart>
        <c:barDir val="col"/>
        <c:grouping val="stacked"/>
        <c:varyColors val="0"/>
        <c:ser>
          <c:idx val="0"/>
          <c:order val="0"/>
          <c:tx>
            <c:strRef>
              <c:f>Objectifs!$L$11</c:f>
              <c:strCache>
                <c:ptCount val="1"/>
                <c:pt idx="0">
                  <c:v>Industrie non-ETS</c:v>
                </c:pt>
              </c:strCache>
            </c:strRef>
          </c:tx>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726-4549-BF11-225A0E10CBD7}"/>
                </c:ext>
              </c:extLst>
            </c:dLbl>
            <c:dLbl>
              <c:idx val="1"/>
              <c:tx>
                <c:strRef>
                  <c:f>Objectifs!$S$49</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{0019FBA2-A766-4580-8156-1C4FEF865159}</c15:txfldGUID>
                      <c15:f>Objectifs!$S$49</c15:f>
                      <c15:dlblFieldTableCache>
                        <c:ptCount val="1"/>
                        <c:pt idx="0">
                          <c:v>0%</c:v>
                        </c:pt>
                      </c15:dlblFieldTableCache>
                    </c15:dlblFTEntry>
                  </c15:dlblFieldTable>
                  <c15:showDataLabelsRange val="0"/>
                </c:ext>
                <c:ext xmlns:c16="http://schemas.microsoft.com/office/drawing/2014/chart" uri="{C3380CC4-5D6E-409C-BE32-E72D297353CC}">
                  <c16:uniqueId val="{00000009-E726-4549-BF11-225A0E10CBD7}"/>
                </c:ext>
              </c:extLst>
            </c:dLbl>
            <c:dLbl>
              <c:idx val="2"/>
              <c:layout>
                <c:manualLayout>
                  <c:x val="3.1185848009508002E-3"/>
                  <c:y val="0"/>
                </c:manualLayout>
              </c:layout>
              <c:tx>
                <c:strRef>
                  <c:f>Objectifs!$Q$49</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{46DE2251-2CF7-43BE-8E15-A091CD8B09D5}</c15:txfldGUID>
                      <c15:f>Objectifs!$Q$49</c15:f>
                      <c15:dlblFieldTableCache>
                        <c:ptCount val="1"/>
                        <c:pt idx="0">
                          <c:v>0%</c:v>
                        </c:pt>
                      </c15:dlblFieldTableCache>
                    </c15:dlblFTEntry>
                  </c15:dlblFieldTable>
                  <c15:showDataLabelsRange val="0"/>
                </c:ext>
                <c:ext xmlns:c16="http://schemas.microsoft.com/office/drawing/2014/chart" uri="{C3380CC4-5D6E-409C-BE32-E72D297353CC}">
                  <c16:uniqueId val="{0000000E-E726-4549-BF11-225A0E10CBD7}"/>
                </c:ext>
              </c:extLst>
            </c:dLbl>
            <c:dLbl>
              <c:idx val="3"/>
              <c:layout>
                <c:manualLayout>
                  <c:x val="-5.7415116992285148E-17"/>
                  <c:y val="-2.9345382697835575E-3"/>
                </c:manualLayout>
              </c:layout>
              <c:tx>
                <c:strRef>
                  <c:f>Objectifs!$R$49</c:f>
                  <c:strCache>
                    <c:ptCount val="1"/>
                    <c:pt idx="0">
                      <c:v>0%</c:v>
                    </c:pt>
                  </c:strCache>
                </c:strRef>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15:layout>
                    <c:manualLayout>
                      <c:w val="5.7086369033454452E-2"/>
                      <c:h val="0.11934917709874966"/>
                    </c:manualLayout>
                  </c15:layout>
                  <c15:dlblFieldTable>
                    <c15:dlblFTEntry>
                      <c15:txfldGUID>{2C2E1FC3-94BD-4E25-9491-0706097CE060}</c15:txfldGUID>
                      <c15:f>Objectifs!$R$49</c15:f>
                      <c15:dlblFieldTableCache>
                        <c:ptCount val="1"/>
                        <c:pt idx="0">
                          <c:v>0%</c:v>
                        </c:pt>
                      </c15:dlblFieldTableCache>
                    </c15:dlblFTEntry>
                  </c15:dlblFieldTable>
                  <c15:showDataLabelsRange val="0"/>
                </c:ext>
                <c:ext xmlns:c16="http://schemas.microsoft.com/office/drawing/2014/chart" uri="{C3380CC4-5D6E-409C-BE32-E72D297353CC}">
                  <c16:uniqueId val="{00000004-6C10-4417-B941-939C0DABB3F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Objectifs!$M$49:$P$49</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0-15FD-4031-ACDB-8BE4D8DD1ED4}"/>
            </c:ext>
          </c:extLst>
        </c:ser>
        <c:ser>
          <c:idx val="1"/>
          <c:order val="1"/>
          <c:tx>
            <c:strRef>
              <c:f>Objectifs!$L$12</c:f>
              <c:strCache>
                <c:ptCount val="1"/>
                <c:pt idx="0">
                  <c:v>Tertiaire</c:v>
                </c:pt>
              </c:strCache>
            </c:strRef>
          </c:tx>
          <c:spPr>
            <a:solidFill>
              <a:srgbClr val="C00000">
                <a:alpha val="66000"/>
              </a:srgb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E726-4549-BF11-225A0E10CBD7}"/>
                </c:ext>
              </c:extLst>
            </c:dLbl>
            <c:dLbl>
              <c:idx val="1"/>
              <c:tx>
                <c:strRef>
                  <c:f>Objectifs!$S$50</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{A3FA3C1D-0282-4187-AE65-EBC1D5908367}</c15:txfldGUID>
                      <c15:f>Objectifs!$S$50</c15:f>
                      <c15:dlblFieldTableCache>
                        <c:ptCount val="1"/>
                        <c:pt idx="0">
                          <c:v>#REF!</c:v>
                        </c:pt>
                      </c15:dlblFieldTableCache>
                    </c15:dlblFTEntry>
                  </c15:dlblFieldTable>
                  <c15:showDataLabelsRange val="0"/>
                </c:ext>
                <c:ext xmlns:c16="http://schemas.microsoft.com/office/drawing/2014/chart" uri="{C3380CC4-5D6E-409C-BE32-E72D297353CC}">
                  <c16:uniqueId val="{00000008-E726-4549-BF11-225A0E10CBD7}"/>
                </c:ext>
              </c:extLst>
            </c:dLbl>
            <c:dLbl>
              <c:idx val="2"/>
              <c:tx>
                <c:strRef>
                  <c:f>Objectifs!$Q$50</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{74CC18F8-F8F3-4499-86C9-59B0533723A1}</c15:txfldGUID>
                      <c15:f>Objectifs!$Q$50</c15:f>
                      <c15:dlblFieldTableCache>
                        <c:ptCount val="1"/>
                        <c:pt idx="0">
                          <c:v>0%</c:v>
                        </c:pt>
                      </c15:dlblFieldTableCache>
                    </c15:dlblFTEntry>
                  </c15:dlblFieldTable>
                  <c15:showDataLabelsRange val="0"/>
                </c:ext>
                <c:ext xmlns:c16="http://schemas.microsoft.com/office/drawing/2014/chart" uri="{C3380CC4-5D6E-409C-BE32-E72D297353CC}">
                  <c16:uniqueId val="{0000000D-E726-4549-BF11-225A0E10CBD7}"/>
                </c:ext>
              </c:extLst>
            </c:dLbl>
            <c:dLbl>
              <c:idx val="3"/>
              <c:layout>
                <c:manualLayout>
                  <c:x val="1.5592924004754001E-3"/>
                  <c:y val="-4.5163713125784145E-3"/>
                </c:manualLayout>
              </c:layout>
              <c:tx>
                <c:strRef>
                  <c:f>Objectifs!$R$50</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{0A1719A8-F629-4BCD-857E-E5F536F5290E}</c15:txfldGUID>
                      <c15:f>Objectifs!$R$50</c15:f>
                      <c15:dlblFieldTableCache>
                        <c:ptCount val="1"/>
                        <c:pt idx="0">
                          <c:v>0%</c:v>
                        </c:pt>
                      </c15:dlblFieldTableCache>
                    </c15:dlblFTEntry>
                  </c15:dlblFieldTable>
                  <c15:showDataLabelsRange val="0"/>
                </c:ext>
                <c:ext xmlns:c16="http://schemas.microsoft.com/office/drawing/2014/chart" uri="{C3380CC4-5D6E-409C-BE32-E72D297353CC}">
                  <c16:uniqueId val="{00000003-6C10-4417-B941-939C0DABB3F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Objectifs!$M$50:$P$50</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1-15FD-4031-ACDB-8BE4D8DD1ED4}"/>
            </c:ext>
          </c:extLst>
        </c:ser>
        <c:ser>
          <c:idx val="5"/>
          <c:order val="2"/>
          <c:tx>
            <c:strRef>
              <c:f>Objectifs!$L$15</c:f>
              <c:strCache>
                <c:ptCount val="1"/>
                <c:pt idx="0">
                  <c:v>Logement</c:v>
                </c:pt>
              </c:strCache>
            </c:strRef>
          </c:tx>
          <c:spPr>
            <a:solidFill>
              <a:srgbClr val="9BBB59">
                <a:alpha val="85000"/>
              </a:srgb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726-4549-BF11-225A0E10CBD7}"/>
                </c:ext>
              </c:extLst>
            </c:dLbl>
            <c:dLbl>
              <c:idx val="1"/>
              <c:tx>
                <c:strRef>
                  <c:f>Objectifs!$S$55</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{F5879AAC-11CC-494C-BDD1-0A6B2F5CDF75}</c15:txfldGUID>
                      <c15:f>Objectifs!$S$55</c15:f>
                      <c15:dlblFieldTableCache>
                        <c:ptCount val="1"/>
                        <c:pt idx="0">
                          <c:v>#REF!</c:v>
                        </c:pt>
                      </c15:dlblFieldTableCache>
                    </c15:dlblFTEntry>
                  </c15:dlblFieldTable>
                  <c15:showDataLabelsRange val="0"/>
                </c:ext>
                <c:ext xmlns:c16="http://schemas.microsoft.com/office/drawing/2014/chart" uri="{C3380CC4-5D6E-409C-BE32-E72D297353CC}">
                  <c16:uniqueId val="{00000007-E726-4549-BF11-225A0E10CBD7}"/>
                </c:ext>
              </c:extLst>
            </c:dLbl>
            <c:dLbl>
              <c:idx val="2"/>
              <c:tx>
                <c:strRef>
                  <c:f>Objectifs!$Q$55</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{85E7B704-9471-4B97-B122-D3C0F329E7F4}</c15:txfldGUID>
                      <c15:f>Objectifs!$Q$55</c15:f>
                      <c15:dlblFieldTableCache>
                        <c:ptCount val="1"/>
                        <c:pt idx="0">
                          <c:v>0%</c:v>
                        </c:pt>
                      </c15:dlblFieldTableCache>
                    </c15:dlblFTEntry>
                  </c15:dlblFieldTable>
                  <c15:showDataLabelsRange val="0"/>
                </c:ext>
                <c:ext xmlns:c16="http://schemas.microsoft.com/office/drawing/2014/chart" uri="{C3380CC4-5D6E-409C-BE32-E72D297353CC}">
                  <c16:uniqueId val="{0000000C-E726-4549-BF11-225A0E10CBD7}"/>
                </c:ext>
              </c:extLst>
            </c:dLbl>
            <c:dLbl>
              <c:idx val="3"/>
              <c:tx>
                <c:strRef>
                  <c:f>Objectifs!$R$55</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{7E3BB61B-2FC9-4BF1-B094-1EBAC2BF4B58}</c15:txfldGUID>
                      <c15:f>Objectifs!$R$55</c15:f>
                      <c15:dlblFieldTableCache>
                        <c:ptCount val="1"/>
                        <c:pt idx="0">
                          <c:v>0%</c:v>
                        </c:pt>
                      </c15:dlblFieldTableCache>
                    </c15:dlblFTEntry>
                  </c15:dlblFieldTable>
                  <c15:showDataLabelsRange val="0"/>
                </c:ext>
                <c:ext xmlns:c16="http://schemas.microsoft.com/office/drawing/2014/chart" uri="{C3380CC4-5D6E-409C-BE32-E72D297353CC}">
                  <c16:uniqueId val="{00000002-6C10-4417-B941-939C0DABB3F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Objectifs!$M$55:$P$55</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2-15FD-4031-ACDB-8BE4D8DD1ED4}"/>
            </c:ext>
          </c:extLst>
        </c:ser>
        <c:ser>
          <c:idx val="6"/>
          <c:order val="3"/>
          <c:tx>
            <c:strRef>
              <c:f>Objectifs!$L$16</c:f>
              <c:strCache>
                <c:ptCount val="1"/>
                <c:pt idx="0">
                  <c:v>Agriculture</c:v>
                </c:pt>
              </c:strCache>
            </c:strRef>
          </c:tx>
          <c:spPr>
            <a:solidFill>
              <a:srgbClr val="7030A0">
                <a:alpha val="85000"/>
              </a:srgb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726-4549-BF11-225A0E10CBD7}"/>
                </c:ext>
              </c:extLst>
            </c:dLbl>
            <c:dLbl>
              <c:idx val="1"/>
              <c:tx>
                <c:strRef>
                  <c:f>Objectifs!$S$56</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{E8D96D93-1E2C-4AC5-B57A-A9728456745F}</c15:txfldGUID>
                      <c15:f>Objectifs!$S$56</c15:f>
                      <c15:dlblFieldTableCache>
                        <c:ptCount val="1"/>
                        <c:pt idx="0">
                          <c:v>#REF!</c:v>
                        </c:pt>
                      </c15:dlblFieldTableCache>
                    </c15:dlblFTEntry>
                  </c15:dlblFieldTable>
                  <c15:showDataLabelsRange val="0"/>
                </c:ext>
                <c:ext xmlns:c16="http://schemas.microsoft.com/office/drawing/2014/chart" uri="{C3380CC4-5D6E-409C-BE32-E72D297353CC}">
                  <c16:uniqueId val="{00000006-E726-4549-BF11-225A0E10CBD7}"/>
                </c:ext>
              </c:extLst>
            </c:dLbl>
            <c:dLbl>
              <c:idx val="2"/>
              <c:tx>
                <c:strRef>
                  <c:f>Objectifs!$Q$56</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{4CAC9E6C-E887-460D-8548-90CC1FDDDEBE}</c15:txfldGUID>
                      <c15:f>Objectifs!$Q$56</c15:f>
                      <c15:dlblFieldTableCache>
                        <c:ptCount val="1"/>
                        <c:pt idx="0">
                          <c:v>0%</c:v>
                        </c:pt>
                      </c15:dlblFieldTableCache>
                    </c15:dlblFTEntry>
                  </c15:dlblFieldTable>
                  <c15:showDataLabelsRange val="0"/>
                </c:ext>
                <c:ext xmlns:c16="http://schemas.microsoft.com/office/drawing/2014/chart" uri="{C3380CC4-5D6E-409C-BE32-E72D297353CC}">
                  <c16:uniqueId val="{0000000B-E726-4549-BF11-225A0E10CBD7}"/>
                </c:ext>
              </c:extLst>
            </c:dLbl>
            <c:dLbl>
              <c:idx val="3"/>
              <c:tx>
                <c:strRef>
                  <c:f>Objectifs!$R$56</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{3D8072AB-557F-4E8A-933E-D3FE1E49169E}</c15:txfldGUID>
                      <c15:f>Objectifs!$R$56</c15:f>
                      <c15:dlblFieldTableCache>
                        <c:ptCount val="1"/>
                        <c:pt idx="0">
                          <c:v>0%</c:v>
                        </c:pt>
                      </c15:dlblFieldTableCache>
                    </c15:dlblFTEntry>
                  </c15:dlblFieldTable>
                  <c15:showDataLabelsRange val="0"/>
                </c:ext>
                <c:ext xmlns:c16="http://schemas.microsoft.com/office/drawing/2014/chart" uri="{C3380CC4-5D6E-409C-BE32-E72D297353CC}">
                  <c16:uniqueId val="{00000001-6C10-4417-B941-939C0DABB3F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Objectifs!$M$56:$P$56</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3-15FD-4031-ACDB-8BE4D8DD1ED4}"/>
            </c:ext>
          </c:extLst>
        </c:ser>
        <c:ser>
          <c:idx val="7"/>
          <c:order val="4"/>
          <c:tx>
            <c:strRef>
              <c:f>Objectifs!$L$57</c:f>
              <c:strCache>
                <c:ptCount val="1"/>
                <c:pt idx="0">
                  <c:v>Transport</c:v>
                </c:pt>
              </c:strCache>
            </c:strRef>
          </c:tx>
          <c:spPr>
            <a:solidFill>
              <a:srgbClr val="4BACC6">
                <a:alpha val="85000"/>
              </a:srgb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E726-4549-BF11-225A0E10CBD7}"/>
                </c:ext>
              </c:extLst>
            </c:dLbl>
            <c:dLbl>
              <c:idx val="1"/>
              <c:layout>
                <c:manualLayout>
                  <c:x val="7.6896597505786768E-5"/>
                  <c:y val="-4.0127451928190939E-3"/>
                </c:manualLayout>
              </c:layout>
              <c:tx>
                <c:strRef>
                  <c:f>Objectifs!$S$57</c:f>
                  <c:strCache>
                    <c:ptCount val="1"/>
                    <c:pt idx="0">
                      <c:v>#REF!</c:v>
                    </c:pt>
                  </c:strCache>
                </c:strRef>
              </c:tx>
              <c:spPr>
                <a:noFill/>
                <a:ln w="19050">
                  <a:solidFill>
                    <a:schemeClr val="accent5">
                      <a:lumMod val="50000"/>
                    </a:schemeClr>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{DC4C296D-DA55-44D5-9DDE-9E75E5268238}</c15:txfldGUID>
                      <c15:f>Objectifs!$S$57</c15:f>
                      <c15:dlblFieldTableCache>
                        <c:ptCount val="1"/>
                        <c:pt idx="0">
                          <c:v>#REF!</c:v>
                        </c:pt>
                      </c15:dlblFieldTableCache>
                    </c15:dlblFTEntry>
                  </c15:dlblFieldTable>
                  <c15:showDataLabelsRange val="0"/>
                </c:ext>
                <c:ext xmlns:c16="http://schemas.microsoft.com/office/drawing/2014/chart" uri="{C3380CC4-5D6E-409C-BE32-E72D297353CC}">
                  <c16:uniqueId val="{00000005-E726-4549-BF11-225A0E10CBD7}"/>
                </c:ext>
              </c:extLst>
            </c:dLbl>
            <c:dLbl>
              <c:idx val="2"/>
              <c:tx>
                <c:strRef>
                  <c:f>Objectifs!$Q$57</c:f>
                  <c:strCache>
                    <c:ptCount val="1"/>
                    <c:pt idx="0">
                      <c:v>0%</c:v>
                    </c:pt>
                  </c:strCache>
                </c:strRef>
              </c:tx>
              <c:spPr>
                <a:noFill/>
                <a:ln w="19050">
                  <a:solidFill>
                    <a:schemeClr val="accent5">
                      <a:lumMod val="50000"/>
                    </a:schemeClr>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{CC7881D8-695C-49DE-94A7-7C90AC652844}</c15:txfldGUID>
                      <c15:f>Objectifs!$Q$57</c15:f>
                      <c15:dlblFieldTableCache>
                        <c:ptCount val="1"/>
                        <c:pt idx="0">
                          <c:v>0%</c:v>
                        </c:pt>
                      </c15:dlblFieldTableCache>
                    </c15:dlblFTEntry>
                  </c15:dlblFieldTable>
                  <c15:showDataLabelsRange val="0"/>
                </c:ext>
                <c:ext xmlns:c16="http://schemas.microsoft.com/office/drawing/2014/chart" uri="{C3380CC4-5D6E-409C-BE32-E72D297353CC}">
                  <c16:uniqueId val="{0000000A-E726-4549-BF11-225A0E10CBD7}"/>
                </c:ext>
              </c:extLst>
            </c:dLbl>
            <c:dLbl>
              <c:idx val="3"/>
              <c:tx>
                <c:strRef>
                  <c:f>Objectifs!$R$57</c:f>
                  <c:strCache>
                    <c:ptCount val="1"/>
                    <c:pt idx="0">
                      <c:v>0%</c:v>
                    </c:pt>
                  </c:strCache>
                </c:strRef>
              </c:tx>
              <c:spPr>
                <a:noFill/>
                <a:ln w="22225">
                  <a:solidFill>
                    <a:schemeClr val="accent5">
                      <a:lumMod val="50000"/>
                    </a:schemeClr>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{A08469DD-E53E-4CE5-9A62-AFEE8E83C940}</c15:txfldGUID>
                      <c15:f>Objectifs!$R$57</c15:f>
                      <c15:dlblFieldTableCache>
                        <c:ptCount val="1"/>
                        <c:pt idx="0">
                          <c:v>0%</c:v>
                        </c:pt>
                      </c15:dlblFieldTableCache>
                    </c15:dlblFTEntry>
                  </c15:dlblFieldTable>
                  <c15:showDataLabelsRange val="0"/>
                </c:ext>
                <c:ext xmlns:c16="http://schemas.microsoft.com/office/drawing/2014/chart" uri="{C3380CC4-5D6E-409C-BE32-E72D297353CC}">
                  <c16:uniqueId val="{00000000-6C10-4417-B941-939C0DABB3F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Objectifs!$M$57:$P$57</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4-15FD-4031-ACDB-8BE4D8DD1ED4}"/>
            </c:ext>
          </c:extLst>
        </c:ser>
        <c:dLbls>
          <c:showLegendKey val="0"/>
          <c:showVal val="0"/>
          <c:showCatName val="0"/>
          <c:showSerName val="0"/>
          <c:showPercent val="0"/>
          <c:showBubbleSize val="0"/>
        </c:dLbls>
        <c:gapWidth val="150"/>
        <c:overlap val="100"/>
        <c:axId val="1432417359"/>
        <c:axId val="1432417775"/>
      </c:barChart>
      <c:catAx>
        <c:axId val="1432417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1432417775"/>
        <c:crosses val="autoZero"/>
        <c:auto val="1"/>
        <c:lblAlgn val="ctr"/>
        <c:lblOffset val="100"/>
        <c:noMultiLvlLbl val="0"/>
      </c:catAx>
      <c:valAx>
        <c:axId val="14324177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GWh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432417359"/>
        <c:crosses val="autoZero"/>
        <c:crossBetween val="between"/>
      </c:valAx>
      <c:spPr>
        <a:noFill/>
        <a:ln>
          <a:noFill/>
        </a:ln>
        <a:effectLst/>
      </c:spPr>
    </c:plotArea>
    <c:legend>
      <c:legendPos val="r"/>
      <c:layout>
        <c:manualLayout>
          <c:xMode val="edge"/>
          <c:yMode val="edge"/>
          <c:x val="0.74861288057224895"/>
          <c:y val="0.38751094101810324"/>
          <c:w val="0.23694019639688388"/>
          <c:h val="0.59677400370241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b="1" i="0" u="none" strike="noStrike" baseline="0">
                <a:solidFill>
                  <a:srgbClr val="333333"/>
                </a:solidFill>
                <a:latin typeface="Calibri"/>
                <a:ea typeface="Calibri"/>
                <a:cs typeface="Calibri"/>
              </a:defRPr>
            </a:pPr>
            <a:r>
              <a:rPr lang="en-US" sz="1400"/>
              <a:t>Couverture </a:t>
            </a:r>
          </a:p>
          <a:p>
            <a:pPr algn="l">
              <a:defRPr sz="1400" b="1" i="0" u="none" strike="noStrike" baseline="0">
                <a:solidFill>
                  <a:srgbClr val="333333"/>
                </a:solidFill>
                <a:latin typeface="Calibri"/>
                <a:ea typeface="Calibri"/>
                <a:cs typeface="Calibri"/>
              </a:defRPr>
            </a:pPr>
            <a:r>
              <a:rPr lang="en-US" sz="1400"/>
              <a:t>renouvelable</a:t>
            </a:r>
          </a:p>
          <a:p>
            <a:pPr algn="l">
              <a:defRPr sz="1400" b="1" i="0" u="none" strike="noStrike" baseline="0">
                <a:solidFill>
                  <a:srgbClr val="333333"/>
                </a:solidFill>
                <a:latin typeface="Calibri"/>
                <a:ea typeface="Calibri"/>
                <a:cs typeface="Calibri"/>
              </a:defRPr>
            </a:pPr>
            <a:r>
              <a:rPr lang="en-US" sz="1400"/>
              <a:t>en 2030 </a:t>
            </a:r>
          </a:p>
        </c:rich>
      </c:tx>
      <c:layout>
        <c:manualLayout>
          <c:xMode val="edge"/>
          <c:yMode val="edge"/>
          <c:x val="3.3822927649423289E-2"/>
          <c:y val="3.9552555930508694E-2"/>
        </c:manualLayout>
      </c:layout>
      <c:overlay val="0"/>
      <c:spPr>
        <a:noFill/>
        <a:ln w="25400">
          <a:noFill/>
        </a:ln>
      </c:spPr>
    </c:title>
    <c:autoTitleDeleted val="0"/>
    <c:plotArea>
      <c:layout>
        <c:manualLayout>
          <c:layoutTarget val="inner"/>
          <c:xMode val="edge"/>
          <c:yMode val="edge"/>
          <c:x val="0.37128438924792606"/>
          <c:y val="0"/>
          <c:w val="0.54001318355847716"/>
          <c:h val="0.68993554257663359"/>
        </c:manualLayout>
      </c:layout>
      <c:barChart>
        <c:barDir val="bar"/>
        <c:grouping val="stacked"/>
        <c:varyColors val="0"/>
        <c:ser>
          <c:idx val="1"/>
          <c:order val="0"/>
          <c:tx>
            <c:v>Prod</c:v>
          </c:tx>
          <c:spPr>
            <a:solidFill>
              <a:schemeClr val="accent6">
                <a:lumMod val="75000"/>
              </a:schemeClr>
            </a:solidFill>
            <a:ln w="25400">
              <a:noFill/>
            </a:ln>
          </c:spPr>
          <c:invertIfNegative val="0"/>
          <c:dLbls>
            <c:dLbl>
              <c:idx val="0"/>
              <c:layout>
                <c:manualLayout>
                  <c:x val="1.9233233088309012E-2"/>
                  <c:y val="-7.275048233154282E-17"/>
                </c:manualLayout>
              </c:layout>
              <c:tx>
                <c:strRef>
                  <c:f>'Bilan territorial'!$AM$88</c:f>
                  <c:strCache>
                    <c:ptCount val="1"/>
                    <c:pt idx="0">
                      <c:v>#REF!</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{29581F49-45C0-462D-99F8-2D7A25A912B4}</c15:txfldGUID>
                      <c15:f>'Bilan territorial'!$AM$88</c15:f>
                      <c15:dlblFieldTableCache>
                        <c:ptCount val="1"/>
                        <c:pt idx="0">
                          <c:v>#REF!</c:v>
                        </c:pt>
                      </c15:dlblFieldTableCache>
                    </c15:dlblFTEntry>
                  </c15:dlblFieldTable>
                  <c15:showDataLabelsRange val="0"/>
                </c:ext>
                <c:ext xmlns:c16="http://schemas.microsoft.com/office/drawing/2014/chart" uri="{C3380CC4-5D6E-409C-BE32-E72D297353CC}">
                  <c16:uniqueId val="{00000000-5416-4260-98C8-F3ED89191A9B}"/>
                </c:ext>
              </c:extLst>
            </c:dLbl>
            <c:dLbl>
              <c:idx val="1"/>
              <c:tx>
                <c:strRef>
                  <c:f>'Bilan territorial'!$AN$88</c:f>
                  <c:strCache>
                    <c:ptCount val="1"/>
                    <c:pt idx="0">
                      <c:v>#REF!</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{45E06C94-916B-4C93-AF59-BD7D953658CE}</c15:txfldGUID>
                      <c15:f>'Bilan territorial'!$AN$88</c15:f>
                      <c15:dlblFieldTableCache>
                        <c:ptCount val="1"/>
                        <c:pt idx="0">
                          <c:v>#REF!</c:v>
                        </c:pt>
                      </c15:dlblFieldTableCache>
                    </c15:dlblFTEntry>
                  </c15:dlblFieldTable>
                  <c15:showDataLabelsRange val="0"/>
                </c:ext>
                <c:ext xmlns:c16="http://schemas.microsoft.com/office/drawing/2014/chart" uri="{C3380CC4-5D6E-409C-BE32-E72D297353CC}">
                  <c16:uniqueId val="{00000001-5416-4260-98C8-F3ED89191A9B}"/>
                </c:ext>
              </c:extLst>
            </c:dLbl>
            <c:dLbl>
              <c:idx val="2"/>
              <c:layout>
                <c:manualLayout>
                  <c:x val="1.3463263161816308E-2"/>
                  <c:y val="-7.9365079365079361E-3"/>
                </c:manualLayout>
              </c:layout>
              <c:tx>
                <c:strRef>
                  <c:f>'Bilan territorial'!$AO$88</c:f>
                  <c:strCache>
                    <c:ptCount val="1"/>
                    <c:pt idx="0">
                      <c:v>#REF!</c:v>
                    </c:pt>
                  </c:strCache>
                </c:strRef>
              </c:tx>
              <c:spPr>
                <a:noFill/>
                <a:ln w="25400">
                  <a:noFill/>
                </a:ln>
              </c:spPr>
              <c:txPr>
                <a:bodyPr/>
                <a:lstStyle/>
                <a:p>
                  <a:pPr>
                    <a:defRPr sz="1100" b="1" i="0" u="none" strike="noStrike" baseline="0">
                      <a:solidFill>
                        <a:srgbClr val="FFFFFF"/>
                      </a:solidFill>
                      <a:latin typeface="Calibri"/>
                      <a:ea typeface="Calibri"/>
                      <a:cs typeface="Calibri"/>
                    </a:defRPr>
                  </a:pPr>
                  <a:endParaRPr lang="fr-FR"/>
                </a:p>
              </c:txPr>
              <c:showLegendKey val="0"/>
              <c:showVal val="0"/>
              <c:showCatName val="0"/>
              <c:showSerName val="0"/>
              <c:showPercent val="0"/>
              <c:showBubbleSize val="0"/>
              <c:extLst>
                <c:ext xmlns:c15="http://schemas.microsoft.com/office/drawing/2012/chart" uri="{CE6537A1-D6FC-4f65-9D91-7224C49458BB}">
                  <c15:dlblFieldTable>
                    <c15:dlblFTEntry>
                      <c15:txfldGUID>{E88E979A-B273-4A26-99B1-DD329EAC35B8}</c15:txfldGUID>
                      <c15:f>'Bilan territorial'!$AO$88</c15:f>
                      <c15:dlblFieldTableCache>
                        <c:ptCount val="1"/>
                        <c:pt idx="0">
                          <c:v>#REF!</c:v>
                        </c:pt>
                      </c15:dlblFieldTableCache>
                    </c15:dlblFTEntry>
                  </c15:dlblFieldTable>
                  <c15:showDataLabelsRange val="0"/>
                </c:ext>
                <c:ext xmlns:c16="http://schemas.microsoft.com/office/drawing/2014/chart" uri="{C3380CC4-5D6E-409C-BE32-E72D297353CC}">
                  <c16:uniqueId val="{00000002-5416-4260-98C8-F3ED89191A9B}"/>
                </c:ext>
              </c:extLst>
            </c:dLbl>
            <c:spPr>
              <a:noFill/>
              <a:ln w="25400">
                <a:noFill/>
              </a:ln>
            </c:spPr>
            <c:txPr>
              <a:bodyPr wrap="square" lIns="38100" tIns="19050" rIns="38100" bIns="19050" anchor="ctr">
                <a:spAutoFit/>
              </a:bodyPr>
              <a:lstStyle/>
              <a:p>
                <a:pPr>
                  <a:defRPr sz="11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'Bilan territorial'!$AM$84:$AO$84</c:f>
              <c:strCache>
                <c:ptCount val="3"/>
                <c:pt idx="0">
                  <c:v>Transport hors élec</c:v>
                </c:pt>
                <c:pt idx="1">
                  <c:v>Chaleur</c:v>
                </c:pt>
                <c:pt idx="2">
                  <c:v>Electricité</c:v>
                </c:pt>
              </c:strCache>
            </c:strRef>
          </c:cat>
          <c:val>
            <c:numRef>
              <c:f>'Bilan territorial'!$AM$86:$AO$86</c:f>
              <c:numCache>
                <c:formatCode>_ * #,##0_ ;_ * \-#,##0_ ;_ * "-"??_ ;_ @_ </c:formatCode>
                <c:ptCount val="3"/>
                <c:pt idx="0">
                  <c:v>0</c:v>
                </c:pt>
                <c:pt idx="1">
                  <c:v>0</c:v>
                </c:pt>
                <c:pt idx="2">
                  <c:v>0</c:v>
                </c:pt>
              </c:numCache>
            </c:numRef>
          </c:val>
          <c:extLst>
            <c:ext xmlns:c16="http://schemas.microsoft.com/office/drawing/2014/chart" uri="{C3380CC4-5D6E-409C-BE32-E72D297353CC}">
              <c16:uniqueId val="{00000003-5416-4260-98C8-F3ED89191A9B}"/>
            </c:ext>
          </c:extLst>
        </c:ser>
        <c:ser>
          <c:idx val="0"/>
          <c:order val="1"/>
          <c:tx>
            <c:v>Conso</c:v>
          </c:tx>
          <c:spPr>
            <a:solidFill>
              <a:srgbClr val="4F81BD"/>
            </a:solidFill>
            <a:ln w="25400">
              <a:noFill/>
            </a:ln>
          </c:spPr>
          <c:invertIfNegative val="0"/>
          <c:cat>
            <c:strRef>
              <c:f>'Bilan territorial'!$AM$84:$AO$84</c:f>
              <c:strCache>
                <c:ptCount val="3"/>
                <c:pt idx="0">
                  <c:v>Transport hors élec</c:v>
                </c:pt>
                <c:pt idx="1">
                  <c:v>Chaleur</c:v>
                </c:pt>
                <c:pt idx="2">
                  <c:v>Electricité</c:v>
                </c:pt>
              </c:strCache>
            </c:strRef>
          </c:cat>
          <c:val>
            <c:numRef>
              <c:f>'Bilan territorial'!$AM$87:$AO$87</c:f>
              <c:numCache>
                <c:formatCode>_ * #,##0_ ;_ * \-#,##0_ ;_ * "-"??_ ;_ @_ </c:formatCode>
                <c:ptCount val="3"/>
                <c:pt idx="0">
                  <c:v>0</c:v>
                </c:pt>
                <c:pt idx="1">
                  <c:v>0</c:v>
                </c:pt>
                <c:pt idx="2" formatCode="_ * #,##0.000_ ;_ * \-#,##0.000_ ;_ * &quot;-&quot;??_ ;_ @_ ">
                  <c:v>0</c:v>
                </c:pt>
              </c:numCache>
            </c:numRef>
          </c:val>
          <c:extLst>
            <c:ext xmlns:c16="http://schemas.microsoft.com/office/drawing/2014/chart" uri="{C3380CC4-5D6E-409C-BE32-E72D297353CC}">
              <c16:uniqueId val="{00000004-5416-4260-98C8-F3ED89191A9B}"/>
            </c:ext>
          </c:extLst>
        </c:ser>
        <c:dLbls>
          <c:showLegendKey val="0"/>
          <c:showVal val="0"/>
          <c:showCatName val="0"/>
          <c:showSerName val="0"/>
          <c:showPercent val="0"/>
          <c:showBubbleSize val="0"/>
        </c:dLbls>
        <c:gapWidth val="36"/>
        <c:overlap val="100"/>
        <c:axId val="712941791"/>
        <c:axId val="1"/>
      </c:barChart>
      <c:catAx>
        <c:axId val="7129417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b"/>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crossAx val="712941791"/>
        <c:crosses val="autoZero"/>
        <c:crossBetween val="between"/>
      </c:valAx>
      <c:spPr>
        <a:noFill/>
        <a:ln w="25400">
          <a:noFill/>
        </a:ln>
      </c:spPr>
    </c:plotArea>
    <c:plotVisOnly val="0"/>
    <c:dispBlanksAs val="gap"/>
    <c:showDLblsOverMax val="0"/>
  </c:chart>
  <c:spPr>
    <a:no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2"/>
          <c:order val="0"/>
          <c:tx>
            <c:strRef>
              <c:f>Planning!$D$7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Planning!$D$8:$D$81</c:f>
            </c:numRef>
          </c:val>
          <c:extLst>
            <c:ext xmlns:c16="http://schemas.microsoft.com/office/drawing/2014/chart" uri="{C3380CC4-5D6E-409C-BE32-E72D297353CC}">
              <c16:uniqueId val="{00000000-DF91-4AB9-9C7E-758287A34BD5}"/>
            </c:ext>
          </c:extLst>
        </c:ser>
        <c:ser>
          <c:idx val="3"/>
          <c:order val="1"/>
          <c:tx>
            <c:strRef>
              <c:f>Planning!$E$7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Planning!$E$8:$E$81</c:f>
            </c:numRef>
          </c:val>
          <c:extLst>
            <c:ext xmlns:c16="http://schemas.microsoft.com/office/drawing/2014/chart" uri="{C3380CC4-5D6E-409C-BE32-E72D297353CC}">
              <c16:uniqueId val="{00000001-DF91-4AB9-9C7E-758287A34BD5}"/>
            </c:ext>
          </c:extLst>
        </c:ser>
        <c:ser>
          <c:idx val="4"/>
          <c:order val="2"/>
          <c:tx>
            <c:strRef>
              <c:f>Planning!$F$7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Planning!$F$8:$F$81</c:f>
            </c:numRef>
          </c:val>
          <c:extLst>
            <c:ext xmlns:c16="http://schemas.microsoft.com/office/drawing/2014/chart" uri="{C3380CC4-5D6E-409C-BE32-E72D297353CC}">
              <c16:uniqueId val="{00000002-DF91-4AB9-9C7E-758287A34BD5}"/>
            </c:ext>
          </c:extLst>
        </c:ser>
        <c:ser>
          <c:idx val="6"/>
          <c:order val="3"/>
          <c:tx>
            <c:strRef>
              <c:f>Planning!$H$7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Planning!$H$8:$H$81</c:f>
            </c:numRef>
          </c:val>
          <c:extLst>
            <c:ext xmlns:c16="http://schemas.microsoft.com/office/drawing/2014/chart" uri="{C3380CC4-5D6E-409C-BE32-E72D297353CC}">
              <c16:uniqueId val="{00000003-DF91-4AB9-9C7E-758287A34BD5}"/>
            </c:ext>
          </c:extLst>
        </c:ser>
        <c:ser>
          <c:idx val="7"/>
          <c:order val="4"/>
          <c:tx>
            <c:strRef>
              <c:f>Planning!$I$7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Planning!$I$8:$I$81</c:f>
            </c:numRef>
          </c:val>
          <c:extLst>
            <c:ext xmlns:c16="http://schemas.microsoft.com/office/drawing/2014/chart" uri="{C3380CC4-5D6E-409C-BE32-E72D297353CC}">
              <c16:uniqueId val="{00000004-DF91-4AB9-9C7E-758287A34BD5}"/>
            </c:ext>
          </c:extLst>
        </c:ser>
        <c:ser>
          <c:idx val="8"/>
          <c:order val="5"/>
          <c:tx>
            <c:strRef>
              <c:f>Planning!$J$7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Planning!$J$8:$J$81</c:f>
            </c:numRef>
          </c:val>
          <c:extLst>
            <c:ext xmlns:c16="http://schemas.microsoft.com/office/drawing/2014/chart" uri="{C3380CC4-5D6E-409C-BE32-E72D297353CC}">
              <c16:uniqueId val="{00000005-DF91-4AB9-9C7E-758287A34BD5}"/>
            </c:ext>
          </c:extLst>
        </c:ser>
        <c:ser>
          <c:idx val="10"/>
          <c:order val="6"/>
          <c:tx>
            <c:strRef>
              <c:f>Planning!$L$7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Planning!$L$8:$L$81</c:f>
            </c:numRef>
          </c:val>
          <c:extLst>
            <c:ext xmlns:c16="http://schemas.microsoft.com/office/drawing/2014/chart" uri="{C3380CC4-5D6E-409C-BE32-E72D297353CC}">
              <c16:uniqueId val="{00000006-DF91-4AB9-9C7E-758287A34BD5}"/>
            </c:ext>
          </c:extLst>
        </c:ser>
        <c:ser>
          <c:idx val="11"/>
          <c:order val="7"/>
          <c:tx>
            <c:strRef>
              <c:f>Planning!$M$7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Planning!$M$8:$M$81</c:f>
            </c:numRef>
          </c:val>
          <c:extLst>
            <c:ext xmlns:c16="http://schemas.microsoft.com/office/drawing/2014/chart" uri="{C3380CC4-5D6E-409C-BE32-E72D297353CC}">
              <c16:uniqueId val="{00000007-DF91-4AB9-9C7E-758287A34BD5}"/>
            </c:ext>
          </c:extLst>
        </c:ser>
        <c:ser>
          <c:idx val="12"/>
          <c:order val="8"/>
          <c:tx>
            <c:strRef>
              <c:f>Planning!$N$7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Planning!$N$8:$N$81</c:f>
            </c:numRef>
          </c:val>
          <c:extLst>
            <c:ext xmlns:c16="http://schemas.microsoft.com/office/drawing/2014/chart" uri="{C3380CC4-5D6E-409C-BE32-E72D297353CC}">
              <c16:uniqueId val="{00000008-DF91-4AB9-9C7E-758287A34BD5}"/>
            </c:ext>
          </c:extLst>
        </c:ser>
        <c:ser>
          <c:idx val="14"/>
          <c:order val="9"/>
          <c:tx>
            <c:strRef>
              <c:f>Planning!$P$7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Planning!$P$8:$P$81</c:f>
            </c:numRef>
          </c:val>
          <c:extLst>
            <c:ext xmlns:c16="http://schemas.microsoft.com/office/drawing/2014/chart" uri="{C3380CC4-5D6E-409C-BE32-E72D297353CC}">
              <c16:uniqueId val="{00000009-DF91-4AB9-9C7E-758287A34BD5}"/>
            </c:ext>
          </c:extLst>
        </c:ser>
        <c:ser>
          <c:idx val="15"/>
          <c:order val="10"/>
          <c:tx>
            <c:strRef>
              <c:f>Planning!$Q$7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Planning!$Q$8:$Q$81</c:f>
            </c:numRef>
          </c:val>
          <c:extLst>
            <c:ext xmlns:c16="http://schemas.microsoft.com/office/drawing/2014/chart" uri="{C3380CC4-5D6E-409C-BE32-E72D297353CC}">
              <c16:uniqueId val="{0000000A-DF91-4AB9-9C7E-758287A34BD5}"/>
            </c:ext>
          </c:extLst>
        </c:ser>
        <c:ser>
          <c:idx val="16"/>
          <c:order val="11"/>
          <c:tx>
            <c:strRef>
              <c:f>Planning!$R$7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Planning!$R$8:$R$81</c:f>
            </c:numRef>
          </c:val>
          <c:extLst>
            <c:ext xmlns:c16="http://schemas.microsoft.com/office/drawing/2014/chart" uri="{C3380CC4-5D6E-409C-BE32-E72D297353CC}">
              <c16:uniqueId val="{0000000B-DF91-4AB9-9C7E-758287A34BD5}"/>
            </c:ext>
          </c:extLst>
        </c:ser>
        <c:ser>
          <c:idx val="18"/>
          <c:order val="12"/>
          <c:tx>
            <c:strRef>
              <c:f>Planning!$T$7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Planning!$T$8:$T$81</c:f>
            </c:numRef>
          </c:val>
          <c:extLst>
            <c:ext xmlns:c16="http://schemas.microsoft.com/office/drawing/2014/chart" uri="{C3380CC4-5D6E-409C-BE32-E72D297353CC}">
              <c16:uniqueId val="{0000000C-DF91-4AB9-9C7E-758287A34BD5}"/>
            </c:ext>
          </c:extLst>
        </c:ser>
        <c:ser>
          <c:idx val="19"/>
          <c:order val="13"/>
          <c:tx>
            <c:strRef>
              <c:f>Planning!$U$7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Planning!$U$8:$U$81</c:f>
            </c:numRef>
          </c:val>
          <c:extLst>
            <c:ext xmlns:c16="http://schemas.microsoft.com/office/drawing/2014/chart" uri="{C3380CC4-5D6E-409C-BE32-E72D297353CC}">
              <c16:uniqueId val="{0000000D-DF91-4AB9-9C7E-758287A34BD5}"/>
            </c:ext>
          </c:extLst>
        </c:ser>
        <c:ser>
          <c:idx val="20"/>
          <c:order val="14"/>
          <c:tx>
            <c:strRef>
              <c:f>Planning!$V$7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Planning!$V$8:$V$81</c:f>
            </c:numRef>
          </c:val>
          <c:extLst>
            <c:ext xmlns:c16="http://schemas.microsoft.com/office/drawing/2014/chart" uri="{C3380CC4-5D6E-409C-BE32-E72D297353CC}">
              <c16:uniqueId val="{0000000E-DF91-4AB9-9C7E-758287A34BD5}"/>
            </c:ext>
          </c:extLst>
        </c:ser>
        <c:ser>
          <c:idx val="22"/>
          <c:order val="15"/>
          <c:tx>
            <c:strRef>
              <c:f>Planning!$X$7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Planning!$X$8:$X$81</c:f>
            </c:numRef>
          </c:val>
          <c:extLst>
            <c:ext xmlns:c16="http://schemas.microsoft.com/office/drawing/2014/chart" uri="{C3380CC4-5D6E-409C-BE32-E72D297353CC}">
              <c16:uniqueId val="{0000000F-DF91-4AB9-9C7E-758287A34BD5}"/>
            </c:ext>
          </c:extLst>
        </c:ser>
        <c:ser>
          <c:idx val="23"/>
          <c:order val="16"/>
          <c:tx>
            <c:strRef>
              <c:f>Planning!$Y$7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Planning!$Y$8:$Y$81</c:f>
            </c:numRef>
          </c:val>
          <c:extLst>
            <c:ext xmlns:c16="http://schemas.microsoft.com/office/drawing/2014/chart" uri="{C3380CC4-5D6E-409C-BE32-E72D297353CC}">
              <c16:uniqueId val="{00000010-DF91-4AB9-9C7E-758287A34BD5}"/>
            </c:ext>
          </c:extLst>
        </c:ser>
        <c:ser>
          <c:idx val="24"/>
          <c:order val="17"/>
          <c:tx>
            <c:strRef>
              <c:f>Planning!$Z$7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Planning!$Z$8:$Z$81</c:f>
            </c:numRef>
          </c:val>
          <c:extLst>
            <c:ext xmlns:c16="http://schemas.microsoft.com/office/drawing/2014/chart" uri="{C3380CC4-5D6E-409C-BE32-E72D297353CC}">
              <c16:uniqueId val="{00000011-DF91-4AB9-9C7E-758287A34BD5}"/>
            </c:ext>
          </c:extLst>
        </c:ser>
        <c:ser>
          <c:idx val="26"/>
          <c:order val="18"/>
          <c:tx>
            <c:strRef>
              <c:f>Planning!$AB$7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Planning!$AB$8:$AB$81</c:f>
            </c:numRef>
          </c:val>
          <c:extLst>
            <c:ext xmlns:c16="http://schemas.microsoft.com/office/drawing/2014/chart" uri="{C3380CC4-5D6E-409C-BE32-E72D297353CC}">
              <c16:uniqueId val="{00000012-DF91-4AB9-9C7E-758287A34BD5}"/>
            </c:ext>
          </c:extLst>
        </c:ser>
        <c:ser>
          <c:idx val="27"/>
          <c:order val="19"/>
          <c:tx>
            <c:strRef>
              <c:f>Planning!$AC$7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Planning!$AC$8:$AC$81</c:f>
            </c:numRef>
          </c:val>
          <c:extLst>
            <c:ext xmlns:c16="http://schemas.microsoft.com/office/drawing/2014/chart" uri="{C3380CC4-5D6E-409C-BE32-E72D297353CC}">
              <c16:uniqueId val="{00000013-DF91-4AB9-9C7E-758287A34BD5}"/>
            </c:ext>
          </c:extLst>
        </c:ser>
        <c:ser>
          <c:idx val="28"/>
          <c:order val="20"/>
          <c:tx>
            <c:strRef>
              <c:f>Planning!$AD$7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Planning!$AD$8:$AD$81</c:f>
            </c:numRef>
          </c:val>
          <c:extLst>
            <c:ext xmlns:c16="http://schemas.microsoft.com/office/drawing/2014/chart" uri="{C3380CC4-5D6E-409C-BE32-E72D297353CC}">
              <c16:uniqueId val="{00000014-DF91-4AB9-9C7E-758287A34BD5}"/>
            </c:ext>
          </c:extLst>
        </c:ser>
        <c:ser>
          <c:idx val="30"/>
          <c:order val="21"/>
          <c:tx>
            <c:strRef>
              <c:f>Planning!$AF$7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Planning!$AF$8:$AF$81</c:f>
            </c:numRef>
          </c:val>
          <c:extLst>
            <c:ext xmlns:c16="http://schemas.microsoft.com/office/drawing/2014/chart" uri="{C3380CC4-5D6E-409C-BE32-E72D297353CC}">
              <c16:uniqueId val="{00000015-DF91-4AB9-9C7E-758287A34BD5}"/>
            </c:ext>
          </c:extLst>
        </c:ser>
        <c:ser>
          <c:idx val="31"/>
          <c:order val="22"/>
          <c:tx>
            <c:strRef>
              <c:f>Planning!$AG$7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Planning!$AG$8:$AG$81</c:f>
            </c:numRef>
          </c:val>
          <c:extLst>
            <c:ext xmlns:c16="http://schemas.microsoft.com/office/drawing/2014/chart" uri="{C3380CC4-5D6E-409C-BE32-E72D297353CC}">
              <c16:uniqueId val="{00000016-DF91-4AB9-9C7E-758287A34BD5}"/>
            </c:ext>
          </c:extLst>
        </c:ser>
        <c:ser>
          <c:idx val="32"/>
          <c:order val="23"/>
          <c:tx>
            <c:strRef>
              <c:f>Planning!$AH$7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Planning!$AH$8:$AH$81</c:f>
            </c:numRef>
          </c:val>
          <c:extLst>
            <c:ext xmlns:c16="http://schemas.microsoft.com/office/drawing/2014/chart" uri="{C3380CC4-5D6E-409C-BE32-E72D297353CC}">
              <c16:uniqueId val="{00000017-DF91-4AB9-9C7E-758287A34BD5}"/>
            </c:ext>
          </c:extLst>
        </c:ser>
        <c:ser>
          <c:idx val="34"/>
          <c:order val="24"/>
          <c:tx>
            <c:strRef>
              <c:f>Planning!$AJ$7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Planning!$AJ$8:$AJ$81</c:f>
            </c:numRef>
          </c:val>
          <c:extLst>
            <c:ext xmlns:c16="http://schemas.microsoft.com/office/drawing/2014/chart" uri="{C3380CC4-5D6E-409C-BE32-E72D297353CC}">
              <c16:uniqueId val="{00000018-DF91-4AB9-9C7E-758287A34BD5}"/>
            </c:ext>
          </c:extLst>
        </c:ser>
        <c:ser>
          <c:idx val="35"/>
          <c:order val="25"/>
          <c:tx>
            <c:strRef>
              <c:f>Planning!$AK$7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Planning!$AK$8:$AK$81</c:f>
            </c:numRef>
          </c:val>
          <c:extLst>
            <c:ext xmlns:c16="http://schemas.microsoft.com/office/drawing/2014/chart" uri="{C3380CC4-5D6E-409C-BE32-E72D297353CC}">
              <c16:uniqueId val="{00000019-DF91-4AB9-9C7E-758287A34BD5}"/>
            </c:ext>
          </c:extLst>
        </c:ser>
        <c:ser>
          <c:idx val="36"/>
          <c:order val="26"/>
          <c:tx>
            <c:strRef>
              <c:f>Planning!$AL$7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Planning!$AL$8:$AL$81</c:f>
            </c:numRef>
          </c:val>
          <c:extLst>
            <c:ext xmlns:c16="http://schemas.microsoft.com/office/drawing/2014/chart" uri="{C3380CC4-5D6E-409C-BE32-E72D297353CC}">
              <c16:uniqueId val="{0000001A-DF91-4AB9-9C7E-758287A34BD5}"/>
            </c:ext>
          </c:extLst>
        </c:ser>
        <c:ser>
          <c:idx val="38"/>
          <c:order val="27"/>
          <c:tx>
            <c:strRef>
              <c:f>Planning!$AN$7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Planning!$AN$8:$AN$81</c:f>
            </c:numRef>
          </c:val>
          <c:extLst>
            <c:ext xmlns:c16="http://schemas.microsoft.com/office/drawing/2014/chart" uri="{C3380CC4-5D6E-409C-BE32-E72D297353CC}">
              <c16:uniqueId val="{0000001B-DF91-4AB9-9C7E-758287A34BD5}"/>
            </c:ext>
          </c:extLst>
        </c:ser>
        <c:ser>
          <c:idx val="39"/>
          <c:order val="28"/>
          <c:tx>
            <c:strRef>
              <c:f>Planning!$AO$7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Planning!$AO$8:$AO$81</c:f>
            </c:numRef>
          </c:val>
          <c:extLst>
            <c:ext xmlns:c16="http://schemas.microsoft.com/office/drawing/2014/chart" uri="{C3380CC4-5D6E-409C-BE32-E72D297353CC}">
              <c16:uniqueId val="{0000001C-DF91-4AB9-9C7E-758287A34BD5}"/>
            </c:ext>
          </c:extLst>
        </c:ser>
        <c:ser>
          <c:idx val="40"/>
          <c:order val="29"/>
          <c:tx>
            <c:strRef>
              <c:f>Planning!$AP$7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Planning!$AP$8:$AP$81</c:f>
            </c:numRef>
          </c:val>
          <c:extLst>
            <c:ext xmlns:c16="http://schemas.microsoft.com/office/drawing/2014/chart" uri="{C3380CC4-5D6E-409C-BE32-E72D297353CC}">
              <c16:uniqueId val="{0000001D-DF91-4AB9-9C7E-758287A34BD5}"/>
            </c:ext>
          </c:extLst>
        </c:ser>
        <c:ser>
          <c:idx val="42"/>
          <c:order val="30"/>
          <c:tx>
            <c:strRef>
              <c:f>Planning!$AR$7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Planning!$AR$8:$AR$81</c:f>
            </c:numRef>
          </c:val>
          <c:extLst>
            <c:ext xmlns:c16="http://schemas.microsoft.com/office/drawing/2014/chart" uri="{C3380CC4-5D6E-409C-BE32-E72D297353CC}">
              <c16:uniqueId val="{0000001E-DF91-4AB9-9C7E-758287A34BD5}"/>
            </c:ext>
          </c:extLst>
        </c:ser>
        <c:ser>
          <c:idx val="43"/>
          <c:order val="31"/>
          <c:tx>
            <c:strRef>
              <c:f>Planning!$AS$7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Planning!$AS$8:$AS$81</c:f>
            </c:numRef>
          </c:val>
          <c:extLst>
            <c:ext xmlns:c16="http://schemas.microsoft.com/office/drawing/2014/chart" uri="{C3380CC4-5D6E-409C-BE32-E72D297353CC}">
              <c16:uniqueId val="{0000001F-DF91-4AB9-9C7E-758287A34BD5}"/>
            </c:ext>
          </c:extLst>
        </c:ser>
        <c:ser>
          <c:idx val="44"/>
          <c:order val="32"/>
          <c:tx>
            <c:strRef>
              <c:f>Planning!$AT$7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Planning!$AT$8:$AT$81</c:f>
            </c:numRef>
          </c:val>
          <c:extLst>
            <c:ext xmlns:c16="http://schemas.microsoft.com/office/drawing/2014/chart" uri="{C3380CC4-5D6E-409C-BE32-E72D297353CC}">
              <c16:uniqueId val="{00000020-DF91-4AB9-9C7E-758287A34BD5}"/>
            </c:ext>
          </c:extLst>
        </c:ser>
        <c:ser>
          <c:idx val="46"/>
          <c:order val="33"/>
          <c:tx>
            <c:strRef>
              <c:f>Planning!$AV$7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Planning!$AV$8:$AV$81</c:f>
            </c:numRef>
          </c:val>
          <c:extLst>
            <c:ext xmlns:c16="http://schemas.microsoft.com/office/drawing/2014/chart" uri="{C3380CC4-5D6E-409C-BE32-E72D297353CC}">
              <c16:uniqueId val="{00000021-DF91-4AB9-9C7E-758287A34BD5}"/>
            </c:ext>
          </c:extLst>
        </c:ser>
        <c:ser>
          <c:idx val="47"/>
          <c:order val="34"/>
          <c:tx>
            <c:strRef>
              <c:f>Planning!$AW$7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Planning!$AW$8:$AW$81</c:f>
            </c:numRef>
          </c:val>
          <c:extLst>
            <c:ext xmlns:c16="http://schemas.microsoft.com/office/drawing/2014/chart" uri="{C3380CC4-5D6E-409C-BE32-E72D297353CC}">
              <c16:uniqueId val="{00000022-DF91-4AB9-9C7E-758287A34BD5}"/>
            </c:ext>
          </c:extLst>
        </c:ser>
        <c:ser>
          <c:idx val="48"/>
          <c:order val="35"/>
          <c:tx>
            <c:strRef>
              <c:f>Planning!$AX$7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Planning!$AX$8:$AX$81</c:f>
            </c:numRef>
          </c:val>
          <c:extLst>
            <c:ext xmlns:c16="http://schemas.microsoft.com/office/drawing/2014/chart" uri="{C3380CC4-5D6E-409C-BE32-E72D297353CC}">
              <c16:uniqueId val="{00000023-DF91-4AB9-9C7E-758287A34BD5}"/>
            </c:ext>
          </c:extLst>
        </c:ser>
        <c:ser>
          <c:idx val="50"/>
          <c:order val="36"/>
          <c:tx>
            <c:strRef>
              <c:f>Planning!$AZ$7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Planning!$AZ$8:$AZ$81</c:f>
            </c:numRef>
          </c:val>
          <c:extLst>
            <c:ext xmlns:c16="http://schemas.microsoft.com/office/drawing/2014/chart" uri="{C3380CC4-5D6E-409C-BE32-E72D297353CC}">
              <c16:uniqueId val="{00000024-DF91-4AB9-9C7E-758287A34BD5}"/>
            </c:ext>
          </c:extLst>
        </c:ser>
        <c:ser>
          <c:idx val="51"/>
          <c:order val="37"/>
          <c:tx>
            <c:strRef>
              <c:f>Planning!$BA$7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Planning!$BA$8:$BA$81</c:f>
            </c:numRef>
          </c:val>
          <c:extLst>
            <c:ext xmlns:c16="http://schemas.microsoft.com/office/drawing/2014/chart" uri="{C3380CC4-5D6E-409C-BE32-E72D297353CC}">
              <c16:uniqueId val="{00000025-DF91-4AB9-9C7E-758287A34BD5}"/>
            </c:ext>
          </c:extLst>
        </c:ser>
        <c:ser>
          <c:idx val="52"/>
          <c:order val="38"/>
          <c:tx>
            <c:strRef>
              <c:f>Planning!$BB$7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Planning!$BB$8:$BB$81</c:f>
            </c:numRef>
          </c:val>
          <c:extLst>
            <c:ext xmlns:c16="http://schemas.microsoft.com/office/drawing/2014/chart" uri="{C3380CC4-5D6E-409C-BE32-E72D297353CC}">
              <c16:uniqueId val="{00000026-DF91-4AB9-9C7E-758287A34BD5}"/>
            </c:ext>
          </c:extLst>
        </c:ser>
        <c:ser>
          <c:idx val="54"/>
          <c:order val="39"/>
          <c:tx>
            <c:strRef>
              <c:f>Planning!$BD$7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Planning!$BD$8:$BD$81</c:f>
            </c:numRef>
          </c:val>
          <c:extLst>
            <c:ext xmlns:c16="http://schemas.microsoft.com/office/drawing/2014/chart" uri="{C3380CC4-5D6E-409C-BE32-E72D297353CC}">
              <c16:uniqueId val="{00000027-DF91-4AB9-9C7E-758287A34BD5}"/>
            </c:ext>
          </c:extLst>
        </c:ser>
        <c:ser>
          <c:idx val="55"/>
          <c:order val="40"/>
          <c:tx>
            <c:strRef>
              <c:f>Planning!$BE$7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Planning!$BE$8:$BE$81</c:f>
            </c:numRef>
          </c:val>
          <c:extLst>
            <c:ext xmlns:c16="http://schemas.microsoft.com/office/drawing/2014/chart" uri="{C3380CC4-5D6E-409C-BE32-E72D297353CC}">
              <c16:uniqueId val="{00000028-DF91-4AB9-9C7E-758287A34BD5}"/>
            </c:ext>
          </c:extLst>
        </c:ser>
        <c:ser>
          <c:idx val="56"/>
          <c:order val="41"/>
          <c:tx>
            <c:strRef>
              <c:f>Planning!$BF$7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Planning!$BF$8:$BF$81</c:f>
            </c:numRef>
          </c:val>
          <c:extLst>
            <c:ext xmlns:c16="http://schemas.microsoft.com/office/drawing/2014/chart" uri="{C3380CC4-5D6E-409C-BE32-E72D297353CC}">
              <c16:uniqueId val="{00000029-DF91-4AB9-9C7E-758287A34BD5}"/>
            </c:ext>
          </c:extLst>
        </c:ser>
        <c:ser>
          <c:idx val="0"/>
          <c:order val="42"/>
          <c:tx>
            <c:strRef>
              <c:f>Planning!$A$79</c:f>
              <c:strCache>
                <c:ptCount val="1"/>
                <c:pt idx="0">
                  <c:v>Total de la charge de travail pour les services communaux (jours)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Planning!$C$79:$BC$79</c:f>
              <c:numCache>
                <c:formatCode>_ * #,##0.00_ ;_ * \-#,##0.00_ ;_ * "-"??_ ;_ @_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A-DF91-4AB9-9C7E-758287A34BD5}"/>
            </c:ext>
          </c:extLst>
        </c:ser>
        <c:dLbls>
          <c:showLegendKey val="0"/>
          <c:showVal val="0"/>
          <c:showCatName val="0"/>
          <c:showSerName val="0"/>
          <c:showPercent val="0"/>
          <c:showBubbleSize val="0"/>
        </c:dLbls>
        <c:gapWidth val="150"/>
        <c:axId val="1869244751"/>
        <c:axId val="1"/>
      </c:barChart>
      <c:catAx>
        <c:axId val="186924475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fr-BE"/>
                  <a:t>Jours</a:t>
                </a:r>
              </a:p>
            </c:rich>
          </c:tx>
          <c:overlay val="0"/>
        </c:title>
        <c:numFmt formatCode="_ * #,##0.00_ ;_ * \-#,##0.00_ ;_ * &quot;-&quot;??_ ;_ @_ "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869244751"/>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r-BE"/>
              <a:t>Dépenses et gains financiers</a:t>
            </a:r>
          </a:p>
        </c:rich>
      </c:tx>
      <c:overlay val="0"/>
    </c:title>
    <c:autoTitleDeleted val="0"/>
    <c:plotArea>
      <c:layout/>
      <c:barChart>
        <c:barDir val="col"/>
        <c:grouping val="clustered"/>
        <c:varyColors val="0"/>
        <c:ser>
          <c:idx val="2"/>
          <c:order val="0"/>
          <c:tx>
            <c:strRef>
              <c:f>Planning!$D$7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Planning!$D$8:$D$81</c:f>
            </c:numRef>
          </c:val>
          <c:extLst>
            <c:ext xmlns:c16="http://schemas.microsoft.com/office/drawing/2014/chart" uri="{C3380CC4-5D6E-409C-BE32-E72D297353CC}">
              <c16:uniqueId val="{00000000-F2B9-4962-B885-6971202C6535}"/>
            </c:ext>
          </c:extLst>
        </c:ser>
        <c:ser>
          <c:idx val="3"/>
          <c:order val="1"/>
          <c:tx>
            <c:strRef>
              <c:f>Planning!$E$7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Planning!$E$8:$E$81</c:f>
            </c:numRef>
          </c:val>
          <c:extLst>
            <c:ext xmlns:c16="http://schemas.microsoft.com/office/drawing/2014/chart" uri="{C3380CC4-5D6E-409C-BE32-E72D297353CC}">
              <c16:uniqueId val="{00000001-F2B9-4962-B885-6971202C6535}"/>
            </c:ext>
          </c:extLst>
        </c:ser>
        <c:ser>
          <c:idx val="4"/>
          <c:order val="2"/>
          <c:tx>
            <c:strRef>
              <c:f>Planning!$F$7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Planning!$F$8:$F$81</c:f>
            </c:numRef>
          </c:val>
          <c:extLst>
            <c:ext xmlns:c16="http://schemas.microsoft.com/office/drawing/2014/chart" uri="{C3380CC4-5D6E-409C-BE32-E72D297353CC}">
              <c16:uniqueId val="{00000002-F2B9-4962-B885-6971202C6535}"/>
            </c:ext>
          </c:extLst>
        </c:ser>
        <c:ser>
          <c:idx val="6"/>
          <c:order val="3"/>
          <c:tx>
            <c:strRef>
              <c:f>Planning!$H$7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Planning!$H$8:$H$81</c:f>
            </c:numRef>
          </c:val>
          <c:extLst>
            <c:ext xmlns:c16="http://schemas.microsoft.com/office/drawing/2014/chart" uri="{C3380CC4-5D6E-409C-BE32-E72D297353CC}">
              <c16:uniqueId val="{00000003-F2B9-4962-B885-6971202C6535}"/>
            </c:ext>
          </c:extLst>
        </c:ser>
        <c:ser>
          <c:idx val="7"/>
          <c:order val="4"/>
          <c:tx>
            <c:strRef>
              <c:f>Planning!$I$7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Planning!$I$8:$I$81</c:f>
            </c:numRef>
          </c:val>
          <c:extLst>
            <c:ext xmlns:c16="http://schemas.microsoft.com/office/drawing/2014/chart" uri="{C3380CC4-5D6E-409C-BE32-E72D297353CC}">
              <c16:uniqueId val="{00000004-F2B9-4962-B885-6971202C6535}"/>
            </c:ext>
          </c:extLst>
        </c:ser>
        <c:ser>
          <c:idx val="8"/>
          <c:order val="5"/>
          <c:tx>
            <c:strRef>
              <c:f>Planning!$J$7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Planning!$J$8:$J$81</c:f>
            </c:numRef>
          </c:val>
          <c:extLst>
            <c:ext xmlns:c16="http://schemas.microsoft.com/office/drawing/2014/chart" uri="{C3380CC4-5D6E-409C-BE32-E72D297353CC}">
              <c16:uniqueId val="{00000005-F2B9-4962-B885-6971202C6535}"/>
            </c:ext>
          </c:extLst>
        </c:ser>
        <c:ser>
          <c:idx val="10"/>
          <c:order val="6"/>
          <c:tx>
            <c:strRef>
              <c:f>Planning!$L$7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Planning!$L$8:$L$81</c:f>
            </c:numRef>
          </c:val>
          <c:extLst>
            <c:ext xmlns:c16="http://schemas.microsoft.com/office/drawing/2014/chart" uri="{C3380CC4-5D6E-409C-BE32-E72D297353CC}">
              <c16:uniqueId val="{00000006-F2B9-4962-B885-6971202C6535}"/>
            </c:ext>
          </c:extLst>
        </c:ser>
        <c:ser>
          <c:idx val="11"/>
          <c:order val="7"/>
          <c:tx>
            <c:strRef>
              <c:f>Planning!$M$7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Planning!$M$8:$M$81</c:f>
            </c:numRef>
          </c:val>
          <c:extLst>
            <c:ext xmlns:c16="http://schemas.microsoft.com/office/drawing/2014/chart" uri="{C3380CC4-5D6E-409C-BE32-E72D297353CC}">
              <c16:uniqueId val="{00000007-F2B9-4962-B885-6971202C6535}"/>
            </c:ext>
          </c:extLst>
        </c:ser>
        <c:ser>
          <c:idx val="12"/>
          <c:order val="8"/>
          <c:tx>
            <c:strRef>
              <c:f>Planning!$N$7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Planning!$N$8:$N$81</c:f>
            </c:numRef>
          </c:val>
          <c:extLst>
            <c:ext xmlns:c16="http://schemas.microsoft.com/office/drawing/2014/chart" uri="{C3380CC4-5D6E-409C-BE32-E72D297353CC}">
              <c16:uniqueId val="{00000008-F2B9-4962-B885-6971202C6535}"/>
            </c:ext>
          </c:extLst>
        </c:ser>
        <c:ser>
          <c:idx val="14"/>
          <c:order val="9"/>
          <c:tx>
            <c:strRef>
              <c:f>Planning!$P$7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Planning!$P$8:$P$81</c:f>
            </c:numRef>
          </c:val>
          <c:extLst>
            <c:ext xmlns:c16="http://schemas.microsoft.com/office/drawing/2014/chart" uri="{C3380CC4-5D6E-409C-BE32-E72D297353CC}">
              <c16:uniqueId val="{00000009-F2B9-4962-B885-6971202C6535}"/>
            </c:ext>
          </c:extLst>
        </c:ser>
        <c:ser>
          <c:idx val="15"/>
          <c:order val="10"/>
          <c:tx>
            <c:strRef>
              <c:f>Planning!$Q$7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Planning!$Q$8:$Q$81</c:f>
            </c:numRef>
          </c:val>
          <c:extLst>
            <c:ext xmlns:c16="http://schemas.microsoft.com/office/drawing/2014/chart" uri="{C3380CC4-5D6E-409C-BE32-E72D297353CC}">
              <c16:uniqueId val="{0000000A-F2B9-4962-B885-6971202C6535}"/>
            </c:ext>
          </c:extLst>
        </c:ser>
        <c:ser>
          <c:idx val="16"/>
          <c:order val="11"/>
          <c:tx>
            <c:strRef>
              <c:f>Planning!$R$7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Planning!$R$8:$R$81</c:f>
            </c:numRef>
          </c:val>
          <c:extLst>
            <c:ext xmlns:c16="http://schemas.microsoft.com/office/drawing/2014/chart" uri="{C3380CC4-5D6E-409C-BE32-E72D297353CC}">
              <c16:uniqueId val="{0000000B-F2B9-4962-B885-6971202C6535}"/>
            </c:ext>
          </c:extLst>
        </c:ser>
        <c:ser>
          <c:idx val="18"/>
          <c:order val="12"/>
          <c:tx>
            <c:strRef>
              <c:f>Planning!$T$7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Planning!$T$8:$T$81</c:f>
            </c:numRef>
          </c:val>
          <c:extLst>
            <c:ext xmlns:c16="http://schemas.microsoft.com/office/drawing/2014/chart" uri="{C3380CC4-5D6E-409C-BE32-E72D297353CC}">
              <c16:uniqueId val="{0000000C-F2B9-4962-B885-6971202C6535}"/>
            </c:ext>
          </c:extLst>
        </c:ser>
        <c:ser>
          <c:idx val="19"/>
          <c:order val="13"/>
          <c:tx>
            <c:strRef>
              <c:f>Planning!$U$7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Planning!$U$8:$U$81</c:f>
            </c:numRef>
          </c:val>
          <c:extLst>
            <c:ext xmlns:c16="http://schemas.microsoft.com/office/drawing/2014/chart" uri="{C3380CC4-5D6E-409C-BE32-E72D297353CC}">
              <c16:uniqueId val="{0000000D-F2B9-4962-B885-6971202C6535}"/>
            </c:ext>
          </c:extLst>
        </c:ser>
        <c:ser>
          <c:idx val="20"/>
          <c:order val="14"/>
          <c:tx>
            <c:strRef>
              <c:f>Planning!$V$7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Planning!$V$8:$V$81</c:f>
            </c:numRef>
          </c:val>
          <c:extLst>
            <c:ext xmlns:c16="http://schemas.microsoft.com/office/drawing/2014/chart" uri="{C3380CC4-5D6E-409C-BE32-E72D297353CC}">
              <c16:uniqueId val="{0000000E-F2B9-4962-B885-6971202C6535}"/>
            </c:ext>
          </c:extLst>
        </c:ser>
        <c:ser>
          <c:idx val="22"/>
          <c:order val="15"/>
          <c:tx>
            <c:strRef>
              <c:f>Planning!$X$7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Planning!$X$8:$X$81</c:f>
            </c:numRef>
          </c:val>
          <c:extLst>
            <c:ext xmlns:c16="http://schemas.microsoft.com/office/drawing/2014/chart" uri="{C3380CC4-5D6E-409C-BE32-E72D297353CC}">
              <c16:uniqueId val="{0000000F-F2B9-4962-B885-6971202C6535}"/>
            </c:ext>
          </c:extLst>
        </c:ser>
        <c:ser>
          <c:idx val="23"/>
          <c:order val="16"/>
          <c:tx>
            <c:strRef>
              <c:f>Planning!$Y$7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Planning!$Y$8:$Y$81</c:f>
            </c:numRef>
          </c:val>
          <c:extLst>
            <c:ext xmlns:c16="http://schemas.microsoft.com/office/drawing/2014/chart" uri="{C3380CC4-5D6E-409C-BE32-E72D297353CC}">
              <c16:uniqueId val="{00000010-F2B9-4962-B885-6971202C6535}"/>
            </c:ext>
          </c:extLst>
        </c:ser>
        <c:ser>
          <c:idx val="24"/>
          <c:order val="17"/>
          <c:tx>
            <c:strRef>
              <c:f>Planning!$Z$7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Planning!$Z$8:$Z$81</c:f>
            </c:numRef>
          </c:val>
          <c:extLst>
            <c:ext xmlns:c16="http://schemas.microsoft.com/office/drawing/2014/chart" uri="{C3380CC4-5D6E-409C-BE32-E72D297353CC}">
              <c16:uniqueId val="{00000011-F2B9-4962-B885-6971202C6535}"/>
            </c:ext>
          </c:extLst>
        </c:ser>
        <c:ser>
          <c:idx val="26"/>
          <c:order val="18"/>
          <c:tx>
            <c:strRef>
              <c:f>Planning!$AB$7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Planning!$AB$8:$AB$81</c:f>
            </c:numRef>
          </c:val>
          <c:extLst>
            <c:ext xmlns:c16="http://schemas.microsoft.com/office/drawing/2014/chart" uri="{C3380CC4-5D6E-409C-BE32-E72D297353CC}">
              <c16:uniqueId val="{00000012-F2B9-4962-B885-6971202C6535}"/>
            </c:ext>
          </c:extLst>
        </c:ser>
        <c:ser>
          <c:idx val="27"/>
          <c:order val="19"/>
          <c:tx>
            <c:strRef>
              <c:f>Planning!$AC$7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Planning!$AC$8:$AC$81</c:f>
            </c:numRef>
          </c:val>
          <c:extLst>
            <c:ext xmlns:c16="http://schemas.microsoft.com/office/drawing/2014/chart" uri="{C3380CC4-5D6E-409C-BE32-E72D297353CC}">
              <c16:uniqueId val="{00000013-F2B9-4962-B885-6971202C6535}"/>
            </c:ext>
          </c:extLst>
        </c:ser>
        <c:ser>
          <c:idx val="28"/>
          <c:order val="20"/>
          <c:tx>
            <c:strRef>
              <c:f>Planning!$AD$7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Planning!$AD$8:$AD$81</c:f>
            </c:numRef>
          </c:val>
          <c:extLst>
            <c:ext xmlns:c16="http://schemas.microsoft.com/office/drawing/2014/chart" uri="{C3380CC4-5D6E-409C-BE32-E72D297353CC}">
              <c16:uniqueId val="{00000014-F2B9-4962-B885-6971202C6535}"/>
            </c:ext>
          </c:extLst>
        </c:ser>
        <c:ser>
          <c:idx val="30"/>
          <c:order val="21"/>
          <c:tx>
            <c:strRef>
              <c:f>Planning!$AF$7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Planning!$AF$8:$AF$81</c:f>
            </c:numRef>
          </c:val>
          <c:extLst>
            <c:ext xmlns:c16="http://schemas.microsoft.com/office/drawing/2014/chart" uri="{C3380CC4-5D6E-409C-BE32-E72D297353CC}">
              <c16:uniqueId val="{00000015-F2B9-4962-B885-6971202C6535}"/>
            </c:ext>
          </c:extLst>
        </c:ser>
        <c:ser>
          <c:idx val="31"/>
          <c:order val="22"/>
          <c:tx>
            <c:strRef>
              <c:f>Planning!$AG$7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Planning!$AG$8:$AG$81</c:f>
            </c:numRef>
          </c:val>
          <c:extLst>
            <c:ext xmlns:c16="http://schemas.microsoft.com/office/drawing/2014/chart" uri="{C3380CC4-5D6E-409C-BE32-E72D297353CC}">
              <c16:uniqueId val="{00000016-F2B9-4962-B885-6971202C6535}"/>
            </c:ext>
          </c:extLst>
        </c:ser>
        <c:ser>
          <c:idx val="32"/>
          <c:order val="23"/>
          <c:tx>
            <c:strRef>
              <c:f>Planning!$AH$7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Planning!$AH$8:$AH$81</c:f>
            </c:numRef>
          </c:val>
          <c:extLst>
            <c:ext xmlns:c16="http://schemas.microsoft.com/office/drawing/2014/chart" uri="{C3380CC4-5D6E-409C-BE32-E72D297353CC}">
              <c16:uniqueId val="{00000017-F2B9-4962-B885-6971202C6535}"/>
            </c:ext>
          </c:extLst>
        </c:ser>
        <c:ser>
          <c:idx val="34"/>
          <c:order val="24"/>
          <c:tx>
            <c:strRef>
              <c:f>Planning!$AJ$7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Planning!$AJ$8:$AJ$81</c:f>
            </c:numRef>
          </c:val>
          <c:extLst>
            <c:ext xmlns:c16="http://schemas.microsoft.com/office/drawing/2014/chart" uri="{C3380CC4-5D6E-409C-BE32-E72D297353CC}">
              <c16:uniqueId val="{00000018-F2B9-4962-B885-6971202C6535}"/>
            </c:ext>
          </c:extLst>
        </c:ser>
        <c:ser>
          <c:idx val="35"/>
          <c:order val="25"/>
          <c:tx>
            <c:strRef>
              <c:f>Planning!$AK$7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Planning!$AK$8:$AK$81</c:f>
            </c:numRef>
          </c:val>
          <c:extLst>
            <c:ext xmlns:c16="http://schemas.microsoft.com/office/drawing/2014/chart" uri="{C3380CC4-5D6E-409C-BE32-E72D297353CC}">
              <c16:uniqueId val="{00000019-F2B9-4962-B885-6971202C6535}"/>
            </c:ext>
          </c:extLst>
        </c:ser>
        <c:ser>
          <c:idx val="36"/>
          <c:order val="26"/>
          <c:tx>
            <c:strRef>
              <c:f>Planning!$AL$7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Planning!$AL$8:$AL$81</c:f>
            </c:numRef>
          </c:val>
          <c:extLst>
            <c:ext xmlns:c16="http://schemas.microsoft.com/office/drawing/2014/chart" uri="{C3380CC4-5D6E-409C-BE32-E72D297353CC}">
              <c16:uniqueId val="{0000001A-F2B9-4962-B885-6971202C6535}"/>
            </c:ext>
          </c:extLst>
        </c:ser>
        <c:ser>
          <c:idx val="38"/>
          <c:order val="27"/>
          <c:tx>
            <c:strRef>
              <c:f>Planning!$AN$7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Planning!$AN$8:$AN$81</c:f>
            </c:numRef>
          </c:val>
          <c:extLst>
            <c:ext xmlns:c16="http://schemas.microsoft.com/office/drawing/2014/chart" uri="{C3380CC4-5D6E-409C-BE32-E72D297353CC}">
              <c16:uniqueId val="{0000001B-F2B9-4962-B885-6971202C6535}"/>
            </c:ext>
          </c:extLst>
        </c:ser>
        <c:ser>
          <c:idx val="39"/>
          <c:order val="28"/>
          <c:tx>
            <c:strRef>
              <c:f>Planning!$AO$7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Planning!$AO$8:$AO$81</c:f>
            </c:numRef>
          </c:val>
          <c:extLst>
            <c:ext xmlns:c16="http://schemas.microsoft.com/office/drawing/2014/chart" uri="{C3380CC4-5D6E-409C-BE32-E72D297353CC}">
              <c16:uniqueId val="{0000001C-F2B9-4962-B885-6971202C6535}"/>
            </c:ext>
          </c:extLst>
        </c:ser>
        <c:ser>
          <c:idx val="40"/>
          <c:order val="29"/>
          <c:tx>
            <c:strRef>
              <c:f>Planning!$AP$7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Planning!$AP$8:$AP$81</c:f>
            </c:numRef>
          </c:val>
          <c:extLst>
            <c:ext xmlns:c16="http://schemas.microsoft.com/office/drawing/2014/chart" uri="{C3380CC4-5D6E-409C-BE32-E72D297353CC}">
              <c16:uniqueId val="{0000001D-F2B9-4962-B885-6971202C6535}"/>
            </c:ext>
          </c:extLst>
        </c:ser>
        <c:ser>
          <c:idx val="42"/>
          <c:order val="30"/>
          <c:tx>
            <c:strRef>
              <c:f>Planning!$AR$7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Planning!$AR$8:$AR$81</c:f>
            </c:numRef>
          </c:val>
          <c:extLst>
            <c:ext xmlns:c16="http://schemas.microsoft.com/office/drawing/2014/chart" uri="{C3380CC4-5D6E-409C-BE32-E72D297353CC}">
              <c16:uniqueId val="{0000001E-F2B9-4962-B885-6971202C6535}"/>
            </c:ext>
          </c:extLst>
        </c:ser>
        <c:ser>
          <c:idx val="43"/>
          <c:order val="31"/>
          <c:tx>
            <c:strRef>
              <c:f>Planning!$AS$7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Planning!$AS$8:$AS$81</c:f>
            </c:numRef>
          </c:val>
          <c:extLst>
            <c:ext xmlns:c16="http://schemas.microsoft.com/office/drawing/2014/chart" uri="{C3380CC4-5D6E-409C-BE32-E72D297353CC}">
              <c16:uniqueId val="{0000001F-F2B9-4962-B885-6971202C6535}"/>
            </c:ext>
          </c:extLst>
        </c:ser>
        <c:ser>
          <c:idx val="44"/>
          <c:order val="32"/>
          <c:tx>
            <c:strRef>
              <c:f>Planning!$AT$7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Planning!$AT$8:$AT$81</c:f>
            </c:numRef>
          </c:val>
          <c:extLst>
            <c:ext xmlns:c16="http://schemas.microsoft.com/office/drawing/2014/chart" uri="{C3380CC4-5D6E-409C-BE32-E72D297353CC}">
              <c16:uniqueId val="{00000020-F2B9-4962-B885-6971202C6535}"/>
            </c:ext>
          </c:extLst>
        </c:ser>
        <c:ser>
          <c:idx val="46"/>
          <c:order val="33"/>
          <c:tx>
            <c:strRef>
              <c:f>Planning!$AV$7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Planning!$AV$8:$AV$81</c:f>
            </c:numRef>
          </c:val>
          <c:extLst>
            <c:ext xmlns:c16="http://schemas.microsoft.com/office/drawing/2014/chart" uri="{C3380CC4-5D6E-409C-BE32-E72D297353CC}">
              <c16:uniqueId val="{00000021-F2B9-4962-B885-6971202C6535}"/>
            </c:ext>
          </c:extLst>
        </c:ser>
        <c:ser>
          <c:idx val="47"/>
          <c:order val="34"/>
          <c:tx>
            <c:strRef>
              <c:f>Planning!$AW$7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Planning!$AW$8:$AW$81</c:f>
            </c:numRef>
          </c:val>
          <c:extLst>
            <c:ext xmlns:c16="http://schemas.microsoft.com/office/drawing/2014/chart" uri="{C3380CC4-5D6E-409C-BE32-E72D297353CC}">
              <c16:uniqueId val="{00000022-F2B9-4962-B885-6971202C6535}"/>
            </c:ext>
          </c:extLst>
        </c:ser>
        <c:ser>
          <c:idx val="48"/>
          <c:order val="35"/>
          <c:tx>
            <c:strRef>
              <c:f>Planning!$AX$7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Planning!$AX$8:$AX$81</c:f>
            </c:numRef>
          </c:val>
          <c:extLst>
            <c:ext xmlns:c16="http://schemas.microsoft.com/office/drawing/2014/chart" uri="{C3380CC4-5D6E-409C-BE32-E72D297353CC}">
              <c16:uniqueId val="{00000023-F2B9-4962-B885-6971202C6535}"/>
            </c:ext>
          </c:extLst>
        </c:ser>
        <c:ser>
          <c:idx val="50"/>
          <c:order val="36"/>
          <c:tx>
            <c:strRef>
              <c:f>Planning!$AZ$7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Planning!$AZ$8:$AZ$81</c:f>
            </c:numRef>
          </c:val>
          <c:extLst>
            <c:ext xmlns:c16="http://schemas.microsoft.com/office/drawing/2014/chart" uri="{C3380CC4-5D6E-409C-BE32-E72D297353CC}">
              <c16:uniqueId val="{00000024-F2B9-4962-B885-6971202C6535}"/>
            </c:ext>
          </c:extLst>
        </c:ser>
        <c:ser>
          <c:idx val="51"/>
          <c:order val="37"/>
          <c:tx>
            <c:strRef>
              <c:f>Planning!$BA$7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Planning!$BA$8:$BA$81</c:f>
            </c:numRef>
          </c:val>
          <c:extLst>
            <c:ext xmlns:c16="http://schemas.microsoft.com/office/drawing/2014/chart" uri="{C3380CC4-5D6E-409C-BE32-E72D297353CC}">
              <c16:uniqueId val="{00000025-F2B9-4962-B885-6971202C6535}"/>
            </c:ext>
          </c:extLst>
        </c:ser>
        <c:ser>
          <c:idx val="52"/>
          <c:order val="38"/>
          <c:tx>
            <c:strRef>
              <c:f>Planning!$BB$7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Planning!$BB$8:$BB$81</c:f>
            </c:numRef>
          </c:val>
          <c:extLst>
            <c:ext xmlns:c16="http://schemas.microsoft.com/office/drawing/2014/chart" uri="{C3380CC4-5D6E-409C-BE32-E72D297353CC}">
              <c16:uniqueId val="{00000026-F2B9-4962-B885-6971202C6535}"/>
            </c:ext>
          </c:extLst>
        </c:ser>
        <c:ser>
          <c:idx val="54"/>
          <c:order val="39"/>
          <c:tx>
            <c:strRef>
              <c:f>Planning!$BD$7</c:f>
              <c:strCache>
                <c:ptCount val="1"/>
                <c:pt idx="0">
                  <c:v>JH</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Planning!$BD$8:$BD$81</c:f>
            </c:numRef>
          </c:val>
          <c:extLst>
            <c:ext xmlns:c16="http://schemas.microsoft.com/office/drawing/2014/chart" uri="{C3380CC4-5D6E-409C-BE32-E72D297353CC}">
              <c16:uniqueId val="{00000027-F2B9-4962-B885-6971202C6535}"/>
            </c:ext>
          </c:extLst>
        </c:ser>
        <c:ser>
          <c:idx val="55"/>
          <c:order val="40"/>
          <c:tx>
            <c:strRef>
              <c:f>Planning!$BE$7</c:f>
              <c:strCache>
                <c:ptCount val="1"/>
                <c:pt idx="0">
                  <c:v>Dépense</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Planning!$BE$8:$BE$81</c:f>
            </c:numRef>
          </c:val>
          <c:extLst>
            <c:ext xmlns:c16="http://schemas.microsoft.com/office/drawing/2014/chart" uri="{C3380CC4-5D6E-409C-BE32-E72D297353CC}">
              <c16:uniqueId val="{00000028-F2B9-4962-B885-6971202C6535}"/>
            </c:ext>
          </c:extLst>
        </c:ser>
        <c:ser>
          <c:idx val="56"/>
          <c:order val="41"/>
          <c:tx>
            <c:strRef>
              <c:f>Planning!$BF$7</c:f>
              <c:strCache>
                <c:ptCount val="1"/>
                <c:pt idx="0">
                  <c:v>Gains</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Planning!$BF$8:$BF$81</c:f>
            </c:numRef>
          </c:val>
          <c:extLst>
            <c:ext xmlns:c16="http://schemas.microsoft.com/office/drawing/2014/chart" uri="{C3380CC4-5D6E-409C-BE32-E72D297353CC}">
              <c16:uniqueId val="{00000029-F2B9-4962-B885-6971202C6535}"/>
            </c:ext>
          </c:extLst>
        </c:ser>
        <c:ser>
          <c:idx val="0"/>
          <c:order val="42"/>
          <c:tx>
            <c:strRef>
              <c:f>Planning!$A$80</c:f>
              <c:strCache>
                <c:ptCount val="1"/>
                <c:pt idx="0">
                  <c:v>Total des dépenses pour la commune (y compris personnel)</c:v>
                </c:pt>
              </c:strCache>
            </c:strRef>
          </c:tx>
          <c:invertIfNegative val="0"/>
          <c:cat>
            <c:numRef>
              <c:f>Planning!$C$7:$BC$7</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Planning!$C$80:$BC$80</c:f>
              <c:numCache>
                <c:formatCode>#,##0\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A-F2B9-4962-B885-6971202C6535}"/>
            </c:ext>
          </c:extLst>
        </c:ser>
        <c:ser>
          <c:idx val="1"/>
          <c:order val="43"/>
          <c:tx>
            <c:strRef>
              <c:f>Planning!$A$81</c:f>
              <c:strCache>
                <c:ptCount val="1"/>
                <c:pt idx="0">
                  <c:v>Total des gains financiers pour la commune</c:v>
                </c:pt>
              </c:strCache>
            </c:strRef>
          </c:tx>
          <c:invertIfNegative val="0"/>
          <c:val>
            <c:numRef>
              <c:f>Planning!$C$81:$BC$81</c:f>
              <c:numCache>
                <c:formatCode>#,##0\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B-F2B9-4962-B885-6971202C6535}"/>
            </c:ext>
          </c:extLst>
        </c:ser>
        <c:dLbls>
          <c:showLegendKey val="0"/>
          <c:showVal val="0"/>
          <c:showCatName val="0"/>
          <c:showSerName val="0"/>
          <c:showPercent val="0"/>
          <c:showBubbleSize val="0"/>
        </c:dLbls>
        <c:gapWidth val="150"/>
        <c:axId val="1869243551"/>
        <c:axId val="1"/>
      </c:barChart>
      <c:lineChart>
        <c:grouping val="standard"/>
        <c:varyColors val="0"/>
        <c:ser>
          <c:idx val="5"/>
          <c:order val="44"/>
          <c:tx>
            <c:strRef>
              <c:f>Planning!$A$83</c:f>
              <c:strCache>
                <c:ptCount val="1"/>
                <c:pt idx="0">
                  <c:v>Dépenses cumulées</c:v>
                </c:pt>
              </c:strCache>
            </c:strRef>
          </c:tx>
          <c:spPr>
            <a:ln>
              <a:solidFill>
                <a:schemeClr val="tx2"/>
              </a:solidFill>
            </a:ln>
          </c:spPr>
          <c:marker>
            <c:symbol val="none"/>
          </c:marker>
          <c:val>
            <c:numRef>
              <c:f>Planning!$C$83:$BC$83</c:f>
              <c:numCache>
                <c:formatCode>#,##0\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2C-F2B9-4962-B885-6971202C6535}"/>
            </c:ext>
          </c:extLst>
        </c:ser>
        <c:ser>
          <c:idx val="9"/>
          <c:order val="45"/>
          <c:tx>
            <c:strRef>
              <c:f>Planning!$A$84</c:f>
              <c:strCache>
                <c:ptCount val="1"/>
                <c:pt idx="0">
                  <c:v>Gains financiers cumulés</c:v>
                </c:pt>
              </c:strCache>
            </c:strRef>
          </c:tx>
          <c:spPr>
            <a:ln>
              <a:solidFill>
                <a:schemeClr val="accent2">
                  <a:lumMod val="50000"/>
                </a:schemeClr>
              </a:solidFill>
            </a:ln>
          </c:spPr>
          <c:marker>
            <c:symbol val="none"/>
          </c:marker>
          <c:val>
            <c:numRef>
              <c:f>Planning!$C$84:$BC$84</c:f>
              <c:numCache>
                <c:formatCode>#,##0\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2D-F2B9-4962-B885-6971202C6535}"/>
            </c:ext>
          </c:extLst>
        </c:ser>
        <c:dLbls>
          <c:showLegendKey val="0"/>
          <c:showVal val="0"/>
          <c:showCatName val="0"/>
          <c:showSerName val="0"/>
          <c:showPercent val="0"/>
          <c:showBubbleSize val="0"/>
        </c:dLbls>
        <c:marker val="1"/>
        <c:smooth val="0"/>
        <c:axId val="3"/>
        <c:axId val="4"/>
      </c:lineChart>
      <c:catAx>
        <c:axId val="186924355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869243551"/>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
        <c:crosses val="max"/>
        <c:crossBetween val="between"/>
      </c:valAx>
    </c:plotArea>
    <c:legend>
      <c:legendPos val="b"/>
      <c:overlay val="0"/>
      <c:txPr>
        <a:bodyPr/>
        <a:lstStyle/>
        <a:p>
          <a:pPr>
            <a:defRPr sz="925"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6.6987909975819951E-2"/>
          <c:y val="3.2412477724449308E-2"/>
        </c:manualLayout>
      </c:layout>
      <c:overlay val="0"/>
      <c:spPr>
        <a:noFill/>
        <a:ln w="25400">
          <a:noFill/>
        </a:ln>
      </c:spPr>
      <c:txPr>
        <a:bodyPr/>
        <a:lstStyle/>
        <a:p>
          <a:pPr>
            <a:defRPr sz="1800" b="1" i="0" u="none" strike="noStrike" baseline="0">
              <a:solidFill>
                <a:srgbClr val="333333"/>
              </a:solidFill>
              <a:latin typeface="Calibri"/>
              <a:ea typeface="Calibri"/>
              <a:cs typeface="Calibri"/>
            </a:defRPr>
          </a:pPr>
          <a:endParaRPr lang="fr-FR"/>
        </a:p>
      </c:txPr>
    </c:title>
    <c:autoTitleDeleted val="0"/>
    <c:plotArea>
      <c:layout/>
      <c:pieChart>
        <c:varyColors val="1"/>
        <c:ser>
          <c:idx val="0"/>
          <c:order val="0"/>
          <c:tx>
            <c:strRef>
              <c:f>Budget!$E$4</c:f>
              <c:strCache>
                <c:ptCount val="1"/>
                <c:pt idx="0">
                  <c:v>Budget total hors subsides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0-2DD3-43D7-8B90-F162265203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2DD3-43D7-8B90-F162265203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2DD3-43D7-8B90-F162265203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2DD3-43D7-8B90-F162265203A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2DD3-43D7-8B90-F162265203A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2DD3-43D7-8B90-F162265203A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6-2DD3-43D7-8B90-F162265203A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2DD3-43D7-8B90-F162265203A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8-2DD3-43D7-8B90-F162265203A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2DD3-43D7-8B90-F162265203A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A-2DD3-43D7-8B90-F162265203A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2DD3-43D7-8B90-F162265203A2}"/>
              </c:ext>
            </c:extLst>
          </c:dPt>
          <c:dLbls>
            <c:dLbl>
              <c:idx val="9"/>
              <c:layout>
                <c:manualLayout>
                  <c:x val="6.2254710637628052E-2"/>
                  <c:y val="4.3913289414398218E-2"/>
                </c:manualLayout>
              </c:layout>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DD3-43D7-8B90-F162265203A2}"/>
                </c:ext>
              </c:extLst>
            </c:dLbl>
            <c:dLbl>
              <c:idx val="10"/>
              <c:layout>
                <c:manualLayout>
                  <c:x val="6.7479071586628345E-2"/>
                  <c:y val="4.1618658849919096E-2"/>
                </c:manualLayout>
              </c:layout>
              <c:spPr>
                <a:noFill/>
                <a:ln w="25400">
                  <a:noFill/>
                </a:ln>
              </c:spPr>
              <c:txPr>
                <a:bodyPr/>
                <a:lstStyle/>
                <a:p>
                  <a:pPr>
                    <a:defRPr sz="1200" b="1" i="0" u="none" strike="noStrike" baseline="0">
                      <a:solidFill>
                        <a:srgbClr val="FFFFFF"/>
                      </a:solidFill>
                      <a:latin typeface="Calibri"/>
                      <a:ea typeface="Calibri"/>
                      <a:cs typeface="Calibri"/>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DD3-43D7-8B90-F162265203A2}"/>
                </c:ext>
              </c:extLst>
            </c:dLbl>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(Budget!$A$5:$A$6,Budget!$A$10:$A$12,Budget!$A$15:$A$18)</c:f>
              <c:strCache>
                <c:ptCount val="9"/>
                <c:pt idx="0">
                  <c:v>Industrie non-ETS</c:v>
                </c:pt>
                <c:pt idx="1">
                  <c:v>Tertiaire</c:v>
                </c:pt>
                <c:pt idx="2">
                  <c:v>Logement</c:v>
                </c:pt>
                <c:pt idx="3">
                  <c:v>Agriculture</c:v>
                </c:pt>
                <c:pt idx="4">
                  <c:v>Transport</c:v>
                </c:pt>
                <c:pt idx="5">
                  <c:v>Production renouvelable</c:v>
                </c:pt>
                <c:pt idx="6">
                  <c:v>Non-énergétique</c:v>
                </c:pt>
                <c:pt idx="7">
                  <c:v>Adaptation</c:v>
                </c:pt>
                <c:pt idx="8">
                  <c:v>Frais de personnel</c:v>
                </c:pt>
              </c:strCache>
            </c:strRef>
          </c:cat>
          <c:val>
            <c:numRef>
              <c:f>(Budget!$E$5:$E$6,Budget!$E$10,Budget!$E$11,Budget!$E$12,Budget!$E$15:$E$18)</c:f>
              <c:numCache>
                <c:formatCode>_-* #,##0\ [$€-80C]_-;\-* #,##0\ [$€-80C]_-;_-* "-"??\ [$€-80C]_-;_-@_-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2DD3-43D7-8B90-F162265203A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8593514787029575"/>
          <c:y val="4.1684344771437197E-2"/>
          <c:w val="0.30147866162398995"/>
          <c:h val="0.95831565522856277"/>
        </c:manualLayout>
      </c:layout>
      <c:overlay val="0"/>
      <c:spPr>
        <a:noFill/>
        <a:ln w="25400">
          <a:noFill/>
        </a:ln>
      </c:spPr>
      <c:txPr>
        <a:bodyPr/>
        <a:lstStyle/>
        <a:p>
          <a:pPr>
            <a:defRPr sz="1200" b="0" i="0" u="none" strike="noStrike" baseline="0">
              <a:solidFill>
                <a:srgbClr val="333333"/>
              </a:solidFill>
              <a:latin typeface="Calibri"/>
              <a:ea typeface="Calibri"/>
              <a:cs typeface="Calibri"/>
            </a:defRPr>
          </a:pPr>
          <a:endParaRPr lang="fr-FR"/>
        </a:p>
      </c:txPr>
    </c:legend>
    <c:plotVisOnly val="0"/>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b="1"/>
              <a:t>Objectifs</a:t>
            </a:r>
            <a:r>
              <a:rPr lang="fr-BE" b="1" baseline="0"/>
              <a:t> d'évolution des consommations/productions 2006-2030</a:t>
            </a:r>
            <a:endParaRPr lang="fr-BE" b="1"/>
          </a:p>
        </c:rich>
      </c:tx>
      <c:layout>
        <c:manualLayout>
          <c:xMode val="edge"/>
          <c:yMode val="edge"/>
          <c:x val="0.11019182563065669"/>
          <c:y val="2.22486489805420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081611345543133"/>
          <c:y val="0.1446734929035238"/>
          <c:w val="0.59222013684753483"/>
          <c:h val="0.74567245291447293"/>
        </c:manualLayout>
      </c:layout>
      <c:areaChart>
        <c:grouping val="stacked"/>
        <c:varyColors val="0"/>
        <c:ser>
          <c:idx val="2"/>
          <c:order val="5"/>
          <c:tx>
            <c:strRef>
              <c:f>Objectifs!$L$60</c:f>
              <c:strCache>
                <c:ptCount val="1"/>
                <c:pt idx="0">
                  <c:v>Production renouvelable </c:v>
                </c:pt>
              </c:strCache>
            </c:strRef>
          </c:tx>
          <c:spPr>
            <a:solidFill>
              <a:schemeClr val="accent6">
                <a:lumMod val="75000"/>
              </a:schemeClr>
            </a:solidFill>
            <a:ln>
              <a:noFill/>
            </a:ln>
            <a:effectLst/>
          </c:spPr>
          <c:val>
            <c:numRef>
              <c:f>Objectifs!$M$60:$P$60</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4-9925-4041-A75D-0EC8E44D8D84}"/>
            </c:ext>
          </c:extLst>
        </c:ser>
        <c:dLbls>
          <c:showLegendKey val="0"/>
          <c:showVal val="0"/>
          <c:showCatName val="0"/>
          <c:showSerName val="0"/>
          <c:showPercent val="0"/>
          <c:showBubbleSize val="0"/>
        </c:dLbls>
        <c:axId val="1432417359"/>
        <c:axId val="1432417775"/>
      </c:areaChart>
      <c:barChart>
        <c:barDir val="col"/>
        <c:grouping val="stacked"/>
        <c:varyColors val="0"/>
        <c:ser>
          <c:idx val="0"/>
          <c:order val="0"/>
          <c:tx>
            <c:strRef>
              <c:f>Objectifs!$L$11</c:f>
              <c:strCache>
                <c:ptCount val="1"/>
                <c:pt idx="0">
                  <c:v>Industrie non-ETS</c:v>
                </c:pt>
              </c:strCache>
            </c:strRef>
          </c:tx>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9925-4041-A75D-0EC8E44D8D84}"/>
                </c:ext>
              </c:extLst>
            </c:dLbl>
            <c:dLbl>
              <c:idx val="1"/>
              <c:tx>
                <c:strRef>
                  <c:f>Objectifs!$S$49</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{B7775E98-7FE1-456F-9332-1DD80C73B266}</c15:txfldGUID>
                      <c15:f>Objectifs!$S$49</c15:f>
                      <c15:dlblFieldTableCache>
                        <c:ptCount val="1"/>
                        <c:pt idx="0">
                          <c:v>0%</c:v>
                        </c:pt>
                      </c15:dlblFieldTableCache>
                    </c15:dlblFTEntry>
                  </c15:dlblFieldTable>
                  <c15:showDataLabelsRange val="0"/>
                </c:ext>
                <c:ext xmlns:c16="http://schemas.microsoft.com/office/drawing/2014/chart" uri="{C3380CC4-5D6E-409C-BE32-E72D297353CC}">
                  <c16:uniqueId val="{00000006-9925-4041-A75D-0EC8E44D8D84}"/>
                </c:ext>
              </c:extLst>
            </c:dLbl>
            <c:dLbl>
              <c:idx val="2"/>
              <c:layout>
                <c:manualLayout>
                  <c:x val="3.1185848009508002E-3"/>
                  <c:y val="0"/>
                </c:manualLayout>
              </c:layout>
              <c:tx>
                <c:strRef>
                  <c:f>Objectifs!$Q$49</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{CB7C2B98-F194-446E-8F9F-41F76C904265}</c15:txfldGUID>
                      <c15:f>Objectifs!$Q$49</c15:f>
                      <c15:dlblFieldTableCache>
                        <c:ptCount val="1"/>
                        <c:pt idx="0">
                          <c:v>0%</c:v>
                        </c:pt>
                      </c15:dlblFieldTableCache>
                    </c15:dlblFTEntry>
                  </c15:dlblFieldTable>
                  <c15:showDataLabelsRange val="0"/>
                </c:ext>
                <c:ext xmlns:c16="http://schemas.microsoft.com/office/drawing/2014/chart" uri="{C3380CC4-5D6E-409C-BE32-E72D297353CC}">
                  <c16:uniqueId val="{00000007-9925-4041-A75D-0EC8E44D8D84}"/>
                </c:ext>
              </c:extLst>
            </c:dLbl>
            <c:dLbl>
              <c:idx val="3"/>
              <c:layout>
                <c:manualLayout>
                  <c:x val="-5.7415116992285148E-17"/>
                  <c:y val="-2.9345382697835575E-3"/>
                </c:manualLayout>
              </c:layout>
              <c:tx>
                <c:strRef>
                  <c:f>Objectifs!$R$49</c:f>
                  <c:strCache>
                    <c:ptCount val="1"/>
                    <c:pt idx="0">
                      <c:v>0%</c:v>
                    </c:pt>
                  </c:strCache>
                </c:strRef>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15:layout>
                    <c:manualLayout>
                      <c:w val="5.7086369033454452E-2"/>
                      <c:h val="0.11934917709874966"/>
                    </c:manualLayout>
                  </c15:layout>
                  <c15:dlblFieldTable>
                    <c15:dlblFTEntry>
                      <c15:txfldGUID>{DEABAAEC-EDF7-4582-A8A9-C6D60AA63265}</c15:txfldGUID>
                      <c15:f>Objectifs!$R$49</c15:f>
                      <c15:dlblFieldTableCache>
                        <c:ptCount val="1"/>
                        <c:pt idx="0">
                          <c:v>0%</c:v>
                        </c:pt>
                      </c15:dlblFieldTableCache>
                    </c15:dlblFTEntry>
                  </c15:dlblFieldTable>
                  <c15:showDataLabelsRange val="0"/>
                </c:ext>
                <c:ext xmlns:c16="http://schemas.microsoft.com/office/drawing/2014/chart" uri="{C3380CC4-5D6E-409C-BE32-E72D297353CC}">
                  <c16:uniqueId val="{00000008-9925-4041-A75D-0EC8E44D8D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Objectifs!$M$49:$P$49</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9-9925-4041-A75D-0EC8E44D8D84}"/>
            </c:ext>
          </c:extLst>
        </c:ser>
        <c:ser>
          <c:idx val="1"/>
          <c:order val="1"/>
          <c:tx>
            <c:strRef>
              <c:f>Objectifs!$L$12</c:f>
              <c:strCache>
                <c:ptCount val="1"/>
                <c:pt idx="0">
                  <c:v>Tertiaire</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9925-4041-A75D-0EC8E44D8D84}"/>
                </c:ext>
              </c:extLst>
            </c:dLbl>
            <c:dLbl>
              <c:idx val="1"/>
              <c:tx>
                <c:strRef>
                  <c:f>Objectifs!$S$50</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{FD868E93-3100-4393-BA1E-08C054B18BCA}</c15:txfldGUID>
                      <c15:f>Objectifs!$S$50</c15:f>
                      <c15:dlblFieldTableCache>
                        <c:ptCount val="1"/>
                        <c:pt idx="0">
                          <c:v>#REF!</c:v>
                        </c:pt>
                      </c15:dlblFieldTableCache>
                    </c15:dlblFTEntry>
                  </c15:dlblFieldTable>
                  <c15:showDataLabelsRange val="0"/>
                </c:ext>
                <c:ext xmlns:c16="http://schemas.microsoft.com/office/drawing/2014/chart" uri="{C3380CC4-5D6E-409C-BE32-E72D297353CC}">
                  <c16:uniqueId val="{0000000B-9925-4041-A75D-0EC8E44D8D84}"/>
                </c:ext>
              </c:extLst>
            </c:dLbl>
            <c:dLbl>
              <c:idx val="2"/>
              <c:tx>
                <c:strRef>
                  <c:f>Objectifs!$Q$50</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{765EF9C3-E51C-4ED5-90DA-50F35BFC2411}</c15:txfldGUID>
                      <c15:f>Objectifs!$Q$50</c15:f>
                      <c15:dlblFieldTableCache>
                        <c:ptCount val="1"/>
                        <c:pt idx="0">
                          <c:v>0%</c:v>
                        </c:pt>
                      </c15:dlblFieldTableCache>
                    </c15:dlblFTEntry>
                  </c15:dlblFieldTable>
                  <c15:showDataLabelsRange val="0"/>
                </c:ext>
                <c:ext xmlns:c16="http://schemas.microsoft.com/office/drawing/2014/chart" uri="{C3380CC4-5D6E-409C-BE32-E72D297353CC}">
                  <c16:uniqueId val="{0000000C-9925-4041-A75D-0EC8E44D8D84}"/>
                </c:ext>
              </c:extLst>
            </c:dLbl>
            <c:dLbl>
              <c:idx val="3"/>
              <c:layout>
                <c:manualLayout>
                  <c:x val="1.5592924004754001E-3"/>
                  <c:y val="-4.5163713125784145E-3"/>
                </c:manualLayout>
              </c:layout>
              <c:tx>
                <c:strRef>
                  <c:f>Objectifs!$R$50</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{D33F62DE-5E75-4AC6-9306-7C928EF0D1E0}</c15:txfldGUID>
                      <c15:f>Objectifs!$R$50</c15:f>
                      <c15:dlblFieldTableCache>
                        <c:ptCount val="1"/>
                        <c:pt idx="0">
                          <c:v>0%</c:v>
                        </c:pt>
                      </c15:dlblFieldTableCache>
                    </c15:dlblFTEntry>
                  </c15:dlblFieldTable>
                  <c15:showDataLabelsRange val="0"/>
                </c:ext>
                <c:ext xmlns:c16="http://schemas.microsoft.com/office/drawing/2014/chart" uri="{C3380CC4-5D6E-409C-BE32-E72D297353CC}">
                  <c16:uniqueId val="{0000000D-9925-4041-A75D-0EC8E44D8D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Objectifs!$M$50:$P$50</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E-9925-4041-A75D-0EC8E44D8D84}"/>
            </c:ext>
          </c:extLst>
        </c:ser>
        <c:ser>
          <c:idx val="5"/>
          <c:order val="2"/>
          <c:tx>
            <c:strRef>
              <c:f>Objectifs!$L$15</c:f>
              <c:strCache>
                <c:ptCount val="1"/>
                <c:pt idx="0">
                  <c:v>Logement</c:v>
                </c:pt>
              </c:strCache>
            </c:strRef>
          </c:tx>
          <c:spPr>
            <a:solidFill>
              <a:srgbClr val="9BBB5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9925-4041-A75D-0EC8E44D8D84}"/>
                </c:ext>
              </c:extLst>
            </c:dLbl>
            <c:dLbl>
              <c:idx val="1"/>
              <c:tx>
                <c:strRef>
                  <c:f>Objectifs!$S$55</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{3A8B5EA2-3E83-4649-A774-43830F664970}</c15:txfldGUID>
                      <c15:f>Objectifs!$S$55</c15:f>
                      <c15:dlblFieldTableCache>
                        <c:ptCount val="1"/>
                        <c:pt idx="0">
                          <c:v>#REF!</c:v>
                        </c:pt>
                      </c15:dlblFieldTableCache>
                    </c15:dlblFTEntry>
                  </c15:dlblFieldTable>
                  <c15:showDataLabelsRange val="0"/>
                </c:ext>
                <c:ext xmlns:c16="http://schemas.microsoft.com/office/drawing/2014/chart" uri="{C3380CC4-5D6E-409C-BE32-E72D297353CC}">
                  <c16:uniqueId val="{00000010-9925-4041-A75D-0EC8E44D8D84}"/>
                </c:ext>
              </c:extLst>
            </c:dLbl>
            <c:dLbl>
              <c:idx val="2"/>
              <c:tx>
                <c:strRef>
                  <c:f>Objectifs!$Q$55</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{EF91450E-0A74-4187-891F-64A658645CCB}</c15:txfldGUID>
                      <c15:f>Objectifs!$Q$55</c15:f>
                      <c15:dlblFieldTableCache>
                        <c:ptCount val="1"/>
                        <c:pt idx="0">
                          <c:v>0%</c:v>
                        </c:pt>
                      </c15:dlblFieldTableCache>
                    </c15:dlblFTEntry>
                  </c15:dlblFieldTable>
                  <c15:showDataLabelsRange val="0"/>
                </c:ext>
                <c:ext xmlns:c16="http://schemas.microsoft.com/office/drawing/2014/chart" uri="{C3380CC4-5D6E-409C-BE32-E72D297353CC}">
                  <c16:uniqueId val="{00000011-9925-4041-A75D-0EC8E44D8D84}"/>
                </c:ext>
              </c:extLst>
            </c:dLbl>
            <c:dLbl>
              <c:idx val="3"/>
              <c:tx>
                <c:strRef>
                  <c:f>Objectifs!$R$55</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{FFF60B35-23DA-43BB-A2F7-D72587D87572}</c15:txfldGUID>
                      <c15:f>Objectifs!$R$55</c15:f>
                      <c15:dlblFieldTableCache>
                        <c:ptCount val="1"/>
                        <c:pt idx="0">
                          <c:v>0%</c:v>
                        </c:pt>
                      </c15:dlblFieldTableCache>
                    </c15:dlblFTEntry>
                  </c15:dlblFieldTable>
                  <c15:showDataLabelsRange val="0"/>
                </c:ext>
                <c:ext xmlns:c16="http://schemas.microsoft.com/office/drawing/2014/chart" uri="{C3380CC4-5D6E-409C-BE32-E72D297353CC}">
                  <c16:uniqueId val="{00000012-9925-4041-A75D-0EC8E44D8D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Objectifs!$M$55:$P$55</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13-9925-4041-A75D-0EC8E44D8D84}"/>
            </c:ext>
          </c:extLst>
        </c:ser>
        <c:ser>
          <c:idx val="6"/>
          <c:order val="3"/>
          <c:tx>
            <c:strRef>
              <c:f>Objectifs!$L$16</c:f>
              <c:strCache>
                <c:ptCount val="1"/>
                <c:pt idx="0">
                  <c:v>Agriculture</c:v>
                </c:pt>
              </c:strCache>
            </c:strRef>
          </c:tx>
          <c:spPr>
            <a:solidFill>
              <a:srgbClr val="7030A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9925-4041-A75D-0EC8E44D8D84}"/>
                </c:ext>
              </c:extLst>
            </c:dLbl>
            <c:dLbl>
              <c:idx val="1"/>
              <c:tx>
                <c:strRef>
                  <c:f>Objectifs!$S$56</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{212E2F8B-81E9-4A8E-83FC-96ADE5988BD5}</c15:txfldGUID>
                      <c15:f>Objectifs!$S$56</c15:f>
                      <c15:dlblFieldTableCache>
                        <c:ptCount val="1"/>
                        <c:pt idx="0">
                          <c:v>#REF!</c:v>
                        </c:pt>
                      </c15:dlblFieldTableCache>
                    </c15:dlblFTEntry>
                  </c15:dlblFieldTable>
                  <c15:showDataLabelsRange val="0"/>
                </c:ext>
                <c:ext xmlns:c16="http://schemas.microsoft.com/office/drawing/2014/chart" uri="{C3380CC4-5D6E-409C-BE32-E72D297353CC}">
                  <c16:uniqueId val="{00000015-9925-4041-A75D-0EC8E44D8D84}"/>
                </c:ext>
              </c:extLst>
            </c:dLbl>
            <c:dLbl>
              <c:idx val="2"/>
              <c:tx>
                <c:strRef>
                  <c:f>Objectifs!$Q$56</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{B72CB7E1-6ED6-4B6F-9969-EE160DB47947}</c15:txfldGUID>
                      <c15:f>Objectifs!$Q$56</c15:f>
                      <c15:dlblFieldTableCache>
                        <c:ptCount val="1"/>
                        <c:pt idx="0">
                          <c:v>0%</c:v>
                        </c:pt>
                      </c15:dlblFieldTableCache>
                    </c15:dlblFTEntry>
                  </c15:dlblFieldTable>
                  <c15:showDataLabelsRange val="0"/>
                </c:ext>
                <c:ext xmlns:c16="http://schemas.microsoft.com/office/drawing/2014/chart" uri="{C3380CC4-5D6E-409C-BE32-E72D297353CC}">
                  <c16:uniqueId val="{00000016-9925-4041-A75D-0EC8E44D8D84}"/>
                </c:ext>
              </c:extLst>
            </c:dLbl>
            <c:dLbl>
              <c:idx val="3"/>
              <c:tx>
                <c:strRef>
                  <c:f>Objectifs!$R$56</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{7C43DC88-33FF-48E6-A0B2-659A3F62B6B0}</c15:txfldGUID>
                      <c15:f>Objectifs!$R$56</c15:f>
                      <c15:dlblFieldTableCache>
                        <c:ptCount val="1"/>
                        <c:pt idx="0">
                          <c:v>0%</c:v>
                        </c:pt>
                      </c15:dlblFieldTableCache>
                    </c15:dlblFTEntry>
                  </c15:dlblFieldTable>
                  <c15:showDataLabelsRange val="0"/>
                </c:ext>
                <c:ext xmlns:c16="http://schemas.microsoft.com/office/drawing/2014/chart" uri="{C3380CC4-5D6E-409C-BE32-E72D297353CC}">
                  <c16:uniqueId val="{00000017-9925-4041-A75D-0EC8E44D8D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Objectifs!$M$56:$P$56</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18-9925-4041-A75D-0EC8E44D8D84}"/>
            </c:ext>
          </c:extLst>
        </c:ser>
        <c:ser>
          <c:idx val="7"/>
          <c:order val="4"/>
          <c:tx>
            <c:strRef>
              <c:f>Objectifs!$L$57</c:f>
              <c:strCache>
                <c:ptCount val="1"/>
                <c:pt idx="0">
                  <c:v>Transport</c:v>
                </c:pt>
              </c:strCache>
            </c:strRef>
          </c:tx>
          <c:spPr>
            <a:solidFill>
              <a:srgbClr val="4BACC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9-9925-4041-A75D-0EC8E44D8D84}"/>
                </c:ext>
              </c:extLst>
            </c:dLbl>
            <c:dLbl>
              <c:idx val="1"/>
              <c:tx>
                <c:strRef>
                  <c:f>Objectifs!$S$57</c:f>
                  <c:strCache>
                    <c:ptCount val="1"/>
                    <c:pt idx="0">
                      <c:v>#REF!</c:v>
                    </c:pt>
                  </c:strCache>
                </c:strRef>
              </c:tx>
              <c:spPr>
                <a:noFill/>
                <a:ln w="19050">
                  <a:solidFill>
                    <a:schemeClr val="accent5">
                      <a:lumMod val="50000"/>
                    </a:schemeClr>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{BAFBBEFA-EEA8-430F-850F-F2A7629AEC39}</c15:txfldGUID>
                      <c15:f>Objectifs!$S$57</c15:f>
                      <c15:dlblFieldTableCache>
                        <c:ptCount val="1"/>
                        <c:pt idx="0">
                          <c:v>#REF!</c:v>
                        </c:pt>
                      </c15:dlblFieldTableCache>
                    </c15:dlblFTEntry>
                  </c15:dlblFieldTable>
                  <c15:showDataLabelsRange val="0"/>
                </c:ext>
                <c:ext xmlns:c16="http://schemas.microsoft.com/office/drawing/2014/chart" uri="{C3380CC4-5D6E-409C-BE32-E72D297353CC}">
                  <c16:uniqueId val="{0000001A-9925-4041-A75D-0EC8E44D8D84}"/>
                </c:ext>
              </c:extLst>
            </c:dLbl>
            <c:dLbl>
              <c:idx val="2"/>
              <c:tx>
                <c:strRef>
                  <c:f>Objectifs!$Q$57</c:f>
                  <c:strCache>
                    <c:ptCount val="1"/>
                    <c:pt idx="0">
                      <c:v>0%</c:v>
                    </c:pt>
                  </c:strCache>
                </c:strRef>
              </c:tx>
              <c:spPr>
                <a:noFill/>
                <a:ln w="19050">
                  <a:solidFill>
                    <a:schemeClr val="accent5">
                      <a:lumMod val="50000"/>
                    </a:schemeClr>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{65AD3874-0170-47AE-A78D-F27A85285D26}</c15:txfldGUID>
                      <c15:f>Objectifs!$Q$57</c15:f>
                      <c15:dlblFieldTableCache>
                        <c:ptCount val="1"/>
                        <c:pt idx="0">
                          <c:v>0%</c:v>
                        </c:pt>
                      </c15:dlblFieldTableCache>
                    </c15:dlblFTEntry>
                  </c15:dlblFieldTable>
                  <c15:showDataLabelsRange val="0"/>
                </c:ext>
                <c:ext xmlns:c16="http://schemas.microsoft.com/office/drawing/2014/chart" uri="{C3380CC4-5D6E-409C-BE32-E72D297353CC}">
                  <c16:uniqueId val="{0000001B-9925-4041-A75D-0EC8E44D8D84}"/>
                </c:ext>
              </c:extLst>
            </c:dLbl>
            <c:dLbl>
              <c:idx val="3"/>
              <c:tx>
                <c:strRef>
                  <c:f>Objectifs!$R$57</c:f>
                  <c:strCache>
                    <c:ptCount val="1"/>
                    <c:pt idx="0">
                      <c:v>0%</c:v>
                    </c:pt>
                  </c:strCache>
                </c:strRef>
              </c:tx>
              <c:spPr>
                <a:noFill/>
                <a:ln w="22225">
                  <a:solidFill>
                    <a:schemeClr val="accent5">
                      <a:lumMod val="50000"/>
                    </a:schemeClr>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{90D7522D-5F58-4AEB-ACAC-EDFF4CF905BC}</c15:txfldGUID>
                      <c15:f>Objectifs!$R$57</c15:f>
                      <c15:dlblFieldTableCache>
                        <c:ptCount val="1"/>
                        <c:pt idx="0">
                          <c:v>0%</c:v>
                        </c:pt>
                      </c15:dlblFieldTableCache>
                    </c15:dlblFTEntry>
                  </c15:dlblFieldTable>
                  <c15:showDataLabelsRange val="0"/>
                </c:ext>
                <c:ext xmlns:c16="http://schemas.microsoft.com/office/drawing/2014/chart" uri="{C3380CC4-5D6E-409C-BE32-E72D297353CC}">
                  <c16:uniqueId val="{0000001C-9925-4041-A75D-0EC8E44D8D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Objectifs!$M$57:$P$57</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1D-9925-4041-A75D-0EC8E44D8D84}"/>
            </c:ext>
          </c:extLst>
        </c:ser>
        <c:dLbls>
          <c:showLegendKey val="0"/>
          <c:showVal val="0"/>
          <c:showCatName val="0"/>
          <c:showSerName val="0"/>
          <c:showPercent val="0"/>
          <c:showBubbleSize val="0"/>
        </c:dLbls>
        <c:gapWidth val="150"/>
        <c:overlap val="100"/>
        <c:axId val="1432417359"/>
        <c:axId val="1432417775"/>
      </c:barChart>
      <c:catAx>
        <c:axId val="1432417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1432417775"/>
        <c:crosses val="autoZero"/>
        <c:auto val="1"/>
        <c:lblAlgn val="ctr"/>
        <c:lblOffset val="100"/>
        <c:noMultiLvlLbl val="0"/>
      </c:catAx>
      <c:valAx>
        <c:axId val="14324177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GWh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432417359"/>
        <c:crosses val="autoZero"/>
        <c:crossBetween val="between"/>
      </c:valAx>
      <c:spPr>
        <a:noFill/>
        <a:ln>
          <a:noFill/>
        </a:ln>
        <a:effectLst/>
      </c:spPr>
    </c:plotArea>
    <c:legend>
      <c:legendPos val="r"/>
      <c:layout>
        <c:manualLayout>
          <c:xMode val="edge"/>
          <c:yMode val="edge"/>
          <c:x val="0.74861288057224895"/>
          <c:y val="0.38751094101810324"/>
          <c:w val="0.23694019639688388"/>
          <c:h val="0.59677400370241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b="1"/>
              <a:t>Objectifs</a:t>
            </a:r>
            <a:r>
              <a:rPr lang="fr-BE" b="1" baseline="0"/>
              <a:t> d'évolution des émissions 2006-2030</a:t>
            </a:r>
            <a:endParaRPr lang="fr-BE" b="1"/>
          </a:p>
        </c:rich>
      </c:tx>
      <c:layout>
        <c:manualLayout>
          <c:xMode val="edge"/>
          <c:yMode val="edge"/>
          <c:x val="0.18540071057561394"/>
          <c:y val="2.495624091045265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9121471316475"/>
          <c:y val="0.16327412198475194"/>
          <c:w val="0.53059175340164944"/>
          <c:h val="0.64928305014504761"/>
        </c:manualLayout>
      </c:layout>
      <c:barChart>
        <c:barDir val="col"/>
        <c:grouping val="stacked"/>
        <c:varyColors val="0"/>
        <c:ser>
          <c:idx val="0"/>
          <c:order val="0"/>
          <c:tx>
            <c:strRef>
              <c:f>Objectifs!$L$11</c:f>
              <c:strCache>
                <c:ptCount val="1"/>
                <c:pt idx="0">
                  <c:v>Industrie non-ETS</c:v>
                </c:pt>
              </c:strCache>
            </c:strRef>
          </c:tx>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113-4ADA-8D06-01834509887A}"/>
                </c:ext>
              </c:extLst>
            </c:dLbl>
            <c:dLbl>
              <c:idx val="1"/>
              <c:tx>
                <c:strRef>
                  <c:f>Objectifs!$S$11</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{964CC365-315D-4A52-81A9-B66854A896B4}</c15:txfldGUID>
                      <c15:f>Objectifs!$S$11</c15:f>
                      <c15:dlblFieldTableCache>
                        <c:ptCount val="1"/>
                        <c:pt idx="0">
                          <c:v>#DIV/0!</c:v>
                        </c:pt>
                      </c15:dlblFieldTableCache>
                    </c15:dlblFTEntry>
                  </c15:dlblFieldTable>
                  <c15:showDataLabelsRange val="0"/>
                </c:ext>
                <c:ext xmlns:c16="http://schemas.microsoft.com/office/drawing/2014/chart" uri="{C3380CC4-5D6E-409C-BE32-E72D297353CC}">
                  <c16:uniqueId val="{00000001-7113-4ADA-8D06-01834509887A}"/>
                </c:ext>
              </c:extLst>
            </c:dLbl>
            <c:dLbl>
              <c:idx val="2"/>
              <c:tx>
                <c:strRef>
                  <c:f>Objectifs!$Q$11</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{62B841DC-0310-4F70-B876-00FF0D9CA5EE}</c15:txfldGUID>
                      <c15:f>Objectifs!$Q$11</c15:f>
                      <c15:dlblFieldTableCache>
                        <c:ptCount val="1"/>
                        <c:pt idx="0">
                          <c:v>#DIV/0!</c:v>
                        </c:pt>
                      </c15:dlblFieldTableCache>
                    </c15:dlblFTEntry>
                  </c15:dlblFieldTable>
                  <c15:showDataLabelsRange val="0"/>
                </c:ext>
                <c:ext xmlns:c16="http://schemas.microsoft.com/office/drawing/2014/chart" uri="{C3380CC4-5D6E-409C-BE32-E72D297353CC}">
                  <c16:uniqueId val="{00000002-7113-4ADA-8D06-01834509887A}"/>
                </c:ext>
              </c:extLst>
            </c:dLbl>
            <c:dLbl>
              <c:idx val="3"/>
              <c:tx>
                <c:strRef>
                  <c:f>Objectifs!$R$11</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{956C6831-975F-4832-9F30-6923A145C2C6}</c15:txfldGUID>
                      <c15:f>Objectifs!$R$11</c15:f>
                      <c15:dlblFieldTableCache>
                        <c:ptCount val="1"/>
                        <c:pt idx="0">
                          <c:v>#DIV/0!</c:v>
                        </c:pt>
                      </c15:dlblFieldTableCache>
                    </c15:dlblFTEntry>
                  </c15:dlblFieldTable>
                  <c15:showDataLabelsRange val="0"/>
                </c:ext>
                <c:ext xmlns:c16="http://schemas.microsoft.com/office/drawing/2014/chart" uri="{C3380CC4-5D6E-409C-BE32-E72D297353CC}">
                  <c16:uniqueId val="{00000003-7113-4ADA-8D06-01834509887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Objectifs!$M$11:$P$11</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4-7113-4ADA-8D06-01834509887A}"/>
            </c:ext>
          </c:extLst>
        </c:ser>
        <c:ser>
          <c:idx val="1"/>
          <c:order val="1"/>
          <c:tx>
            <c:strRef>
              <c:f>Objectifs!$L$12</c:f>
              <c:strCache>
                <c:ptCount val="1"/>
                <c:pt idx="0">
                  <c:v>Tertiaire</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7113-4ADA-8D06-01834509887A}"/>
                </c:ext>
              </c:extLst>
            </c:dLbl>
            <c:dLbl>
              <c:idx val="1"/>
              <c:tx>
                <c:strRef>
                  <c:f>Objectifs!$S$12</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{107D30C1-A607-430E-9A5C-F8A470C66663}</c15:txfldGUID>
                      <c15:f>Objectifs!$S$12</c15:f>
                      <c15:dlblFieldTableCache>
                        <c:ptCount val="1"/>
                        <c:pt idx="0">
                          <c:v>#REF!</c:v>
                        </c:pt>
                      </c15:dlblFieldTableCache>
                    </c15:dlblFTEntry>
                  </c15:dlblFieldTable>
                  <c15:showDataLabelsRange val="0"/>
                </c:ext>
                <c:ext xmlns:c16="http://schemas.microsoft.com/office/drawing/2014/chart" uri="{C3380CC4-5D6E-409C-BE32-E72D297353CC}">
                  <c16:uniqueId val="{00000006-7113-4ADA-8D06-01834509887A}"/>
                </c:ext>
              </c:extLst>
            </c:dLbl>
            <c:dLbl>
              <c:idx val="2"/>
              <c:tx>
                <c:strRef>
                  <c:f>Objectifs!$Q$12</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{D5EBA835-920C-4098-AA5C-D8EFA72173AF}</c15:txfldGUID>
                      <c15:f>Objectifs!$Q$12</c15:f>
                      <c15:dlblFieldTableCache>
                        <c:ptCount val="1"/>
                        <c:pt idx="0">
                          <c:v>#DIV/0!</c:v>
                        </c:pt>
                      </c15:dlblFieldTableCache>
                    </c15:dlblFTEntry>
                  </c15:dlblFieldTable>
                  <c15:showDataLabelsRange val="0"/>
                </c:ext>
                <c:ext xmlns:c16="http://schemas.microsoft.com/office/drawing/2014/chart" uri="{C3380CC4-5D6E-409C-BE32-E72D297353CC}">
                  <c16:uniqueId val="{00000007-7113-4ADA-8D06-01834509887A}"/>
                </c:ext>
              </c:extLst>
            </c:dLbl>
            <c:dLbl>
              <c:idx val="3"/>
              <c:tx>
                <c:strRef>
                  <c:f>Objectifs!$R$12</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{D5CC957E-A560-4C6D-A037-A181A1E3C340}</c15:txfldGUID>
                      <c15:f>Objectifs!$R$12</c15:f>
                      <c15:dlblFieldTableCache>
                        <c:ptCount val="1"/>
                        <c:pt idx="0">
                          <c:v>#DIV/0!</c:v>
                        </c:pt>
                      </c15:dlblFieldTableCache>
                    </c15:dlblFTEntry>
                  </c15:dlblFieldTable>
                  <c15:showDataLabelsRange val="0"/>
                </c:ext>
                <c:ext xmlns:c16="http://schemas.microsoft.com/office/drawing/2014/chart" uri="{C3380CC4-5D6E-409C-BE32-E72D297353CC}">
                  <c16:uniqueId val="{00000008-7113-4ADA-8D06-01834509887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Objectifs!$M$12:$P$12</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9-7113-4ADA-8D06-01834509887A}"/>
            </c:ext>
          </c:extLst>
        </c:ser>
        <c:ser>
          <c:idx val="5"/>
          <c:order val="5"/>
          <c:tx>
            <c:strRef>
              <c:f>Objectifs!$L$15</c:f>
              <c:strCache>
                <c:ptCount val="1"/>
                <c:pt idx="0">
                  <c:v>Logement</c:v>
                </c:pt>
              </c:strCache>
            </c:strRef>
          </c:tx>
          <c:spPr>
            <a:solidFill>
              <a:srgbClr val="9BBB5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7113-4ADA-8D06-01834509887A}"/>
                </c:ext>
              </c:extLst>
            </c:dLbl>
            <c:dLbl>
              <c:idx val="1"/>
              <c:tx>
                <c:strRef>
                  <c:f>Objectifs!$S$15</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{B06C9375-C2C5-4149-8002-2D5F7FFF707F}</c15:txfldGUID>
                      <c15:f>Objectifs!$S$15</c15:f>
                      <c15:dlblFieldTableCache>
                        <c:ptCount val="1"/>
                        <c:pt idx="0">
                          <c:v>#REF!</c:v>
                        </c:pt>
                      </c15:dlblFieldTableCache>
                    </c15:dlblFTEntry>
                  </c15:dlblFieldTable>
                  <c15:showDataLabelsRange val="0"/>
                </c:ext>
                <c:ext xmlns:c16="http://schemas.microsoft.com/office/drawing/2014/chart" uri="{C3380CC4-5D6E-409C-BE32-E72D297353CC}">
                  <c16:uniqueId val="{0000000B-7113-4ADA-8D06-01834509887A}"/>
                </c:ext>
              </c:extLst>
            </c:dLbl>
            <c:dLbl>
              <c:idx val="2"/>
              <c:tx>
                <c:strRef>
                  <c:f>Objectifs!$Q$15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{74E5B624-1E43-4A7B-9693-C074CDC46260}</c15:txfldGUID>
                      <c15:f>Objectifs!$Q$15</c15:f>
                      <c15:dlblFieldTableCache>
                        <c:ptCount val="1"/>
                        <c:pt idx="0">
                          <c:v>#DIV/0!</c:v>
                        </c:pt>
                      </c15:dlblFieldTableCache>
                    </c15:dlblFTEntry>
                  </c15:dlblFieldTable>
                  <c15:showDataLabelsRange val="0"/>
                </c:ext>
                <c:ext xmlns:c16="http://schemas.microsoft.com/office/drawing/2014/chart" uri="{C3380CC4-5D6E-409C-BE32-E72D297353CC}">
                  <c16:uniqueId val="{0000000C-7113-4ADA-8D06-01834509887A}"/>
                </c:ext>
              </c:extLst>
            </c:dLbl>
            <c:dLbl>
              <c:idx val="3"/>
              <c:tx>
                <c:strRef>
                  <c:f>Objectifs!$R$15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{E8ED1A08-C8D9-4A55-BFF6-6A00B9B2958B}</c15:txfldGUID>
                      <c15:f>Objectifs!$R$15</c15:f>
                      <c15:dlblFieldTableCache>
                        <c:ptCount val="1"/>
                        <c:pt idx="0">
                          <c:v>#DIV/0!</c:v>
                        </c:pt>
                      </c15:dlblFieldTableCache>
                    </c15:dlblFTEntry>
                  </c15:dlblFieldTable>
                  <c15:showDataLabelsRange val="0"/>
                </c:ext>
                <c:ext xmlns:c16="http://schemas.microsoft.com/office/drawing/2014/chart" uri="{C3380CC4-5D6E-409C-BE32-E72D297353CC}">
                  <c16:uniqueId val="{0000000D-7113-4ADA-8D06-01834509887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Objectifs!$M$15:$P$15</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0E-7113-4ADA-8D06-01834509887A}"/>
            </c:ext>
          </c:extLst>
        </c:ser>
        <c:ser>
          <c:idx val="6"/>
          <c:order val="6"/>
          <c:tx>
            <c:strRef>
              <c:f>Objectifs!$L$16</c:f>
              <c:strCache>
                <c:ptCount val="1"/>
                <c:pt idx="0">
                  <c:v>Agriculture</c:v>
                </c:pt>
              </c:strCache>
            </c:strRef>
          </c:tx>
          <c:spPr>
            <a:solidFill>
              <a:srgbClr val="7030A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7113-4ADA-8D06-01834509887A}"/>
                </c:ext>
              </c:extLst>
            </c:dLbl>
            <c:dLbl>
              <c:idx val="1"/>
              <c:tx>
                <c:strRef>
                  <c:f>Objectifs!$S$16</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{B3EA9037-A197-4B9A-8F2F-1D6B2866BDF0}</c15:txfldGUID>
                      <c15:f>Objectifs!$S$16</c15:f>
                      <c15:dlblFieldTableCache>
                        <c:ptCount val="1"/>
                        <c:pt idx="0">
                          <c:v>#REF!</c:v>
                        </c:pt>
                      </c15:dlblFieldTableCache>
                    </c15:dlblFTEntry>
                  </c15:dlblFieldTable>
                  <c15:showDataLabelsRange val="0"/>
                </c:ext>
                <c:ext xmlns:c16="http://schemas.microsoft.com/office/drawing/2014/chart" uri="{C3380CC4-5D6E-409C-BE32-E72D297353CC}">
                  <c16:uniqueId val="{00000010-7113-4ADA-8D06-01834509887A}"/>
                </c:ext>
              </c:extLst>
            </c:dLbl>
            <c:dLbl>
              <c:idx val="2"/>
              <c:tx>
                <c:strRef>
                  <c:f>Objectifs!$Q$16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{CA3CFF26-8707-4B52-8294-71F9A53D7025}</c15:txfldGUID>
                      <c15:f>Objectifs!$Q$16</c15:f>
                      <c15:dlblFieldTableCache>
                        <c:ptCount val="1"/>
                        <c:pt idx="0">
                          <c:v>#DIV/0!</c:v>
                        </c:pt>
                      </c15:dlblFieldTableCache>
                    </c15:dlblFTEntry>
                  </c15:dlblFieldTable>
                  <c15:showDataLabelsRange val="0"/>
                </c:ext>
                <c:ext xmlns:c16="http://schemas.microsoft.com/office/drawing/2014/chart" uri="{C3380CC4-5D6E-409C-BE32-E72D297353CC}">
                  <c16:uniqueId val="{00000011-7113-4ADA-8D06-01834509887A}"/>
                </c:ext>
              </c:extLst>
            </c:dLbl>
            <c:dLbl>
              <c:idx val="3"/>
              <c:tx>
                <c:strRef>
                  <c:f>Objectifs!$R$16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{828D23C5-AE5C-45F2-B0D1-BE5E2978D6A2}</c15:txfldGUID>
                      <c15:f>Objectifs!$R$16</c15:f>
                      <c15:dlblFieldTableCache>
                        <c:ptCount val="1"/>
                        <c:pt idx="0">
                          <c:v>#DIV/0!</c:v>
                        </c:pt>
                      </c15:dlblFieldTableCache>
                    </c15:dlblFTEntry>
                  </c15:dlblFieldTable>
                  <c15:showDataLabelsRange val="0"/>
                </c:ext>
                <c:ext xmlns:c16="http://schemas.microsoft.com/office/drawing/2014/chart" uri="{C3380CC4-5D6E-409C-BE32-E72D297353CC}">
                  <c16:uniqueId val="{00000012-7113-4ADA-8D06-01834509887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Objectifs!$M$16:$P$16</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13-7113-4ADA-8D06-01834509887A}"/>
            </c:ext>
          </c:extLst>
        </c:ser>
        <c:ser>
          <c:idx val="7"/>
          <c:order val="7"/>
          <c:tx>
            <c:strRef>
              <c:f>Objectifs!$L$17</c:f>
              <c:strCache>
                <c:ptCount val="1"/>
                <c:pt idx="0">
                  <c:v>Transport</c:v>
                </c:pt>
              </c:strCache>
            </c:strRef>
          </c:tx>
          <c:spPr>
            <a:solidFill>
              <a:srgbClr val="4BACC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7113-4ADA-8D06-01834509887A}"/>
                </c:ext>
              </c:extLst>
            </c:dLbl>
            <c:dLbl>
              <c:idx val="1"/>
              <c:tx>
                <c:strRef>
                  <c:f>Objectifs!$S$17</c:f>
                  <c:strCache>
                    <c:ptCount val="1"/>
                    <c:pt idx="0">
                      <c:v>#REF!</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{CF26EB02-6B29-4297-9510-CBB2A2172F54}</c15:txfldGUID>
                      <c15:f>Objectifs!$S$17</c15:f>
                      <c15:dlblFieldTableCache>
                        <c:ptCount val="1"/>
                        <c:pt idx="0">
                          <c:v>#REF!</c:v>
                        </c:pt>
                      </c15:dlblFieldTableCache>
                    </c15:dlblFTEntry>
                  </c15:dlblFieldTable>
                  <c15:showDataLabelsRange val="0"/>
                </c:ext>
                <c:ext xmlns:c16="http://schemas.microsoft.com/office/drawing/2014/chart" uri="{C3380CC4-5D6E-409C-BE32-E72D297353CC}">
                  <c16:uniqueId val="{00000015-7113-4ADA-8D06-01834509887A}"/>
                </c:ext>
              </c:extLst>
            </c:dLbl>
            <c:dLbl>
              <c:idx val="2"/>
              <c:tx>
                <c:strRef>
                  <c:f>Objectifs!$Q$17</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{5C736995-59EF-4135-865A-3233AAC65BAB}</c15:txfldGUID>
                      <c15:f>Objectifs!$Q$17</c15:f>
                      <c15:dlblFieldTableCache>
                        <c:ptCount val="1"/>
                        <c:pt idx="0">
                          <c:v>#DIV/0!</c:v>
                        </c:pt>
                      </c15:dlblFieldTableCache>
                    </c15:dlblFTEntry>
                  </c15:dlblFieldTable>
                  <c15:showDataLabelsRange val="0"/>
                </c:ext>
                <c:ext xmlns:c16="http://schemas.microsoft.com/office/drawing/2014/chart" uri="{C3380CC4-5D6E-409C-BE32-E72D297353CC}">
                  <c16:uniqueId val="{00000016-7113-4ADA-8D06-01834509887A}"/>
                </c:ext>
              </c:extLst>
            </c:dLbl>
            <c:dLbl>
              <c:idx val="3"/>
              <c:tx>
                <c:strRef>
                  <c:f>Objectifs!$R$17</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{2046A27E-17BB-4FB3-8CBD-1CBD6F505A50}</c15:txfldGUID>
                      <c15:f>Objectifs!$R$17</c15:f>
                      <c15:dlblFieldTableCache>
                        <c:ptCount val="1"/>
                        <c:pt idx="0">
                          <c:v>#DIV/0!</c:v>
                        </c:pt>
                      </c15:dlblFieldTableCache>
                    </c15:dlblFTEntry>
                  </c15:dlblFieldTable>
                  <c15:showDataLabelsRange val="0"/>
                </c:ext>
                <c:ext xmlns:c16="http://schemas.microsoft.com/office/drawing/2014/chart" uri="{C3380CC4-5D6E-409C-BE32-E72D297353CC}">
                  <c16:uniqueId val="{00000017-7113-4ADA-8D06-01834509887A}"/>
                </c:ext>
              </c:extLst>
            </c:dLbl>
            <c:spPr>
              <a:noFill/>
              <a:ln w="22225">
                <a:solidFill>
                  <a:schemeClr val="accent5">
                    <a:lumMod val="50000"/>
                  </a:schemeClr>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Objectifs!$M$10:$P$10</c:f>
              <c:numCache>
                <c:formatCode>General</c:formatCode>
                <c:ptCount val="4"/>
                <c:pt idx="0">
                  <c:v>2006</c:v>
                </c:pt>
                <c:pt idx="1">
                  <c:v>0</c:v>
                </c:pt>
                <c:pt idx="2">
                  <c:v>0</c:v>
                </c:pt>
                <c:pt idx="3">
                  <c:v>2030</c:v>
                </c:pt>
              </c:numCache>
            </c:numRef>
          </c:cat>
          <c:val>
            <c:numRef>
              <c:f>Objectifs!$M$17:$P$17</c:f>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18-7113-4ADA-8D06-01834509887A}"/>
            </c:ext>
          </c:extLst>
        </c:ser>
        <c:ser>
          <c:idx val="10"/>
          <c:order val="10"/>
          <c:tx>
            <c:strRef>
              <c:f>Objectifs!$L$20</c:f>
              <c:strCache>
                <c:ptCount val="1"/>
                <c:pt idx="0">
                  <c:v>Secteurs non-énergétiques</c:v>
                </c:pt>
              </c:strCache>
            </c:strRef>
          </c:tx>
          <c:spPr>
            <a:solidFill>
              <a:schemeClr val="accent5">
                <a:lumMod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9-7113-4ADA-8D06-01834509887A}"/>
                </c:ext>
              </c:extLst>
            </c:dLbl>
            <c:dLbl>
              <c:idx val="1"/>
              <c:layout>
                <c:manualLayout>
                  <c:x val="7.617640947606317E-17"/>
                  <c:y val="-2.8969954634014233E-2"/>
                </c:manualLayout>
              </c:layout>
              <c:tx>
                <c:strRef>
                  <c:f>Objectifs!$S$20</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{620F5517-B800-4E3F-9AB5-1AE2B467C7CF}</c15:txfldGUID>
                      <c15:f>Objectifs!$S$20</c15:f>
                      <c15:dlblFieldTableCache>
                        <c:ptCount val="1"/>
                        <c:pt idx="0">
                          <c:v>0%</c:v>
                        </c:pt>
                      </c15:dlblFieldTableCache>
                    </c15:dlblFTEntry>
                  </c15:dlblFieldTable>
                  <c15:showDataLabelsRange val="0"/>
                </c:ext>
                <c:ext xmlns:c16="http://schemas.microsoft.com/office/drawing/2014/chart" uri="{C3380CC4-5D6E-409C-BE32-E72D297353CC}">
                  <c16:uniqueId val="{0000001A-7113-4ADA-8D06-01834509887A}"/>
                </c:ext>
              </c:extLst>
            </c:dLbl>
            <c:dLbl>
              <c:idx val="2"/>
              <c:layout>
                <c:manualLayout>
                  <c:x val="0"/>
                  <c:y val="-2.2532186937566579E-2"/>
                </c:manualLayout>
              </c:layout>
              <c:tx>
                <c:strRef>
                  <c:f>Objectifs!$Q$20</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{F58F2458-464A-47DF-95ED-328A39AAF5F3}</c15:txfldGUID>
                      <c15:f>Objectifs!$Q$20</c15:f>
                      <c15:dlblFieldTableCache>
                        <c:ptCount val="1"/>
                        <c:pt idx="0">
                          <c:v>0%</c:v>
                        </c:pt>
                      </c15:dlblFieldTableCache>
                    </c15:dlblFTEntry>
                  </c15:dlblFieldTable>
                  <c15:showDataLabelsRange val="0"/>
                </c:ext>
                <c:ext xmlns:c16="http://schemas.microsoft.com/office/drawing/2014/chart" uri="{C3380CC4-5D6E-409C-BE32-E72D297353CC}">
                  <c16:uniqueId val="{0000001B-7113-4ADA-8D06-01834509887A}"/>
                </c:ext>
              </c:extLst>
            </c:dLbl>
            <c:dLbl>
              <c:idx val="3"/>
              <c:layout>
                <c:manualLayout>
                  <c:x val="4.0256315447219195E-3"/>
                  <c:y val="-3.852533900528788E-2"/>
                </c:manualLayout>
              </c:layout>
              <c:tx>
                <c:strRef>
                  <c:f>Objectifs!$R$20</c:f>
                  <c:strCache>
                    <c:ptCount val="1"/>
                    <c:pt idx="0">
                      <c: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{28B17B92-F6CE-4289-A951-DEEAAC2D6C09}</c15:txfldGUID>
                      <c15:f>Objectifs!$R$20</c15:f>
                      <c15:dlblFieldTableCache>
                        <c:ptCount val="1"/>
                        <c:pt idx="0">
                          <c:v>0%</c:v>
                        </c:pt>
                      </c15:dlblFieldTableCache>
                    </c15:dlblFTEntry>
                  </c15:dlblFieldTable>
                  <c15:showDataLabelsRange val="0"/>
                </c:ext>
                <c:ext xmlns:c16="http://schemas.microsoft.com/office/drawing/2014/chart" uri="{C3380CC4-5D6E-409C-BE32-E72D297353CC}">
                  <c16:uniqueId val="{0000001C-7113-4ADA-8D06-01834509887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Objectifs!$M$20:$P$20</c:f>
              <c:numCache>
                <c:formatCode>_ * #,##0_ ;_ * \-#,##0_ ;_ * "-"??_ ;_ @_ </c:formatCode>
                <c:ptCount val="4"/>
                <c:pt idx="0">
                  <c:v>0</c:v>
                </c:pt>
                <c:pt idx="1">
                  <c:v>#N/A</c:v>
                </c:pt>
                <c:pt idx="2">
                  <c:v>#N/A</c:v>
                </c:pt>
                <c:pt idx="3">
                  <c:v>#N/A</c:v>
                </c:pt>
              </c:numCache>
            </c:numRef>
          </c:val>
          <c:extLst>
            <c:ext xmlns:c16="http://schemas.microsoft.com/office/drawing/2014/chart" uri="{C3380CC4-5D6E-409C-BE32-E72D297353CC}">
              <c16:uniqueId val="{0000001D-7113-4ADA-8D06-01834509887A}"/>
            </c:ext>
          </c:extLst>
        </c:ser>
        <c:dLbls>
          <c:dLblPos val="ctr"/>
          <c:showLegendKey val="0"/>
          <c:showVal val="1"/>
          <c:showCatName val="0"/>
          <c:showSerName val="0"/>
          <c:showPercent val="0"/>
          <c:showBubbleSize val="0"/>
        </c:dLbls>
        <c:gapWidth val="150"/>
        <c:overlap val="100"/>
        <c:axId val="1432417359"/>
        <c:axId val="1432417775"/>
        <c:extLst>
          <c:ext xmlns:c15="http://schemas.microsoft.com/office/drawing/2012/chart" uri="{02D57815-91ED-43cb-92C2-25804820EDAC}">
            <c15:filteredBarSeries>
              <c15:ser>
                <c:idx val="2"/>
                <c:order val="2"/>
                <c:tx>
                  <c:strRef>
                    <c:extLst>
                      <c:ext uri="{02D57815-91ED-43cb-92C2-25804820EDAC}">
                        <c15:formulaRef>
                          <c15:sqref>Objectifs!$L$13</c15:sqref>
                        </c15:formulaRef>
                      </c:ext>
                    </c:extLst>
                    <c:strCache>
                      <c:ptCount val="1"/>
                      <c:pt idx="0">
                        <c:v>Administration communale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Objectifs!$M$10:$P$10</c15:sqref>
                        </c15:formulaRef>
                      </c:ext>
                    </c:extLst>
                    <c:numCache>
                      <c:formatCode>General</c:formatCode>
                      <c:ptCount val="4"/>
                      <c:pt idx="0">
                        <c:v>2006</c:v>
                      </c:pt>
                      <c:pt idx="1">
                        <c:v>0</c:v>
                      </c:pt>
                      <c:pt idx="2">
                        <c:v>0</c:v>
                      </c:pt>
                      <c:pt idx="3">
                        <c:v>2030</c:v>
                      </c:pt>
                    </c:numCache>
                  </c:numRef>
                </c:cat>
                <c:val>
                  <c:numRef>
                    <c:extLst>
                      <c:ext uri="{02D57815-91ED-43cb-92C2-25804820EDAC}">
                        <c15:formulaRef>
                          <c15:sqref>Objectifs!$M$13:$P$13</c15:sqref>
                        </c15:formulaRef>
                      </c:ext>
                    </c:extLst>
                    <c:numCache>
                      <c:formatCode>_ * #,##0_ ;_ * \-#,##0_ ;_ * "-"??_ ;_ @_ </c:formatCode>
                      <c:ptCount val="4"/>
                      <c:pt idx="0">
                        <c:v>0</c:v>
                      </c:pt>
                      <c:pt idx="1">
                        <c:v>0</c:v>
                      </c:pt>
                      <c:pt idx="2">
                        <c:v>0</c:v>
                      </c:pt>
                      <c:pt idx="3">
                        <c:v>0</c:v>
                      </c:pt>
                    </c:numCache>
                  </c:numRef>
                </c:val>
                <c:extLst>
                  <c:ext xmlns:c16="http://schemas.microsoft.com/office/drawing/2014/chart" uri="{C3380CC4-5D6E-409C-BE32-E72D297353CC}">
                    <c16:uniqueId val="{0000001E-7113-4ADA-8D06-01834509887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Objectifs!#REF!</c15:sqref>
                        </c15:formulaRef>
                      </c:ext>
                    </c:extLst>
                    <c:strCache>
                      <c:ptCount val="1"/>
                      <c:pt idx="0">
                        <c:v>#REF!</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Objectifs!$M$10:$P$10</c15:sqref>
                        </c15:formulaRef>
                      </c:ext>
                    </c:extLst>
                    <c:numCache>
                      <c:formatCode>General</c:formatCode>
                      <c:ptCount val="4"/>
                      <c:pt idx="0">
                        <c:v>2006</c:v>
                      </c:pt>
                      <c:pt idx="1">
                        <c:v>0</c:v>
                      </c:pt>
                      <c:pt idx="2">
                        <c:v>0</c:v>
                      </c:pt>
                      <c:pt idx="3">
                        <c:v>2030</c:v>
                      </c:pt>
                    </c:numCache>
                  </c:numRef>
                </c:cat>
                <c:val>
                  <c:numRef>
                    <c:extLst xmlns:c15="http://schemas.microsoft.com/office/drawing/2012/chart">
                      <c:ext xmlns:c15="http://schemas.microsoft.com/office/drawing/2012/chart" uri="{02D57815-91ED-43cb-92C2-25804820EDAC}">
                        <c15:formulaRef>
                          <c15:sqref>Objectifs!#REF!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F-7113-4ADA-8D06-01834509887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Objectifs!$L$14</c15:sqref>
                        </c15:formulaRef>
                      </c:ext>
                    </c:extLst>
                    <c:strCache>
                      <c:ptCount val="1"/>
                      <c:pt idx="0">
                        <c:v>Autres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Objectifs!$M$10:$P$10</c15:sqref>
                        </c15:formulaRef>
                      </c:ext>
                    </c:extLst>
                    <c:numCache>
                      <c:formatCode>General</c:formatCode>
                      <c:ptCount val="4"/>
                      <c:pt idx="0">
                        <c:v>2006</c:v>
                      </c:pt>
                      <c:pt idx="1">
                        <c:v>0</c:v>
                      </c:pt>
                      <c:pt idx="2">
                        <c:v>0</c:v>
                      </c:pt>
                      <c:pt idx="3">
                        <c:v>2030</c:v>
                      </c:pt>
                    </c:numCache>
                  </c:numRef>
                </c:cat>
                <c:val>
                  <c:numRef>
                    <c:extLst xmlns:c15="http://schemas.microsoft.com/office/drawing/2012/chart">
                      <c:ext xmlns:c15="http://schemas.microsoft.com/office/drawing/2012/chart" uri="{02D57815-91ED-43cb-92C2-25804820EDAC}">
                        <c15:formulaRef>
                          <c15:sqref>Objectifs!$M$14:$P$14</c15:sqref>
                        </c15:formulaRef>
                      </c:ext>
                    </c:extLst>
                    <c:numCache>
                      <c:formatCode>_ * #,##0_ ;_ * \-#,##0_ ;_ * "-"??_ ;_ @_ </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0-7113-4ADA-8D06-01834509887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Objectifs!$L$18</c15:sqref>
                        </c15:formulaRef>
                      </c:ext>
                    </c:extLst>
                    <c:strCache>
                      <c:ptCount val="1"/>
                      <c:pt idx="0">
                        <c:v>Véhicules communaux</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Objectifs!$M$10:$P$10</c15:sqref>
                        </c15:formulaRef>
                      </c:ext>
                    </c:extLst>
                    <c:numCache>
                      <c:formatCode>General</c:formatCode>
                      <c:ptCount val="4"/>
                      <c:pt idx="0">
                        <c:v>2006</c:v>
                      </c:pt>
                      <c:pt idx="1">
                        <c:v>0</c:v>
                      </c:pt>
                      <c:pt idx="2">
                        <c:v>0</c:v>
                      </c:pt>
                      <c:pt idx="3">
                        <c:v>2030</c:v>
                      </c:pt>
                    </c:numCache>
                  </c:numRef>
                </c:cat>
                <c:val>
                  <c:numRef>
                    <c:extLst xmlns:c15="http://schemas.microsoft.com/office/drawing/2012/chart">
                      <c:ext xmlns:c15="http://schemas.microsoft.com/office/drawing/2012/chart" uri="{02D57815-91ED-43cb-92C2-25804820EDAC}">
                        <c15:formulaRef>
                          <c15:sqref>Objectifs!$M$18:$P$18</c15:sqref>
                        </c15:formulaRef>
                      </c:ext>
                    </c:extLst>
                    <c:numCache>
                      <c:formatCode>_ * #,##0_ ;_ * \-#,##0_ ;_ * "-"??_ ;_ @_ </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1-7113-4ADA-8D06-01834509887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Objectifs!$L$19</c15:sqref>
                        </c15:formulaRef>
                      </c:ext>
                    </c:extLst>
                    <c:strCache>
                      <c:ptCount val="1"/>
                      <c:pt idx="0">
                        <c:v>Autres </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Objectifs!$M$10:$P$10</c15:sqref>
                        </c15:formulaRef>
                      </c:ext>
                    </c:extLst>
                    <c:numCache>
                      <c:formatCode>General</c:formatCode>
                      <c:ptCount val="4"/>
                      <c:pt idx="0">
                        <c:v>2006</c:v>
                      </c:pt>
                      <c:pt idx="1">
                        <c:v>0</c:v>
                      </c:pt>
                      <c:pt idx="2">
                        <c:v>0</c:v>
                      </c:pt>
                      <c:pt idx="3">
                        <c:v>2030</c:v>
                      </c:pt>
                    </c:numCache>
                  </c:numRef>
                </c:cat>
                <c:val>
                  <c:numRef>
                    <c:extLst xmlns:c15="http://schemas.microsoft.com/office/drawing/2012/chart">
                      <c:ext xmlns:c15="http://schemas.microsoft.com/office/drawing/2012/chart" uri="{02D57815-91ED-43cb-92C2-25804820EDAC}">
                        <c15:formulaRef>
                          <c15:sqref>Objectifs!$M$19:$P$19</c15:sqref>
                        </c15:formulaRef>
                      </c:ext>
                    </c:extLst>
                    <c:numCache>
                      <c:formatCode>_ * #,##0_ ;_ * \-#,##0_ ;_ * "-"??_ ;_ @_ </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2-7113-4ADA-8D06-01834509887A}"/>
                  </c:ext>
                </c:extLst>
              </c15:ser>
            </c15:filteredBarSeries>
          </c:ext>
        </c:extLst>
      </c:barChart>
      <c:catAx>
        <c:axId val="1432417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1432417775"/>
        <c:crosses val="autoZero"/>
        <c:auto val="1"/>
        <c:lblAlgn val="ctr"/>
        <c:lblOffset val="100"/>
        <c:noMultiLvlLbl val="0"/>
      </c:catAx>
      <c:valAx>
        <c:axId val="14324177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tCO2éq</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4324173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Radio" checked="Checked" firstButton="1" fmlaLink="$E$2"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fmlaLink="$E$3" noThreeD="1"/>
</file>

<file path=xl/ctrlProps/ctrlProp19.xml><?xml version="1.0" encoding="utf-8"?>
<formControlPr xmlns="http://schemas.microsoft.com/office/spreadsheetml/2009/9/main" objectType="CheckBox" fmlaLink="B3" noThreeD="1"/>
</file>

<file path=xl/ctrlProps/ctrlProp20.xml><?xml version="1.0" encoding="utf-8"?>
<formControlPr xmlns="http://schemas.microsoft.com/office/spreadsheetml/2009/9/main" objectType="CheckBox" fmlaLink="$D$3"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Radio" checked="Checked" firstButton="1" fmlaLink="$E$2"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E$3" noThreeD="1"/>
</file>

<file path=xl/ctrlProps/ctrlProp33.xml><?xml version="1.0" encoding="utf-8"?>
<formControlPr xmlns="http://schemas.microsoft.com/office/spreadsheetml/2009/9/main" objectType="CheckBox" fmlaLink="B3" noThreeD="1"/>
</file>

<file path=xl/ctrlProps/ctrlProp34.xml><?xml version="1.0" encoding="utf-8"?>
<formControlPr xmlns="http://schemas.microsoft.com/office/spreadsheetml/2009/9/main" objectType="CheckBox" fmlaLink="$D$3"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CheckBox" fmlaLink="G22" noThreeD="1"/>
</file>

<file path=xl/ctrlProps/ctrlProp38.xml><?xml version="1.0" encoding="utf-8"?>
<formControlPr xmlns="http://schemas.microsoft.com/office/spreadsheetml/2009/9/main" objectType="CheckBox" fmlaLink="H22" noThreeD="1"/>
</file>

<file path=xl/ctrlProps/ctrlProp39.xml><?xml version="1.0" encoding="utf-8"?>
<formControlPr xmlns="http://schemas.microsoft.com/office/spreadsheetml/2009/9/main" objectType="CheckBox" fmlaLink="I22" noThreeD="1"/>
</file>

<file path=xl/ctrlProps/ctrlProp40.xml><?xml version="1.0" encoding="utf-8"?>
<formControlPr xmlns="http://schemas.microsoft.com/office/spreadsheetml/2009/9/main" objectType="CheckBox" fmlaLink="J22" noThreeD="1"/>
</file>

<file path=xl/ctrlProps/ctrlProp41.xml><?xml version="1.0" encoding="utf-8"?>
<formControlPr xmlns="http://schemas.microsoft.com/office/spreadsheetml/2009/9/main" objectType="CheckBox" fmlaLink="K22" noThreeD="1"/>
</file>

<file path=xl/ctrlProps/ctrlProp42.xml><?xml version="1.0" encoding="utf-8"?>
<formControlPr xmlns="http://schemas.microsoft.com/office/spreadsheetml/2009/9/main" objectType="CheckBox" fmlaLink="L22" noThreeD="1"/>
</file>

<file path=xl/ctrlProps/ctrlProp43.xml><?xml version="1.0" encoding="utf-8"?>
<formControlPr xmlns="http://schemas.microsoft.com/office/spreadsheetml/2009/9/main" objectType="CheckBox" fmlaLink="M22" noThreeD="1"/>
</file>

<file path=xl/ctrlProps/ctrlProp44.xml><?xml version="1.0" encoding="utf-8"?>
<formControlPr xmlns="http://schemas.microsoft.com/office/spreadsheetml/2009/9/main" objectType="CheckBox" fmlaLink="N22" noThreeD="1"/>
</file>

<file path=xl/ctrlProps/ctrlProp45.xml><?xml version="1.0" encoding="utf-8"?>
<formControlPr xmlns="http://schemas.microsoft.com/office/spreadsheetml/2009/9/main" objectType="CheckBox" fmlaLink="O22" noThreeD="1"/>
</file>

<file path=xl/ctrlProps/ctrlProp46.xml><?xml version="1.0" encoding="utf-8"?>
<formControlPr xmlns="http://schemas.microsoft.com/office/spreadsheetml/2009/9/main" objectType="CheckBox" fmlaLink="P22" noThreeD="1"/>
</file>

<file path=xl/ctrlProps/ctrlProp47.xml><?xml version="1.0" encoding="utf-8"?>
<formControlPr xmlns="http://schemas.microsoft.com/office/spreadsheetml/2009/9/main" objectType="CheckBox" fmlaLink="Q22" noThreeD="1"/>
</file>

<file path=xl/ctrlProps/ctrlProp48.xml><?xml version="1.0" encoding="utf-8"?>
<formControlPr xmlns="http://schemas.microsoft.com/office/spreadsheetml/2009/9/main" objectType="CheckBox" fmlaLink="R22" noThreeD="1"/>
</file>

<file path=xl/ctrlProps/ctrlProp49.xml><?xml version="1.0" encoding="utf-8"?>
<formControlPr xmlns="http://schemas.microsoft.com/office/spreadsheetml/2009/9/main" objectType="CheckBox" fmlaLink="S22" noThreeD="1"/>
</file>

<file path=xl/ctrlProps/ctrlProp50.xml><?xml version="1.0" encoding="utf-8"?>
<formControlPr xmlns="http://schemas.microsoft.com/office/spreadsheetml/2009/9/main" objectType="CheckBox" fmlaLink="G22" noThreeD="1"/>
</file>

<file path=xl/ctrlProps/ctrlProp51.xml><?xml version="1.0" encoding="utf-8"?>
<formControlPr xmlns="http://schemas.microsoft.com/office/spreadsheetml/2009/9/main" objectType="CheckBox" fmlaLink="H22" noThreeD="1"/>
</file>

<file path=xl/ctrlProps/ctrlProp52.xml><?xml version="1.0" encoding="utf-8"?>
<formControlPr xmlns="http://schemas.microsoft.com/office/spreadsheetml/2009/9/main" objectType="CheckBox" fmlaLink="I22" noThreeD="1"/>
</file>

<file path=xl/ctrlProps/ctrlProp53.xml><?xml version="1.0" encoding="utf-8"?>
<formControlPr xmlns="http://schemas.microsoft.com/office/spreadsheetml/2009/9/main" objectType="CheckBox" fmlaLink="J22" noThreeD="1"/>
</file>

<file path=xl/ctrlProps/ctrlProp54.xml><?xml version="1.0" encoding="utf-8"?>
<formControlPr xmlns="http://schemas.microsoft.com/office/spreadsheetml/2009/9/main" objectType="CheckBox" fmlaLink="K22" noThreeD="1"/>
</file>

<file path=xl/ctrlProps/ctrlProp55.xml><?xml version="1.0" encoding="utf-8"?>
<formControlPr xmlns="http://schemas.microsoft.com/office/spreadsheetml/2009/9/main" objectType="CheckBox" fmlaLink="L22" noThreeD="1"/>
</file>

<file path=xl/ctrlProps/ctrlProp56.xml><?xml version="1.0" encoding="utf-8"?>
<formControlPr xmlns="http://schemas.microsoft.com/office/spreadsheetml/2009/9/main" objectType="CheckBox" fmlaLink="M22" noThreeD="1"/>
</file>

<file path=xl/ctrlProps/ctrlProp57.xml><?xml version="1.0" encoding="utf-8"?>
<formControlPr xmlns="http://schemas.microsoft.com/office/spreadsheetml/2009/9/main" objectType="CheckBox" fmlaLink="N22" noThreeD="1"/>
</file>

<file path=xl/ctrlProps/ctrlProp58.xml><?xml version="1.0" encoding="utf-8"?>
<formControlPr xmlns="http://schemas.microsoft.com/office/spreadsheetml/2009/9/main" objectType="CheckBox" fmlaLink="O22" noThreeD="1"/>
</file>

<file path=xl/ctrlProps/ctrlProp59.xml><?xml version="1.0" encoding="utf-8"?>
<formControlPr xmlns="http://schemas.microsoft.com/office/spreadsheetml/2009/9/main" objectType="CheckBox" fmlaLink="P22" noThreeD="1"/>
</file>

<file path=xl/ctrlProps/ctrlProp60.xml><?xml version="1.0" encoding="utf-8"?>
<formControlPr xmlns="http://schemas.microsoft.com/office/spreadsheetml/2009/9/main" objectType="CheckBox" fmlaLink="Q22" noThreeD="1"/>
</file>

<file path=xl/ctrlProps/ctrlProp61.xml><?xml version="1.0" encoding="utf-8"?>
<formControlPr xmlns="http://schemas.microsoft.com/office/spreadsheetml/2009/9/main" objectType="CheckBox" fmlaLink="R22" noThreeD="1"/>
</file>

<file path=xl/ctrlProps/ctrlProp62.xml><?xml version="1.0" encoding="utf-8"?>
<formControlPr xmlns="http://schemas.microsoft.com/office/spreadsheetml/2009/9/main" objectType="CheckBox" fmlaLink="S22" noThreeD="1"/>
</file>

<file path=xl/ctrlProps/ctrlProp63.xml><?xml version="1.0" encoding="utf-8"?>
<formControlPr xmlns="http://schemas.microsoft.com/office/spreadsheetml/2009/9/main" objectType="CheckBox" fmlaLink="G22" noThreeD="1"/>
</file>

<file path=xl/ctrlProps/ctrlProp64.xml><?xml version="1.0" encoding="utf-8"?>
<formControlPr xmlns="http://schemas.microsoft.com/office/spreadsheetml/2009/9/main" objectType="CheckBox" fmlaLink="H22" noThreeD="1"/>
</file>

<file path=xl/ctrlProps/ctrlProp65.xml><?xml version="1.0" encoding="utf-8"?>
<formControlPr xmlns="http://schemas.microsoft.com/office/spreadsheetml/2009/9/main" objectType="CheckBox" fmlaLink="I22" noThreeD="1"/>
</file>

<file path=xl/ctrlProps/ctrlProp66.xml><?xml version="1.0" encoding="utf-8"?>
<formControlPr xmlns="http://schemas.microsoft.com/office/spreadsheetml/2009/9/main" objectType="CheckBox" fmlaLink="J22" noThreeD="1"/>
</file>

<file path=xl/ctrlProps/ctrlProp67.xml><?xml version="1.0" encoding="utf-8"?>
<formControlPr xmlns="http://schemas.microsoft.com/office/spreadsheetml/2009/9/main" objectType="CheckBox" fmlaLink="K22" noThreeD="1"/>
</file>

<file path=xl/ctrlProps/ctrlProp68.xml><?xml version="1.0" encoding="utf-8"?>
<formControlPr xmlns="http://schemas.microsoft.com/office/spreadsheetml/2009/9/main" objectType="CheckBox" fmlaLink="L22" noThreeD="1"/>
</file>

<file path=xl/ctrlProps/ctrlProp69.xml><?xml version="1.0" encoding="utf-8"?>
<formControlPr xmlns="http://schemas.microsoft.com/office/spreadsheetml/2009/9/main" objectType="CheckBox" fmlaLink="M22" noThreeD="1"/>
</file>

<file path=xl/ctrlProps/ctrlProp70.xml><?xml version="1.0" encoding="utf-8"?>
<formControlPr xmlns="http://schemas.microsoft.com/office/spreadsheetml/2009/9/main" objectType="CheckBox" fmlaLink="N22" noThreeD="1"/>
</file>

<file path=xl/ctrlProps/ctrlProp71.xml><?xml version="1.0" encoding="utf-8"?>
<formControlPr xmlns="http://schemas.microsoft.com/office/spreadsheetml/2009/9/main" objectType="CheckBox" fmlaLink="O22" noThreeD="1"/>
</file>

<file path=xl/ctrlProps/ctrlProp72.xml><?xml version="1.0" encoding="utf-8"?>
<formControlPr xmlns="http://schemas.microsoft.com/office/spreadsheetml/2009/9/main" objectType="CheckBox" fmlaLink="P22" noThreeD="1"/>
</file>

<file path=xl/ctrlProps/ctrlProp73.xml><?xml version="1.0" encoding="utf-8"?>
<formControlPr xmlns="http://schemas.microsoft.com/office/spreadsheetml/2009/9/main" objectType="CheckBox" fmlaLink="Q22" noThreeD="1"/>
</file>

<file path=xl/ctrlProps/ctrlProp74.xml><?xml version="1.0" encoding="utf-8"?>
<formControlPr xmlns="http://schemas.microsoft.com/office/spreadsheetml/2009/9/main" objectType="CheckBox" fmlaLink="R22" noThreeD="1"/>
</file>

<file path=xl/ctrlProps/ctrlProp75.xml><?xml version="1.0" encoding="utf-8"?>
<formControlPr xmlns="http://schemas.microsoft.com/office/spreadsheetml/2009/9/main" objectType="CheckBox" fmlaLink="S22" noThreeD="1"/>
</file>

<file path=xl/ctrlProps/ctrlProp76.xml><?xml version="1.0" encoding="utf-8"?>
<formControlPr xmlns="http://schemas.microsoft.com/office/spreadsheetml/2009/9/main" objectType="CheckBox" fmlaLink="G22" noThreeD="1"/>
</file>

<file path=xl/ctrlProps/ctrlProp77.xml><?xml version="1.0" encoding="utf-8"?>
<formControlPr xmlns="http://schemas.microsoft.com/office/spreadsheetml/2009/9/main" objectType="CheckBox" fmlaLink="H22" noThreeD="1"/>
</file>

<file path=xl/ctrlProps/ctrlProp78.xml><?xml version="1.0" encoding="utf-8"?>
<formControlPr xmlns="http://schemas.microsoft.com/office/spreadsheetml/2009/9/main" objectType="CheckBox" fmlaLink="I22" noThreeD="1"/>
</file>

<file path=xl/ctrlProps/ctrlProp79.xml><?xml version="1.0" encoding="utf-8"?>
<formControlPr xmlns="http://schemas.microsoft.com/office/spreadsheetml/2009/9/main" objectType="CheckBox" fmlaLink="J22" noThreeD="1"/>
</file>

<file path=xl/ctrlProps/ctrlProp80.xml><?xml version="1.0" encoding="utf-8"?>
<formControlPr xmlns="http://schemas.microsoft.com/office/spreadsheetml/2009/9/main" objectType="CheckBox" fmlaLink="K22" noThreeD="1"/>
</file>

<file path=xl/ctrlProps/ctrlProp81.xml><?xml version="1.0" encoding="utf-8"?>
<formControlPr xmlns="http://schemas.microsoft.com/office/spreadsheetml/2009/9/main" objectType="CheckBox" fmlaLink="L22" noThreeD="1"/>
</file>

<file path=xl/ctrlProps/ctrlProp82.xml><?xml version="1.0" encoding="utf-8"?>
<formControlPr xmlns="http://schemas.microsoft.com/office/spreadsheetml/2009/9/main" objectType="CheckBox" fmlaLink="M22" noThreeD="1"/>
</file>

<file path=xl/ctrlProps/ctrlProp83.xml><?xml version="1.0" encoding="utf-8"?>
<formControlPr xmlns="http://schemas.microsoft.com/office/spreadsheetml/2009/9/main" objectType="CheckBox" fmlaLink="N22" noThreeD="1"/>
</file>

<file path=xl/ctrlProps/ctrlProp84.xml><?xml version="1.0" encoding="utf-8"?>
<formControlPr xmlns="http://schemas.microsoft.com/office/spreadsheetml/2009/9/main" objectType="CheckBox" fmlaLink="O22" noThreeD="1"/>
</file>

<file path=xl/ctrlProps/ctrlProp85.xml><?xml version="1.0" encoding="utf-8"?>
<formControlPr xmlns="http://schemas.microsoft.com/office/spreadsheetml/2009/9/main" objectType="CheckBox" fmlaLink="P22" noThreeD="1"/>
</file>

<file path=xl/ctrlProps/ctrlProp86.xml><?xml version="1.0" encoding="utf-8"?>
<formControlPr xmlns="http://schemas.microsoft.com/office/spreadsheetml/2009/9/main" objectType="CheckBox" fmlaLink="Q22" noThreeD="1"/>
</file>

<file path=xl/ctrlProps/ctrlProp87.xml><?xml version="1.0" encoding="utf-8"?>
<formControlPr xmlns="http://schemas.microsoft.com/office/spreadsheetml/2009/9/main" objectType="CheckBox" fmlaLink="R22" noThreeD="1"/>
</file>

<file path=xl/ctrlProps/ctrlProp88.xml><?xml version="1.0" encoding="utf-8"?>
<formControlPr xmlns="http://schemas.microsoft.com/office/spreadsheetml/2009/9/main" objectType="CheckBox" fmlaLink="S22" noThreeD="1"/>
</file>

<file path=xl/ctrlProps/ctrlProp89.xml><?xml version="1.0" encoding="utf-8"?>
<formControlPr xmlns="http://schemas.microsoft.com/office/spreadsheetml/2009/9/main" objectType="CheckBox" fmlaLink="G22" noThreeD="1"/>
</file>

<file path=xl/ctrlProps/ctrlProp90.xml><?xml version="1.0" encoding="utf-8"?>
<formControlPr xmlns="http://schemas.microsoft.com/office/spreadsheetml/2009/9/main" objectType="CheckBox" fmlaLink="H22" noThreeD="1"/>
</file>

<file path=xl/ctrlProps/ctrlProp91.xml><?xml version="1.0" encoding="utf-8"?>
<formControlPr xmlns="http://schemas.microsoft.com/office/spreadsheetml/2009/9/main" objectType="CheckBox" fmlaLink="I22" noThreeD="1"/>
</file>

<file path=xl/ctrlProps/ctrlProp92.xml><?xml version="1.0" encoding="utf-8"?>
<formControlPr xmlns="http://schemas.microsoft.com/office/spreadsheetml/2009/9/main" objectType="CheckBox" fmlaLink="J22" noThreeD="1"/>
</file>

<file path=xl/ctrlProps/ctrlProp93.xml><?xml version="1.0" encoding="utf-8"?>
<formControlPr xmlns="http://schemas.microsoft.com/office/spreadsheetml/2009/9/main" objectType="CheckBox" fmlaLink="K22" noThreeD="1"/>
</file>

<file path=xl/ctrlProps/ctrlProp94.xml><?xml version="1.0" encoding="utf-8"?>
<formControlPr xmlns="http://schemas.microsoft.com/office/spreadsheetml/2009/9/main" objectType="CheckBox" fmlaLink="L22" noThreeD="1"/>
</file>

<file path=xl/ctrlProps/ctrlProp95.xml><?xml version="1.0" encoding="utf-8"?>
<formControlPr xmlns="http://schemas.microsoft.com/office/spreadsheetml/2009/9/main" objectType="CheckBox" fmlaLink="M22" noThreeD="1"/>
</file>

<file path=xl/ctrlProps/ctrlProp96.xml><?xml version="1.0" encoding="utf-8"?>
<formControlPr xmlns="http://schemas.microsoft.com/office/spreadsheetml/2009/9/main" objectType="CheckBox" fmlaLink="N22" noThreeD="1"/>
</file>

<file path=xl/ctrlProps/ctrlProp97.xml><?xml version="1.0" encoding="utf-8"?>
<formControlPr xmlns="http://schemas.microsoft.com/office/spreadsheetml/2009/9/main" objectType="CheckBox" fmlaLink="O22" noThreeD="1"/>
</file>

<file path=xl/ctrlProps/ctrlProp98.xml><?xml version="1.0" encoding="utf-8"?>
<formControlPr xmlns="http://schemas.microsoft.com/office/spreadsheetml/2009/9/main" objectType="CheckBox" fmlaLink="P22" noThreeD="1"/>
</file>

<file path=xl/ctrlProps/ctrlProp99.xml><?xml version="1.0" encoding="utf-8"?>
<formControlPr xmlns="http://schemas.microsoft.com/office/spreadsheetml/2009/9/main" objectType="CheckBox" fmlaLink="Q22" noThreeD="1"/>
</file>

<file path=xl/ctrlProps/ctrlProp100.xml><?xml version="1.0" encoding="utf-8"?>
<formControlPr xmlns="http://schemas.microsoft.com/office/spreadsheetml/2009/9/main" objectType="CheckBox" fmlaLink="R22" noThreeD="1"/>
</file>

<file path=xl/ctrlProps/ctrlProp101.xml><?xml version="1.0" encoding="utf-8"?>
<formControlPr xmlns="http://schemas.microsoft.com/office/spreadsheetml/2009/9/main" objectType="CheckBox" fmlaLink="S22" noThreeD="1"/>
</file>

<file path=xl/ctrlProps/ctrlProp102.xml><?xml version="1.0" encoding="utf-8"?>
<formControlPr xmlns="http://schemas.microsoft.com/office/spreadsheetml/2009/9/main" objectType="CheckBox" fmlaLink="G22" noThreeD="1"/>
</file>

<file path=xl/ctrlProps/ctrlProp103.xml><?xml version="1.0" encoding="utf-8"?>
<formControlPr xmlns="http://schemas.microsoft.com/office/spreadsheetml/2009/9/main" objectType="CheckBox" fmlaLink="H22" noThreeD="1"/>
</file>

<file path=xl/ctrlProps/ctrlProp104.xml><?xml version="1.0" encoding="utf-8"?>
<formControlPr xmlns="http://schemas.microsoft.com/office/spreadsheetml/2009/9/main" objectType="CheckBox" fmlaLink="I22" noThreeD="1"/>
</file>

<file path=xl/ctrlProps/ctrlProp105.xml><?xml version="1.0" encoding="utf-8"?>
<formControlPr xmlns="http://schemas.microsoft.com/office/spreadsheetml/2009/9/main" objectType="CheckBox" fmlaLink="J22" noThreeD="1"/>
</file>

<file path=xl/ctrlProps/ctrlProp106.xml><?xml version="1.0" encoding="utf-8"?>
<formControlPr xmlns="http://schemas.microsoft.com/office/spreadsheetml/2009/9/main" objectType="CheckBox" fmlaLink="K22" noThreeD="1"/>
</file>

<file path=xl/ctrlProps/ctrlProp107.xml><?xml version="1.0" encoding="utf-8"?>
<formControlPr xmlns="http://schemas.microsoft.com/office/spreadsheetml/2009/9/main" objectType="CheckBox" fmlaLink="L22" noThreeD="1"/>
</file>

<file path=xl/ctrlProps/ctrlProp108.xml><?xml version="1.0" encoding="utf-8"?>
<formControlPr xmlns="http://schemas.microsoft.com/office/spreadsheetml/2009/9/main" objectType="CheckBox" fmlaLink="M22" noThreeD="1"/>
</file>

<file path=xl/ctrlProps/ctrlProp109.xml><?xml version="1.0" encoding="utf-8"?>
<formControlPr xmlns="http://schemas.microsoft.com/office/spreadsheetml/2009/9/main" objectType="CheckBox" fmlaLink="N22" noThreeD="1"/>
</file>

<file path=xl/ctrlProps/ctrlProp110.xml><?xml version="1.0" encoding="utf-8"?>
<formControlPr xmlns="http://schemas.microsoft.com/office/spreadsheetml/2009/9/main" objectType="CheckBox" fmlaLink="O22" noThreeD="1"/>
</file>

<file path=xl/ctrlProps/ctrlProp111.xml><?xml version="1.0" encoding="utf-8"?>
<formControlPr xmlns="http://schemas.microsoft.com/office/spreadsheetml/2009/9/main" objectType="CheckBox" fmlaLink="P22" noThreeD="1"/>
</file>

<file path=xl/ctrlProps/ctrlProp112.xml><?xml version="1.0" encoding="utf-8"?>
<formControlPr xmlns="http://schemas.microsoft.com/office/spreadsheetml/2009/9/main" objectType="CheckBox" fmlaLink="Q22" noThreeD="1"/>
</file>

<file path=xl/ctrlProps/ctrlProp113.xml><?xml version="1.0" encoding="utf-8"?>
<formControlPr xmlns="http://schemas.microsoft.com/office/spreadsheetml/2009/9/main" objectType="CheckBox" fmlaLink="R22" noThreeD="1"/>
</file>

<file path=xl/ctrlProps/ctrlProp114.xml><?xml version="1.0" encoding="utf-8"?>
<formControlPr xmlns="http://schemas.microsoft.com/office/spreadsheetml/2009/9/main" objectType="CheckBox" fmlaLink="S22" noThreeD="1"/>
</file>

<file path=xl/drawings/_rels/drawing1.xml.rels><?xml version="1.0" encoding="UTF-8" standalone="yes"?>
<Relationships xmlns="http://schemas.openxmlformats.org/package/2006/relationships"><Relationship Id="rId8" Type="http://schemas.openxmlformats.org/officeDocument/2006/relationships/hyperlink" Target="#Vision!A1"/><Relationship Id="rId13" Type="http://schemas.openxmlformats.org/officeDocument/2006/relationships/hyperlink" Target="#'Rapportage CdM'!A1"/><Relationship Id="rId18" Type="http://schemas.openxmlformats.org/officeDocument/2006/relationships/hyperlink" Target="#'Hypoth&#232;ses &amp; M&#233;thodo'!A1"/><Relationship Id="rId3" Type="http://schemas.openxmlformats.org/officeDocument/2006/relationships/image" Target="../media/image3.png"/><Relationship Id="rId7" Type="http://schemas.openxmlformats.org/officeDocument/2006/relationships/hyperlink" Target="#'Potentiel EnR'!A1"/><Relationship Id="rId12" Type="http://schemas.openxmlformats.org/officeDocument/2006/relationships/hyperlink" Target="#Budget!A1"/><Relationship Id="rId17" Type="http://schemas.openxmlformats.org/officeDocument/2006/relationships/hyperlink" Target="#'A1'!A1"/><Relationship Id="rId2" Type="http://schemas.openxmlformats.org/officeDocument/2006/relationships/image" Target="../media/image2.jpeg"/><Relationship Id="rId16" Type="http://schemas.openxmlformats.org/officeDocument/2006/relationships/hyperlink" Target="#'Donn&#233;es de bilans'!A1"/><Relationship Id="rId20" Type="http://schemas.openxmlformats.org/officeDocument/2006/relationships/hyperlink" Target="#'Rapportage POLLEC'!A1"/><Relationship Id="rId1" Type="http://schemas.openxmlformats.org/officeDocument/2006/relationships/image" Target="../media/image1.jpeg"/><Relationship Id="rId6" Type="http://schemas.openxmlformats.org/officeDocument/2006/relationships/hyperlink" Target="#'Bilan territorial'!A1"/><Relationship Id="rId11" Type="http://schemas.openxmlformats.org/officeDocument/2006/relationships/hyperlink" Target="#Actions!A1"/><Relationship Id="rId5" Type="http://schemas.openxmlformats.org/officeDocument/2006/relationships/hyperlink" Target="#'Bilan patrimonial'!A1"/><Relationship Id="rId15" Type="http://schemas.openxmlformats.org/officeDocument/2006/relationships/hyperlink" Target="#'Rapport de suivi'!A1"/><Relationship Id="rId10" Type="http://schemas.openxmlformats.org/officeDocument/2006/relationships/hyperlink" Target="#'Actions VS Objectifs'!A1"/><Relationship Id="rId19" Type="http://schemas.openxmlformats.org/officeDocument/2006/relationships/image" Target="../media/image4.png"/><Relationship Id="rId4" Type="http://schemas.openxmlformats.org/officeDocument/2006/relationships/hyperlink" Target="#'Donn&#233;es patrimoniales'!A2"/><Relationship Id="rId9" Type="http://schemas.openxmlformats.org/officeDocument/2006/relationships/hyperlink" Target="#Objectifs!A1"/><Relationship Id="rId14" Type="http://schemas.openxmlformats.org/officeDocument/2006/relationships/hyperlink" Target="#Planning!A1"/></Relationships>
</file>

<file path=xl/drawings/_rels/drawing2.xml.rels><?xml version="1.0" encoding="UTF-8" standalone="yes"?>
<Relationships xmlns="http://schemas.openxmlformats.org/package/2006/relationships"><Relationship Id="rId8" Type="http://schemas.openxmlformats.org/officeDocument/2006/relationships/hyperlink" Target="#'Actions VS Objectifs'!A1"/><Relationship Id="rId13" Type="http://schemas.openxmlformats.org/officeDocument/2006/relationships/hyperlink" Target="#Accueil!A1"/><Relationship Id="rId3" Type="http://schemas.openxmlformats.org/officeDocument/2006/relationships/hyperlink" Target="#'Bilan patrimonial'!A1"/><Relationship Id="rId7" Type="http://schemas.openxmlformats.org/officeDocument/2006/relationships/hyperlink" Target="#Objectifs!A1"/><Relationship Id="rId12" Type="http://schemas.openxmlformats.org/officeDocument/2006/relationships/hyperlink" Target="#Planning!A1"/><Relationship Id="rId2" Type="http://schemas.openxmlformats.org/officeDocument/2006/relationships/hyperlink" Target="#'Donn&#233;es de bilans'!A1"/><Relationship Id="rId16" Type="http://schemas.openxmlformats.org/officeDocument/2006/relationships/hyperlink" Target="#'Rapportage POLLEC'!A1"/><Relationship Id="rId1" Type="http://schemas.openxmlformats.org/officeDocument/2006/relationships/hyperlink" Target="#Rapportage!A1"/><Relationship Id="rId6" Type="http://schemas.openxmlformats.org/officeDocument/2006/relationships/hyperlink" Target="#Vision!A1"/><Relationship Id="rId11" Type="http://schemas.openxmlformats.org/officeDocument/2006/relationships/hyperlink" Target="#'Rapportage CdM'!A1"/><Relationship Id="rId5" Type="http://schemas.openxmlformats.org/officeDocument/2006/relationships/hyperlink" Target="#'Potentiel EnR'!A1"/><Relationship Id="rId15" Type="http://schemas.openxmlformats.org/officeDocument/2006/relationships/hyperlink" Target="#'Rapport de suivi'!A1"/><Relationship Id="rId10" Type="http://schemas.openxmlformats.org/officeDocument/2006/relationships/hyperlink" Target="#Budget!A1"/><Relationship Id="rId4" Type="http://schemas.openxmlformats.org/officeDocument/2006/relationships/hyperlink" Target="#'Bilan territorial'!A1"/><Relationship Id="rId9" Type="http://schemas.openxmlformats.org/officeDocument/2006/relationships/hyperlink" Target="#Actions!A1"/><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hyperlink" Target="#'Bilan patrimonial'!A1"/><Relationship Id="rId13" Type="http://schemas.openxmlformats.org/officeDocument/2006/relationships/hyperlink" Target="#'Actions VS Objectifs'!A1"/><Relationship Id="rId18" Type="http://schemas.openxmlformats.org/officeDocument/2006/relationships/hyperlink" Target="#Accueil!A1"/><Relationship Id="rId3" Type="http://schemas.openxmlformats.org/officeDocument/2006/relationships/hyperlink" Target="#'Donn&#233;es patrimoniales'!A360"/><Relationship Id="rId21" Type="http://schemas.openxmlformats.org/officeDocument/2006/relationships/hyperlink" Target="#'Rapportage POLLEC'!A1"/><Relationship Id="rId7" Type="http://schemas.openxmlformats.org/officeDocument/2006/relationships/hyperlink" Target="#'Donn&#233;es de bilans'!A1"/><Relationship Id="rId12" Type="http://schemas.openxmlformats.org/officeDocument/2006/relationships/hyperlink" Target="#Objectifs!A1"/><Relationship Id="rId17" Type="http://schemas.openxmlformats.org/officeDocument/2006/relationships/hyperlink" Target="#Planning!A1"/><Relationship Id="rId2" Type="http://schemas.openxmlformats.org/officeDocument/2006/relationships/hyperlink" Target="#'Donn&#233;es patrimoniales'!A352"/><Relationship Id="rId16" Type="http://schemas.openxmlformats.org/officeDocument/2006/relationships/hyperlink" Target="#'Rapportage CdM'!A1"/><Relationship Id="rId20" Type="http://schemas.openxmlformats.org/officeDocument/2006/relationships/hyperlink" Target="#'Rapport de suivi'!A1"/><Relationship Id="rId1" Type="http://schemas.openxmlformats.org/officeDocument/2006/relationships/hyperlink" Target="#'Donn&#233;es patrimoniales'!A177"/><Relationship Id="rId6" Type="http://schemas.openxmlformats.org/officeDocument/2006/relationships/hyperlink" Target="#Rapportage!A1"/><Relationship Id="rId11" Type="http://schemas.openxmlformats.org/officeDocument/2006/relationships/hyperlink" Target="#Vision!A1"/><Relationship Id="rId5" Type="http://schemas.openxmlformats.org/officeDocument/2006/relationships/hyperlink" Target="#'Donn&#233;es patrimoniales'!A2"/><Relationship Id="rId15" Type="http://schemas.openxmlformats.org/officeDocument/2006/relationships/hyperlink" Target="#Budget!A1"/><Relationship Id="rId10" Type="http://schemas.openxmlformats.org/officeDocument/2006/relationships/hyperlink" Target="#'Potentiel EnR'!A1"/><Relationship Id="rId19" Type="http://schemas.openxmlformats.org/officeDocument/2006/relationships/image" Target="../media/image1.jpeg"/><Relationship Id="rId4" Type="http://schemas.openxmlformats.org/officeDocument/2006/relationships/hyperlink" Target="#'Donn&#233;es patrimoniales'!A330"/><Relationship Id="rId9" Type="http://schemas.openxmlformats.org/officeDocument/2006/relationships/hyperlink" Target="#'Bilan territorial'!A1"/><Relationship Id="rId14" Type="http://schemas.openxmlformats.org/officeDocument/2006/relationships/hyperlink" Target="#Actions!A1"/><Relationship Id="rId22" Type="http://schemas.openxmlformats.org/officeDocument/2006/relationships/hyperlink" Target="#'Donn&#233;es patrimoniales'!A374"/></Relationships>
</file>

<file path=xl/drawings/_rels/drawing5.xml.rels><?xml version="1.0" encoding="UTF-8" standalone="yes"?>
<Relationships xmlns="http://schemas.openxmlformats.org/package/2006/relationships"><Relationship Id="rId8" Type="http://schemas.openxmlformats.org/officeDocument/2006/relationships/hyperlink" Target="#'Actions VS Objectifs'!A1"/><Relationship Id="rId13" Type="http://schemas.openxmlformats.org/officeDocument/2006/relationships/hyperlink" Target="#Accueil!A1"/><Relationship Id="rId3" Type="http://schemas.openxmlformats.org/officeDocument/2006/relationships/hyperlink" Target="#'Bilan patrimonial'!A1"/><Relationship Id="rId7" Type="http://schemas.openxmlformats.org/officeDocument/2006/relationships/hyperlink" Target="#Objectifs!A1"/><Relationship Id="rId12" Type="http://schemas.openxmlformats.org/officeDocument/2006/relationships/hyperlink" Target="#Planning!A1"/><Relationship Id="rId2" Type="http://schemas.openxmlformats.org/officeDocument/2006/relationships/hyperlink" Target="#'Donn&#233;es de bilans'!A1"/><Relationship Id="rId16" Type="http://schemas.openxmlformats.org/officeDocument/2006/relationships/hyperlink" Target="#'Rapportage POLLEC'!A1"/><Relationship Id="rId1" Type="http://schemas.openxmlformats.org/officeDocument/2006/relationships/hyperlink" Target="#Rapportage!A1"/><Relationship Id="rId6" Type="http://schemas.openxmlformats.org/officeDocument/2006/relationships/hyperlink" Target="#Vision!A1"/><Relationship Id="rId11" Type="http://schemas.openxmlformats.org/officeDocument/2006/relationships/hyperlink" Target="#'Rapportage CdM'!A1"/><Relationship Id="rId5" Type="http://schemas.openxmlformats.org/officeDocument/2006/relationships/hyperlink" Target="#'Potentiel EnR'!A1"/><Relationship Id="rId15" Type="http://schemas.openxmlformats.org/officeDocument/2006/relationships/hyperlink" Target="#'Rapport de suivi'!A1"/><Relationship Id="rId10" Type="http://schemas.openxmlformats.org/officeDocument/2006/relationships/hyperlink" Target="#Budget!A1"/><Relationship Id="rId4" Type="http://schemas.openxmlformats.org/officeDocument/2006/relationships/hyperlink" Target="#'Bilan territorial'!A1"/><Relationship Id="rId9" Type="http://schemas.openxmlformats.org/officeDocument/2006/relationships/hyperlink" Target="#Actions!A1"/><Relationship Id="rId1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hyperlink" Target="#'Bilan territorial'!A1"/><Relationship Id="rId13" Type="http://schemas.openxmlformats.org/officeDocument/2006/relationships/hyperlink" Target="#Actions!A1"/><Relationship Id="rId1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hyperlink" Target="#'Bilan patrimonial'!A1"/><Relationship Id="rId12" Type="http://schemas.openxmlformats.org/officeDocument/2006/relationships/hyperlink" Target="#'Actions VS Objectifs'!A1"/><Relationship Id="rId17" Type="http://schemas.openxmlformats.org/officeDocument/2006/relationships/hyperlink" Target="#Accueil!A1"/><Relationship Id="rId2" Type="http://schemas.openxmlformats.org/officeDocument/2006/relationships/chart" Target="../charts/chart2.xml"/><Relationship Id="rId16" Type="http://schemas.openxmlformats.org/officeDocument/2006/relationships/hyperlink" Target="#Planning!A1"/><Relationship Id="rId20" Type="http://schemas.openxmlformats.org/officeDocument/2006/relationships/hyperlink" Target="#'Rapportage POLLEC'!A1"/><Relationship Id="rId1" Type="http://schemas.openxmlformats.org/officeDocument/2006/relationships/chart" Target="../charts/chart1.xml"/><Relationship Id="rId6" Type="http://schemas.openxmlformats.org/officeDocument/2006/relationships/hyperlink" Target="#'Donn&#233;es de bilans'!A1"/><Relationship Id="rId11" Type="http://schemas.openxmlformats.org/officeDocument/2006/relationships/hyperlink" Target="#Objectifs!A1"/><Relationship Id="rId5" Type="http://schemas.openxmlformats.org/officeDocument/2006/relationships/hyperlink" Target="#Rapportage!A1"/><Relationship Id="rId15" Type="http://schemas.openxmlformats.org/officeDocument/2006/relationships/hyperlink" Target="#'Rapportage CdM'!A1"/><Relationship Id="rId10" Type="http://schemas.openxmlformats.org/officeDocument/2006/relationships/hyperlink" Target="#Vision!A1"/><Relationship Id="rId19" Type="http://schemas.openxmlformats.org/officeDocument/2006/relationships/hyperlink" Target="#'Rapport de suivi'!A1"/><Relationship Id="rId4" Type="http://schemas.openxmlformats.org/officeDocument/2006/relationships/chart" Target="../charts/chart4.xml"/><Relationship Id="rId9" Type="http://schemas.openxmlformats.org/officeDocument/2006/relationships/hyperlink" Target="#'Potentiel EnR'!A1"/><Relationship Id="rId14" Type="http://schemas.openxmlformats.org/officeDocument/2006/relationships/hyperlink" Target="#Budget!A1"/></Relationships>
</file>

<file path=xl/drawings/_rels/drawing7.xml.rels><?xml version="1.0" encoding="UTF-8" standalone="yes"?>
<Relationships xmlns="http://schemas.openxmlformats.org/package/2006/relationships"><Relationship Id="rId8" Type="http://schemas.openxmlformats.org/officeDocument/2006/relationships/hyperlink" Target="#Rapportage!A1"/><Relationship Id="rId13" Type="http://schemas.openxmlformats.org/officeDocument/2006/relationships/hyperlink" Target="#Vision!A1"/><Relationship Id="rId18" Type="http://schemas.openxmlformats.org/officeDocument/2006/relationships/hyperlink" Target="#'Rapportage CdM'!A1"/><Relationship Id="rId3" Type="http://schemas.openxmlformats.org/officeDocument/2006/relationships/chart" Target="../charts/chart7.xml"/><Relationship Id="rId21" Type="http://schemas.openxmlformats.org/officeDocument/2006/relationships/image" Target="../media/image1.jpeg"/><Relationship Id="rId7" Type="http://schemas.openxmlformats.org/officeDocument/2006/relationships/chart" Target="../charts/chart11.xml"/><Relationship Id="rId12" Type="http://schemas.openxmlformats.org/officeDocument/2006/relationships/hyperlink" Target="#'Potentiel EnR'!A1"/><Relationship Id="rId17" Type="http://schemas.openxmlformats.org/officeDocument/2006/relationships/hyperlink" Target="#Budget!A1"/><Relationship Id="rId2" Type="http://schemas.openxmlformats.org/officeDocument/2006/relationships/chart" Target="../charts/chart6.xml"/><Relationship Id="rId16" Type="http://schemas.openxmlformats.org/officeDocument/2006/relationships/hyperlink" Target="#Actions!A1"/><Relationship Id="rId20" Type="http://schemas.openxmlformats.org/officeDocument/2006/relationships/hyperlink" Target="#Accueil!A1"/><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hyperlink" Target="#'Bilan territorial'!A1"/><Relationship Id="rId5" Type="http://schemas.openxmlformats.org/officeDocument/2006/relationships/chart" Target="../charts/chart9.xml"/><Relationship Id="rId15" Type="http://schemas.openxmlformats.org/officeDocument/2006/relationships/hyperlink" Target="#'Actions VS Objectifs'!A1"/><Relationship Id="rId23" Type="http://schemas.openxmlformats.org/officeDocument/2006/relationships/hyperlink" Target="#'Rapportage POLLEC'!A1"/><Relationship Id="rId10" Type="http://schemas.openxmlformats.org/officeDocument/2006/relationships/hyperlink" Target="#'Bilan patrimonial'!A1"/><Relationship Id="rId19" Type="http://schemas.openxmlformats.org/officeDocument/2006/relationships/hyperlink" Target="#Planning!A1"/><Relationship Id="rId4" Type="http://schemas.openxmlformats.org/officeDocument/2006/relationships/chart" Target="../charts/chart8.xml"/><Relationship Id="rId9" Type="http://schemas.openxmlformats.org/officeDocument/2006/relationships/hyperlink" Target="#'Donn&#233;es de bilans'!A1"/><Relationship Id="rId14" Type="http://schemas.openxmlformats.org/officeDocument/2006/relationships/hyperlink" Target="#Objectifs!A1"/><Relationship Id="rId22" Type="http://schemas.openxmlformats.org/officeDocument/2006/relationships/hyperlink" Target="#'Rapport de suivi'!A1"/></Relationships>
</file>

<file path=xl/drawings/_rels/drawing9.xml.rels><?xml version="1.0" encoding="UTF-8" standalone="yes"?>
<Relationships xmlns="http://schemas.openxmlformats.org/package/2006/relationships"><Relationship Id="rId8" Type="http://schemas.openxmlformats.org/officeDocument/2006/relationships/hyperlink" Target="#Vision!A1"/><Relationship Id="rId13" Type="http://schemas.openxmlformats.org/officeDocument/2006/relationships/hyperlink" Target="#'Rapportage CdM'!A1"/><Relationship Id="rId18" Type="http://schemas.openxmlformats.org/officeDocument/2006/relationships/hyperlink" Target="#'Rapportage POLLEC'!A1"/><Relationship Id="rId3" Type="http://schemas.openxmlformats.org/officeDocument/2006/relationships/hyperlink" Target="#Rapportage!A1"/><Relationship Id="rId7" Type="http://schemas.openxmlformats.org/officeDocument/2006/relationships/hyperlink" Target="#'Potentiel EnR'!A1"/><Relationship Id="rId12" Type="http://schemas.openxmlformats.org/officeDocument/2006/relationships/hyperlink" Target="#Budget!A1"/><Relationship Id="rId17" Type="http://schemas.openxmlformats.org/officeDocument/2006/relationships/hyperlink" Target="#'Rapport de suivi'!A1"/><Relationship Id="rId2" Type="http://schemas.openxmlformats.org/officeDocument/2006/relationships/chart" Target="../charts/chart13.xml"/><Relationship Id="rId16" Type="http://schemas.openxmlformats.org/officeDocument/2006/relationships/image" Target="../media/image1.jpeg"/><Relationship Id="rId1" Type="http://schemas.openxmlformats.org/officeDocument/2006/relationships/chart" Target="../charts/chart12.xml"/><Relationship Id="rId6" Type="http://schemas.openxmlformats.org/officeDocument/2006/relationships/hyperlink" Target="#'Bilan territorial'!A1"/><Relationship Id="rId11" Type="http://schemas.openxmlformats.org/officeDocument/2006/relationships/hyperlink" Target="#Actions!A1"/><Relationship Id="rId5" Type="http://schemas.openxmlformats.org/officeDocument/2006/relationships/hyperlink" Target="#'Bilan patrimonial'!A1"/><Relationship Id="rId15" Type="http://schemas.openxmlformats.org/officeDocument/2006/relationships/hyperlink" Target="#Accueil!A1"/><Relationship Id="rId10" Type="http://schemas.openxmlformats.org/officeDocument/2006/relationships/hyperlink" Target="#'Actions VS Objectifs'!A1"/><Relationship Id="rId4" Type="http://schemas.openxmlformats.org/officeDocument/2006/relationships/hyperlink" Target="#'Donn&#233;es de bilans'!A1"/><Relationship Id="rId9" Type="http://schemas.openxmlformats.org/officeDocument/2006/relationships/hyperlink" Target="#Objectifs!A1"/><Relationship Id="rId14" Type="http://schemas.openxmlformats.org/officeDocument/2006/relationships/hyperlink" Target="#Planning!A1"/></Relationships>
</file>

<file path=xl/drawings/_rels/drawing10.xml.rels><?xml version="1.0" encoding="UTF-8" standalone="yes"?>
<Relationships xmlns="http://schemas.openxmlformats.org/package/2006/relationships"><Relationship Id="rId8" Type="http://schemas.openxmlformats.org/officeDocument/2006/relationships/hyperlink" Target="#Objectifs!A1"/><Relationship Id="rId13" Type="http://schemas.openxmlformats.org/officeDocument/2006/relationships/hyperlink" Target="#Planning!A1"/><Relationship Id="rId3" Type="http://schemas.openxmlformats.org/officeDocument/2006/relationships/hyperlink" Target="#'Donn&#233;es de bilans'!A1"/><Relationship Id="rId7" Type="http://schemas.openxmlformats.org/officeDocument/2006/relationships/hyperlink" Target="#Vision!A1"/><Relationship Id="rId12" Type="http://schemas.openxmlformats.org/officeDocument/2006/relationships/hyperlink" Target="#'Rapportage CdM'!A1"/><Relationship Id="rId17" Type="http://schemas.openxmlformats.org/officeDocument/2006/relationships/hyperlink" Target="#'Rapportage POLLEC'!A1"/><Relationship Id="rId2" Type="http://schemas.openxmlformats.org/officeDocument/2006/relationships/hyperlink" Target="#Rapportage!A1"/><Relationship Id="rId16" Type="http://schemas.openxmlformats.org/officeDocument/2006/relationships/hyperlink" Target="#'Rapport de suivi'!A1"/><Relationship Id="rId1" Type="http://schemas.openxmlformats.org/officeDocument/2006/relationships/chart" Target="../charts/chart14.xml"/><Relationship Id="rId6" Type="http://schemas.openxmlformats.org/officeDocument/2006/relationships/hyperlink" Target="#'Potentiel EnR'!A1"/><Relationship Id="rId11" Type="http://schemas.openxmlformats.org/officeDocument/2006/relationships/hyperlink" Target="#Budget!A1"/><Relationship Id="rId5" Type="http://schemas.openxmlformats.org/officeDocument/2006/relationships/hyperlink" Target="#'Bilan territorial'!A1"/><Relationship Id="rId15" Type="http://schemas.openxmlformats.org/officeDocument/2006/relationships/image" Target="../media/image1.jpeg"/><Relationship Id="rId10" Type="http://schemas.openxmlformats.org/officeDocument/2006/relationships/hyperlink" Target="#Actions!A1"/><Relationship Id="rId4" Type="http://schemas.openxmlformats.org/officeDocument/2006/relationships/hyperlink" Target="#'Bilan patrimonial'!A1"/><Relationship Id="rId9" Type="http://schemas.openxmlformats.org/officeDocument/2006/relationships/hyperlink" Target="#'Actions VS Objectifs'!A1"/><Relationship Id="rId14" Type="http://schemas.openxmlformats.org/officeDocument/2006/relationships/hyperlink" Target="#Accueil!A1"/></Relationships>
</file>

<file path=xl/drawings/_rels/drawing11.xml.rels><?xml version="1.0" encoding="UTF-8" standalone="yes"?>
<Relationships xmlns="http://schemas.openxmlformats.org/package/2006/relationships"><Relationship Id="rId8" Type="http://schemas.openxmlformats.org/officeDocument/2006/relationships/hyperlink" Target="#'Potentiel EnR'!A1"/><Relationship Id="rId13" Type="http://schemas.openxmlformats.org/officeDocument/2006/relationships/hyperlink" Target="#Budget!A1"/><Relationship Id="rId18" Type="http://schemas.openxmlformats.org/officeDocument/2006/relationships/hyperlink" Target="#'Rapport de suivi'!A1"/><Relationship Id="rId3" Type="http://schemas.openxmlformats.org/officeDocument/2006/relationships/chart" Target="../charts/chart17.xml"/><Relationship Id="rId7" Type="http://schemas.openxmlformats.org/officeDocument/2006/relationships/hyperlink" Target="#'Bilan territorial'!A1"/><Relationship Id="rId12" Type="http://schemas.openxmlformats.org/officeDocument/2006/relationships/hyperlink" Target="#Actions!A1"/><Relationship Id="rId17" Type="http://schemas.openxmlformats.org/officeDocument/2006/relationships/image" Target="../media/image1.jpeg"/><Relationship Id="rId2" Type="http://schemas.openxmlformats.org/officeDocument/2006/relationships/chart" Target="../charts/chart16.xml"/><Relationship Id="rId16" Type="http://schemas.openxmlformats.org/officeDocument/2006/relationships/hyperlink" Target="#Accueil!A1"/><Relationship Id="rId1" Type="http://schemas.openxmlformats.org/officeDocument/2006/relationships/chart" Target="../charts/chart15.xml"/><Relationship Id="rId6" Type="http://schemas.openxmlformats.org/officeDocument/2006/relationships/hyperlink" Target="#'Bilan patrimonial'!A1"/><Relationship Id="rId11" Type="http://schemas.openxmlformats.org/officeDocument/2006/relationships/hyperlink" Target="#'Actions VS Objectifs'!A1"/><Relationship Id="rId5" Type="http://schemas.openxmlformats.org/officeDocument/2006/relationships/hyperlink" Target="#'Donn&#233;es de bilans'!A1"/><Relationship Id="rId15" Type="http://schemas.openxmlformats.org/officeDocument/2006/relationships/hyperlink" Target="#Planning!A1"/><Relationship Id="rId10" Type="http://schemas.openxmlformats.org/officeDocument/2006/relationships/hyperlink" Target="#Objectifs!A1"/><Relationship Id="rId19" Type="http://schemas.openxmlformats.org/officeDocument/2006/relationships/hyperlink" Target="#'Rapportage POLLEC'!A1"/><Relationship Id="rId4" Type="http://schemas.openxmlformats.org/officeDocument/2006/relationships/hyperlink" Target="#Rapportage!A1"/><Relationship Id="rId9" Type="http://schemas.openxmlformats.org/officeDocument/2006/relationships/hyperlink" Target="#Vision!A1"/><Relationship Id="rId14" Type="http://schemas.openxmlformats.org/officeDocument/2006/relationships/hyperlink" Target="#'Rapportage CdM'!A1"/></Relationships>
</file>

<file path=xl/drawings/_rels/drawing14.xml.rels><?xml version="1.0" encoding="UTF-8" standalone="yes"?>
<Relationships xmlns="http://schemas.openxmlformats.org/package/2006/relationships"><Relationship Id="rId8" Type="http://schemas.openxmlformats.org/officeDocument/2006/relationships/hyperlink" Target="#'Actions VS Objectifs'!A1"/><Relationship Id="rId13" Type="http://schemas.openxmlformats.org/officeDocument/2006/relationships/hyperlink" Target="#Accueil!A1"/><Relationship Id="rId18" Type="http://schemas.openxmlformats.org/officeDocument/2006/relationships/hyperlink" Target="#Sc&#233;narios!A45"/><Relationship Id="rId26" Type="http://schemas.openxmlformats.org/officeDocument/2006/relationships/hyperlink" Target="#Sc&#233;narios!A262"/><Relationship Id="rId3" Type="http://schemas.openxmlformats.org/officeDocument/2006/relationships/hyperlink" Target="#'Bilan patrimonial'!A1"/><Relationship Id="rId21" Type="http://schemas.openxmlformats.org/officeDocument/2006/relationships/hyperlink" Target="#Sc&#233;narios!A123"/><Relationship Id="rId7" Type="http://schemas.openxmlformats.org/officeDocument/2006/relationships/hyperlink" Target="#Objectifs!A1"/><Relationship Id="rId12" Type="http://schemas.openxmlformats.org/officeDocument/2006/relationships/hyperlink" Target="#Planning!A1"/><Relationship Id="rId17" Type="http://schemas.openxmlformats.org/officeDocument/2006/relationships/hyperlink" Target="#Sc&#233;narios!A20"/><Relationship Id="rId25" Type="http://schemas.openxmlformats.org/officeDocument/2006/relationships/hyperlink" Target="#Sc&#233;narios!A237"/><Relationship Id="rId2" Type="http://schemas.openxmlformats.org/officeDocument/2006/relationships/hyperlink" Target="#'Donn&#233;es de bilans'!A1"/><Relationship Id="rId16" Type="http://schemas.openxmlformats.org/officeDocument/2006/relationships/hyperlink" Target="#'Rapportage POLLEC'!A1"/><Relationship Id="rId20" Type="http://schemas.openxmlformats.org/officeDocument/2006/relationships/hyperlink" Target="#Sc&#233;narios!A97"/><Relationship Id="rId29" Type="http://schemas.openxmlformats.org/officeDocument/2006/relationships/hyperlink" Target="#Sc&#233;narios!A467"/><Relationship Id="rId1" Type="http://schemas.openxmlformats.org/officeDocument/2006/relationships/hyperlink" Target="#Rapportage!A1"/><Relationship Id="rId6" Type="http://schemas.openxmlformats.org/officeDocument/2006/relationships/hyperlink" Target="#Vision!A1"/><Relationship Id="rId11" Type="http://schemas.openxmlformats.org/officeDocument/2006/relationships/hyperlink" Target="#'Rapportage CdM'!A1"/><Relationship Id="rId24" Type="http://schemas.openxmlformats.org/officeDocument/2006/relationships/hyperlink" Target="#Sc&#233;narios!A211"/><Relationship Id="rId5" Type="http://schemas.openxmlformats.org/officeDocument/2006/relationships/hyperlink" Target="#'Potentiel EnR'!A1"/><Relationship Id="rId15" Type="http://schemas.openxmlformats.org/officeDocument/2006/relationships/hyperlink" Target="#'Rapport de suivi'!A1"/><Relationship Id="rId23" Type="http://schemas.openxmlformats.org/officeDocument/2006/relationships/hyperlink" Target="#Sc&#233;narios!A180"/><Relationship Id="rId28" Type="http://schemas.openxmlformats.org/officeDocument/2006/relationships/hyperlink" Target="#Sc&#233;narios!A314"/><Relationship Id="rId10" Type="http://schemas.openxmlformats.org/officeDocument/2006/relationships/hyperlink" Target="#Budget!A1"/><Relationship Id="rId19" Type="http://schemas.openxmlformats.org/officeDocument/2006/relationships/hyperlink" Target="#Sc&#233;narios!A71"/><Relationship Id="rId4" Type="http://schemas.openxmlformats.org/officeDocument/2006/relationships/hyperlink" Target="#'Bilan territorial'!A1"/><Relationship Id="rId9" Type="http://schemas.openxmlformats.org/officeDocument/2006/relationships/hyperlink" Target="#Actions!A1"/><Relationship Id="rId14" Type="http://schemas.openxmlformats.org/officeDocument/2006/relationships/image" Target="../media/image1.jpeg"/><Relationship Id="rId22" Type="http://schemas.openxmlformats.org/officeDocument/2006/relationships/hyperlink" Target="#Sc&#233;narios!A154"/><Relationship Id="rId27" Type="http://schemas.openxmlformats.org/officeDocument/2006/relationships/hyperlink" Target="#Sc&#233;narios!A288"/></Relationships>
</file>

<file path=xl/drawings/_rels/drawing15.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hyperlink" Target="#'Donn&#233;es de bilans'!A1"/><Relationship Id="rId3" Type="http://schemas.openxmlformats.org/officeDocument/2006/relationships/hyperlink" Target="#'Bilan territorial'!A1"/><Relationship Id="rId7" Type="http://schemas.openxmlformats.org/officeDocument/2006/relationships/hyperlink" Target="#'Actions VS Objectifs'!A1"/><Relationship Id="rId12" Type="http://schemas.openxmlformats.org/officeDocument/2006/relationships/hyperlink" Target="#'Rapport de suivi'!A1"/><Relationship Id="rId2" Type="http://schemas.openxmlformats.org/officeDocument/2006/relationships/hyperlink" Target="#'Bilan patrimonial'!A1"/><Relationship Id="rId16" Type="http://schemas.openxmlformats.org/officeDocument/2006/relationships/hyperlink" Target="#'Rapportage POLLEC'!A1"/><Relationship Id="rId1" Type="http://schemas.openxmlformats.org/officeDocument/2006/relationships/hyperlink" Target="#'Donn&#233;es patrimoniales'!A2"/><Relationship Id="rId6" Type="http://schemas.openxmlformats.org/officeDocument/2006/relationships/hyperlink" Target="#Objectifs!A1"/><Relationship Id="rId11" Type="http://schemas.openxmlformats.org/officeDocument/2006/relationships/hyperlink" Target="#Planning!A1"/><Relationship Id="rId5" Type="http://schemas.openxmlformats.org/officeDocument/2006/relationships/hyperlink" Target="#Vision!A1"/><Relationship Id="rId15" Type="http://schemas.openxmlformats.org/officeDocument/2006/relationships/hyperlink" Target="#'Hypoth&#232;ses &amp; M&#233;thodo'!A1"/><Relationship Id="rId10" Type="http://schemas.openxmlformats.org/officeDocument/2006/relationships/hyperlink" Target="#'Rapportage CdM'!A1"/><Relationship Id="rId4" Type="http://schemas.openxmlformats.org/officeDocument/2006/relationships/hyperlink" Target="#'Potentiel EnR'!A1"/><Relationship Id="rId9" Type="http://schemas.openxmlformats.org/officeDocument/2006/relationships/hyperlink" Target="#Budget!A1"/><Relationship Id="rId14" Type="http://schemas.openxmlformats.org/officeDocument/2006/relationships/hyperlink" Target="#'A1'!A1"/></Relationships>
</file>

<file path=xl/drawings/_rels/drawing16.xml.rels><?xml version="1.0" encoding="UTF-8" standalone="yes"?>
<Relationships xmlns="http://schemas.openxmlformats.org/package/2006/relationships"><Relationship Id="rId8" Type="http://schemas.openxmlformats.org/officeDocument/2006/relationships/hyperlink" Target="#'Actions VS Objectifs'!A1"/><Relationship Id="rId13" Type="http://schemas.openxmlformats.org/officeDocument/2006/relationships/hyperlink" Target="#Accueil!A1"/><Relationship Id="rId3" Type="http://schemas.openxmlformats.org/officeDocument/2006/relationships/hyperlink" Target="#'Bilan patrimonial'!A1"/><Relationship Id="rId7" Type="http://schemas.openxmlformats.org/officeDocument/2006/relationships/hyperlink" Target="#Objectifs!A1"/><Relationship Id="rId12" Type="http://schemas.openxmlformats.org/officeDocument/2006/relationships/hyperlink" Target="#Planning!A1"/><Relationship Id="rId2" Type="http://schemas.openxmlformats.org/officeDocument/2006/relationships/hyperlink" Target="#'Donn&#233;es de bilans'!A1"/><Relationship Id="rId16" Type="http://schemas.openxmlformats.org/officeDocument/2006/relationships/hyperlink" Target="#'Rapportage POLLEC'!A1"/><Relationship Id="rId1" Type="http://schemas.openxmlformats.org/officeDocument/2006/relationships/hyperlink" Target="#Rapportage!A1"/><Relationship Id="rId6" Type="http://schemas.openxmlformats.org/officeDocument/2006/relationships/hyperlink" Target="#Vision!A1"/><Relationship Id="rId11" Type="http://schemas.openxmlformats.org/officeDocument/2006/relationships/hyperlink" Target="#'Rapportage CdM'!A1"/><Relationship Id="rId5" Type="http://schemas.openxmlformats.org/officeDocument/2006/relationships/hyperlink" Target="#'Potentiel EnR'!A1"/><Relationship Id="rId15" Type="http://schemas.openxmlformats.org/officeDocument/2006/relationships/hyperlink" Target="#'Rapport de suivi'!A1"/><Relationship Id="rId10" Type="http://schemas.openxmlformats.org/officeDocument/2006/relationships/hyperlink" Target="#Budget!A1"/><Relationship Id="rId4" Type="http://schemas.openxmlformats.org/officeDocument/2006/relationships/hyperlink" Target="#'Bilan territorial'!A1"/><Relationship Id="rId9" Type="http://schemas.openxmlformats.org/officeDocument/2006/relationships/hyperlink" Target="#Actions!A1"/><Relationship Id="rId14"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hyperlink" Target="#'Donn&#233;es de bilans'!A1"/><Relationship Id="rId3" Type="http://schemas.openxmlformats.org/officeDocument/2006/relationships/hyperlink" Target="#'Bilan territorial'!A1"/><Relationship Id="rId7" Type="http://schemas.openxmlformats.org/officeDocument/2006/relationships/hyperlink" Target="#'Actions VS Objectifs'!A1"/><Relationship Id="rId12" Type="http://schemas.openxmlformats.org/officeDocument/2006/relationships/hyperlink" Target="#'Rapport de suivi'!A1"/><Relationship Id="rId2" Type="http://schemas.openxmlformats.org/officeDocument/2006/relationships/hyperlink" Target="#'Bilan patrimonial'!A1"/><Relationship Id="rId16" Type="http://schemas.openxmlformats.org/officeDocument/2006/relationships/hyperlink" Target="#'Rapportage POLLEC'!A1"/><Relationship Id="rId1" Type="http://schemas.openxmlformats.org/officeDocument/2006/relationships/hyperlink" Target="#'Donn&#233;es patrimoniales'!A2"/><Relationship Id="rId6" Type="http://schemas.openxmlformats.org/officeDocument/2006/relationships/hyperlink" Target="#Objectifs!A1"/><Relationship Id="rId11" Type="http://schemas.openxmlformats.org/officeDocument/2006/relationships/hyperlink" Target="#Planning!A1"/><Relationship Id="rId5" Type="http://schemas.openxmlformats.org/officeDocument/2006/relationships/hyperlink" Target="#Vision!A1"/><Relationship Id="rId15" Type="http://schemas.openxmlformats.org/officeDocument/2006/relationships/hyperlink" Target="#'Hypoth&#232;ses &amp; M&#233;thodo'!A1"/><Relationship Id="rId10" Type="http://schemas.openxmlformats.org/officeDocument/2006/relationships/hyperlink" Target="#'Rapportage CdM'!A1"/><Relationship Id="rId4" Type="http://schemas.openxmlformats.org/officeDocument/2006/relationships/hyperlink" Target="#'Potentiel EnR'!A1"/><Relationship Id="rId9" Type="http://schemas.openxmlformats.org/officeDocument/2006/relationships/hyperlink" Target="#Budget!A1"/><Relationship Id="rId14" Type="http://schemas.openxmlformats.org/officeDocument/2006/relationships/hyperlink" Target="#'A1'!A1"/></Relationships>
</file>

<file path=xl/drawings/_rels/drawing18.xml.rels><?xml version="1.0" encoding="UTF-8" standalone="yes"?>
<Relationships xmlns="http://schemas.openxmlformats.org/package/2006/relationships"><Relationship Id="rId8" Type="http://schemas.openxmlformats.org/officeDocument/2006/relationships/hyperlink" Target="#'Actions VS Objectifs'!A1"/><Relationship Id="rId13" Type="http://schemas.openxmlformats.org/officeDocument/2006/relationships/hyperlink" Target="#Accueil!A1"/><Relationship Id="rId3" Type="http://schemas.openxmlformats.org/officeDocument/2006/relationships/hyperlink" Target="#'Bilan patrimonial'!A1"/><Relationship Id="rId7" Type="http://schemas.openxmlformats.org/officeDocument/2006/relationships/hyperlink" Target="#Objectifs!A1"/><Relationship Id="rId12" Type="http://schemas.openxmlformats.org/officeDocument/2006/relationships/hyperlink" Target="#Planning!A1"/><Relationship Id="rId2" Type="http://schemas.openxmlformats.org/officeDocument/2006/relationships/hyperlink" Target="#'Donn&#233;es de bilans'!A1"/><Relationship Id="rId16" Type="http://schemas.openxmlformats.org/officeDocument/2006/relationships/hyperlink" Target="#'Rapportage POLLEC'!A1"/><Relationship Id="rId1" Type="http://schemas.openxmlformats.org/officeDocument/2006/relationships/hyperlink" Target="#Rapportage!A1"/><Relationship Id="rId6" Type="http://schemas.openxmlformats.org/officeDocument/2006/relationships/hyperlink" Target="#Vision!A1"/><Relationship Id="rId11" Type="http://schemas.openxmlformats.org/officeDocument/2006/relationships/hyperlink" Target="#'Rapportage CdM'!A1"/><Relationship Id="rId5" Type="http://schemas.openxmlformats.org/officeDocument/2006/relationships/hyperlink" Target="#'Potentiel EnR'!A1"/><Relationship Id="rId15" Type="http://schemas.openxmlformats.org/officeDocument/2006/relationships/hyperlink" Target="#'Rapport de suivi'!A1"/><Relationship Id="rId10" Type="http://schemas.openxmlformats.org/officeDocument/2006/relationships/hyperlink" Target="#Budget!A1"/><Relationship Id="rId4" Type="http://schemas.openxmlformats.org/officeDocument/2006/relationships/hyperlink" Target="#'Bilan territorial'!A1"/><Relationship Id="rId9" Type="http://schemas.openxmlformats.org/officeDocument/2006/relationships/hyperlink" Target="#Actions!A1"/><Relationship Id="rId14"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8" Type="http://schemas.openxmlformats.org/officeDocument/2006/relationships/hyperlink" Target="#'Actions VS Objectifs'!A1"/><Relationship Id="rId13" Type="http://schemas.openxmlformats.org/officeDocument/2006/relationships/hyperlink" Target="#Accueil!A1"/><Relationship Id="rId3" Type="http://schemas.openxmlformats.org/officeDocument/2006/relationships/hyperlink" Target="#'Bilan patrimonial'!A1"/><Relationship Id="rId7" Type="http://schemas.openxmlformats.org/officeDocument/2006/relationships/hyperlink" Target="#Objectifs!A1"/><Relationship Id="rId12" Type="http://schemas.openxmlformats.org/officeDocument/2006/relationships/hyperlink" Target="#Planning!A1"/><Relationship Id="rId2" Type="http://schemas.openxmlformats.org/officeDocument/2006/relationships/hyperlink" Target="#'Donn&#233;es de bilans'!A1"/><Relationship Id="rId16" Type="http://schemas.openxmlformats.org/officeDocument/2006/relationships/hyperlink" Target="#'Rapportage POLLEC'!A1"/><Relationship Id="rId1" Type="http://schemas.openxmlformats.org/officeDocument/2006/relationships/hyperlink" Target="#Rapportage!A1"/><Relationship Id="rId6" Type="http://schemas.openxmlformats.org/officeDocument/2006/relationships/hyperlink" Target="#Vision!A1"/><Relationship Id="rId11" Type="http://schemas.openxmlformats.org/officeDocument/2006/relationships/hyperlink" Target="#'Rapportage CdM'!A1"/><Relationship Id="rId5" Type="http://schemas.openxmlformats.org/officeDocument/2006/relationships/hyperlink" Target="#'Potentiel EnR'!A1"/><Relationship Id="rId15" Type="http://schemas.openxmlformats.org/officeDocument/2006/relationships/hyperlink" Target="#'Rapport de suivi'!A1"/><Relationship Id="rId10" Type="http://schemas.openxmlformats.org/officeDocument/2006/relationships/hyperlink" Target="#Budget!A1"/><Relationship Id="rId4" Type="http://schemas.openxmlformats.org/officeDocument/2006/relationships/hyperlink" Target="#'Bilan territorial'!A1"/><Relationship Id="rId9" Type="http://schemas.openxmlformats.org/officeDocument/2006/relationships/hyperlink" Target="#Actions!A1"/><Relationship Id="rId14"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8" Type="http://schemas.openxmlformats.org/officeDocument/2006/relationships/hyperlink" Target="#Vision!A1"/><Relationship Id="rId13" Type="http://schemas.openxmlformats.org/officeDocument/2006/relationships/hyperlink" Target="#'Rapportage CdM'!A1"/><Relationship Id="rId18" Type="http://schemas.openxmlformats.org/officeDocument/2006/relationships/hyperlink" Target="#'Rapportage POLLEC'!A1"/><Relationship Id="rId3" Type="http://schemas.openxmlformats.org/officeDocument/2006/relationships/hyperlink" Target="#Rapportage!A1"/><Relationship Id="rId7" Type="http://schemas.openxmlformats.org/officeDocument/2006/relationships/hyperlink" Target="#'Potentiel EnR'!A1"/><Relationship Id="rId12" Type="http://schemas.openxmlformats.org/officeDocument/2006/relationships/hyperlink" Target="#Budget!A1"/><Relationship Id="rId17" Type="http://schemas.openxmlformats.org/officeDocument/2006/relationships/hyperlink" Target="#'Rapport de suivi'!A1"/><Relationship Id="rId2" Type="http://schemas.openxmlformats.org/officeDocument/2006/relationships/chart" Target="../charts/chart19.xml"/><Relationship Id="rId16" Type="http://schemas.openxmlformats.org/officeDocument/2006/relationships/image" Target="../media/image1.jpeg"/><Relationship Id="rId1" Type="http://schemas.openxmlformats.org/officeDocument/2006/relationships/chart" Target="../charts/chart18.xml"/><Relationship Id="rId6" Type="http://schemas.openxmlformats.org/officeDocument/2006/relationships/hyperlink" Target="#'Bilan territorial'!A1"/><Relationship Id="rId11" Type="http://schemas.openxmlformats.org/officeDocument/2006/relationships/hyperlink" Target="#Actions!A1"/><Relationship Id="rId5" Type="http://schemas.openxmlformats.org/officeDocument/2006/relationships/hyperlink" Target="#'Bilan patrimonial'!A1"/><Relationship Id="rId15" Type="http://schemas.openxmlformats.org/officeDocument/2006/relationships/hyperlink" Target="#Accueil!A1"/><Relationship Id="rId10" Type="http://schemas.openxmlformats.org/officeDocument/2006/relationships/hyperlink" Target="#'Actions VS Objectifs'!A1"/><Relationship Id="rId4" Type="http://schemas.openxmlformats.org/officeDocument/2006/relationships/hyperlink" Target="#'Donn&#233;es de bilans'!A1"/><Relationship Id="rId9" Type="http://schemas.openxmlformats.org/officeDocument/2006/relationships/hyperlink" Target="#Objectifs!A1"/><Relationship Id="rId14" Type="http://schemas.openxmlformats.org/officeDocument/2006/relationships/hyperlink" Target="#Planning!A1"/></Relationships>
</file>

<file path=xl/drawings/_rels/drawing21.xml.rels><?xml version="1.0" encoding="UTF-8" standalone="yes"?>
<Relationships xmlns="http://schemas.openxmlformats.org/package/2006/relationships"><Relationship Id="rId8" Type="http://schemas.openxmlformats.org/officeDocument/2006/relationships/hyperlink" Target="#Objectifs!A1"/><Relationship Id="rId13" Type="http://schemas.openxmlformats.org/officeDocument/2006/relationships/hyperlink" Target="#Planning!A1"/><Relationship Id="rId3" Type="http://schemas.openxmlformats.org/officeDocument/2006/relationships/hyperlink" Target="#'Donn&#233;es de bilans'!A1"/><Relationship Id="rId7" Type="http://schemas.openxmlformats.org/officeDocument/2006/relationships/hyperlink" Target="#Vision!A1"/><Relationship Id="rId12" Type="http://schemas.openxmlformats.org/officeDocument/2006/relationships/hyperlink" Target="#'Rapportage CdM'!A1"/><Relationship Id="rId17" Type="http://schemas.openxmlformats.org/officeDocument/2006/relationships/hyperlink" Target="#'Rapportage POLLEC'!A1"/><Relationship Id="rId2" Type="http://schemas.openxmlformats.org/officeDocument/2006/relationships/hyperlink" Target="#Rapportage!A1"/><Relationship Id="rId16" Type="http://schemas.openxmlformats.org/officeDocument/2006/relationships/hyperlink" Target="#'Rapport de suivi'!A1"/><Relationship Id="rId1" Type="http://schemas.openxmlformats.org/officeDocument/2006/relationships/chart" Target="../charts/chart20.xml"/><Relationship Id="rId6" Type="http://schemas.openxmlformats.org/officeDocument/2006/relationships/hyperlink" Target="#'Potentiel EnR'!A1"/><Relationship Id="rId11" Type="http://schemas.openxmlformats.org/officeDocument/2006/relationships/hyperlink" Target="#Budget!A1"/><Relationship Id="rId5" Type="http://schemas.openxmlformats.org/officeDocument/2006/relationships/hyperlink" Target="#'Bilan territorial'!A1"/><Relationship Id="rId15" Type="http://schemas.openxmlformats.org/officeDocument/2006/relationships/image" Target="../media/image1.jpeg"/><Relationship Id="rId10" Type="http://schemas.openxmlformats.org/officeDocument/2006/relationships/hyperlink" Target="#Actions!A1"/><Relationship Id="rId4" Type="http://schemas.openxmlformats.org/officeDocument/2006/relationships/hyperlink" Target="#'Bilan patrimonial'!A1"/><Relationship Id="rId9" Type="http://schemas.openxmlformats.org/officeDocument/2006/relationships/hyperlink" Target="#'Actions VS Objectifs'!A1"/><Relationship Id="rId14" Type="http://schemas.openxmlformats.org/officeDocument/2006/relationships/hyperlink" Target="#Accueil!A1"/></Relationships>
</file>

<file path=xl/drawings/_rels/drawing22.xml.rels><?xml version="1.0" encoding="UTF-8" standalone="yes"?>
<Relationships xmlns="http://schemas.openxmlformats.org/package/2006/relationships"><Relationship Id="rId8" Type="http://schemas.openxmlformats.org/officeDocument/2006/relationships/hyperlink" Target="#'Actions VS Objectifs'!A1"/><Relationship Id="rId13" Type="http://schemas.openxmlformats.org/officeDocument/2006/relationships/hyperlink" Target="#Accueil!A1"/><Relationship Id="rId18" Type="http://schemas.openxmlformats.org/officeDocument/2006/relationships/chart" Target="../charts/chart22.xml"/><Relationship Id="rId3" Type="http://schemas.openxmlformats.org/officeDocument/2006/relationships/hyperlink" Target="#'Bilan patrimonial'!A1"/><Relationship Id="rId7" Type="http://schemas.openxmlformats.org/officeDocument/2006/relationships/hyperlink" Target="#Objectifs!A1"/><Relationship Id="rId12" Type="http://schemas.openxmlformats.org/officeDocument/2006/relationships/hyperlink" Target="#Planning!A1"/><Relationship Id="rId17" Type="http://schemas.openxmlformats.org/officeDocument/2006/relationships/chart" Target="../charts/chart21.xml"/><Relationship Id="rId2" Type="http://schemas.openxmlformats.org/officeDocument/2006/relationships/hyperlink" Target="#'Donn&#233;es de bilans'!A1"/><Relationship Id="rId16" Type="http://schemas.openxmlformats.org/officeDocument/2006/relationships/hyperlink" Target="#'Rapportage POLLEC'!A1"/><Relationship Id="rId1" Type="http://schemas.openxmlformats.org/officeDocument/2006/relationships/hyperlink" Target="#Rapportage!A1"/><Relationship Id="rId6" Type="http://schemas.openxmlformats.org/officeDocument/2006/relationships/hyperlink" Target="#Vision!A1"/><Relationship Id="rId11" Type="http://schemas.openxmlformats.org/officeDocument/2006/relationships/hyperlink" Target="#'Rapportage CdM'!A1"/><Relationship Id="rId5" Type="http://schemas.openxmlformats.org/officeDocument/2006/relationships/hyperlink" Target="#'Potentiel EnR'!A1"/><Relationship Id="rId15" Type="http://schemas.openxmlformats.org/officeDocument/2006/relationships/hyperlink" Target="#'Rapport de suivi'!A1"/><Relationship Id="rId10" Type="http://schemas.openxmlformats.org/officeDocument/2006/relationships/hyperlink" Target="#Budget!A1"/><Relationship Id="rId4" Type="http://schemas.openxmlformats.org/officeDocument/2006/relationships/hyperlink" Target="#'Bilan territorial'!A1"/><Relationship Id="rId9" Type="http://schemas.openxmlformats.org/officeDocument/2006/relationships/hyperlink" Target="#Actions!A1"/><Relationship Id="rId14"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8" Type="http://schemas.openxmlformats.org/officeDocument/2006/relationships/hyperlink" Target="#Objectifs!A1"/><Relationship Id="rId13" Type="http://schemas.openxmlformats.org/officeDocument/2006/relationships/hyperlink" Target="#Planning!A1"/><Relationship Id="rId18" Type="http://schemas.openxmlformats.org/officeDocument/2006/relationships/image" Target="../media/image6.png"/><Relationship Id="rId3" Type="http://schemas.openxmlformats.org/officeDocument/2006/relationships/hyperlink" Target="#'Donn&#233;es de bilans'!A1"/><Relationship Id="rId7" Type="http://schemas.openxmlformats.org/officeDocument/2006/relationships/hyperlink" Target="#Vision!A1"/><Relationship Id="rId12" Type="http://schemas.openxmlformats.org/officeDocument/2006/relationships/hyperlink" Target="#'Rapportage CdM'!A1"/><Relationship Id="rId17" Type="http://schemas.openxmlformats.org/officeDocument/2006/relationships/hyperlink" Target="#'Rapportage POLLEC'!A1"/><Relationship Id="rId2" Type="http://schemas.openxmlformats.org/officeDocument/2006/relationships/hyperlink" Target="#Rapportage!A1"/><Relationship Id="rId16" Type="http://schemas.openxmlformats.org/officeDocument/2006/relationships/hyperlink" Target="#'Rapport de suivi'!A1"/><Relationship Id="rId1" Type="http://schemas.openxmlformats.org/officeDocument/2006/relationships/image" Target="../media/image5.jpeg"/><Relationship Id="rId6" Type="http://schemas.openxmlformats.org/officeDocument/2006/relationships/hyperlink" Target="#'Potentiel EnR'!A1"/><Relationship Id="rId11" Type="http://schemas.openxmlformats.org/officeDocument/2006/relationships/hyperlink" Target="#Budget!A1"/><Relationship Id="rId5" Type="http://schemas.openxmlformats.org/officeDocument/2006/relationships/hyperlink" Target="#'Bilan territorial'!A1"/><Relationship Id="rId15" Type="http://schemas.openxmlformats.org/officeDocument/2006/relationships/image" Target="../media/image1.jpeg"/><Relationship Id="rId10" Type="http://schemas.openxmlformats.org/officeDocument/2006/relationships/hyperlink" Target="#Actions!A1"/><Relationship Id="rId4" Type="http://schemas.openxmlformats.org/officeDocument/2006/relationships/hyperlink" Target="#'Bilan patrimonial'!A1"/><Relationship Id="rId9" Type="http://schemas.openxmlformats.org/officeDocument/2006/relationships/hyperlink" Target="#'Actions VS Objectifs'!A1"/><Relationship Id="rId14" Type="http://schemas.openxmlformats.org/officeDocument/2006/relationships/hyperlink" Target="#Accueil!A1"/></Relationships>
</file>

<file path=xl/drawings/_rels/drawing32.xml.rels><?xml version="1.0" encoding="UTF-8" standalone="yes"?>
<Relationships xmlns="http://schemas.openxmlformats.org/package/2006/relationships"><Relationship Id="rId8" Type="http://schemas.openxmlformats.org/officeDocument/2006/relationships/hyperlink" Target="#'Actions VS Objectifs'!A1"/><Relationship Id="rId13" Type="http://schemas.openxmlformats.org/officeDocument/2006/relationships/hyperlink" Target="#Accueil!A1"/><Relationship Id="rId3" Type="http://schemas.openxmlformats.org/officeDocument/2006/relationships/hyperlink" Target="#'Bilan patrimonial'!A1"/><Relationship Id="rId7" Type="http://schemas.openxmlformats.org/officeDocument/2006/relationships/hyperlink" Target="#Objectifs!A1"/><Relationship Id="rId12" Type="http://schemas.openxmlformats.org/officeDocument/2006/relationships/hyperlink" Target="#Planning!A1"/><Relationship Id="rId2" Type="http://schemas.openxmlformats.org/officeDocument/2006/relationships/hyperlink" Target="#'Donn&#233;es de bilans'!A1"/><Relationship Id="rId16" Type="http://schemas.openxmlformats.org/officeDocument/2006/relationships/hyperlink" Target="#'Rapportage POLLEC'!A1"/><Relationship Id="rId1" Type="http://schemas.openxmlformats.org/officeDocument/2006/relationships/hyperlink" Target="#Rapportage!A1"/><Relationship Id="rId6" Type="http://schemas.openxmlformats.org/officeDocument/2006/relationships/hyperlink" Target="#Vision!A1"/><Relationship Id="rId11" Type="http://schemas.openxmlformats.org/officeDocument/2006/relationships/hyperlink" Target="#'Rapportage CdM'!A1"/><Relationship Id="rId5" Type="http://schemas.openxmlformats.org/officeDocument/2006/relationships/hyperlink" Target="#'Potentiel EnR'!A1"/><Relationship Id="rId15" Type="http://schemas.openxmlformats.org/officeDocument/2006/relationships/hyperlink" Target="#'Rapport de suivi'!A1"/><Relationship Id="rId10" Type="http://schemas.openxmlformats.org/officeDocument/2006/relationships/hyperlink" Target="#Budget!A1"/><Relationship Id="rId4" Type="http://schemas.openxmlformats.org/officeDocument/2006/relationships/hyperlink" Target="#'Bilan territorial'!A1"/><Relationship Id="rId9" Type="http://schemas.openxmlformats.org/officeDocument/2006/relationships/hyperlink" Target="#Actions!A1"/><Relationship Id="rId14"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8" Type="http://schemas.openxmlformats.org/officeDocument/2006/relationships/hyperlink" Target="#'Actions VS Objectifs'!A1"/><Relationship Id="rId13" Type="http://schemas.openxmlformats.org/officeDocument/2006/relationships/hyperlink" Target="#Accueil!A1"/><Relationship Id="rId3" Type="http://schemas.openxmlformats.org/officeDocument/2006/relationships/hyperlink" Target="#'Bilan patrimonial'!A1"/><Relationship Id="rId7" Type="http://schemas.openxmlformats.org/officeDocument/2006/relationships/hyperlink" Target="#Objectifs!A1"/><Relationship Id="rId12" Type="http://schemas.openxmlformats.org/officeDocument/2006/relationships/hyperlink" Target="#Planning!A1"/><Relationship Id="rId2" Type="http://schemas.openxmlformats.org/officeDocument/2006/relationships/hyperlink" Target="#'Donn&#233;es de bilans'!A1"/><Relationship Id="rId16" Type="http://schemas.openxmlformats.org/officeDocument/2006/relationships/hyperlink" Target="#'Rapportage POLLEC'!A1"/><Relationship Id="rId1" Type="http://schemas.openxmlformats.org/officeDocument/2006/relationships/hyperlink" Target="#Rapportage!A1"/><Relationship Id="rId6" Type="http://schemas.openxmlformats.org/officeDocument/2006/relationships/hyperlink" Target="#Vision!A1"/><Relationship Id="rId11" Type="http://schemas.openxmlformats.org/officeDocument/2006/relationships/hyperlink" Target="#'Rapportage CdM'!A1"/><Relationship Id="rId5" Type="http://schemas.openxmlformats.org/officeDocument/2006/relationships/hyperlink" Target="#'Potentiel EnR'!A1"/><Relationship Id="rId15" Type="http://schemas.openxmlformats.org/officeDocument/2006/relationships/hyperlink" Target="#'Rapport de suivi'!A1"/><Relationship Id="rId10" Type="http://schemas.openxmlformats.org/officeDocument/2006/relationships/hyperlink" Target="#Budget!A1"/><Relationship Id="rId4" Type="http://schemas.openxmlformats.org/officeDocument/2006/relationships/hyperlink" Target="#'Bilan territorial'!A1"/><Relationship Id="rId9" Type="http://schemas.openxmlformats.org/officeDocument/2006/relationships/hyperlink" Target="#Actions!A1"/><Relationship Id="rId14"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36.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43.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44.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45.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46.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47.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0.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48.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image" Target="../media/image1.jpeg"/><Relationship Id="rId18" Type="http://schemas.openxmlformats.org/officeDocument/2006/relationships/image" Target="../media/image20.png"/><Relationship Id="rId3" Type="http://schemas.openxmlformats.org/officeDocument/2006/relationships/hyperlink" Target="#'Bilan territorial'!A1"/><Relationship Id="rId7" Type="http://schemas.openxmlformats.org/officeDocument/2006/relationships/hyperlink" Target="#'Actions VS Objectifs'!A1"/><Relationship Id="rId12" Type="http://schemas.openxmlformats.org/officeDocument/2006/relationships/hyperlink" Target="#Accueil!A1"/><Relationship Id="rId17" Type="http://schemas.openxmlformats.org/officeDocument/2006/relationships/image" Target="../media/image19.png"/><Relationship Id="rId2" Type="http://schemas.openxmlformats.org/officeDocument/2006/relationships/hyperlink" Target="#'Bilan patrimonial'!A1"/><Relationship Id="rId16" Type="http://schemas.openxmlformats.org/officeDocument/2006/relationships/image" Target="../media/image18.png"/><Relationship Id="rId1" Type="http://schemas.openxmlformats.org/officeDocument/2006/relationships/hyperlink" Target="#Rapportage!A1"/><Relationship Id="rId6" Type="http://schemas.openxmlformats.org/officeDocument/2006/relationships/hyperlink" Target="#Objectifs!A1"/><Relationship Id="rId11" Type="http://schemas.openxmlformats.org/officeDocument/2006/relationships/hyperlink" Target="#Planning!A1"/><Relationship Id="rId5" Type="http://schemas.openxmlformats.org/officeDocument/2006/relationships/hyperlink" Target="#Vision!A1"/><Relationship Id="rId15" Type="http://schemas.openxmlformats.org/officeDocument/2006/relationships/hyperlink" Target="#'Donn&#233;es de bilans'!A1"/><Relationship Id="rId10" Type="http://schemas.openxmlformats.org/officeDocument/2006/relationships/hyperlink" Target="#'Matrices CdM =&gt;'!A1"/><Relationship Id="rId19" Type="http://schemas.openxmlformats.org/officeDocument/2006/relationships/hyperlink" Target="#'Donn&#233;es patrimoniales'!A2"/><Relationship Id="rId4" Type="http://schemas.openxmlformats.org/officeDocument/2006/relationships/hyperlink" Target="#'Potentiel EnR'!A1"/><Relationship Id="rId9" Type="http://schemas.openxmlformats.org/officeDocument/2006/relationships/hyperlink" Target="#Budget!A1"/><Relationship Id="rId14" Type="http://schemas.openxmlformats.org/officeDocument/2006/relationships/hyperlink" Target="#'Rapport de suivi'!A1"/></Relationships>
</file>

<file path=xl/drawings/drawing1.xml><?xml version="1.0" encoding="utf-8"?>
<xdr:wsDr xmlns:xdr="http://schemas.openxmlformats.org/drawingml/2006/spreadsheetDrawing" xmlns:a="http://schemas.openxmlformats.org/drawingml/2006/main">
  <xdr:twoCellAnchor editAs="absolute">
    <xdr:from>
      <xdr:col>8</xdr:col>
      <xdr:colOff>232409</xdr:colOff>
      <xdr:row>18</xdr:row>
      <xdr:rowOff>95462</xdr:rowOff>
    </xdr:from>
    <xdr:to>
      <xdr:col>8</xdr:col>
      <xdr:colOff>1274444</xdr:colOff>
      <xdr:row>23</xdr:row>
      <xdr:rowOff>21590</xdr:rowOff>
    </xdr:to>
    <xdr:sp macro="" textlink="">
      <xdr:nvSpPr>
        <xdr:cNvPr id="45" name="Flèche : pentagone 44">
          <a:extLst>
            <a:ext uri="{FF2B5EF4-FFF2-40B4-BE49-F238E27FC236}">
              <a16:creationId xmlns:a16="http://schemas.microsoft.com/office/drawing/2014/main" id="{00000000-0008-0000-0100-00002D000000}"/>
            </a:ext>
          </a:extLst>
        </xdr:cNvPr>
        <xdr:cNvSpPr/>
      </xdr:nvSpPr>
      <xdr:spPr>
        <a:xfrm rot="5400000">
          <a:off x="9723860" y="3603731"/>
          <a:ext cx="840528" cy="1032510"/>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endParaRPr lang="fr-BE" sz="800" b="1">
            <a:solidFill>
              <a:srgbClr val="31869B"/>
            </a:solidFill>
          </a:endParaRPr>
        </a:p>
        <a:p>
          <a:pPr algn="ctr"/>
          <a:r>
            <a:rPr lang="fr-BE" sz="1400" b="1">
              <a:solidFill>
                <a:srgbClr val="31869B"/>
              </a:solidFill>
            </a:rPr>
            <a:t>Rapportage</a:t>
          </a:r>
        </a:p>
      </xdr:txBody>
    </xdr:sp>
    <xdr:clientData/>
  </xdr:twoCellAnchor>
  <xdr:twoCellAnchor editAs="absolute">
    <xdr:from>
      <xdr:col>8</xdr:col>
      <xdr:colOff>232409</xdr:colOff>
      <xdr:row>14</xdr:row>
      <xdr:rowOff>95254</xdr:rowOff>
    </xdr:from>
    <xdr:to>
      <xdr:col>8</xdr:col>
      <xdr:colOff>1274444</xdr:colOff>
      <xdr:row>19</xdr:row>
      <xdr:rowOff>171450</xdr:rowOff>
    </xdr:to>
    <xdr:sp macro="" textlink="">
      <xdr:nvSpPr>
        <xdr:cNvPr id="44" name="Flèche : pentagone 43">
          <a:extLst>
            <a:ext uri="{FF2B5EF4-FFF2-40B4-BE49-F238E27FC236}">
              <a16:creationId xmlns:a16="http://schemas.microsoft.com/office/drawing/2014/main" id="{00000000-0008-0000-0100-00002C000000}"/>
            </a:ext>
          </a:extLst>
        </xdr:cNvPr>
        <xdr:cNvSpPr/>
      </xdr:nvSpPr>
      <xdr:spPr>
        <a:xfrm rot="5400000">
          <a:off x="9492616" y="2790827"/>
          <a:ext cx="1303016" cy="1032510"/>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fr-BE" sz="1400" b="1"/>
            <a:t>Synthèses</a:t>
          </a:r>
        </a:p>
      </xdr:txBody>
    </xdr:sp>
    <xdr:clientData/>
  </xdr:twoCellAnchor>
  <xdr:twoCellAnchor editAs="absolute">
    <xdr:from>
      <xdr:col>8</xdr:col>
      <xdr:colOff>230716</xdr:colOff>
      <xdr:row>9</xdr:row>
      <xdr:rowOff>21804</xdr:rowOff>
    </xdr:from>
    <xdr:to>
      <xdr:col>8</xdr:col>
      <xdr:colOff>1274444</xdr:colOff>
      <xdr:row>15</xdr:row>
      <xdr:rowOff>169544</xdr:rowOff>
    </xdr:to>
    <xdr:sp macro="" textlink="">
      <xdr:nvSpPr>
        <xdr:cNvPr id="43" name="Flèche : pentagone 42">
          <a:extLst>
            <a:ext uri="{FF2B5EF4-FFF2-40B4-BE49-F238E27FC236}">
              <a16:creationId xmlns:a16="http://schemas.microsoft.com/office/drawing/2014/main" id="{00000000-0008-0000-0100-00002B000000}"/>
            </a:ext>
          </a:extLst>
        </xdr:cNvPr>
        <xdr:cNvSpPr/>
      </xdr:nvSpPr>
      <xdr:spPr>
        <a:xfrm rot="5400000">
          <a:off x="9513148" y="1780752"/>
          <a:ext cx="1260260" cy="1034203"/>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endParaRPr lang="fr-BE" sz="1400" b="1"/>
        </a:p>
        <a:p>
          <a:pPr algn="ctr"/>
          <a:r>
            <a:rPr lang="fr-BE" sz="1400" b="1"/>
            <a:t>Planification</a:t>
          </a:r>
        </a:p>
        <a:p>
          <a:pPr algn="ctr"/>
          <a:r>
            <a:rPr lang="fr-BE" sz="1400" b="1"/>
            <a:t>Suivi</a:t>
          </a:r>
        </a:p>
      </xdr:txBody>
    </xdr:sp>
    <xdr:clientData/>
  </xdr:twoCellAnchor>
  <xdr:twoCellAnchor editAs="oneCell">
    <xdr:from>
      <xdr:col>3</xdr:col>
      <xdr:colOff>212725</xdr:colOff>
      <xdr:row>2</xdr:row>
      <xdr:rowOff>170180</xdr:rowOff>
    </xdr:from>
    <xdr:to>
      <xdr:col>4</xdr:col>
      <xdr:colOff>572770</xdr:colOff>
      <xdr:row>13</xdr:row>
      <xdr:rowOff>36830</xdr:rowOff>
    </xdr:to>
    <xdr:pic>
      <xdr:nvPicPr>
        <xdr:cNvPr id="49927021" name="Image 9">
          <a:extLst>
            <a:ext uri="{FF2B5EF4-FFF2-40B4-BE49-F238E27FC236}">
              <a16:creationId xmlns:a16="http://schemas.microsoft.com/office/drawing/2014/main" id="{00000000-0008-0000-0100-00006DD3F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225" y="535940"/>
          <a:ext cx="2249805" cy="1878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xdr:col>
      <xdr:colOff>407670</xdr:colOff>
      <xdr:row>18</xdr:row>
      <xdr:rowOff>24765</xdr:rowOff>
    </xdr:from>
    <xdr:to>
      <xdr:col>4</xdr:col>
      <xdr:colOff>198120</xdr:colOff>
      <xdr:row>22</xdr:row>
      <xdr:rowOff>173355</xdr:rowOff>
    </xdr:to>
    <xdr:pic>
      <xdr:nvPicPr>
        <xdr:cNvPr id="49927023" name="Image 4">
          <a:extLst>
            <a:ext uri="{FF2B5EF4-FFF2-40B4-BE49-F238E27FC236}">
              <a16:creationId xmlns:a16="http://schemas.microsoft.com/office/drawing/2014/main" id="{00000000-0008-0000-0100-00006FD3F9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48075" y="3630930"/>
          <a:ext cx="1676400" cy="882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1543050</xdr:colOff>
      <xdr:row>18</xdr:row>
      <xdr:rowOff>62865</xdr:rowOff>
    </xdr:from>
    <xdr:to>
      <xdr:col>6</xdr:col>
      <xdr:colOff>624840</xdr:colOff>
      <xdr:row>23</xdr:row>
      <xdr:rowOff>19050</xdr:rowOff>
    </xdr:to>
    <xdr:pic>
      <xdr:nvPicPr>
        <xdr:cNvPr id="49927024" name="Image 5">
          <a:extLst>
            <a:ext uri="{FF2B5EF4-FFF2-40B4-BE49-F238E27FC236}">
              <a16:creationId xmlns:a16="http://schemas.microsoft.com/office/drawing/2014/main" id="{00000000-0008-0000-0100-000070D3F9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76850" y="3667125"/>
          <a:ext cx="2171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xdr:row>
      <xdr:rowOff>0</xdr:rowOff>
    </xdr:from>
    <xdr:to>
      <xdr:col>2</xdr:col>
      <xdr:colOff>243840</xdr:colOff>
      <xdr:row>23</xdr:row>
      <xdr:rowOff>114300</xdr:rowOff>
    </xdr:to>
    <xdr:sp macro="" textlink="">
      <xdr:nvSpPr>
        <xdr:cNvPr id="49927025" name="AutoShape 1025" descr="RÃ©sultat de recherche d'images pour &quot;climact logo&quot;">
          <a:extLst>
            <a:ext uri="{FF2B5EF4-FFF2-40B4-BE49-F238E27FC236}">
              <a16:creationId xmlns:a16="http://schemas.microsoft.com/office/drawing/2014/main" id="{00000000-0008-0000-0100-000071D3F902}"/>
            </a:ext>
          </a:extLst>
        </xdr:cNvPr>
        <xdr:cNvSpPr>
          <a:spLocks noChangeAspect="1" noChangeArrowheads="1"/>
        </xdr:cNvSpPr>
      </xdr:nvSpPr>
      <xdr:spPr bwMode="auto">
        <a:xfrm>
          <a:off x="1219200" y="4486275"/>
          <a:ext cx="2476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8</xdr:col>
      <xdr:colOff>167850</xdr:colOff>
      <xdr:row>3</xdr:row>
      <xdr:rowOff>133350</xdr:rowOff>
    </xdr:from>
    <xdr:to>
      <xdr:col>10</xdr:col>
      <xdr:colOff>191591</xdr:colOff>
      <xdr:row>5</xdr:row>
      <xdr:rowOff>98849</xdr:rowOff>
    </xdr:to>
    <xdr:sp macro="" textlink="">
      <xdr:nvSpPr>
        <xdr:cNvPr id="22" name="ZoneTexte 21">
          <a:extLst>
            <a:ext uri="{FF2B5EF4-FFF2-40B4-BE49-F238E27FC236}">
              <a16:creationId xmlns:a16="http://schemas.microsoft.com/office/drawing/2014/main" id="{00000000-0008-0000-0100-000016000000}"/>
            </a:ext>
          </a:extLst>
        </xdr:cNvPr>
        <xdr:cNvSpPr txBox="1"/>
      </xdr:nvSpPr>
      <xdr:spPr>
        <a:xfrm>
          <a:off x="9553785" y="681990"/>
          <a:ext cx="1755386" cy="331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400" b="1" u="sng">
              <a:solidFill>
                <a:srgbClr val="215967"/>
              </a:solidFill>
            </a:rPr>
            <a:t>Navigation:</a:t>
          </a:r>
        </a:p>
        <a:p>
          <a:endParaRPr lang="fr-BE" sz="1400" b="1" u="sng">
            <a:solidFill>
              <a:srgbClr val="215967"/>
            </a:solidFill>
          </a:endParaRPr>
        </a:p>
      </xdr:txBody>
    </xdr:sp>
    <xdr:clientData/>
  </xdr:twoCellAnchor>
  <xdr:twoCellAnchor editAs="absolute">
    <xdr:from>
      <xdr:col>8</xdr:col>
      <xdr:colOff>1223006</xdr:colOff>
      <xdr:row>5</xdr:row>
      <xdr:rowOff>60750</xdr:rowOff>
    </xdr:from>
    <xdr:to>
      <xdr:col>10</xdr:col>
      <xdr:colOff>1196800</xdr:colOff>
      <xdr:row>6</xdr:row>
      <xdr:rowOff>136315</xdr:rowOff>
    </xdr:to>
    <xdr:sp macro="" textlink="">
      <xdr:nvSpPr>
        <xdr:cNvPr id="23" name="ZoneTexte 22">
          <a:hlinkClick xmlns:r="http://schemas.openxmlformats.org/officeDocument/2006/relationships" r:id="rId4"/>
          <a:extLst>
            <a:ext uri="{FF2B5EF4-FFF2-40B4-BE49-F238E27FC236}">
              <a16:creationId xmlns:a16="http://schemas.microsoft.com/office/drawing/2014/main" id="{00000000-0008-0000-0100-000017000000}"/>
            </a:ext>
          </a:extLst>
        </xdr:cNvPr>
        <xdr:cNvSpPr txBox="1"/>
      </xdr:nvSpPr>
      <xdr:spPr>
        <a:xfrm>
          <a:off x="10618466" y="975150"/>
          <a:ext cx="1686389"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215967"/>
              </a:solidFill>
            </a:rPr>
            <a:t>&gt; </a:t>
          </a:r>
          <a:r>
            <a:rPr lang="fr-BE" sz="1200" b="1" u="sng">
              <a:solidFill>
                <a:srgbClr val="215967"/>
              </a:solidFill>
            </a:rPr>
            <a:t>Données de bilans </a:t>
          </a:r>
        </a:p>
        <a:p>
          <a:endParaRPr lang="fr-BE" sz="1100" b="1">
            <a:solidFill>
              <a:srgbClr val="215967"/>
            </a:solidFill>
          </a:endParaRPr>
        </a:p>
      </xdr:txBody>
    </xdr:sp>
    <xdr:clientData/>
  </xdr:twoCellAnchor>
  <xdr:twoCellAnchor editAs="absolute">
    <xdr:from>
      <xdr:col>8</xdr:col>
      <xdr:colOff>1197607</xdr:colOff>
      <xdr:row>6</xdr:row>
      <xdr:rowOff>133988</xdr:rowOff>
    </xdr:from>
    <xdr:to>
      <xdr:col>10</xdr:col>
      <xdr:colOff>1222830</xdr:colOff>
      <xdr:row>8</xdr:row>
      <xdr:rowOff>58211</xdr:rowOff>
    </xdr:to>
    <xdr:sp macro="" textlink="">
      <xdr:nvSpPr>
        <xdr:cNvPr id="24" name="ZoneTexte 23">
          <a:hlinkClick xmlns:r="http://schemas.openxmlformats.org/officeDocument/2006/relationships" r:id="rId5"/>
          <a:extLst>
            <a:ext uri="{FF2B5EF4-FFF2-40B4-BE49-F238E27FC236}">
              <a16:creationId xmlns:a16="http://schemas.microsoft.com/office/drawing/2014/main" id="{00000000-0008-0000-0100-000018000000}"/>
            </a:ext>
          </a:extLst>
        </xdr:cNvPr>
        <xdr:cNvSpPr txBox="1"/>
      </xdr:nvSpPr>
      <xdr:spPr>
        <a:xfrm>
          <a:off x="10583542" y="1231268"/>
          <a:ext cx="1756868" cy="289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215967"/>
              </a:solidFill>
            </a:rPr>
            <a:t>&gt; </a:t>
          </a:r>
          <a:r>
            <a:rPr lang="fr-BE" sz="1200" b="1" u="sng">
              <a:solidFill>
                <a:srgbClr val="215967"/>
              </a:solidFill>
            </a:rPr>
            <a:t>Bilan patrimonial </a:t>
          </a:r>
        </a:p>
        <a:p>
          <a:endParaRPr lang="fr-BE" sz="1100" b="1">
            <a:solidFill>
              <a:srgbClr val="215967"/>
            </a:solidFill>
          </a:endParaRPr>
        </a:p>
      </xdr:txBody>
    </xdr:sp>
    <xdr:clientData/>
  </xdr:twoCellAnchor>
  <xdr:twoCellAnchor editAs="absolute">
    <xdr:from>
      <xdr:col>8</xdr:col>
      <xdr:colOff>1222795</xdr:colOff>
      <xdr:row>7</xdr:row>
      <xdr:rowOff>155792</xdr:rowOff>
    </xdr:from>
    <xdr:to>
      <xdr:col>10</xdr:col>
      <xdr:colOff>1196589</xdr:colOff>
      <xdr:row>9</xdr:row>
      <xdr:rowOff>97796</xdr:rowOff>
    </xdr:to>
    <xdr:sp macro="" textlink="">
      <xdr:nvSpPr>
        <xdr:cNvPr id="25" name="ZoneTexte 24">
          <a:hlinkClick xmlns:r="http://schemas.openxmlformats.org/officeDocument/2006/relationships" r:id="rId6"/>
          <a:extLst>
            <a:ext uri="{FF2B5EF4-FFF2-40B4-BE49-F238E27FC236}">
              <a16:creationId xmlns:a16="http://schemas.microsoft.com/office/drawing/2014/main" id="{00000000-0008-0000-0100-000019000000}"/>
            </a:ext>
          </a:extLst>
        </xdr:cNvPr>
        <xdr:cNvSpPr txBox="1"/>
      </xdr:nvSpPr>
      <xdr:spPr>
        <a:xfrm>
          <a:off x="10618255" y="1435952"/>
          <a:ext cx="1686389" cy="307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215967"/>
              </a:solidFill>
            </a:rPr>
            <a:t>&gt; </a:t>
          </a:r>
          <a:r>
            <a:rPr lang="fr-BE" sz="1200" b="1" u="sng">
              <a:solidFill>
                <a:srgbClr val="215967"/>
              </a:solidFill>
            </a:rPr>
            <a:t>Bilan territorial </a:t>
          </a:r>
        </a:p>
        <a:p>
          <a:endParaRPr lang="fr-BE" sz="1100" b="1">
            <a:solidFill>
              <a:srgbClr val="215967"/>
            </a:solidFill>
          </a:endParaRPr>
        </a:p>
      </xdr:txBody>
    </xdr:sp>
    <xdr:clientData/>
  </xdr:twoCellAnchor>
  <xdr:twoCellAnchor editAs="absolute">
    <xdr:from>
      <xdr:col>8</xdr:col>
      <xdr:colOff>1221316</xdr:colOff>
      <xdr:row>9</xdr:row>
      <xdr:rowOff>135893</xdr:rowOff>
    </xdr:from>
    <xdr:to>
      <xdr:col>10</xdr:col>
      <xdr:colOff>1221780</xdr:colOff>
      <xdr:row>11</xdr:row>
      <xdr:rowOff>58211</xdr:rowOff>
    </xdr:to>
    <xdr:sp macro="" textlink="">
      <xdr:nvSpPr>
        <xdr:cNvPr id="26" name="ZoneTexte 25">
          <a:hlinkClick xmlns:r="http://schemas.openxmlformats.org/officeDocument/2006/relationships" r:id="rId7"/>
          <a:extLst>
            <a:ext uri="{FF2B5EF4-FFF2-40B4-BE49-F238E27FC236}">
              <a16:creationId xmlns:a16="http://schemas.microsoft.com/office/drawing/2014/main" id="{00000000-0008-0000-0100-00001A000000}"/>
            </a:ext>
          </a:extLst>
        </xdr:cNvPr>
        <xdr:cNvSpPr txBox="1"/>
      </xdr:nvSpPr>
      <xdr:spPr>
        <a:xfrm>
          <a:off x="10616776" y="1781813"/>
          <a:ext cx="1722584" cy="288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 </a:t>
          </a:r>
          <a:r>
            <a:rPr lang="fr-BE" sz="1200" b="1" u="sng">
              <a:solidFill>
                <a:srgbClr val="31869B"/>
              </a:solidFill>
            </a:rPr>
            <a:t>Potentiel EnR </a:t>
          </a:r>
        </a:p>
        <a:p>
          <a:endParaRPr lang="fr-BE" sz="1100" b="1">
            <a:solidFill>
              <a:srgbClr val="31869B"/>
            </a:solidFill>
          </a:endParaRPr>
        </a:p>
      </xdr:txBody>
    </xdr:sp>
    <xdr:clientData/>
  </xdr:twoCellAnchor>
  <xdr:twoCellAnchor editAs="absolute">
    <xdr:from>
      <xdr:col>8</xdr:col>
      <xdr:colOff>1197823</xdr:colOff>
      <xdr:row>10</xdr:row>
      <xdr:rowOff>153675</xdr:rowOff>
    </xdr:from>
    <xdr:to>
      <xdr:col>10</xdr:col>
      <xdr:colOff>1221141</xdr:colOff>
      <xdr:row>12</xdr:row>
      <xdr:rowOff>98853</xdr:rowOff>
    </xdr:to>
    <xdr:sp macro="" textlink="">
      <xdr:nvSpPr>
        <xdr:cNvPr id="27" name="ZoneTexte 26">
          <a:hlinkClick xmlns:r="http://schemas.openxmlformats.org/officeDocument/2006/relationships" r:id="rId8"/>
          <a:extLst>
            <a:ext uri="{FF2B5EF4-FFF2-40B4-BE49-F238E27FC236}">
              <a16:creationId xmlns:a16="http://schemas.microsoft.com/office/drawing/2014/main" id="{00000000-0008-0000-0100-00001B000000}"/>
            </a:ext>
          </a:extLst>
        </xdr:cNvPr>
        <xdr:cNvSpPr txBox="1"/>
      </xdr:nvSpPr>
      <xdr:spPr>
        <a:xfrm>
          <a:off x="10583758" y="1982475"/>
          <a:ext cx="1754963" cy="310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Vision </a:t>
          </a:r>
        </a:p>
        <a:p>
          <a:endParaRPr lang="fr-BE" sz="1100" b="1">
            <a:solidFill>
              <a:srgbClr val="31869B"/>
            </a:solidFill>
          </a:endParaRPr>
        </a:p>
      </xdr:txBody>
    </xdr:sp>
    <xdr:clientData/>
  </xdr:twoCellAnchor>
  <xdr:twoCellAnchor editAs="absolute">
    <xdr:from>
      <xdr:col>8</xdr:col>
      <xdr:colOff>1221105</xdr:colOff>
      <xdr:row>12</xdr:row>
      <xdr:rowOff>15457</xdr:rowOff>
    </xdr:from>
    <xdr:to>
      <xdr:col>10</xdr:col>
      <xdr:colOff>1196804</xdr:colOff>
      <xdr:row>13</xdr:row>
      <xdr:rowOff>133355</xdr:rowOff>
    </xdr:to>
    <xdr:sp macro="" textlink="">
      <xdr:nvSpPr>
        <xdr:cNvPr id="28" name="ZoneTexte 27">
          <a:hlinkClick xmlns:r="http://schemas.openxmlformats.org/officeDocument/2006/relationships" r:id="rId9"/>
          <a:extLst>
            <a:ext uri="{FF2B5EF4-FFF2-40B4-BE49-F238E27FC236}">
              <a16:creationId xmlns:a16="http://schemas.microsoft.com/office/drawing/2014/main" id="{00000000-0008-0000-0100-00001C000000}"/>
            </a:ext>
          </a:extLst>
        </xdr:cNvPr>
        <xdr:cNvSpPr txBox="1"/>
      </xdr:nvSpPr>
      <xdr:spPr>
        <a:xfrm>
          <a:off x="10616565" y="2210017"/>
          <a:ext cx="1688294" cy="300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 </a:t>
          </a:r>
          <a:r>
            <a:rPr lang="fr-BE" sz="1200" b="1" u="sng">
              <a:solidFill>
                <a:srgbClr val="31869B"/>
              </a:solidFill>
            </a:rPr>
            <a:t>Objectifs </a:t>
          </a:r>
        </a:p>
        <a:p>
          <a:endParaRPr lang="fr-BE" sz="1100" b="1">
            <a:solidFill>
              <a:srgbClr val="31869B"/>
            </a:solidFill>
          </a:endParaRPr>
        </a:p>
      </xdr:txBody>
    </xdr:sp>
    <xdr:clientData/>
  </xdr:twoCellAnchor>
  <xdr:twoCellAnchor editAs="absolute">
    <xdr:from>
      <xdr:col>8</xdr:col>
      <xdr:colOff>1196551</xdr:colOff>
      <xdr:row>16</xdr:row>
      <xdr:rowOff>20955</xdr:rowOff>
    </xdr:from>
    <xdr:to>
      <xdr:col>10</xdr:col>
      <xdr:colOff>1197009</xdr:colOff>
      <xdr:row>16</xdr:row>
      <xdr:rowOff>287655</xdr:rowOff>
    </xdr:to>
    <xdr:sp macro="" textlink="">
      <xdr:nvSpPr>
        <xdr:cNvPr id="29" name="ZoneTexte 28">
          <a:hlinkClick xmlns:r="http://schemas.openxmlformats.org/officeDocument/2006/relationships" r:id="rId10"/>
          <a:extLst>
            <a:ext uri="{FF2B5EF4-FFF2-40B4-BE49-F238E27FC236}">
              <a16:creationId xmlns:a16="http://schemas.microsoft.com/office/drawing/2014/main" id="{00000000-0008-0000-0100-00001D000000}"/>
            </a:ext>
          </a:extLst>
        </xdr:cNvPr>
        <xdr:cNvSpPr txBox="1"/>
      </xdr:nvSpPr>
      <xdr:spPr>
        <a:xfrm>
          <a:off x="10582486" y="2977515"/>
          <a:ext cx="172257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Actions VS Objectifs </a:t>
          </a:r>
        </a:p>
        <a:p>
          <a:endParaRPr lang="fr-BE" sz="1100" b="0">
            <a:solidFill>
              <a:schemeClr val="tx1">
                <a:lumMod val="50000"/>
                <a:lumOff val="50000"/>
              </a:schemeClr>
            </a:solidFill>
          </a:endParaRPr>
        </a:p>
      </xdr:txBody>
    </xdr:sp>
    <xdr:clientData/>
  </xdr:twoCellAnchor>
  <xdr:twoCellAnchor editAs="absolute">
    <xdr:from>
      <xdr:col>8</xdr:col>
      <xdr:colOff>1196976</xdr:colOff>
      <xdr:row>14</xdr:row>
      <xdr:rowOff>169122</xdr:rowOff>
    </xdr:from>
    <xdr:to>
      <xdr:col>10</xdr:col>
      <xdr:colOff>1184105</xdr:colOff>
      <xdr:row>16</xdr:row>
      <xdr:rowOff>19050</xdr:rowOff>
    </xdr:to>
    <xdr:sp macro="" textlink="">
      <xdr:nvSpPr>
        <xdr:cNvPr id="30" name="ZoneTexte 29">
          <a:hlinkClick xmlns:r="http://schemas.openxmlformats.org/officeDocument/2006/relationships" r:id="rId11"/>
          <a:extLst>
            <a:ext uri="{FF2B5EF4-FFF2-40B4-BE49-F238E27FC236}">
              <a16:creationId xmlns:a16="http://schemas.microsoft.com/office/drawing/2014/main" id="{00000000-0008-0000-0100-00001E000000}"/>
            </a:ext>
          </a:extLst>
        </xdr:cNvPr>
        <xdr:cNvSpPr txBox="1"/>
      </xdr:nvSpPr>
      <xdr:spPr>
        <a:xfrm>
          <a:off x="10582911" y="2729442"/>
          <a:ext cx="1718774" cy="246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Actions</a:t>
          </a:r>
          <a:r>
            <a:rPr lang="fr-BE" sz="1200" b="0">
              <a:solidFill>
                <a:schemeClr val="tx1">
                  <a:lumMod val="50000"/>
                  <a:lumOff val="50000"/>
                </a:schemeClr>
              </a:solidFill>
            </a:rPr>
            <a:t> </a:t>
          </a:r>
        </a:p>
        <a:p>
          <a:endParaRPr lang="fr-BE" sz="1100" b="0">
            <a:solidFill>
              <a:schemeClr val="tx1">
                <a:lumMod val="50000"/>
                <a:lumOff val="50000"/>
              </a:schemeClr>
            </a:solidFill>
          </a:endParaRPr>
        </a:p>
      </xdr:txBody>
    </xdr:sp>
    <xdr:clientData/>
  </xdr:twoCellAnchor>
  <xdr:twoCellAnchor editAs="absolute">
    <xdr:from>
      <xdr:col>8</xdr:col>
      <xdr:colOff>1197397</xdr:colOff>
      <xdr:row>17</xdr:row>
      <xdr:rowOff>57150</xdr:rowOff>
    </xdr:from>
    <xdr:to>
      <xdr:col>10</xdr:col>
      <xdr:colOff>1197855</xdr:colOff>
      <xdr:row>18</xdr:row>
      <xdr:rowOff>97587</xdr:rowOff>
    </xdr:to>
    <xdr:sp macro="" textlink="">
      <xdr:nvSpPr>
        <xdr:cNvPr id="31" name="ZoneTexte 30">
          <a:hlinkClick xmlns:r="http://schemas.openxmlformats.org/officeDocument/2006/relationships" r:id="rId12"/>
          <a:extLst>
            <a:ext uri="{FF2B5EF4-FFF2-40B4-BE49-F238E27FC236}">
              <a16:creationId xmlns:a16="http://schemas.microsoft.com/office/drawing/2014/main" id="{00000000-0008-0000-0100-00001F000000}"/>
            </a:ext>
          </a:extLst>
        </xdr:cNvPr>
        <xdr:cNvSpPr txBox="1"/>
      </xdr:nvSpPr>
      <xdr:spPr>
        <a:xfrm>
          <a:off x="10583332" y="3478530"/>
          <a:ext cx="1722578" cy="223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Budget</a:t>
          </a:r>
        </a:p>
        <a:p>
          <a:endParaRPr lang="fr-BE" sz="1100" b="0">
            <a:solidFill>
              <a:schemeClr val="tx1">
                <a:lumMod val="50000"/>
                <a:lumOff val="50000"/>
              </a:schemeClr>
            </a:solidFill>
          </a:endParaRPr>
        </a:p>
      </xdr:txBody>
    </xdr:sp>
    <xdr:clientData/>
  </xdr:twoCellAnchor>
  <xdr:twoCellAnchor editAs="absolute">
    <xdr:from>
      <xdr:col>8</xdr:col>
      <xdr:colOff>1197819</xdr:colOff>
      <xdr:row>19</xdr:row>
      <xdr:rowOff>168701</xdr:rowOff>
    </xdr:from>
    <xdr:to>
      <xdr:col>10</xdr:col>
      <xdr:colOff>1221137</xdr:colOff>
      <xdr:row>21</xdr:row>
      <xdr:rowOff>167643</xdr:rowOff>
    </xdr:to>
    <xdr:sp macro="" textlink="">
      <xdr:nvSpPr>
        <xdr:cNvPr id="32" name="ZoneTexte 31">
          <a:hlinkClick xmlns:r="http://schemas.openxmlformats.org/officeDocument/2006/relationships" r:id="rId13"/>
          <a:extLst>
            <a:ext uri="{FF2B5EF4-FFF2-40B4-BE49-F238E27FC236}">
              <a16:creationId xmlns:a16="http://schemas.microsoft.com/office/drawing/2014/main" id="{00000000-0008-0000-0100-000020000000}"/>
            </a:ext>
          </a:extLst>
        </xdr:cNvPr>
        <xdr:cNvSpPr txBox="1"/>
      </xdr:nvSpPr>
      <xdr:spPr>
        <a:xfrm>
          <a:off x="10583754" y="3955841"/>
          <a:ext cx="1754963" cy="364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xdr:twoCellAnchor>
  <xdr:twoCellAnchor editAs="absolute">
    <xdr:from>
      <xdr:col>8</xdr:col>
      <xdr:colOff>1197821</xdr:colOff>
      <xdr:row>16</xdr:row>
      <xdr:rowOff>247649</xdr:rowOff>
    </xdr:from>
    <xdr:to>
      <xdr:col>10</xdr:col>
      <xdr:colOff>1221139</xdr:colOff>
      <xdr:row>17</xdr:row>
      <xdr:rowOff>97155</xdr:rowOff>
    </xdr:to>
    <xdr:sp macro="" textlink="">
      <xdr:nvSpPr>
        <xdr:cNvPr id="33" name="ZoneTexte 32">
          <a:hlinkClick xmlns:r="http://schemas.openxmlformats.org/officeDocument/2006/relationships" r:id="rId14"/>
          <a:extLst>
            <a:ext uri="{FF2B5EF4-FFF2-40B4-BE49-F238E27FC236}">
              <a16:creationId xmlns:a16="http://schemas.microsoft.com/office/drawing/2014/main" id="{00000000-0008-0000-0100-000021000000}"/>
            </a:ext>
          </a:extLst>
        </xdr:cNvPr>
        <xdr:cNvSpPr txBox="1"/>
      </xdr:nvSpPr>
      <xdr:spPr>
        <a:xfrm>
          <a:off x="10583756" y="3204209"/>
          <a:ext cx="1754963"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xdr:twoCellAnchor>
  <xdr:twoCellAnchor editAs="absolute">
    <xdr:from>
      <xdr:col>8</xdr:col>
      <xdr:colOff>1197818</xdr:colOff>
      <xdr:row>21</xdr:row>
      <xdr:rowOff>20528</xdr:rowOff>
    </xdr:from>
    <xdr:to>
      <xdr:col>10</xdr:col>
      <xdr:colOff>879471</xdr:colOff>
      <xdr:row>22</xdr:row>
      <xdr:rowOff>136936</xdr:rowOff>
    </xdr:to>
    <xdr:sp macro="" textlink="">
      <xdr:nvSpPr>
        <xdr:cNvPr id="35" name="ZoneTexte 34">
          <a:hlinkClick xmlns:r="http://schemas.openxmlformats.org/officeDocument/2006/relationships" r:id="rId15"/>
          <a:extLst>
            <a:ext uri="{FF2B5EF4-FFF2-40B4-BE49-F238E27FC236}">
              <a16:creationId xmlns:a16="http://schemas.microsoft.com/office/drawing/2014/main" id="{00000000-0008-0000-0100-000023000000}"/>
            </a:ext>
          </a:extLst>
        </xdr:cNvPr>
        <xdr:cNvSpPr txBox="1"/>
      </xdr:nvSpPr>
      <xdr:spPr>
        <a:xfrm>
          <a:off x="10583753" y="4173428"/>
          <a:ext cx="1413298" cy="299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8</xdr:col>
      <xdr:colOff>207009</xdr:colOff>
      <xdr:row>5</xdr:row>
      <xdr:rowOff>60114</xdr:rowOff>
    </xdr:from>
    <xdr:to>
      <xdr:col>8</xdr:col>
      <xdr:colOff>1198033</xdr:colOff>
      <xdr:row>6</xdr:row>
      <xdr:rowOff>173144</xdr:rowOff>
    </xdr:to>
    <xdr:sp macro="" textlink="">
      <xdr:nvSpPr>
        <xdr:cNvPr id="36" name="ZoneTexte 35">
          <a:hlinkClick xmlns:r="http://schemas.openxmlformats.org/officeDocument/2006/relationships" r:id="rId16"/>
          <a:extLst>
            <a:ext uri="{FF2B5EF4-FFF2-40B4-BE49-F238E27FC236}">
              <a16:creationId xmlns:a16="http://schemas.microsoft.com/office/drawing/2014/main" id="{00000000-0008-0000-0100-000024000000}"/>
            </a:ext>
          </a:extLst>
        </xdr:cNvPr>
        <xdr:cNvSpPr txBox="1"/>
      </xdr:nvSpPr>
      <xdr:spPr>
        <a:xfrm>
          <a:off x="9592944" y="974514"/>
          <a:ext cx="991024" cy="295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00709E"/>
              </a:solidFill>
            </a:rPr>
            <a:t>&gt; </a:t>
          </a:r>
          <a:r>
            <a:rPr lang="fr-BE" sz="1200" b="1" u="sng">
              <a:solidFill>
                <a:srgbClr val="00709E"/>
              </a:solidFill>
            </a:rPr>
            <a:t>Diagnostic</a:t>
          </a:r>
        </a:p>
        <a:p>
          <a:endParaRPr lang="fr-BE" sz="1100" b="1">
            <a:solidFill>
              <a:srgbClr val="00709E"/>
            </a:solidFill>
          </a:endParaRPr>
        </a:p>
      </xdr:txBody>
    </xdr:sp>
    <xdr:clientData/>
  </xdr:twoCellAnchor>
  <xdr:twoCellAnchor editAs="absolute">
    <xdr:from>
      <xdr:col>8</xdr:col>
      <xdr:colOff>230716</xdr:colOff>
      <xdr:row>5</xdr:row>
      <xdr:rowOff>97582</xdr:rowOff>
    </xdr:from>
    <xdr:to>
      <xdr:col>8</xdr:col>
      <xdr:colOff>1274444</xdr:colOff>
      <xdr:row>10</xdr:row>
      <xdr:rowOff>133986</xdr:rowOff>
    </xdr:to>
    <xdr:sp macro="" textlink="">
      <xdr:nvSpPr>
        <xdr:cNvPr id="2" name="Flèche : pentagone 1">
          <a:extLst>
            <a:ext uri="{FF2B5EF4-FFF2-40B4-BE49-F238E27FC236}">
              <a16:creationId xmlns:a16="http://schemas.microsoft.com/office/drawing/2014/main" id="{00000000-0008-0000-0100-000002000000}"/>
            </a:ext>
          </a:extLst>
        </xdr:cNvPr>
        <xdr:cNvSpPr/>
      </xdr:nvSpPr>
      <xdr:spPr>
        <a:xfrm rot="5400000">
          <a:off x="9667876" y="970282"/>
          <a:ext cx="950804" cy="1034203"/>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fr-BE" sz="1400" b="1"/>
            <a:t>Diagnostic</a:t>
          </a:r>
        </a:p>
      </xdr:txBody>
    </xdr:sp>
    <xdr:clientData/>
  </xdr:twoCellAnchor>
  <xdr:twoCellAnchor editAs="absolute">
    <xdr:from>
      <xdr:col>8</xdr:col>
      <xdr:colOff>1197610</xdr:colOff>
      <xdr:row>13</xdr:row>
      <xdr:rowOff>57155</xdr:rowOff>
    </xdr:from>
    <xdr:to>
      <xdr:col>10</xdr:col>
      <xdr:colOff>1198074</xdr:colOff>
      <xdr:row>14</xdr:row>
      <xdr:rowOff>172090</xdr:rowOff>
    </xdr:to>
    <xdr:sp macro="" textlink="">
      <xdr:nvSpPr>
        <xdr:cNvPr id="46" name="ZoneTexte 45">
          <a:hlinkClick xmlns:r="http://schemas.openxmlformats.org/officeDocument/2006/relationships" r:id="rId17"/>
          <a:extLst>
            <a:ext uri="{FF2B5EF4-FFF2-40B4-BE49-F238E27FC236}">
              <a16:creationId xmlns:a16="http://schemas.microsoft.com/office/drawing/2014/main" id="{00000000-0008-0000-0100-00002E000000}"/>
            </a:ext>
          </a:extLst>
        </xdr:cNvPr>
        <xdr:cNvSpPr txBox="1"/>
      </xdr:nvSpPr>
      <xdr:spPr>
        <a:xfrm>
          <a:off x="10583545" y="2434595"/>
          <a:ext cx="1722584" cy="297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 </a:t>
          </a:r>
          <a:r>
            <a:rPr lang="fr-BE" sz="1200" b="1" u="sng">
              <a:solidFill>
                <a:srgbClr val="31869B"/>
              </a:solidFill>
            </a:rPr>
            <a:t>Fiches actions</a:t>
          </a:r>
        </a:p>
        <a:p>
          <a:endParaRPr lang="fr-BE" sz="1100" b="1">
            <a:solidFill>
              <a:srgbClr val="31869B"/>
            </a:solidFill>
          </a:endParaRPr>
        </a:p>
      </xdr:txBody>
    </xdr:sp>
    <xdr:clientData/>
  </xdr:twoCellAnchor>
  <xdr:twoCellAnchor editAs="absolute">
    <xdr:from>
      <xdr:col>8</xdr:col>
      <xdr:colOff>283418</xdr:colOff>
      <xdr:row>23</xdr:row>
      <xdr:rowOff>96728</xdr:rowOff>
    </xdr:from>
    <xdr:to>
      <xdr:col>10</xdr:col>
      <xdr:colOff>573405</xdr:colOff>
      <xdr:row>25</xdr:row>
      <xdr:rowOff>20731</xdr:rowOff>
    </xdr:to>
    <xdr:sp macro="" textlink="">
      <xdr:nvSpPr>
        <xdr:cNvPr id="34" name="ZoneTexte 33">
          <a:hlinkClick xmlns:r="http://schemas.openxmlformats.org/officeDocument/2006/relationships" r:id="rId18"/>
          <a:extLst>
            <a:ext uri="{FF2B5EF4-FFF2-40B4-BE49-F238E27FC236}">
              <a16:creationId xmlns:a16="http://schemas.microsoft.com/office/drawing/2014/main" id="{00000000-0008-0000-0100-000022000000}"/>
            </a:ext>
          </a:extLst>
        </xdr:cNvPr>
        <xdr:cNvSpPr txBox="1"/>
      </xdr:nvSpPr>
      <xdr:spPr>
        <a:xfrm>
          <a:off x="9669353" y="4615388"/>
          <a:ext cx="2021632" cy="289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Hypothèses</a:t>
          </a:r>
          <a:r>
            <a:rPr lang="fr-BE" sz="1200" b="0" u="sng" baseline="0">
              <a:solidFill>
                <a:schemeClr val="tx1">
                  <a:lumMod val="50000"/>
                  <a:lumOff val="50000"/>
                </a:schemeClr>
              </a:solidFill>
            </a:rPr>
            <a:t> &amp; méthodo</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mc:AlternateContent xmlns:mc="http://schemas.openxmlformats.org/markup-compatibility/2006">
    <mc:Choice xmlns:a14="http://schemas.microsoft.com/office/drawing/2010/main" Requires="a14">
      <xdr:twoCellAnchor>
        <xdr:from>
          <xdr:col>0</xdr:col>
          <xdr:colOff>495300</xdr:colOff>
          <xdr:row>26</xdr:row>
          <xdr:rowOff>76200</xdr:rowOff>
        </xdr:from>
        <xdr:to>
          <xdr:col>2</xdr:col>
          <xdr:colOff>190500</xdr:colOff>
          <xdr:row>29</xdr:row>
          <xdr:rowOff>175260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Importer depuis outil 2023</a:t>
              </a:r>
            </a:p>
          </xdr:txBody>
        </xdr:sp>
        <xdr:clientData fPrintsWithSheet="0"/>
      </xdr:twoCellAnchor>
    </mc:Choice>
    <mc:Fallback/>
  </mc:AlternateContent>
  <xdr:twoCellAnchor editAs="oneCell">
    <xdr:from>
      <xdr:col>1</xdr:col>
      <xdr:colOff>251460</xdr:colOff>
      <xdr:row>18</xdr:row>
      <xdr:rowOff>30480</xdr:rowOff>
    </xdr:from>
    <xdr:to>
      <xdr:col>1</xdr:col>
      <xdr:colOff>1882140</xdr:colOff>
      <xdr:row>22</xdr:row>
      <xdr:rowOff>171450</xdr:rowOff>
    </xdr:to>
    <xdr:pic>
      <xdr:nvPicPr>
        <xdr:cNvPr id="37" name="Google Shape;118;p1">
          <a:extLst>
            <a:ext uri="{FF2B5EF4-FFF2-40B4-BE49-F238E27FC236}">
              <a16:creationId xmlns:a16="http://schemas.microsoft.com/office/drawing/2014/main" id="{00000000-0008-0000-0100-000025000000}"/>
            </a:ext>
          </a:extLst>
        </xdr:cNvPr>
        <xdr:cNvPicPr preferRelativeResize="0"/>
      </xdr:nvPicPr>
      <xdr:blipFill rotWithShape="1">
        <a:blip xmlns:r="http://schemas.openxmlformats.org/officeDocument/2006/relationships" r:embed="rId19">
          <a:alphaModFix/>
        </a:blip>
        <a:srcRect/>
        <a:stretch/>
      </xdr:blipFill>
      <xdr:spPr>
        <a:xfrm>
          <a:off x="876300" y="3634740"/>
          <a:ext cx="1623060" cy="868680"/>
        </a:xfrm>
        <a:prstGeom prst="rect">
          <a:avLst/>
        </a:prstGeom>
        <a:noFill/>
        <a:ln>
          <a:noFill/>
        </a:ln>
      </xdr:spPr>
    </xdr:pic>
    <xdr:clientData/>
  </xdr:twoCellAnchor>
  <xdr:twoCellAnchor editAs="absolute">
    <xdr:from>
      <xdr:col>8</xdr:col>
      <xdr:colOff>1197819</xdr:colOff>
      <xdr:row>18</xdr:row>
      <xdr:rowOff>134411</xdr:rowOff>
    </xdr:from>
    <xdr:to>
      <xdr:col>10</xdr:col>
      <xdr:colOff>1221137</xdr:colOff>
      <xdr:row>20</xdr:row>
      <xdr:rowOff>93348</xdr:rowOff>
    </xdr:to>
    <xdr:sp macro="" textlink="">
      <xdr:nvSpPr>
        <xdr:cNvPr id="3" name="ZoneTexte 2">
          <a:hlinkClick xmlns:r="http://schemas.openxmlformats.org/officeDocument/2006/relationships" r:id="rId20"/>
          <a:extLst>
            <a:ext uri="{FF2B5EF4-FFF2-40B4-BE49-F238E27FC236}">
              <a16:creationId xmlns:a16="http://schemas.microsoft.com/office/drawing/2014/main" id="{00000000-0008-0000-0100-000003000000}"/>
            </a:ext>
          </a:extLst>
        </xdr:cNvPr>
        <xdr:cNvSpPr txBox="1"/>
      </xdr:nvSpPr>
      <xdr:spPr>
        <a:xfrm>
          <a:off x="10583754" y="3738671"/>
          <a:ext cx="1754963" cy="324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POLLEC</a:t>
          </a:r>
        </a:p>
        <a:p>
          <a:endParaRPr lang="fr-BE" sz="1100" b="0">
            <a:solidFill>
              <a:schemeClr val="tx1">
                <a:lumMod val="50000"/>
                <a:lumOff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498478</xdr:colOff>
      <xdr:row>0</xdr:row>
      <xdr:rowOff>83820</xdr:rowOff>
    </xdr:from>
    <xdr:to>
      <xdr:col>11</xdr:col>
      <xdr:colOff>114300</xdr:colOff>
      <xdr:row>0</xdr:row>
      <xdr:rowOff>382611</xdr:rowOff>
    </xdr:to>
    <xdr:sp macro="" textlink="">
      <xdr:nvSpPr>
        <xdr:cNvPr id="29" name="Flèche : pentagone 28">
          <a:hlinkClick xmlns:r="http://schemas.openxmlformats.org/officeDocument/2006/relationships" r:id="rId1"/>
          <a:extLst>
            <a:ext uri="{FF2B5EF4-FFF2-40B4-BE49-F238E27FC236}">
              <a16:creationId xmlns:a16="http://schemas.microsoft.com/office/drawing/2014/main" id="{00000000-0008-0000-0200-00001D000000}"/>
            </a:ext>
          </a:extLst>
        </xdr:cNvPr>
        <xdr:cNvSpPr/>
      </xdr:nvSpPr>
      <xdr:spPr>
        <a:xfrm>
          <a:off x="12919078" y="83820"/>
          <a:ext cx="2671442" cy="29879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3</xdr:col>
      <xdr:colOff>63502</xdr:colOff>
      <xdr:row>0</xdr:row>
      <xdr:rowOff>376768</xdr:rowOff>
    </xdr:from>
    <xdr:to>
      <xdr:col>4</xdr:col>
      <xdr:colOff>1316568</xdr:colOff>
      <xdr:row>0</xdr:row>
      <xdr:rowOff>630766</xdr:rowOff>
    </xdr:to>
    <xdr:sp macro="" textlink="">
      <xdr:nvSpPr>
        <xdr:cNvPr id="30" name="ZoneTexte 29">
          <a:hlinkClick xmlns:r="http://schemas.openxmlformats.org/officeDocument/2006/relationships" r:id="rId2"/>
          <a:extLst>
            <a:ext uri="{FF2B5EF4-FFF2-40B4-BE49-F238E27FC236}">
              <a16:creationId xmlns:a16="http://schemas.microsoft.com/office/drawing/2014/main" id="{00000000-0008-0000-0200-00001E000000}"/>
            </a:ext>
          </a:extLst>
        </xdr:cNvPr>
        <xdr:cNvSpPr txBox="1"/>
      </xdr:nvSpPr>
      <xdr:spPr>
        <a:xfrm>
          <a:off x="1571627" y="376768"/>
          <a:ext cx="15451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215967"/>
              </a:solidFill>
            </a:rPr>
            <a:t>&gt; </a:t>
          </a:r>
          <a:r>
            <a:rPr lang="fr-BE" sz="1200" b="1" u="sng">
              <a:solidFill>
                <a:srgbClr val="215967"/>
              </a:solidFill>
            </a:rPr>
            <a:t>Données de bilans </a:t>
          </a:r>
        </a:p>
        <a:p>
          <a:endParaRPr lang="fr-BE" sz="1100">
            <a:solidFill>
              <a:srgbClr val="215967"/>
            </a:solidFill>
          </a:endParaRPr>
        </a:p>
      </xdr:txBody>
    </xdr:sp>
    <xdr:clientData fPrintsWithSheet="0"/>
  </xdr:twoCellAnchor>
  <xdr:twoCellAnchor editAs="absolute">
    <xdr:from>
      <xdr:col>4</xdr:col>
      <xdr:colOff>1179513</xdr:colOff>
      <xdr:row>0</xdr:row>
      <xdr:rowOff>374653</xdr:rowOff>
    </xdr:from>
    <xdr:to>
      <xdr:col>4</xdr:col>
      <xdr:colOff>2586570</xdr:colOff>
      <xdr:row>0</xdr:row>
      <xdr:rowOff>683686</xdr:rowOff>
    </xdr:to>
    <xdr:sp macro="" textlink="">
      <xdr:nvSpPr>
        <xdr:cNvPr id="31" name="ZoneTexte 30">
          <a:hlinkClick xmlns:r="http://schemas.openxmlformats.org/officeDocument/2006/relationships" r:id="rId3"/>
          <a:extLst>
            <a:ext uri="{FF2B5EF4-FFF2-40B4-BE49-F238E27FC236}">
              <a16:creationId xmlns:a16="http://schemas.microsoft.com/office/drawing/2014/main" id="{00000000-0008-0000-0200-00001F000000}"/>
            </a:ext>
          </a:extLst>
        </xdr:cNvPr>
        <xdr:cNvSpPr txBox="1"/>
      </xdr:nvSpPr>
      <xdr:spPr>
        <a:xfrm>
          <a:off x="2981326" y="374653"/>
          <a:ext cx="1405469"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4</xdr:col>
      <xdr:colOff>2538412</xdr:colOff>
      <xdr:row>0</xdr:row>
      <xdr:rowOff>375925</xdr:rowOff>
    </xdr:from>
    <xdr:to>
      <xdr:col>4</xdr:col>
      <xdr:colOff>3836980</xdr:colOff>
      <xdr:row>0</xdr:row>
      <xdr:rowOff>691309</xdr:rowOff>
    </xdr:to>
    <xdr:sp macro="" textlink="">
      <xdr:nvSpPr>
        <xdr:cNvPr id="32" name="ZoneTexte 31">
          <a:hlinkClick xmlns:r="http://schemas.openxmlformats.org/officeDocument/2006/relationships" r:id="rId4"/>
          <a:extLst>
            <a:ext uri="{FF2B5EF4-FFF2-40B4-BE49-F238E27FC236}">
              <a16:creationId xmlns:a16="http://schemas.microsoft.com/office/drawing/2014/main" id="{00000000-0008-0000-0200-000020000000}"/>
            </a:ext>
          </a:extLst>
        </xdr:cNvPr>
        <xdr:cNvSpPr txBox="1"/>
      </xdr:nvSpPr>
      <xdr:spPr>
        <a:xfrm>
          <a:off x="4390072" y="375925"/>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4</xdr:col>
      <xdr:colOff>3896250</xdr:colOff>
      <xdr:row>0</xdr:row>
      <xdr:rowOff>369577</xdr:rowOff>
    </xdr:from>
    <xdr:to>
      <xdr:col>4</xdr:col>
      <xdr:colOff>5046666</xdr:colOff>
      <xdr:row>0</xdr:row>
      <xdr:rowOff>659560</xdr:rowOff>
    </xdr:to>
    <xdr:sp macro="" textlink="">
      <xdr:nvSpPr>
        <xdr:cNvPr id="33" name="ZoneTexte 32">
          <a:hlinkClick xmlns:r="http://schemas.openxmlformats.org/officeDocument/2006/relationships" r:id="rId5"/>
          <a:extLst>
            <a:ext uri="{FF2B5EF4-FFF2-40B4-BE49-F238E27FC236}">
              <a16:creationId xmlns:a16="http://schemas.microsoft.com/office/drawing/2014/main" id="{00000000-0008-0000-0200-000021000000}"/>
            </a:ext>
          </a:extLst>
        </xdr:cNvPr>
        <xdr:cNvSpPr txBox="1"/>
      </xdr:nvSpPr>
      <xdr:spPr>
        <a:xfrm>
          <a:off x="5747910" y="369577"/>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4</xdr:col>
      <xdr:colOff>4902733</xdr:colOff>
      <xdr:row>0</xdr:row>
      <xdr:rowOff>373811</xdr:rowOff>
    </xdr:from>
    <xdr:to>
      <xdr:col>4</xdr:col>
      <xdr:colOff>5575832</xdr:colOff>
      <xdr:row>0</xdr:row>
      <xdr:rowOff>701894</xdr:rowOff>
    </xdr:to>
    <xdr:sp macro="" textlink="">
      <xdr:nvSpPr>
        <xdr:cNvPr id="34" name="ZoneTexte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6754393" y="373811"/>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4</xdr:col>
      <xdr:colOff>5469987</xdr:colOff>
      <xdr:row>0</xdr:row>
      <xdr:rowOff>367461</xdr:rowOff>
    </xdr:from>
    <xdr:to>
      <xdr:col>4</xdr:col>
      <xdr:colOff>6345243</xdr:colOff>
      <xdr:row>0</xdr:row>
      <xdr:rowOff>670144</xdr:rowOff>
    </xdr:to>
    <xdr:sp macro="" textlink="">
      <xdr:nvSpPr>
        <xdr:cNvPr id="35" name="ZoneTexte 34">
          <a:hlinkClick xmlns:r="http://schemas.openxmlformats.org/officeDocument/2006/relationships" r:id="rId7"/>
          <a:extLst>
            <a:ext uri="{FF2B5EF4-FFF2-40B4-BE49-F238E27FC236}">
              <a16:creationId xmlns:a16="http://schemas.microsoft.com/office/drawing/2014/main" id="{00000000-0008-0000-0200-000023000000}"/>
            </a:ext>
          </a:extLst>
        </xdr:cNvPr>
        <xdr:cNvSpPr txBox="1"/>
      </xdr:nvSpPr>
      <xdr:spPr>
        <a:xfrm>
          <a:off x="7321647" y="367461"/>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6</xdr:col>
      <xdr:colOff>662520</xdr:colOff>
      <xdr:row>0</xdr:row>
      <xdr:rowOff>364077</xdr:rowOff>
    </xdr:from>
    <xdr:to>
      <xdr:col>7</xdr:col>
      <xdr:colOff>866779</xdr:colOff>
      <xdr:row>0</xdr:row>
      <xdr:rowOff>704861</xdr:rowOff>
    </xdr:to>
    <xdr:sp macro="" textlink="">
      <xdr:nvSpPr>
        <xdr:cNvPr id="36" name="ZoneTexte 35">
          <a:hlinkClick xmlns:r="http://schemas.openxmlformats.org/officeDocument/2006/relationships" r:id="rId8"/>
          <a:extLst>
            <a:ext uri="{FF2B5EF4-FFF2-40B4-BE49-F238E27FC236}">
              <a16:creationId xmlns:a16="http://schemas.microsoft.com/office/drawing/2014/main" id="{00000000-0008-0000-0200-000024000000}"/>
            </a:ext>
          </a:extLst>
        </xdr:cNvPr>
        <xdr:cNvSpPr txBox="1"/>
      </xdr:nvSpPr>
      <xdr:spPr>
        <a:xfrm>
          <a:off x="9860495" y="364077"/>
          <a:ext cx="1648884"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5</xdr:col>
      <xdr:colOff>597419</xdr:colOff>
      <xdr:row>0</xdr:row>
      <xdr:rowOff>357720</xdr:rowOff>
    </xdr:from>
    <xdr:to>
      <xdr:col>6</xdr:col>
      <xdr:colOff>755640</xdr:colOff>
      <xdr:row>0</xdr:row>
      <xdr:rowOff>673104</xdr:rowOff>
    </xdr:to>
    <xdr:sp macro="" textlink="">
      <xdr:nvSpPr>
        <xdr:cNvPr id="37" name="ZoneTexte 36">
          <a:hlinkClick xmlns:r="http://schemas.openxmlformats.org/officeDocument/2006/relationships" r:id="rId9"/>
          <a:extLst>
            <a:ext uri="{FF2B5EF4-FFF2-40B4-BE49-F238E27FC236}">
              <a16:creationId xmlns:a16="http://schemas.microsoft.com/office/drawing/2014/main" id="{00000000-0008-0000-0200-000025000000}"/>
            </a:ext>
          </a:extLst>
        </xdr:cNvPr>
        <xdr:cNvSpPr txBox="1"/>
      </xdr:nvSpPr>
      <xdr:spPr>
        <a:xfrm>
          <a:off x="9181032" y="357720"/>
          <a:ext cx="772583"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7</xdr:col>
      <xdr:colOff>1321850</xdr:colOff>
      <xdr:row>0</xdr:row>
      <xdr:rowOff>358998</xdr:rowOff>
    </xdr:from>
    <xdr:to>
      <xdr:col>8</xdr:col>
      <xdr:colOff>707502</xdr:colOff>
      <xdr:row>0</xdr:row>
      <xdr:rowOff>701898</xdr:rowOff>
    </xdr:to>
    <xdr:sp macro="" textlink="">
      <xdr:nvSpPr>
        <xdr:cNvPr id="38" name="ZoneTexte 37">
          <a:hlinkClick xmlns:r="http://schemas.openxmlformats.org/officeDocument/2006/relationships" r:id="rId10"/>
          <a:extLst>
            <a:ext uri="{FF2B5EF4-FFF2-40B4-BE49-F238E27FC236}">
              <a16:creationId xmlns:a16="http://schemas.microsoft.com/office/drawing/2014/main" id="{00000000-0008-0000-0200-000026000000}"/>
            </a:ext>
          </a:extLst>
        </xdr:cNvPr>
        <xdr:cNvSpPr txBox="1"/>
      </xdr:nvSpPr>
      <xdr:spPr>
        <a:xfrm>
          <a:off x="12256550" y="358998"/>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8</xdr:col>
      <xdr:colOff>1292960</xdr:colOff>
      <xdr:row>0</xdr:row>
      <xdr:rowOff>355609</xdr:rowOff>
    </xdr:from>
    <xdr:to>
      <xdr:col>10</xdr:col>
      <xdr:colOff>242153</xdr:colOff>
      <xdr:row>0</xdr:row>
      <xdr:rowOff>662517</xdr:rowOff>
    </xdr:to>
    <xdr:sp macro="" textlink="">
      <xdr:nvSpPr>
        <xdr:cNvPr id="39" name="ZoneTexte 38">
          <a:hlinkClick xmlns:r="http://schemas.openxmlformats.org/officeDocument/2006/relationships" r:id="rId11"/>
          <a:extLst>
            <a:ext uri="{FF2B5EF4-FFF2-40B4-BE49-F238E27FC236}">
              <a16:creationId xmlns:a16="http://schemas.microsoft.com/office/drawing/2014/main" id="{00000000-0008-0000-0200-000027000000}"/>
            </a:ext>
          </a:extLst>
        </xdr:cNvPr>
        <xdr:cNvSpPr txBox="1"/>
      </xdr:nvSpPr>
      <xdr:spPr>
        <a:xfrm>
          <a:off x="13713560" y="355609"/>
          <a:ext cx="67893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7</xdr:col>
      <xdr:colOff>623350</xdr:colOff>
      <xdr:row>0</xdr:row>
      <xdr:rowOff>355608</xdr:rowOff>
    </xdr:from>
    <xdr:to>
      <xdr:col>8</xdr:col>
      <xdr:colOff>102662</xdr:colOff>
      <xdr:row>0</xdr:row>
      <xdr:rowOff>651942</xdr:rowOff>
    </xdr:to>
    <xdr:sp macro="" textlink="">
      <xdr:nvSpPr>
        <xdr:cNvPr id="40" name="ZoneTexte 39">
          <a:hlinkClick xmlns:r="http://schemas.openxmlformats.org/officeDocument/2006/relationships" r:id="rId12"/>
          <a:extLst>
            <a:ext uri="{FF2B5EF4-FFF2-40B4-BE49-F238E27FC236}">
              <a16:creationId xmlns:a16="http://schemas.microsoft.com/office/drawing/2014/main" id="{00000000-0008-0000-0200-000028000000}"/>
            </a:ext>
          </a:extLst>
        </xdr:cNvPr>
        <xdr:cNvSpPr txBox="1"/>
      </xdr:nvSpPr>
      <xdr:spPr>
        <a:xfrm>
          <a:off x="11265950" y="355608"/>
          <a:ext cx="92076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1</xdr:col>
      <xdr:colOff>474139</xdr:colOff>
      <xdr:row>0</xdr:row>
      <xdr:rowOff>323850</xdr:rowOff>
    </xdr:from>
    <xdr:to>
      <xdr:col>3</xdr:col>
      <xdr:colOff>52923</xdr:colOff>
      <xdr:row>0</xdr:row>
      <xdr:rowOff>673101</xdr:rowOff>
    </xdr:to>
    <xdr:sp macro="" textlink="">
      <xdr:nvSpPr>
        <xdr:cNvPr id="41" name="ZoneTexte 40">
          <a:hlinkClick xmlns:r="http://schemas.openxmlformats.org/officeDocument/2006/relationships" r:id="rId13"/>
          <a:extLst>
            <a:ext uri="{FF2B5EF4-FFF2-40B4-BE49-F238E27FC236}">
              <a16:creationId xmlns:a16="http://schemas.microsoft.com/office/drawing/2014/main" id="{00000000-0008-0000-0200-000029000000}"/>
            </a:ext>
          </a:extLst>
        </xdr:cNvPr>
        <xdr:cNvSpPr txBox="1"/>
      </xdr:nvSpPr>
      <xdr:spPr>
        <a:xfrm>
          <a:off x="712264" y="323850"/>
          <a:ext cx="848784"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28575</xdr:colOff>
      <xdr:row>0</xdr:row>
      <xdr:rowOff>76200</xdr:rowOff>
    </xdr:from>
    <xdr:to>
      <xdr:col>1</xdr:col>
      <xdr:colOff>444500</xdr:colOff>
      <xdr:row>0</xdr:row>
      <xdr:rowOff>702998</xdr:rowOff>
    </xdr:to>
    <xdr:pic>
      <xdr:nvPicPr>
        <xdr:cNvPr id="42" name="Image 9">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4">
          <a:duotone>
            <a:schemeClr val="accent5">
              <a:shade val="45000"/>
              <a:satMod val="135000"/>
            </a:schemeClr>
            <a:prstClr val="white"/>
          </a:duotone>
        </a:blip>
        <a:srcRect/>
        <a:stretch>
          <a:fillRect/>
        </a:stretch>
      </xdr:blipFill>
      <xdr:spPr bwMode="auto">
        <a:xfrm>
          <a:off x="28575" y="76200"/>
          <a:ext cx="654050" cy="626798"/>
        </a:xfrm>
        <a:prstGeom prst="rect">
          <a:avLst/>
        </a:prstGeom>
        <a:noFill/>
        <a:ln>
          <a:noFill/>
        </a:ln>
      </xdr:spPr>
    </xdr:pic>
    <xdr:clientData fPrintsWithSheet="0"/>
  </xdr:twoCellAnchor>
  <xdr:twoCellAnchor editAs="absolute">
    <xdr:from>
      <xdr:col>10</xdr:col>
      <xdr:colOff>81803</xdr:colOff>
      <xdr:row>0</xdr:row>
      <xdr:rowOff>355609</xdr:rowOff>
    </xdr:from>
    <xdr:to>
      <xdr:col>11</xdr:col>
      <xdr:colOff>158108</xdr:colOff>
      <xdr:row>0</xdr:row>
      <xdr:rowOff>662517</xdr:rowOff>
    </xdr:to>
    <xdr:sp macro="" textlink="">
      <xdr:nvSpPr>
        <xdr:cNvPr id="43" name="ZoneTexte 42">
          <a:hlinkClick xmlns:r="http://schemas.openxmlformats.org/officeDocument/2006/relationships" r:id="rId15"/>
          <a:extLst>
            <a:ext uri="{FF2B5EF4-FFF2-40B4-BE49-F238E27FC236}">
              <a16:creationId xmlns:a16="http://schemas.microsoft.com/office/drawing/2014/main" id="{00000000-0008-0000-0200-00002B000000}"/>
            </a:ext>
          </a:extLst>
        </xdr:cNvPr>
        <xdr:cNvSpPr txBox="1"/>
      </xdr:nvSpPr>
      <xdr:spPr>
        <a:xfrm>
          <a:off x="14232143" y="355609"/>
          <a:ext cx="1402185"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5</xdr:col>
      <xdr:colOff>544515</xdr:colOff>
      <xdr:row>0</xdr:row>
      <xdr:rowOff>81493</xdr:rowOff>
    </xdr:from>
    <xdr:to>
      <xdr:col>8</xdr:col>
      <xdr:colOff>675750</xdr:colOff>
      <xdr:row>0</xdr:row>
      <xdr:rowOff>381000</xdr:rowOff>
    </xdr:to>
    <xdr:sp macro="" textlink="">
      <xdr:nvSpPr>
        <xdr:cNvPr id="44" name="Flèche : pentagone 43">
          <a:hlinkClick xmlns:r="http://schemas.openxmlformats.org/officeDocument/2006/relationships" r:id="rId9"/>
          <a:extLst>
            <a:ext uri="{FF2B5EF4-FFF2-40B4-BE49-F238E27FC236}">
              <a16:creationId xmlns:a16="http://schemas.microsoft.com/office/drawing/2014/main" id="{00000000-0008-0000-0200-00002C000000}"/>
            </a:ext>
          </a:extLst>
        </xdr:cNvPr>
        <xdr:cNvSpPr/>
      </xdr:nvSpPr>
      <xdr:spPr>
        <a:xfrm>
          <a:off x="9128128" y="81493"/>
          <a:ext cx="3630084" cy="29950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4</xdr:col>
      <xdr:colOff>3604157</xdr:colOff>
      <xdr:row>0</xdr:row>
      <xdr:rowOff>89961</xdr:rowOff>
    </xdr:from>
    <xdr:to>
      <xdr:col>5</xdr:col>
      <xdr:colOff>608016</xdr:colOff>
      <xdr:row>0</xdr:row>
      <xdr:rowOff>381000</xdr:rowOff>
    </xdr:to>
    <xdr:sp macro="" textlink="">
      <xdr:nvSpPr>
        <xdr:cNvPr id="45" name="Flèche : pentagone 44">
          <a:hlinkClick xmlns:r="http://schemas.openxmlformats.org/officeDocument/2006/relationships" r:id="rId5"/>
          <a:extLst>
            <a:ext uri="{FF2B5EF4-FFF2-40B4-BE49-F238E27FC236}">
              <a16:creationId xmlns:a16="http://schemas.microsoft.com/office/drawing/2014/main" id="{00000000-0008-0000-0200-00002D000000}"/>
            </a:ext>
          </a:extLst>
        </xdr:cNvPr>
        <xdr:cNvSpPr/>
      </xdr:nvSpPr>
      <xdr:spPr>
        <a:xfrm>
          <a:off x="5402795" y="89961"/>
          <a:ext cx="3788834"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3</xdr:col>
      <xdr:colOff>4</xdr:colOff>
      <xdr:row>0</xdr:row>
      <xdr:rowOff>89962</xdr:rowOff>
    </xdr:from>
    <xdr:to>
      <xdr:col>4</xdr:col>
      <xdr:colOff>3868741</xdr:colOff>
      <xdr:row>0</xdr:row>
      <xdr:rowOff>384728</xdr:rowOff>
    </xdr:to>
    <xdr:sp macro="" textlink="">
      <xdr:nvSpPr>
        <xdr:cNvPr id="46" name="Flèche : pentagone 45">
          <a:hlinkClick xmlns:r="http://schemas.openxmlformats.org/officeDocument/2006/relationships" r:id="rId2"/>
          <a:extLst>
            <a:ext uri="{FF2B5EF4-FFF2-40B4-BE49-F238E27FC236}">
              <a16:creationId xmlns:a16="http://schemas.microsoft.com/office/drawing/2014/main" id="{00000000-0008-0000-0200-00002E000000}"/>
            </a:ext>
          </a:extLst>
        </xdr:cNvPr>
        <xdr:cNvSpPr/>
      </xdr:nvSpPr>
      <xdr:spPr>
        <a:xfrm>
          <a:off x="1508129" y="89962"/>
          <a:ext cx="4159250"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4</xdr:col>
      <xdr:colOff>6180129</xdr:colOff>
      <xdr:row>0</xdr:row>
      <xdr:rowOff>364075</xdr:rowOff>
    </xdr:from>
    <xdr:to>
      <xdr:col>5</xdr:col>
      <xdr:colOff>419100</xdr:colOff>
      <xdr:row>0</xdr:row>
      <xdr:rowOff>666758</xdr:rowOff>
    </xdr:to>
    <xdr:sp macro="" textlink="">
      <xdr:nvSpPr>
        <xdr:cNvPr id="47" name="ZoneTexte 46">
          <a:hlinkClick xmlns:r="http://schemas.openxmlformats.org/officeDocument/2006/relationships" r:id="rId7"/>
          <a:extLst>
            <a:ext uri="{FF2B5EF4-FFF2-40B4-BE49-F238E27FC236}">
              <a16:creationId xmlns:a16="http://schemas.microsoft.com/office/drawing/2014/main" id="{00000000-0008-0000-0200-00002F000000}"/>
            </a:ext>
          </a:extLst>
        </xdr:cNvPr>
        <xdr:cNvSpPr txBox="1"/>
      </xdr:nvSpPr>
      <xdr:spPr>
        <a:xfrm>
          <a:off x="8031789" y="364075"/>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1</xdr:col>
      <xdr:colOff>508003</xdr:colOff>
      <xdr:row>0</xdr:row>
      <xdr:rowOff>84670</xdr:rowOff>
    </xdr:from>
    <xdr:to>
      <xdr:col>3</xdr:col>
      <xdr:colOff>127004</xdr:colOff>
      <xdr:row>0</xdr:row>
      <xdr:rowOff>379436</xdr:rowOff>
    </xdr:to>
    <xdr:sp macro="" textlink="">
      <xdr:nvSpPr>
        <xdr:cNvPr id="48" name="Flèche : pentagone 47">
          <a:extLst>
            <a:ext uri="{FF2B5EF4-FFF2-40B4-BE49-F238E27FC236}">
              <a16:creationId xmlns:a16="http://schemas.microsoft.com/office/drawing/2014/main" id="{00000000-0008-0000-0200-000030000000}"/>
            </a:ext>
          </a:extLst>
        </xdr:cNvPr>
        <xdr:cNvSpPr/>
      </xdr:nvSpPr>
      <xdr:spPr>
        <a:xfrm>
          <a:off x="746128" y="84670"/>
          <a:ext cx="889001"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8</xdr:col>
      <xdr:colOff>652880</xdr:colOff>
      <xdr:row>0</xdr:row>
      <xdr:rowOff>355609</xdr:rowOff>
    </xdr:from>
    <xdr:to>
      <xdr:col>9</xdr:col>
      <xdr:colOff>15240</xdr:colOff>
      <xdr:row>0</xdr:row>
      <xdr:rowOff>662517</xdr:rowOff>
    </xdr:to>
    <xdr:sp macro="" textlink="">
      <xdr:nvSpPr>
        <xdr:cNvPr id="2" name="ZoneTexte 1">
          <a:hlinkClick xmlns:r="http://schemas.openxmlformats.org/officeDocument/2006/relationships" r:id="rId16"/>
          <a:extLst>
            <a:ext uri="{FF2B5EF4-FFF2-40B4-BE49-F238E27FC236}">
              <a16:creationId xmlns:a16="http://schemas.microsoft.com/office/drawing/2014/main" id="{00000000-0008-0000-0200-000002000000}"/>
            </a:ext>
          </a:extLst>
        </xdr:cNvPr>
        <xdr:cNvSpPr txBox="1"/>
      </xdr:nvSpPr>
      <xdr:spPr>
        <a:xfrm>
          <a:off x="13073480" y="355609"/>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3147060</xdr:colOff>
          <xdr:row>1</xdr:row>
          <xdr:rowOff>38100</xdr:rowOff>
        </xdr:from>
        <xdr:to>
          <xdr:col>2</xdr:col>
          <xdr:colOff>5280660</xdr:colOff>
          <xdr:row>2</xdr:row>
          <xdr:rowOff>38100</xdr:rowOff>
        </xdr:to>
        <xdr:sp macro="" textlink="">
          <xdr:nvSpPr>
            <xdr:cNvPr id="51538948" name="Button 4" hidden="1">
              <a:extLst>
                <a:ext uri="{63B3BB69-23CF-44E3-9099-C40C66FF867C}">
                  <a14:compatExt spid="_x0000_s51538948"/>
                </a:ext>
                <a:ext uri="{FF2B5EF4-FFF2-40B4-BE49-F238E27FC236}">
                  <a16:creationId xmlns:a16="http://schemas.microsoft.com/office/drawing/2014/main" id="{00000000-0008-0000-0500-0000046C12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Importer depuis fichier régional</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547157</xdr:colOff>
      <xdr:row>3</xdr:row>
      <xdr:rowOff>23282</xdr:rowOff>
    </xdr:from>
    <xdr:to>
      <xdr:col>6</xdr:col>
      <xdr:colOff>190499</xdr:colOff>
      <xdr:row>3</xdr:row>
      <xdr:rowOff>285114</xdr:rowOff>
    </xdr:to>
    <xdr:sp macro="" textlink="">
      <xdr:nvSpPr>
        <xdr:cNvPr id="39" name="ZoneTexte 38">
          <a:hlinkClick xmlns:r="http://schemas.openxmlformats.org/officeDocument/2006/relationships" r:id="rId1"/>
          <a:extLst>
            <a:ext uri="{FF2B5EF4-FFF2-40B4-BE49-F238E27FC236}">
              <a16:creationId xmlns:a16="http://schemas.microsoft.com/office/drawing/2014/main" id="{00000000-0008-0000-0300-000027000000}"/>
            </a:ext>
          </a:extLst>
        </xdr:cNvPr>
        <xdr:cNvSpPr txBox="1"/>
      </xdr:nvSpPr>
      <xdr:spPr>
        <a:xfrm>
          <a:off x="2423582" y="1337732"/>
          <a:ext cx="2548468" cy="275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65000"/>
                  <a:lumOff val="35000"/>
                </a:schemeClr>
              </a:solidFill>
            </a:rPr>
            <a:t>&gt; </a:t>
          </a:r>
          <a:r>
            <a:rPr lang="fr-BE" sz="1200" u="sng" baseline="0">
              <a:solidFill>
                <a:schemeClr val="tx1">
                  <a:lumMod val="65000"/>
                  <a:lumOff val="35000"/>
                </a:schemeClr>
              </a:solidFill>
            </a:rPr>
            <a:t>Electricité bâtiments hors chauffage</a:t>
          </a:r>
          <a:endParaRPr lang="fr-BE" sz="1200" u="sng">
            <a:solidFill>
              <a:schemeClr val="tx1">
                <a:lumMod val="65000"/>
                <a:lumOff val="35000"/>
              </a:schemeClr>
            </a:solidFill>
          </a:endParaRPr>
        </a:p>
        <a:p>
          <a:endParaRPr lang="fr-BE" sz="1100">
            <a:solidFill>
              <a:schemeClr val="tx1">
                <a:lumMod val="65000"/>
                <a:lumOff val="35000"/>
              </a:schemeClr>
            </a:solidFill>
          </a:endParaRPr>
        </a:p>
      </xdr:txBody>
    </xdr:sp>
    <xdr:clientData fPrintsWithSheet="0"/>
  </xdr:twoCellAnchor>
  <xdr:twoCellAnchor editAs="oneCell">
    <xdr:from>
      <xdr:col>3</xdr:col>
      <xdr:colOff>559857</xdr:colOff>
      <xdr:row>3</xdr:row>
      <xdr:rowOff>532340</xdr:rowOff>
    </xdr:from>
    <xdr:to>
      <xdr:col>4</xdr:col>
      <xdr:colOff>588856</xdr:colOff>
      <xdr:row>3</xdr:row>
      <xdr:rowOff>820842</xdr:rowOff>
    </xdr:to>
    <xdr:sp macro="" textlink="">
      <xdr:nvSpPr>
        <xdr:cNvPr id="40" name="ZoneTexte 39">
          <a:hlinkClick xmlns:r="http://schemas.openxmlformats.org/officeDocument/2006/relationships" r:id="rId2"/>
          <a:extLst>
            <a:ext uri="{FF2B5EF4-FFF2-40B4-BE49-F238E27FC236}">
              <a16:creationId xmlns:a16="http://schemas.microsoft.com/office/drawing/2014/main" id="{00000000-0008-0000-0300-000028000000}"/>
            </a:ext>
          </a:extLst>
        </xdr:cNvPr>
        <xdr:cNvSpPr txBox="1"/>
      </xdr:nvSpPr>
      <xdr:spPr>
        <a:xfrm>
          <a:off x="2436282" y="1846790"/>
          <a:ext cx="1413935" cy="275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65000"/>
                  <a:lumOff val="35000"/>
                </a:schemeClr>
              </a:solidFill>
            </a:rPr>
            <a:t>&gt; </a:t>
          </a:r>
          <a:r>
            <a:rPr lang="fr-BE" sz="1200" u="sng" baseline="0">
              <a:solidFill>
                <a:schemeClr val="tx1">
                  <a:lumMod val="65000"/>
                  <a:lumOff val="35000"/>
                </a:schemeClr>
              </a:solidFill>
            </a:rPr>
            <a:t>Eclairage public</a:t>
          </a:r>
          <a:endParaRPr lang="fr-BE" sz="1200" u="sng">
            <a:solidFill>
              <a:schemeClr val="tx1">
                <a:lumMod val="65000"/>
                <a:lumOff val="35000"/>
              </a:schemeClr>
            </a:solidFill>
          </a:endParaRPr>
        </a:p>
        <a:p>
          <a:endParaRPr lang="fr-BE" sz="1100">
            <a:solidFill>
              <a:schemeClr val="tx1">
                <a:lumMod val="65000"/>
                <a:lumOff val="35000"/>
              </a:schemeClr>
            </a:solidFill>
          </a:endParaRPr>
        </a:p>
      </xdr:txBody>
    </xdr:sp>
    <xdr:clientData fPrintsWithSheet="0"/>
  </xdr:twoCellAnchor>
  <xdr:twoCellAnchor editAs="oneCell">
    <xdr:from>
      <xdr:col>3</xdr:col>
      <xdr:colOff>541864</xdr:colOff>
      <xdr:row>3</xdr:row>
      <xdr:rowOff>792691</xdr:rowOff>
    </xdr:from>
    <xdr:to>
      <xdr:col>4</xdr:col>
      <xdr:colOff>550119</xdr:colOff>
      <xdr:row>3</xdr:row>
      <xdr:rowOff>1067858</xdr:rowOff>
    </xdr:to>
    <xdr:sp macro="" textlink="">
      <xdr:nvSpPr>
        <xdr:cNvPr id="41" name="ZoneTexte 40">
          <a:hlinkClick xmlns:r="http://schemas.openxmlformats.org/officeDocument/2006/relationships" r:id="rId3"/>
          <a:extLst>
            <a:ext uri="{FF2B5EF4-FFF2-40B4-BE49-F238E27FC236}">
              <a16:creationId xmlns:a16="http://schemas.microsoft.com/office/drawing/2014/main" id="{00000000-0008-0000-0300-000029000000}"/>
            </a:ext>
          </a:extLst>
        </xdr:cNvPr>
        <xdr:cNvSpPr txBox="1"/>
      </xdr:nvSpPr>
      <xdr:spPr>
        <a:xfrm>
          <a:off x="2418289" y="2107141"/>
          <a:ext cx="1377951" cy="275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65000"/>
                  <a:lumOff val="35000"/>
                </a:schemeClr>
              </a:solidFill>
            </a:rPr>
            <a:t>&gt; </a:t>
          </a:r>
          <a:r>
            <a:rPr lang="fr-BE" sz="1200" u="sng" baseline="0">
              <a:solidFill>
                <a:schemeClr val="tx1">
                  <a:lumMod val="65000"/>
                  <a:lumOff val="35000"/>
                </a:schemeClr>
              </a:solidFill>
            </a:rPr>
            <a:t>Matériel roulant</a:t>
          </a:r>
          <a:endParaRPr lang="fr-BE" sz="1200" u="sng">
            <a:solidFill>
              <a:schemeClr val="tx1">
                <a:lumMod val="65000"/>
                <a:lumOff val="35000"/>
              </a:schemeClr>
            </a:solidFill>
          </a:endParaRPr>
        </a:p>
        <a:p>
          <a:endParaRPr lang="fr-BE" sz="1100">
            <a:solidFill>
              <a:schemeClr val="tx1">
                <a:lumMod val="65000"/>
                <a:lumOff val="35000"/>
              </a:schemeClr>
            </a:solidFill>
          </a:endParaRPr>
        </a:p>
      </xdr:txBody>
    </xdr:sp>
    <xdr:clientData fPrintsWithSheet="0"/>
  </xdr:twoCellAnchor>
  <xdr:twoCellAnchor editAs="oneCell">
    <xdr:from>
      <xdr:col>3</xdr:col>
      <xdr:colOff>553505</xdr:colOff>
      <xdr:row>3</xdr:row>
      <xdr:rowOff>275165</xdr:rowOff>
    </xdr:from>
    <xdr:to>
      <xdr:col>5</xdr:col>
      <xdr:colOff>706542</xdr:colOff>
      <xdr:row>3</xdr:row>
      <xdr:rowOff>554142</xdr:rowOff>
    </xdr:to>
    <xdr:sp macro="" textlink="">
      <xdr:nvSpPr>
        <xdr:cNvPr id="42" name="ZoneTexte 41">
          <a:hlinkClick xmlns:r="http://schemas.openxmlformats.org/officeDocument/2006/relationships" r:id="rId4"/>
          <a:extLst>
            <a:ext uri="{FF2B5EF4-FFF2-40B4-BE49-F238E27FC236}">
              <a16:creationId xmlns:a16="http://schemas.microsoft.com/office/drawing/2014/main" id="{00000000-0008-0000-0300-00002A000000}"/>
            </a:ext>
          </a:extLst>
        </xdr:cNvPr>
        <xdr:cNvSpPr txBox="1"/>
      </xdr:nvSpPr>
      <xdr:spPr>
        <a:xfrm>
          <a:off x="2429930" y="1589615"/>
          <a:ext cx="2292352" cy="275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65000"/>
                  <a:lumOff val="35000"/>
                </a:schemeClr>
              </a:solidFill>
            </a:rPr>
            <a:t>&gt; </a:t>
          </a:r>
          <a:r>
            <a:rPr lang="fr-BE" sz="1200" u="sng" baseline="0">
              <a:solidFill>
                <a:schemeClr val="tx1">
                  <a:lumMod val="65000"/>
                  <a:lumOff val="35000"/>
                </a:schemeClr>
              </a:solidFill>
            </a:rPr>
            <a:t>Electricité (autres équipements)</a:t>
          </a:r>
          <a:endParaRPr lang="fr-BE" sz="1200" u="sng">
            <a:solidFill>
              <a:schemeClr val="tx1">
                <a:lumMod val="65000"/>
                <a:lumOff val="35000"/>
              </a:schemeClr>
            </a:solidFill>
          </a:endParaRPr>
        </a:p>
        <a:p>
          <a:endParaRPr lang="fr-BE" sz="1100">
            <a:solidFill>
              <a:schemeClr val="tx1">
                <a:lumMod val="65000"/>
                <a:lumOff val="35000"/>
              </a:schemeClr>
            </a:solidFill>
          </a:endParaRPr>
        </a:p>
      </xdr:txBody>
    </xdr:sp>
    <xdr:clientData fPrintsWithSheet="0"/>
  </xdr:twoCellAnchor>
  <xdr:twoCellAnchor editAs="oneCell">
    <xdr:from>
      <xdr:col>5</xdr:col>
      <xdr:colOff>171450</xdr:colOff>
      <xdr:row>158</xdr:row>
      <xdr:rowOff>142875</xdr:rowOff>
    </xdr:from>
    <xdr:to>
      <xdr:col>7</xdr:col>
      <xdr:colOff>282364</xdr:colOff>
      <xdr:row>160</xdr:row>
      <xdr:rowOff>1323</xdr:rowOff>
    </xdr:to>
    <xdr:sp macro="" textlink="">
      <xdr:nvSpPr>
        <xdr:cNvPr id="44" name="ZoneTexte 43">
          <a:hlinkClick xmlns:r="http://schemas.openxmlformats.org/officeDocument/2006/relationships" r:id="rId5"/>
          <a:extLst>
            <a:ext uri="{FF2B5EF4-FFF2-40B4-BE49-F238E27FC236}">
              <a16:creationId xmlns:a16="http://schemas.microsoft.com/office/drawing/2014/main" id="{00000000-0008-0000-0300-00002C000000}"/>
            </a:ext>
          </a:extLst>
        </xdr:cNvPr>
        <xdr:cNvSpPr txBox="1"/>
      </xdr:nvSpPr>
      <xdr:spPr>
        <a:xfrm>
          <a:off x="3571875" y="9305925"/>
          <a:ext cx="1623484" cy="275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65000"/>
                  <a:lumOff val="35000"/>
                </a:schemeClr>
              </a:solidFill>
            </a:rPr>
            <a:t>&gt; </a:t>
          </a:r>
          <a:r>
            <a:rPr lang="fr-BE" sz="1200" u="sng" baseline="0">
              <a:solidFill>
                <a:schemeClr val="tx1">
                  <a:lumMod val="65000"/>
                  <a:lumOff val="35000"/>
                </a:schemeClr>
              </a:solidFill>
            </a:rPr>
            <a:t>Haut de page</a:t>
          </a:r>
          <a:endParaRPr lang="fr-BE" sz="1200" u="sng">
            <a:solidFill>
              <a:schemeClr val="tx1">
                <a:lumMod val="65000"/>
                <a:lumOff val="35000"/>
              </a:schemeClr>
            </a:solidFill>
          </a:endParaRPr>
        </a:p>
        <a:p>
          <a:endParaRPr lang="fr-BE" sz="1100">
            <a:solidFill>
              <a:schemeClr val="tx1">
                <a:lumMod val="65000"/>
                <a:lumOff val="35000"/>
              </a:schemeClr>
            </a:solidFill>
          </a:endParaRPr>
        </a:p>
      </xdr:txBody>
    </xdr:sp>
    <xdr:clientData fPrintsWithSheet="0"/>
  </xdr:twoCellAnchor>
  <xdr:twoCellAnchor editAs="oneCell">
    <xdr:from>
      <xdr:col>4</xdr:col>
      <xdr:colOff>495300</xdr:colOff>
      <xdr:row>312</xdr:row>
      <xdr:rowOff>114300</xdr:rowOff>
    </xdr:from>
    <xdr:to>
      <xdr:col>6</xdr:col>
      <xdr:colOff>590974</xdr:colOff>
      <xdr:row>313</xdr:row>
      <xdr:rowOff>206587</xdr:rowOff>
    </xdr:to>
    <xdr:sp macro="" textlink="">
      <xdr:nvSpPr>
        <xdr:cNvPr id="45" name="ZoneTexte 44">
          <a:hlinkClick xmlns:r="http://schemas.openxmlformats.org/officeDocument/2006/relationships" r:id="rId5"/>
          <a:extLst>
            <a:ext uri="{FF2B5EF4-FFF2-40B4-BE49-F238E27FC236}">
              <a16:creationId xmlns:a16="http://schemas.microsoft.com/office/drawing/2014/main" id="{00000000-0008-0000-0300-00002D000000}"/>
            </a:ext>
          </a:extLst>
        </xdr:cNvPr>
        <xdr:cNvSpPr txBox="1"/>
      </xdr:nvSpPr>
      <xdr:spPr>
        <a:xfrm>
          <a:off x="3133725" y="38661975"/>
          <a:ext cx="1623484" cy="275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65000"/>
                  <a:lumOff val="35000"/>
                </a:schemeClr>
              </a:solidFill>
            </a:rPr>
            <a:t>&gt; </a:t>
          </a:r>
          <a:r>
            <a:rPr lang="fr-BE" sz="1200" u="sng" baseline="0">
              <a:solidFill>
                <a:schemeClr val="tx1">
                  <a:lumMod val="65000"/>
                  <a:lumOff val="35000"/>
                </a:schemeClr>
              </a:solidFill>
            </a:rPr>
            <a:t>Haut de page</a:t>
          </a:r>
          <a:endParaRPr lang="fr-BE" sz="1200" u="sng">
            <a:solidFill>
              <a:schemeClr val="tx1">
                <a:lumMod val="65000"/>
                <a:lumOff val="35000"/>
              </a:schemeClr>
            </a:solidFill>
          </a:endParaRPr>
        </a:p>
        <a:p>
          <a:endParaRPr lang="fr-BE" sz="1100">
            <a:solidFill>
              <a:schemeClr val="tx1">
                <a:lumMod val="65000"/>
                <a:lumOff val="35000"/>
              </a:schemeClr>
            </a:solidFill>
          </a:endParaRPr>
        </a:p>
      </xdr:txBody>
    </xdr:sp>
    <xdr:clientData fPrintsWithSheet="0"/>
  </xdr:twoCellAnchor>
  <xdr:twoCellAnchor editAs="oneCell">
    <xdr:from>
      <xdr:col>3</xdr:col>
      <xdr:colOff>180975</xdr:colOff>
      <xdr:row>346</xdr:row>
      <xdr:rowOff>133350</xdr:rowOff>
    </xdr:from>
    <xdr:to>
      <xdr:col>4</xdr:col>
      <xdr:colOff>434763</xdr:colOff>
      <xdr:row>347</xdr:row>
      <xdr:rowOff>208492</xdr:rowOff>
    </xdr:to>
    <xdr:sp macro="" textlink="">
      <xdr:nvSpPr>
        <xdr:cNvPr id="46" name="ZoneTexte 45">
          <a:hlinkClick xmlns:r="http://schemas.openxmlformats.org/officeDocument/2006/relationships" r:id="rId5"/>
          <a:extLst>
            <a:ext uri="{FF2B5EF4-FFF2-40B4-BE49-F238E27FC236}">
              <a16:creationId xmlns:a16="http://schemas.microsoft.com/office/drawing/2014/main" id="{00000000-0008-0000-0300-00002E000000}"/>
            </a:ext>
          </a:extLst>
        </xdr:cNvPr>
        <xdr:cNvSpPr txBox="1"/>
      </xdr:nvSpPr>
      <xdr:spPr>
        <a:xfrm>
          <a:off x="2057400" y="45205650"/>
          <a:ext cx="1623484" cy="275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65000"/>
                  <a:lumOff val="35000"/>
                </a:schemeClr>
              </a:solidFill>
            </a:rPr>
            <a:t>&gt; </a:t>
          </a:r>
          <a:r>
            <a:rPr lang="fr-BE" sz="1200" u="sng" baseline="0">
              <a:solidFill>
                <a:schemeClr val="tx1">
                  <a:lumMod val="65000"/>
                  <a:lumOff val="35000"/>
                </a:schemeClr>
              </a:solidFill>
            </a:rPr>
            <a:t>Haut de page</a:t>
          </a:r>
          <a:endParaRPr lang="fr-BE" sz="1200" u="sng">
            <a:solidFill>
              <a:schemeClr val="tx1">
                <a:lumMod val="65000"/>
                <a:lumOff val="35000"/>
              </a:schemeClr>
            </a:solidFill>
          </a:endParaRPr>
        </a:p>
        <a:p>
          <a:endParaRPr lang="fr-BE" sz="1100">
            <a:solidFill>
              <a:schemeClr val="tx1">
                <a:lumMod val="65000"/>
                <a:lumOff val="35000"/>
              </a:schemeClr>
            </a:solidFill>
          </a:endParaRPr>
        </a:p>
      </xdr:txBody>
    </xdr:sp>
    <xdr:clientData fPrintsWithSheet="0"/>
  </xdr:twoCellAnchor>
  <xdr:twoCellAnchor editAs="oneCell">
    <xdr:from>
      <xdr:col>3</xdr:col>
      <xdr:colOff>171450</xdr:colOff>
      <xdr:row>351</xdr:row>
      <xdr:rowOff>152400</xdr:rowOff>
    </xdr:from>
    <xdr:to>
      <xdr:col>4</xdr:col>
      <xdr:colOff>402378</xdr:colOff>
      <xdr:row>353</xdr:row>
      <xdr:rowOff>847</xdr:rowOff>
    </xdr:to>
    <xdr:sp macro="" textlink="">
      <xdr:nvSpPr>
        <xdr:cNvPr id="47" name="ZoneTexte 46">
          <a:hlinkClick xmlns:r="http://schemas.openxmlformats.org/officeDocument/2006/relationships" r:id="rId5"/>
          <a:extLst>
            <a:ext uri="{FF2B5EF4-FFF2-40B4-BE49-F238E27FC236}">
              <a16:creationId xmlns:a16="http://schemas.microsoft.com/office/drawing/2014/main" id="{00000000-0008-0000-0300-00002F000000}"/>
            </a:ext>
          </a:extLst>
        </xdr:cNvPr>
        <xdr:cNvSpPr txBox="1"/>
      </xdr:nvSpPr>
      <xdr:spPr>
        <a:xfrm>
          <a:off x="2047875" y="46224825"/>
          <a:ext cx="1623484" cy="275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65000"/>
                  <a:lumOff val="35000"/>
                </a:schemeClr>
              </a:solidFill>
            </a:rPr>
            <a:t>&gt; </a:t>
          </a:r>
          <a:r>
            <a:rPr lang="fr-BE" sz="1200" u="sng" baseline="0">
              <a:solidFill>
                <a:schemeClr val="tx1">
                  <a:lumMod val="65000"/>
                  <a:lumOff val="35000"/>
                </a:schemeClr>
              </a:solidFill>
            </a:rPr>
            <a:t>Haut de page</a:t>
          </a:r>
          <a:endParaRPr lang="fr-BE" sz="1200" u="sng">
            <a:solidFill>
              <a:schemeClr val="tx1">
                <a:lumMod val="65000"/>
                <a:lumOff val="35000"/>
              </a:schemeClr>
            </a:solidFill>
          </a:endParaRPr>
        </a:p>
        <a:p>
          <a:endParaRPr lang="fr-BE" sz="1100">
            <a:solidFill>
              <a:schemeClr val="tx1">
                <a:lumMod val="65000"/>
                <a:lumOff val="35000"/>
              </a:schemeClr>
            </a:solidFill>
          </a:endParaRPr>
        </a:p>
      </xdr:txBody>
    </xdr:sp>
    <xdr:clientData fPrintsWithSheet="0"/>
  </xdr:twoCellAnchor>
  <xdr:twoCellAnchor editAs="absolute">
    <xdr:from>
      <xdr:col>8</xdr:col>
      <xdr:colOff>478476</xdr:colOff>
      <xdr:row>0</xdr:row>
      <xdr:rowOff>93345</xdr:rowOff>
    </xdr:from>
    <xdr:to>
      <xdr:col>11</xdr:col>
      <xdr:colOff>662940</xdr:colOff>
      <xdr:row>0</xdr:row>
      <xdr:rowOff>397851</xdr:rowOff>
    </xdr:to>
    <xdr:sp macro="" textlink="">
      <xdr:nvSpPr>
        <xdr:cNvPr id="3" name="Flèche : pentagone 2">
          <a:hlinkClick xmlns:r="http://schemas.openxmlformats.org/officeDocument/2006/relationships" r:id="rId6"/>
          <a:extLst>
            <a:ext uri="{FF2B5EF4-FFF2-40B4-BE49-F238E27FC236}">
              <a16:creationId xmlns:a16="http://schemas.microsoft.com/office/drawing/2014/main" id="{00000000-0008-0000-0300-000003000000}"/>
            </a:ext>
          </a:extLst>
        </xdr:cNvPr>
        <xdr:cNvSpPr/>
      </xdr:nvSpPr>
      <xdr:spPr>
        <a:xfrm>
          <a:off x="12900028" y="102870"/>
          <a:ext cx="2673347" cy="29879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1</xdr:col>
      <xdr:colOff>324487</xdr:colOff>
      <xdr:row>0</xdr:row>
      <xdr:rowOff>399628</xdr:rowOff>
    </xdr:from>
    <xdr:to>
      <xdr:col>1</xdr:col>
      <xdr:colOff>1869018</xdr:colOff>
      <xdr:row>0</xdr:row>
      <xdr:rowOff>649816</xdr:rowOff>
    </xdr:to>
    <xdr:sp macro="" textlink="">
      <xdr:nvSpPr>
        <xdr:cNvPr id="18" name="ZoneTexte 17">
          <a:hlinkClick xmlns:r="http://schemas.openxmlformats.org/officeDocument/2006/relationships" r:id="rId7"/>
          <a:extLst>
            <a:ext uri="{FF2B5EF4-FFF2-40B4-BE49-F238E27FC236}">
              <a16:creationId xmlns:a16="http://schemas.microsoft.com/office/drawing/2014/main" id="{00000000-0008-0000-0300-000012000000}"/>
            </a:ext>
          </a:extLst>
        </xdr:cNvPr>
        <xdr:cNvSpPr txBox="1"/>
      </xdr:nvSpPr>
      <xdr:spPr>
        <a:xfrm>
          <a:off x="1587502" y="395818"/>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1</xdr:col>
      <xdr:colOff>1735773</xdr:colOff>
      <xdr:row>0</xdr:row>
      <xdr:rowOff>397513</xdr:rowOff>
    </xdr:from>
    <xdr:to>
      <xdr:col>2</xdr:col>
      <xdr:colOff>361054</xdr:colOff>
      <xdr:row>0</xdr:row>
      <xdr:rowOff>706546</xdr:rowOff>
    </xdr:to>
    <xdr:sp macro="" textlink="">
      <xdr:nvSpPr>
        <xdr:cNvPr id="19" name="ZoneTexte 18">
          <a:hlinkClick xmlns:r="http://schemas.openxmlformats.org/officeDocument/2006/relationships" r:id="rId8"/>
          <a:extLst>
            <a:ext uri="{FF2B5EF4-FFF2-40B4-BE49-F238E27FC236}">
              <a16:creationId xmlns:a16="http://schemas.microsoft.com/office/drawing/2014/main" id="{00000000-0008-0000-0300-000013000000}"/>
            </a:ext>
          </a:extLst>
        </xdr:cNvPr>
        <xdr:cNvSpPr txBox="1"/>
      </xdr:nvSpPr>
      <xdr:spPr>
        <a:xfrm>
          <a:off x="3008313" y="393703"/>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2</xdr:col>
      <xdr:colOff>301466</xdr:colOff>
      <xdr:row>0</xdr:row>
      <xdr:rowOff>398785</xdr:rowOff>
    </xdr:from>
    <xdr:to>
      <xdr:col>2</xdr:col>
      <xdr:colOff>1598129</xdr:colOff>
      <xdr:row>0</xdr:row>
      <xdr:rowOff>706549</xdr:rowOff>
    </xdr:to>
    <xdr:sp macro="" textlink="">
      <xdr:nvSpPr>
        <xdr:cNvPr id="20" name="ZoneTexte 19">
          <a:hlinkClick xmlns:r="http://schemas.openxmlformats.org/officeDocument/2006/relationships" r:id="rId9"/>
          <a:extLst>
            <a:ext uri="{FF2B5EF4-FFF2-40B4-BE49-F238E27FC236}">
              <a16:creationId xmlns:a16="http://schemas.microsoft.com/office/drawing/2014/main" id="{00000000-0008-0000-0300-000014000000}"/>
            </a:ext>
          </a:extLst>
        </xdr:cNvPr>
        <xdr:cNvSpPr txBox="1"/>
      </xdr:nvSpPr>
      <xdr:spPr>
        <a:xfrm>
          <a:off x="4367212" y="394975"/>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2</xdr:col>
      <xdr:colOff>1653589</xdr:colOff>
      <xdr:row>0</xdr:row>
      <xdr:rowOff>396247</xdr:rowOff>
    </xdr:from>
    <xdr:to>
      <xdr:col>2</xdr:col>
      <xdr:colOff>2799719</xdr:colOff>
      <xdr:row>0</xdr:row>
      <xdr:rowOff>665275</xdr:rowOff>
    </xdr:to>
    <xdr:sp macro="" textlink="">
      <xdr:nvSpPr>
        <xdr:cNvPr id="21" name="ZoneTexte 20">
          <a:hlinkClick xmlns:r="http://schemas.openxmlformats.org/officeDocument/2006/relationships" r:id="rId10"/>
          <a:extLst>
            <a:ext uri="{FF2B5EF4-FFF2-40B4-BE49-F238E27FC236}">
              <a16:creationId xmlns:a16="http://schemas.microsoft.com/office/drawing/2014/main" id="{00000000-0008-0000-0300-000015000000}"/>
            </a:ext>
          </a:extLst>
        </xdr:cNvPr>
        <xdr:cNvSpPr txBox="1"/>
      </xdr:nvSpPr>
      <xdr:spPr>
        <a:xfrm>
          <a:off x="5725050" y="388627"/>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2</xdr:col>
      <xdr:colOff>2650071</xdr:colOff>
      <xdr:row>0</xdr:row>
      <xdr:rowOff>396671</xdr:rowOff>
    </xdr:from>
    <xdr:to>
      <xdr:col>2</xdr:col>
      <xdr:colOff>3316503</xdr:colOff>
      <xdr:row>0</xdr:row>
      <xdr:rowOff>720944</xdr:rowOff>
    </xdr:to>
    <xdr:sp macro="" textlink="">
      <xdr:nvSpPr>
        <xdr:cNvPr id="22" name="ZoneTexte 21">
          <a:hlinkClick xmlns:r="http://schemas.openxmlformats.org/officeDocument/2006/relationships" r:id="rId11"/>
          <a:extLst>
            <a:ext uri="{FF2B5EF4-FFF2-40B4-BE49-F238E27FC236}">
              <a16:creationId xmlns:a16="http://schemas.microsoft.com/office/drawing/2014/main" id="{00000000-0008-0000-0300-000016000000}"/>
            </a:ext>
          </a:extLst>
        </xdr:cNvPr>
        <xdr:cNvSpPr txBox="1"/>
      </xdr:nvSpPr>
      <xdr:spPr>
        <a:xfrm>
          <a:off x="6731533" y="392861"/>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2</xdr:col>
      <xdr:colOff>3217801</xdr:colOff>
      <xdr:row>0</xdr:row>
      <xdr:rowOff>397941</xdr:rowOff>
    </xdr:from>
    <xdr:to>
      <xdr:col>3</xdr:col>
      <xdr:colOff>323538</xdr:colOff>
      <xdr:row>0</xdr:row>
      <xdr:rowOff>689194</xdr:rowOff>
    </xdr:to>
    <xdr:sp macro="" textlink="">
      <xdr:nvSpPr>
        <xdr:cNvPr id="23" name="ZoneTexte 22">
          <a:hlinkClick xmlns:r="http://schemas.openxmlformats.org/officeDocument/2006/relationships" r:id="rId12"/>
          <a:extLst>
            <a:ext uri="{FF2B5EF4-FFF2-40B4-BE49-F238E27FC236}">
              <a16:creationId xmlns:a16="http://schemas.microsoft.com/office/drawing/2014/main" id="{00000000-0008-0000-0300-000017000000}"/>
            </a:ext>
          </a:extLst>
        </xdr:cNvPr>
        <xdr:cNvSpPr txBox="1"/>
      </xdr:nvSpPr>
      <xdr:spPr>
        <a:xfrm>
          <a:off x="7298787" y="386511"/>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5</xdr:col>
      <xdr:colOff>34822</xdr:colOff>
      <xdr:row>0</xdr:row>
      <xdr:rowOff>383127</xdr:rowOff>
    </xdr:from>
    <xdr:to>
      <xdr:col>7</xdr:col>
      <xdr:colOff>172406</xdr:colOff>
      <xdr:row>0</xdr:row>
      <xdr:rowOff>723911</xdr:rowOff>
    </xdr:to>
    <xdr:sp macro="" textlink="">
      <xdr:nvSpPr>
        <xdr:cNvPr id="24" name="ZoneTexte 23">
          <a:hlinkClick xmlns:r="http://schemas.openxmlformats.org/officeDocument/2006/relationships" r:id="rId13"/>
          <a:extLst>
            <a:ext uri="{FF2B5EF4-FFF2-40B4-BE49-F238E27FC236}">
              <a16:creationId xmlns:a16="http://schemas.microsoft.com/office/drawing/2014/main" id="{00000000-0008-0000-0300-000018000000}"/>
            </a:ext>
          </a:extLst>
        </xdr:cNvPr>
        <xdr:cNvSpPr txBox="1"/>
      </xdr:nvSpPr>
      <xdr:spPr>
        <a:xfrm>
          <a:off x="10092270" y="383127"/>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4</xdr:col>
      <xdr:colOff>152602</xdr:colOff>
      <xdr:row>0</xdr:row>
      <xdr:rowOff>365340</xdr:rowOff>
    </xdr:from>
    <xdr:to>
      <xdr:col>5</xdr:col>
      <xdr:colOff>150802</xdr:colOff>
      <xdr:row>0</xdr:row>
      <xdr:rowOff>705489</xdr:rowOff>
    </xdr:to>
    <xdr:sp macro="" textlink="">
      <xdr:nvSpPr>
        <xdr:cNvPr id="25" name="ZoneTexte 24">
          <a:hlinkClick xmlns:r="http://schemas.openxmlformats.org/officeDocument/2006/relationships" r:id="rId14"/>
          <a:extLst>
            <a:ext uri="{FF2B5EF4-FFF2-40B4-BE49-F238E27FC236}">
              <a16:creationId xmlns:a16="http://schemas.microsoft.com/office/drawing/2014/main" id="{00000000-0008-0000-0300-000019000000}"/>
            </a:ext>
          </a:extLst>
        </xdr:cNvPr>
        <xdr:cNvSpPr txBox="1"/>
      </xdr:nvSpPr>
      <xdr:spPr>
        <a:xfrm>
          <a:off x="9398519" y="376770"/>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7</xdr:col>
      <xdr:colOff>631287</xdr:colOff>
      <xdr:row>0</xdr:row>
      <xdr:rowOff>378048</xdr:rowOff>
    </xdr:from>
    <xdr:to>
      <xdr:col>8</xdr:col>
      <xdr:colOff>703692</xdr:colOff>
      <xdr:row>0</xdr:row>
      <xdr:rowOff>720948</xdr:rowOff>
    </xdr:to>
    <xdr:sp macro="" textlink="">
      <xdr:nvSpPr>
        <xdr:cNvPr id="26" name="ZoneTexte 25">
          <a:hlinkClick xmlns:r="http://schemas.openxmlformats.org/officeDocument/2006/relationships" r:id="rId15"/>
          <a:extLst>
            <a:ext uri="{FF2B5EF4-FFF2-40B4-BE49-F238E27FC236}">
              <a16:creationId xmlns:a16="http://schemas.microsoft.com/office/drawing/2014/main" id="{00000000-0008-0000-0300-00001A000000}"/>
            </a:ext>
          </a:extLst>
        </xdr:cNvPr>
        <xdr:cNvSpPr txBox="1"/>
      </xdr:nvSpPr>
      <xdr:spPr>
        <a:xfrm>
          <a:off x="12237500" y="378048"/>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9</xdr:col>
      <xdr:colOff>498574</xdr:colOff>
      <xdr:row>0</xdr:row>
      <xdr:rowOff>361324</xdr:rowOff>
    </xdr:from>
    <xdr:to>
      <xdr:col>10</xdr:col>
      <xdr:colOff>382171</xdr:colOff>
      <xdr:row>0</xdr:row>
      <xdr:rowOff>670137</xdr:rowOff>
    </xdr:to>
    <xdr:sp macro="" textlink="">
      <xdr:nvSpPr>
        <xdr:cNvPr id="27" name="ZoneTexte 26">
          <a:hlinkClick xmlns:r="http://schemas.openxmlformats.org/officeDocument/2006/relationships" r:id="rId16"/>
          <a:extLst>
            <a:ext uri="{FF2B5EF4-FFF2-40B4-BE49-F238E27FC236}">
              <a16:creationId xmlns:a16="http://schemas.microsoft.com/office/drawing/2014/main" id="{00000000-0008-0000-0300-00001B000000}"/>
            </a:ext>
          </a:extLst>
        </xdr:cNvPr>
        <xdr:cNvSpPr txBox="1"/>
      </xdr:nvSpPr>
      <xdr:spPr>
        <a:xfrm>
          <a:off x="13694510" y="374659"/>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6</xdr:col>
      <xdr:colOff>707170</xdr:colOff>
      <xdr:row>0</xdr:row>
      <xdr:rowOff>361323</xdr:rowOff>
    </xdr:from>
    <xdr:to>
      <xdr:col>8</xdr:col>
      <xdr:colOff>97900</xdr:colOff>
      <xdr:row>0</xdr:row>
      <xdr:rowOff>667182</xdr:rowOff>
    </xdr:to>
    <xdr:sp macro="" textlink="">
      <xdr:nvSpPr>
        <xdr:cNvPr id="28" name="ZoneTexte 27">
          <a:hlinkClick xmlns:r="http://schemas.openxmlformats.org/officeDocument/2006/relationships" r:id="rId17"/>
          <a:extLst>
            <a:ext uri="{FF2B5EF4-FFF2-40B4-BE49-F238E27FC236}">
              <a16:creationId xmlns:a16="http://schemas.microsoft.com/office/drawing/2014/main" id="{00000000-0008-0000-0300-00001C000000}"/>
            </a:ext>
          </a:extLst>
        </xdr:cNvPr>
        <xdr:cNvSpPr txBox="1"/>
      </xdr:nvSpPr>
      <xdr:spPr>
        <a:xfrm>
          <a:off x="11539000" y="374658"/>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0</xdr:col>
      <xdr:colOff>706549</xdr:colOff>
      <xdr:row>0</xdr:row>
      <xdr:rowOff>342900</xdr:rowOff>
    </xdr:from>
    <xdr:to>
      <xdr:col>1</xdr:col>
      <xdr:colOff>289143</xdr:colOff>
      <xdr:row>0</xdr:row>
      <xdr:rowOff>705486</xdr:rowOff>
    </xdr:to>
    <xdr:sp macro="" textlink="">
      <xdr:nvSpPr>
        <xdr:cNvPr id="29" name="ZoneTexte 28">
          <a:hlinkClick xmlns:r="http://schemas.openxmlformats.org/officeDocument/2006/relationships" r:id="rId18"/>
          <a:extLst>
            <a:ext uri="{FF2B5EF4-FFF2-40B4-BE49-F238E27FC236}">
              <a16:creationId xmlns:a16="http://schemas.microsoft.com/office/drawing/2014/main" id="{00000000-0008-0000-0300-00001D000000}"/>
            </a:ext>
          </a:extLst>
        </xdr:cNvPr>
        <xdr:cNvSpPr txBox="1"/>
      </xdr:nvSpPr>
      <xdr:spPr>
        <a:xfrm>
          <a:off x="693214" y="342900"/>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91440</xdr:rowOff>
    </xdr:from>
    <xdr:to>
      <xdr:col>0</xdr:col>
      <xdr:colOff>667385</xdr:colOff>
      <xdr:row>0</xdr:row>
      <xdr:rowOff>722048</xdr:rowOff>
    </xdr:to>
    <xdr:pic>
      <xdr:nvPicPr>
        <xdr:cNvPr id="30" name="Image 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9">
          <a:duotone>
            <a:schemeClr val="accent5">
              <a:shade val="45000"/>
              <a:satMod val="135000"/>
            </a:schemeClr>
            <a:prstClr val="white"/>
          </a:duotone>
        </a:blip>
        <a:srcRect/>
        <a:stretch>
          <a:fillRect/>
        </a:stretch>
      </xdr:blipFill>
      <xdr:spPr bwMode="auto">
        <a:xfrm>
          <a:off x="0" y="95250"/>
          <a:ext cx="663575" cy="626798"/>
        </a:xfrm>
        <a:prstGeom prst="rect">
          <a:avLst/>
        </a:prstGeom>
        <a:noFill/>
        <a:ln>
          <a:noFill/>
        </a:ln>
      </xdr:spPr>
    </xdr:pic>
    <xdr:clientData fPrintsWithSheet="0"/>
  </xdr:twoCellAnchor>
  <xdr:twoCellAnchor editAs="absolute">
    <xdr:from>
      <xdr:col>10</xdr:col>
      <xdr:colOff>212296</xdr:colOff>
      <xdr:row>0</xdr:row>
      <xdr:rowOff>361324</xdr:rowOff>
    </xdr:from>
    <xdr:to>
      <xdr:col>11</xdr:col>
      <xdr:colOff>702938</xdr:colOff>
      <xdr:row>0</xdr:row>
      <xdr:rowOff>670137</xdr:rowOff>
    </xdr:to>
    <xdr:sp macro="" textlink="">
      <xdr:nvSpPr>
        <xdr:cNvPr id="36" name="ZoneTexte 35">
          <a:hlinkClick xmlns:r="http://schemas.openxmlformats.org/officeDocument/2006/relationships" r:id="rId20"/>
          <a:extLst>
            <a:ext uri="{FF2B5EF4-FFF2-40B4-BE49-F238E27FC236}">
              <a16:creationId xmlns:a16="http://schemas.microsoft.com/office/drawing/2014/main" id="{00000000-0008-0000-0300-000024000000}"/>
            </a:ext>
          </a:extLst>
        </xdr:cNvPr>
        <xdr:cNvSpPr txBox="1"/>
      </xdr:nvSpPr>
      <xdr:spPr>
        <a:xfrm>
          <a:off x="14216903" y="374659"/>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4</xdr:col>
      <xdr:colOff>97793</xdr:colOff>
      <xdr:row>0</xdr:row>
      <xdr:rowOff>96733</xdr:rowOff>
    </xdr:from>
    <xdr:to>
      <xdr:col>8</xdr:col>
      <xdr:colOff>664320</xdr:colOff>
      <xdr:row>0</xdr:row>
      <xdr:rowOff>396240</xdr:rowOff>
    </xdr:to>
    <xdr:sp macro="" textlink="">
      <xdr:nvSpPr>
        <xdr:cNvPr id="37" name="Flèche : pentagone 36">
          <a:hlinkClick xmlns:r="http://schemas.openxmlformats.org/officeDocument/2006/relationships" r:id="rId14"/>
          <a:extLst>
            <a:ext uri="{FF2B5EF4-FFF2-40B4-BE49-F238E27FC236}">
              <a16:creationId xmlns:a16="http://schemas.microsoft.com/office/drawing/2014/main" id="{00000000-0008-0000-0300-000025000000}"/>
            </a:ext>
          </a:extLst>
        </xdr:cNvPr>
        <xdr:cNvSpPr/>
      </xdr:nvSpPr>
      <xdr:spPr>
        <a:xfrm>
          <a:off x="9345615" y="100543"/>
          <a:ext cx="3731685" cy="29950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2</xdr:col>
      <xdr:colOff>1355781</xdr:colOff>
      <xdr:row>0</xdr:row>
      <xdr:rowOff>97581</xdr:rowOff>
    </xdr:from>
    <xdr:to>
      <xdr:col>4</xdr:col>
      <xdr:colOff>153674</xdr:colOff>
      <xdr:row>0</xdr:row>
      <xdr:rowOff>396240</xdr:rowOff>
    </xdr:to>
    <xdr:sp macro="" textlink="">
      <xdr:nvSpPr>
        <xdr:cNvPr id="43" name="Flèche : pentagone 42">
          <a:hlinkClick xmlns:r="http://schemas.openxmlformats.org/officeDocument/2006/relationships" r:id="rId10"/>
          <a:extLst>
            <a:ext uri="{FF2B5EF4-FFF2-40B4-BE49-F238E27FC236}">
              <a16:creationId xmlns:a16="http://schemas.microsoft.com/office/drawing/2014/main" id="{00000000-0008-0000-0300-00002B000000}"/>
            </a:ext>
          </a:extLst>
        </xdr:cNvPr>
        <xdr:cNvSpPr/>
      </xdr:nvSpPr>
      <xdr:spPr>
        <a:xfrm>
          <a:off x="5432957" y="109011"/>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1</xdr:col>
      <xdr:colOff>243844</xdr:colOff>
      <xdr:row>0</xdr:row>
      <xdr:rowOff>97582</xdr:rowOff>
    </xdr:from>
    <xdr:to>
      <xdr:col>2</xdr:col>
      <xdr:colOff>1622270</xdr:colOff>
      <xdr:row>0</xdr:row>
      <xdr:rowOff>399968</xdr:rowOff>
    </xdr:to>
    <xdr:sp macro="" textlink="">
      <xdr:nvSpPr>
        <xdr:cNvPr id="48" name="Flèche : pentagone 47">
          <a:hlinkClick xmlns:r="http://schemas.openxmlformats.org/officeDocument/2006/relationships" r:id="rId7"/>
          <a:extLst>
            <a:ext uri="{FF2B5EF4-FFF2-40B4-BE49-F238E27FC236}">
              <a16:creationId xmlns:a16="http://schemas.microsoft.com/office/drawing/2014/main" id="{00000000-0008-0000-0300-000030000000}"/>
            </a:ext>
          </a:extLst>
        </xdr:cNvPr>
        <xdr:cNvSpPr/>
      </xdr:nvSpPr>
      <xdr:spPr>
        <a:xfrm>
          <a:off x="1524004" y="109012"/>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3</xdr:col>
      <xdr:colOff>168902</xdr:colOff>
      <xdr:row>0</xdr:row>
      <xdr:rowOff>383125</xdr:rowOff>
    </xdr:from>
    <xdr:to>
      <xdr:col>3</xdr:col>
      <xdr:colOff>1354455</xdr:colOff>
      <xdr:row>0</xdr:row>
      <xdr:rowOff>685808</xdr:rowOff>
    </xdr:to>
    <xdr:sp macro="" textlink="">
      <xdr:nvSpPr>
        <xdr:cNvPr id="49" name="ZoneTexte 48">
          <a:hlinkClick xmlns:r="http://schemas.openxmlformats.org/officeDocument/2006/relationships" r:id="rId12"/>
          <a:extLst>
            <a:ext uri="{FF2B5EF4-FFF2-40B4-BE49-F238E27FC236}">
              <a16:creationId xmlns:a16="http://schemas.microsoft.com/office/drawing/2014/main" id="{00000000-0008-0000-0300-000031000000}"/>
            </a:ext>
          </a:extLst>
        </xdr:cNvPr>
        <xdr:cNvSpPr txBox="1"/>
      </xdr:nvSpPr>
      <xdr:spPr>
        <a:xfrm>
          <a:off x="8008929" y="383125"/>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0</xdr:col>
      <xdr:colOff>727078</xdr:colOff>
      <xdr:row>0</xdr:row>
      <xdr:rowOff>94195</xdr:rowOff>
    </xdr:from>
    <xdr:to>
      <xdr:col>1</xdr:col>
      <xdr:colOff>361319</xdr:colOff>
      <xdr:row>0</xdr:row>
      <xdr:rowOff>402296</xdr:rowOff>
    </xdr:to>
    <xdr:sp macro="" textlink="">
      <xdr:nvSpPr>
        <xdr:cNvPr id="50" name="Flèche : pentagone 49">
          <a:extLst>
            <a:ext uri="{FF2B5EF4-FFF2-40B4-BE49-F238E27FC236}">
              <a16:creationId xmlns:a16="http://schemas.microsoft.com/office/drawing/2014/main" id="{00000000-0008-0000-0300-000032000000}"/>
            </a:ext>
          </a:extLst>
        </xdr:cNvPr>
        <xdr:cNvSpPr/>
      </xdr:nvSpPr>
      <xdr:spPr>
        <a:xfrm>
          <a:off x="727078" y="103720"/>
          <a:ext cx="923926"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8</xdr:col>
      <xdr:colOff>626210</xdr:colOff>
      <xdr:row>0</xdr:row>
      <xdr:rowOff>361324</xdr:rowOff>
    </xdr:from>
    <xdr:to>
      <xdr:col>9</xdr:col>
      <xdr:colOff>708183</xdr:colOff>
      <xdr:row>0</xdr:row>
      <xdr:rowOff>670137</xdr:rowOff>
    </xdr:to>
    <xdr:sp macro="" textlink="">
      <xdr:nvSpPr>
        <xdr:cNvPr id="51" name="ZoneTexte 50">
          <a:hlinkClick xmlns:r="http://schemas.openxmlformats.org/officeDocument/2006/relationships" r:id="rId21"/>
          <a:extLst>
            <a:ext uri="{FF2B5EF4-FFF2-40B4-BE49-F238E27FC236}">
              <a16:creationId xmlns:a16="http://schemas.microsoft.com/office/drawing/2014/main" id="{00000000-0008-0000-0300-000033000000}"/>
            </a:ext>
          </a:extLst>
        </xdr:cNvPr>
        <xdr:cNvSpPr txBox="1"/>
      </xdr:nvSpPr>
      <xdr:spPr>
        <a:xfrm>
          <a:off x="13054430" y="374659"/>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oneCell">
    <xdr:from>
      <xdr:col>3</xdr:col>
      <xdr:colOff>551389</xdr:colOff>
      <xdr:row>3</xdr:row>
      <xdr:rowOff>1078442</xdr:rowOff>
    </xdr:from>
    <xdr:to>
      <xdr:col>5</xdr:col>
      <xdr:colOff>360045</xdr:colOff>
      <xdr:row>3</xdr:row>
      <xdr:rowOff>1409700</xdr:rowOff>
    </xdr:to>
    <xdr:sp macro="" textlink="">
      <xdr:nvSpPr>
        <xdr:cNvPr id="2" name="ZoneTexte 1">
          <a:hlinkClick xmlns:r="http://schemas.openxmlformats.org/officeDocument/2006/relationships" r:id="rId22"/>
          <a:extLst>
            <a:ext uri="{FF2B5EF4-FFF2-40B4-BE49-F238E27FC236}">
              <a16:creationId xmlns:a16="http://schemas.microsoft.com/office/drawing/2014/main" id="{00000000-0008-0000-0300-000002000000}"/>
            </a:ext>
          </a:extLst>
        </xdr:cNvPr>
        <xdr:cNvSpPr txBox="1"/>
      </xdr:nvSpPr>
      <xdr:spPr>
        <a:xfrm>
          <a:off x="4656664" y="2450042"/>
          <a:ext cx="2010836" cy="33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65000"/>
                  <a:lumOff val="35000"/>
                </a:schemeClr>
              </a:solidFill>
            </a:rPr>
            <a:t>&gt; </a:t>
          </a:r>
          <a:r>
            <a:rPr lang="fr-BE" sz="1200" u="sng" baseline="0">
              <a:solidFill>
                <a:schemeClr val="tx1">
                  <a:lumMod val="65000"/>
                  <a:lumOff val="35000"/>
                </a:schemeClr>
              </a:solidFill>
            </a:rPr>
            <a:t>Production renouvelable</a:t>
          </a:r>
          <a:endParaRPr lang="fr-BE" sz="1200" u="sng">
            <a:solidFill>
              <a:schemeClr val="tx1">
                <a:lumMod val="65000"/>
                <a:lumOff val="35000"/>
              </a:schemeClr>
            </a:solidFill>
          </a:endParaRPr>
        </a:p>
        <a:p>
          <a:endParaRPr lang="fr-BE" sz="1100">
            <a:solidFill>
              <a:schemeClr val="tx1">
                <a:lumMod val="65000"/>
                <a:lumOff val="35000"/>
              </a:schemeClr>
            </a:solidFill>
          </a:endParaRPr>
        </a:p>
      </xdr:txBody>
    </xdr:sp>
    <xdr:clientData fPrintsWithSheet="0"/>
  </xdr:twoCellAnchor>
  <mc:AlternateContent xmlns:mc="http://schemas.openxmlformats.org/markup-compatibility/2006">
    <mc:Choice xmlns:a14="http://schemas.microsoft.com/office/drawing/2010/main" Requires="a14">
      <xdr:twoCellAnchor>
        <xdr:from>
          <xdr:col>0</xdr:col>
          <xdr:colOff>38100</xdr:colOff>
          <xdr:row>364</xdr:row>
          <xdr:rowOff>0</xdr:rowOff>
        </xdr:from>
        <xdr:to>
          <xdr:col>0</xdr:col>
          <xdr:colOff>1249680</xdr:colOff>
          <xdr:row>372</xdr:row>
          <xdr:rowOff>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Estimer automatiquement</a:t>
              </a:r>
            </a:p>
            <a:p>
              <a:pPr algn="ctr" rtl="0">
                <a:defRPr sz="1000"/>
              </a:pPr>
              <a:r>
                <a:rPr lang="fr-BE" sz="1100" b="1" i="0" u="none" strike="noStrike" baseline="0">
                  <a:solidFill>
                    <a:srgbClr val="003366"/>
                  </a:solidFill>
                  <a:latin typeface="Calibri"/>
                  <a:ea typeface="Calibri"/>
                  <a:cs typeface="Calibri"/>
                </a:rPr>
                <a:t> la production sur base de la puissance installée</a:t>
              </a:r>
            </a:p>
            <a:p>
              <a:pPr algn="ctr" rtl="0">
                <a:defRPr sz="1000"/>
              </a:pPr>
              <a:endParaRPr lang="fr-BE" sz="1100" b="1" i="0" u="none" strike="noStrike" baseline="0">
                <a:solidFill>
                  <a:srgbClr val="003366"/>
                </a:solidFill>
                <a:latin typeface="Calibri"/>
                <a:ea typeface="Calibri"/>
                <a:cs typeface="Calibri"/>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175260</xdr:colOff>
          <xdr:row>1</xdr:row>
          <xdr:rowOff>144780</xdr:rowOff>
        </xdr:from>
        <xdr:to>
          <xdr:col>0</xdr:col>
          <xdr:colOff>2095500</xdr:colOff>
          <xdr:row>1</xdr:row>
          <xdr:rowOff>571500</xdr:rowOff>
        </xdr:to>
        <xdr:sp macro="" textlink="">
          <xdr:nvSpPr>
            <xdr:cNvPr id="50781185" name="Button 1" hidden="1">
              <a:extLst>
                <a:ext uri="{63B3BB69-23CF-44E3-9099-C40C66FF867C}">
                  <a14:compatExt spid="_x0000_s50781185"/>
                </a:ext>
                <a:ext uri="{FF2B5EF4-FFF2-40B4-BE49-F238E27FC236}">
                  <a16:creationId xmlns:a16="http://schemas.microsoft.com/office/drawing/2014/main" id="{00000000-0008-0000-0800-000001DC06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Importer bilan communal</a:t>
              </a:r>
            </a:p>
          </xdr:txBody>
        </xdr:sp>
        <xdr:clientData fPrintsWithSheet="0"/>
      </xdr:twoCellAnchor>
    </mc:Choice>
    <mc:Fallback/>
  </mc:AlternateContent>
  <xdr:twoCellAnchor editAs="absolute">
    <xdr:from>
      <xdr:col>0</xdr:col>
      <xdr:colOff>2186940</xdr:colOff>
      <xdr:row>1</xdr:row>
      <xdr:rowOff>91440</xdr:rowOff>
    </xdr:from>
    <xdr:to>
      <xdr:col>3</xdr:col>
      <xdr:colOff>76200</xdr:colOff>
      <xdr:row>1</xdr:row>
      <xdr:rowOff>741045</xdr:rowOff>
    </xdr:to>
    <xdr:sp macro="" textlink="">
      <xdr:nvSpPr>
        <xdr:cNvPr id="23" name="ZoneTexte 22">
          <a:extLst>
            <a:ext uri="{FF2B5EF4-FFF2-40B4-BE49-F238E27FC236}">
              <a16:creationId xmlns:a16="http://schemas.microsoft.com/office/drawing/2014/main" id="{00000000-0008-0000-0400-000017000000}"/>
            </a:ext>
          </a:extLst>
        </xdr:cNvPr>
        <xdr:cNvSpPr txBox="1"/>
      </xdr:nvSpPr>
      <xdr:spPr>
        <a:xfrm>
          <a:off x="2181225" y="923925"/>
          <a:ext cx="266700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i="1">
              <a:solidFill>
                <a:schemeClr val="tx1">
                  <a:lumMod val="75000"/>
                  <a:lumOff val="25000"/>
                </a:schemeClr>
              </a:solidFill>
            </a:rPr>
            <a:t>Importe les données de la feuille</a:t>
          </a:r>
          <a:r>
            <a:rPr lang="fr-BE" sz="1100" i="1" baseline="0">
              <a:solidFill>
                <a:schemeClr val="tx1">
                  <a:lumMod val="75000"/>
                  <a:lumOff val="25000"/>
                </a:schemeClr>
              </a:solidFill>
            </a:rPr>
            <a:t> 'INPUT POLLEC' du fichier de bilan énergétique communal fourni par le SPW-Energie</a:t>
          </a:r>
          <a:endParaRPr lang="fr-BE" sz="1100" i="1">
            <a:solidFill>
              <a:schemeClr val="tx1">
                <a:lumMod val="75000"/>
                <a:lumOff val="25000"/>
              </a:schemeClr>
            </a:solidFill>
          </a:endParaRPr>
        </a:p>
      </xdr:txBody>
    </xdr:sp>
    <xdr:clientData/>
  </xdr:twoCellAnchor>
  <xdr:twoCellAnchor editAs="absolute">
    <xdr:from>
      <xdr:col>4</xdr:col>
      <xdr:colOff>515834</xdr:colOff>
      <xdr:row>1</xdr:row>
      <xdr:rowOff>190500</xdr:rowOff>
    </xdr:from>
    <xdr:to>
      <xdr:col>5</xdr:col>
      <xdr:colOff>1998982</xdr:colOff>
      <xdr:row>2</xdr:row>
      <xdr:rowOff>0</xdr:rowOff>
    </xdr:to>
    <xdr:sp macro="" textlink="">
      <xdr:nvSpPr>
        <xdr:cNvPr id="25" name="ZoneTexte 24">
          <a:extLst>
            <a:ext uri="{FF2B5EF4-FFF2-40B4-BE49-F238E27FC236}">
              <a16:creationId xmlns:a16="http://schemas.microsoft.com/office/drawing/2014/main" id="{00000000-0008-0000-0400-000019000000}"/>
            </a:ext>
          </a:extLst>
        </xdr:cNvPr>
        <xdr:cNvSpPr txBox="1"/>
      </xdr:nvSpPr>
      <xdr:spPr>
        <a:xfrm>
          <a:off x="6787094" y="1028700"/>
          <a:ext cx="2391833"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i="1">
              <a:solidFill>
                <a:schemeClr val="tx1">
                  <a:lumMod val="75000"/>
                  <a:lumOff val="25000"/>
                </a:schemeClr>
              </a:solidFill>
            </a:rPr>
            <a:t>Efface toutes les données encodées sur cette feuille</a:t>
          </a:r>
        </a:p>
      </xdr:txBody>
    </xdr:sp>
    <xdr:clientData/>
  </xdr:twoCellAnchor>
  <mc:AlternateContent xmlns:mc="http://schemas.openxmlformats.org/markup-compatibility/2006">
    <mc:Choice xmlns:a14="http://schemas.microsoft.com/office/drawing/2010/main" Requires="a14">
      <xdr:twoCellAnchor editAs="oneCell">
        <xdr:from>
          <xdr:col>3</xdr:col>
          <xdr:colOff>182880</xdr:colOff>
          <xdr:row>1</xdr:row>
          <xdr:rowOff>182880</xdr:rowOff>
        </xdr:from>
        <xdr:to>
          <xdr:col>4</xdr:col>
          <xdr:colOff>373380</xdr:colOff>
          <xdr:row>1</xdr:row>
          <xdr:rowOff>617220</xdr:rowOff>
        </xdr:to>
        <xdr:sp macro="" textlink="">
          <xdr:nvSpPr>
            <xdr:cNvPr id="50781187" name="Button 3" hidden="1">
              <a:extLst>
                <a:ext uri="{63B3BB69-23CF-44E3-9099-C40C66FF867C}">
                  <a14:compatExt spid="_x0000_s50781187"/>
                </a:ext>
                <a:ext uri="{FF2B5EF4-FFF2-40B4-BE49-F238E27FC236}">
                  <a16:creationId xmlns:a16="http://schemas.microsoft.com/office/drawing/2014/main" id="{00000000-0008-0000-0800-000003DC06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FF0000"/>
                  </a:solidFill>
                  <a:latin typeface="Calibri"/>
                  <a:ea typeface="Calibri"/>
                  <a:cs typeface="Calibri"/>
                </a:rPr>
                <a:t>RESET</a:t>
              </a:r>
            </a:p>
          </xdr:txBody>
        </xdr:sp>
        <xdr:clientData fPrintsWithSheet="0"/>
      </xdr:twoCellAnchor>
    </mc:Choice>
    <mc:Fallback/>
  </mc:AlternateContent>
  <xdr:twoCellAnchor editAs="absolute">
    <xdr:from>
      <xdr:col>12</xdr:col>
      <xdr:colOff>149228</xdr:colOff>
      <xdr:row>0</xdr:row>
      <xdr:rowOff>133773</xdr:rowOff>
    </xdr:from>
    <xdr:to>
      <xdr:col>14</xdr:col>
      <xdr:colOff>19262</xdr:colOff>
      <xdr:row>0</xdr:row>
      <xdr:rowOff>434469</xdr:rowOff>
    </xdr:to>
    <xdr:sp macro="" textlink="">
      <xdr:nvSpPr>
        <xdr:cNvPr id="22" name="Flèche : pentagone 21">
          <a:hlinkClick xmlns:r="http://schemas.openxmlformats.org/officeDocument/2006/relationships" r:id="rId1"/>
          <a:extLst>
            <a:ext uri="{FF2B5EF4-FFF2-40B4-BE49-F238E27FC236}">
              <a16:creationId xmlns:a16="http://schemas.microsoft.com/office/drawing/2014/main" id="{00000000-0008-0000-0400-000016000000}"/>
            </a:ext>
          </a:extLst>
        </xdr:cNvPr>
        <xdr:cNvSpPr/>
      </xdr:nvSpPr>
      <xdr:spPr>
        <a:xfrm>
          <a:off x="12900028" y="126153"/>
          <a:ext cx="2673347" cy="29879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0</xdr:col>
      <xdr:colOff>1579882</xdr:colOff>
      <xdr:row>0</xdr:row>
      <xdr:rowOff>419101</xdr:rowOff>
    </xdr:from>
    <xdr:to>
      <xdr:col>1</xdr:col>
      <xdr:colOff>2118</xdr:colOff>
      <xdr:row>0</xdr:row>
      <xdr:rowOff>665479</xdr:rowOff>
    </xdr:to>
    <xdr:sp macro="" textlink="">
      <xdr:nvSpPr>
        <xdr:cNvPr id="24" name="ZoneTexte 23">
          <a:hlinkClick xmlns:r="http://schemas.openxmlformats.org/officeDocument/2006/relationships" r:id="rId2"/>
          <a:extLst>
            <a:ext uri="{FF2B5EF4-FFF2-40B4-BE49-F238E27FC236}">
              <a16:creationId xmlns:a16="http://schemas.microsoft.com/office/drawing/2014/main" id="{00000000-0008-0000-0400-000018000000}"/>
            </a:ext>
          </a:extLst>
        </xdr:cNvPr>
        <xdr:cNvSpPr txBox="1"/>
      </xdr:nvSpPr>
      <xdr:spPr>
        <a:xfrm>
          <a:off x="1587502" y="419101"/>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0</xdr:col>
      <xdr:colOff>3008313</xdr:colOff>
      <xdr:row>0</xdr:row>
      <xdr:rowOff>416986</xdr:rowOff>
    </xdr:from>
    <xdr:to>
      <xdr:col>2</xdr:col>
      <xdr:colOff>266703</xdr:colOff>
      <xdr:row>0</xdr:row>
      <xdr:rowOff>726019</xdr:rowOff>
    </xdr:to>
    <xdr:sp macro="" textlink="">
      <xdr:nvSpPr>
        <xdr:cNvPr id="26" name="ZoneTexte 25">
          <a:hlinkClick xmlns:r="http://schemas.openxmlformats.org/officeDocument/2006/relationships" r:id="rId3"/>
          <a:extLst>
            <a:ext uri="{FF2B5EF4-FFF2-40B4-BE49-F238E27FC236}">
              <a16:creationId xmlns:a16="http://schemas.microsoft.com/office/drawing/2014/main" id="{00000000-0008-0000-0400-00001A000000}"/>
            </a:ext>
          </a:extLst>
        </xdr:cNvPr>
        <xdr:cNvSpPr txBox="1"/>
      </xdr:nvSpPr>
      <xdr:spPr>
        <a:xfrm>
          <a:off x="3008313" y="416986"/>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2</xdr:col>
      <xdr:colOff>212830</xdr:colOff>
      <xdr:row>0</xdr:row>
      <xdr:rowOff>418258</xdr:rowOff>
    </xdr:from>
    <xdr:to>
      <xdr:col>3</xdr:col>
      <xdr:colOff>745588</xdr:colOff>
      <xdr:row>0</xdr:row>
      <xdr:rowOff>739357</xdr:rowOff>
    </xdr:to>
    <xdr:sp macro="" textlink="">
      <xdr:nvSpPr>
        <xdr:cNvPr id="27" name="ZoneTexte 26">
          <a:hlinkClick xmlns:r="http://schemas.openxmlformats.org/officeDocument/2006/relationships" r:id="rId4"/>
          <a:extLst>
            <a:ext uri="{FF2B5EF4-FFF2-40B4-BE49-F238E27FC236}">
              <a16:creationId xmlns:a16="http://schemas.microsoft.com/office/drawing/2014/main" id="{00000000-0008-0000-0400-00001B000000}"/>
            </a:ext>
          </a:extLst>
        </xdr:cNvPr>
        <xdr:cNvSpPr txBox="1"/>
      </xdr:nvSpPr>
      <xdr:spPr>
        <a:xfrm>
          <a:off x="4367212" y="418258"/>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3</xdr:col>
      <xdr:colOff>822003</xdr:colOff>
      <xdr:row>0</xdr:row>
      <xdr:rowOff>402385</xdr:rowOff>
    </xdr:from>
    <xdr:to>
      <xdr:col>4</xdr:col>
      <xdr:colOff>399313</xdr:colOff>
      <xdr:row>0</xdr:row>
      <xdr:rowOff>701893</xdr:rowOff>
    </xdr:to>
    <xdr:sp macro="" textlink="">
      <xdr:nvSpPr>
        <xdr:cNvPr id="28" name="ZoneTexte 27">
          <a:hlinkClick xmlns:r="http://schemas.openxmlformats.org/officeDocument/2006/relationships" r:id="rId5"/>
          <a:extLst>
            <a:ext uri="{FF2B5EF4-FFF2-40B4-BE49-F238E27FC236}">
              <a16:creationId xmlns:a16="http://schemas.microsoft.com/office/drawing/2014/main" id="{00000000-0008-0000-0400-00001C000000}"/>
            </a:ext>
          </a:extLst>
        </xdr:cNvPr>
        <xdr:cNvSpPr txBox="1"/>
      </xdr:nvSpPr>
      <xdr:spPr>
        <a:xfrm>
          <a:off x="5725050" y="411910"/>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4</xdr:col>
      <xdr:colOff>263000</xdr:colOff>
      <xdr:row>0</xdr:row>
      <xdr:rowOff>416144</xdr:rowOff>
    </xdr:from>
    <xdr:to>
      <xdr:col>5</xdr:col>
      <xdr:colOff>21699</xdr:colOff>
      <xdr:row>0</xdr:row>
      <xdr:rowOff>744227</xdr:rowOff>
    </xdr:to>
    <xdr:sp macro="" textlink="">
      <xdr:nvSpPr>
        <xdr:cNvPr id="29" name="ZoneTexte 28">
          <a:hlinkClick xmlns:r="http://schemas.openxmlformats.org/officeDocument/2006/relationships" r:id="rId6"/>
          <a:extLst>
            <a:ext uri="{FF2B5EF4-FFF2-40B4-BE49-F238E27FC236}">
              <a16:creationId xmlns:a16="http://schemas.microsoft.com/office/drawing/2014/main" id="{00000000-0008-0000-0400-00001D000000}"/>
            </a:ext>
          </a:extLst>
        </xdr:cNvPr>
        <xdr:cNvSpPr txBox="1"/>
      </xdr:nvSpPr>
      <xdr:spPr>
        <a:xfrm>
          <a:off x="6731533" y="416144"/>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4</xdr:col>
      <xdr:colOff>818824</xdr:colOff>
      <xdr:row>0</xdr:row>
      <xdr:rowOff>398364</xdr:rowOff>
    </xdr:from>
    <xdr:to>
      <xdr:col>5</xdr:col>
      <xdr:colOff>779680</xdr:colOff>
      <xdr:row>0</xdr:row>
      <xdr:rowOff>706762</xdr:rowOff>
    </xdr:to>
    <xdr:sp macro="" textlink="">
      <xdr:nvSpPr>
        <xdr:cNvPr id="30" name="ZoneTexte 29">
          <a:hlinkClick xmlns:r="http://schemas.openxmlformats.org/officeDocument/2006/relationships" r:id="rId7"/>
          <a:extLst>
            <a:ext uri="{FF2B5EF4-FFF2-40B4-BE49-F238E27FC236}">
              <a16:creationId xmlns:a16="http://schemas.microsoft.com/office/drawing/2014/main" id="{00000000-0008-0000-0400-00001E000000}"/>
            </a:ext>
          </a:extLst>
        </xdr:cNvPr>
        <xdr:cNvSpPr txBox="1"/>
      </xdr:nvSpPr>
      <xdr:spPr>
        <a:xfrm>
          <a:off x="7298787" y="409794"/>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10</xdr:col>
      <xdr:colOff>152403</xdr:colOff>
      <xdr:row>0</xdr:row>
      <xdr:rowOff>398790</xdr:rowOff>
    </xdr:from>
    <xdr:to>
      <xdr:col>11</xdr:col>
      <xdr:colOff>437096</xdr:colOff>
      <xdr:row>0</xdr:row>
      <xdr:rowOff>739574</xdr:rowOff>
    </xdr:to>
    <xdr:sp macro="" textlink="">
      <xdr:nvSpPr>
        <xdr:cNvPr id="31" name="ZoneTexte 30">
          <a:hlinkClick xmlns:r="http://schemas.openxmlformats.org/officeDocument/2006/relationships" r:id="rId8"/>
          <a:extLst>
            <a:ext uri="{FF2B5EF4-FFF2-40B4-BE49-F238E27FC236}">
              <a16:creationId xmlns:a16="http://schemas.microsoft.com/office/drawing/2014/main" id="{00000000-0008-0000-0400-00001F000000}"/>
            </a:ext>
          </a:extLst>
        </xdr:cNvPr>
        <xdr:cNvSpPr txBox="1"/>
      </xdr:nvSpPr>
      <xdr:spPr>
        <a:xfrm>
          <a:off x="10092270" y="406410"/>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5</xdr:col>
      <xdr:colOff>2015586</xdr:colOff>
      <xdr:row>0</xdr:row>
      <xdr:rowOff>400053</xdr:rowOff>
    </xdr:from>
    <xdr:to>
      <xdr:col>10</xdr:col>
      <xdr:colOff>245523</xdr:colOff>
      <xdr:row>0</xdr:row>
      <xdr:rowOff>704007</xdr:rowOff>
    </xdr:to>
    <xdr:sp macro="" textlink="">
      <xdr:nvSpPr>
        <xdr:cNvPr id="32" name="ZoneTexte 31">
          <a:hlinkClick xmlns:r="http://schemas.openxmlformats.org/officeDocument/2006/relationships" r:id="rId9"/>
          <a:extLst>
            <a:ext uri="{FF2B5EF4-FFF2-40B4-BE49-F238E27FC236}">
              <a16:creationId xmlns:a16="http://schemas.microsoft.com/office/drawing/2014/main" id="{00000000-0008-0000-0400-000020000000}"/>
            </a:ext>
          </a:extLst>
        </xdr:cNvPr>
        <xdr:cNvSpPr txBox="1"/>
      </xdr:nvSpPr>
      <xdr:spPr>
        <a:xfrm>
          <a:off x="9398519" y="400053"/>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11</xdr:col>
      <xdr:colOff>892167</xdr:colOff>
      <xdr:row>0</xdr:row>
      <xdr:rowOff>401331</xdr:rowOff>
    </xdr:from>
    <xdr:to>
      <xdr:col>12</xdr:col>
      <xdr:colOff>358252</xdr:colOff>
      <xdr:row>0</xdr:row>
      <xdr:rowOff>744231</xdr:rowOff>
    </xdr:to>
    <xdr:sp macro="" textlink="">
      <xdr:nvSpPr>
        <xdr:cNvPr id="33" name="ZoneTexte 32">
          <a:hlinkClick xmlns:r="http://schemas.openxmlformats.org/officeDocument/2006/relationships" r:id="rId10"/>
          <a:extLst>
            <a:ext uri="{FF2B5EF4-FFF2-40B4-BE49-F238E27FC236}">
              <a16:creationId xmlns:a16="http://schemas.microsoft.com/office/drawing/2014/main" id="{00000000-0008-0000-0400-000021000000}"/>
            </a:ext>
          </a:extLst>
        </xdr:cNvPr>
        <xdr:cNvSpPr txBox="1"/>
      </xdr:nvSpPr>
      <xdr:spPr>
        <a:xfrm>
          <a:off x="12237500" y="401331"/>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12</xdr:col>
      <xdr:colOff>932280</xdr:colOff>
      <xdr:row>0</xdr:row>
      <xdr:rowOff>397942</xdr:rowOff>
    </xdr:from>
    <xdr:to>
      <xdr:col>13</xdr:col>
      <xdr:colOff>211461</xdr:colOff>
      <xdr:row>0</xdr:row>
      <xdr:rowOff>704850</xdr:rowOff>
    </xdr:to>
    <xdr:sp macro="" textlink="">
      <xdr:nvSpPr>
        <xdr:cNvPr id="34" name="ZoneTexte 33">
          <a:hlinkClick xmlns:r="http://schemas.openxmlformats.org/officeDocument/2006/relationships" r:id="rId11"/>
          <a:extLst>
            <a:ext uri="{FF2B5EF4-FFF2-40B4-BE49-F238E27FC236}">
              <a16:creationId xmlns:a16="http://schemas.microsoft.com/office/drawing/2014/main" id="{00000000-0008-0000-0400-000022000000}"/>
            </a:ext>
          </a:extLst>
        </xdr:cNvPr>
        <xdr:cNvSpPr txBox="1"/>
      </xdr:nvSpPr>
      <xdr:spPr>
        <a:xfrm>
          <a:off x="13694510" y="397942"/>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11</xdr:col>
      <xdr:colOff>193667</xdr:colOff>
      <xdr:row>0</xdr:row>
      <xdr:rowOff>397941</xdr:rowOff>
    </xdr:from>
    <xdr:to>
      <xdr:col>11</xdr:col>
      <xdr:colOff>1158879</xdr:colOff>
      <xdr:row>0</xdr:row>
      <xdr:rowOff>705705</xdr:rowOff>
    </xdr:to>
    <xdr:sp macro="" textlink="">
      <xdr:nvSpPr>
        <xdr:cNvPr id="35" name="ZoneTexte 34">
          <a:hlinkClick xmlns:r="http://schemas.openxmlformats.org/officeDocument/2006/relationships" r:id="rId12"/>
          <a:extLst>
            <a:ext uri="{FF2B5EF4-FFF2-40B4-BE49-F238E27FC236}">
              <a16:creationId xmlns:a16="http://schemas.microsoft.com/office/drawing/2014/main" id="{00000000-0008-0000-0400-000023000000}"/>
            </a:ext>
          </a:extLst>
        </xdr:cNvPr>
        <xdr:cNvSpPr txBox="1"/>
      </xdr:nvSpPr>
      <xdr:spPr>
        <a:xfrm>
          <a:off x="11539000" y="397941"/>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0</xdr:col>
      <xdr:colOff>702739</xdr:colOff>
      <xdr:row>0</xdr:row>
      <xdr:rowOff>358563</xdr:rowOff>
    </xdr:from>
    <xdr:to>
      <xdr:col>0</xdr:col>
      <xdr:colOff>1584543</xdr:colOff>
      <xdr:row>0</xdr:row>
      <xdr:rowOff>704004</xdr:rowOff>
    </xdr:to>
    <xdr:sp macro="" textlink="">
      <xdr:nvSpPr>
        <xdr:cNvPr id="36" name="ZoneTexte 35">
          <a:hlinkClick xmlns:r="http://schemas.openxmlformats.org/officeDocument/2006/relationships" r:id="rId13"/>
          <a:extLst>
            <a:ext uri="{FF2B5EF4-FFF2-40B4-BE49-F238E27FC236}">
              <a16:creationId xmlns:a16="http://schemas.microsoft.com/office/drawing/2014/main" id="{00000000-0008-0000-0400-000024000000}"/>
            </a:ext>
          </a:extLst>
        </xdr:cNvPr>
        <xdr:cNvSpPr txBox="1"/>
      </xdr:nvSpPr>
      <xdr:spPr>
        <a:xfrm>
          <a:off x="693214" y="366183"/>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133773</xdr:rowOff>
    </xdr:from>
    <xdr:to>
      <xdr:col>0</xdr:col>
      <xdr:colOff>663575</xdr:colOff>
      <xdr:row>0</xdr:row>
      <xdr:rowOff>745331</xdr:rowOff>
    </xdr:to>
    <xdr:pic>
      <xdr:nvPicPr>
        <xdr:cNvPr id="37" name="Image 9">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4">
          <a:duotone>
            <a:schemeClr val="accent5">
              <a:shade val="45000"/>
              <a:satMod val="135000"/>
            </a:schemeClr>
            <a:prstClr val="white"/>
          </a:duotone>
        </a:blip>
        <a:srcRect/>
        <a:stretch>
          <a:fillRect/>
        </a:stretch>
      </xdr:blipFill>
      <xdr:spPr bwMode="auto">
        <a:xfrm>
          <a:off x="0" y="118533"/>
          <a:ext cx="663575" cy="626798"/>
        </a:xfrm>
        <a:prstGeom prst="rect">
          <a:avLst/>
        </a:prstGeom>
        <a:noFill/>
        <a:ln>
          <a:noFill/>
        </a:ln>
      </xdr:spPr>
    </xdr:pic>
    <xdr:clientData fPrintsWithSheet="0"/>
  </xdr:twoCellAnchor>
  <xdr:twoCellAnchor editAs="absolute">
    <xdr:from>
      <xdr:col>13</xdr:col>
      <xdr:colOff>60636</xdr:colOff>
      <xdr:row>0</xdr:row>
      <xdr:rowOff>397942</xdr:rowOff>
    </xdr:from>
    <xdr:to>
      <xdr:col>14</xdr:col>
      <xdr:colOff>55450</xdr:colOff>
      <xdr:row>0</xdr:row>
      <xdr:rowOff>704850</xdr:rowOff>
    </xdr:to>
    <xdr:sp macro="" textlink="">
      <xdr:nvSpPr>
        <xdr:cNvPr id="38" name="ZoneTexte 37">
          <a:hlinkClick xmlns:r="http://schemas.openxmlformats.org/officeDocument/2006/relationships" r:id="rId15"/>
          <a:extLst>
            <a:ext uri="{FF2B5EF4-FFF2-40B4-BE49-F238E27FC236}">
              <a16:creationId xmlns:a16="http://schemas.microsoft.com/office/drawing/2014/main" id="{00000000-0008-0000-0400-000026000000}"/>
            </a:ext>
          </a:extLst>
        </xdr:cNvPr>
        <xdr:cNvSpPr txBox="1"/>
      </xdr:nvSpPr>
      <xdr:spPr>
        <a:xfrm>
          <a:off x="14216903" y="397942"/>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5</xdr:col>
      <xdr:colOff>1962682</xdr:colOff>
      <xdr:row>0</xdr:row>
      <xdr:rowOff>129541</xdr:rowOff>
    </xdr:from>
    <xdr:to>
      <xdr:col>12</xdr:col>
      <xdr:colOff>326500</xdr:colOff>
      <xdr:row>0</xdr:row>
      <xdr:rowOff>438573</xdr:rowOff>
    </xdr:to>
    <xdr:sp macro="" textlink="">
      <xdr:nvSpPr>
        <xdr:cNvPr id="39" name="Flèche : pentagone 38">
          <a:hlinkClick xmlns:r="http://schemas.openxmlformats.org/officeDocument/2006/relationships" r:id="rId9"/>
          <a:extLst>
            <a:ext uri="{FF2B5EF4-FFF2-40B4-BE49-F238E27FC236}">
              <a16:creationId xmlns:a16="http://schemas.microsoft.com/office/drawing/2014/main" id="{00000000-0008-0000-0400-000027000000}"/>
            </a:ext>
          </a:extLst>
        </xdr:cNvPr>
        <xdr:cNvSpPr/>
      </xdr:nvSpPr>
      <xdr:spPr>
        <a:xfrm>
          <a:off x="9345615" y="123826"/>
          <a:ext cx="3731685" cy="29950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3</xdr:col>
      <xdr:colOff>516575</xdr:colOff>
      <xdr:row>0</xdr:row>
      <xdr:rowOff>132294</xdr:rowOff>
    </xdr:from>
    <xdr:to>
      <xdr:col>5</xdr:col>
      <xdr:colOff>2035708</xdr:colOff>
      <xdr:row>0</xdr:row>
      <xdr:rowOff>438573</xdr:rowOff>
    </xdr:to>
    <xdr:sp macro="" textlink="">
      <xdr:nvSpPr>
        <xdr:cNvPr id="40" name="Flèche : pentagone 39">
          <a:hlinkClick xmlns:r="http://schemas.openxmlformats.org/officeDocument/2006/relationships" r:id="rId5"/>
          <a:extLst>
            <a:ext uri="{FF2B5EF4-FFF2-40B4-BE49-F238E27FC236}">
              <a16:creationId xmlns:a16="http://schemas.microsoft.com/office/drawing/2014/main" id="{00000000-0008-0000-0400-000028000000}"/>
            </a:ext>
          </a:extLst>
        </xdr:cNvPr>
        <xdr:cNvSpPr/>
      </xdr:nvSpPr>
      <xdr:spPr>
        <a:xfrm>
          <a:off x="5432957" y="132294"/>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0</xdr:col>
      <xdr:colOff>1524004</xdr:colOff>
      <xdr:row>0</xdr:row>
      <xdr:rowOff>132295</xdr:rowOff>
    </xdr:from>
    <xdr:to>
      <xdr:col>3</xdr:col>
      <xdr:colOff>779254</xdr:colOff>
      <xdr:row>0</xdr:row>
      <xdr:rowOff>438491</xdr:rowOff>
    </xdr:to>
    <xdr:sp macro="" textlink="">
      <xdr:nvSpPr>
        <xdr:cNvPr id="41" name="Flèche : pentagone 40">
          <a:hlinkClick xmlns:r="http://schemas.openxmlformats.org/officeDocument/2006/relationships" r:id="rId2"/>
          <a:extLst>
            <a:ext uri="{FF2B5EF4-FFF2-40B4-BE49-F238E27FC236}">
              <a16:creationId xmlns:a16="http://schemas.microsoft.com/office/drawing/2014/main" id="{00000000-0008-0000-0400-000029000000}"/>
            </a:ext>
          </a:extLst>
        </xdr:cNvPr>
        <xdr:cNvSpPr/>
      </xdr:nvSpPr>
      <xdr:spPr>
        <a:xfrm>
          <a:off x="1524004" y="132295"/>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5</xdr:col>
      <xdr:colOff>625996</xdr:colOff>
      <xdr:row>0</xdr:row>
      <xdr:rowOff>398788</xdr:rowOff>
    </xdr:from>
    <xdr:to>
      <xdr:col>5</xdr:col>
      <xdr:colOff>1848697</xdr:colOff>
      <xdr:row>0</xdr:row>
      <xdr:rowOff>701471</xdr:rowOff>
    </xdr:to>
    <xdr:sp macro="" textlink="">
      <xdr:nvSpPr>
        <xdr:cNvPr id="42" name="ZoneTexte 41">
          <a:hlinkClick xmlns:r="http://schemas.openxmlformats.org/officeDocument/2006/relationships" r:id="rId7"/>
          <a:extLst>
            <a:ext uri="{FF2B5EF4-FFF2-40B4-BE49-F238E27FC236}">
              <a16:creationId xmlns:a16="http://schemas.microsoft.com/office/drawing/2014/main" id="{00000000-0008-0000-0400-00002A000000}"/>
            </a:ext>
          </a:extLst>
        </xdr:cNvPr>
        <xdr:cNvSpPr txBox="1"/>
      </xdr:nvSpPr>
      <xdr:spPr>
        <a:xfrm>
          <a:off x="8008929" y="406408"/>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0</xdr:col>
      <xdr:colOff>727078</xdr:colOff>
      <xdr:row>0</xdr:row>
      <xdr:rowOff>134623</xdr:rowOff>
    </xdr:from>
    <xdr:to>
      <xdr:col>0</xdr:col>
      <xdr:colOff>1658624</xdr:colOff>
      <xdr:row>0</xdr:row>
      <xdr:rowOff>421769</xdr:rowOff>
    </xdr:to>
    <xdr:sp macro="" textlink="">
      <xdr:nvSpPr>
        <xdr:cNvPr id="43" name="Flèche : pentagone 42">
          <a:extLst>
            <a:ext uri="{FF2B5EF4-FFF2-40B4-BE49-F238E27FC236}">
              <a16:creationId xmlns:a16="http://schemas.microsoft.com/office/drawing/2014/main" id="{00000000-0008-0000-0400-00002B000000}"/>
            </a:ext>
          </a:extLst>
        </xdr:cNvPr>
        <xdr:cNvSpPr/>
      </xdr:nvSpPr>
      <xdr:spPr>
        <a:xfrm>
          <a:off x="727078" y="127003"/>
          <a:ext cx="923926"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12</xdr:col>
      <xdr:colOff>303630</xdr:colOff>
      <xdr:row>0</xdr:row>
      <xdr:rowOff>397942</xdr:rowOff>
    </xdr:from>
    <xdr:to>
      <xdr:col>12</xdr:col>
      <xdr:colOff>1163320</xdr:colOff>
      <xdr:row>0</xdr:row>
      <xdr:rowOff>704850</xdr:rowOff>
    </xdr:to>
    <xdr:sp macro="" textlink="">
      <xdr:nvSpPr>
        <xdr:cNvPr id="44" name="ZoneTexte 43">
          <a:hlinkClick xmlns:r="http://schemas.openxmlformats.org/officeDocument/2006/relationships" r:id="rId16"/>
          <a:extLst>
            <a:ext uri="{FF2B5EF4-FFF2-40B4-BE49-F238E27FC236}">
              <a16:creationId xmlns:a16="http://schemas.microsoft.com/office/drawing/2014/main" id="{00000000-0008-0000-0400-00002C000000}"/>
            </a:ext>
          </a:extLst>
        </xdr:cNvPr>
        <xdr:cNvSpPr txBox="1"/>
      </xdr:nvSpPr>
      <xdr:spPr>
        <a:xfrm>
          <a:off x="13054430" y="397942"/>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7</xdr:col>
      <xdr:colOff>76200</xdr:colOff>
      <xdr:row>45</xdr:row>
      <xdr:rowOff>116204</xdr:rowOff>
    </xdr:from>
    <xdr:to>
      <xdr:col>12</xdr:col>
      <xdr:colOff>790575</xdr:colOff>
      <xdr:row>65</xdr:row>
      <xdr:rowOff>28574</xdr:rowOff>
    </xdr:to>
    <xdr:graphicFrame macro="">
      <xdr:nvGraphicFramePr>
        <xdr:cNvPr id="50002660" name="Graphique 3">
          <a:extLst>
            <a:ext uri="{FF2B5EF4-FFF2-40B4-BE49-F238E27FC236}">
              <a16:creationId xmlns:a16="http://schemas.microsoft.com/office/drawing/2014/main" id="{00000000-0008-0000-0500-0000E4FAF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436033</xdr:colOff>
      <xdr:row>45</xdr:row>
      <xdr:rowOff>52917</xdr:rowOff>
    </xdr:from>
    <xdr:to>
      <xdr:col>5</xdr:col>
      <xdr:colOff>952500</xdr:colOff>
      <xdr:row>66</xdr:row>
      <xdr:rowOff>4234</xdr:rowOff>
    </xdr:to>
    <xdr:graphicFrame macro="">
      <xdr:nvGraphicFramePr>
        <xdr:cNvPr id="50002661" name="Graphique 3">
          <a:extLst>
            <a:ext uri="{FF2B5EF4-FFF2-40B4-BE49-F238E27FC236}">
              <a16:creationId xmlns:a16="http://schemas.microsoft.com/office/drawing/2014/main" id="{00000000-0008-0000-0500-0000E5FAF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180975</xdr:colOff>
      <xdr:row>66</xdr:row>
      <xdr:rowOff>19050</xdr:rowOff>
    </xdr:from>
    <xdr:to>
      <xdr:col>5</xdr:col>
      <xdr:colOff>771525</xdr:colOff>
      <xdr:row>86</xdr:row>
      <xdr:rowOff>104775</xdr:rowOff>
    </xdr:to>
    <xdr:graphicFrame macro="">
      <xdr:nvGraphicFramePr>
        <xdr:cNvPr id="50002662" name="Graphique 3">
          <a:extLst>
            <a:ext uri="{FF2B5EF4-FFF2-40B4-BE49-F238E27FC236}">
              <a16:creationId xmlns:a16="http://schemas.microsoft.com/office/drawing/2014/main" id="{00000000-0008-0000-0500-0000E6FAF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47625</xdr:colOff>
      <xdr:row>65</xdr:row>
      <xdr:rowOff>95250</xdr:rowOff>
    </xdr:from>
    <xdr:to>
      <xdr:col>12</xdr:col>
      <xdr:colOff>609600</xdr:colOff>
      <xdr:row>86</xdr:row>
      <xdr:rowOff>0</xdr:rowOff>
    </xdr:to>
    <xdr:graphicFrame macro="">
      <xdr:nvGraphicFramePr>
        <xdr:cNvPr id="50002663" name="Graphique 6">
          <a:extLst>
            <a:ext uri="{FF2B5EF4-FFF2-40B4-BE49-F238E27FC236}">
              <a16:creationId xmlns:a16="http://schemas.microsoft.com/office/drawing/2014/main" id="{00000000-0008-0000-0500-0000E7FAF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11</xdr:col>
          <xdr:colOff>556260</xdr:colOff>
          <xdr:row>1</xdr:row>
          <xdr:rowOff>190500</xdr:rowOff>
        </xdr:from>
        <xdr:to>
          <xdr:col>12</xdr:col>
          <xdr:colOff>1341120</xdr:colOff>
          <xdr:row>3</xdr:row>
          <xdr:rowOff>30480</xdr:rowOff>
        </xdr:to>
        <xdr:sp macro="" textlink="">
          <xdr:nvSpPr>
            <xdr:cNvPr id="48942464" name="Button 1408" hidden="1">
              <a:extLst>
                <a:ext uri="{63B3BB69-23CF-44E3-9099-C40C66FF867C}">
                  <a14:compatExt spid="_x0000_s48942464"/>
                </a:ext>
                <a:ext uri="{FF2B5EF4-FFF2-40B4-BE49-F238E27FC236}">
                  <a16:creationId xmlns:a16="http://schemas.microsoft.com/office/drawing/2014/main" id="{00000000-0008-0000-0900-000080CDEA0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0" i="0" u="none" strike="noStrike" baseline="0">
                  <a:solidFill>
                    <a:srgbClr val="000000"/>
                  </a:solidFill>
                  <a:latin typeface="Calibri"/>
                  <a:ea typeface="Calibri"/>
                  <a:cs typeface="Calibri"/>
                </a:rPr>
                <a:t>Exporter vers document Word</a:t>
              </a:r>
            </a:p>
          </xdr:txBody>
        </xdr:sp>
        <xdr:clientData fPrintsWithSheet="0"/>
      </xdr:twoCellAnchor>
    </mc:Choice>
    <mc:Fallback/>
  </mc:AlternateContent>
  <xdr:twoCellAnchor editAs="absolute">
    <xdr:from>
      <xdr:col>9</xdr:col>
      <xdr:colOff>971976</xdr:colOff>
      <xdr:row>0</xdr:row>
      <xdr:rowOff>133773</xdr:rowOff>
    </xdr:from>
    <xdr:to>
      <xdr:col>12</xdr:col>
      <xdr:colOff>168063</xdr:colOff>
      <xdr:row>0</xdr:row>
      <xdr:rowOff>434469</xdr:rowOff>
    </xdr:to>
    <xdr:sp macro="" textlink="">
      <xdr:nvSpPr>
        <xdr:cNvPr id="2" name="Flèche : pentagone 1">
          <a:hlinkClick xmlns:r="http://schemas.openxmlformats.org/officeDocument/2006/relationships" r:id="rId5"/>
          <a:extLst>
            <a:ext uri="{FF2B5EF4-FFF2-40B4-BE49-F238E27FC236}">
              <a16:creationId xmlns:a16="http://schemas.microsoft.com/office/drawing/2014/main" id="{00000000-0008-0000-0500-000002000000}"/>
            </a:ext>
          </a:extLst>
        </xdr:cNvPr>
        <xdr:cNvSpPr/>
      </xdr:nvSpPr>
      <xdr:spPr>
        <a:xfrm>
          <a:off x="12900028" y="126153"/>
          <a:ext cx="2673347" cy="29879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0</xdr:col>
      <xdr:colOff>1579882</xdr:colOff>
      <xdr:row>0</xdr:row>
      <xdr:rowOff>419101</xdr:rowOff>
    </xdr:from>
    <xdr:to>
      <xdr:col>1</xdr:col>
      <xdr:colOff>1009440</xdr:colOff>
      <xdr:row>0</xdr:row>
      <xdr:rowOff>665479</xdr:rowOff>
    </xdr:to>
    <xdr:sp macro="" textlink="">
      <xdr:nvSpPr>
        <xdr:cNvPr id="3" name="ZoneTexte 2">
          <a:hlinkClick xmlns:r="http://schemas.openxmlformats.org/officeDocument/2006/relationships" r:id="rId6"/>
          <a:extLst>
            <a:ext uri="{FF2B5EF4-FFF2-40B4-BE49-F238E27FC236}">
              <a16:creationId xmlns:a16="http://schemas.microsoft.com/office/drawing/2014/main" id="{00000000-0008-0000-0500-000003000000}"/>
            </a:ext>
          </a:extLst>
        </xdr:cNvPr>
        <xdr:cNvSpPr txBox="1"/>
      </xdr:nvSpPr>
      <xdr:spPr>
        <a:xfrm>
          <a:off x="1587502" y="419101"/>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1</xdr:col>
      <xdr:colOff>899055</xdr:colOff>
      <xdr:row>0</xdr:row>
      <xdr:rowOff>416986</xdr:rowOff>
    </xdr:from>
    <xdr:to>
      <xdr:col>2</xdr:col>
      <xdr:colOff>818095</xdr:colOff>
      <xdr:row>0</xdr:row>
      <xdr:rowOff>726019</xdr:rowOff>
    </xdr:to>
    <xdr:sp macro="" textlink="">
      <xdr:nvSpPr>
        <xdr:cNvPr id="4" name="ZoneTexte 3">
          <a:hlinkClick xmlns:r="http://schemas.openxmlformats.org/officeDocument/2006/relationships" r:id="rId7"/>
          <a:extLst>
            <a:ext uri="{FF2B5EF4-FFF2-40B4-BE49-F238E27FC236}">
              <a16:creationId xmlns:a16="http://schemas.microsoft.com/office/drawing/2014/main" id="{00000000-0008-0000-0500-000004000000}"/>
            </a:ext>
          </a:extLst>
        </xdr:cNvPr>
        <xdr:cNvSpPr txBox="1"/>
      </xdr:nvSpPr>
      <xdr:spPr>
        <a:xfrm>
          <a:off x="3008313" y="416986"/>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2</xdr:col>
      <xdr:colOff>779462</xdr:colOff>
      <xdr:row>0</xdr:row>
      <xdr:rowOff>418258</xdr:rowOff>
    </xdr:from>
    <xdr:to>
      <xdr:col>3</xdr:col>
      <xdr:colOff>777762</xdr:colOff>
      <xdr:row>0</xdr:row>
      <xdr:rowOff>739357</xdr:rowOff>
    </xdr:to>
    <xdr:sp macro="" textlink="">
      <xdr:nvSpPr>
        <xdr:cNvPr id="5" name="ZoneTexte 4">
          <a:hlinkClick xmlns:r="http://schemas.openxmlformats.org/officeDocument/2006/relationships" r:id="rId8"/>
          <a:extLst>
            <a:ext uri="{FF2B5EF4-FFF2-40B4-BE49-F238E27FC236}">
              <a16:creationId xmlns:a16="http://schemas.microsoft.com/office/drawing/2014/main" id="{00000000-0008-0000-0500-000005000000}"/>
            </a:ext>
          </a:extLst>
        </xdr:cNvPr>
        <xdr:cNvSpPr txBox="1"/>
      </xdr:nvSpPr>
      <xdr:spPr>
        <a:xfrm>
          <a:off x="4367212" y="418258"/>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3</xdr:col>
      <xdr:colOff>821792</xdr:colOff>
      <xdr:row>0</xdr:row>
      <xdr:rowOff>402385</xdr:rowOff>
    </xdr:from>
    <xdr:to>
      <xdr:col>4</xdr:col>
      <xdr:colOff>782853</xdr:colOff>
      <xdr:row>0</xdr:row>
      <xdr:rowOff>701893</xdr:rowOff>
    </xdr:to>
    <xdr:sp macro="" textlink="">
      <xdr:nvSpPr>
        <xdr:cNvPr id="6" name="ZoneTexte 5">
          <a:hlinkClick xmlns:r="http://schemas.openxmlformats.org/officeDocument/2006/relationships" r:id="rId9"/>
          <a:extLst>
            <a:ext uri="{FF2B5EF4-FFF2-40B4-BE49-F238E27FC236}">
              <a16:creationId xmlns:a16="http://schemas.microsoft.com/office/drawing/2014/main" id="{00000000-0008-0000-0500-000006000000}"/>
            </a:ext>
          </a:extLst>
        </xdr:cNvPr>
        <xdr:cNvSpPr txBox="1"/>
      </xdr:nvSpPr>
      <xdr:spPr>
        <a:xfrm>
          <a:off x="5725050" y="411910"/>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4</xdr:col>
      <xdr:colOff>612885</xdr:colOff>
      <xdr:row>0</xdr:row>
      <xdr:rowOff>416144</xdr:rowOff>
    </xdr:from>
    <xdr:to>
      <xdr:col>5</xdr:col>
      <xdr:colOff>212834</xdr:colOff>
      <xdr:row>0</xdr:row>
      <xdr:rowOff>744227</xdr:rowOff>
    </xdr:to>
    <xdr:sp macro="" textlink="">
      <xdr:nvSpPr>
        <xdr:cNvPr id="7" name="ZoneTexte 6">
          <a:hlinkClick xmlns:r="http://schemas.openxmlformats.org/officeDocument/2006/relationships" r:id="rId10"/>
          <a:extLst>
            <a:ext uri="{FF2B5EF4-FFF2-40B4-BE49-F238E27FC236}">
              <a16:creationId xmlns:a16="http://schemas.microsoft.com/office/drawing/2014/main" id="{00000000-0008-0000-0500-000007000000}"/>
            </a:ext>
          </a:extLst>
        </xdr:cNvPr>
        <xdr:cNvSpPr txBox="1"/>
      </xdr:nvSpPr>
      <xdr:spPr>
        <a:xfrm>
          <a:off x="6731533" y="416144"/>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5</xdr:col>
      <xdr:colOff>112704</xdr:colOff>
      <xdr:row>0</xdr:row>
      <xdr:rowOff>398364</xdr:rowOff>
    </xdr:from>
    <xdr:to>
      <xdr:col>6</xdr:col>
      <xdr:colOff>3710</xdr:colOff>
      <xdr:row>0</xdr:row>
      <xdr:rowOff>706762</xdr:rowOff>
    </xdr:to>
    <xdr:sp macro="" textlink="">
      <xdr:nvSpPr>
        <xdr:cNvPr id="8" name="ZoneTexte 7">
          <a:hlinkClick xmlns:r="http://schemas.openxmlformats.org/officeDocument/2006/relationships" r:id="rId11"/>
          <a:extLst>
            <a:ext uri="{FF2B5EF4-FFF2-40B4-BE49-F238E27FC236}">
              <a16:creationId xmlns:a16="http://schemas.microsoft.com/office/drawing/2014/main" id="{00000000-0008-0000-0500-000008000000}"/>
            </a:ext>
          </a:extLst>
        </xdr:cNvPr>
        <xdr:cNvSpPr txBox="1"/>
      </xdr:nvSpPr>
      <xdr:spPr>
        <a:xfrm>
          <a:off x="7298787" y="409794"/>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7</xdr:col>
      <xdr:colOff>1579037</xdr:colOff>
      <xdr:row>0</xdr:row>
      <xdr:rowOff>398790</xdr:rowOff>
    </xdr:from>
    <xdr:to>
      <xdr:col>8</xdr:col>
      <xdr:colOff>1241006</xdr:colOff>
      <xdr:row>0</xdr:row>
      <xdr:rowOff>739574</xdr:rowOff>
    </xdr:to>
    <xdr:sp macro="" textlink="">
      <xdr:nvSpPr>
        <xdr:cNvPr id="9" name="ZoneTexte 8">
          <a:hlinkClick xmlns:r="http://schemas.openxmlformats.org/officeDocument/2006/relationships" r:id="rId12"/>
          <a:extLst>
            <a:ext uri="{FF2B5EF4-FFF2-40B4-BE49-F238E27FC236}">
              <a16:creationId xmlns:a16="http://schemas.microsoft.com/office/drawing/2014/main" id="{00000000-0008-0000-0500-000009000000}"/>
            </a:ext>
          </a:extLst>
        </xdr:cNvPr>
        <xdr:cNvSpPr txBox="1"/>
      </xdr:nvSpPr>
      <xdr:spPr>
        <a:xfrm>
          <a:off x="10092270" y="406410"/>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7</xdr:col>
      <xdr:colOff>936721</xdr:colOff>
      <xdr:row>0</xdr:row>
      <xdr:rowOff>400053</xdr:rowOff>
    </xdr:from>
    <xdr:to>
      <xdr:col>7</xdr:col>
      <xdr:colOff>1736292</xdr:colOff>
      <xdr:row>0</xdr:row>
      <xdr:rowOff>704007</xdr:rowOff>
    </xdr:to>
    <xdr:sp macro="" textlink="">
      <xdr:nvSpPr>
        <xdr:cNvPr id="10" name="ZoneTexte 9">
          <a:hlinkClick xmlns:r="http://schemas.openxmlformats.org/officeDocument/2006/relationships" r:id="rId13"/>
          <a:extLst>
            <a:ext uri="{FF2B5EF4-FFF2-40B4-BE49-F238E27FC236}">
              <a16:creationId xmlns:a16="http://schemas.microsoft.com/office/drawing/2014/main" id="{00000000-0008-0000-0500-00000A000000}"/>
            </a:ext>
          </a:extLst>
        </xdr:cNvPr>
        <xdr:cNvSpPr txBox="1"/>
      </xdr:nvSpPr>
      <xdr:spPr>
        <a:xfrm>
          <a:off x="9398519" y="400053"/>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9</xdr:col>
      <xdr:colOff>301617</xdr:colOff>
      <xdr:row>0</xdr:row>
      <xdr:rowOff>401331</xdr:rowOff>
    </xdr:from>
    <xdr:to>
      <xdr:col>10</xdr:col>
      <xdr:colOff>13235</xdr:colOff>
      <xdr:row>0</xdr:row>
      <xdr:rowOff>744231</xdr:rowOff>
    </xdr:to>
    <xdr:sp macro="" textlink="">
      <xdr:nvSpPr>
        <xdr:cNvPr id="11" name="ZoneTexte 10">
          <a:hlinkClick xmlns:r="http://schemas.openxmlformats.org/officeDocument/2006/relationships" r:id="rId14"/>
          <a:extLst>
            <a:ext uri="{FF2B5EF4-FFF2-40B4-BE49-F238E27FC236}">
              <a16:creationId xmlns:a16="http://schemas.microsoft.com/office/drawing/2014/main" id="{00000000-0008-0000-0500-00000B000000}"/>
            </a:ext>
          </a:extLst>
        </xdr:cNvPr>
        <xdr:cNvSpPr txBox="1"/>
      </xdr:nvSpPr>
      <xdr:spPr>
        <a:xfrm>
          <a:off x="12237500" y="401331"/>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10</xdr:col>
      <xdr:colOff>592978</xdr:colOff>
      <xdr:row>0</xdr:row>
      <xdr:rowOff>397942</xdr:rowOff>
    </xdr:from>
    <xdr:to>
      <xdr:col>11</xdr:col>
      <xdr:colOff>163836</xdr:colOff>
      <xdr:row>0</xdr:row>
      <xdr:rowOff>704850</xdr:rowOff>
    </xdr:to>
    <xdr:sp macro="" textlink="">
      <xdr:nvSpPr>
        <xdr:cNvPr id="12" name="ZoneTexte 11">
          <a:hlinkClick xmlns:r="http://schemas.openxmlformats.org/officeDocument/2006/relationships" r:id="rId15"/>
          <a:extLst>
            <a:ext uri="{FF2B5EF4-FFF2-40B4-BE49-F238E27FC236}">
              <a16:creationId xmlns:a16="http://schemas.microsoft.com/office/drawing/2014/main" id="{00000000-0008-0000-0500-00000C000000}"/>
            </a:ext>
          </a:extLst>
        </xdr:cNvPr>
        <xdr:cNvSpPr txBox="1"/>
      </xdr:nvSpPr>
      <xdr:spPr>
        <a:xfrm>
          <a:off x="13694510" y="397942"/>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8</xdr:col>
      <xdr:colOff>1010912</xdr:colOff>
      <xdr:row>0</xdr:row>
      <xdr:rowOff>397941</xdr:rowOff>
    </xdr:from>
    <xdr:to>
      <xdr:col>9</xdr:col>
      <xdr:colOff>568329</xdr:colOff>
      <xdr:row>0</xdr:row>
      <xdr:rowOff>705705</xdr:rowOff>
    </xdr:to>
    <xdr:sp macro="" textlink="">
      <xdr:nvSpPr>
        <xdr:cNvPr id="13" name="ZoneTexte 12">
          <a:hlinkClick xmlns:r="http://schemas.openxmlformats.org/officeDocument/2006/relationships" r:id="rId16"/>
          <a:extLst>
            <a:ext uri="{FF2B5EF4-FFF2-40B4-BE49-F238E27FC236}">
              <a16:creationId xmlns:a16="http://schemas.microsoft.com/office/drawing/2014/main" id="{00000000-0008-0000-0500-00000D000000}"/>
            </a:ext>
          </a:extLst>
        </xdr:cNvPr>
        <xdr:cNvSpPr txBox="1"/>
      </xdr:nvSpPr>
      <xdr:spPr>
        <a:xfrm>
          <a:off x="11539000" y="397941"/>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0</xdr:col>
      <xdr:colOff>702739</xdr:colOff>
      <xdr:row>0</xdr:row>
      <xdr:rowOff>358563</xdr:rowOff>
    </xdr:from>
    <xdr:to>
      <xdr:col>0</xdr:col>
      <xdr:colOff>1584543</xdr:colOff>
      <xdr:row>0</xdr:row>
      <xdr:rowOff>704004</xdr:rowOff>
    </xdr:to>
    <xdr:sp macro="" textlink="">
      <xdr:nvSpPr>
        <xdr:cNvPr id="14" name="ZoneTexte 13">
          <a:hlinkClick xmlns:r="http://schemas.openxmlformats.org/officeDocument/2006/relationships" r:id="rId17"/>
          <a:extLst>
            <a:ext uri="{FF2B5EF4-FFF2-40B4-BE49-F238E27FC236}">
              <a16:creationId xmlns:a16="http://schemas.microsoft.com/office/drawing/2014/main" id="{00000000-0008-0000-0500-00000E000000}"/>
            </a:ext>
          </a:extLst>
        </xdr:cNvPr>
        <xdr:cNvSpPr txBox="1"/>
      </xdr:nvSpPr>
      <xdr:spPr>
        <a:xfrm>
          <a:off x="693214" y="366183"/>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126153</xdr:rowOff>
    </xdr:from>
    <xdr:to>
      <xdr:col>0</xdr:col>
      <xdr:colOff>663575</xdr:colOff>
      <xdr:row>0</xdr:row>
      <xdr:rowOff>745331</xdr:rowOff>
    </xdr:to>
    <xdr:pic>
      <xdr:nvPicPr>
        <xdr:cNvPr id="15" name="Image 9">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8">
          <a:duotone>
            <a:schemeClr val="accent5">
              <a:shade val="45000"/>
              <a:satMod val="135000"/>
            </a:schemeClr>
            <a:prstClr val="white"/>
          </a:duotone>
        </a:blip>
        <a:srcRect/>
        <a:stretch>
          <a:fillRect/>
        </a:stretch>
      </xdr:blipFill>
      <xdr:spPr bwMode="auto">
        <a:xfrm>
          <a:off x="0" y="118533"/>
          <a:ext cx="663575" cy="626798"/>
        </a:xfrm>
        <a:prstGeom prst="rect">
          <a:avLst/>
        </a:prstGeom>
        <a:noFill/>
        <a:ln>
          <a:noFill/>
        </a:ln>
      </xdr:spPr>
    </xdr:pic>
    <xdr:clientData fPrintsWithSheet="0"/>
  </xdr:twoCellAnchor>
  <xdr:twoCellAnchor editAs="absolute">
    <xdr:from>
      <xdr:col>11</xdr:col>
      <xdr:colOff>12058</xdr:colOff>
      <xdr:row>0</xdr:row>
      <xdr:rowOff>397942</xdr:rowOff>
    </xdr:from>
    <xdr:to>
      <xdr:col>12</xdr:col>
      <xdr:colOff>209966</xdr:colOff>
      <xdr:row>0</xdr:row>
      <xdr:rowOff>704850</xdr:rowOff>
    </xdr:to>
    <xdr:sp macro="" textlink="">
      <xdr:nvSpPr>
        <xdr:cNvPr id="16" name="ZoneTexte 15">
          <a:hlinkClick xmlns:r="http://schemas.openxmlformats.org/officeDocument/2006/relationships" r:id="rId19"/>
          <a:extLst>
            <a:ext uri="{FF2B5EF4-FFF2-40B4-BE49-F238E27FC236}">
              <a16:creationId xmlns:a16="http://schemas.microsoft.com/office/drawing/2014/main" id="{00000000-0008-0000-0500-000010000000}"/>
            </a:ext>
          </a:extLst>
        </xdr:cNvPr>
        <xdr:cNvSpPr txBox="1"/>
      </xdr:nvSpPr>
      <xdr:spPr>
        <a:xfrm>
          <a:off x="14216903" y="397942"/>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7</xdr:col>
      <xdr:colOff>889532</xdr:colOff>
      <xdr:row>0</xdr:row>
      <xdr:rowOff>129541</xdr:rowOff>
    </xdr:from>
    <xdr:to>
      <xdr:col>9</xdr:col>
      <xdr:colOff>1130198</xdr:colOff>
      <xdr:row>0</xdr:row>
      <xdr:rowOff>430953</xdr:rowOff>
    </xdr:to>
    <xdr:sp macro="" textlink="">
      <xdr:nvSpPr>
        <xdr:cNvPr id="17" name="Flèche : pentagone 16">
          <a:hlinkClick xmlns:r="http://schemas.openxmlformats.org/officeDocument/2006/relationships" r:id="rId13"/>
          <a:extLst>
            <a:ext uri="{FF2B5EF4-FFF2-40B4-BE49-F238E27FC236}">
              <a16:creationId xmlns:a16="http://schemas.microsoft.com/office/drawing/2014/main" id="{00000000-0008-0000-0500-000011000000}"/>
            </a:ext>
          </a:extLst>
        </xdr:cNvPr>
        <xdr:cNvSpPr/>
      </xdr:nvSpPr>
      <xdr:spPr>
        <a:xfrm>
          <a:off x="9345615" y="123826"/>
          <a:ext cx="3731685" cy="29950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3</xdr:col>
      <xdr:colOff>549807</xdr:colOff>
      <xdr:row>0</xdr:row>
      <xdr:rowOff>132294</xdr:rowOff>
    </xdr:from>
    <xdr:to>
      <xdr:col>7</xdr:col>
      <xdr:colOff>939698</xdr:colOff>
      <xdr:row>0</xdr:row>
      <xdr:rowOff>430953</xdr:rowOff>
    </xdr:to>
    <xdr:sp macro="" textlink="">
      <xdr:nvSpPr>
        <xdr:cNvPr id="18" name="Flèche : pentagone 17">
          <a:hlinkClick xmlns:r="http://schemas.openxmlformats.org/officeDocument/2006/relationships" r:id="rId9"/>
          <a:extLst>
            <a:ext uri="{FF2B5EF4-FFF2-40B4-BE49-F238E27FC236}">
              <a16:creationId xmlns:a16="http://schemas.microsoft.com/office/drawing/2014/main" id="{00000000-0008-0000-0500-000012000000}"/>
            </a:ext>
          </a:extLst>
        </xdr:cNvPr>
        <xdr:cNvSpPr/>
      </xdr:nvSpPr>
      <xdr:spPr>
        <a:xfrm>
          <a:off x="5432957" y="132294"/>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0</xdr:col>
      <xdr:colOff>1524004</xdr:colOff>
      <xdr:row>0</xdr:row>
      <xdr:rowOff>132295</xdr:rowOff>
    </xdr:from>
    <xdr:to>
      <xdr:col>3</xdr:col>
      <xdr:colOff>803808</xdr:colOff>
      <xdr:row>0</xdr:row>
      <xdr:rowOff>438491</xdr:rowOff>
    </xdr:to>
    <xdr:sp macro="" textlink="">
      <xdr:nvSpPr>
        <xdr:cNvPr id="19" name="Flèche : pentagone 18">
          <a:hlinkClick xmlns:r="http://schemas.openxmlformats.org/officeDocument/2006/relationships" r:id="rId6"/>
          <a:extLst>
            <a:ext uri="{FF2B5EF4-FFF2-40B4-BE49-F238E27FC236}">
              <a16:creationId xmlns:a16="http://schemas.microsoft.com/office/drawing/2014/main" id="{00000000-0008-0000-0500-000013000000}"/>
            </a:ext>
          </a:extLst>
        </xdr:cNvPr>
        <xdr:cNvSpPr/>
      </xdr:nvSpPr>
      <xdr:spPr>
        <a:xfrm>
          <a:off x="1524004" y="132295"/>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5</xdr:col>
      <xdr:colOff>822846</xdr:colOff>
      <xdr:row>0</xdr:row>
      <xdr:rowOff>398788</xdr:rowOff>
    </xdr:from>
    <xdr:to>
      <xdr:col>7</xdr:col>
      <xdr:colOff>750782</xdr:colOff>
      <xdr:row>0</xdr:row>
      <xdr:rowOff>701471</xdr:rowOff>
    </xdr:to>
    <xdr:sp macro="" textlink="">
      <xdr:nvSpPr>
        <xdr:cNvPr id="20" name="ZoneTexte 19">
          <a:hlinkClick xmlns:r="http://schemas.openxmlformats.org/officeDocument/2006/relationships" r:id="rId11"/>
          <a:extLst>
            <a:ext uri="{FF2B5EF4-FFF2-40B4-BE49-F238E27FC236}">
              <a16:creationId xmlns:a16="http://schemas.microsoft.com/office/drawing/2014/main" id="{00000000-0008-0000-0500-000014000000}"/>
            </a:ext>
          </a:extLst>
        </xdr:cNvPr>
        <xdr:cNvSpPr txBox="1"/>
      </xdr:nvSpPr>
      <xdr:spPr>
        <a:xfrm>
          <a:off x="8008929" y="406408"/>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0</xdr:col>
      <xdr:colOff>727078</xdr:colOff>
      <xdr:row>0</xdr:row>
      <xdr:rowOff>134623</xdr:rowOff>
    </xdr:from>
    <xdr:to>
      <xdr:col>0</xdr:col>
      <xdr:colOff>1658624</xdr:colOff>
      <xdr:row>0</xdr:row>
      <xdr:rowOff>421769</xdr:rowOff>
    </xdr:to>
    <xdr:sp macro="" textlink="">
      <xdr:nvSpPr>
        <xdr:cNvPr id="21" name="Flèche : pentagone 20">
          <a:extLst>
            <a:ext uri="{FF2B5EF4-FFF2-40B4-BE49-F238E27FC236}">
              <a16:creationId xmlns:a16="http://schemas.microsoft.com/office/drawing/2014/main" id="{00000000-0008-0000-0500-000015000000}"/>
            </a:ext>
          </a:extLst>
        </xdr:cNvPr>
        <xdr:cNvSpPr/>
      </xdr:nvSpPr>
      <xdr:spPr>
        <a:xfrm>
          <a:off x="727078" y="127003"/>
          <a:ext cx="923926"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9</xdr:col>
      <xdr:colOff>1120663</xdr:colOff>
      <xdr:row>0</xdr:row>
      <xdr:rowOff>397942</xdr:rowOff>
    </xdr:from>
    <xdr:to>
      <xdr:col>10</xdr:col>
      <xdr:colOff>820843</xdr:colOff>
      <xdr:row>0</xdr:row>
      <xdr:rowOff>704850</xdr:rowOff>
    </xdr:to>
    <xdr:sp macro="" textlink="">
      <xdr:nvSpPr>
        <xdr:cNvPr id="22" name="ZoneTexte 21">
          <a:hlinkClick xmlns:r="http://schemas.openxmlformats.org/officeDocument/2006/relationships" r:id="rId20"/>
          <a:extLst>
            <a:ext uri="{FF2B5EF4-FFF2-40B4-BE49-F238E27FC236}">
              <a16:creationId xmlns:a16="http://schemas.microsoft.com/office/drawing/2014/main" id="{00000000-0008-0000-0500-000016000000}"/>
            </a:ext>
          </a:extLst>
        </xdr:cNvPr>
        <xdr:cNvSpPr txBox="1"/>
      </xdr:nvSpPr>
      <xdr:spPr>
        <a:xfrm>
          <a:off x="13054430" y="397942"/>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320674</xdr:colOff>
      <xdr:row>83</xdr:row>
      <xdr:rowOff>208491</xdr:rowOff>
    </xdr:from>
    <xdr:to>
      <xdr:col>7</xdr:col>
      <xdr:colOff>194732</xdr:colOff>
      <xdr:row>97</xdr:row>
      <xdr:rowOff>218016</xdr:rowOff>
    </xdr:to>
    <xdr:graphicFrame macro="">
      <xdr:nvGraphicFramePr>
        <xdr:cNvPr id="49911680" name="Graphique 1">
          <a:extLst>
            <a:ext uri="{FF2B5EF4-FFF2-40B4-BE49-F238E27FC236}">
              <a16:creationId xmlns:a16="http://schemas.microsoft.com/office/drawing/2014/main" id="{00000000-0008-0000-0600-00008097F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266700</xdr:colOff>
      <xdr:row>110</xdr:row>
      <xdr:rowOff>228600</xdr:rowOff>
    </xdr:from>
    <xdr:to>
      <xdr:col>6</xdr:col>
      <xdr:colOff>447675</xdr:colOff>
      <xdr:row>124</xdr:row>
      <xdr:rowOff>257175</xdr:rowOff>
    </xdr:to>
    <xdr:graphicFrame macro="">
      <xdr:nvGraphicFramePr>
        <xdr:cNvPr id="49911681" name="Graphique 1">
          <a:extLst>
            <a:ext uri="{FF2B5EF4-FFF2-40B4-BE49-F238E27FC236}">
              <a16:creationId xmlns:a16="http://schemas.microsoft.com/office/drawing/2014/main" id="{00000000-0008-0000-0600-00008197F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426509</xdr:colOff>
      <xdr:row>97</xdr:row>
      <xdr:rowOff>55034</xdr:rowOff>
    </xdr:from>
    <xdr:to>
      <xdr:col>7</xdr:col>
      <xdr:colOff>95039</xdr:colOff>
      <xdr:row>111</xdr:row>
      <xdr:rowOff>74083</xdr:rowOff>
    </xdr:to>
    <xdr:graphicFrame macro="">
      <xdr:nvGraphicFramePr>
        <xdr:cNvPr id="49911682" name="Graphique 1">
          <a:extLst>
            <a:ext uri="{FF2B5EF4-FFF2-40B4-BE49-F238E27FC236}">
              <a16:creationId xmlns:a16="http://schemas.microsoft.com/office/drawing/2014/main" id="{00000000-0008-0000-0600-00008297F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1533525</xdr:colOff>
      <xdr:row>125</xdr:row>
      <xdr:rowOff>190500</xdr:rowOff>
    </xdr:from>
    <xdr:to>
      <xdr:col>5</xdr:col>
      <xdr:colOff>781050</xdr:colOff>
      <xdr:row>135</xdr:row>
      <xdr:rowOff>152400</xdr:rowOff>
    </xdr:to>
    <xdr:graphicFrame macro="">
      <xdr:nvGraphicFramePr>
        <xdr:cNvPr id="49911683" name="Graphique 10">
          <a:extLst>
            <a:ext uri="{FF2B5EF4-FFF2-40B4-BE49-F238E27FC236}">
              <a16:creationId xmlns:a16="http://schemas.microsoft.com/office/drawing/2014/main" id="{00000000-0008-0000-0600-00008397F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7</xdr:col>
      <xdr:colOff>875241</xdr:colOff>
      <xdr:row>83</xdr:row>
      <xdr:rowOff>155575</xdr:rowOff>
    </xdr:from>
    <xdr:to>
      <xdr:col>13</xdr:col>
      <xdr:colOff>682624</xdr:colOff>
      <xdr:row>97</xdr:row>
      <xdr:rowOff>21167</xdr:rowOff>
    </xdr:to>
    <xdr:graphicFrame macro="">
      <xdr:nvGraphicFramePr>
        <xdr:cNvPr id="49911684" name="Graphique 1">
          <a:extLst>
            <a:ext uri="{FF2B5EF4-FFF2-40B4-BE49-F238E27FC236}">
              <a16:creationId xmlns:a16="http://schemas.microsoft.com/office/drawing/2014/main" id="{00000000-0008-0000-0600-00008497F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7</xdr:col>
      <xdr:colOff>76200</xdr:colOff>
      <xdr:row>110</xdr:row>
      <xdr:rowOff>276225</xdr:rowOff>
    </xdr:from>
    <xdr:to>
      <xdr:col>13</xdr:col>
      <xdr:colOff>1066800</xdr:colOff>
      <xdr:row>125</xdr:row>
      <xdr:rowOff>0</xdr:rowOff>
    </xdr:to>
    <xdr:graphicFrame macro="">
      <xdr:nvGraphicFramePr>
        <xdr:cNvPr id="49911685" name="Graphique 1">
          <a:extLst>
            <a:ext uri="{FF2B5EF4-FFF2-40B4-BE49-F238E27FC236}">
              <a16:creationId xmlns:a16="http://schemas.microsoft.com/office/drawing/2014/main" id="{00000000-0008-0000-0600-00008597F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10</xdr:col>
          <xdr:colOff>830580</xdr:colOff>
          <xdr:row>1</xdr:row>
          <xdr:rowOff>182880</xdr:rowOff>
        </xdr:from>
        <xdr:to>
          <xdr:col>12</xdr:col>
          <xdr:colOff>792480</xdr:colOff>
          <xdr:row>3</xdr:row>
          <xdr:rowOff>7620</xdr:rowOff>
        </xdr:to>
        <xdr:sp macro="" textlink="">
          <xdr:nvSpPr>
            <xdr:cNvPr id="48947617" name="Button 1441" hidden="1">
              <a:extLst>
                <a:ext uri="{63B3BB69-23CF-44E3-9099-C40C66FF867C}">
                  <a14:compatExt spid="_x0000_s48947617"/>
                </a:ext>
                <a:ext uri="{FF2B5EF4-FFF2-40B4-BE49-F238E27FC236}">
                  <a16:creationId xmlns:a16="http://schemas.microsoft.com/office/drawing/2014/main" id="{00000000-0008-0000-0A00-0000A1E1EA0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0" i="0" u="none" strike="noStrike" baseline="0">
                  <a:solidFill>
                    <a:srgbClr val="000000"/>
                  </a:solidFill>
                  <a:latin typeface="Calibri"/>
                  <a:ea typeface="Calibri"/>
                  <a:cs typeface="Calibri"/>
                </a:rPr>
                <a:t>Exporter vers document Word</a:t>
              </a:r>
            </a:p>
          </xdr:txBody>
        </xdr:sp>
        <xdr:clientData fPrintsWithSheet="0"/>
      </xdr:twoCellAnchor>
    </mc:Choice>
    <mc:Fallback/>
  </mc:AlternateContent>
  <xdr:twoCellAnchor>
    <xdr:from>
      <xdr:col>0</xdr:col>
      <xdr:colOff>550333</xdr:colOff>
      <xdr:row>135</xdr:row>
      <xdr:rowOff>275167</xdr:rowOff>
    </xdr:from>
    <xdr:to>
      <xdr:col>13</xdr:col>
      <xdr:colOff>95250</xdr:colOff>
      <xdr:row>151</xdr:row>
      <xdr:rowOff>115359</xdr:rowOff>
    </xdr:to>
    <xdr:graphicFrame macro="">
      <xdr:nvGraphicFramePr>
        <xdr:cNvPr id="41" name="Graphique 1">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absolute">
    <xdr:from>
      <xdr:col>10</xdr:col>
      <xdr:colOff>820211</xdr:colOff>
      <xdr:row>0</xdr:row>
      <xdr:rowOff>93972</xdr:rowOff>
    </xdr:from>
    <xdr:to>
      <xdr:col>13</xdr:col>
      <xdr:colOff>548851</xdr:colOff>
      <xdr:row>0</xdr:row>
      <xdr:rowOff>402288</xdr:rowOff>
    </xdr:to>
    <xdr:sp macro="" textlink="">
      <xdr:nvSpPr>
        <xdr:cNvPr id="2" name="Flèche : pentagone 1">
          <a:hlinkClick xmlns:r="http://schemas.openxmlformats.org/officeDocument/2006/relationships" r:id="rId8"/>
          <a:extLst>
            <a:ext uri="{FF2B5EF4-FFF2-40B4-BE49-F238E27FC236}">
              <a16:creationId xmlns:a16="http://schemas.microsoft.com/office/drawing/2014/main" id="{00000000-0008-0000-0600-000002000000}"/>
            </a:ext>
          </a:extLst>
        </xdr:cNvPr>
        <xdr:cNvSpPr/>
      </xdr:nvSpPr>
      <xdr:spPr>
        <a:xfrm>
          <a:off x="12900028" y="109212"/>
          <a:ext cx="2673347" cy="29879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0</xdr:col>
      <xdr:colOff>1579882</xdr:colOff>
      <xdr:row>0</xdr:row>
      <xdr:rowOff>402160</xdr:rowOff>
    </xdr:from>
    <xdr:to>
      <xdr:col>1</xdr:col>
      <xdr:colOff>779358</xdr:colOff>
      <xdr:row>0</xdr:row>
      <xdr:rowOff>667588</xdr:rowOff>
    </xdr:to>
    <xdr:sp macro="" textlink="">
      <xdr:nvSpPr>
        <xdr:cNvPr id="3" name="ZoneTexte 2">
          <a:hlinkClick xmlns:r="http://schemas.openxmlformats.org/officeDocument/2006/relationships" r:id="rId9"/>
          <a:extLst>
            <a:ext uri="{FF2B5EF4-FFF2-40B4-BE49-F238E27FC236}">
              <a16:creationId xmlns:a16="http://schemas.microsoft.com/office/drawing/2014/main" id="{00000000-0008-0000-0600-000003000000}"/>
            </a:ext>
          </a:extLst>
        </xdr:cNvPr>
        <xdr:cNvSpPr txBox="1"/>
      </xdr:nvSpPr>
      <xdr:spPr>
        <a:xfrm>
          <a:off x="1587502" y="402160"/>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1</xdr:col>
      <xdr:colOff>663258</xdr:colOff>
      <xdr:row>0</xdr:row>
      <xdr:rowOff>400045</xdr:rowOff>
    </xdr:from>
    <xdr:to>
      <xdr:col>2</xdr:col>
      <xdr:colOff>1236560</xdr:colOff>
      <xdr:row>0</xdr:row>
      <xdr:rowOff>701458</xdr:rowOff>
    </xdr:to>
    <xdr:sp macro="" textlink="">
      <xdr:nvSpPr>
        <xdr:cNvPr id="4" name="ZoneTexte 3">
          <a:hlinkClick xmlns:r="http://schemas.openxmlformats.org/officeDocument/2006/relationships" r:id="rId10"/>
          <a:extLst>
            <a:ext uri="{FF2B5EF4-FFF2-40B4-BE49-F238E27FC236}">
              <a16:creationId xmlns:a16="http://schemas.microsoft.com/office/drawing/2014/main" id="{00000000-0008-0000-0600-000004000000}"/>
            </a:ext>
          </a:extLst>
        </xdr:cNvPr>
        <xdr:cNvSpPr txBox="1"/>
      </xdr:nvSpPr>
      <xdr:spPr>
        <a:xfrm>
          <a:off x="3008313" y="400045"/>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2</xdr:col>
      <xdr:colOff>1201737</xdr:colOff>
      <xdr:row>0</xdr:row>
      <xdr:rowOff>401317</xdr:rowOff>
    </xdr:from>
    <xdr:to>
      <xdr:col>3</xdr:col>
      <xdr:colOff>1162995</xdr:colOff>
      <xdr:row>0</xdr:row>
      <xdr:rowOff>707176</xdr:rowOff>
    </xdr:to>
    <xdr:sp macro="" textlink="">
      <xdr:nvSpPr>
        <xdr:cNvPr id="5" name="ZoneTexte 4">
          <a:hlinkClick xmlns:r="http://schemas.openxmlformats.org/officeDocument/2006/relationships" r:id="rId11"/>
          <a:extLst>
            <a:ext uri="{FF2B5EF4-FFF2-40B4-BE49-F238E27FC236}">
              <a16:creationId xmlns:a16="http://schemas.microsoft.com/office/drawing/2014/main" id="{00000000-0008-0000-0600-000005000000}"/>
            </a:ext>
          </a:extLst>
        </xdr:cNvPr>
        <xdr:cNvSpPr txBox="1"/>
      </xdr:nvSpPr>
      <xdr:spPr>
        <a:xfrm>
          <a:off x="4367212" y="401317"/>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4</xdr:col>
      <xdr:colOff>57252</xdr:colOff>
      <xdr:row>0</xdr:row>
      <xdr:rowOff>402589</xdr:rowOff>
    </xdr:from>
    <xdr:to>
      <xdr:col>5</xdr:col>
      <xdr:colOff>98323</xdr:colOff>
      <xdr:row>0</xdr:row>
      <xdr:rowOff>684952</xdr:rowOff>
    </xdr:to>
    <xdr:sp macro="" textlink="">
      <xdr:nvSpPr>
        <xdr:cNvPr id="6" name="ZoneTexte 5">
          <a:hlinkClick xmlns:r="http://schemas.openxmlformats.org/officeDocument/2006/relationships" r:id="rId12"/>
          <a:extLst>
            <a:ext uri="{FF2B5EF4-FFF2-40B4-BE49-F238E27FC236}">
              <a16:creationId xmlns:a16="http://schemas.microsoft.com/office/drawing/2014/main" id="{00000000-0008-0000-0600-000006000000}"/>
            </a:ext>
          </a:extLst>
        </xdr:cNvPr>
        <xdr:cNvSpPr txBox="1"/>
      </xdr:nvSpPr>
      <xdr:spPr>
        <a:xfrm>
          <a:off x="5725050" y="394969"/>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4</xdr:col>
      <xdr:colOff>1046590</xdr:colOff>
      <xdr:row>0</xdr:row>
      <xdr:rowOff>399203</xdr:rowOff>
    </xdr:from>
    <xdr:to>
      <xdr:col>5</xdr:col>
      <xdr:colOff>627489</xdr:colOff>
      <xdr:row>0</xdr:row>
      <xdr:rowOff>727286</xdr:rowOff>
    </xdr:to>
    <xdr:sp macro="" textlink="">
      <xdr:nvSpPr>
        <xdr:cNvPr id="7" name="ZoneTexte 6">
          <a:hlinkClick xmlns:r="http://schemas.openxmlformats.org/officeDocument/2006/relationships" r:id="rId13"/>
          <a:extLst>
            <a:ext uri="{FF2B5EF4-FFF2-40B4-BE49-F238E27FC236}">
              <a16:creationId xmlns:a16="http://schemas.microsoft.com/office/drawing/2014/main" id="{00000000-0008-0000-0600-000007000000}"/>
            </a:ext>
          </a:extLst>
        </xdr:cNvPr>
        <xdr:cNvSpPr txBox="1"/>
      </xdr:nvSpPr>
      <xdr:spPr>
        <a:xfrm>
          <a:off x="6731533" y="399203"/>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5</xdr:col>
      <xdr:colOff>517834</xdr:colOff>
      <xdr:row>0</xdr:row>
      <xdr:rowOff>400473</xdr:rowOff>
    </xdr:from>
    <xdr:to>
      <xdr:col>7</xdr:col>
      <xdr:colOff>97690</xdr:colOff>
      <xdr:row>0</xdr:row>
      <xdr:rowOff>701251</xdr:rowOff>
    </xdr:to>
    <xdr:sp macro="" textlink="">
      <xdr:nvSpPr>
        <xdr:cNvPr id="8" name="ZoneTexte 7">
          <a:hlinkClick xmlns:r="http://schemas.openxmlformats.org/officeDocument/2006/relationships" r:id="rId14"/>
          <a:extLst>
            <a:ext uri="{FF2B5EF4-FFF2-40B4-BE49-F238E27FC236}">
              <a16:creationId xmlns:a16="http://schemas.microsoft.com/office/drawing/2014/main" id="{00000000-0008-0000-0600-000008000000}"/>
            </a:ext>
          </a:extLst>
        </xdr:cNvPr>
        <xdr:cNvSpPr txBox="1"/>
      </xdr:nvSpPr>
      <xdr:spPr>
        <a:xfrm>
          <a:off x="7298787" y="392853"/>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8</xdr:col>
      <xdr:colOff>287236</xdr:colOff>
      <xdr:row>0</xdr:row>
      <xdr:rowOff>400899</xdr:rowOff>
    </xdr:from>
    <xdr:to>
      <xdr:col>9</xdr:col>
      <xdr:colOff>549914</xdr:colOff>
      <xdr:row>0</xdr:row>
      <xdr:rowOff>739778</xdr:rowOff>
    </xdr:to>
    <xdr:sp macro="" textlink="">
      <xdr:nvSpPr>
        <xdr:cNvPr id="9" name="ZoneTexte 8">
          <a:hlinkClick xmlns:r="http://schemas.openxmlformats.org/officeDocument/2006/relationships" r:id="rId15"/>
          <a:extLst>
            <a:ext uri="{FF2B5EF4-FFF2-40B4-BE49-F238E27FC236}">
              <a16:creationId xmlns:a16="http://schemas.microsoft.com/office/drawing/2014/main" id="{00000000-0008-0000-0600-000009000000}"/>
            </a:ext>
          </a:extLst>
        </xdr:cNvPr>
        <xdr:cNvSpPr txBox="1"/>
      </xdr:nvSpPr>
      <xdr:spPr>
        <a:xfrm>
          <a:off x="10092270" y="389469"/>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7</xdr:col>
      <xdr:colOff>1348836</xdr:colOff>
      <xdr:row>0</xdr:row>
      <xdr:rowOff>383112</xdr:rowOff>
    </xdr:from>
    <xdr:to>
      <xdr:col>8</xdr:col>
      <xdr:colOff>359401</xdr:colOff>
      <xdr:row>0</xdr:row>
      <xdr:rowOff>706116</xdr:rowOff>
    </xdr:to>
    <xdr:sp macro="" textlink="">
      <xdr:nvSpPr>
        <xdr:cNvPr id="10" name="ZoneTexte 9">
          <a:hlinkClick xmlns:r="http://schemas.openxmlformats.org/officeDocument/2006/relationships" r:id="rId16"/>
          <a:extLst>
            <a:ext uri="{FF2B5EF4-FFF2-40B4-BE49-F238E27FC236}">
              <a16:creationId xmlns:a16="http://schemas.microsoft.com/office/drawing/2014/main" id="{00000000-0008-0000-0600-00000A000000}"/>
            </a:ext>
          </a:extLst>
        </xdr:cNvPr>
        <xdr:cNvSpPr txBox="1"/>
      </xdr:nvSpPr>
      <xdr:spPr>
        <a:xfrm>
          <a:off x="9398519" y="383112"/>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10</xdr:col>
      <xdr:colOff>131013</xdr:colOff>
      <xdr:row>0</xdr:row>
      <xdr:rowOff>384390</xdr:rowOff>
    </xdr:from>
    <xdr:to>
      <xdr:col>10</xdr:col>
      <xdr:colOff>1010185</xdr:colOff>
      <xdr:row>0</xdr:row>
      <xdr:rowOff>727290</xdr:rowOff>
    </xdr:to>
    <xdr:sp macro="" textlink="">
      <xdr:nvSpPr>
        <xdr:cNvPr id="11" name="ZoneTexte 10">
          <a:hlinkClick xmlns:r="http://schemas.openxmlformats.org/officeDocument/2006/relationships" r:id="rId17"/>
          <a:extLst>
            <a:ext uri="{FF2B5EF4-FFF2-40B4-BE49-F238E27FC236}">
              <a16:creationId xmlns:a16="http://schemas.microsoft.com/office/drawing/2014/main" id="{00000000-0008-0000-0600-00000B000000}"/>
            </a:ext>
          </a:extLst>
        </xdr:cNvPr>
        <xdr:cNvSpPr txBox="1"/>
      </xdr:nvSpPr>
      <xdr:spPr>
        <a:xfrm>
          <a:off x="12237500" y="384390"/>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11</xdr:col>
      <xdr:colOff>474233</xdr:colOff>
      <xdr:row>0</xdr:row>
      <xdr:rowOff>381001</xdr:rowOff>
    </xdr:from>
    <xdr:to>
      <xdr:col>12</xdr:col>
      <xdr:colOff>246387</xdr:colOff>
      <xdr:row>0</xdr:row>
      <xdr:rowOff>687909</xdr:rowOff>
    </xdr:to>
    <xdr:sp macro="" textlink="">
      <xdr:nvSpPr>
        <xdr:cNvPr id="12" name="ZoneTexte 11">
          <a:hlinkClick xmlns:r="http://schemas.openxmlformats.org/officeDocument/2006/relationships" r:id="rId18"/>
          <a:extLst>
            <a:ext uri="{FF2B5EF4-FFF2-40B4-BE49-F238E27FC236}">
              <a16:creationId xmlns:a16="http://schemas.microsoft.com/office/drawing/2014/main" id="{00000000-0008-0000-0600-00000C000000}"/>
            </a:ext>
          </a:extLst>
        </xdr:cNvPr>
        <xdr:cNvSpPr txBox="1"/>
      </xdr:nvSpPr>
      <xdr:spPr>
        <a:xfrm>
          <a:off x="13694510" y="381001"/>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9</xdr:col>
      <xdr:colOff>325535</xdr:colOff>
      <xdr:row>0</xdr:row>
      <xdr:rowOff>381000</xdr:rowOff>
    </xdr:from>
    <xdr:to>
      <xdr:col>10</xdr:col>
      <xdr:colOff>397725</xdr:colOff>
      <xdr:row>0</xdr:row>
      <xdr:rowOff>665904</xdr:rowOff>
    </xdr:to>
    <xdr:sp macro="" textlink="">
      <xdr:nvSpPr>
        <xdr:cNvPr id="13" name="ZoneTexte 12">
          <a:hlinkClick xmlns:r="http://schemas.openxmlformats.org/officeDocument/2006/relationships" r:id="rId19"/>
          <a:extLst>
            <a:ext uri="{FF2B5EF4-FFF2-40B4-BE49-F238E27FC236}">
              <a16:creationId xmlns:a16="http://schemas.microsoft.com/office/drawing/2014/main" id="{00000000-0008-0000-0600-00000D000000}"/>
            </a:ext>
          </a:extLst>
        </xdr:cNvPr>
        <xdr:cNvSpPr txBox="1"/>
      </xdr:nvSpPr>
      <xdr:spPr>
        <a:xfrm>
          <a:off x="11539000" y="381000"/>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0</xdr:col>
      <xdr:colOff>702739</xdr:colOff>
      <xdr:row>0</xdr:row>
      <xdr:rowOff>358767</xdr:rowOff>
    </xdr:from>
    <xdr:to>
      <xdr:col>0</xdr:col>
      <xdr:colOff>1584543</xdr:colOff>
      <xdr:row>0</xdr:row>
      <xdr:rowOff>706113</xdr:rowOff>
    </xdr:to>
    <xdr:sp macro="" textlink="">
      <xdr:nvSpPr>
        <xdr:cNvPr id="14" name="ZoneTexte 13">
          <a:hlinkClick xmlns:r="http://schemas.openxmlformats.org/officeDocument/2006/relationships" r:id="rId20"/>
          <a:extLst>
            <a:ext uri="{FF2B5EF4-FFF2-40B4-BE49-F238E27FC236}">
              <a16:creationId xmlns:a16="http://schemas.microsoft.com/office/drawing/2014/main" id="{00000000-0008-0000-0600-00000E000000}"/>
            </a:ext>
          </a:extLst>
        </xdr:cNvPr>
        <xdr:cNvSpPr txBox="1"/>
      </xdr:nvSpPr>
      <xdr:spPr>
        <a:xfrm>
          <a:off x="693214" y="349242"/>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93972</xdr:rowOff>
    </xdr:from>
    <xdr:to>
      <xdr:col>0</xdr:col>
      <xdr:colOff>663575</xdr:colOff>
      <xdr:row>0</xdr:row>
      <xdr:rowOff>743630</xdr:rowOff>
    </xdr:to>
    <xdr:pic>
      <xdr:nvPicPr>
        <xdr:cNvPr id="15" name="Image 9">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1">
          <a:duotone>
            <a:schemeClr val="accent5">
              <a:shade val="45000"/>
              <a:satMod val="135000"/>
            </a:schemeClr>
            <a:prstClr val="white"/>
          </a:duotone>
        </a:blip>
        <a:srcRect/>
        <a:stretch>
          <a:fillRect/>
        </a:stretch>
      </xdr:blipFill>
      <xdr:spPr bwMode="auto">
        <a:xfrm>
          <a:off x="0" y="93972"/>
          <a:ext cx="663575" cy="634418"/>
        </a:xfrm>
        <a:prstGeom prst="rect">
          <a:avLst/>
        </a:prstGeom>
        <a:noFill/>
        <a:ln>
          <a:noFill/>
        </a:ln>
      </xdr:spPr>
    </xdr:pic>
    <xdr:clientData fPrintsWithSheet="0"/>
  </xdr:twoCellAnchor>
  <xdr:twoCellAnchor editAs="absolute">
    <xdr:from>
      <xdr:col>12</xdr:col>
      <xdr:colOff>93657</xdr:colOff>
      <xdr:row>0</xdr:row>
      <xdr:rowOff>381001</xdr:rowOff>
    </xdr:from>
    <xdr:to>
      <xdr:col>13</xdr:col>
      <xdr:colOff>588849</xdr:colOff>
      <xdr:row>0</xdr:row>
      <xdr:rowOff>687909</xdr:rowOff>
    </xdr:to>
    <xdr:sp macro="" textlink="">
      <xdr:nvSpPr>
        <xdr:cNvPr id="16" name="ZoneTexte 15">
          <a:hlinkClick xmlns:r="http://schemas.openxmlformats.org/officeDocument/2006/relationships" r:id="rId22"/>
          <a:extLst>
            <a:ext uri="{FF2B5EF4-FFF2-40B4-BE49-F238E27FC236}">
              <a16:creationId xmlns:a16="http://schemas.microsoft.com/office/drawing/2014/main" id="{00000000-0008-0000-0600-000010000000}"/>
            </a:ext>
          </a:extLst>
        </xdr:cNvPr>
        <xdr:cNvSpPr txBox="1"/>
      </xdr:nvSpPr>
      <xdr:spPr>
        <a:xfrm>
          <a:off x="14216903" y="381001"/>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7</xdr:col>
      <xdr:colOff>1276882</xdr:colOff>
      <xdr:row>0</xdr:row>
      <xdr:rowOff>97360</xdr:rowOff>
    </xdr:from>
    <xdr:to>
      <xdr:col>10</xdr:col>
      <xdr:colOff>974623</xdr:colOff>
      <xdr:row>0</xdr:row>
      <xdr:rowOff>398772</xdr:rowOff>
    </xdr:to>
    <xdr:sp macro="" textlink="">
      <xdr:nvSpPr>
        <xdr:cNvPr id="17" name="Flèche : pentagone 16">
          <a:hlinkClick xmlns:r="http://schemas.openxmlformats.org/officeDocument/2006/relationships" r:id="rId16"/>
          <a:extLst>
            <a:ext uri="{FF2B5EF4-FFF2-40B4-BE49-F238E27FC236}">
              <a16:creationId xmlns:a16="http://schemas.microsoft.com/office/drawing/2014/main" id="{00000000-0008-0000-0600-000011000000}"/>
            </a:ext>
          </a:extLst>
        </xdr:cNvPr>
        <xdr:cNvSpPr/>
      </xdr:nvSpPr>
      <xdr:spPr>
        <a:xfrm>
          <a:off x="9345615" y="106885"/>
          <a:ext cx="3731685" cy="29188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3</xdr:col>
      <xdr:colOff>970177</xdr:colOff>
      <xdr:row>0</xdr:row>
      <xdr:rowOff>115353</xdr:rowOff>
    </xdr:from>
    <xdr:to>
      <xdr:col>7</xdr:col>
      <xdr:colOff>1353718</xdr:colOff>
      <xdr:row>0</xdr:row>
      <xdr:rowOff>398772</xdr:rowOff>
    </xdr:to>
    <xdr:sp macro="" textlink="">
      <xdr:nvSpPr>
        <xdr:cNvPr id="18" name="Flèche : pentagone 17">
          <a:hlinkClick xmlns:r="http://schemas.openxmlformats.org/officeDocument/2006/relationships" r:id="rId12"/>
          <a:extLst>
            <a:ext uri="{FF2B5EF4-FFF2-40B4-BE49-F238E27FC236}">
              <a16:creationId xmlns:a16="http://schemas.microsoft.com/office/drawing/2014/main" id="{00000000-0008-0000-0600-000012000000}"/>
            </a:ext>
          </a:extLst>
        </xdr:cNvPr>
        <xdr:cNvSpPr/>
      </xdr:nvSpPr>
      <xdr:spPr>
        <a:xfrm>
          <a:off x="5432957" y="115353"/>
          <a:ext cx="3976159" cy="28341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0</xdr:col>
      <xdr:colOff>1524004</xdr:colOff>
      <xdr:row>0</xdr:row>
      <xdr:rowOff>115354</xdr:rowOff>
    </xdr:from>
    <xdr:to>
      <xdr:col>4</xdr:col>
      <xdr:colOff>16408</xdr:colOff>
      <xdr:row>0</xdr:row>
      <xdr:rowOff>398690</xdr:rowOff>
    </xdr:to>
    <xdr:sp macro="" textlink="">
      <xdr:nvSpPr>
        <xdr:cNvPr id="19" name="Flèche : pentagone 18">
          <a:hlinkClick xmlns:r="http://schemas.openxmlformats.org/officeDocument/2006/relationships" r:id="rId9"/>
          <a:extLst>
            <a:ext uri="{FF2B5EF4-FFF2-40B4-BE49-F238E27FC236}">
              <a16:creationId xmlns:a16="http://schemas.microsoft.com/office/drawing/2014/main" id="{00000000-0008-0000-0600-000013000000}"/>
            </a:ext>
          </a:extLst>
        </xdr:cNvPr>
        <xdr:cNvSpPr/>
      </xdr:nvSpPr>
      <xdr:spPr>
        <a:xfrm>
          <a:off x="1524004" y="115354"/>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6</xdr:col>
      <xdr:colOff>244996</xdr:colOff>
      <xdr:row>0</xdr:row>
      <xdr:rowOff>400897</xdr:rowOff>
    </xdr:from>
    <xdr:to>
      <xdr:col>7</xdr:col>
      <xdr:colOff>1159087</xdr:colOff>
      <xdr:row>0</xdr:row>
      <xdr:rowOff>701675</xdr:rowOff>
    </xdr:to>
    <xdr:sp macro="" textlink="">
      <xdr:nvSpPr>
        <xdr:cNvPr id="20" name="ZoneTexte 19">
          <a:hlinkClick xmlns:r="http://schemas.openxmlformats.org/officeDocument/2006/relationships" r:id="rId14"/>
          <a:extLst>
            <a:ext uri="{FF2B5EF4-FFF2-40B4-BE49-F238E27FC236}">
              <a16:creationId xmlns:a16="http://schemas.microsoft.com/office/drawing/2014/main" id="{00000000-0008-0000-0600-000014000000}"/>
            </a:ext>
          </a:extLst>
        </xdr:cNvPr>
        <xdr:cNvSpPr txBox="1"/>
      </xdr:nvSpPr>
      <xdr:spPr>
        <a:xfrm>
          <a:off x="8008929" y="389467"/>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0</xdr:col>
      <xdr:colOff>727078</xdr:colOff>
      <xdr:row>0</xdr:row>
      <xdr:rowOff>94822</xdr:rowOff>
    </xdr:from>
    <xdr:to>
      <xdr:col>0</xdr:col>
      <xdr:colOff>1658624</xdr:colOff>
      <xdr:row>0</xdr:row>
      <xdr:rowOff>397208</xdr:rowOff>
    </xdr:to>
    <xdr:sp macro="" textlink="">
      <xdr:nvSpPr>
        <xdr:cNvPr id="21" name="Flèche : pentagone 20">
          <a:extLst>
            <a:ext uri="{FF2B5EF4-FFF2-40B4-BE49-F238E27FC236}">
              <a16:creationId xmlns:a16="http://schemas.microsoft.com/office/drawing/2014/main" id="{00000000-0008-0000-0600-000015000000}"/>
            </a:ext>
          </a:extLst>
        </xdr:cNvPr>
        <xdr:cNvSpPr/>
      </xdr:nvSpPr>
      <xdr:spPr>
        <a:xfrm>
          <a:off x="727078" y="110062"/>
          <a:ext cx="923926"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10</xdr:col>
      <xdr:colOff>972708</xdr:colOff>
      <xdr:row>0</xdr:row>
      <xdr:rowOff>381001</xdr:rowOff>
    </xdr:from>
    <xdr:to>
      <xdr:col>11</xdr:col>
      <xdr:colOff>701463</xdr:colOff>
      <xdr:row>0</xdr:row>
      <xdr:rowOff>687909</xdr:rowOff>
    </xdr:to>
    <xdr:sp macro="" textlink="">
      <xdr:nvSpPr>
        <xdr:cNvPr id="22" name="ZoneTexte 21">
          <a:hlinkClick xmlns:r="http://schemas.openxmlformats.org/officeDocument/2006/relationships" r:id="rId23"/>
          <a:extLst>
            <a:ext uri="{FF2B5EF4-FFF2-40B4-BE49-F238E27FC236}">
              <a16:creationId xmlns:a16="http://schemas.microsoft.com/office/drawing/2014/main" id="{00000000-0008-0000-0600-000016000000}"/>
            </a:ext>
          </a:extLst>
        </xdr:cNvPr>
        <xdr:cNvSpPr txBox="1"/>
      </xdr:nvSpPr>
      <xdr:spPr>
        <a:xfrm>
          <a:off x="13054430" y="381001"/>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8.xml><?xml version="1.0" encoding="utf-8"?>
<c:userShapes xmlns:c="http://schemas.openxmlformats.org/drawingml/2006/chart">
  <cdr:relSizeAnchor xmlns:cdr="http://schemas.openxmlformats.org/drawingml/2006/chartDrawing">
    <cdr:from>
      <cdr:x>0.36615</cdr:x>
      <cdr:y>0.22678</cdr:y>
    </cdr:from>
    <cdr:to>
      <cdr:x>0.54649</cdr:x>
      <cdr:y>0.37745</cdr:y>
    </cdr:to>
    <cdr:sp macro="" textlink="">
      <cdr:nvSpPr>
        <cdr:cNvPr id="3" name="ZoneTexte 2">
          <a:extLst xmlns:a="http://schemas.openxmlformats.org/drawingml/2006/main">
            <a:ext uri="{FF2B5EF4-FFF2-40B4-BE49-F238E27FC236}">
              <a16:creationId xmlns:a16="http://schemas.microsoft.com/office/drawing/2014/main" id="{A5E2EC97-8DB6-B18E-D65A-30AAD264305C}"/>
            </a:ext>
          </a:extLst>
        </cdr:cNvPr>
        <cdr:cNvSpPr txBox="1"/>
      </cdr:nvSpPr>
      <cdr:spPr>
        <a:xfrm xmlns:a="http://schemas.openxmlformats.org/drawingml/2006/main">
          <a:off x="2905124" y="942976"/>
          <a:ext cx="1430867" cy="626533"/>
        </a:xfrm>
        <a:prstGeom xmlns:a="http://schemas.openxmlformats.org/drawingml/2006/main" prst="rect">
          <a:avLst/>
        </a:prstGeom>
        <a:solidFill xmlns:a="http://schemas.openxmlformats.org/drawingml/2006/main">
          <a:schemeClr val="lt1">
            <a:alpha val="60000"/>
          </a:schemeClr>
        </a:solidFill>
        <a:ln xmlns:a="http://schemas.openxmlformats.org/drawingml/2006/main" w="22225">
          <a:solidFill>
            <a:schemeClr val="accent5">
              <a:lumMod val="50000"/>
            </a:schemeClr>
          </a:solidFill>
        </a:ln>
      </cdr:spPr>
      <cdr:txBody>
        <a:bodyPr xmlns:a="http://schemas.openxmlformats.org/drawingml/2006/main" vertOverflow="clip" wrap="square" rtlCol="0"/>
        <a:lstStyle xmlns:a="http://schemas.openxmlformats.org/drawingml/2006/main"/>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fr-BE" sz="1100">
              <a:solidFill>
                <a:schemeClr val="accent5">
                  <a:lumMod val="50000"/>
                </a:schemeClr>
              </a:solidFill>
              <a:effectLst/>
              <a:latin typeface="+mn-lt"/>
              <a:ea typeface="+mn-ea"/>
              <a:cs typeface="+mn-cs"/>
            </a:rPr>
            <a:t>Part du secteur dans la consommation de l’année concernée</a:t>
          </a:r>
          <a:endParaRPr lang="fr-BE">
            <a:solidFill>
              <a:schemeClr val="accent5">
                <a:lumMod val="50000"/>
              </a:schemeClr>
            </a:solidFill>
            <a:effectLst/>
          </a:endParaRPr>
        </a:p>
        <a:p xmlns:a="http://schemas.openxmlformats.org/drawingml/2006/main">
          <a:pPr algn="ctr"/>
          <a:endParaRPr lang="fr-BE" sz="1100">
            <a:solidFill>
              <a:schemeClr val="accent5">
                <a:lumMod val="50000"/>
              </a:schemeClr>
            </a:solidFill>
          </a:endParaRPr>
        </a:p>
      </cdr:txBody>
    </cdr:sp>
  </cdr:relSizeAnchor>
  <cdr:relSizeAnchor xmlns:cdr="http://schemas.openxmlformats.org/drawingml/2006/chartDrawing">
    <cdr:from>
      <cdr:x>0.80365</cdr:x>
      <cdr:y>0.22678</cdr:y>
    </cdr:from>
    <cdr:to>
      <cdr:x>0.98826</cdr:x>
      <cdr:y>0.37338</cdr:y>
    </cdr:to>
    <cdr:sp macro="" textlink="">
      <cdr:nvSpPr>
        <cdr:cNvPr id="4" name="ZoneTexte 3">
          <a:extLst xmlns:a="http://schemas.openxmlformats.org/drawingml/2006/main">
            <a:ext uri="{FF2B5EF4-FFF2-40B4-BE49-F238E27FC236}">
              <a16:creationId xmlns:a16="http://schemas.microsoft.com/office/drawing/2014/main" id="{1215A742-FBD9-F937-531C-3F63941148F6}"/>
            </a:ext>
          </a:extLst>
        </cdr:cNvPr>
        <cdr:cNvSpPr txBox="1"/>
      </cdr:nvSpPr>
      <cdr:spPr>
        <a:xfrm xmlns:a="http://schemas.openxmlformats.org/drawingml/2006/main">
          <a:off x="6376459" y="942976"/>
          <a:ext cx="1464734" cy="609600"/>
        </a:xfrm>
        <a:prstGeom xmlns:a="http://schemas.openxmlformats.org/drawingml/2006/main" prst="rect">
          <a:avLst/>
        </a:prstGeom>
        <a:solidFill xmlns:a="http://schemas.openxmlformats.org/drawingml/2006/main">
          <a:schemeClr val="lt1">
            <a:alpha val="60000"/>
          </a:schemeClr>
        </a:solidFill>
        <a:ln xmlns:a="http://schemas.openxmlformats.org/drawingml/2006/main" w="22225">
          <a:solidFill>
            <a:schemeClr val="accent6">
              <a:lumMod val="50000"/>
            </a:schemeClr>
          </a:solidFill>
        </a:ln>
      </cdr:spPr>
      <cdr:txBody>
        <a:bodyPr xmlns:a="http://schemas.openxmlformats.org/drawingml/2006/main" vertOverflow="clip" wrap="square" rtlCol="0"/>
        <a:lstStyle xmlns:a="http://schemas.openxmlformats.org/drawingml/2006/main"/>
        <a:p xmlns:a="http://schemas.openxmlformats.org/drawingml/2006/main">
          <a:pPr algn="ctr"/>
          <a:r>
            <a:rPr lang="fr-BE" sz="1100">
              <a:solidFill>
                <a:schemeClr val="accent6">
                  <a:lumMod val="50000"/>
                </a:schemeClr>
              </a:solidFill>
              <a:effectLst/>
              <a:latin typeface="+mn-lt"/>
              <a:ea typeface="+mn-ea"/>
              <a:cs typeface="+mn-cs"/>
            </a:rPr>
            <a:t>Evolution entre l'année de référence et l'année de contrôle</a:t>
          </a:r>
          <a:endParaRPr lang="fr-BE">
            <a:solidFill>
              <a:schemeClr val="accent6">
                <a:lumMod val="50000"/>
              </a:schemeClr>
            </a:solidFill>
            <a:effectLst/>
          </a:endParaRPr>
        </a:p>
        <a:p xmlns:a="http://schemas.openxmlformats.org/drawingml/2006/main">
          <a:pPr algn="ctr"/>
          <a:endParaRPr lang="fr-BE" sz="1100">
            <a:solidFill>
              <a:schemeClr val="accent6">
                <a:lumMod val="50000"/>
              </a:schemeClr>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121709</xdr:colOff>
      <xdr:row>14</xdr:row>
      <xdr:rowOff>55032</xdr:rowOff>
    </xdr:from>
    <xdr:to>
      <xdr:col>13</xdr:col>
      <xdr:colOff>1167342</xdr:colOff>
      <xdr:row>21</xdr:row>
      <xdr:rowOff>380999</xdr:rowOff>
    </xdr:to>
    <xdr:graphicFrame macro="">
      <xdr:nvGraphicFramePr>
        <xdr:cNvPr id="50106950" name="Graphique 2">
          <a:extLst>
            <a:ext uri="{FF2B5EF4-FFF2-40B4-BE49-F238E27FC236}">
              <a16:creationId xmlns:a16="http://schemas.microsoft.com/office/drawing/2014/main" id="{00000000-0008-0000-0800-00004692F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275166</xdr:colOff>
      <xdr:row>21</xdr:row>
      <xdr:rowOff>371474</xdr:rowOff>
    </xdr:from>
    <xdr:to>
      <xdr:col>13</xdr:col>
      <xdr:colOff>1109133</xdr:colOff>
      <xdr:row>37</xdr:row>
      <xdr:rowOff>81490</xdr:rowOff>
    </xdr:to>
    <xdr:graphicFrame macro="">
      <xdr:nvGraphicFramePr>
        <xdr:cNvPr id="50106951" name="Graphique 1">
          <a:extLst>
            <a:ext uri="{FF2B5EF4-FFF2-40B4-BE49-F238E27FC236}">
              <a16:creationId xmlns:a16="http://schemas.microsoft.com/office/drawing/2014/main" id="{00000000-0008-0000-0800-00004792F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absolute">
    <xdr:from>
      <xdr:col>10</xdr:col>
      <xdr:colOff>1027857</xdr:colOff>
      <xdr:row>0</xdr:row>
      <xdr:rowOff>117687</xdr:rowOff>
    </xdr:from>
    <xdr:to>
      <xdr:col>13</xdr:col>
      <xdr:colOff>795232</xdr:colOff>
      <xdr:row>0</xdr:row>
      <xdr:rowOff>416478</xdr:rowOff>
    </xdr:to>
    <xdr:sp macro="" textlink="">
      <xdr:nvSpPr>
        <xdr:cNvPr id="2" name="Flèche : pentagone 1">
          <a:hlinkClick xmlns:r="http://schemas.openxmlformats.org/officeDocument/2006/relationships" r:id="rId3"/>
          <a:extLst>
            <a:ext uri="{FF2B5EF4-FFF2-40B4-BE49-F238E27FC236}">
              <a16:creationId xmlns:a16="http://schemas.microsoft.com/office/drawing/2014/main" id="{00000000-0008-0000-0800-000002000000}"/>
            </a:ext>
          </a:extLst>
        </xdr:cNvPr>
        <xdr:cNvSpPr/>
      </xdr:nvSpPr>
      <xdr:spPr>
        <a:xfrm>
          <a:off x="12900028" y="117687"/>
          <a:ext cx="2673347" cy="29879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0</xdr:col>
      <xdr:colOff>1583692</xdr:colOff>
      <xdr:row>0</xdr:row>
      <xdr:rowOff>408730</xdr:rowOff>
    </xdr:from>
    <xdr:to>
      <xdr:col>1</xdr:col>
      <xdr:colOff>516045</xdr:colOff>
      <xdr:row>0</xdr:row>
      <xdr:rowOff>668443</xdr:rowOff>
    </xdr:to>
    <xdr:sp macro="" textlink="">
      <xdr:nvSpPr>
        <xdr:cNvPr id="3" name="ZoneTexte 2">
          <a:hlinkClick xmlns:r="http://schemas.openxmlformats.org/officeDocument/2006/relationships" r:id="rId4"/>
          <a:extLst>
            <a:ext uri="{FF2B5EF4-FFF2-40B4-BE49-F238E27FC236}">
              <a16:creationId xmlns:a16="http://schemas.microsoft.com/office/drawing/2014/main" id="{00000000-0008-0000-0800-000003000000}"/>
            </a:ext>
          </a:extLst>
        </xdr:cNvPr>
        <xdr:cNvSpPr txBox="1"/>
      </xdr:nvSpPr>
      <xdr:spPr>
        <a:xfrm>
          <a:off x="1587502" y="410635"/>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1</xdr:col>
      <xdr:colOff>373275</xdr:colOff>
      <xdr:row>0</xdr:row>
      <xdr:rowOff>406615</xdr:rowOff>
    </xdr:from>
    <xdr:to>
      <xdr:col>2</xdr:col>
      <xdr:colOff>679665</xdr:colOff>
      <xdr:row>0</xdr:row>
      <xdr:rowOff>715648</xdr:rowOff>
    </xdr:to>
    <xdr:sp macro="" textlink="">
      <xdr:nvSpPr>
        <xdr:cNvPr id="4" name="ZoneTexte 3">
          <a:hlinkClick xmlns:r="http://schemas.openxmlformats.org/officeDocument/2006/relationships" r:id="rId5"/>
          <a:extLst>
            <a:ext uri="{FF2B5EF4-FFF2-40B4-BE49-F238E27FC236}">
              <a16:creationId xmlns:a16="http://schemas.microsoft.com/office/drawing/2014/main" id="{00000000-0008-0000-0800-000004000000}"/>
            </a:ext>
          </a:extLst>
        </xdr:cNvPr>
        <xdr:cNvSpPr txBox="1"/>
      </xdr:nvSpPr>
      <xdr:spPr>
        <a:xfrm>
          <a:off x="3008313" y="408520"/>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2</xdr:col>
      <xdr:colOff>629602</xdr:colOff>
      <xdr:row>0</xdr:row>
      <xdr:rowOff>407887</xdr:rowOff>
    </xdr:from>
    <xdr:to>
      <xdr:col>3</xdr:col>
      <xdr:colOff>895237</xdr:colOff>
      <xdr:row>0</xdr:row>
      <xdr:rowOff>725176</xdr:rowOff>
    </xdr:to>
    <xdr:sp macro="" textlink="">
      <xdr:nvSpPr>
        <xdr:cNvPr id="5" name="ZoneTexte 4">
          <a:hlinkClick xmlns:r="http://schemas.openxmlformats.org/officeDocument/2006/relationships" r:id="rId6"/>
          <a:extLst>
            <a:ext uri="{FF2B5EF4-FFF2-40B4-BE49-F238E27FC236}">
              <a16:creationId xmlns:a16="http://schemas.microsoft.com/office/drawing/2014/main" id="{00000000-0008-0000-0800-000005000000}"/>
            </a:ext>
          </a:extLst>
        </xdr:cNvPr>
        <xdr:cNvSpPr txBox="1"/>
      </xdr:nvSpPr>
      <xdr:spPr>
        <a:xfrm>
          <a:off x="4367212" y="409792"/>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3</xdr:col>
      <xdr:colOff>960222</xdr:colOff>
      <xdr:row>0</xdr:row>
      <xdr:rowOff>399634</xdr:rowOff>
    </xdr:from>
    <xdr:to>
      <xdr:col>4</xdr:col>
      <xdr:colOff>1056961</xdr:colOff>
      <xdr:row>0</xdr:row>
      <xdr:rowOff>695332</xdr:rowOff>
    </xdr:to>
    <xdr:sp macro="" textlink="">
      <xdr:nvSpPr>
        <xdr:cNvPr id="6" name="ZoneTexte 5">
          <a:hlinkClick xmlns:r="http://schemas.openxmlformats.org/officeDocument/2006/relationships" r:id="rId7"/>
          <a:extLst>
            <a:ext uri="{FF2B5EF4-FFF2-40B4-BE49-F238E27FC236}">
              <a16:creationId xmlns:a16="http://schemas.microsoft.com/office/drawing/2014/main" id="{00000000-0008-0000-0800-000006000000}"/>
            </a:ext>
          </a:extLst>
        </xdr:cNvPr>
        <xdr:cNvSpPr txBox="1"/>
      </xdr:nvSpPr>
      <xdr:spPr>
        <a:xfrm>
          <a:off x="5725050" y="403444"/>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4</xdr:col>
      <xdr:colOff>914933</xdr:colOff>
      <xdr:row>0</xdr:row>
      <xdr:rowOff>405773</xdr:rowOff>
    </xdr:from>
    <xdr:to>
      <xdr:col>5</xdr:col>
      <xdr:colOff>495832</xdr:colOff>
      <xdr:row>0</xdr:row>
      <xdr:rowOff>739571</xdr:rowOff>
    </xdr:to>
    <xdr:sp macro="" textlink="">
      <xdr:nvSpPr>
        <xdr:cNvPr id="7" name="ZoneTexte 6">
          <a:hlinkClick xmlns:r="http://schemas.openxmlformats.org/officeDocument/2006/relationships" r:id="rId8"/>
          <a:extLst>
            <a:ext uri="{FF2B5EF4-FFF2-40B4-BE49-F238E27FC236}">
              <a16:creationId xmlns:a16="http://schemas.microsoft.com/office/drawing/2014/main" id="{00000000-0008-0000-0800-000007000000}"/>
            </a:ext>
          </a:extLst>
        </xdr:cNvPr>
        <xdr:cNvSpPr txBox="1"/>
      </xdr:nvSpPr>
      <xdr:spPr>
        <a:xfrm>
          <a:off x="6731533" y="407678"/>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5</xdr:col>
      <xdr:colOff>391892</xdr:colOff>
      <xdr:row>0</xdr:row>
      <xdr:rowOff>397518</xdr:rowOff>
    </xdr:from>
    <xdr:to>
      <xdr:col>6</xdr:col>
      <xdr:colOff>276548</xdr:colOff>
      <xdr:row>0</xdr:row>
      <xdr:rowOff>707821</xdr:rowOff>
    </xdr:to>
    <xdr:sp macro="" textlink="">
      <xdr:nvSpPr>
        <xdr:cNvPr id="8" name="ZoneTexte 7">
          <a:hlinkClick xmlns:r="http://schemas.openxmlformats.org/officeDocument/2006/relationships" r:id="rId9"/>
          <a:extLst>
            <a:ext uri="{FF2B5EF4-FFF2-40B4-BE49-F238E27FC236}">
              <a16:creationId xmlns:a16="http://schemas.microsoft.com/office/drawing/2014/main" id="{00000000-0008-0000-0800-000008000000}"/>
            </a:ext>
          </a:extLst>
        </xdr:cNvPr>
        <xdr:cNvSpPr txBox="1"/>
      </xdr:nvSpPr>
      <xdr:spPr>
        <a:xfrm>
          <a:off x="7298787" y="401328"/>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8</xdr:col>
      <xdr:colOff>653842</xdr:colOff>
      <xdr:row>0</xdr:row>
      <xdr:rowOff>401754</xdr:rowOff>
    </xdr:from>
    <xdr:to>
      <xdr:col>9</xdr:col>
      <xdr:colOff>709935</xdr:colOff>
      <xdr:row>0</xdr:row>
      <xdr:rowOff>742538</xdr:rowOff>
    </xdr:to>
    <xdr:sp macro="" textlink="">
      <xdr:nvSpPr>
        <xdr:cNvPr id="9" name="ZoneTexte 8">
          <a:hlinkClick xmlns:r="http://schemas.openxmlformats.org/officeDocument/2006/relationships" r:id="rId10"/>
          <a:extLst>
            <a:ext uri="{FF2B5EF4-FFF2-40B4-BE49-F238E27FC236}">
              <a16:creationId xmlns:a16="http://schemas.microsoft.com/office/drawing/2014/main" id="{00000000-0008-0000-0800-000009000000}"/>
            </a:ext>
          </a:extLst>
        </xdr:cNvPr>
        <xdr:cNvSpPr txBox="1"/>
      </xdr:nvSpPr>
      <xdr:spPr>
        <a:xfrm>
          <a:off x="10092270" y="397944"/>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7</xdr:col>
      <xdr:colOff>783262</xdr:colOff>
      <xdr:row>0</xdr:row>
      <xdr:rowOff>393492</xdr:rowOff>
    </xdr:from>
    <xdr:to>
      <xdr:col>8</xdr:col>
      <xdr:colOff>741247</xdr:colOff>
      <xdr:row>0</xdr:row>
      <xdr:rowOff>703161</xdr:rowOff>
    </xdr:to>
    <xdr:sp macro="" textlink="">
      <xdr:nvSpPr>
        <xdr:cNvPr id="10" name="ZoneTexte 9">
          <a:hlinkClick xmlns:r="http://schemas.openxmlformats.org/officeDocument/2006/relationships" r:id="rId11"/>
          <a:extLst>
            <a:ext uri="{FF2B5EF4-FFF2-40B4-BE49-F238E27FC236}">
              <a16:creationId xmlns:a16="http://schemas.microsoft.com/office/drawing/2014/main" id="{00000000-0008-0000-0800-00000A000000}"/>
            </a:ext>
          </a:extLst>
        </xdr:cNvPr>
        <xdr:cNvSpPr txBox="1"/>
      </xdr:nvSpPr>
      <xdr:spPr>
        <a:xfrm>
          <a:off x="9398519" y="391587"/>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10</xdr:col>
      <xdr:colOff>375701</xdr:colOff>
      <xdr:row>0</xdr:row>
      <xdr:rowOff>396675</xdr:rowOff>
    </xdr:from>
    <xdr:to>
      <xdr:col>10</xdr:col>
      <xdr:colOff>1240691</xdr:colOff>
      <xdr:row>0</xdr:row>
      <xdr:rowOff>739575</xdr:rowOff>
    </xdr:to>
    <xdr:sp macro="" textlink="">
      <xdr:nvSpPr>
        <xdr:cNvPr id="11" name="ZoneTexte 10">
          <a:hlinkClick xmlns:r="http://schemas.openxmlformats.org/officeDocument/2006/relationships" r:id="rId12"/>
          <a:extLst>
            <a:ext uri="{FF2B5EF4-FFF2-40B4-BE49-F238E27FC236}">
              <a16:creationId xmlns:a16="http://schemas.microsoft.com/office/drawing/2014/main" id="{00000000-0008-0000-0800-00000B000000}"/>
            </a:ext>
          </a:extLst>
        </xdr:cNvPr>
        <xdr:cNvSpPr txBox="1"/>
      </xdr:nvSpPr>
      <xdr:spPr>
        <a:xfrm>
          <a:off x="12237500" y="392865"/>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11</xdr:col>
      <xdr:colOff>494977</xdr:colOff>
      <xdr:row>0</xdr:row>
      <xdr:rowOff>391381</xdr:rowOff>
    </xdr:from>
    <xdr:to>
      <xdr:col>12</xdr:col>
      <xdr:colOff>392225</xdr:colOff>
      <xdr:row>0</xdr:row>
      <xdr:rowOff>698289</xdr:rowOff>
    </xdr:to>
    <xdr:sp macro="" textlink="">
      <xdr:nvSpPr>
        <xdr:cNvPr id="12" name="ZoneTexte 11">
          <a:hlinkClick xmlns:r="http://schemas.openxmlformats.org/officeDocument/2006/relationships" r:id="rId13"/>
          <a:extLst>
            <a:ext uri="{FF2B5EF4-FFF2-40B4-BE49-F238E27FC236}">
              <a16:creationId xmlns:a16="http://schemas.microsoft.com/office/drawing/2014/main" id="{00000000-0008-0000-0800-00000C000000}"/>
            </a:ext>
          </a:extLst>
        </xdr:cNvPr>
        <xdr:cNvSpPr txBox="1"/>
      </xdr:nvSpPr>
      <xdr:spPr>
        <a:xfrm>
          <a:off x="13694510" y="389476"/>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9</xdr:col>
      <xdr:colOff>468411</xdr:colOff>
      <xdr:row>0</xdr:row>
      <xdr:rowOff>391380</xdr:rowOff>
    </xdr:from>
    <xdr:to>
      <xdr:col>10</xdr:col>
      <xdr:colOff>642413</xdr:colOff>
      <xdr:row>0</xdr:row>
      <xdr:rowOff>685809</xdr:rowOff>
    </xdr:to>
    <xdr:sp macro="" textlink="">
      <xdr:nvSpPr>
        <xdr:cNvPr id="13" name="ZoneTexte 12">
          <a:hlinkClick xmlns:r="http://schemas.openxmlformats.org/officeDocument/2006/relationships" r:id="rId14"/>
          <a:extLst>
            <a:ext uri="{FF2B5EF4-FFF2-40B4-BE49-F238E27FC236}">
              <a16:creationId xmlns:a16="http://schemas.microsoft.com/office/drawing/2014/main" id="{00000000-0008-0000-0800-00000D000000}"/>
            </a:ext>
          </a:extLst>
        </xdr:cNvPr>
        <xdr:cNvSpPr txBox="1"/>
      </xdr:nvSpPr>
      <xdr:spPr>
        <a:xfrm>
          <a:off x="11539000" y="389475"/>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0</xdr:col>
      <xdr:colOff>695119</xdr:colOff>
      <xdr:row>0</xdr:row>
      <xdr:rowOff>361527</xdr:rowOff>
    </xdr:from>
    <xdr:to>
      <xdr:col>0</xdr:col>
      <xdr:colOff>1580733</xdr:colOff>
      <xdr:row>0</xdr:row>
      <xdr:rowOff>703158</xdr:rowOff>
    </xdr:to>
    <xdr:sp macro="" textlink="">
      <xdr:nvSpPr>
        <xdr:cNvPr id="14" name="ZoneTexte 13">
          <a:hlinkClick xmlns:r="http://schemas.openxmlformats.org/officeDocument/2006/relationships" r:id="rId15"/>
          <a:extLst>
            <a:ext uri="{FF2B5EF4-FFF2-40B4-BE49-F238E27FC236}">
              <a16:creationId xmlns:a16="http://schemas.microsoft.com/office/drawing/2014/main" id="{00000000-0008-0000-0800-00000E000000}"/>
            </a:ext>
          </a:extLst>
        </xdr:cNvPr>
        <xdr:cNvSpPr txBox="1"/>
      </xdr:nvSpPr>
      <xdr:spPr>
        <a:xfrm>
          <a:off x="693214" y="357717"/>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108162</xdr:rowOff>
    </xdr:from>
    <xdr:to>
      <xdr:col>0</xdr:col>
      <xdr:colOff>667385</xdr:colOff>
      <xdr:row>0</xdr:row>
      <xdr:rowOff>740675</xdr:rowOff>
    </xdr:to>
    <xdr:pic>
      <xdr:nvPicPr>
        <xdr:cNvPr id="15" name="Image 9">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6">
          <a:duotone>
            <a:schemeClr val="accent5">
              <a:shade val="45000"/>
              <a:satMod val="135000"/>
            </a:schemeClr>
            <a:prstClr val="white"/>
          </a:duotone>
        </a:blip>
        <a:srcRect/>
        <a:stretch>
          <a:fillRect/>
        </a:stretch>
      </xdr:blipFill>
      <xdr:spPr bwMode="auto">
        <a:xfrm>
          <a:off x="0" y="110067"/>
          <a:ext cx="663575" cy="626798"/>
        </a:xfrm>
        <a:prstGeom prst="rect">
          <a:avLst/>
        </a:prstGeom>
        <a:noFill/>
        <a:ln>
          <a:noFill/>
        </a:ln>
      </xdr:spPr>
    </xdr:pic>
    <xdr:clientData fPrintsWithSheet="0"/>
  </xdr:twoCellAnchor>
  <xdr:twoCellAnchor editAs="absolute">
    <xdr:from>
      <xdr:col>12</xdr:col>
      <xdr:colOff>229970</xdr:colOff>
      <xdr:row>0</xdr:row>
      <xdr:rowOff>391381</xdr:rowOff>
    </xdr:from>
    <xdr:to>
      <xdr:col>13</xdr:col>
      <xdr:colOff>840945</xdr:colOff>
      <xdr:row>0</xdr:row>
      <xdr:rowOff>698289</xdr:rowOff>
    </xdr:to>
    <xdr:sp macro="" textlink="">
      <xdr:nvSpPr>
        <xdr:cNvPr id="16" name="ZoneTexte 15">
          <a:hlinkClick xmlns:r="http://schemas.openxmlformats.org/officeDocument/2006/relationships" r:id="rId17"/>
          <a:extLst>
            <a:ext uri="{FF2B5EF4-FFF2-40B4-BE49-F238E27FC236}">
              <a16:creationId xmlns:a16="http://schemas.microsoft.com/office/drawing/2014/main" id="{00000000-0008-0000-0800-000010000000}"/>
            </a:ext>
          </a:extLst>
        </xdr:cNvPr>
        <xdr:cNvSpPr txBox="1"/>
      </xdr:nvSpPr>
      <xdr:spPr>
        <a:xfrm>
          <a:off x="14216903" y="389476"/>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7</xdr:col>
      <xdr:colOff>726548</xdr:colOff>
      <xdr:row>0</xdr:row>
      <xdr:rowOff>130810</xdr:rowOff>
    </xdr:from>
    <xdr:to>
      <xdr:col>10</xdr:col>
      <xdr:colOff>1210844</xdr:colOff>
      <xdr:row>0</xdr:row>
      <xdr:rowOff>412962</xdr:rowOff>
    </xdr:to>
    <xdr:sp macro="" textlink="">
      <xdr:nvSpPr>
        <xdr:cNvPr id="17" name="Flèche : pentagone 16">
          <a:hlinkClick xmlns:r="http://schemas.openxmlformats.org/officeDocument/2006/relationships" r:id="rId11"/>
          <a:extLst>
            <a:ext uri="{FF2B5EF4-FFF2-40B4-BE49-F238E27FC236}">
              <a16:creationId xmlns:a16="http://schemas.microsoft.com/office/drawing/2014/main" id="{00000000-0008-0000-0800-000011000000}"/>
            </a:ext>
          </a:extLst>
        </xdr:cNvPr>
        <xdr:cNvSpPr/>
      </xdr:nvSpPr>
      <xdr:spPr>
        <a:xfrm>
          <a:off x="9345615" y="127000"/>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3</xdr:col>
      <xdr:colOff>670034</xdr:colOff>
      <xdr:row>0</xdr:row>
      <xdr:rowOff>125733</xdr:rowOff>
    </xdr:from>
    <xdr:to>
      <xdr:col>7</xdr:col>
      <xdr:colOff>788144</xdr:colOff>
      <xdr:row>0</xdr:row>
      <xdr:rowOff>412962</xdr:rowOff>
    </xdr:to>
    <xdr:sp macro="" textlink="">
      <xdr:nvSpPr>
        <xdr:cNvPr id="18" name="Flèche : pentagone 17">
          <a:hlinkClick xmlns:r="http://schemas.openxmlformats.org/officeDocument/2006/relationships" r:id="rId7"/>
          <a:extLst>
            <a:ext uri="{FF2B5EF4-FFF2-40B4-BE49-F238E27FC236}">
              <a16:creationId xmlns:a16="http://schemas.microsoft.com/office/drawing/2014/main" id="{00000000-0008-0000-0800-000012000000}"/>
            </a:ext>
          </a:extLst>
        </xdr:cNvPr>
        <xdr:cNvSpPr/>
      </xdr:nvSpPr>
      <xdr:spPr>
        <a:xfrm>
          <a:off x="5432957" y="123828"/>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0</xdr:col>
      <xdr:colOff>1524004</xdr:colOff>
      <xdr:row>0</xdr:row>
      <xdr:rowOff>125734</xdr:rowOff>
    </xdr:from>
    <xdr:to>
      <xdr:col>3</xdr:col>
      <xdr:colOff>934618</xdr:colOff>
      <xdr:row>0</xdr:row>
      <xdr:rowOff>418595</xdr:rowOff>
    </xdr:to>
    <xdr:sp macro="" textlink="">
      <xdr:nvSpPr>
        <xdr:cNvPr id="20" name="Flèche : pentagone 19">
          <a:hlinkClick xmlns:r="http://schemas.openxmlformats.org/officeDocument/2006/relationships" r:id="rId4"/>
          <a:extLst>
            <a:ext uri="{FF2B5EF4-FFF2-40B4-BE49-F238E27FC236}">
              <a16:creationId xmlns:a16="http://schemas.microsoft.com/office/drawing/2014/main" id="{00000000-0008-0000-0800-000014000000}"/>
            </a:ext>
          </a:extLst>
        </xdr:cNvPr>
        <xdr:cNvSpPr/>
      </xdr:nvSpPr>
      <xdr:spPr>
        <a:xfrm>
          <a:off x="1524004" y="123829"/>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6</xdr:col>
      <xdr:colOff>107624</xdr:colOff>
      <xdr:row>0</xdr:row>
      <xdr:rowOff>401752</xdr:rowOff>
    </xdr:from>
    <xdr:to>
      <xdr:col>7</xdr:col>
      <xdr:colOff>599228</xdr:colOff>
      <xdr:row>0</xdr:row>
      <xdr:rowOff>704435</xdr:rowOff>
    </xdr:to>
    <xdr:sp macro="" textlink="">
      <xdr:nvSpPr>
        <xdr:cNvPr id="40" name="ZoneTexte 39">
          <a:hlinkClick xmlns:r="http://schemas.openxmlformats.org/officeDocument/2006/relationships" r:id="rId9"/>
          <a:extLst>
            <a:ext uri="{FF2B5EF4-FFF2-40B4-BE49-F238E27FC236}">
              <a16:creationId xmlns:a16="http://schemas.microsoft.com/office/drawing/2014/main" id="{00000000-0008-0000-0800-000028000000}"/>
            </a:ext>
          </a:extLst>
        </xdr:cNvPr>
        <xdr:cNvSpPr txBox="1"/>
      </xdr:nvSpPr>
      <xdr:spPr>
        <a:xfrm>
          <a:off x="8008929" y="397942"/>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0</xdr:col>
      <xdr:colOff>727078</xdr:colOff>
      <xdr:row>0</xdr:row>
      <xdr:rowOff>120442</xdr:rowOff>
    </xdr:from>
    <xdr:to>
      <xdr:col>0</xdr:col>
      <xdr:colOff>1654814</xdr:colOff>
      <xdr:row>0</xdr:row>
      <xdr:rowOff>411398</xdr:rowOff>
    </xdr:to>
    <xdr:sp macro="" textlink="">
      <xdr:nvSpPr>
        <xdr:cNvPr id="41" name="Flèche : pentagone 40">
          <a:extLst>
            <a:ext uri="{FF2B5EF4-FFF2-40B4-BE49-F238E27FC236}">
              <a16:creationId xmlns:a16="http://schemas.microsoft.com/office/drawing/2014/main" id="{00000000-0008-0000-0800-000029000000}"/>
            </a:ext>
          </a:extLst>
        </xdr:cNvPr>
        <xdr:cNvSpPr/>
      </xdr:nvSpPr>
      <xdr:spPr>
        <a:xfrm>
          <a:off x="727078" y="118537"/>
          <a:ext cx="923926"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10</xdr:col>
      <xdr:colOff>1182259</xdr:colOff>
      <xdr:row>0</xdr:row>
      <xdr:rowOff>391381</xdr:rowOff>
    </xdr:from>
    <xdr:to>
      <xdr:col>11</xdr:col>
      <xdr:colOff>706967</xdr:colOff>
      <xdr:row>0</xdr:row>
      <xdr:rowOff>698289</xdr:rowOff>
    </xdr:to>
    <xdr:sp macro="" textlink="">
      <xdr:nvSpPr>
        <xdr:cNvPr id="42" name="ZoneTexte 41">
          <a:hlinkClick xmlns:r="http://schemas.openxmlformats.org/officeDocument/2006/relationships" r:id="rId18"/>
          <a:extLst>
            <a:ext uri="{FF2B5EF4-FFF2-40B4-BE49-F238E27FC236}">
              <a16:creationId xmlns:a16="http://schemas.microsoft.com/office/drawing/2014/main" id="{00000000-0008-0000-0800-00002A000000}"/>
            </a:ext>
          </a:extLst>
        </xdr:cNvPr>
        <xdr:cNvSpPr txBox="1"/>
      </xdr:nvSpPr>
      <xdr:spPr>
        <a:xfrm>
          <a:off x="13054430" y="389476"/>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13758</xdr:colOff>
      <xdr:row>2</xdr:row>
      <xdr:rowOff>247650</xdr:rowOff>
    </xdr:from>
    <xdr:to>
      <xdr:col>7</xdr:col>
      <xdr:colOff>352424</xdr:colOff>
      <xdr:row>20</xdr:row>
      <xdr:rowOff>99483</xdr:rowOff>
    </xdr:to>
    <xdr:graphicFrame macro="">
      <xdr:nvGraphicFramePr>
        <xdr:cNvPr id="50158082" name="Graphique 2">
          <a:extLst>
            <a:ext uri="{FF2B5EF4-FFF2-40B4-BE49-F238E27FC236}">
              <a16:creationId xmlns:a16="http://schemas.microsoft.com/office/drawing/2014/main" id="{00000000-0008-0000-0900-0000025AF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8</xdr:col>
      <xdr:colOff>1055161</xdr:colOff>
      <xdr:row>0</xdr:row>
      <xdr:rowOff>134620</xdr:rowOff>
    </xdr:from>
    <xdr:to>
      <xdr:col>13</xdr:col>
      <xdr:colOff>756709</xdr:colOff>
      <xdr:row>0</xdr:row>
      <xdr:rowOff>433411</xdr:rowOff>
    </xdr:to>
    <xdr:sp macro="" textlink="">
      <xdr:nvSpPr>
        <xdr:cNvPr id="2" name="Flèche : pentagone 1">
          <a:hlinkClick xmlns:r="http://schemas.openxmlformats.org/officeDocument/2006/relationships" r:id="rId2"/>
          <a:extLst>
            <a:ext uri="{FF2B5EF4-FFF2-40B4-BE49-F238E27FC236}">
              <a16:creationId xmlns:a16="http://schemas.microsoft.com/office/drawing/2014/main" id="{00000000-0008-0000-0900-000002000000}"/>
            </a:ext>
          </a:extLst>
        </xdr:cNvPr>
        <xdr:cNvSpPr/>
      </xdr:nvSpPr>
      <xdr:spPr>
        <a:xfrm>
          <a:off x="12900028" y="134620"/>
          <a:ext cx="2673347" cy="29879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0</xdr:col>
      <xdr:colOff>1587502</xdr:colOff>
      <xdr:row>0</xdr:row>
      <xdr:rowOff>427568</xdr:rowOff>
    </xdr:from>
    <xdr:to>
      <xdr:col>0</xdr:col>
      <xdr:colOff>3145368</xdr:colOff>
      <xdr:row>0</xdr:row>
      <xdr:rowOff>681566</xdr:rowOff>
    </xdr:to>
    <xdr:sp macro="" textlink="">
      <xdr:nvSpPr>
        <xdr:cNvPr id="3" name="ZoneTexte 2">
          <a:hlinkClick xmlns:r="http://schemas.openxmlformats.org/officeDocument/2006/relationships" r:id="rId3"/>
          <a:extLst>
            <a:ext uri="{FF2B5EF4-FFF2-40B4-BE49-F238E27FC236}">
              <a16:creationId xmlns:a16="http://schemas.microsoft.com/office/drawing/2014/main" id="{00000000-0008-0000-0900-000003000000}"/>
            </a:ext>
          </a:extLst>
        </xdr:cNvPr>
        <xdr:cNvSpPr txBox="1"/>
      </xdr:nvSpPr>
      <xdr:spPr>
        <a:xfrm>
          <a:off x="1587502" y="427568"/>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0</xdr:col>
      <xdr:colOff>3008313</xdr:colOff>
      <xdr:row>0</xdr:row>
      <xdr:rowOff>425453</xdr:rowOff>
    </xdr:from>
    <xdr:to>
      <xdr:col>0</xdr:col>
      <xdr:colOff>4415370</xdr:colOff>
      <xdr:row>0</xdr:row>
      <xdr:rowOff>734486</xdr:rowOff>
    </xdr:to>
    <xdr:sp macro="" textlink="">
      <xdr:nvSpPr>
        <xdr:cNvPr id="4" name="ZoneTexte 3">
          <a:hlinkClick xmlns:r="http://schemas.openxmlformats.org/officeDocument/2006/relationships" r:id="rId4"/>
          <a:extLst>
            <a:ext uri="{FF2B5EF4-FFF2-40B4-BE49-F238E27FC236}">
              <a16:creationId xmlns:a16="http://schemas.microsoft.com/office/drawing/2014/main" id="{00000000-0008-0000-0900-000004000000}"/>
            </a:ext>
          </a:extLst>
        </xdr:cNvPr>
        <xdr:cNvSpPr txBox="1"/>
      </xdr:nvSpPr>
      <xdr:spPr>
        <a:xfrm>
          <a:off x="3008313" y="425453"/>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0</xdr:col>
      <xdr:colOff>4367212</xdr:colOff>
      <xdr:row>0</xdr:row>
      <xdr:rowOff>426725</xdr:rowOff>
    </xdr:from>
    <xdr:to>
      <xdr:col>0</xdr:col>
      <xdr:colOff>5665780</xdr:colOff>
      <xdr:row>0</xdr:row>
      <xdr:rowOff>742109</xdr:rowOff>
    </xdr:to>
    <xdr:sp macro="" textlink="">
      <xdr:nvSpPr>
        <xdr:cNvPr id="5" name="ZoneTexte 4">
          <a:hlinkClick xmlns:r="http://schemas.openxmlformats.org/officeDocument/2006/relationships" r:id="rId5"/>
          <a:extLst>
            <a:ext uri="{FF2B5EF4-FFF2-40B4-BE49-F238E27FC236}">
              <a16:creationId xmlns:a16="http://schemas.microsoft.com/office/drawing/2014/main" id="{00000000-0008-0000-0900-000005000000}"/>
            </a:ext>
          </a:extLst>
        </xdr:cNvPr>
        <xdr:cNvSpPr txBox="1"/>
      </xdr:nvSpPr>
      <xdr:spPr>
        <a:xfrm>
          <a:off x="4367212" y="426725"/>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0</xdr:col>
      <xdr:colOff>5725050</xdr:colOff>
      <xdr:row>0</xdr:row>
      <xdr:rowOff>420377</xdr:rowOff>
    </xdr:from>
    <xdr:to>
      <xdr:col>2</xdr:col>
      <xdr:colOff>34399</xdr:colOff>
      <xdr:row>0</xdr:row>
      <xdr:rowOff>710360</xdr:rowOff>
    </xdr:to>
    <xdr:sp macro="" textlink="">
      <xdr:nvSpPr>
        <xdr:cNvPr id="6" name="ZoneTexte 5">
          <a:hlinkClick xmlns:r="http://schemas.openxmlformats.org/officeDocument/2006/relationships" r:id="rId6"/>
          <a:extLst>
            <a:ext uri="{FF2B5EF4-FFF2-40B4-BE49-F238E27FC236}">
              <a16:creationId xmlns:a16="http://schemas.microsoft.com/office/drawing/2014/main" id="{00000000-0008-0000-0900-000006000000}"/>
            </a:ext>
          </a:extLst>
        </xdr:cNvPr>
        <xdr:cNvSpPr txBox="1"/>
      </xdr:nvSpPr>
      <xdr:spPr>
        <a:xfrm>
          <a:off x="5725050" y="420377"/>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1</xdr:col>
      <xdr:colOff>677866</xdr:colOff>
      <xdr:row>0</xdr:row>
      <xdr:rowOff>424611</xdr:rowOff>
    </xdr:from>
    <xdr:to>
      <xdr:col>3</xdr:col>
      <xdr:colOff>123299</xdr:colOff>
      <xdr:row>0</xdr:row>
      <xdr:rowOff>752694</xdr:rowOff>
    </xdr:to>
    <xdr:sp macro="" textlink="">
      <xdr:nvSpPr>
        <xdr:cNvPr id="7" name="ZoneTexte 6">
          <a:hlinkClick xmlns:r="http://schemas.openxmlformats.org/officeDocument/2006/relationships" r:id="rId7"/>
          <a:extLst>
            <a:ext uri="{FF2B5EF4-FFF2-40B4-BE49-F238E27FC236}">
              <a16:creationId xmlns:a16="http://schemas.microsoft.com/office/drawing/2014/main" id="{00000000-0008-0000-0900-000007000000}"/>
            </a:ext>
          </a:extLst>
        </xdr:cNvPr>
        <xdr:cNvSpPr txBox="1"/>
      </xdr:nvSpPr>
      <xdr:spPr>
        <a:xfrm>
          <a:off x="6731533" y="424611"/>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3</xdr:col>
      <xdr:colOff>17454</xdr:colOff>
      <xdr:row>0</xdr:row>
      <xdr:rowOff>418261</xdr:rowOff>
    </xdr:from>
    <xdr:to>
      <xdr:col>3</xdr:col>
      <xdr:colOff>892710</xdr:colOff>
      <xdr:row>0</xdr:row>
      <xdr:rowOff>720944</xdr:rowOff>
    </xdr:to>
    <xdr:sp macro="" textlink="">
      <xdr:nvSpPr>
        <xdr:cNvPr id="8" name="ZoneTexte 7">
          <a:hlinkClick xmlns:r="http://schemas.openxmlformats.org/officeDocument/2006/relationships" r:id="rId8"/>
          <a:extLst>
            <a:ext uri="{FF2B5EF4-FFF2-40B4-BE49-F238E27FC236}">
              <a16:creationId xmlns:a16="http://schemas.microsoft.com/office/drawing/2014/main" id="{00000000-0008-0000-0900-000008000000}"/>
            </a:ext>
          </a:extLst>
        </xdr:cNvPr>
        <xdr:cNvSpPr txBox="1"/>
      </xdr:nvSpPr>
      <xdr:spPr>
        <a:xfrm>
          <a:off x="7298787" y="418261"/>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5</xdr:col>
      <xdr:colOff>508003</xdr:colOff>
      <xdr:row>0</xdr:row>
      <xdr:rowOff>414877</xdr:rowOff>
    </xdr:from>
    <xdr:to>
      <xdr:col>7</xdr:col>
      <xdr:colOff>657229</xdr:colOff>
      <xdr:row>0</xdr:row>
      <xdr:rowOff>755661</xdr:rowOff>
    </xdr:to>
    <xdr:sp macro="" textlink="">
      <xdr:nvSpPr>
        <xdr:cNvPr id="9" name="ZoneTexte 8">
          <a:hlinkClick xmlns:r="http://schemas.openxmlformats.org/officeDocument/2006/relationships" r:id="rId9"/>
          <a:extLst>
            <a:ext uri="{FF2B5EF4-FFF2-40B4-BE49-F238E27FC236}">
              <a16:creationId xmlns:a16="http://schemas.microsoft.com/office/drawing/2014/main" id="{00000000-0008-0000-0900-000009000000}"/>
            </a:ext>
          </a:extLst>
        </xdr:cNvPr>
        <xdr:cNvSpPr txBox="1"/>
      </xdr:nvSpPr>
      <xdr:spPr>
        <a:xfrm>
          <a:off x="10092270" y="414877"/>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4</xdr:col>
      <xdr:colOff>906452</xdr:colOff>
      <xdr:row>0</xdr:row>
      <xdr:rowOff>408520</xdr:rowOff>
    </xdr:from>
    <xdr:to>
      <xdr:col>5</xdr:col>
      <xdr:colOff>601123</xdr:colOff>
      <xdr:row>0</xdr:row>
      <xdr:rowOff>723904</xdr:rowOff>
    </xdr:to>
    <xdr:sp macro="" textlink="">
      <xdr:nvSpPr>
        <xdr:cNvPr id="10" name="ZoneTexte 9">
          <a:hlinkClick xmlns:r="http://schemas.openxmlformats.org/officeDocument/2006/relationships" r:id="rId10"/>
          <a:extLst>
            <a:ext uri="{FF2B5EF4-FFF2-40B4-BE49-F238E27FC236}">
              <a16:creationId xmlns:a16="http://schemas.microsoft.com/office/drawing/2014/main" id="{00000000-0008-0000-0900-00000A000000}"/>
            </a:ext>
          </a:extLst>
        </xdr:cNvPr>
        <xdr:cNvSpPr txBox="1"/>
      </xdr:nvSpPr>
      <xdr:spPr>
        <a:xfrm>
          <a:off x="9398519" y="408520"/>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8</xdr:col>
      <xdr:colOff>392633</xdr:colOff>
      <xdr:row>0</xdr:row>
      <xdr:rowOff>409798</xdr:rowOff>
    </xdr:from>
    <xdr:to>
      <xdr:col>8</xdr:col>
      <xdr:colOff>1264185</xdr:colOff>
      <xdr:row>0</xdr:row>
      <xdr:rowOff>752698</xdr:rowOff>
    </xdr:to>
    <xdr:sp macro="" textlink="">
      <xdr:nvSpPr>
        <xdr:cNvPr id="11" name="ZoneTexte 10">
          <a:hlinkClick xmlns:r="http://schemas.openxmlformats.org/officeDocument/2006/relationships" r:id="rId11"/>
          <a:extLst>
            <a:ext uri="{FF2B5EF4-FFF2-40B4-BE49-F238E27FC236}">
              <a16:creationId xmlns:a16="http://schemas.microsoft.com/office/drawing/2014/main" id="{00000000-0008-0000-0900-00000B000000}"/>
            </a:ext>
          </a:extLst>
        </xdr:cNvPr>
        <xdr:cNvSpPr txBox="1"/>
      </xdr:nvSpPr>
      <xdr:spPr>
        <a:xfrm>
          <a:off x="12237500" y="409798"/>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8</xdr:col>
      <xdr:colOff>1849643</xdr:colOff>
      <xdr:row>0</xdr:row>
      <xdr:rowOff>406409</xdr:rowOff>
    </xdr:from>
    <xdr:to>
      <xdr:col>8</xdr:col>
      <xdr:colOff>2532386</xdr:colOff>
      <xdr:row>0</xdr:row>
      <xdr:rowOff>713317</xdr:rowOff>
    </xdr:to>
    <xdr:sp macro="" textlink="">
      <xdr:nvSpPr>
        <xdr:cNvPr id="12" name="ZoneTexte 11">
          <a:hlinkClick xmlns:r="http://schemas.openxmlformats.org/officeDocument/2006/relationships" r:id="rId12"/>
          <a:extLst>
            <a:ext uri="{FF2B5EF4-FFF2-40B4-BE49-F238E27FC236}">
              <a16:creationId xmlns:a16="http://schemas.microsoft.com/office/drawing/2014/main" id="{00000000-0008-0000-0900-00000C000000}"/>
            </a:ext>
          </a:extLst>
        </xdr:cNvPr>
        <xdr:cNvSpPr txBox="1"/>
      </xdr:nvSpPr>
      <xdr:spPr>
        <a:xfrm>
          <a:off x="13694510" y="406409"/>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7</xdr:col>
      <xdr:colOff>413800</xdr:colOff>
      <xdr:row>0</xdr:row>
      <xdr:rowOff>406408</xdr:rowOff>
    </xdr:from>
    <xdr:to>
      <xdr:col>8</xdr:col>
      <xdr:colOff>659345</xdr:colOff>
      <xdr:row>0</xdr:row>
      <xdr:rowOff>702742</xdr:rowOff>
    </xdr:to>
    <xdr:sp macro="" textlink="">
      <xdr:nvSpPr>
        <xdr:cNvPr id="13" name="ZoneTexte 12">
          <a:hlinkClick xmlns:r="http://schemas.openxmlformats.org/officeDocument/2006/relationships" r:id="rId13"/>
          <a:extLst>
            <a:ext uri="{FF2B5EF4-FFF2-40B4-BE49-F238E27FC236}">
              <a16:creationId xmlns:a16="http://schemas.microsoft.com/office/drawing/2014/main" id="{00000000-0008-0000-0900-00000D000000}"/>
            </a:ext>
          </a:extLst>
        </xdr:cNvPr>
        <xdr:cNvSpPr txBox="1"/>
      </xdr:nvSpPr>
      <xdr:spPr>
        <a:xfrm>
          <a:off x="11539000" y="406408"/>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0</xdr:col>
      <xdr:colOff>693214</xdr:colOff>
      <xdr:row>0</xdr:row>
      <xdr:rowOff>374650</xdr:rowOff>
    </xdr:from>
    <xdr:to>
      <xdr:col>0</xdr:col>
      <xdr:colOff>1576923</xdr:colOff>
      <xdr:row>0</xdr:row>
      <xdr:rowOff>723901</xdr:rowOff>
    </xdr:to>
    <xdr:sp macro="" textlink="">
      <xdr:nvSpPr>
        <xdr:cNvPr id="14" name="ZoneTexte 13">
          <a:hlinkClick xmlns:r="http://schemas.openxmlformats.org/officeDocument/2006/relationships" r:id="rId14"/>
          <a:extLst>
            <a:ext uri="{FF2B5EF4-FFF2-40B4-BE49-F238E27FC236}">
              <a16:creationId xmlns:a16="http://schemas.microsoft.com/office/drawing/2014/main" id="{00000000-0008-0000-0900-00000E000000}"/>
            </a:ext>
          </a:extLst>
        </xdr:cNvPr>
        <xdr:cNvSpPr txBox="1"/>
      </xdr:nvSpPr>
      <xdr:spPr>
        <a:xfrm>
          <a:off x="693214" y="374650"/>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127000</xdr:rowOff>
    </xdr:from>
    <xdr:to>
      <xdr:col>0</xdr:col>
      <xdr:colOff>663575</xdr:colOff>
      <xdr:row>0</xdr:row>
      <xdr:rowOff>753798</xdr:rowOff>
    </xdr:to>
    <xdr:pic>
      <xdr:nvPicPr>
        <xdr:cNvPr id="15" name="Image 9">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5">
          <a:duotone>
            <a:schemeClr val="accent5">
              <a:shade val="45000"/>
              <a:satMod val="135000"/>
            </a:schemeClr>
            <a:prstClr val="white"/>
          </a:duotone>
        </a:blip>
        <a:srcRect/>
        <a:stretch>
          <a:fillRect/>
        </a:stretch>
      </xdr:blipFill>
      <xdr:spPr bwMode="auto">
        <a:xfrm>
          <a:off x="0" y="127000"/>
          <a:ext cx="663575" cy="626798"/>
        </a:xfrm>
        <a:prstGeom prst="rect">
          <a:avLst/>
        </a:prstGeom>
        <a:noFill/>
        <a:ln>
          <a:noFill/>
        </a:ln>
      </xdr:spPr>
    </xdr:pic>
    <xdr:clientData fPrintsWithSheet="0"/>
  </xdr:twoCellAnchor>
  <xdr:twoCellAnchor editAs="absolute">
    <xdr:from>
      <xdr:col>8</xdr:col>
      <xdr:colOff>2372036</xdr:colOff>
      <xdr:row>0</xdr:row>
      <xdr:rowOff>406409</xdr:rowOff>
    </xdr:from>
    <xdr:to>
      <xdr:col>13</xdr:col>
      <xdr:colOff>800517</xdr:colOff>
      <xdr:row>0</xdr:row>
      <xdr:rowOff>713317</xdr:rowOff>
    </xdr:to>
    <xdr:sp macro="" textlink="">
      <xdr:nvSpPr>
        <xdr:cNvPr id="16" name="ZoneTexte 15">
          <a:hlinkClick xmlns:r="http://schemas.openxmlformats.org/officeDocument/2006/relationships" r:id="rId16"/>
          <a:extLst>
            <a:ext uri="{FF2B5EF4-FFF2-40B4-BE49-F238E27FC236}">
              <a16:creationId xmlns:a16="http://schemas.microsoft.com/office/drawing/2014/main" id="{00000000-0008-0000-0900-000010000000}"/>
            </a:ext>
          </a:extLst>
        </xdr:cNvPr>
        <xdr:cNvSpPr txBox="1"/>
      </xdr:nvSpPr>
      <xdr:spPr>
        <a:xfrm>
          <a:off x="14216903" y="406409"/>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4</xdr:col>
      <xdr:colOff>853548</xdr:colOff>
      <xdr:row>0</xdr:row>
      <xdr:rowOff>143933</xdr:rowOff>
    </xdr:from>
    <xdr:to>
      <xdr:col>8</xdr:col>
      <xdr:colOff>1232433</xdr:colOff>
      <xdr:row>0</xdr:row>
      <xdr:rowOff>431800</xdr:rowOff>
    </xdr:to>
    <xdr:sp macro="" textlink="">
      <xdr:nvSpPr>
        <xdr:cNvPr id="17" name="Flèche : pentagone 16">
          <a:hlinkClick xmlns:r="http://schemas.openxmlformats.org/officeDocument/2006/relationships" r:id="rId10"/>
          <a:extLst>
            <a:ext uri="{FF2B5EF4-FFF2-40B4-BE49-F238E27FC236}">
              <a16:creationId xmlns:a16="http://schemas.microsoft.com/office/drawing/2014/main" id="{00000000-0008-0000-0900-000011000000}"/>
            </a:ext>
          </a:extLst>
        </xdr:cNvPr>
        <xdr:cNvSpPr/>
      </xdr:nvSpPr>
      <xdr:spPr>
        <a:xfrm>
          <a:off x="9345615" y="143933"/>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0</xdr:col>
      <xdr:colOff>5432957</xdr:colOff>
      <xdr:row>0</xdr:row>
      <xdr:rowOff>140761</xdr:rowOff>
    </xdr:from>
    <xdr:to>
      <xdr:col>4</xdr:col>
      <xdr:colOff>917049</xdr:colOff>
      <xdr:row>0</xdr:row>
      <xdr:rowOff>431800</xdr:rowOff>
    </xdr:to>
    <xdr:sp macro="" textlink="">
      <xdr:nvSpPr>
        <xdr:cNvPr id="19" name="Flèche : pentagone 18">
          <a:hlinkClick xmlns:r="http://schemas.openxmlformats.org/officeDocument/2006/relationships" r:id="rId6"/>
          <a:extLst>
            <a:ext uri="{FF2B5EF4-FFF2-40B4-BE49-F238E27FC236}">
              <a16:creationId xmlns:a16="http://schemas.microsoft.com/office/drawing/2014/main" id="{00000000-0008-0000-0900-000013000000}"/>
            </a:ext>
          </a:extLst>
        </xdr:cNvPr>
        <xdr:cNvSpPr/>
      </xdr:nvSpPr>
      <xdr:spPr>
        <a:xfrm>
          <a:off x="5432957" y="140761"/>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0</xdr:col>
      <xdr:colOff>1524004</xdr:colOff>
      <xdr:row>0</xdr:row>
      <xdr:rowOff>140762</xdr:rowOff>
    </xdr:from>
    <xdr:to>
      <xdr:col>0</xdr:col>
      <xdr:colOff>5697541</xdr:colOff>
      <xdr:row>0</xdr:row>
      <xdr:rowOff>435528</xdr:rowOff>
    </xdr:to>
    <xdr:sp macro="" textlink="">
      <xdr:nvSpPr>
        <xdr:cNvPr id="39" name="Flèche : pentagone 38">
          <a:hlinkClick xmlns:r="http://schemas.openxmlformats.org/officeDocument/2006/relationships" r:id="rId3"/>
          <a:extLst>
            <a:ext uri="{FF2B5EF4-FFF2-40B4-BE49-F238E27FC236}">
              <a16:creationId xmlns:a16="http://schemas.microsoft.com/office/drawing/2014/main" id="{00000000-0008-0000-0900-000027000000}"/>
            </a:ext>
          </a:extLst>
        </xdr:cNvPr>
        <xdr:cNvSpPr/>
      </xdr:nvSpPr>
      <xdr:spPr>
        <a:xfrm>
          <a:off x="1524004" y="140762"/>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3</xdr:col>
      <xdr:colOff>727596</xdr:colOff>
      <xdr:row>0</xdr:row>
      <xdr:rowOff>414875</xdr:rowOff>
    </xdr:from>
    <xdr:to>
      <xdr:col>4</xdr:col>
      <xdr:colOff>728133</xdr:colOff>
      <xdr:row>0</xdr:row>
      <xdr:rowOff>717558</xdr:rowOff>
    </xdr:to>
    <xdr:sp macro="" textlink="">
      <xdr:nvSpPr>
        <xdr:cNvPr id="40" name="ZoneTexte 39">
          <a:hlinkClick xmlns:r="http://schemas.openxmlformats.org/officeDocument/2006/relationships" r:id="rId8"/>
          <a:extLst>
            <a:ext uri="{FF2B5EF4-FFF2-40B4-BE49-F238E27FC236}">
              <a16:creationId xmlns:a16="http://schemas.microsoft.com/office/drawing/2014/main" id="{00000000-0008-0000-0900-000028000000}"/>
            </a:ext>
          </a:extLst>
        </xdr:cNvPr>
        <xdr:cNvSpPr txBox="1"/>
      </xdr:nvSpPr>
      <xdr:spPr>
        <a:xfrm>
          <a:off x="8008929" y="414875"/>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0</xdr:col>
      <xdr:colOff>727078</xdr:colOff>
      <xdr:row>0</xdr:row>
      <xdr:rowOff>135470</xdr:rowOff>
    </xdr:from>
    <xdr:to>
      <xdr:col>0</xdr:col>
      <xdr:colOff>1651004</xdr:colOff>
      <xdr:row>0</xdr:row>
      <xdr:rowOff>430236</xdr:rowOff>
    </xdr:to>
    <xdr:sp macro="" textlink="">
      <xdr:nvSpPr>
        <xdr:cNvPr id="41" name="Flèche : pentagone 40">
          <a:extLst>
            <a:ext uri="{FF2B5EF4-FFF2-40B4-BE49-F238E27FC236}">
              <a16:creationId xmlns:a16="http://schemas.microsoft.com/office/drawing/2014/main" id="{00000000-0008-0000-0900-000029000000}"/>
            </a:ext>
          </a:extLst>
        </xdr:cNvPr>
        <xdr:cNvSpPr/>
      </xdr:nvSpPr>
      <xdr:spPr>
        <a:xfrm>
          <a:off x="727078" y="135470"/>
          <a:ext cx="923926"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8</xdr:col>
      <xdr:colOff>1209563</xdr:colOff>
      <xdr:row>0</xdr:row>
      <xdr:rowOff>406409</xdr:rowOff>
    </xdr:from>
    <xdr:to>
      <xdr:col>8</xdr:col>
      <xdr:colOff>2057823</xdr:colOff>
      <xdr:row>0</xdr:row>
      <xdr:rowOff>713317</xdr:rowOff>
    </xdr:to>
    <xdr:sp macro="" textlink="">
      <xdr:nvSpPr>
        <xdr:cNvPr id="42" name="ZoneTexte 41">
          <a:hlinkClick xmlns:r="http://schemas.openxmlformats.org/officeDocument/2006/relationships" r:id="rId17"/>
          <a:extLst>
            <a:ext uri="{FF2B5EF4-FFF2-40B4-BE49-F238E27FC236}">
              <a16:creationId xmlns:a16="http://schemas.microsoft.com/office/drawing/2014/main" id="{00000000-0008-0000-0900-00002A000000}"/>
            </a:ext>
          </a:extLst>
        </xdr:cNvPr>
        <xdr:cNvSpPr txBox="1"/>
      </xdr:nvSpPr>
      <xdr:spPr>
        <a:xfrm>
          <a:off x="13054430" y="406409"/>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9</xdr:col>
      <xdr:colOff>846455</xdr:colOff>
      <xdr:row>14</xdr:row>
      <xdr:rowOff>24130</xdr:rowOff>
    </xdr:from>
    <xdr:to>
      <xdr:col>18</xdr:col>
      <xdr:colOff>664051</xdr:colOff>
      <xdr:row>24</xdr:row>
      <xdr:rowOff>62335</xdr:rowOff>
    </xdr:to>
    <xdr:graphicFrame macro="">
      <xdr:nvGraphicFramePr>
        <xdr:cNvPr id="47" name="Graphique 46">
          <a:extLst>
            <a:ext uri="{FF2B5EF4-FFF2-40B4-BE49-F238E27FC236}">
              <a16:creationId xmlns:a16="http://schemas.microsoft.com/office/drawing/2014/main" id="{00000000-0008-0000-0A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399415</xdr:colOff>
      <xdr:row>6</xdr:row>
      <xdr:rowOff>128905</xdr:rowOff>
    </xdr:from>
    <xdr:to>
      <xdr:col>18</xdr:col>
      <xdr:colOff>654843</xdr:colOff>
      <xdr:row>14</xdr:row>
      <xdr:rowOff>135997</xdr:rowOff>
    </xdr:to>
    <xdr:graphicFrame macro="">
      <xdr:nvGraphicFramePr>
        <xdr:cNvPr id="23" name="Graphique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twoCellAnchor>
    <xdr:from>
      <xdr:col>10</xdr:col>
      <xdr:colOff>453812</xdr:colOff>
      <xdr:row>1</xdr:row>
      <xdr:rowOff>116417</xdr:rowOff>
    </xdr:from>
    <xdr:to>
      <xdr:col>17</xdr:col>
      <xdr:colOff>351154</xdr:colOff>
      <xdr:row>7</xdr:row>
      <xdr:rowOff>247227</xdr:rowOff>
    </xdr:to>
    <xdr:graphicFrame macro="">
      <xdr:nvGraphicFramePr>
        <xdr:cNvPr id="24" name="Graphique 1">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1616554</xdr:colOff>
      <xdr:row>0</xdr:row>
      <xdr:rowOff>75353</xdr:rowOff>
    </xdr:from>
    <xdr:to>
      <xdr:col>15</xdr:col>
      <xdr:colOff>361157</xdr:colOff>
      <xdr:row>0</xdr:row>
      <xdr:rowOff>358904</xdr:rowOff>
    </xdr:to>
    <xdr:sp macro="" textlink="">
      <xdr:nvSpPr>
        <xdr:cNvPr id="2" name="Flèche : pentagone 1">
          <a:hlinkClick xmlns:r="http://schemas.openxmlformats.org/officeDocument/2006/relationships" r:id="rId4"/>
          <a:extLst>
            <a:ext uri="{FF2B5EF4-FFF2-40B4-BE49-F238E27FC236}">
              <a16:creationId xmlns:a16="http://schemas.microsoft.com/office/drawing/2014/main" id="{00000000-0008-0000-0A00-000002000000}"/>
            </a:ext>
          </a:extLst>
        </xdr:cNvPr>
        <xdr:cNvSpPr/>
      </xdr:nvSpPr>
      <xdr:spPr>
        <a:xfrm>
          <a:off x="12900028" y="75353"/>
          <a:ext cx="2673347" cy="29879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1</xdr:col>
      <xdr:colOff>1355727</xdr:colOff>
      <xdr:row>0</xdr:row>
      <xdr:rowOff>365126</xdr:rowOff>
    </xdr:from>
    <xdr:to>
      <xdr:col>2</xdr:col>
      <xdr:colOff>1356150</xdr:colOff>
      <xdr:row>0</xdr:row>
      <xdr:rowOff>625474</xdr:rowOff>
    </xdr:to>
    <xdr:sp macro="" textlink="">
      <xdr:nvSpPr>
        <xdr:cNvPr id="3" name="ZoneTexte 2">
          <a:hlinkClick xmlns:r="http://schemas.openxmlformats.org/officeDocument/2006/relationships" r:id="rId5"/>
          <a:extLst>
            <a:ext uri="{FF2B5EF4-FFF2-40B4-BE49-F238E27FC236}">
              <a16:creationId xmlns:a16="http://schemas.microsoft.com/office/drawing/2014/main" id="{00000000-0008-0000-0A00-000003000000}"/>
            </a:ext>
          </a:extLst>
        </xdr:cNvPr>
        <xdr:cNvSpPr txBox="1"/>
      </xdr:nvSpPr>
      <xdr:spPr>
        <a:xfrm>
          <a:off x="1587502" y="368301"/>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2</xdr:col>
      <xdr:colOff>1198140</xdr:colOff>
      <xdr:row>0</xdr:row>
      <xdr:rowOff>364281</xdr:rowOff>
    </xdr:from>
    <xdr:to>
      <xdr:col>4</xdr:col>
      <xdr:colOff>495092</xdr:colOff>
      <xdr:row>0</xdr:row>
      <xdr:rowOff>663789</xdr:rowOff>
    </xdr:to>
    <xdr:sp macro="" textlink="">
      <xdr:nvSpPr>
        <xdr:cNvPr id="4" name="ZoneTexte 3">
          <a:hlinkClick xmlns:r="http://schemas.openxmlformats.org/officeDocument/2006/relationships" r:id="rId6"/>
          <a:extLst>
            <a:ext uri="{FF2B5EF4-FFF2-40B4-BE49-F238E27FC236}">
              <a16:creationId xmlns:a16="http://schemas.microsoft.com/office/drawing/2014/main" id="{00000000-0008-0000-0A00-000004000000}"/>
            </a:ext>
          </a:extLst>
        </xdr:cNvPr>
        <xdr:cNvSpPr txBox="1"/>
      </xdr:nvSpPr>
      <xdr:spPr>
        <a:xfrm>
          <a:off x="3008313" y="366186"/>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4</xdr:col>
      <xdr:colOff>456459</xdr:colOff>
      <xdr:row>0</xdr:row>
      <xdr:rowOff>365553</xdr:rowOff>
    </xdr:from>
    <xdr:to>
      <xdr:col>5</xdr:col>
      <xdr:colOff>611603</xdr:colOff>
      <xdr:row>0</xdr:row>
      <xdr:rowOff>682842</xdr:rowOff>
    </xdr:to>
    <xdr:sp macro="" textlink="">
      <xdr:nvSpPr>
        <xdr:cNvPr id="5" name="ZoneTexte 4">
          <a:hlinkClick xmlns:r="http://schemas.openxmlformats.org/officeDocument/2006/relationships" r:id="rId7"/>
          <a:extLst>
            <a:ext uri="{FF2B5EF4-FFF2-40B4-BE49-F238E27FC236}">
              <a16:creationId xmlns:a16="http://schemas.microsoft.com/office/drawing/2014/main" id="{00000000-0008-0000-0A00-000005000000}"/>
            </a:ext>
          </a:extLst>
        </xdr:cNvPr>
        <xdr:cNvSpPr txBox="1"/>
      </xdr:nvSpPr>
      <xdr:spPr>
        <a:xfrm>
          <a:off x="4367212" y="367458"/>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5</xdr:col>
      <xdr:colOff>664523</xdr:colOff>
      <xdr:row>0</xdr:row>
      <xdr:rowOff>365555</xdr:rowOff>
    </xdr:from>
    <xdr:to>
      <xdr:col>6</xdr:col>
      <xdr:colOff>930173</xdr:colOff>
      <xdr:row>0</xdr:row>
      <xdr:rowOff>651093</xdr:rowOff>
    </xdr:to>
    <xdr:sp macro="" textlink="">
      <xdr:nvSpPr>
        <xdr:cNvPr id="6" name="ZoneTexte 5">
          <a:hlinkClick xmlns:r="http://schemas.openxmlformats.org/officeDocument/2006/relationships" r:id="rId8"/>
          <a:extLst>
            <a:ext uri="{FF2B5EF4-FFF2-40B4-BE49-F238E27FC236}">
              <a16:creationId xmlns:a16="http://schemas.microsoft.com/office/drawing/2014/main" id="{00000000-0008-0000-0A00-000006000000}"/>
            </a:ext>
          </a:extLst>
        </xdr:cNvPr>
        <xdr:cNvSpPr txBox="1"/>
      </xdr:nvSpPr>
      <xdr:spPr>
        <a:xfrm>
          <a:off x="5725050" y="361110"/>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6</xdr:col>
      <xdr:colOff>797670</xdr:colOff>
      <xdr:row>0</xdr:row>
      <xdr:rowOff>359629</xdr:rowOff>
    </xdr:from>
    <xdr:to>
      <xdr:col>7</xdr:col>
      <xdr:colOff>457309</xdr:colOff>
      <xdr:row>0</xdr:row>
      <xdr:rowOff>706127</xdr:rowOff>
    </xdr:to>
    <xdr:sp macro="" textlink="">
      <xdr:nvSpPr>
        <xdr:cNvPr id="7" name="ZoneTexte 6">
          <a:hlinkClick xmlns:r="http://schemas.openxmlformats.org/officeDocument/2006/relationships" r:id="rId9"/>
          <a:extLst>
            <a:ext uri="{FF2B5EF4-FFF2-40B4-BE49-F238E27FC236}">
              <a16:creationId xmlns:a16="http://schemas.microsoft.com/office/drawing/2014/main" id="{00000000-0008-0000-0A00-000007000000}"/>
            </a:ext>
          </a:extLst>
        </xdr:cNvPr>
        <xdr:cNvSpPr txBox="1"/>
      </xdr:nvSpPr>
      <xdr:spPr>
        <a:xfrm>
          <a:off x="6731533" y="365344"/>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7</xdr:col>
      <xdr:colOff>345114</xdr:colOff>
      <xdr:row>0</xdr:row>
      <xdr:rowOff>364709</xdr:rowOff>
    </xdr:from>
    <xdr:to>
      <xdr:col>7</xdr:col>
      <xdr:colOff>1219100</xdr:colOff>
      <xdr:row>0</xdr:row>
      <xdr:rowOff>663582</xdr:rowOff>
    </xdr:to>
    <xdr:sp macro="" textlink="">
      <xdr:nvSpPr>
        <xdr:cNvPr id="8" name="ZoneTexte 7">
          <a:hlinkClick xmlns:r="http://schemas.openxmlformats.org/officeDocument/2006/relationships" r:id="rId10"/>
          <a:extLst>
            <a:ext uri="{FF2B5EF4-FFF2-40B4-BE49-F238E27FC236}">
              <a16:creationId xmlns:a16="http://schemas.microsoft.com/office/drawing/2014/main" id="{00000000-0008-0000-0A00-000008000000}"/>
            </a:ext>
          </a:extLst>
        </xdr:cNvPr>
        <xdr:cNvSpPr txBox="1"/>
      </xdr:nvSpPr>
      <xdr:spPr>
        <a:xfrm>
          <a:off x="7298787" y="358994"/>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9</xdr:col>
      <xdr:colOff>346290</xdr:colOff>
      <xdr:row>0</xdr:row>
      <xdr:rowOff>363230</xdr:rowOff>
    </xdr:from>
    <xdr:to>
      <xdr:col>11</xdr:col>
      <xdr:colOff>552295</xdr:colOff>
      <xdr:row>0</xdr:row>
      <xdr:rowOff>707824</xdr:rowOff>
    </xdr:to>
    <xdr:sp macro="" textlink="">
      <xdr:nvSpPr>
        <xdr:cNvPr id="9" name="ZoneTexte 8">
          <a:hlinkClick xmlns:r="http://schemas.openxmlformats.org/officeDocument/2006/relationships" r:id="rId11"/>
          <a:extLst>
            <a:ext uri="{FF2B5EF4-FFF2-40B4-BE49-F238E27FC236}">
              <a16:creationId xmlns:a16="http://schemas.microsoft.com/office/drawing/2014/main" id="{00000000-0008-0000-0A00-000009000000}"/>
            </a:ext>
          </a:extLst>
        </xdr:cNvPr>
        <xdr:cNvSpPr txBox="1"/>
      </xdr:nvSpPr>
      <xdr:spPr>
        <a:xfrm>
          <a:off x="10092270" y="355610"/>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8</xdr:col>
      <xdr:colOff>1216332</xdr:colOff>
      <xdr:row>0</xdr:row>
      <xdr:rowOff>364493</xdr:rowOff>
    </xdr:from>
    <xdr:to>
      <xdr:col>9</xdr:col>
      <xdr:colOff>457190</xdr:colOff>
      <xdr:row>0</xdr:row>
      <xdr:rowOff>670352</xdr:rowOff>
    </xdr:to>
    <xdr:sp macro="" textlink="">
      <xdr:nvSpPr>
        <xdr:cNvPr id="10" name="ZoneTexte 9">
          <a:hlinkClick xmlns:r="http://schemas.openxmlformats.org/officeDocument/2006/relationships" r:id="rId12"/>
          <a:extLst>
            <a:ext uri="{FF2B5EF4-FFF2-40B4-BE49-F238E27FC236}">
              <a16:creationId xmlns:a16="http://schemas.microsoft.com/office/drawing/2014/main" id="{00000000-0008-0000-0A00-00000A000000}"/>
            </a:ext>
          </a:extLst>
        </xdr:cNvPr>
        <xdr:cNvSpPr txBox="1"/>
      </xdr:nvSpPr>
      <xdr:spPr>
        <a:xfrm>
          <a:off x="9398519" y="349253"/>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11</xdr:col>
      <xdr:colOff>1007366</xdr:colOff>
      <xdr:row>0</xdr:row>
      <xdr:rowOff>363231</xdr:rowOff>
    </xdr:from>
    <xdr:to>
      <xdr:col>11</xdr:col>
      <xdr:colOff>1847803</xdr:colOff>
      <xdr:row>0</xdr:row>
      <xdr:rowOff>706131</xdr:rowOff>
    </xdr:to>
    <xdr:sp macro="" textlink="">
      <xdr:nvSpPr>
        <xdr:cNvPr id="11" name="ZoneTexte 10">
          <a:hlinkClick xmlns:r="http://schemas.openxmlformats.org/officeDocument/2006/relationships" r:id="rId13"/>
          <a:extLst>
            <a:ext uri="{FF2B5EF4-FFF2-40B4-BE49-F238E27FC236}">
              <a16:creationId xmlns:a16="http://schemas.microsoft.com/office/drawing/2014/main" id="{00000000-0008-0000-0A00-00000B000000}"/>
            </a:ext>
          </a:extLst>
        </xdr:cNvPr>
        <xdr:cNvSpPr txBox="1"/>
      </xdr:nvSpPr>
      <xdr:spPr>
        <a:xfrm>
          <a:off x="12237500" y="350531"/>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12</xdr:col>
      <xdr:colOff>282516</xdr:colOff>
      <xdr:row>0</xdr:row>
      <xdr:rowOff>363652</xdr:rowOff>
    </xdr:from>
    <xdr:to>
      <xdr:col>13</xdr:col>
      <xdr:colOff>360104</xdr:colOff>
      <xdr:row>0</xdr:row>
      <xdr:rowOff>669290</xdr:rowOff>
    </xdr:to>
    <xdr:sp macro="" textlink="">
      <xdr:nvSpPr>
        <xdr:cNvPr id="12" name="ZoneTexte 11">
          <a:hlinkClick xmlns:r="http://schemas.openxmlformats.org/officeDocument/2006/relationships" r:id="rId14"/>
          <a:extLst>
            <a:ext uri="{FF2B5EF4-FFF2-40B4-BE49-F238E27FC236}">
              <a16:creationId xmlns:a16="http://schemas.microsoft.com/office/drawing/2014/main" id="{00000000-0008-0000-0A00-00000C000000}"/>
            </a:ext>
          </a:extLst>
        </xdr:cNvPr>
        <xdr:cNvSpPr txBox="1"/>
      </xdr:nvSpPr>
      <xdr:spPr>
        <a:xfrm>
          <a:off x="13694510" y="347142"/>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11</xdr:col>
      <xdr:colOff>285371</xdr:colOff>
      <xdr:row>0</xdr:row>
      <xdr:rowOff>363651</xdr:rowOff>
    </xdr:from>
    <xdr:to>
      <xdr:col>11</xdr:col>
      <xdr:colOff>1274078</xdr:colOff>
      <xdr:row>0</xdr:row>
      <xdr:rowOff>626965</xdr:rowOff>
    </xdr:to>
    <xdr:sp macro="" textlink="">
      <xdr:nvSpPr>
        <xdr:cNvPr id="13" name="ZoneTexte 12">
          <a:hlinkClick xmlns:r="http://schemas.openxmlformats.org/officeDocument/2006/relationships" r:id="rId15"/>
          <a:extLst>
            <a:ext uri="{FF2B5EF4-FFF2-40B4-BE49-F238E27FC236}">
              <a16:creationId xmlns:a16="http://schemas.microsoft.com/office/drawing/2014/main" id="{00000000-0008-0000-0A00-00000D000000}"/>
            </a:ext>
          </a:extLst>
        </xdr:cNvPr>
        <xdr:cNvSpPr txBox="1"/>
      </xdr:nvSpPr>
      <xdr:spPr>
        <a:xfrm>
          <a:off x="11539000" y="347141"/>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1</xdr:col>
      <xdr:colOff>479854</xdr:colOff>
      <xdr:row>0</xdr:row>
      <xdr:rowOff>326813</xdr:rowOff>
    </xdr:from>
    <xdr:to>
      <xdr:col>1</xdr:col>
      <xdr:colOff>1350228</xdr:colOff>
      <xdr:row>0</xdr:row>
      <xdr:rowOff>670349</xdr:rowOff>
    </xdr:to>
    <xdr:sp macro="" textlink="">
      <xdr:nvSpPr>
        <xdr:cNvPr id="14" name="ZoneTexte 13">
          <a:hlinkClick xmlns:r="http://schemas.openxmlformats.org/officeDocument/2006/relationships" r:id="rId16"/>
          <a:extLst>
            <a:ext uri="{FF2B5EF4-FFF2-40B4-BE49-F238E27FC236}">
              <a16:creationId xmlns:a16="http://schemas.microsoft.com/office/drawing/2014/main" id="{00000000-0008-0000-0A00-00000E000000}"/>
            </a:ext>
          </a:extLst>
        </xdr:cNvPr>
        <xdr:cNvSpPr txBox="1"/>
      </xdr:nvSpPr>
      <xdr:spPr>
        <a:xfrm>
          <a:off x="693214" y="315383"/>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60748</xdr:rowOff>
    </xdr:from>
    <xdr:to>
      <xdr:col>1</xdr:col>
      <xdr:colOff>440690</xdr:colOff>
      <xdr:row>0</xdr:row>
      <xdr:rowOff>701516</xdr:rowOff>
    </xdr:to>
    <xdr:pic>
      <xdr:nvPicPr>
        <xdr:cNvPr id="15" name="Image 9">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7">
          <a:duotone>
            <a:schemeClr val="accent5">
              <a:shade val="45000"/>
              <a:satMod val="135000"/>
            </a:schemeClr>
            <a:prstClr val="white"/>
          </a:duotone>
        </a:blip>
        <a:srcRect/>
        <a:stretch>
          <a:fillRect/>
        </a:stretch>
      </xdr:blipFill>
      <xdr:spPr bwMode="auto">
        <a:xfrm>
          <a:off x="0" y="67733"/>
          <a:ext cx="663575" cy="626798"/>
        </a:xfrm>
        <a:prstGeom prst="rect">
          <a:avLst/>
        </a:prstGeom>
        <a:noFill/>
        <a:ln>
          <a:noFill/>
        </a:ln>
      </xdr:spPr>
    </xdr:pic>
    <xdr:clientData fPrintsWithSheet="0"/>
  </xdr:twoCellAnchor>
  <xdr:twoCellAnchor editAs="absolute">
    <xdr:from>
      <xdr:col>13</xdr:col>
      <xdr:colOff>171814</xdr:colOff>
      <xdr:row>0</xdr:row>
      <xdr:rowOff>363652</xdr:rowOff>
    </xdr:from>
    <xdr:to>
      <xdr:col>15</xdr:col>
      <xdr:colOff>402425</xdr:colOff>
      <xdr:row>0</xdr:row>
      <xdr:rowOff>669290</xdr:rowOff>
    </xdr:to>
    <xdr:sp macro="" textlink="">
      <xdr:nvSpPr>
        <xdr:cNvPr id="16" name="ZoneTexte 15">
          <a:hlinkClick xmlns:r="http://schemas.openxmlformats.org/officeDocument/2006/relationships" r:id="rId18"/>
          <a:extLst>
            <a:ext uri="{FF2B5EF4-FFF2-40B4-BE49-F238E27FC236}">
              <a16:creationId xmlns:a16="http://schemas.microsoft.com/office/drawing/2014/main" id="{00000000-0008-0000-0A00-000010000000}"/>
            </a:ext>
          </a:extLst>
        </xdr:cNvPr>
        <xdr:cNvSpPr txBox="1"/>
      </xdr:nvSpPr>
      <xdr:spPr>
        <a:xfrm>
          <a:off x="14216903" y="347142"/>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8</xdr:col>
      <xdr:colOff>1140568</xdr:colOff>
      <xdr:row>0</xdr:row>
      <xdr:rowOff>91651</xdr:rowOff>
    </xdr:from>
    <xdr:to>
      <xdr:col>11</xdr:col>
      <xdr:colOff>1770966</xdr:colOff>
      <xdr:row>0</xdr:row>
      <xdr:rowOff>365548</xdr:rowOff>
    </xdr:to>
    <xdr:sp macro="" textlink="">
      <xdr:nvSpPr>
        <xdr:cNvPr id="17" name="Flèche : pentagone 16">
          <a:hlinkClick xmlns:r="http://schemas.openxmlformats.org/officeDocument/2006/relationships" r:id="rId12"/>
          <a:extLst>
            <a:ext uri="{FF2B5EF4-FFF2-40B4-BE49-F238E27FC236}">
              <a16:creationId xmlns:a16="http://schemas.microsoft.com/office/drawing/2014/main" id="{00000000-0008-0000-0A00-000011000000}"/>
            </a:ext>
          </a:extLst>
        </xdr:cNvPr>
        <xdr:cNvSpPr/>
      </xdr:nvSpPr>
      <xdr:spPr>
        <a:xfrm>
          <a:off x="9345615" y="84666"/>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5</xdr:col>
      <xdr:colOff>381955</xdr:colOff>
      <xdr:row>0</xdr:row>
      <xdr:rowOff>96734</xdr:rowOff>
    </xdr:from>
    <xdr:to>
      <xdr:col>8</xdr:col>
      <xdr:colOff>1237089</xdr:colOff>
      <xdr:row>0</xdr:row>
      <xdr:rowOff>365548</xdr:rowOff>
    </xdr:to>
    <xdr:sp macro="" textlink="">
      <xdr:nvSpPr>
        <xdr:cNvPr id="18" name="Flèche : pentagone 17">
          <a:hlinkClick xmlns:r="http://schemas.openxmlformats.org/officeDocument/2006/relationships" r:id="rId8"/>
          <a:extLst>
            <a:ext uri="{FF2B5EF4-FFF2-40B4-BE49-F238E27FC236}">
              <a16:creationId xmlns:a16="http://schemas.microsoft.com/office/drawing/2014/main" id="{00000000-0008-0000-0A00-000012000000}"/>
            </a:ext>
          </a:extLst>
        </xdr:cNvPr>
        <xdr:cNvSpPr/>
      </xdr:nvSpPr>
      <xdr:spPr>
        <a:xfrm>
          <a:off x="5432957" y="81494"/>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1</xdr:col>
      <xdr:colOff>1295404</xdr:colOff>
      <xdr:row>0</xdr:row>
      <xdr:rowOff>96735</xdr:rowOff>
    </xdr:from>
    <xdr:to>
      <xdr:col>5</xdr:col>
      <xdr:colOff>647809</xdr:colOff>
      <xdr:row>0</xdr:row>
      <xdr:rowOff>365466</xdr:rowOff>
    </xdr:to>
    <xdr:sp macro="" textlink="">
      <xdr:nvSpPr>
        <xdr:cNvPr id="19" name="Flèche : pentagone 18">
          <a:hlinkClick xmlns:r="http://schemas.openxmlformats.org/officeDocument/2006/relationships" r:id="rId5"/>
          <a:extLst>
            <a:ext uri="{FF2B5EF4-FFF2-40B4-BE49-F238E27FC236}">
              <a16:creationId xmlns:a16="http://schemas.microsoft.com/office/drawing/2014/main" id="{00000000-0008-0000-0A00-000013000000}"/>
            </a:ext>
          </a:extLst>
        </xdr:cNvPr>
        <xdr:cNvSpPr/>
      </xdr:nvSpPr>
      <xdr:spPr>
        <a:xfrm>
          <a:off x="1524004" y="81495"/>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7</xdr:col>
      <xdr:colOff>1065416</xdr:colOff>
      <xdr:row>0</xdr:row>
      <xdr:rowOff>363228</xdr:rowOff>
    </xdr:from>
    <xdr:to>
      <xdr:col>8</xdr:col>
      <xdr:colOff>1051348</xdr:colOff>
      <xdr:row>0</xdr:row>
      <xdr:rowOff>669721</xdr:rowOff>
    </xdr:to>
    <xdr:sp macro="" textlink="">
      <xdr:nvSpPr>
        <xdr:cNvPr id="20" name="ZoneTexte 19">
          <a:hlinkClick xmlns:r="http://schemas.openxmlformats.org/officeDocument/2006/relationships" r:id="rId10"/>
          <a:extLst>
            <a:ext uri="{FF2B5EF4-FFF2-40B4-BE49-F238E27FC236}">
              <a16:creationId xmlns:a16="http://schemas.microsoft.com/office/drawing/2014/main" id="{00000000-0008-0000-0A00-000014000000}"/>
            </a:ext>
          </a:extLst>
        </xdr:cNvPr>
        <xdr:cNvSpPr txBox="1"/>
      </xdr:nvSpPr>
      <xdr:spPr>
        <a:xfrm>
          <a:off x="8008929" y="355608"/>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1</xdr:col>
      <xdr:colOff>498478</xdr:colOff>
      <xdr:row>0</xdr:row>
      <xdr:rowOff>76203</xdr:rowOff>
    </xdr:from>
    <xdr:to>
      <xdr:col>1</xdr:col>
      <xdr:colOff>1430024</xdr:colOff>
      <xdr:row>0</xdr:row>
      <xdr:rowOff>359539</xdr:rowOff>
    </xdr:to>
    <xdr:sp macro="" textlink="">
      <xdr:nvSpPr>
        <xdr:cNvPr id="21" name="Flèche : pentagone 20">
          <a:extLst>
            <a:ext uri="{FF2B5EF4-FFF2-40B4-BE49-F238E27FC236}">
              <a16:creationId xmlns:a16="http://schemas.microsoft.com/office/drawing/2014/main" id="{00000000-0008-0000-0A00-000015000000}"/>
            </a:ext>
          </a:extLst>
        </xdr:cNvPr>
        <xdr:cNvSpPr/>
      </xdr:nvSpPr>
      <xdr:spPr>
        <a:xfrm>
          <a:off x="727078" y="76203"/>
          <a:ext cx="923926"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11</xdr:col>
      <xdr:colOff>1848426</xdr:colOff>
      <xdr:row>0</xdr:row>
      <xdr:rowOff>363652</xdr:rowOff>
    </xdr:from>
    <xdr:to>
      <xdr:col>12</xdr:col>
      <xdr:colOff>434816</xdr:colOff>
      <xdr:row>0</xdr:row>
      <xdr:rowOff>669290</xdr:rowOff>
    </xdr:to>
    <xdr:sp macro="" textlink="">
      <xdr:nvSpPr>
        <xdr:cNvPr id="22" name="ZoneTexte 21">
          <a:hlinkClick xmlns:r="http://schemas.openxmlformats.org/officeDocument/2006/relationships" r:id="rId19"/>
          <a:extLst>
            <a:ext uri="{FF2B5EF4-FFF2-40B4-BE49-F238E27FC236}">
              <a16:creationId xmlns:a16="http://schemas.microsoft.com/office/drawing/2014/main" id="{00000000-0008-0000-0A00-000016000000}"/>
            </a:ext>
          </a:extLst>
        </xdr:cNvPr>
        <xdr:cNvSpPr txBox="1"/>
      </xdr:nvSpPr>
      <xdr:spPr>
        <a:xfrm>
          <a:off x="13054430" y="347142"/>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12.xml><?xml version="1.0" encoding="utf-8"?>
<c:userShapes xmlns:c="http://schemas.openxmlformats.org/drawingml/2006/chart">
  <cdr:relSizeAnchor xmlns:cdr="http://schemas.openxmlformats.org/drawingml/2006/chartDrawing">
    <cdr:from>
      <cdr:x>0.38696</cdr:x>
      <cdr:y>0.12601</cdr:y>
    </cdr:from>
    <cdr:to>
      <cdr:x>0.5561</cdr:x>
      <cdr:y>0.24663</cdr:y>
    </cdr:to>
    <cdr:sp macro="" textlink="">
      <cdr:nvSpPr>
        <cdr:cNvPr id="2" name="ZoneTexte 1">
          <a:extLst xmlns:a="http://schemas.openxmlformats.org/drawingml/2006/main">
            <a:ext uri="{FF2B5EF4-FFF2-40B4-BE49-F238E27FC236}">
              <a16:creationId xmlns:a16="http://schemas.microsoft.com/office/drawing/2014/main" id="{54DC83D0-A8AC-5480-9988-92E221B76B60}"/>
            </a:ext>
          </a:extLst>
        </cdr:cNvPr>
        <cdr:cNvSpPr txBox="1"/>
      </cdr:nvSpPr>
      <cdr:spPr>
        <a:xfrm xmlns:a="http://schemas.openxmlformats.org/drawingml/2006/main">
          <a:off x="2441575" y="498475"/>
          <a:ext cx="1067170" cy="477141"/>
        </a:xfrm>
        <a:prstGeom xmlns:a="http://schemas.openxmlformats.org/drawingml/2006/main" prst="rect">
          <a:avLst/>
        </a:prstGeom>
        <a:solidFill xmlns:a="http://schemas.openxmlformats.org/drawingml/2006/main">
          <a:schemeClr val="lt1">
            <a:alpha val="60000"/>
          </a:schemeClr>
        </a:solidFill>
        <a:ln xmlns:a="http://schemas.openxmlformats.org/drawingml/2006/main" w="19050">
          <a:solidFill>
            <a:schemeClr val="accent5">
              <a:lumMod val="50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solidFill>
                <a:schemeClr val="accent5">
                  <a:lumMod val="50000"/>
                </a:schemeClr>
              </a:solidFill>
            </a:rPr>
            <a:t>Evolution par rapport à 2006</a:t>
          </a:r>
        </a:p>
      </cdr:txBody>
    </cdr:sp>
  </cdr:relSizeAnchor>
</c:userShapes>
</file>

<file path=xl/drawings/drawing13.xml><?xml version="1.0" encoding="utf-8"?>
<c:userShapes xmlns:c="http://schemas.openxmlformats.org/drawingml/2006/chart">
  <cdr:relSizeAnchor xmlns:cdr="http://schemas.openxmlformats.org/drawingml/2006/chartDrawing">
    <cdr:from>
      <cdr:x>0.34759</cdr:x>
      <cdr:y>0.09124</cdr:y>
    </cdr:from>
    <cdr:to>
      <cdr:x>0.55604</cdr:x>
      <cdr:y>0.2355</cdr:y>
    </cdr:to>
    <cdr:sp macro="" textlink="">
      <cdr:nvSpPr>
        <cdr:cNvPr id="2" name="ZoneTexte 1">
          <a:extLst xmlns:a="http://schemas.openxmlformats.org/drawingml/2006/main">
            <a:ext uri="{FF2B5EF4-FFF2-40B4-BE49-F238E27FC236}">
              <a16:creationId xmlns:a16="http://schemas.microsoft.com/office/drawing/2014/main" id="{B9FAA254-D676-97A0-982D-FD5061C9F643}"/>
            </a:ext>
          </a:extLst>
        </cdr:cNvPr>
        <cdr:cNvSpPr txBox="1"/>
      </cdr:nvSpPr>
      <cdr:spPr>
        <a:xfrm xmlns:a="http://schemas.openxmlformats.org/drawingml/2006/main">
          <a:off x="2239863" y="302310"/>
          <a:ext cx="1343248" cy="477965"/>
        </a:xfrm>
        <a:prstGeom xmlns:a="http://schemas.openxmlformats.org/drawingml/2006/main" prst="rect">
          <a:avLst/>
        </a:prstGeom>
        <a:solidFill xmlns:a="http://schemas.openxmlformats.org/drawingml/2006/main">
          <a:schemeClr val="lt1">
            <a:alpha val="60000"/>
          </a:schemeClr>
        </a:solidFill>
        <a:ln xmlns:a="http://schemas.openxmlformats.org/drawingml/2006/main" w="19050">
          <a:solidFill>
            <a:schemeClr val="accent5">
              <a:lumMod val="50000"/>
            </a:schemeClr>
          </a:solidFill>
        </a:ln>
      </cdr:spPr>
      <cdr:txBody>
        <a:bodyPr xmlns:a="http://schemas.openxmlformats.org/drawingml/2006/main" vertOverflow="clip" wrap="square" rtlCol="0"/>
        <a:lstStyle xmlns:a="http://schemas.openxmlformats.org/drawingml/2006/main"/>
        <a:p xmlns:a="http://schemas.openxmlformats.org/drawingml/2006/main">
          <a:pPr algn="ctr"/>
          <a:r>
            <a:rPr lang="fr-BE" sz="1100">
              <a:solidFill>
                <a:schemeClr val="accent5">
                  <a:lumMod val="50000"/>
                </a:schemeClr>
              </a:solidFill>
            </a:rPr>
            <a:t>Evolution par rapport à 2006</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9</xdr:col>
      <xdr:colOff>1288630</xdr:colOff>
      <xdr:row>0</xdr:row>
      <xdr:rowOff>117687</xdr:rowOff>
    </xdr:from>
    <xdr:to>
      <xdr:col>13</xdr:col>
      <xdr:colOff>602404</xdr:colOff>
      <xdr:row>0</xdr:row>
      <xdr:rowOff>416478</xdr:rowOff>
    </xdr:to>
    <xdr:sp macro="" textlink="">
      <xdr:nvSpPr>
        <xdr:cNvPr id="2" name="Flèche : pentagon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2900028" y="117687"/>
          <a:ext cx="2673347" cy="29879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1</xdr:col>
      <xdr:colOff>1263440</xdr:colOff>
      <xdr:row>0</xdr:row>
      <xdr:rowOff>415715</xdr:rowOff>
    </xdr:from>
    <xdr:to>
      <xdr:col>1</xdr:col>
      <xdr:colOff>2828291</xdr:colOff>
      <xdr:row>0</xdr:row>
      <xdr:rowOff>663363</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00000000-0008-0000-1000-000003000000}"/>
            </a:ext>
          </a:extLst>
        </xdr:cNvPr>
        <xdr:cNvSpPr txBox="1"/>
      </xdr:nvSpPr>
      <xdr:spPr>
        <a:xfrm>
          <a:off x="1587502" y="410635"/>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1</xdr:col>
      <xdr:colOff>2714096</xdr:colOff>
      <xdr:row>0</xdr:row>
      <xdr:rowOff>402170</xdr:rowOff>
    </xdr:from>
    <xdr:to>
      <xdr:col>1</xdr:col>
      <xdr:colOff>4200740</xdr:colOff>
      <xdr:row>0</xdr:row>
      <xdr:rowOff>720093</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00000000-0008-0000-1000-000004000000}"/>
            </a:ext>
          </a:extLst>
        </xdr:cNvPr>
        <xdr:cNvSpPr txBox="1"/>
      </xdr:nvSpPr>
      <xdr:spPr>
        <a:xfrm>
          <a:off x="3008313" y="408520"/>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1</xdr:col>
      <xdr:colOff>4064105</xdr:colOff>
      <xdr:row>0</xdr:row>
      <xdr:rowOff>403442</xdr:rowOff>
    </xdr:from>
    <xdr:to>
      <xdr:col>2</xdr:col>
      <xdr:colOff>1012500</xdr:colOff>
      <xdr:row>0</xdr:row>
      <xdr:rowOff>725176</xdr:rowOff>
    </xdr:to>
    <xdr:sp macro="" textlink="">
      <xdr:nvSpPr>
        <xdr:cNvPr id="5" name="ZoneTexte 4">
          <a:hlinkClick xmlns:r="http://schemas.openxmlformats.org/officeDocument/2006/relationships" r:id="rId4"/>
          <a:extLst>
            <a:ext uri="{FF2B5EF4-FFF2-40B4-BE49-F238E27FC236}">
              <a16:creationId xmlns:a16="http://schemas.microsoft.com/office/drawing/2014/main" id="{00000000-0008-0000-1000-000005000000}"/>
            </a:ext>
          </a:extLst>
        </xdr:cNvPr>
        <xdr:cNvSpPr txBox="1"/>
      </xdr:nvSpPr>
      <xdr:spPr>
        <a:xfrm>
          <a:off x="4367212" y="409792"/>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2</xdr:col>
      <xdr:colOff>1101615</xdr:colOff>
      <xdr:row>0</xdr:row>
      <xdr:rowOff>403444</xdr:rowOff>
    </xdr:from>
    <xdr:to>
      <xdr:col>3</xdr:col>
      <xdr:colOff>742213</xdr:colOff>
      <xdr:row>0</xdr:row>
      <xdr:rowOff>688347</xdr:rowOff>
    </xdr:to>
    <xdr:sp macro="" textlink="">
      <xdr:nvSpPr>
        <xdr:cNvPr id="6" name="ZoneTexte 5">
          <a:hlinkClick xmlns:r="http://schemas.openxmlformats.org/officeDocument/2006/relationships" r:id="rId5"/>
          <a:extLst>
            <a:ext uri="{FF2B5EF4-FFF2-40B4-BE49-F238E27FC236}">
              <a16:creationId xmlns:a16="http://schemas.microsoft.com/office/drawing/2014/main" id="{00000000-0008-0000-1000-000006000000}"/>
            </a:ext>
          </a:extLst>
        </xdr:cNvPr>
        <xdr:cNvSpPr txBox="1"/>
      </xdr:nvSpPr>
      <xdr:spPr>
        <a:xfrm>
          <a:off x="5725050" y="403444"/>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3</xdr:col>
      <xdr:colOff>622410</xdr:colOff>
      <xdr:row>0</xdr:row>
      <xdr:rowOff>399423</xdr:rowOff>
    </xdr:from>
    <xdr:to>
      <xdr:col>4</xdr:col>
      <xdr:colOff>137691</xdr:colOff>
      <xdr:row>0</xdr:row>
      <xdr:rowOff>740841</xdr:rowOff>
    </xdr:to>
    <xdr:sp macro="" textlink="">
      <xdr:nvSpPr>
        <xdr:cNvPr id="7" name="ZoneTexte 6">
          <a:hlinkClick xmlns:r="http://schemas.openxmlformats.org/officeDocument/2006/relationships" r:id="rId6"/>
          <a:extLst>
            <a:ext uri="{FF2B5EF4-FFF2-40B4-BE49-F238E27FC236}">
              <a16:creationId xmlns:a16="http://schemas.microsoft.com/office/drawing/2014/main" id="{00000000-0008-0000-1000-000007000000}"/>
            </a:ext>
          </a:extLst>
        </xdr:cNvPr>
        <xdr:cNvSpPr txBox="1"/>
      </xdr:nvSpPr>
      <xdr:spPr>
        <a:xfrm>
          <a:off x="6731533" y="407678"/>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4</xdr:col>
      <xdr:colOff>38197</xdr:colOff>
      <xdr:row>0</xdr:row>
      <xdr:rowOff>402598</xdr:rowOff>
    </xdr:from>
    <xdr:to>
      <xdr:col>4</xdr:col>
      <xdr:colOff>900118</xdr:colOff>
      <xdr:row>0</xdr:row>
      <xdr:rowOff>702741</xdr:rowOff>
    </xdr:to>
    <xdr:sp macro="" textlink="">
      <xdr:nvSpPr>
        <xdr:cNvPr id="8" name="ZoneTexte 7">
          <a:hlinkClick xmlns:r="http://schemas.openxmlformats.org/officeDocument/2006/relationships" r:id="rId7"/>
          <a:extLst>
            <a:ext uri="{FF2B5EF4-FFF2-40B4-BE49-F238E27FC236}">
              <a16:creationId xmlns:a16="http://schemas.microsoft.com/office/drawing/2014/main" id="{00000000-0008-0000-1000-000008000000}"/>
            </a:ext>
          </a:extLst>
        </xdr:cNvPr>
        <xdr:cNvSpPr txBox="1"/>
      </xdr:nvSpPr>
      <xdr:spPr>
        <a:xfrm>
          <a:off x="7298787" y="401328"/>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6</xdr:col>
      <xdr:colOff>902127</xdr:colOff>
      <xdr:row>0</xdr:row>
      <xdr:rowOff>396674</xdr:rowOff>
    </xdr:from>
    <xdr:to>
      <xdr:col>9</xdr:col>
      <xdr:colOff>147537</xdr:colOff>
      <xdr:row>0</xdr:row>
      <xdr:rowOff>744443</xdr:rowOff>
    </xdr:to>
    <xdr:sp macro="" textlink="">
      <xdr:nvSpPr>
        <xdr:cNvPr id="9" name="ZoneTexte 8">
          <a:hlinkClick xmlns:r="http://schemas.openxmlformats.org/officeDocument/2006/relationships" r:id="rId8"/>
          <a:extLst>
            <a:ext uri="{FF2B5EF4-FFF2-40B4-BE49-F238E27FC236}">
              <a16:creationId xmlns:a16="http://schemas.microsoft.com/office/drawing/2014/main" id="{00000000-0008-0000-1000-000009000000}"/>
            </a:ext>
          </a:extLst>
        </xdr:cNvPr>
        <xdr:cNvSpPr txBox="1"/>
      </xdr:nvSpPr>
      <xdr:spPr>
        <a:xfrm>
          <a:off x="10092270" y="397944"/>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6</xdr:col>
      <xdr:colOff>221711</xdr:colOff>
      <xdr:row>0</xdr:row>
      <xdr:rowOff>397937</xdr:rowOff>
    </xdr:from>
    <xdr:to>
      <xdr:col>6</xdr:col>
      <xdr:colOff>980642</xdr:colOff>
      <xdr:row>0</xdr:row>
      <xdr:rowOff>708241</xdr:rowOff>
    </xdr:to>
    <xdr:sp macro="" textlink="">
      <xdr:nvSpPr>
        <xdr:cNvPr id="10" name="ZoneTexte 9">
          <a:hlinkClick xmlns:r="http://schemas.openxmlformats.org/officeDocument/2006/relationships" r:id="rId9"/>
          <a:extLst>
            <a:ext uri="{FF2B5EF4-FFF2-40B4-BE49-F238E27FC236}">
              <a16:creationId xmlns:a16="http://schemas.microsoft.com/office/drawing/2014/main" id="{00000000-0008-0000-1000-00000A000000}"/>
            </a:ext>
          </a:extLst>
        </xdr:cNvPr>
        <xdr:cNvSpPr txBox="1"/>
      </xdr:nvSpPr>
      <xdr:spPr>
        <a:xfrm>
          <a:off x="9398519" y="391587"/>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9</xdr:col>
      <xdr:colOff>603878</xdr:colOff>
      <xdr:row>0</xdr:row>
      <xdr:rowOff>397945</xdr:rowOff>
    </xdr:from>
    <xdr:to>
      <xdr:col>10</xdr:col>
      <xdr:colOff>25513</xdr:colOff>
      <xdr:row>0</xdr:row>
      <xdr:rowOff>740845</xdr:rowOff>
    </xdr:to>
    <xdr:sp macro="" textlink="">
      <xdr:nvSpPr>
        <xdr:cNvPr id="11" name="ZoneTexte 10">
          <a:hlinkClick xmlns:r="http://schemas.openxmlformats.org/officeDocument/2006/relationships" r:id="rId10"/>
          <a:extLst>
            <a:ext uri="{FF2B5EF4-FFF2-40B4-BE49-F238E27FC236}">
              <a16:creationId xmlns:a16="http://schemas.microsoft.com/office/drawing/2014/main" id="{00000000-0008-0000-1000-00000B000000}"/>
            </a:ext>
          </a:extLst>
        </xdr:cNvPr>
        <xdr:cNvSpPr txBox="1"/>
      </xdr:nvSpPr>
      <xdr:spPr>
        <a:xfrm>
          <a:off x="12237500" y="392865"/>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10</xdr:col>
      <xdr:colOff>600599</xdr:colOff>
      <xdr:row>0</xdr:row>
      <xdr:rowOff>384396</xdr:rowOff>
    </xdr:from>
    <xdr:to>
      <xdr:col>12</xdr:col>
      <xdr:colOff>45091</xdr:colOff>
      <xdr:row>0</xdr:row>
      <xdr:rowOff>702734</xdr:rowOff>
    </xdr:to>
    <xdr:sp macro="" textlink="">
      <xdr:nvSpPr>
        <xdr:cNvPr id="12" name="ZoneTexte 11">
          <a:hlinkClick xmlns:r="http://schemas.openxmlformats.org/officeDocument/2006/relationships" r:id="rId11"/>
          <a:extLst>
            <a:ext uri="{FF2B5EF4-FFF2-40B4-BE49-F238E27FC236}">
              <a16:creationId xmlns:a16="http://schemas.microsoft.com/office/drawing/2014/main" id="{00000000-0008-0000-1000-00000C000000}"/>
            </a:ext>
          </a:extLst>
        </xdr:cNvPr>
        <xdr:cNvSpPr txBox="1"/>
      </xdr:nvSpPr>
      <xdr:spPr>
        <a:xfrm>
          <a:off x="13694510" y="389476"/>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8</xdr:col>
      <xdr:colOff>533180</xdr:colOff>
      <xdr:row>0</xdr:row>
      <xdr:rowOff>384395</xdr:rowOff>
    </xdr:from>
    <xdr:to>
      <xdr:col>9</xdr:col>
      <xdr:colOff>870589</xdr:colOff>
      <xdr:row>0</xdr:row>
      <xdr:rowOff>685809</xdr:rowOff>
    </xdr:to>
    <xdr:sp macro="" textlink="">
      <xdr:nvSpPr>
        <xdr:cNvPr id="13" name="ZoneTexte 12">
          <a:hlinkClick xmlns:r="http://schemas.openxmlformats.org/officeDocument/2006/relationships" r:id="rId12"/>
          <a:extLst>
            <a:ext uri="{FF2B5EF4-FFF2-40B4-BE49-F238E27FC236}">
              <a16:creationId xmlns:a16="http://schemas.microsoft.com/office/drawing/2014/main" id="{00000000-0008-0000-1000-00000D000000}"/>
            </a:ext>
          </a:extLst>
        </xdr:cNvPr>
        <xdr:cNvSpPr txBox="1"/>
      </xdr:nvSpPr>
      <xdr:spPr>
        <a:xfrm>
          <a:off x="11539000" y="389475"/>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1</xdr:col>
      <xdr:colOff>390742</xdr:colOff>
      <xdr:row>0</xdr:row>
      <xdr:rowOff>363432</xdr:rowOff>
    </xdr:from>
    <xdr:to>
      <xdr:col>1</xdr:col>
      <xdr:colOff>1278896</xdr:colOff>
      <xdr:row>0</xdr:row>
      <xdr:rowOff>708238</xdr:rowOff>
    </xdr:to>
    <xdr:sp macro="" textlink="">
      <xdr:nvSpPr>
        <xdr:cNvPr id="14" name="ZoneTexte 13">
          <a:hlinkClick xmlns:r="http://schemas.openxmlformats.org/officeDocument/2006/relationships" r:id="rId13"/>
          <a:extLst>
            <a:ext uri="{FF2B5EF4-FFF2-40B4-BE49-F238E27FC236}">
              <a16:creationId xmlns:a16="http://schemas.microsoft.com/office/drawing/2014/main" id="{00000000-0008-0000-1000-00000E000000}"/>
            </a:ext>
          </a:extLst>
        </xdr:cNvPr>
        <xdr:cNvSpPr txBox="1"/>
      </xdr:nvSpPr>
      <xdr:spPr>
        <a:xfrm>
          <a:off x="693214" y="357717"/>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111337</xdr:rowOff>
    </xdr:from>
    <xdr:to>
      <xdr:col>1</xdr:col>
      <xdr:colOff>352848</xdr:colOff>
      <xdr:row>0</xdr:row>
      <xdr:rowOff>743850</xdr:rowOff>
    </xdr:to>
    <xdr:pic>
      <xdr:nvPicPr>
        <xdr:cNvPr id="15" name="Image 9">
          <a:extLst>
            <a:ext uri="{FF2B5EF4-FFF2-40B4-BE49-F238E27FC236}">
              <a16:creationId xmlns:a16="http://schemas.microsoft.com/office/drawing/2014/main" id="{00000000-0008-0000-1000-00000F000000}"/>
            </a:ext>
          </a:extLst>
        </xdr:cNvPr>
        <xdr:cNvPicPr>
          <a:picLocks noChangeAspect="1"/>
        </xdr:cNvPicPr>
      </xdr:nvPicPr>
      <xdr:blipFill>
        <a:blip xmlns:r="http://schemas.openxmlformats.org/officeDocument/2006/relationships" r:embed="rId14">
          <a:duotone>
            <a:schemeClr val="accent5">
              <a:shade val="45000"/>
              <a:satMod val="135000"/>
            </a:schemeClr>
            <a:prstClr val="white"/>
          </a:duotone>
        </a:blip>
        <a:srcRect/>
        <a:stretch>
          <a:fillRect/>
        </a:stretch>
      </xdr:blipFill>
      <xdr:spPr bwMode="auto">
        <a:xfrm>
          <a:off x="0" y="110067"/>
          <a:ext cx="663575" cy="626798"/>
        </a:xfrm>
        <a:prstGeom prst="rect">
          <a:avLst/>
        </a:prstGeom>
        <a:noFill/>
        <a:ln>
          <a:noFill/>
        </a:ln>
      </xdr:spPr>
    </xdr:pic>
    <xdr:clientData fPrintsWithSheet="0"/>
  </xdr:twoCellAnchor>
  <xdr:twoCellAnchor editAs="absolute">
    <xdr:from>
      <xdr:col>11</xdr:col>
      <xdr:colOff>511275</xdr:colOff>
      <xdr:row>0</xdr:row>
      <xdr:rowOff>384396</xdr:rowOff>
    </xdr:from>
    <xdr:to>
      <xdr:col>14</xdr:col>
      <xdr:colOff>51005</xdr:colOff>
      <xdr:row>0</xdr:row>
      <xdr:rowOff>702734</xdr:rowOff>
    </xdr:to>
    <xdr:sp macro="" textlink="">
      <xdr:nvSpPr>
        <xdr:cNvPr id="16" name="ZoneTexte 15">
          <a:hlinkClick xmlns:r="http://schemas.openxmlformats.org/officeDocument/2006/relationships" r:id="rId15"/>
          <a:extLst>
            <a:ext uri="{FF2B5EF4-FFF2-40B4-BE49-F238E27FC236}">
              <a16:creationId xmlns:a16="http://schemas.microsoft.com/office/drawing/2014/main" id="{00000000-0008-0000-1000-000010000000}"/>
            </a:ext>
          </a:extLst>
        </xdr:cNvPr>
        <xdr:cNvSpPr txBox="1"/>
      </xdr:nvSpPr>
      <xdr:spPr>
        <a:xfrm>
          <a:off x="14216903" y="389476"/>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6</xdr:col>
      <xdr:colOff>142137</xdr:colOff>
      <xdr:row>0</xdr:row>
      <xdr:rowOff>133985</xdr:rowOff>
    </xdr:from>
    <xdr:to>
      <xdr:col>9</xdr:col>
      <xdr:colOff>1442408</xdr:colOff>
      <xdr:row>0</xdr:row>
      <xdr:rowOff>416137</xdr:rowOff>
    </xdr:to>
    <xdr:sp macro="" textlink="">
      <xdr:nvSpPr>
        <xdr:cNvPr id="17" name="Flèche : pentagone 16">
          <a:hlinkClick xmlns:r="http://schemas.openxmlformats.org/officeDocument/2006/relationships" r:id="rId9"/>
          <a:extLst>
            <a:ext uri="{FF2B5EF4-FFF2-40B4-BE49-F238E27FC236}">
              <a16:creationId xmlns:a16="http://schemas.microsoft.com/office/drawing/2014/main" id="{00000000-0008-0000-1000-000011000000}"/>
            </a:ext>
          </a:extLst>
        </xdr:cNvPr>
        <xdr:cNvSpPr/>
      </xdr:nvSpPr>
      <xdr:spPr>
        <a:xfrm>
          <a:off x="9345615" y="127000"/>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2</xdr:col>
      <xdr:colOff>801267</xdr:colOff>
      <xdr:row>0</xdr:row>
      <xdr:rowOff>130178</xdr:rowOff>
    </xdr:from>
    <xdr:to>
      <xdr:col>6</xdr:col>
      <xdr:colOff>217703</xdr:colOff>
      <xdr:row>0</xdr:row>
      <xdr:rowOff>416137</xdr:rowOff>
    </xdr:to>
    <xdr:sp macro="" textlink="">
      <xdr:nvSpPr>
        <xdr:cNvPr id="18" name="Flèche : pentagone 17">
          <a:hlinkClick xmlns:r="http://schemas.openxmlformats.org/officeDocument/2006/relationships" r:id="rId5"/>
          <a:extLst>
            <a:ext uri="{FF2B5EF4-FFF2-40B4-BE49-F238E27FC236}">
              <a16:creationId xmlns:a16="http://schemas.microsoft.com/office/drawing/2014/main" id="{00000000-0008-0000-1000-000012000000}"/>
            </a:ext>
          </a:extLst>
        </xdr:cNvPr>
        <xdr:cNvSpPr/>
      </xdr:nvSpPr>
      <xdr:spPr>
        <a:xfrm>
          <a:off x="5432957" y="123828"/>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1</xdr:col>
      <xdr:colOff>1228517</xdr:colOff>
      <xdr:row>0</xdr:row>
      <xdr:rowOff>130179</xdr:rowOff>
    </xdr:from>
    <xdr:to>
      <xdr:col>2</xdr:col>
      <xdr:colOff>1063311</xdr:colOff>
      <xdr:row>0</xdr:row>
      <xdr:rowOff>418595</xdr:rowOff>
    </xdr:to>
    <xdr:sp macro="" textlink="">
      <xdr:nvSpPr>
        <xdr:cNvPr id="19" name="Flèche : pentagone 18">
          <a:hlinkClick xmlns:r="http://schemas.openxmlformats.org/officeDocument/2006/relationships" r:id="rId2"/>
          <a:extLst>
            <a:ext uri="{FF2B5EF4-FFF2-40B4-BE49-F238E27FC236}">
              <a16:creationId xmlns:a16="http://schemas.microsoft.com/office/drawing/2014/main" id="{00000000-0008-0000-1000-000013000000}"/>
            </a:ext>
          </a:extLst>
        </xdr:cNvPr>
        <xdr:cNvSpPr/>
      </xdr:nvSpPr>
      <xdr:spPr>
        <a:xfrm>
          <a:off x="1524004" y="123829"/>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4</xdr:col>
      <xdr:colOff>728018</xdr:colOff>
      <xdr:row>0</xdr:row>
      <xdr:rowOff>396672</xdr:rowOff>
    </xdr:from>
    <xdr:to>
      <xdr:col>6</xdr:col>
      <xdr:colOff>28152</xdr:colOff>
      <xdr:row>0</xdr:row>
      <xdr:rowOff>706340</xdr:rowOff>
    </xdr:to>
    <xdr:sp macro="" textlink="">
      <xdr:nvSpPr>
        <xdr:cNvPr id="20" name="ZoneTexte 19">
          <a:hlinkClick xmlns:r="http://schemas.openxmlformats.org/officeDocument/2006/relationships" r:id="rId7"/>
          <a:extLst>
            <a:ext uri="{FF2B5EF4-FFF2-40B4-BE49-F238E27FC236}">
              <a16:creationId xmlns:a16="http://schemas.microsoft.com/office/drawing/2014/main" id="{00000000-0008-0000-1000-000014000000}"/>
            </a:ext>
          </a:extLst>
        </xdr:cNvPr>
        <xdr:cNvSpPr txBox="1"/>
      </xdr:nvSpPr>
      <xdr:spPr>
        <a:xfrm>
          <a:off x="8008929" y="397942"/>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1</xdr:col>
      <xdr:colOff>422701</xdr:colOff>
      <xdr:row>0</xdr:row>
      <xdr:rowOff>117267</xdr:rowOff>
    </xdr:from>
    <xdr:to>
      <xdr:col>1</xdr:col>
      <xdr:colOff>1356787</xdr:colOff>
      <xdr:row>0</xdr:row>
      <xdr:rowOff>415843</xdr:rowOff>
    </xdr:to>
    <xdr:sp macro="" textlink="">
      <xdr:nvSpPr>
        <xdr:cNvPr id="21" name="Flèche : pentagone 20">
          <a:extLst>
            <a:ext uri="{FF2B5EF4-FFF2-40B4-BE49-F238E27FC236}">
              <a16:creationId xmlns:a16="http://schemas.microsoft.com/office/drawing/2014/main" id="{00000000-0008-0000-1000-000015000000}"/>
            </a:ext>
          </a:extLst>
        </xdr:cNvPr>
        <xdr:cNvSpPr/>
      </xdr:nvSpPr>
      <xdr:spPr>
        <a:xfrm>
          <a:off x="727078" y="118537"/>
          <a:ext cx="923926"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9</xdr:col>
      <xdr:colOff>1436048</xdr:colOff>
      <xdr:row>0</xdr:row>
      <xdr:rowOff>384396</xdr:rowOff>
    </xdr:from>
    <xdr:to>
      <xdr:col>11</xdr:col>
      <xdr:colOff>205317</xdr:colOff>
      <xdr:row>0</xdr:row>
      <xdr:rowOff>702734</xdr:rowOff>
    </xdr:to>
    <xdr:sp macro="" textlink="">
      <xdr:nvSpPr>
        <xdr:cNvPr id="23" name="ZoneTexte 22">
          <a:hlinkClick xmlns:r="http://schemas.openxmlformats.org/officeDocument/2006/relationships" r:id="rId16"/>
          <a:extLst>
            <a:ext uri="{FF2B5EF4-FFF2-40B4-BE49-F238E27FC236}">
              <a16:creationId xmlns:a16="http://schemas.microsoft.com/office/drawing/2014/main" id="{00000000-0008-0000-1000-000017000000}"/>
            </a:ext>
          </a:extLst>
        </xdr:cNvPr>
        <xdr:cNvSpPr txBox="1"/>
      </xdr:nvSpPr>
      <xdr:spPr>
        <a:xfrm>
          <a:off x="13054430" y="389476"/>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xdr:from>
      <xdr:col>6</xdr:col>
      <xdr:colOff>914400</xdr:colOff>
      <xdr:row>131</xdr:row>
      <xdr:rowOff>340361</xdr:rowOff>
    </xdr:from>
    <xdr:to>
      <xdr:col>14</xdr:col>
      <xdr:colOff>397086</xdr:colOff>
      <xdr:row>141</xdr:row>
      <xdr:rowOff>179706</xdr:rowOff>
    </xdr:to>
    <xdr:grpSp>
      <xdr:nvGrpSpPr>
        <xdr:cNvPr id="40" name="Groupe 39">
          <a:extLst>
            <a:ext uri="{FF2B5EF4-FFF2-40B4-BE49-F238E27FC236}">
              <a16:creationId xmlns:a16="http://schemas.microsoft.com/office/drawing/2014/main" id="{00000000-0008-0000-1000-000028000000}"/>
            </a:ext>
          </a:extLst>
        </xdr:cNvPr>
        <xdr:cNvGrpSpPr/>
      </xdr:nvGrpSpPr>
      <xdr:grpSpPr>
        <a:xfrm>
          <a:off x="10126133" y="27281294"/>
          <a:ext cx="5883486" cy="2455545"/>
          <a:chOff x="10473267" y="1024467"/>
          <a:chExt cx="5046133" cy="2853266"/>
        </a:xfrm>
      </xdr:grpSpPr>
      <xdr:sp macro="" textlink="">
        <xdr:nvSpPr>
          <xdr:cNvPr id="22" name="ZoneTexte 21">
            <a:hlinkClick xmlns:r="http://schemas.openxmlformats.org/officeDocument/2006/relationships" r:id="rId17"/>
            <a:extLst>
              <a:ext uri="{FF2B5EF4-FFF2-40B4-BE49-F238E27FC236}">
                <a16:creationId xmlns:a16="http://schemas.microsoft.com/office/drawing/2014/main" id="{00000000-0008-0000-1000-000016000000}"/>
              </a:ext>
            </a:extLst>
          </xdr:cNvPr>
          <xdr:cNvSpPr txBox="1"/>
        </xdr:nvSpPr>
        <xdr:spPr>
          <a:xfrm>
            <a:off x="10822517" y="1253066"/>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Administration communale </a:t>
            </a:r>
          </a:p>
          <a:p>
            <a:endParaRPr lang="fr-BE" sz="1100" b="1">
              <a:solidFill>
                <a:srgbClr val="31869B"/>
              </a:solidFill>
            </a:endParaRPr>
          </a:p>
        </xdr:txBody>
      </xdr:sp>
      <xdr:sp macro="" textlink="">
        <xdr:nvSpPr>
          <xdr:cNvPr id="26" name="ZoneTexte 25">
            <a:hlinkClick xmlns:r="http://schemas.openxmlformats.org/officeDocument/2006/relationships" r:id="rId18"/>
            <a:extLst>
              <a:ext uri="{FF2B5EF4-FFF2-40B4-BE49-F238E27FC236}">
                <a16:creationId xmlns:a16="http://schemas.microsoft.com/office/drawing/2014/main" id="{00000000-0008-0000-1000-00001A000000}"/>
              </a:ext>
            </a:extLst>
          </xdr:cNvPr>
          <xdr:cNvSpPr txBox="1"/>
        </xdr:nvSpPr>
        <xdr:spPr>
          <a:xfrm>
            <a:off x="10822517" y="1540935"/>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Eclairage</a:t>
            </a:r>
            <a:r>
              <a:rPr lang="fr-BE" sz="1200" b="1" u="sng" baseline="0">
                <a:solidFill>
                  <a:srgbClr val="31869B"/>
                </a:solidFill>
              </a:rPr>
              <a:t> public</a:t>
            </a:r>
            <a:endParaRPr lang="fr-BE" sz="1200" b="1" u="sng">
              <a:solidFill>
                <a:srgbClr val="31869B"/>
              </a:solidFill>
            </a:endParaRPr>
          </a:p>
          <a:p>
            <a:endParaRPr lang="fr-BE" sz="1100" b="1">
              <a:solidFill>
                <a:srgbClr val="31869B"/>
              </a:solidFill>
            </a:endParaRPr>
          </a:p>
        </xdr:txBody>
      </xdr:sp>
      <xdr:sp macro="" textlink="">
        <xdr:nvSpPr>
          <xdr:cNvPr id="27" name="ZoneTexte 26">
            <a:hlinkClick xmlns:r="http://schemas.openxmlformats.org/officeDocument/2006/relationships" r:id="rId19"/>
            <a:extLst>
              <a:ext uri="{FF2B5EF4-FFF2-40B4-BE49-F238E27FC236}">
                <a16:creationId xmlns:a16="http://schemas.microsoft.com/office/drawing/2014/main" id="{00000000-0008-0000-1000-00001B000000}"/>
              </a:ext>
            </a:extLst>
          </xdr:cNvPr>
          <xdr:cNvSpPr txBox="1"/>
        </xdr:nvSpPr>
        <xdr:spPr>
          <a:xfrm>
            <a:off x="10814050" y="1871135"/>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Véhicules communaux</a:t>
            </a:r>
          </a:p>
          <a:p>
            <a:endParaRPr lang="fr-BE" sz="1100" b="1">
              <a:solidFill>
                <a:srgbClr val="31869B"/>
              </a:solidFill>
            </a:endParaRPr>
          </a:p>
        </xdr:txBody>
      </xdr:sp>
      <xdr:sp macro="" textlink="">
        <xdr:nvSpPr>
          <xdr:cNvPr id="28" name="ZoneTexte 27">
            <a:hlinkClick xmlns:r="http://schemas.openxmlformats.org/officeDocument/2006/relationships" r:id="rId20"/>
            <a:extLst>
              <a:ext uri="{FF2B5EF4-FFF2-40B4-BE49-F238E27FC236}">
                <a16:creationId xmlns:a16="http://schemas.microsoft.com/office/drawing/2014/main" id="{00000000-0008-0000-1000-00001C000000}"/>
              </a:ext>
            </a:extLst>
          </xdr:cNvPr>
          <xdr:cNvSpPr txBox="1"/>
        </xdr:nvSpPr>
        <xdr:spPr>
          <a:xfrm>
            <a:off x="10814050" y="2201334"/>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Industrie non-ETS</a:t>
            </a:r>
          </a:p>
          <a:p>
            <a:endParaRPr lang="fr-BE" sz="1100" b="1">
              <a:solidFill>
                <a:srgbClr val="31869B"/>
              </a:solidFill>
            </a:endParaRPr>
          </a:p>
        </xdr:txBody>
      </xdr:sp>
      <xdr:sp macro="" textlink="">
        <xdr:nvSpPr>
          <xdr:cNvPr id="29" name="ZoneTexte 28">
            <a:hlinkClick xmlns:r="http://schemas.openxmlformats.org/officeDocument/2006/relationships" r:id="rId21"/>
            <a:extLst>
              <a:ext uri="{FF2B5EF4-FFF2-40B4-BE49-F238E27FC236}">
                <a16:creationId xmlns:a16="http://schemas.microsoft.com/office/drawing/2014/main" id="{00000000-0008-0000-1000-00001D000000}"/>
              </a:ext>
            </a:extLst>
          </xdr:cNvPr>
          <xdr:cNvSpPr txBox="1"/>
        </xdr:nvSpPr>
        <xdr:spPr>
          <a:xfrm>
            <a:off x="10814050" y="2506136"/>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Tertiaire hors AC</a:t>
            </a:r>
          </a:p>
          <a:p>
            <a:endParaRPr lang="fr-BE" sz="1100" b="1">
              <a:solidFill>
                <a:srgbClr val="31869B"/>
              </a:solidFill>
            </a:endParaRPr>
          </a:p>
        </xdr:txBody>
      </xdr:sp>
      <xdr:sp macro="" textlink="">
        <xdr:nvSpPr>
          <xdr:cNvPr id="30" name="ZoneTexte 29">
            <a:hlinkClick xmlns:r="http://schemas.openxmlformats.org/officeDocument/2006/relationships" r:id="rId22"/>
            <a:extLst>
              <a:ext uri="{FF2B5EF4-FFF2-40B4-BE49-F238E27FC236}">
                <a16:creationId xmlns:a16="http://schemas.microsoft.com/office/drawing/2014/main" id="{00000000-0008-0000-1000-00001E000000}"/>
              </a:ext>
            </a:extLst>
          </xdr:cNvPr>
          <xdr:cNvSpPr txBox="1"/>
        </xdr:nvSpPr>
        <xdr:spPr>
          <a:xfrm>
            <a:off x="10814050" y="2785537"/>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Logement</a:t>
            </a:r>
          </a:p>
          <a:p>
            <a:endParaRPr lang="fr-BE" sz="1100" b="1">
              <a:solidFill>
                <a:srgbClr val="31869B"/>
              </a:solidFill>
            </a:endParaRPr>
          </a:p>
        </xdr:txBody>
      </xdr:sp>
      <xdr:sp macro="" textlink="">
        <xdr:nvSpPr>
          <xdr:cNvPr id="31" name="ZoneTexte 30">
            <a:hlinkClick xmlns:r="http://schemas.openxmlformats.org/officeDocument/2006/relationships" r:id="rId23"/>
            <a:extLst>
              <a:ext uri="{FF2B5EF4-FFF2-40B4-BE49-F238E27FC236}">
                <a16:creationId xmlns:a16="http://schemas.microsoft.com/office/drawing/2014/main" id="{00000000-0008-0000-1000-00001F000000}"/>
              </a:ext>
            </a:extLst>
          </xdr:cNvPr>
          <xdr:cNvSpPr txBox="1"/>
        </xdr:nvSpPr>
        <xdr:spPr>
          <a:xfrm>
            <a:off x="10814050" y="3064938"/>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Agriculture</a:t>
            </a:r>
          </a:p>
          <a:p>
            <a:endParaRPr lang="fr-BE" sz="1100" b="1">
              <a:solidFill>
                <a:srgbClr val="31869B"/>
              </a:solidFill>
            </a:endParaRPr>
          </a:p>
        </xdr:txBody>
      </xdr:sp>
      <xdr:sp macro="" textlink="">
        <xdr:nvSpPr>
          <xdr:cNvPr id="32" name="ZoneTexte 31">
            <a:hlinkClick xmlns:r="http://schemas.openxmlformats.org/officeDocument/2006/relationships" r:id="rId24"/>
            <a:extLst>
              <a:ext uri="{FF2B5EF4-FFF2-40B4-BE49-F238E27FC236}">
                <a16:creationId xmlns:a16="http://schemas.microsoft.com/office/drawing/2014/main" id="{00000000-0008-0000-1000-000020000000}"/>
              </a:ext>
            </a:extLst>
          </xdr:cNvPr>
          <xdr:cNvSpPr txBox="1"/>
        </xdr:nvSpPr>
        <xdr:spPr>
          <a:xfrm>
            <a:off x="10814050" y="3352807"/>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Transport</a:t>
            </a:r>
          </a:p>
          <a:p>
            <a:endParaRPr lang="fr-BE" sz="1100" b="1">
              <a:solidFill>
                <a:srgbClr val="31869B"/>
              </a:solidFill>
            </a:endParaRPr>
          </a:p>
        </xdr:txBody>
      </xdr:sp>
      <xdr:sp macro="" textlink="">
        <xdr:nvSpPr>
          <xdr:cNvPr id="33" name="ZoneTexte 32">
            <a:hlinkClick xmlns:r="http://schemas.openxmlformats.org/officeDocument/2006/relationships" r:id="rId25"/>
            <a:extLst>
              <a:ext uri="{FF2B5EF4-FFF2-40B4-BE49-F238E27FC236}">
                <a16:creationId xmlns:a16="http://schemas.microsoft.com/office/drawing/2014/main" id="{00000000-0008-0000-1000-000021000000}"/>
              </a:ext>
            </a:extLst>
          </xdr:cNvPr>
          <xdr:cNvSpPr txBox="1"/>
        </xdr:nvSpPr>
        <xdr:spPr>
          <a:xfrm>
            <a:off x="13116983" y="1253074"/>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Gestion des déchets</a:t>
            </a:r>
          </a:p>
          <a:p>
            <a:endParaRPr lang="fr-BE" sz="1100" b="1">
              <a:solidFill>
                <a:srgbClr val="31869B"/>
              </a:solidFill>
            </a:endParaRPr>
          </a:p>
        </xdr:txBody>
      </xdr:sp>
      <xdr:sp macro="" textlink="">
        <xdr:nvSpPr>
          <xdr:cNvPr id="34" name="ZoneTexte 33">
            <a:hlinkClick xmlns:r="http://schemas.openxmlformats.org/officeDocument/2006/relationships" r:id="rId26"/>
            <a:extLst>
              <a:ext uri="{FF2B5EF4-FFF2-40B4-BE49-F238E27FC236}">
                <a16:creationId xmlns:a16="http://schemas.microsoft.com/office/drawing/2014/main" id="{00000000-0008-0000-1000-000022000000}"/>
              </a:ext>
            </a:extLst>
          </xdr:cNvPr>
          <xdr:cNvSpPr txBox="1"/>
        </xdr:nvSpPr>
        <xdr:spPr>
          <a:xfrm>
            <a:off x="13116983" y="1583274"/>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Traitement des eaux</a:t>
            </a:r>
            <a:r>
              <a:rPr lang="fr-BE" sz="1200" b="1" u="sng" baseline="0">
                <a:solidFill>
                  <a:srgbClr val="31869B"/>
                </a:solidFill>
              </a:rPr>
              <a:t> usées</a:t>
            </a:r>
            <a:endParaRPr lang="fr-BE" sz="1200" b="1" u="sng">
              <a:solidFill>
                <a:srgbClr val="31869B"/>
              </a:solidFill>
            </a:endParaRPr>
          </a:p>
          <a:p>
            <a:endParaRPr lang="fr-BE" sz="1100" b="1">
              <a:solidFill>
                <a:srgbClr val="31869B"/>
              </a:solidFill>
            </a:endParaRPr>
          </a:p>
        </xdr:txBody>
      </xdr:sp>
      <xdr:sp macro="" textlink="">
        <xdr:nvSpPr>
          <xdr:cNvPr id="35" name="ZoneTexte 34">
            <a:hlinkClick xmlns:r="http://schemas.openxmlformats.org/officeDocument/2006/relationships" r:id="rId27"/>
            <a:extLst>
              <a:ext uri="{FF2B5EF4-FFF2-40B4-BE49-F238E27FC236}">
                <a16:creationId xmlns:a16="http://schemas.microsoft.com/office/drawing/2014/main" id="{00000000-0008-0000-1000-000023000000}"/>
              </a:ext>
            </a:extLst>
          </xdr:cNvPr>
          <xdr:cNvSpPr txBox="1"/>
        </xdr:nvSpPr>
        <xdr:spPr>
          <a:xfrm>
            <a:off x="13116983" y="1921940"/>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Autres</a:t>
            </a:r>
            <a:r>
              <a:rPr lang="fr-BE" sz="1200" b="1" u="sng" baseline="0">
                <a:solidFill>
                  <a:srgbClr val="31869B"/>
                </a:solidFill>
              </a:rPr>
              <a:t> non-énergétiques</a:t>
            </a:r>
            <a:endParaRPr lang="fr-BE" sz="1200" b="1" u="sng">
              <a:solidFill>
                <a:srgbClr val="31869B"/>
              </a:solidFill>
            </a:endParaRPr>
          </a:p>
          <a:p>
            <a:endParaRPr lang="fr-BE" sz="1100" b="1">
              <a:solidFill>
                <a:srgbClr val="31869B"/>
              </a:solidFill>
            </a:endParaRPr>
          </a:p>
        </xdr:txBody>
      </xdr:sp>
      <xdr:sp macro="" textlink="">
        <xdr:nvSpPr>
          <xdr:cNvPr id="36" name="ZoneTexte 35">
            <a:hlinkClick xmlns:r="http://schemas.openxmlformats.org/officeDocument/2006/relationships" r:id="rId28"/>
            <a:extLst>
              <a:ext uri="{FF2B5EF4-FFF2-40B4-BE49-F238E27FC236}">
                <a16:creationId xmlns:a16="http://schemas.microsoft.com/office/drawing/2014/main" id="{00000000-0008-0000-1000-000024000000}"/>
              </a:ext>
            </a:extLst>
          </xdr:cNvPr>
          <xdr:cNvSpPr txBox="1"/>
        </xdr:nvSpPr>
        <xdr:spPr>
          <a:xfrm>
            <a:off x="13125451" y="2497674"/>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Transferts</a:t>
            </a:r>
            <a:r>
              <a:rPr lang="fr-BE" sz="1200" b="1" u="sng" baseline="0">
                <a:solidFill>
                  <a:srgbClr val="31869B"/>
                </a:solidFill>
              </a:rPr>
              <a:t> de vecteurs</a:t>
            </a:r>
            <a:endParaRPr lang="fr-BE" sz="1200" b="1" u="sng">
              <a:solidFill>
                <a:srgbClr val="31869B"/>
              </a:solidFill>
            </a:endParaRPr>
          </a:p>
          <a:p>
            <a:endParaRPr lang="fr-BE" sz="1100" b="1">
              <a:solidFill>
                <a:srgbClr val="31869B"/>
              </a:solidFill>
            </a:endParaRPr>
          </a:p>
        </xdr:txBody>
      </xdr:sp>
      <xdr:sp macro="" textlink="">
        <xdr:nvSpPr>
          <xdr:cNvPr id="37" name="ZoneTexte 36">
            <a:hlinkClick xmlns:r="http://schemas.openxmlformats.org/officeDocument/2006/relationships" r:id="rId29"/>
            <a:extLst>
              <a:ext uri="{FF2B5EF4-FFF2-40B4-BE49-F238E27FC236}">
                <a16:creationId xmlns:a16="http://schemas.microsoft.com/office/drawing/2014/main" id="{00000000-0008-0000-1000-000025000000}"/>
              </a:ext>
            </a:extLst>
          </xdr:cNvPr>
          <xdr:cNvSpPr txBox="1"/>
        </xdr:nvSpPr>
        <xdr:spPr>
          <a:xfrm>
            <a:off x="13108517" y="2937940"/>
            <a:ext cx="2393949"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Adaptation</a:t>
            </a:r>
          </a:p>
          <a:p>
            <a:endParaRPr lang="fr-BE" sz="1100" b="1">
              <a:solidFill>
                <a:srgbClr val="31869B"/>
              </a:solidFill>
            </a:endParaRPr>
          </a:p>
        </xdr:txBody>
      </xdr:sp>
      <xdr:sp macro="" textlink="">
        <xdr:nvSpPr>
          <xdr:cNvPr id="39" name="Rectangle 38">
            <a:extLst>
              <a:ext uri="{FF2B5EF4-FFF2-40B4-BE49-F238E27FC236}">
                <a16:creationId xmlns:a16="http://schemas.microsoft.com/office/drawing/2014/main" id="{00000000-0008-0000-1000-000027000000}"/>
              </a:ext>
            </a:extLst>
          </xdr:cNvPr>
          <xdr:cNvSpPr/>
        </xdr:nvSpPr>
        <xdr:spPr>
          <a:xfrm>
            <a:off x="10473267" y="1024467"/>
            <a:ext cx="5012266" cy="2853266"/>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grpSp>
    <xdr:clientData/>
  </xdr:twoCellAnchor>
  <xdr:twoCellAnchor>
    <xdr:from>
      <xdr:col>5</xdr:col>
      <xdr:colOff>76200</xdr:colOff>
      <xdr:row>138</xdr:row>
      <xdr:rowOff>1</xdr:rowOff>
    </xdr:from>
    <xdr:to>
      <xdr:col>5</xdr:col>
      <xdr:colOff>338666</xdr:colOff>
      <xdr:row>145</xdr:row>
      <xdr:rowOff>169334</xdr:rowOff>
    </xdr:to>
    <xdr:sp macro="" textlink="">
      <xdr:nvSpPr>
        <xdr:cNvPr id="24" name="Accolade ouvrante 23">
          <a:extLst>
            <a:ext uri="{FF2B5EF4-FFF2-40B4-BE49-F238E27FC236}">
              <a16:creationId xmlns:a16="http://schemas.microsoft.com/office/drawing/2014/main" id="{00000000-0008-0000-1000-000018000000}"/>
            </a:ext>
          </a:extLst>
        </xdr:cNvPr>
        <xdr:cNvSpPr/>
      </xdr:nvSpPr>
      <xdr:spPr>
        <a:xfrm rot="10800000">
          <a:off x="8441267" y="28998334"/>
          <a:ext cx="262466" cy="1473200"/>
        </a:xfrm>
        <a:prstGeom prst="leftBrace">
          <a:avLst>
            <a:gd name="adj1" fmla="val 8333"/>
            <a:gd name="adj2" fmla="val 52874"/>
          </a:avLst>
        </a:prstGeom>
        <a:ln>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xdr:from>
      <xdr:col>5</xdr:col>
      <xdr:colOff>364066</xdr:colOff>
      <xdr:row>141</xdr:row>
      <xdr:rowOff>1</xdr:rowOff>
    </xdr:from>
    <xdr:to>
      <xdr:col>6</xdr:col>
      <xdr:colOff>821266</xdr:colOff>
      <xdr:row>143</xdr:row>
      <xdr:rowOff>59267</xdr:rowOff>
    </xdr:to>
    <xdr:sp macro="" textlink="">
      <xdr:nvSpPr>
        <xdr:cNvPr id="25" name="ZoneTexte 24">
          <a:extLst>
            <a:ext uri="{FF2B5EF4-FFF2-40B4-BE49-F238E27FC236}">
              <a16:creationId xmlns:a16="http://schemas.microsoft.com/office/drawing/2014/main" id="{00000000-0008-0000-1000-000019000000}"/>
            </a:ext>
          </a:extLst>
        </xdr:cNvPr>
        <xdr:cNvSpPr txBox="1"/>
      </xdr:nvSpPr>
      <xdr:spPr>
        <a:xfrm>
          <a:off x="8729133" y="29557134"/>
          <a:ext cx="1413933"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a:solidFill>
                <a:schemeClr val="accent5">
                  <a:lumMod val="75000"/>
                </a:schemeClr>
              </a:solidFill>
            </a:rPr>
            <a:t>Mesures</a:t>
          </a:r>
          <a:r>
            <a:rPr lang="fr-BE" sz="1100" baseline="0">
              <a:solidFill>
                <a:schemeClr val="accent5">
                  <a:lumMod val="75000"/>
                </a:schemeClr>
              </a:solidFill>
            </a:rPr>
            <a:t> prédéfinies</a:t>
          </a:r>
          <a:endParaRPr lang="fr-BE" sz="1100">
            <a:solidFill>
              <a:schemeClr val="accent5">
                <a:lumMod val="75000"/>
              </a:schemeClr>
            </a:solidFill>
          </a:endParaRPr>
        </a:p>
      </xdr:txBody>
    </xdr:sp>
    <xdr:clientData/>
  </xdr:twoCellAnchor>
  <xdr:twoCellAnchor>
    <xdr:from>
      <xdr:col>5</xdr:col>
      <xdr:colOff>67733</xdr:colOff>
      <xdr:row>195</xdr:row>
      <xdr:rowOff>9313</xdr:rowOff>
    </xdr:from>
    <xdr:to>
      <xdr:col>5</xdr:col>
      <xdr:colOff>330199</xdr:colOff>
      <xdr:row>202</xdr:row>
      <xdr:rowOff>186266</xdr:rowOff>
    </xdr:to>
    <xdr:sp macro="" textlink="">
      <xdr:nvSpPr>
        <xdr:cNvPr id="38" name="Accolade ouvrante 37">
          <a:extLst>
            <a:ext uri="{FF2B5EF4-FFF2-40B4-BE49-F238E27FC236}">
              <a16:creationId xmlns:a16="http://schemas.microsoft.com/office/drawing/2014/main" id="{00000000-0008-0000-1000-000026000000}"/>
            </a:ext>
          </a:extLst>
        </xdr:cNvPr>
        <xdr:cNvSpPr/>
      </xdr:nvSpPr>
      <xdr:spPr>
        <a:xfrm rot="10800000">
          <a:off x="8432800" y="40776313"/>
          <a:ext cx="262466" cy="1480820"/>
        </a:xfrm>
        <a:prstGeom prst="leftBrace">
          <a:avLst>
            <a:gd name="adj1" fmla="val 8333"/>
            <a:gd name="adj2" fmla="val 52874"/>
          </a:avLst>
        </a:prstGeom>
        <a:ln>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xdr:from>
      <xdr:col>5</xdr:col>
      <xdr:colOff>355599</xdr:colOff>
      <xdr:row>198</xdr:row>
      <xdr:rowOff>16933</xdr:rowOff>
    </xdr:from>
    <xdr:to>
      <xdr:col>6</xdr:col>
      <xdr:colOff>812799</xdr:colOff>
      <xdr:row>200</xdr:row>
      <xdr:rowOff>76200</xdr:rowOff>
    </xdr:to>
    <xdr:sp macro="" textlink="">
      <xdr:nvSpPr>
        <xdr:cNvPr id="41" name="ZoneTexte 40">
          <a:extLst>
            <a:ext uri="{FF2B5EF4-FFF2-40B4-BE49-F238E27FC236}">
              <a16:creationId xmlns:a16="http://schemas.microsoft.com/office/drawing/2014/main" id="{00000000-0008-0000-1000-000029000000}"/>
            </a:ext>
          </a:extLst>
        </xdr:cNvPr>
        <xdr:cNvSpPr txBox="1"/>
      </xdr:nvSpPr>
      <xdr:spPr>
        <a:xfrm>
          <a:off x="8720666" y="41342733"/>
          <a:ext cx="1413933"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a:solidFill>
                <a:schemeClr val="accent5">
                  <a:lumMod val="75000"/>
                </a:schemeClr>
              </a:solidFill>
            </a:rPr>
            <a:t>Mesures</a:t>
          </a:r>
          <a:r>
            <a:rPr lang="fr-BE" sz="1100" baseline="0">
              <a:solidFill>
                <a:schemeClr val="accent5">
                  <a:lumMod val="75000"/>
                </a:schemeClr>
              </a:solidFill>
            </a:rPr>
            <a:t> prédéfinies</a:t>
          </a:r>
          <a:endParaRPr lang="fr-BE" sz="1100">
            <a:solidFill>
              <a:schemeClr val="accent5">
                <a:lumMod val="7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480060</xdr:colOff>
          <xdr:row>0</xdr:row>
          <xdr:rowOff>175260</xdr:rowOff>
        </xdr:from>
        <xdr:to>
          <xdr:col>5</xdr:col>
          <xdr:colOff>1112520</xdr:colOff>
          <xdr:row>1</xdr:row>
          <xdr:rowOff>30480</xdr:rowOff>
        </xdr:to>
        <xdr:sp macro="" textlink="">
          <xdr:nvSpPr>
            <xdr:cNvPr id="50902017" name="Button 1" hidden="1">
              <a:extLst>
                <a:ext uri="{63B3BB69-23CF-44E3-9099-C40C66FF867C}">
                  <a14:compatExt spid="_x0000_s50902017"/>
                </a:ext>
                <a:ext uri="{FF2B5EF4-FFF2-40B4-BE49-F238E27FC236}">
                  <a16:creationId xmlns:a16="http://schemas.microsoft.com/office/drawing/2014/main" id="{00000000-0008-0000-1300-000001B408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Créer une nouvelle fiche action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xdr:row>
          <xdr:rowOff>106680</xdr:rowOff>
        </xdr:from>
        <xdr:to>
          <xdr:col>10</xdr:col>
          <xdr:colOff>7620</xdr:colOff>
          <xdr:row>7</xdr:row>
          <xdr:rowOff>312420</xdr:rowOff>
        </xdr:to>
        <xdr:sp macro="" textlink="">
          <xdr:nvSpPr>
            <xdr:cNvPr id="50902018" name="Button 2" hidden="1">
              <a:extLst>
                <a:ext uri="{63B3BB69-23CF-44E3-9099-C40C66FF867C}">
                  <a14:compatExt spid="_x0000_s50902018"/>
                </a:ext>
                <a:ext uri="{FF2B5EF4-FFF2-40B4-BE49-F238E27FC236}">
                  <a16:creationId xmlns:a16="http://schemas.microsoft.com/office/drawing/2014/main" id="{00000000-0008-0000-1300-000002B408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Importer</a:t>
              </a:r>
            </a:p>
          </xdr:txBody>
        </xdr:sp>
        <xdr:clientData fPrintsWithSheet="0"/>
      </xdr:twoCellAnchor>
    </mc:Choice>
    <mc:Fallback/>
  </mc:AlternateContent>
  <xdr:twoCellAnchor>
    <xdr:from>
      <xdr:col>8</xdr:col>
      <xdr:colOff>2201333</xdr:colOff>
      <xdr:row>5</xdr:row>
      <xdr:rowOff>52917</xdr:rowOff>
    </xdr:from>
    <xdr:to>
      <xdr:col>8</xdr:col>
      <xdr:colOff>2465917</xdr:colOff>
      <xdr:row>5</xdr:row>
      <xdr:rowOff>190500</xdr:rowOff>
    </xdr:to>
    <xdr:sp macro="" textlink="">
      <xdr:nvSpPr>
        <xdr:cNvPr id="4" name="Flèche : droite 3">
          <a:extLst>
            <a:ext uri="{FF2B5EF4-FFF2-40B4-BE49-F238E27FC236}">
              <a16:creationId xmlns:a16="http://schemas.microsoft.com/office/drawing/2014/main" id="{00000000-0008-0000-1200-000004000000}"/>
            </a:ext>
          </a:extLst>
        </xdr:cNvPr>
        <xdr:cNvSpPr/>
      </xdr:nvSpPr>
      <xdr:spPr>
        <a:xfrm>
          <a:off x="14621933" y="1675977"/>
          <a:ext cx="264584" cy="137583"/>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BE"/>
        </a:p>
      </xdr:txBody>
    </xdr:sp>
    <xdr:clientData/>
  </xdr:twoCellAnchor>
  <mc:AlternateContent xmlns:mc="http://schemas.openxmlformats.org/markup-compatibility/2006">
    <mc:Choice xmlns:a14="http://schemas.microsoft.com/office/drawing/2010/main" Requires="a14">
      <xdr:twoCellAnchor editAs="oneCell">
        <xdr:from>
          <xdr:col>8</xdr:col>
          <xdr:colOff>2118360</xdr:colOff>
          <xdr:row>0</xdr:row>
          <xdr:rowOff>190500</xdr:rowOff>
        </xdr:from>
        <xdr:to>
          <xdr:col>11</xdr:col>
          <xdr:colOff>0</xdr:colOff>
          <xdr:row>1</xdr:row>
          <xdr:rowOff>60960</xdr:rowOff>
        </xdr:to>
        <xdr:sp macro="" textlink="">
          <xdr:nvSpPr>
            <xdr:cNvPr id="50902021" name="Button 5" hidden="1">
              <a:extLst>
                <a:ext uri="{63B3BB69-23CF-44E3-9099-C40C66FF867C}">
                  <a14:compatExt spid="_x0000_s50902021"/>
                </a:ext>
                <a:ext uri="{FF2B5EF4-FFF2-40B4-BE49-F238E27FC236}">
                  <a16:creationId xmlns:a16="http://schemas.microsoft.com/office/drawing/2014/main" id="{00000000-0008-0000-1300-000005B408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FF0000"/>
                  </a:solidFill>
                  <a:latin typeface="Calibri"/>
                  <a:ea typeface="Calibri"/>
                  <a:cs typeface="Calibri"/>
                </a:rPr>
                <a:t>Supprimer cette fiche action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xdr:row>
          <xdr:rowOff>144780</xdr:rowOff>
        </xdr:from>
        <xdr:to>
          <xdr:col>5</xdr:col>
          <xdr:colOff>1150620</xdr:colOff>
          <xdr:row>7</xdr:row>
          <xdr:rowOff>381000</xdr:rowOff>
        </xdr:to>
        <xdr:sp macro="" textlink="">
          <xdr:nvSpPr>
            <xdr:cNvPr id="50902022" name="Button 6" hidden="1">
              <a:extLst>
                <a:ext uri="{63B3BB69-23CF-44E3-9099-C40C66FF867C}">
                  <a14:compatExt spid="_x0000_s50902022"/>
                </a:ext>
                <a:ext uri="{FF2B5EF4-FFF2-40B4-BE49-F238E27FC236}">
                  <a16:creationId xmlns:a16="http://schemas.microsoft.com/office/drawing/2014/main" id="{00000000-0008-0000-1300-000006B408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Module de calcul de la participation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49</xdr:row>
          <xdr:rowOff>121920</xdr:rowOff>
        </xdr:from>
        <xdr:to>
          <xdr:col>4</xdr:col>
          <xdr:colOff>914400</xdr:colOff>
          <xdr:row>51</xdr:row>
          <xdr:rowOff>106680</xdr:rowOff>
        </xdr:to>
        <xdr:sp macro="" textlink="">
          <xdr:nvSpPr>
            <xdr:cNvPr id="50902023" name="Button 7" hidden="1">
              <a:extLst>
                <a:ext uri="{63B3BB69-23CF-44E3-9099-C40C66FF867C}">
                  <a14:compatExt spid="_x0000_s50902023"/>
                </a:ext>
                <a:ext uri="{FF2B5EF4-FFF2-40B4-BE49-F238E27FC236}">
                  <a16:creationId xmlns:a16="http://schemas.microsoft.com/office/drawing/2014/main" id="{00000000-0008-0000-1300-000007B408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Utiliser cette valeur comme participation à l'objectif ciblé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746760</xdr:colOff>
          <xdr:row>91</xdr:row>
          <xdr:rowOff>106680</xdr:rowOff>
        </xdr:from>
        <xdr:to>
          <xdr:col>4</xdr:col>
          <xdr:colOff>784860</xdr:colOff>
          <xdr:row>93</xdr:row>
          <xdr:rowOff>76200</xdr:rowOff>
        </xdr:to>
        <xdr:sp macro="" textlink="">
          <xdr:nvSpPr>
            <xdr:cNvPr id="50902024" name="Button 8" hidden="1">
              <a:extLst>
                <a:ext uri="{63B3BB69-23CF-44E3-9099-C40C66FF867C}">
                  <a14:compatExt spid="_x0000_s50902024"/>
                </a:ext>
                <a:ext uri="{FF2B5EF4-FFF2-40B4-BE49-F238E27FC236}">
                  <a16:creationId xmlns:a16="http://schemas.microsoft.com/office/drawing/2014/main" id="{00000000-0008-0000-1300-000008B408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Utiliser cette valeur comme participation à l'objectif ciblé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70</xdr:row>
          <xdr:rowOff>121920</xdr:rowOff>
        </xdr:from>
        <xdr:to>
          <xdr:col>4</xdr:col>
          <xdr:colOff>838200</xdr:colOff>
          <xdr:row>72</xdr:row>
          <xdr:rowOff>99060</xdr:rowOff>
        </xdr:to>
        <xdr:sp macro="" textlink="">
          <xdr:nvSpPr>
            <xdr:cNvPr id="50902025" name="Button 9" hidden="1">
              <a:extLst>
                <a:ext uri="{63B3BB69-23CF-44E3-9099-C40C66FF867C}">
                  <a14:compatExt spid="_x0000_s50902025"/>
                </a:ext>
                <a:ext uri="{FF2B5EF4-FFF2-40B4-BE49-F238E27FC236}">
                  <a16:creationId xmlns:a16="http://schemas.microsoft.com/office/drawing/2014/main" id="{00000000-0008-0000-1300-000009B408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Utiliser cette valeur comme participation à l'objectif ciblé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1257300</xdr:colOff>
          <xdr:row>0</xdr:row>
          <xdr:rowOff>175260</xdr:rowOff>
        </xdr:from>
        <xdr:to>
          <xdr:col>6</xdr:col>
          <xdr:colOff>868680</xdr:colOff>
          <xdr:row>1</xdr:row>
          <xdr:rowOff>22860</xdr:rowOff>
        </xdr:to>
        <xdr:sp macro="" textlink="">
          <xdr:nvSpPr>
            <xdr:cNvPr id="50902026" name="Button 10" hidden="1">
              <a:extLst>
                <a:ext uri="{63B3BB69-23CF-44E3-9099-C40C66FF867C}">
                  <a14:compatExt spid="_x0000_s50902026"/>
                </a:ext>
                <a:ext uri="{FF2B5EF4-FFF2-40B4-BE49-F238E27FC236}">
                  <a16:creationId xmlns:a16="http://schemas.microsoft.com/office/drawing/2014/main" id="{00000000-0008-0000-1300-00000AB408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FF0000"/>
                  </a:solidFill>
                  <a:latin typeface="Calibri"/>
                  <a:ea typeface="Calibri"/>
                  <a:cs typeface="Calibri"/>
                </a:rPr>
                <a:t>RESET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1242060</xdr:colOff>
          <xdr:row>1</xdr:row>
          <xdr:rowOff>99060</xdr:rowOff>
        </xdr:from>
        <xdr:to>
          <xdr:col>5</xdr:col>
          <xdr:colOff>0</xdr:colOff>
          <xdr:row>1</xdr:row>
          <xdr:rowOff>312420</xdr:rowOff>
        </xdr:to>
        <xdr:sp macro="" textlink="">
          <xdr:nvSpPr>
            <xdr:cNvPr id="50902028" name="Option Button 12" hidden="1">
              <a:extLst>
                <a:ext uri="{63B3BB69-23CF-44E3-9099-C40C66FF867C}">
                  <a14:compatExt spid="_x0000_s50902028"/>
                </a:ext>
                <a:ext uri="{FF2B5EF4-FFF2-40B4-BE49-F238E27FC236}">
                  <a16:creationId xmlns:a16="http://schemas.microsoft.com/office/drawing/2014/main" id="{00000000-0008-0000-1300-00000CB4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1242060</xdr:colOff>
          <xdr:row>2</xdr:row>
          <xdr:rowOff>0</xdr:rowOff>
        </xdr:from>
        <xdr:to>
          <xdr:col>5</xdr:col>
          <xdr:colOff>0</xdr:colOff>
          <xdr:row>2</xdr:row>
          <xdr:rowOff>213360</xdr:rowOff>
        </xdr:to>
        <xdr:sp macro="" textlink="">
          <xdr:nvSpPr>
            <xdr:cNvPr id="50902029" name="Option Button 13" hidden="1">
              <a:extLst>
                <a:ext uri="{63B3BB69-23CF-44E3-9099-C40C66FF867C}">
                  <a14:compatExt spid="_x0000_s50902029"/>
                </a:ext>
                <a:ext uri="{FF2B5EF4-FFF2-40B4-BE49-F238E27FC236}">
                  <a16:creationId xmlns:a16="http://schemas.microsoft.com/office/drawing/2014/main" id="{00000000-0008-0000-1300-00000DB4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1249680</xdr:colOff>
          <xdr:row>2</xdr:row>
          <xdr:rowOff>220980</xdr:rowOff>
        </xdr:from>
        <xdr:to>
          <xdr:col>5</xdr:col>
          <xdr:colOff>7620</xdr:colOff>
          <xdr:row>2</xdr:row>
          <xdr:rowOff>441960</xdr:rowOff>
        </xdr:to>
        <xdr:sp macro="" textlink="">
          <xdr:nvSpPr>
            <xdr:cNvPr id="50902031" name="Check Box 15" hidden="1">
              <a:extLst>
                <a:ext uri="{63B3BB69-23CF-44E3-9099-C40C66FF867C}">
                  <a14:compatExt spid="_x0000_s50902031"/>
                </a:ext>
                <a:ext uri="{FF2B5EF4-FFF2-40B4-BE49-F238E27FC236}">
                  <a16:creationId xmlns:a16="http://schemas.microsoft.com/office/drawing/2014/main" id="{00000000-0008-0000-1300-00000FB4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175260</xdr:colOff>
          <xdr:row>2</xdr:row>
          <xdr:rowOff>213360</xdr:rowOff>
        </xdr:from>
        <xdr:to>
          <xdr:col>1</xdr:col>
          <xdr:colOff>457200</xdr:colOff>
          <xdr:row>2</xdr:row>
          <xdr:rowOff>441960</xdr:rowOff>
        </xdr:to>
        <xdr:sp macro="" textlink="">
          <xdr:nvSpPr>
            <xdr:cNvPr id="50902032" name="Check Box 16" hidden="1">
              <a:extLst>
                <a:ext uri="{63B3BB69-23CF-44E3-9099-C40C66FF867C}">
                  <a14:compatExt spid="_x0000_s50902032"/>
                </a:ext>
                <a:ext uri="{FF2B5EF4-FFF2-40B4-BE49-F238E27FC236}">
                  <a16:creationId xmlns:a16="http://schemas.microsoft.com/office/drawing/2014/main" id="{00000000-0008-0000-1300-000010B4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7</xdr:col>
      <xdr:colOff>30271</xdr:colOff>
      <xdr:row>21</xdr:row>
      <xdr:rowOff>45932</xdr:rowOff>
    </xdr:from>
    <xdr:to>
      <xdr:col>8</xdr:col>
      <xdr:colOff>563671</xdr:colOff>
      <xdr:row>24</xdr:row>
      <xdr:rowOff>95885</xdr:rowOff>
    </xdr:to>
    <xdr:sp macro="" textlink="">
      <xdr:nvSpPr>
        <xdr:cNvPr id="8" name="Flèche : pentagone 7">
          <a:extLst>
            <a:ext uri="{FF2B5EF4-FFF2-40B4-BE49-F238E27FC236}">
              <a16:creationId xmlns:a16="http://schemas.microsoft.com/office/drawing/2014/main" id="{00000000-0008-0000-1200-000008000000}"/>
            </a:ext>
          </a:extLst>
        </xdr:cNvPr>
        <xdr:cNvSpPr/>
      </xdr:nvSpPr>
      <xdr:spPr>
        <a:xfrm rot="5400000">
          <a:off x="12681164" y="6492664"/>
          <a:ext cx="853863" cy="1047750"/>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endParaRPr lang="fr-BE" sz="800" b="1">
            <a:solidFill>
              <a:srgbClr val="31869B"/>
            </a:solidFill>
          </a:endParaRPr>
        </a:p>
        <a:p>
          <a:pPr algn="ctr"/>
          <a:r>
            <a:rPr lang="fr-BE" sz="1400" b="1">
              <a:solidFill>
                <a:srgbClr val="31869B"/>
              </a:solidFill>
            </a:rPr>
            <a:t>Rapportage</a:t>
          </a:r>
        </a:p>
      </xdr:txBody>
    </xdr:sp>
    <xdr:clientData/>
  </xdr:twoCellAnchor>
  <xdr:twoCellAnchor editAs="absolute">
    <xdr:from>
      <xdr:col>7</xdr:col>
      <xdr:colOff>30271</xdr:colOff>
      <xdr:row>16</xdr:row>
      <xdr:rowOff>201934</xdr:rowOff>
    </xdr:from>
    <xdr:to>
      <xdr:col>8</xdr:col>
      <xdr:colOff>563671</xdr:colOff>
      <xdr:row>21</xdr:row>
      <xdr:rowOff>297180</xdr:rowOff>
    </xdr:to>
    <xdr:sp macro="" textlink="">
      <xdr:nvSpPr>
        <xdr:cNvPr id="9" name="Flèche : pentagone 8">
          <a:extLst>
            <a:ext uri="{FF2B5EF4-FFF2-40B4-BE49-F238E27FC236}">
              <a16:creationId xmlns:a16="http://schemas.microsoft.com/office/drawing/2014/main" id="{00000000-0008-0000-1200-000009000000}"/>
            </a:ext>
          </a:extLst>
        </xdr:cNvPr>
        <xdr:cNvSpPr/>
      </xdr:nvSpPr>
      <xdr:spPr>
        <a:xfrm rot="5400000">
          <a:off x="12462303" y="5667377"/>
          <a:ext cx="1291586" cy="1047750"/>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fr-BE" sz="1400" b="1"/>
            <a:t>Synthèses</a:t>
          </a:r>
        </a:p>
      </xdr:txBody>
    </xdr:sp>
    <xdr:clientData/>
  </xdr:twoCellAnchor>
  <xdr:twoCellAnchor editAs="absolute">
    <xdr:from>
      <xdr:col>7</xdr:col>
      <xdr:colOff>32388</xdr:colOff>
      <xdr:row>14</xdr:row>
      <xdr:rowOff>200874</xdr:rowOff>
    </xdr:from>
    <xdr:to>
      <xdr:col>8</xdr:col>
      <xdr:colOff>563671</xdr:colOff>
      <xdr:row>17</xdr:row>
      <xdr:rowOff>78104</xdr:rowOff>
    </xdr:to>
    <xdr:sp macro="" textlink="">
      <xdr:nvSpPr>
        <xdr:cNvPr id="10" name="Flèche : pentagone 9">
          <a:extLst>
            <a:ext uri="{FF2B5EF4-FFF2-40B4-BE49-F238E27FC236}">
              <a16:creationId xmlns:a16="http://schemas.microsoft.com/office/drawing/2014/main" id="{00000000-0008-0000-1200-00000A000000}"/>
            </a:ext>
          </a:extLst>
        </xdr:cNvPr>
        <xdr:cNvSpPr/>
      </xdr:nvSpPr>
      <xdr:spPr>
        <a:xfrm rot="5400000">
          <a:off x="12475215" y="4664922"/>
          <a:ext cx="1267880" cy="1045633"/>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endParaRPr lang="fr-BE" sz="1400" b="1"/>
        </a:p>
        <a:p>
          <a:pPr algn="ctr"/>
          <a:r>
            <a:rPr lang="fr-BE" sz="1400" b="1"/>
            <a:t>Planification</a:t>
          </a:r>
        </a:p>
        <a:p>
          <a:pPr algn="ctr"/>
          <a:r>
            <a:rPr lang="fr-BE" sz="1400" b="1"/>
            <a:t>Suivi</a:t>
          </a:r>
        </a:p>
      </xdr:txBody>
    </xdr:sp>
    <xdr:clientData/>
  </xdr:twoCellAnchor>
  <xdr:twoCellAnchor editAs="absolute">
    <xdr:from>
      <xdr:col>6</xdr:col>
      <xdr:colOff>1038227</xdr:colOff>
      <xdr:row>10</xdr:row>
      <xdr:rowOff>47625</xdr:rowOff>
    </xdr:from>
    <xdr:to>
      <xdr:col>8</xdr:col>
      <xdr:colOff>1191508</xdr:colOff>
      <xdr:row>11</xdr:row>
      <xdr:rowOff>192194</xdr:rowOff>
    </xdr:to>
    <xdr:sp macro="" textlink="">
      <xdr:nvSpPr>
        <xdr:cNvPr id="11" name="ZoneTexte 10">
          <a:extLst>
            <a:ext uri="{FF2B5EF4-FFF2-40B4-BE49-F238E27FC236}">
              <a16:creationId xmlns:a16="http://schemas.microsoft.com/office/drawing/2014/main" id="{00000000-0008-0000-1200-00000B000000}"/>
            </a:ext>
          </a:extLst>
        </xdr:cNvPr>
        <xdr:cNvSpPr txBox="1"/>
      </xdr:nvSpPr>
      <xdr:spPr>
        <a:xfrm>
          <a:off x="12534902" y="3571875"/>
          <a:ext cx="1728716" cy="344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400" b="1" u="sng">
              <a:solidFill>
                <a:srgbClr val="215967"/>
              </a:solidFill>
            </a:rPr>
            <a:t>Navigation:</a:t>
          </a:r>
        </a:p>
        <a:p>
          <a:endParaRPr lang="fr-BE" sz="1400" b="1" u="sng">
            <a:solidFill>
              <a:srgbClr val="215967"/>
            </a:solidFill>
          </a:endParaRPr>
        </a:p>
      </xdr:txBody>
    </xdr:sp>
    <xdr:clientData/>
  </xdr:twoCellAnchor>
  <xdr:twoCellAnchor editAs="absolute">
    <xdr:from>
      <xdr:col>8</xdr:col>
      <xdr:colOff>506518</xdr:colOff>
      <xdr:row>11</xdr:row>
      <xdr:rowOff>144570</xdr:rowOff>
    </xdr:from>
    <xdr:to>
      <xdr:col>8</xdr:col>
      <xdr:colOff>2234817</xdr:colOff>
      <xdr:row>12</xdr:row>
      <xdr:rowOff>180130</xdr:rowOff>
    </xdr:to>
    <xdr:sp macro="" textlink="">
      <xdr:nvSpPr>
        <xdr:cNvPr id="12" name="ZoneTexte 11">
          <a:hlinkClick xmlns:r="http://schemas.openxmlformats.org/officeDocument/2006/relationships" r:id="rId1"/>
          <a:extLst>
            <a:ext uri="{FF2B5EF4-FFF2-40B4-BE49-F238E27FC236}">
              <a16:creationId xmlns:a16="http://schemas.microsoft.com/office/drawing/2014/main" id="{00000000-0008-0000-1200-00000C000000}"/>
            </a:ext>
          </a:extLst>
        </xdr:cNvPr>
        <xdr:cNvSpPr txBox="1"/>
      </xdr:nvSpPr>
      <xdr:spPr>
        <a:xfrm>
          <a:off x="13574818" y="3878370"/>
          <a:ext cx="1720679" cy="248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215967"/>
              </a:solidFill>
            </a:rPr>
            <a:t>&gt; </a:t>
          </a:r>
          <a:r>
            <a:rPr lang="fr-BE" sz="1200" b="1" u="sng">
              <a:solidFill>
                <a:srgbClr val="215967"/>
              </a:solidFill>
            </a:rPr>
            <a:t>Données de bilans </a:t>
          </a:r>
        </a:p>
        <a:p>
          <a:endParaRPr lang="fr-BE" sz="1100" b="1">
            <a:solidFill>
              <a:srgbClr val="215967"/>
            </a:solidFill>
          </a:endParaRPr>
        </a:p>
      </xdr:txBody>
    </xdr:sp>
    <xdr:clientData/>
  </xdr:twoCellAnchor>
  <xdr:twoCellAnchor editAs="absolute">
    <xdr:from>
      <xdr:col>8</xdr:col>
      <xdr:colOff>496359</xdr:colOff>
      <xdr:row>12</xdr:row>
      <xdr:rowOff>168278</xdr:rowOff>
    </xdr:from>
    <xdr:to>
      <xdr:col>8</xdr:col>
      <xdr:colOff>2237987</xdr:colOff>
      <xdr:row>14</xdr:row>
      <xdr:rowOff>54401</xdr:rowOff>
    </xdr:to>
    <xdr:sp macro="" textlink="">
      <xdr:nvSpPr>
        <xdr:cNvPr id="13" name="ZoneTexte 12">
          <a:hlinkClick xmlns:r="http://schemas.openxmlformats.org/officeDocument/2006/relationships" r:id="rId2"/>
          <a:extLst>
            <a:ext uri="{FF2B5EF4-FFF2-40B4-BE49-F238E27FC236}">
              <a16:creationId xmlns:a16="http://schemas.microsoft.com/office/drawing/2014/main" id="{00000000-0008-0000-1200-00000D000000}"/>
            </a:ext>
          </a:extLst>
        </xdr:cNvPr>
        <xdr:cNvSpPr txBox="1"/>
      </xdr:nvSpPr>
      <xdr:spPr>
        <a:xfrm>
          <a:off x="13564659" y="4111628"/>
          <a:ext cx="1737818" cy="29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215967"/>
              </a:solidFill>
            </a:rPr>
            <a:t>&gt; </a:t>
          </a:r>
          <a:r>
            <a:rPr lang="fr-BE" sz="1200" b="1" u="sng">
              <a:solidFill>
                <a:srgbClr val="215967"/>
              </a:solidFill>
            </a:rPr>
            <a:t>Bilan patrimonial </a:t>
          </a:r>
        </a:p>
        <a:p>
          <a:endParaRPr lang="fr-BE" sz="1100" b="1">
            <a:solidFill>
              <a:srgbClr val="215967"/>
            </a:solidFill>
          </a:endParaRPr>
        </a:p>
      </xdr:txBody>
    </xdr:sp>
    <xdr:clientData/>
  </xdr:twoCellAnchor>
  <xdr:twoCellAnchor editAs="absolute">
    <xdr:from>
      <xdr:col>8</xdr:col>
      <xdr:colOff>504402</xdr:colOff>
      <xdr:row>13</xdr:row>
      <xdr:rowOff>184367</xdr:rowOff>
    </xdr:from>
    <xdr:to>
      <xdr:col>8</xdr:col>
      <xdr:colOff>2238416</xdr:colOff>
      <xdr:row>14</xdr:row>
      <xdr:rowOff>469271</xdr:rowOff>
    </xdr:to>
    <xdr:sp macro="" textlink="">
      <xdr:nvSpPr>
        <xdr:cNvPr id="14" name="ZoneTexte 13">
          <a:hlinkClick xmlns:r="http://schemas.openxmlformats.org/officeDocument/2006/relationships" r:id="rId3"/>
          <a:extLst>
            <a:ext uri="{FF2B5EF4-FFF2-40B4-BE49-F238E27FC236}">
              <a16:creationId xmlns:a16="http://schemas.microsoft.com/office/drawing/2014/main" id="{00000000-0008-0000-1200-00000E000000}"/>
            </a:ext>
          </a:extLst>
        </xdr:cNvPr>
        <xdr:cNvSpPr txBox="1"/>
      </xdr:nvSpPr>
      <xdr:spPr>
        <a:xfrm>
          <a:off x="13572702" y="4337267"/>
          <a:ext cx="1720679" cy="29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215967"/>
              </a:solidFill>
            </a:rPr>
            <a:t>&gt; </a:t>
          </a:r>
          <a:r>
            <a:rPr lang="fr-BE" sz="1200" b="1" u="sng">
              <a:solidFill>
                <a:srgbClr val="215967"/>
              </a:solidFill>
            </a:rPr>
            <a:t>Bilan territorial </a:t>
          </a:r>
        </a:p>
        <a:p>
          <a:endParaRPr lang="fr-BE" sz="1100" b="1">
            <a:solidFill>
              <a:srgbClr val="215967"/>
            </a:solidFill>
          </a:endParaRPr>
        </a:p>
      </xdr:txBody>
    </xdr:sp>
    <xdr:clientData/>
  </xdr:twoCellAnchor>
  <xdr:twoCellAnchor editAs="absolute">
    <xdr:from>
      <xdr:col>8</xdr:col>
      <xdr:colOff>508638</xdr:colOff>
      <xdr:row>14</xdr:row>
      <xdr:rowOff>314963</xdr:rowOff>
    </xdr:from>
    <xdr:to>
      <xdr:col>8</xdr:col>
      <xdr:colOff>2236937</xdr:colOff>
      <xdr:row>14</xdr:row>
      <xdr:rowOff>599231</xdr:rowOff>
    </xdr:to>
    <xdr:sp macro="" textlink="">
      <xdr:nvSpPr>
        <xdr:cNvPr id="15" name="ZoneTexte 14">
          <a:hlinkClick xmlns:r="http://schemas.openxmlformats.org/officeDocument/2006/relationships" r:id="rId4"/>
          <a:extLst>
            <a:ext uri="{FF2B5EF4-FFF2-40B4-BE49-F238E27FC236}">
              <a16:creationId xmlns:a16="http://schemas.microsoft.com/office/drawing/2014/main" id="{00000000-0008-0000-1200-00000F000000}"/>
            </a:ext>
          </a:extLst>
        </xdr:cNvPr>
        <xdr:cNvSpPr txBox="1"/>
      </xdr:nvSpPr>
      <xdr:spPr>
        <a:xfrm>
          <a:off x="13576938" y="4667888"/>
          <a:ext cx="1724489" cy="288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 </a:t>
          </a:r>
          <a:r>
            <a:rPr lang="fr-BE" sz="1200" b="1" u="sng">
              <a:solidFill>
                <a:srgbClr val="31869B"/>
              </a:solidFill>
            </a:rPr>
            <a:t>Potentiel EnR </a:t>
          </a:r>
        </a:p>
        <a:p>
          <a:endParaRPr lang="fr-BE" sz="1100" b="1">
            <a:solidFill>
              <a:srgbClr val="31869B"/>
            </a:solidFill>
          </a:endParaRPr>
        </a:p>
      </xdr:txBody>
    </xdr:sp>
    <xdr:clientData/>
  </xdr:twoCellAnchor>
  <xdr:twoCellAnchor editAs="absolute">
    <xdr:from>
      <xdr:col>8</xdr:col>
      <xdr:colOff>498480</xdr:colOff>
      <xdr:row>14</xdr:row>
      <xdr:rowOff>530865</xdr:rowOff>
    </xdr:from>
    <xdr:to>
      <xdr:col>8</xdr:col>
      <xdr:colOff>2240108</xdr:colOff>
      <xdr:row>15</xdr:row>
      <xdr:rowOff>41703</xdr:rowOff>
    </xdr:to>
    <xdr:sp macro="" textlink="">
      <xdr:nvSpPr>
        <xdr:cNvPr id="16" name="ZoneTexte 15">
          <a:hlinkClick xmlns:r="http://schemas.openxmlformats.org/officeDocument/2006/relationships" r:id="rId5"/>
          <a:extLst>
            <a:ext uri="{FF2B5EF4-FFF2-40B4-BE49-F238E27FC236}">
              <a16:creationId xmlns:a16="http://schemas.microsoft.com/office/drawing/2014/main" id="{00000000-0008-0000-1200-000010000000}"/>
            </a:ext>
          </a:extLst>
        </xdr:cNvPr>
        <xdr:cNvSpPr txBox="1"/>
      </xdr:nvSpPr>
      <xdr:spPr>
        <a:xfrm>
          <a:off x="13566780" y="4883790"/>
          <a:ext cx="1737818" cy="312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Vision </a:t>
          </a:r>
        </a:p>
        <a:p>
          <a:endParaRPr lang="fr-BE" sz="1100" b="1">
            <a:solidFill>
              <a:srgbClr val="31869B"/>
            </a:solidFill>
          </a:endParaRPr>
        </a:p>
      </xdr:txBody>
    </xdr:sp>
    <xdr:clientData/>
  </xdr:twoCellAnchor>
  <xdr:twoCellAnchor editAs="absolute">
    <xdr:from>
      <xdr:col>8</xdr:col>
      <xdr:colOff>506522</xdr:colOff>
      <xdr:row>14</xdr:row>
      <xdr:rowOff>752692</xdr:rowOff>
    </xdr:from>
    <xdr:to>
      <xdr:col>8</xdr:col>
      <xdr:colOff>2234821</xdr:colOff>
      <xdr:row>16</xdr:row>
      <xdr:rowOff>49535</xdr:rowOff>
    </xdr:to>
    <xdr:sp macro="" textlink="">
      <xdr:nvSpPr>
        <xdr:cNvPr id="17" name="ZoneTexte 16">
          <a:hlinkClick xmlns:r="http://schemas.openxmlformats.org/officeDocument/2006/relationships" r:id="rId6"/>
          <a:extLst>
            <a:ext uri="{FF2B5EF4-FFF2-40B4-BE49-F238E27FC236}">
              <a16:creationId xmlns:a16="http://schemas.microsoft.com/office/drawing/2014/main" id="{00000000-0008-0000-1200-000011000000}"/>
            </a:ext>
          </a:extLst>
        </xdr:cNvPr>
        <xdr:cNvSpPr txBox="1"/>
      </xdr:nvSpPr>
      <xdr:spPr>
        <a:xfrm>
          <a:off x="13574822" y="5105617"/>
          <a:ext cx="1720679" cy="295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 </a:t>
          </a:r>
          <a:r>
            <a:rPr lang="fr-BE" sz="1200" b="1" u="sng">
              <a:solidFill>
                <a:srgbClr val="31869B"/>
              </a:solidFill>
            </a:rPr>
            <a:t>Objectifs </a:t>
          </a:r>
        </a:p>
        <a:p>
          <a:endParaRPr lang="fr-BE" sz="1100" b="1">
            <a:solidFill>
              <a:srgbClr val="31869B"/>
            </a:solidFill>
          </a:endParaRPr>
        </a:p>
      </xdr:txBody>
    </xdr:sp>
    <xdr:clientData/>
  </xdr:twoCellAnchor>
  <xdr:twoCellAnchor editAs="absolute">
    <xdr:from>
      <xdr:col>8</xdr:col>
      <xdr:colOff>489588</xdr:colOff>
      <xdr:row>17</xdr:row>
      <xdr:rowOff>127635</xdr:rowOff>
    </xdr:from>
    <xdr:to>
      <xdr:col>8</xdr:col>
      <xdr:colOff>2215976</xdr:colOff>
      <xdr:row>19</xdr:row>
      <xdr:rowOff>5715</xdr:rowOff>
    </xdr:to>
    <xdr:sp macro="" textlink="">
      <xdr:nvSpPr>
        <xdr:cNvPr id="18" name="ZoneTexte 17">
          <a:hlinkClick xmlns:r="http://schemas.openxmlformats.org/officeDocument/2006/relationships" r:id="rId7"/>
          <a:extLst>
            <a:ext uri="{FF2B5EF4-FFF2-40B4-BE49-F238E27FC236}">
              <a16:creationId xmlns:a16="http://schemas.microsoft.com/office/drawing/2014/main" id="{00000000-0008-0000-1200-000012000000}"/>
            </a:ext>
          </a:extLst>
        </xdr:cNvPr>
        <xdr:cNvSpPr txBox="1"/>
      </xdr:nvSpPr>
      <xdr:spPr>
        <a:xfrm>
          <a:off x="13557888" y="5871210"/>
          <a:ext cx="172638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Actions VS Objectifs </a:t>
          </a:r>
        </a:p>
        <a:p>
          <a:endParaRPr lang="fr-BE" sz="1100" b="0">
            <a:solidFill>
              <a:schemeClr val="tx1">
                <a:lumMod val="50000"/>
                <a:lumOff val="50000"/>
              </a:schemeClr>
            </a:solidFill>
          </a:endParaRPr>
        </a:p>
      </xdr:txBody>
    </xdr:sp>
    <xdr:clientData/>
  </xdr:twoCellAnchor>
  <xdr:twoCellAnchor editAs="absolute">
    <xdr:from>
      <xdr:col>8</xdr:col>
      <xdr:colOff>486203</xdr:colOff>
      <xdr:row>16</xdr:row>
      <xdr:rowOff>275802</xdr:rowOff>
    </xdr:from>
    <xdr:to>
      <xdr:col>8</xdr:col>
      <xdr:colOff>2218312</xdr:colOff>
      <xdr:row>17</xdr:row>
      <xdr:rowOff>129540</xdr:rowOff>
    </xdr:to>
    <xdr:sp macro="" textlink="">
      <xdr:nvSpPr>
        <xdr:cNvPr id="19" name="ZoneTexte 18">
          <a:hlinkClick xmlns:r="http://schemas.openxmlformats.org/officeDocument/2006/relationships" r:id="rId8"/>
          <a:extLst>
            <a:ext uri="{FF2B5EF4-FFF2-40B4-BE49-F238E27FC236}">
              <a16:creationId xmlns:a16="http://schemas.microsoft.com/office/drawing/2014/main" id="{00000000-0008-0000-1200-000013000000}"/>
            </a:ext>
          </a:extLst>
        </xdr:cNvPr>
        <xdr:cNvSpPr txBox="1"/>
      </xdr:nvSpPr>
      <xdr:spPr>
        <a:xfrm>
          <a:off x="13554503" y="5619327"/>
          <a:ext cx="1732109" cy="242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Actions</a:t>
          </a:r>
          <a:r>
            <a:rPr lang="fr-BE" sz="1200" b="0">
              <a:solidFill>
                <a:schemeClr val="tx1">
                  <a:lumMod val="50000"/>
                  <a:lumOff val="50000"/>
                </a:schemeClr>
              </a:solidFill>
            </a:rPr>
            <a:t> </a:t>
          </a:r>
        </a:p>
        <a:p>
          <a:endParaRPr lang="fr-BE" sz="1100" b="0">
            <a:solidFill>
              <a:schemeClr val="tx1">
                <a:lumMod val="50000"/>
                <a:lumOff val="50000"/>
              </a:schemeClr>
            </a:solidFill>
          </a:endParaRPr>
        </a:p>
      </xdr:txBody>
    </xdr:sp>
    <xdr:clientData/>
  </xdr:twoCellAnchor>
  <xdr:twoCellAnchor editAs="absolute">
    <xdr:from>
      <xdr:col>8</xdr:col>
      <xdr:colOff>494244</xdr:colOff>
      <xdr:row>20</xdr:row>
      <xdr:rowOff>20955</xdr:rowOff>
    </xdr:from>
    <xdr:to>
      <xdr:col>8</xdr:col>
      <xdr:colOff>2235872</xdr:colOff>
      <xdr:row>21</xdr:row>
      <xdr:rowOff>46152</xdr:rowOff>
    </xdr:to>
    <xdr:sp macro="" textlink="">
      <xdr:nvSpPr>
        <xdr:cNvPr id="20" name="ZoneTexte 19">
          <a:hlinkClick xmlns:r="http://schemas.openxmlformats.org/officeDocument/2006/relationships" r:id="rId9"/>
          <a:extLst>
            <a:ext uri="{FF2B5EF4-FFF2-40B4-BE49-F238E27FC236}">
              <a16:creationId xmlns:a16="http://schemas.microsoft.com/office/drawing/2014/main" id="{00000000-0008-0000-1200-000014000000}"/>
            </a:ext>
          </a:extLst>
        </xdr:cNvPr>
        <xdr:cNvSpPr txBox="1"/>
      </xdr:nvSpPr>
      <xdr:spPr>
        <a:xfrm>
          <a:off x="13562544" y="6364605"/>
          <a:ext cx="1734008" cy="234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Budget</a:t>
          </a:r>
        </a:p>
        <a:p>
          <a:endParaRPr lang="fr-BE" sz="1100" b="0">
            <a:solidFill>
              <a:schemeClr val="tx1">
                <a:lumMod val="50000"/>
                <a:lumOff val="50000"/>
              </a:schemeClr>
            </a:solidFill>
          </a:endParaRPr>
        </a:p>
      </xdr:txBody>
    </xdr:sp>
    <xdr:clientData/>
  </xdr:twoCellAnchor>
  <xdr:twoCellAnchor editAs="absolute">
    <xdr:from>
      <xdr:col>8</xdr:col>
      <xdr:colOff>498476</xdr:colOff>
      <xdr:row>21</xdr:row>
      <xdr:rowOff>317291</xdr:rowOff>
    </xdr:from>
    <xdr:to>
      <xdr:col>8</xdr:col>
      <xdr:colOff>2240104</xdr:colOff>
      <xdr:row>23</xdr:row>
      <xdr:rowOff>78108</xdr:rowOff>
    </xdr:to>
    <xdr:sp macro="" textlink="">
      <xdr:nvSpPr>
        <xdr:cNvPr id="21" name="ZoneTexte 20">
          <a:hlinkClick xmlns:r="http://schemas.openxmlformats.org/officeDocument/2006/relationships" r:id="rId10"/>
          <a:extLst>
            <a:ext uri="{FF2B5EF4-FFF2-40B4-BE49-F238E27FC236}">
              <a16:creationId xmlns:a16="http://schemas.microsoft.com/office/drawing/2014/main" id="{00000000-0008-0000-1200-000015000000}"/>
            </a:ext>
          </a:extLst>
        </xdr:cNvPr>
        <xdr:cNvSpPr txBox="1"/>
      </xdr:nvSpPr>
      <xdr:spPr>
        <a:xfrm>
          <a:off x="13566776" y="6860966"/>
          <a:ext cx="1737818" cy="351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xdr:twoCellAnchor>
  <xdr:twoCellAnchor editAs="absolute">
    <xdr:from>
      <xdr:col>8</xdr:col>
      <xdr:colOff>498478</xdr:colOff>
      <xdr:row>18</xdr:row>
      <xdr:rowOff>169544</xdr:rowOff>
    </xdr:from>
    <xdr:to>
      <xdr:col>8</xdr:col>
      <xdr:colOff>2240106</xdr:colOff>
      <xdr:row>20</xdr:row>
      <xdr:rowOff>95250</xdr:rowOff>
    </xdr:to>
    <xdr:sp macro="" textlink="">
      <xdr:nvSpPr>
        <xdr:cNvPr id="22" name="ZoneTexte 21">
          <a:hlinkClick xmlns:r="http://schemas.openxmlformats.org/officeDocument/2006/relationships" r:id="rId11"/>
          <a:extLst>
            <a:ext uri="{FF2B5EF4-FFF2-40B4-BE49-F238E27FC236}">
              <a16:creationId xmlns:a16="http://schemas.microsoft.com/office/drawing/2014/main" id="{00000000-0008-0000-1200-000016000000}"/>
            </a:ext>
          </a:extLst>
        </xdr:cNvPr>
        <xdr:cNvSpPr txBox="1"/>
      </xdr:nvSpPr>
      <xdr:spPr>
        <a:xfrm>
          <a:off x="13566778" y="6113144"/>
          <a:ext cx="1737818" cy="312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xdr:twoCellAnchor>
  <xdr:twoCellAnchor editAs="absolute">
    <xdr:from>
      <xdr:col>8</xdr:col>
      <xdr:colOff>498475</xdr:colOff>
      <xdr:row>22</xdr:row>
      <xdr:rowOff>123398</xdr:rowOff>
    </xdr:from>
    <xdr:to>
      <xdr:col>8</xdr:col>
      <xdr:colOff>1915583</xdr:colOff>
      <xdr:row>24</xdr:row>
      <xdr:rowOff>11206</xdr:rowOff>
    </xdr:to>
    <xdr:sp macro="" textlink="">
      <xdr:nvSpPr>
        <xdr:cNvPr id="23" name="ZoneTexte 22">
          <a:hlinkClick xmlns:r="http://schemas.openxmlformats.org/officeDocument/2006/relationships" r:id="rId12"/>
          <a:extLst>
            <a:ext uri="{FF2B5EF4-FFF2-40B4-BE49-F238E27FC236}">
              <a16:creationId xmlns:a16="http://schemas.microsoft.com/office/drawing/2014/main" id="{00000000-0008-0000-1200-000017000000}"/>
            </a:ext>
          </a:extLst>
        </xdr:cNvPr>
        <xdr:cNvSpPr txBox="1"/>
      </xdr:nvSpPr>
      <xdr:spPr>
        <a:xfrm>
          <a:off x="13566775" y="7067123"/>
          <a:ext cx="1398058" cy="29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7</xdr:col>
      <xdr:colOff>14396</xdr:colOff>
      <xdr:row>11</xdr:row>
      <xdr:rowOff>134409</xdr:rowOff>
    </xdr:from>
    <xdr:to>
      <xdr:col>8</xdr:col>
      <xdr:colOff>466305</xdr:colOff>
      <xdr:row>13</xdr:row>
      <xdr:rowOff>7409</xdr:rowOff>
    </xdr:to>
    <xdr:sp macro="" textlink="">
      <xdr:nvSpPr>
        <xdr:cNvPr id="24" name="ZoneTexte 23">
          <a:hlinkClick xmlns:r="http://schemas.openxmlformats.org/officeDocument/2006/relationships" r:id="rId13"/>
          <a:extLst>
            <a:ext uri="{FF2B5EF4-FFF2-40B4-BE49-F238E27FC236}">
              <a16:creationId xmlns:a16="http://schemas.microsoft.com/office/drawing/2014/main" id="{00000000-0008-0000-1200-000018000000}"/>
            </a:ext>
          </a:extLst>
        </xdr:cNvPr>
        <xdr:cNvSpPr txBox="1"/>
      </xdr:nvSpPr>
      <xdr:spPr>
        <a:xfrm>
          <a:off x="12568346" y="3868209"/>
          <a:ext cx="979594" cy="280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00709E"/>
              </a:solidFill>
            </a:rPr>
            <a:t>&gt; </a:t>
          </a:r>
          <a:r>
            <a:rPr lang="fr-BE" sz="1200" b="1" u="sng">
              <a:solidFill>
                <a:srgbClr val="00709E"/>
              </a:solidFill>
            </a:rPr>
            <a:t>Diagnostic</a:t>
          </a:r>
        </a:p>
        <a:p>
          <a:endParaRPr lang="fr-BE" sz="1100" b="1">
            <a:solidFill>
              <a:srgbClr val="00709E"/>
            </a:solidFill>
          </a:endParaRPr>
        </a:p>
      </xdr:txBody>
    </xdr:sp>
    <xdr:clientData/>
  </xdr:twoCellAnchor>
  <xdr:twoCellAnchor editAs="absolute">
    <xdr:from>
      <xdr:col>7</xdr:col>
      <xdr:colOff>32388</xdr:colOff>
      <xdr:row>11</xdr:row>
      <xdr:rowOff>175687</xdr:rowOff>
    </xdr:from>
    <xdr:to>
      <xdr:col>8</xdr:col>
      <xdr:colOff>563671</xdr:colOff>
      <xdr:row>14</xdr:row>
      <xdr:rowOff>488316</xdr:rowOff>
    </xdr:to>
    <xdr:sp macro="" textlink="">
      <xdr:nvSpPr>
        <xdr:cNvPr id="25" name="Flèche : pentagone 24">
          <a:extLst>
            <a:ext uri="{FF2B5EF4-FFF2-40B4-BE49-F238E27FC236}">
              <a16:creationId xmlns:a16="http://schemas.microsoft.com/office/drawing/2014/main" id="{00000000-0008-0000-1200-000019000000}"/>
            </a:ext>
          </a:extLst>
        </xdr:cNvPr>
        <xdr:cNvSpPr/>
      </xdr:nvSpPr>
      <xdr:spPr>
        <a:xfrm rot="5400000">
          <a:off x="12639468" y="3856357"/>
          <a:ext cx="939374" cy="1045633"/>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fr-BE" sz="1400" b="1"/>
            <a:t>Diagnostic</a:t>
          </a:r>
        </a:p>
      </xdr:txBody>
    </xdr:sp>
    <xdr:clientData/>
  </xdr:twoCellAnchor>
  <xdr:twoCellAnchor editAs="absolute">
    <xdr:from>
      <xdr:col>8</xdr:col>
      <xdr:colOff>496362</xdr:colOff>
      <xdr:row>15</xdr:row>
      <xdr:rowOff>180980</xdr:rowOff>
    </xdr:from>
    <xdr:to>
      <xdr:col>8</xdr:col>
      <xdr:colOff>2217041</xdr:colOff>
      <xdr:row>16</xdr:row>
      <xdr:rowOff>276865</xdr:rowOff>
    </xdr:to>
    <xdr:sp macro="" textlink="">
      <xdr:nvSpPr>
        <xdr:cNvPr id="26" name="ZoneTexte 25">
          <a:hlinkClick xmlns:r="http://schemas.openxmlformats.org/officeDocument/2006/relationships" r:id="rId14"/>
          <a:extLst>
            <a:ext uri="{FF2B5EF4-FFF2-40B4-BE49-F238E27FC236}">
              <a16:creationId xmlns:a16="http://schemas.microsoft.com/office/drawing/2014/main" id="{00000000-0008-0000-1200-00001A000000}"/>
            </a:ext>
          </a:extLst>
        </xdr:cNvPr>
        <xdr:cNvSpPr txBox="1"/>
      </xdr:nvSpPr>
      <xdr:spPr>
        <a:xfrm>
          <a:off x="13564662" y="5324480"/>
          <a:ext cx="1720679" cy="295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 </a:t>
          </a:r>
          <a:r>
            <a:rPr lang="fr-BE" sz="1200" b="1" u="sng">
              <a:solidFill>
                <a:srgbClr val="31869B"/>
              </a:solidFill>
            </a:rPr>
            <a:t>Fiches actions</a:t>
          </a:r>
        </a:p>
        <a:p>
          <a:endParaRPr lang="fr-BE" sz="1100" b="1">
            <a:solidFill>
              <a:srgbClr val="31869B"/>
            </a:solidFill>
          </a:endParaRPr>
        </a:p>
      </xdr:txBody>
    </xdr:sp>
    <xdr:clientData/>
  </xdr:twoCellAnchor>
  <xdr:twoCellAnchor editAs="absolute">
    <xdr:from>
      <xdr:col>7</xdr:col>
      <xdr:colOff>98425</xdr:colOff>
      <xdr:row>24</xdr:row>
      <xdr:rowOff>150068</xdr:rowOff>
    </xdr:from>
    <xdr:to>
      <xdr:col>8</xdr:col>
      <xdr:colOff>1588562</xdr:colOff>
      <xdr:row>26</xdr:row>
      <xdr:rowOff>41686</xdr:rowOff>
    </xdr:to>
    <xdr:sp macro="" textlink="">
      <xdr:nvSpPr>
        <xdr:cNvPr id="27" name="ZoneTexte 26">
          <a:hlinkClick xmlns:r="http://schemas.openxmlformats.org/officeDocument/2006/relationships" r:id="rId15"/>
          <a:extLst>
            <a:ext uri="{FF2B5EF4-FFF2-40B4-BE49-F238E27FC236}">
              <a16:creationId xmlns:a16="http://schemas.microsoft.com/office/drawing/2014/main" id="{00000000-0008-0000-1200-00001B000000}"/>
            </a:ext>
          </a:extLst>
        </xdr:cNvPr>
        <xdr:cNvSpPr txBox="1"/>
      </xdr:nvSpPr>
      <xdr:spPr>
        <a:xfrm>
          <a:off x="12652375" y="7493843"/>
          <a:ext cx="2004487" cy="29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Hypothèses</a:t>
          </a:r>
          <a:r>
            <a:rPr lang="fr-BE" sz="1200" b="0" u="sng" baseline="0">
              <a:solidFill>
                <a:schemeClr val="tx1">
                  <a:lumMod val="50000"/>
                  <a:lumOff val="50000"/>
                </a:schemeClr>
              </a:solidFill>
            </a:rPr>
            <a:t> &amp; méthodo</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8</xdr:col>
      <xdr:colOff>498476</xdr:colOff>
      <xdr:row>21</xdr:row>
      <xdr:rowOff>81071</xdr:rowOff>
    </xdr:from>
    <xdr:to>
      <xdr:col>8</xdr:col>
      <xdr:colOff>2240104</xdr:colOff>
      <xdr:row>22</xdr:row>
      <xdr:rowOff>43818</xdr:rowOff>
    </xdr:to>
    <xdr:sp macro="" textlink="">
      <xdr:nvSpPr>
        <xdr:cNvPr id="43" name="ZoneTexte 42">
          <a:hlinkClick xmlns:r="http://schemas.openxmlformats.org/officeDocument/2006/relationships" r:id="rId16"/>
          <a:extLst>
            <a:ext uri="{FF2B5EF4-FFF2-40B4-BE49-F238E27FC236}">
              <a16:creationId xmlns:a16="http://schemas.microsoft.com/office/drawing/2014/main" id="{00000000-0008-0000-1200-00002B000000}"/>
            </a:ext>
          </a:extLst>
        </xdr:cNvPr>
        <xdr:cNvSpPr txBox="1"/>
      </xdr:nvSpPr>
      <xdr:spPr>
        <a:xfrm>
          <a:off x="13566776" y="6624746"/>
          <a:ext cx="1737818" cy="351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POLLEC</a:t>
          </a:r>
        </a:p>
        <a:p>
          <a:endParaRPr lang="fr-BE" sz="1100" b="0">
            <a:solidFill>
              <a:schemeClr val="tx1">
                <a:lumMod val="50000"/>
                <a:lumOff val="5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2</xdr:row>
          <xdr:rowOff>213360</xdr:rowOff>
        </xdr:from>
        <xdr:to>
          <xdr:col>3</xdr:col>
          <xdr:colOff>411480</xdr:colOff>
          <xdr:row>2</xdr:row>
          <xdr:rowOff>441960</xdr:rowOff>
        </xdr:to>
        <xdr:sp macro="" textlink="">
          <xdr:nvSpPr>
            <xdr:cNvPr id="50902034" name="Check Box 18" hidden="1">
              <a:extLst>
                <a:ext uri="{63B3BB69-23CF-44E3-9099-C40C66FF867C}">
                  <a14:compatExt spid="_x0000_s50902034"/>
                </a:ext>
                <a:ext uri="{FF2B5EF4-FFF2-40B4-BE49-F238E27FC236}">
                  <a16:creationId xmlns:a16="http://schemas.microsoft.com/office/drawing/2014/main" id="{00000000-0008-0000-1300-000012B4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182880</xdr:colOff>
          <xdr:row>0</xdr:row>
          <xdr:rowOff>38100</xdr:rowOff>
        </xdr:from>
        <xdr:to>
          <xdr:col>32</xdr:col>
          <xdr:colOff>274320</xdr:colOff>
          <xdr:row>0</xdr:row>
          <xdr:rowOff>480060</xdr:rowOff>
        </xdr:to>
        <xdr:sp macro="" textlink="">
          <xdr:nvSpPr>
            <xdr:cNvPr id="13837341" name="Button 29" hidden="1">
              <a:extLst>
                <a:ext uri="{63B3BB69-23CF-44E3-9099-C40C66FF867C}">
                  <a14:compatExt spid="_x0000_s13837341"/>
                </a:ext>
                <a:ext uri="{FF2B5EF4-FFF2-40B4-BE49-F238E27FC236}">
                  <a16:creationId xmlns:a16="http://schemas.microsoft.com/office/drawing/2014/main" id="{00000000-0008-0000-1500-00001D24D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FF0000"/>
                  </a:solidFill>
                  <a:latin typeface="Calibri"/>
                  <a:ea typeface="Calibri"/>
                  <a:cs typeface="Calibri"/>
                </a:rPr>
                <a:t>RESET</a:t>
              </a:r>
            </a:p>
          </xdr:txBody>
        </xdr:sp>
        <xdr:clientData fPrintsWithSheet="0"/>
      </xdr:twoCellAnchor>
    </mc:Choice>
    <mc:Fallback/>
  </mc:AlternateContent>
  <xdr:twoCellAnchor editAs="absolute">
    <xdr:from>
      <xdr:col>7</xdr:col>
      <xdr:colOff>677971</xdr:colOff>
      <xdr:row>0</xdr:row>
      <xdr:rowOff>151553</xdr:rowOff>
    </xdr:from>
    <xdr:to>
      <xdr:col>8</xdr:col>
      <xdr:colOff>1290109</xdr:colOff>
      <xdr:row>0</xdr:row>
      <xdr:rowOff>437009</xdr:rowOff>
    </xdr:to>
    <xdr:sp macro="" textlink="">
      <xdr:nvSpPr>
        <xdr:cNvPr id="13837376" name="Flèche : pentagone 13837375">
          <a:hlinkClick xmlns:r="http://schemas.openxmlformats.org/officeDocument/2006/relationships" r:id="rId1"/>
          <a:extLst>
            <a:ext uri="{FF2B5EF4-FFF2-40B4-BE49-F238E27FC236}">
              <a16:creationId xmlns:a16="http://schemas.microsoft.com/office/drawing/2014/main" id="{00000000-0008-0000-1400-00004024D300}"/>
            </a:ext>
          </a:extLst>
        </xdr:cNvPr>
        <xdr:cNvSpPr/>
      </xdr:nvSpPr>
      <xdr:spPr>
        <a:xfrm>
          <a:off x="12900028" y="151553"/>
          <a:ext cx="2673347" cy="29879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0</xdr:col>
      <xdr:colOff>1583692</xdr:colOff>
      <xdr:row>0</xdr:row>
      <xdr:rowOff>440691</xdr:rowOff>
    </xdr:from>
    <xdr:to>
      <xdr:col>1</xdr:col>
      <xdr:colOff>1075691</xdr:colOff>
      <xdr:row>0</xdr:row>
      <xdr:rowOff>702309</xdr:rowOff>
    </xdr:to>
    <xdr:sp macro="" textlink="">
      <xdr:nvSpPr>
        <xdr:cNvPr id="13837377" name="ZoneTexte 13837376">
          <a:hlinkClick xmlns:r="http://schemas.openxmlformats.org/officeDocument/2006/relationships" r:id="rId2"/>
          <a:extLst>
            <a:ext uri="{FF2B5EF4-FFF2-40B4-BE49-F238E27FC236}">
              <a16:creationId xmlns:a16="http://schemas.microsoft.com/office/drawing/2014/main" id="{00000000-0008-0000-1400-00004124D300}"/>
            </a:ext>
          </a:extLst>
        </xdr:cNvPr>
        <xdr:cNvSpPr txBox="1"/>
      </xdr:nvSpPr>
      <xdr:spPr>
        <a:xfrm>
          <a:off x="1587502" y="444501"/>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1</xdr:col>
      <xdr:colOff>942446</xdr:colOff>
      <xdr:row>0</xdr:row>
      <xdr:rowOff>438576</xdr:rowOff>
    </xdr:from>
    <xdr:to>
      <xdr:col>2</xdr:col>
      <xdr:colOff>185847</xdr:colOff>
      <xdr:row>0</xdr:row>
      <xdr:rowOff>741894</xdr:rowOff>
    </xdr:to>
    <xdr:sp macro="" textlink="">
      <xdr:nvSpPr>
        <xdr:cNvPr id="13837378" name="ZoneTexte 13837377">
          <a:hlinkClick xmlns:r="http://schemas.openxmlformats.org/officeDocument/2006/relationships" r:id="rId3"/>
          <a:extLst>
            <a:ext uri="{FF2B5EF4-FFF2-40B4-BE49-F238E27FC236}">
              <a16:creationId xmlns:a16="http://schemas.microsoft.com/office/drawing/2014/main" id="{00000000-0008-0000-1400-00004224D300}"/>
            </a:ext>
          </a:extLst>
        </xdr:cNvPr>
        <xdr:cNvSpPr txBox="1"/>
      </xdr:nvSpPr>
      <xdr:spPr>
        <a:xfrm>
          <a:off x="3008313" y="442386"/>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2</xdr:col>
      <xdr:colOff>133879</xdr:colOff>
      <xdr:row>0</xdr:row>
      <xdr:rowOff>439848</xdr:rowOff>
    </xdr:from>
    <xdr:to>
      <xdr:col>2</xdr:col>
      <xdr:colOff>1454248</xdr:colOff>
      <xdr:row>0</xdr:row>
      <xdr:rowOff>759042</xdr:rowOff>
    </xdr:to>
    <xdr:sp macro="" textlink="">
      <xdr:nvSpPr>
        <xdr:cNvPr id="13837379" name="ZoneTexte 13837378">
          <a:hlinkClick xmlns:r="http://schemas.openxmlformats.org/officeDocument/2006/relationships" r:id="rId4"/>
          <a:extLst>
            <a:ext uri="{FF2B5EF4-FFF2-40B4-BE49-F238E27FC236}">
              <a16:creationId xmlns:a16="http://schemas.microsoft.com/office/drawing/2014/main" id="{00000000-0008-0000-1400-00004324D300}"/>
            </a:ext>
          </a:extLst>
        </xdr:cNvPr>
        <xdr:cNvSpPr txBox="1"/>
      </xdr:nvSpPr>
      <xdr:spPr>
        <a:xfrm>
          <a:off x="4367212" y="443658"/>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2</xdr:col>
      <xdr:colOff>1490658</xdr:colOff>
      <xdr:row>0</xdr:row>
      <xdr:rowOff>441120</xdr:rowOff>
    </xdr:from>
    <xdr:to>
      <xdr:col>3</xdr:col>
      <xdr:colOff>1016532</xdr:colOff>
      <xdr:row>0</xdr:row>
      <xdr:rowOff>727293</xdr:rowOff>
    </xdr:to>
    <xdr:sp macro="" textlink="">
      <xdr:nvSpPr>
        <xdr:cNvPr id="13837380" name="ZoneTexte 13837379">
          <a:hlinkClick xmlns:r="http://schemas.openxmlformats.org/officeDocument/2006/relationships" r:id="rId5"/>
          <a:extLst>
            <a:ext uri="{FF2B5EF4-FFF2-40B4-BE49-F238E27FC236}">
              <a16:creationId xmlns:a16="http://schemas.microsoft.com/office/drawing/2014/main" id="{00000000-0008-0000-1400-00004424D300}"/>
            </a:ext>
          </a:extLst>
        </xdr:cNvPr>
        <xdr:cNvSpPr txBox="1"/>
      </xdr:nvSpPr>
      <xdr:spPr>
        <a:xfrm>
          <a:off x="5725050" y="437310"/>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3</xdr:col>
      <xdr:colOff>884029</xdr:colOff>
      <xdr:row>0</xdr:row>
      <xdr:rowOff>437734</xdr:rowOff>
    </xdr:from>
    <xdr:to>
      <xdr:col>4</xdr:col>
      <xdr:colOff>513611</xdr:colOff>
      <xdr:row>0</xdr:row>
      <xdr:rowOff>777247</xdr:rowOff>
    </xdr:to>
    <xdr:sp macro="" textlink="">
      <xdr:nvSpPr>
        <xdr:cNvPr id="13837381" name="ZoneTexte 13837380">
          <a:hlinkClick xmlns:r="http://schemas.openxmlformats.org/officeDocument/2006/relationships" r:id="rId6"/>
          <a:extLst>
            <a:ext uri="{FF2B5EF4-FFF2-40B4-BE49-F238E27FC236}">
              <a16:creationId xmlns:a16="http://schemas.microsoft.com/office/drawing/2014/main" id="{00000000-0008-0000-1400-00004524D300}"/>
            </a:ext>
          </a:extLst>
        </xdr:cNvPr>
        <xdr:cNvSpPr txBox="1"/>
      </xdr:nvSpPr>
      <xdr:spPr>
        <a:xfrm>
          <a:off x="6731533" y="441544"/>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4</xdr:col>
      <xdr:colOff>415386</xdr:colOff>
      <xdr:row>0</xdr:row>
      <xdr:rowOff>439004</xdr:rowOff>
    </xdr:from>
    <xdr:to>
      <xdr:col>4</xdr:col>
      <xdr:colOff>1286832</xdr:colOff>
      <xdr:row>0</xdr:row>
      <xdr:rowOff>741687</xdr:rowOff>
    </xdr:to>
    <xdr:sp macro="" textlink="">
      <xdr:nvSpPr>
        <xdr:cNvPr id="13837382" name="ZoneTexte 13837381">
          <a:hlinkClick xmlns:r="http://schemas.openxmlformats.org/officeDocument/2006/relationships" r:id="rId7"/>
          <a:extLst>
            <a:ext uri="{FF2B5EF4-FFF2-40B4-BE49-F238E27FC236}">
              <a16:creationId xmlns:a16="http://schemas.microsoft.com/office/drawing/2014/main" id="{00000000-0008-0000-1400-00004624D300}"/>
            </a:ext>
          </a:extLst>
        </xdr:cNvPr>
        <xdr:cNvSpPr txBox="1"/>
      </xdr:nvSpPr>
      <xdr:spPr>
        <a:xfrm>
          <a:off x="7298787" y="435194"/>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4</xdr:col>
      <xdr:colOff>3220300</xdr:colOff>
      <xdr:row>0</xdr:row>
      <xdr:rowOff>435620</xdr:rowOff>
    </xdr:from>
    <xdr:to>
      <xdr:col>6</xdr:col>
      <xdr:colOff>589495</xdr:colOff>
      <xdr:row>0</xdr:row>
      <xdr:rowOff>782119</xdr:rowOff>
    </xdr:to>
    <xdr:sp macro="" textlink="">
      <xdr:nvSpPr>
        <xdr:cNvPr id="13837383" name="ZoneTexte 13837382">
          <a:hlinkClick xmlns:r="http://schemas.openxmlformats.org/officeDocument/2006/relationships" r:id="rId8"/>
          <a:extLst>
            <a:ext uri="{FF2B5EF4-FFF2-40B4-BE49-F238E27FC236}">
              <a16:creationId xmlns:a16="http://schemas.microsoft.com/office/drawing/2014/main" id="{00000000-0008-0000-1400-00004724D300}"/>
            </a:ext>
          </a:extLst>
        </xdr:cNvPr>
        <xdr:cNvSpPr txBox="1"/>
      </xdr:nvSpPr>
      <xdr:spPr>
        <a:xfrm>
          <a:off x="10092270" y="431810"/>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4</xdr:col>
      <xdr:colOff>2515119</xdr:colOff>
      <xdr:row>0</xdr:row>
      <xdr:rowOff>438788</xdr:rowOff>
    </xdr:from>
    <xdr:to>
      <xdr:col>5</xdr:col>
      <xdr:colOff>46980</xdr:colOff>
      <xdr:row>0</xdr:row>
      <xdr:rowOff>744647</xdr:rowOff>
    </xdr:to>
    <xdr:sp macro="" textlink="">
      <xdr:nvSpPr>
        <xdr:cNvPr id="13837384" name="ZoneTexte 13837383">
          <a:hlinkClick xmlns:r="http://schemas.openxmlformats.org/officeDocument/2006/relationships" r:id="rId9"/>
          <a:extLst>
            <a:ext uri="{FF2B5EF4-FFF2-40B4-BE49-F238E27FC236}">
              <a16:creationId xmlns:a16="http://schemas.microsoft.com/office/drawing/2014/main" id="{00000000-0008-0000-1400-00004824D300}"/>
            </a:ext>
          </a:extLst>
        </xdr:cNvPr>
        <xdr:cNvSpPr txBox="1"/>
      </xdr:nvSpPr>
      <xdr:spPr>
        <a:xfrm>
          <a:off x="9398519" y="425453"/>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7</xdr:col>
      <xdr:colOff>11633</xdr:colOff>
      <xdr:row>0</xdr:row>
      <xdr:rowOff>434351</xdr:rowOff>
    </xdr:from>
    <xdr:to>
      <xdr:col>7</xdr:col>
      <xdr:colOff>896520</xdr:colOff>
      <xdr:row>0</xdr:row>
      <xdr:rowOff>777251</xdr:rowOff>
    </xdr:to>
    <xdr:sp macro="" textlink="">
      <xdr:nvSpPr>
        <xdr:cNvPr id="13837385" name="ZoneTexte 13837384">
          <a:hlinkClick xmlns:r="http://schemas.openxmlformats.org/officeDocument/2006/relationships" r:id="rId10"/>
          <a:extLst>
            <a:ext uri="{FF2B5EF4-FFF2-40B4-BE49-F238E27FC236}">
              <a16:creationId xmlns:a16="http://schemas.microsoft.com/office/drawing/2014/main" id="{00000000-0008-0000-1400-00004924D300}"/>
            </a:ext>
          </a:extLst>
        </xdr:cNvPr>
        <xdr:cNvSpPr txBox="1"/>
      </xdr:nvSpPr>
      <xdr:spPr>
        <a:xfrm>
          <a:off x="12237500" y="426731"/>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7</xdr:col>
      <xdr:colOff>1464833</xdr:colOff>
      <xdr:row>0</xdr:row>
      <xdr:rowOff>434772</xdr:rowOff>
    </xdr:from>
    <xdr:to>
      <xdr:col>8</xdr:col>
      <xdr:colOff>93987</xdr:colOff>
      <xdr:row>0</xdr:row>
      <xdr:rowOff>743585</xdr:rowOff>
    </xdr:to>
    <xdr:sp macro="" textlink="">
      <xdr:nvSpPr>
        <xdr:cNvPr id="13837386" name="ZoneTexte 13837385">
          <a:hlinkClick xmlns:r="http://schemas.openxmlformats.org/officeDocument/2006/relationships" r:id="rId11"/>
          <a:extLst>
            <a:ext uri="{FF2B5EF4-FFF2-40B4-BE49-F238E27FC236}">
              <a16:creationId xmlns:a16="http://schemas.microsoft.com/office/drawing/2014/main" id="{00000000-0008-0000-1400-00004A24D300}"/>
            </a:ext>
          </a:extLst>
        </xdr:cNvPr>
        <xdr:cNvSpPr txBox="1"/>
      </xdr:nvSpPr>
      <xdr:spPr>
        <a:xfrm>
          <a:off x="13694510" y="423342"/>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6</xdr:col>
      <xdr:colOff>336542</xdr:colOff>
      <xdr:row>0</xdr:row>
      <xdr:rowOff>434771</xdr:rowOff>
    </xdr:from>
    <xdr:to>
      <xdr:col>7</xdr:col>
      <xdr:colOff>278345</xdr:colOff>
      <xdr:row>0</xdr:row>
      <xdr:rowOff>708245</xdr:rowOff>
    </xdr:to>
    <xdr:sp macro="" textlink="">
      <xdr:nvSpPr>
        <xdr:cNvPr id="13837387" name="ZoneTexte 13837386">
          <a:hlinkClick xmlns:r="http://schemas.openxmlformats.org/officeDocument/2006/relationships" r:id="rId12"/>
          <a:extLst>
            <a:ext uri="{FF2B5EF4-FFF2-40B4-BE49-F238E27FC236}">
              <a16:creationId xmlns:a16="http://schemas.microsoft.com/office/drawing/2014/main" id="{00000000-0008-0000-1400-00004B24D300}"/>
            </a:ext>
          </a:extLst>
        </xdr:cNvPr>
        <xdr:cNvSpPr txBox="1"/>
      </xdr:nvSpPr>
      <xdr:spPr>
        <a:xfrm>
          <a:off x="11539000" y="423341"/>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0</xdr:col>
      <xdr:colOff>706549</xdr:colOff>
      <xdr:row>0</xdr:row>
      <xdr:rowOff>401108</xdr:rowOff>
    </xdr:from>
    <xdr:to>
      <xdr:col>0</xdr:col>
      <xdr:colOff>1580733</xdr:colOff>
      <xdr:row>0</xdr:row>
      <xdr:rowOff>744644</xdr:rowOff>
    </xdr:to>
    <xdr:sp macro="" textlink="">
      <xdr:nvSpPr>
        <xdr:cNvPr id="13837388" name="ZoneTexte 13837387">
          <a:hlinkClick xmlns:r="http://schemas.openxmlformats.org/officeDocument/2006/relationships" r:id="rId13"/>
          <a:extLst>
            <a:ext uri="{FF2B5EF4-FFF2-40B4-BE49-F238E27FC236}">
              <a16:creationId xmlns:a16="http://schemas.microsoft.com/office/drawing/2014/main" id="{00000000-0008-0000-1400-00004C24D300}"/>
            </a:ext>
          </a:extLst>
        </xdr:cNvPr>
        <xdr:cNvSpPr txBox="1"/>
      </xdr:nvSpPr>
      <xdr:spPr>
        <a:xfrm>
          <a:off x="693214" y="391583"/>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136313</xdr:rowOff>
    </xdr:from>
    <xdr:to>
      <xdr:col>0</xdr:col>
      <xdr:colOff>667385</xdr:colOff>
      <xdr:row>0</xdr:row>
      <xdr:rowOff>778351</xdr:rowOff>
    </xdr:to>
    <xdr:pic>
      <xdr:nvPicPr>
        <xdr:cNvPr id="13837389" name="Image 9">
          <a:extLst>
            <a:ext uri="{FF2B5EF4-FFF2-40B4-BE49-F238E27FC236}">
              <a16:creationId xmlns:a16="http://schemas.microsoft.com/office/drawing/2014/main" id="{00000000-0008-0000-1400-00004D24D300}"/>
            </a:ext>
          </a:extLst>
        </xdr:cNvPr>
        <xdr:cNvPicPr>
          <a:picLocks noChangeAspect="1"/>
        </xdr:cNvPicPr>
      </xdr:nvPicPr>
      <xdr:blipFill>
        <a:blip xmlns:r="http://schemas.openxmlformats.org/officeDocument/2006/relationships" r:embed="rId14">
          <a:duotone>
            <a:schemeClr val="accent5">
              <a:shade val="45000"/>
              <a:satMod val="135000"/>
            </a:schemeClr>
            <a:prstClr val="white"/>
          </a:duotone>
        </a:blip>
        <a:srcRect/>
        <a:stretch>
          <a:fillRect/>
        </a:stretch>
      </xdr:blipFill>
      <xdr:spPr bwMode="auto">
        <a:xfrm>
          <a:off x="0" y="143933"/>
          <a:ext cx="663575" cy="626798"/>
        </a:xfrm>
        <a:prstGeom prst="rect">
          <a:avLst/>
        </a:prstGeom>
        <a:noFill/>
        <a:ln>
          <a:noFill/>
        </a:ln>
      </xdr:spPr>
    </xdr:pic>
    <xdr:clientData fPrintsWithSheet="0"/>
  </xdr:twoCellAnchor>
  <xdr:twoCellAnchor editAs="absolute">
    <xdr:from>
      <xdr:col>7</xdr:col>
      <xdr:colOff>1977702</xdr:colOff>
      <xdr:row>0</xdr:row>
      <xdr:rowOff>434772</xdr:rowOff>
    </xdr:from>
    <xdr:to>
      <xdr:col>8</xdr:col>
      <xdr:colOff>1345347</xdr:colOff>
      <xdr:row>0</xdr:row>
      <xdr:rowOff>743585</xdr:rowOff>
    </xdr:to>
    <xdr:sp macro="" textlink="">
      <xdr:nvSpPr>
        <xdr:cNvPr id="13837390" name="ZoneTexte 13837389">
          <a:hlinkClick xmlns:r="http://schemas.openxmlformats.org/officeDocument/2006/relationships" r:id="rId15"/>
          <a:extLst>
            <a:ext uri="{FF2B5EF4-FFF2-40B4-BE49-F238E27FC236}">
              <a16:creationId xmlns:a16="http://schemas.microsoft.com/office/drawing/2014/main" id="{00000000-0008-0000-1400-00004E24D300}"/>
            </a:ext>
          </a:extLst>
        </xdr:cNvPr>
        <xdr:cNvSpPr txBox="1"/>
      </xdr:nvSpPr>
      <xdr:spPr>
        <a:xfrm>
          <a:off x="14216903" y="423342"/>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4</xdr:col>
      <xdr:colOff>2458405</xdr:colOff>
      <xdr:row>0</xdr:row>
      <xdr:rowOff>168486</xdr:rowOff>
    </xdr:from>
    <xdr:to>
      <xdr:col>7</xdr:col>
      <xdr:colOff>855243</xdr:colOff>
      <xdr:row>0</xdr:row>
      <xdr:rowOff>441113</xdr:rowOff>
    </xdr:to>
    <xdr:sp macro="" textlink="">
      <xdr:nvSpPr>
        <xdr:cNvPr id="13837391" name="Flèche : pentagone 13837390">
          <a:hlinkClick xmlns:r="http://schemas.openxmlformats.org/officeDocument/2006/relationships" r:id="rId9"/>
          <a:extLst>
            <a:ext uri="{FF2B5EF4-FFF2-40B4-BE49-F238E27FC236}">
              <a16:creationId xmlns:a16="http://schemas.microsoft.com/office/drawing/2014/main" id="{00000000-0008-0000-1400-00004F24D300}"/>
            </a:ext>
          </a:extLst>
        </xdr:cNvPr>
        <xdr:cNvSpPr/>
      </xdr:nvSpPr>
      <xdr:spPr>
        <a:xfrm>
          <a:off x="9345615" y="160866"/>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2</xdr:col>
      <xdr:colOff>1208090</xdr:colOff>
      <xdr:row>0</xdr:row>
      <xdr:rowOff>169124</xdr:rowOff>
    </xdr:from>
    <xdr:to>
      <xdr:col>4</xdr:col>
      <xdr:colOff>2535241</xdr:colOff>
      <xdr:row>0</xdr:row>
      <xdr:rowOff>441113</xdr:rowOff>
    </xdr:to>
    <xdr:sp macro="" textlink="">
      <xdr:nvSpPr>
        <xdr:cNvPr id="13837392" name="Flèche : pentagone 13837391">
          <a:hlinkClick xmlns:r="http://schemas.openxmlformats.org/officeDocument/2006/relationships" r:id="rId5"/>
          <a:extLst>
            <a:ext uri="{FF2B5EF4-FFF2-40B4-BE49-F238E27FC236}">
              <a16:creationId xmlns:a16="http://schemas.microsoft.com/office/drawing/2014/main" id="{00000000-0008-0000-1400-00005024D300}"/>
            </a:ext>
          </a:extLst>
        </xdr:cNvPr>
        <xdr:cNvSpPr/>
      </xdr:nvSpPr>
      <xdr:spPr>
        <a:xfrm>
          <a:off x="5432957" y="157694"/>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0</xdr:col>
      <xdr:colOff>1524004</xdr:colOff>
      <xdr:row>0</xdr:row>
      <xdr:rowOff>169125</xdr:rowOff>
    </xdr:from>
    <xdr:to>
      <xdr:col>2</xdr:col>
      <xdr:colOff>1472674</xdr:colOff>
      <xdr:row>0</xdr:row>
      <xdr:rowOff>441031</xdr:rowOff>
    </xdr:to>
    <xdr:sp macro="" textlink="">
      <xdr:nvSpPr>
        <xdr:cNvPr id="13837393" name="Flèche : pentagone 13837392">
          <a:hlinkClick xmlns:r="http://schemas.openxmlformats.org/officeDocument/2006/relationships" r:id="rId2"/>
          <a:extLst>
            <a:ext uri="{FF2B5EF4-FFF2-40B4-BE49-F238E27FC236}">
              <a16:creationId xmlns:a16="http://schemas.microsoft.com/office/drawing/2014/main" id="{00000000-0008-0000-1400-00005124D300}"/>
            </a:ext>
          </a:extLst>
        </xdr:cNvPr>
        <xdr:cNvSpPr/>
      </xdr:nvSpPr>
      <xdr:spPr>
        <a:xfrm>
          <a:off x="1524004" y="157695"/>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4</xdr:col>
      <xdr:colOff>1129338</xdr:colOff>
      <xdr:row>0</xdr:row>
      <xdr:rowOff>435618</xdr:rowOff>
    </xdr:from>
    <xdr:to>
      <xdr:col>4</xdr:col>
      <xdr:colOff>2340610</xdr:colOff>
      <xdr:row>0</xdr:row>
      <xdr:rowOff>744016</xdr:rowOff>
    </xdr:to>
    <xdr:sp macro="" textlink="">
      <xdr:nvSpPr>
        <xdr:cNvPr id="13837394" name="ZoneTexte 13837393">
          <a:hlinkClick xmlns:r="http://schemas.openxmlformats.org/officeDocument/2006/relationships" r:id="rId7"/>
          <a:extLst>
            <a:ext uri="{FF2B5EF4-FFF2-40B4-BE49-F238E27FC236}">
              <a16:creationId xmlns:a16="http://schemas.microsoft.com/office/drawing/2014/main" id="{00000000-0008-0000-1400-00005224D300}"/>
            </a:ext>
          </a:extLst>
        </xdr:cNvPr>
        <xdr:cNvSpPr txBox="1"/>
      </xdr:nvSpPr>
      <xdr:spPr>
        <a:xfrm>
          <a:off x="8008929" y="431808"/>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0</xdr:col>
      <xdr:colOff>727078</xdr:colOff>
      <xdr:row>0</xdr:row>
      <xdr:rowOff>152403</xdr:rowOff>
    </xdr:from>
    <xdr:to>
      <xdr:col>0</xdr:col>
      <xdr:colOff>1654814</xdr:colOff>
      <xdr:row>0</xdr:row>
      <xdr:rowOff>437644</xdr:rowOff>
    </xdr:to>
    <xdr:sp macro="" textlink="">
      <xdr:nvSpPr>
        <xdr:cNvPr id="13837395" name="Flèche : pentagone 13837394">
          <a:extLst>
            <a:ext uri="{FF2B5EF4-FFF2-40B4-BE49-F238E27FC236}">
              <a16:creationId xmlns:a16="http://schemas.microsoft.com/office/drawing/2014/main" id="{00000000-0008-0000-1400-00005324D300}"/>
            </a:ext>
          </a:extLst>
        </xdr:cNvPr>
        <xdr:cNvSpPr/>
      </xdr:nvSpPr>
      <xdr:spPr>
        <a:xfrm>
          <a:off x="727078" y="152403"/>
          <a:ext cx="923926"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7</xdr:col>
      <xdr:colOff>819038</xdr:colOff>
      <xdr:row>0</xdr:row>
      <xdr:rowOff>434772</xdr:rowOff>
    </xdr:from>
    <xdr:to>
      <xdr:col>7</xdr:col>
      <xdr:colOff>1693757</xdr:colOff>
      <xdr:row>0</xdr:row>
      <xdr:rowOff>743585</xdr:rowOff>
    </xdr:to>
    <xdr:sp macro="" textlink="">
      <xdr:nvSpPr>
        <xdr:cNvPr id="13837396" name="ZoneTexte 13837395">
          <a:hlinkClick xmlns:r="http://schemas.openxmlformats.org/officeDocument/2006/relationships" r:id="rId16"/>
          <a:extLst>
            <a:ext uri="{FF2B5EF4-FFF2-40B4-BE49-F238E27FC236}">
              <a16:creationId xmlns:a16="http://schemas.microsoft.com/office/drawing/2014/main" id="{00000000-0008-0000-1400-00005424D300}"/>
            </a:ext>
          </a:extLst>
        </xdr:cNvPr>
        <xdr:cNvSpPr txBox="1"/>
      </xdr:nvSpPr>
      <xdr:spPr>
        <a:xfrm>
          <a:off x="13054430" y="423342"/>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480060</xdr:colOff>
          <xdr:row>0</xdr:row>
          <xdr:rowOff>175260</xdr:rowOff>
        </xdr:from>
        <xdr:to>
          <xdr:col>5</xdr:col>
          <xdr:colOff>1112520</xdr:colOff>
          <xdr:row>1</xdr:row>
          <xdr:rowOff>30480</xdr:rowOff>
        </xdr:to>
        <xdr:sp macro="" textlink="">
          <xdr:nvSpPr>
            <xdr:cNvPr id="51619841" name="Button 1" hidden="1">
              <a:extLst>
                <a:ext uri="{63B3BB69-23CF-44E3-9099-C40C66FF867C}">
                  <a14:compatExt spid="_x0000_s51619841"/>
                </a:ext>
                <a:ext uri="{FF2B5EF4-FFF2-40B4-BE49-F238E27FC236}">
                  <a16:creationId xmlns:a16="http://schemas.microsoft.com/office/drawing/2014/main" id="{00000000-0008-0000-1700-000001A813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Créer une nouvelle fiche action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xdr:row>
          <xdr:rowOff>106680</xdr:rowOff>
        </xdr:from>
        <xdr:to>
          <xdr:col>10</xdr:col>
          <xdr:colOff>7620</xdr:colOff>
          <xdr:row>7</xdr:row>
          <xdr:rowOff>312420</xdr:rowOff>
        </xdr:to>
        <xdr:sp macro="" textlink="">
          <xdr:nvSpPr>
            <xdr:cNvPr id="51619842" name="Button 2" hidden="1">
              <a:extLst>
                <a:ext uri="{63B3BB69-23CF-44E3-9099-C40C66FF867C}">
                  <a14:compatExt spid="_x0000_s51619842"/>
                </a:ext>
                <a:ext uri="{FF2B5EF4-FFF2-40B4-BE49-F238E27FC236}">
                  <a16:creationId xmlns:a16="http://schemas.microsoft.com/office/drawing/2014/main" id="{00000000-0008-0000-1700-000002A813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Importer</a:t>
              </a:r>
            </a:p>
          </xdr:txBody>
        </xdr:sp>
        <xdr:clientData fPrintsWithSheet="0"/>
      </xdr:twoCellAnchor>
    </mc:Choice>
    <mc:Fallback/>
  </mc:AlternateContent>
  <xdr:twoCellAnchor>
    <xdr:from>
      <xdr:col>8</xdr:col>
      <xdr:colOff>2201333</xdr:colOff>
      <xdr:row>5</xdr:row>
      <xdr:rowOff>52917</xdr:rowOff>
    </xdr:from>
    <xdr:to>
      <xdr:col>8</xdr:col>
      <xdr:colOff>2465917</xdr:colOff>
      <xdr:row>5</xdr:row>
      <xdr:rowOff>190500</xdr:rowOff>
    </xdr:to>
    <xdr:sp macro="" textlink="">
      <xdr:nvSpPr>
        <xdr:cNvPr id="2" name="Flèche : droite 1">
          <a:extLst>
            <a:ext uri="{FF2B5EF4-FFF2-40B4-BE49-F238E27FC236}">
              <a16:creationId xmlns:a16="http://schemas.microsoft.com/office/drawing/2014/main" id="{13B1125C-644C-40DD-BB71-3A49A510D14B}"/>
            </a:ext>
          </a:extLst>
        </xdr:cNvPr>
        <xdr:cNvSpPr/>
      </xdr:nvSpPr>
      <xdr:spPr>
        <a:xfrm>
          <a:off x="15284873" y="2041737"/>
          <a:ext cx="264584" cy="137583"/>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BE"/>
        </a:p>
      </xdr:txBody>
    </xdr:sp>
    <xdr:clientData/>
  </xdr:twoCellAnchor>
  <mc:AlternateContent xmlns:mc="http://schemas.openxmlformats.org/markup-compatibility/2006">
    <mc:Choice xmlns:a14="http://schemas.microsoft.com/office/drawing/2010/main" Requires="a14">
      <xdr:twoCellAnchor editAs="oneCell">
        <xdr:from>
          <xdr:col>8</xdr:col>
          <xdr:colOff>2118360</xdr:colOff>
          <xdr:row>0</xdr:row>
          <xdr:rowOff>190500</xdr:rowOff>
        </xdr:from>
        <xdr:to>
          <xdr:col>11</xdr:col>
          <xdr:colOff>0</xdr:colOff>
          <xdr:row>1</xdr:row>
          <xdr:rowOff>60960</xdr:rowOff>
        </xdr:to>
        <xdr:sp macro="" textlink="">
          <xdr:nvSpPr>
            <xdr:cNvPr id="51619843" name="Button 3" hidden="1">
              <a:extLst>
                <a:ext uri="{63B3BB69-23CF-44E3-9099-C40C66FF867C}">
                  <a14:compatExt spid="_x0000_s51619843"/>
                </a:ext>
                <a:ext uri="{FF2B5EF4-FFF2-40B4-BE49-F238E27FC236}">
                  <a16:creationId xmlns:a16="http://schemas.microsoft.com/office/drawing/2014/main" id="{00000000-0008-0000-1700-000003A813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FF0000"/>
                  </a:solidFill>
                  <a:latin typeface="Calibri"/>
                  <a:ea typeface="Calibri"/>
                  <a:cs typeface="Calibri"/>
                </a:rPr>
                <a:t>Supprimer cette fiche action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xdr:row>
          <xdr:rowOff>144780</xdr:rowOff>
        </xdr:from>
        <xdr:to>
          <xdr:col>5</xdr:col>
          <xdr:colOff>1150620</xdr:colOff>
          <xdr:row>7</xdr:row>
          <xdr:rowOff>381000</xdr:rowOff>
        </xdr:to>
        <xdr:sp macro="" textlink="">
          <xdr:nvSpPr>
            <xdr:cNvPr id="51619844" name="Button 4" hidden="1">
              <a:extLst>
                <a:ext uri="{63B3BB69-23CF-44E3-9099-C40C66FF867C}">
                  <a14:compatExt spid="_x0000_s51619844"/>
                </a:ext>
                <a:ext uri="{FF2B5EF4-FFF2-40B4-BE49-F238E27FC236}">
                  <a16:creationId xmlns:a16="http://schemas.microsoft.com/office/drawing/2014/main" id="{00000000-0008-0000-1700-000004A813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Module de calcul de la participation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49</xdr:row>
          <xdr:rowOff>121920</xdr:rowOff>
        </xdr:from>
        <xdr:to>
          <xdr:col>4</xdr:col>
          <xdr:colOff>914400</xdr:colOff>
          <xdr:row>51</xdr:row>
          <xdr:rowOff>106680</xdr:rowOff>
        </xdr:to>
        <xdr:sp macro="" textlink="">
          <xdr:nvSpPr>
            <xdr:cNvPr id="51619845" name="Button 5" hidden="1">
              <a:extLst>
                <a:ext uri="{63B3BB69-23CF-44E3-9099-C40C66FF867C}">
                  <a14:compatExt spid="_x0000_s51619845"/>
                </a:ext>
                <a:ext uri="{FF2B5EF4-FFF2-40B4-BE49-F238E27FC236}">
                  <a16:creationId xmlns:a16="http://schemas.microsoft.com/office/drawing/2014/main" id="{00000000-0008-0000-1700-000005A813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Utiliser cette valeur comme participation à l'objectif ciblé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746760</xdr:colOff>
          <xdr:row>91</xdr:row>
          <xdr:rowOff>106680</xdr:rowOff>
        </xdr:from>
        <xdr:to>
          <xdr:col>4</xdr:col>
          <xdr:colOff>784860</xdr:colOff>
          <xdr:row>93</xdr:row>
          <xdr:rowOff>76200</xdr:rowOff>
        </xdr:to>
        <xdr:sp macro="" textlink="">
          <xdr:nvSpPr>
            <xdr:cNvPr id="51619846" name="Button 6" hidden="1">
              <a:extLst>
                <a:ext uri="{63B3BB69-23CF-44E3-9099-C40C66FF867C}">
                  <a14:compatExt spid="_x0000_s51619846"/>
                </a:ext>
                <a:ext uri="{FF2B5EF4-FFF2-40B4-BE49-F238E27FC236}">
                  <a16:creationId xmlns:a16="http://schemas.microsoft.com/office/drawing/2014/main" id="{00000000-0008-0000-1700-000006A813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Utiliser cette valeur comme participation à l'objectif ciblé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70</xdr:row>
          <xdr:rowOff>121920</xdr:rowOff>
        </xdr:from>
        <xdr:to>
          <xdr:col>4</xdr:col>
          <xdr:colOff>838200</xdr:colOff>
          <xdr:row>72</xdr:row>
          <xdr:rowOff>99060</xdr:rowOff>
        </xdr:to>
        <xdr:sp macro="" textlink="">
          <xdr:nvSpPr>
            <xdr:cNvPr id="51619847" name="Button 7" hidden="1">
              <a:extLst>
                <a:ext uri="{63B3BB69-23CF-44E3-9099-C40C66FF867C}">
                  <a14:compatExt spid="_x0000_s51619847"/>
                </a:ext>
                <a:ext uri="{FF2B5EF4-FFF2-40B4-BE49-F238E27FC236}">
                  <a16:creationId xmlns:a16="http://schemas.microsoft.com/office/drawing/2014/main" id="{00000000-0008-0000-1700-000007A813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Utiliser cette valeur comme participation à l'objectif ciblé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1257300</xdr:colOff>
          <xdr:row>0</xdr:row>
          <xdr:rowOff>175260</xdr:rowOff>
        </xdr:from>
        <xdr:to>
          <xdr:col>6</xdr:col>
          <xdr:colOff>868680</xdr:colOff>
          <xdr:row>1</xdr:row>
          <xdr:rowOff>22860</xdr:rowOff>
        </xdr:to>
        <xdr:sp macro="" textlink="">
          <xdr:nvSpPr>
            <xdr:cNvPr id="51619848" name="Button 8" hidden="1">
              <a:extLst>
                <a:ext uri="{63B3BB69-23CF-44E3-9099-C40C66FF867C}">
                  <a14:compatExt spid="_x0000_s51619848"/>
                </a:ext>
                <a:ext uri="{FF2B5EF4-FFF2-40B4-BE49-F238E27FC236}">
                  <a16:creationId xmlns:a16="http://schemas.microsoft.com/office/drawing/2014/main" id="{00000000-0008-0000-1700-000008A813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FF0000"/>
                  </a:solidFill>
                  <a:latin typeface="Calibri"/>
                  <a:ea typeface="Calibri"/>
                  <a:cs typeface="Calibri"/>
                </a:rPr>
                <a:t>RESET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1242060</xdr:colOff>
          <xdr:row>1</xdr:row>
          <xdr:rowOff>99060</xdr:rowOff>
        </xdr:from>
        <xdr:to>
          <xdr:col>5</xdr:col>
          <xdr:colOff>0</xdr:colOff>
          <xdr:row>1</xdr:row>
          <xdr:rowOff>312420</xdr:rowOff>
        </xdr:to>
        <xdr:sp macro="" textlink="">
          <xdr:nvSpPr>
            <xdr:cNvPr id="51619849" name="Option Button 9" hidden="1">
              <a:extLst>
                <a:ext uri="{63B3BB69-23CF-44E3-9099-C40C66FF867C}">
                  <a14:compatExt spid="_x0000_s51619849"/>
                </a:ext>
                <a:ext uri="{FF2B5EF4-FFF2-40B4-BE49-F238E27FC236}">
                  <a16:creationId xmlns:a16="http://schemas.microsoft.com/office/drawing/2014/main" id="{00000000-0008-0000-1700-000009A8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1242060</xdr:colOff>
          <xdr:row>2</xdr:row>
          <xdr:rowOff>0</xdr:rowOff>
        </xdr:from>
        <xdr:to>
          <xdr:col>5</xdr:col>
          <xdr:colOff>0</xdr:colOff>
          <xdr:row>2</xdr:row>
          <xdr:rowOff>213360</xdr:rowOff>
        </xdr:to>
        <xdr:sp macro="" textlink="">
          <xdr:nvSpPr>
            <xdr:cNvPr id="51619850" name="Option Button 10" hidden="1">
              <a:extLst>
                <a:ext uri="{63B3BB69-23CF-44E3-9099-C40C66FF867C}">
                  <a14:compatExt spid="_x0000_s51619850"/>
                </a:ext>
                <a:ext uri="{FF2B5EF4-FFF2-40B4-BE49-F238E27FC236}">
                  <a16:creationId xmlns:a16="http://schemas.microsoft.com/office/drawing/2014/main" id="{00000000-0008-0000-1700-00000AA8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1249680</xdr:colOff>
          <xdr:row>2</xdr:row>
          <xdr:rowOff>220980</xdr:rowOff>
        </xdr:from>
        <xdr:to>
          <xdr:col>5</xdr:col>
          <xdr:colOff>7620</xdr:colOff>
          <xdr:row>2</xdr:row>
          <xdr:rowOff>441960</xdr:rowOff>
        </xdr:to>
        <xdr:sp macro="" textlink="">
          <xdr:nvSpPr>
            <xdr:cNvPr id="51619851" name="Check Box 11" hidden="1">
              <a:extLst>
                <a:ext uri="{63B3BB69-23CF-44E3-9099-C40C66FF867C}">
                  <a14:compatExt spid="_x0000_s51619851"/>
                </a:ext>
                <a:ext uri="{FF2B5EF4-FFF2-40B4-BE49-F238E27FC236}">
                  <a16:creationId xmlns:a16="http://schemas.microsoft.com/office/drawing/2014/main" id="{00000000-0008-0000-1700-00000BA8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175260</xdr:colOff>
          <xdr:row>2</xdr:row>
          <xdr:rowOff>213360</xdr:rowOff>
        </xdr:from>
        <xdr:to>
          <xdr:col>1</xdr:col>
          <xdr:colOff>457200</xdr:colOff>
          <xdr:row>2</xdr:row>
          <xdr:rowOff>441960</xdr:rowOff>
        </xdr:to>
        <xdr:sp macro="" textlink="">
          <xdr:nvSpPr>
            <xdr:cNvPr id="51619852" name="Check Box 12" hidden="1">
              <a:extLst>
                <a:ext uri="{63B3BB69-23CF-44E3-9099-C40C66FF867C}">
                  <a14:compatExt spid="_x0000_s51619852"/>
                </a:ext>
                <a:ext uri="{FF2B5EF4-FFF2-40B4-BE49-F238E27FC236}">
                  <a16:creationId xmlns:a16="http://schemas.microsoft.com/office/drawing/2014/main" id="{00000000-0008-0000-1700-00000CA8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7</xdr:col>
      <xdr:colOff>18841</xdr:colOff>
      <xdr:row>21</xdr:row>
      <xdr:rowOff>45932</xdr:rowOff>
    </xdr:from>
    <xdr:to>
      <xdr:col>8</xdr:col>
      <xdr:colOff>552241</xdr:colOff>
      <xdr:row>24</xdr:row>
      <xdr:rowOff>95885</xdr:rowOff>
    </xdr:to>
    <xdr:sp macro="" textlink="">
      <xdr:nvSpPr>
        <xdr:cNvPr id="3" name="Flèche : pentagone 2">
          <a:extLst>
            <a:ext uri="{FF2B5EF4-FFF2-40B4-BE49-F238E27FC236}">
              <a16:creationId xmlns:a16="http://schemas.microsoft.com/office/drawing/2014/main" id="{069A7F25-696B-4F38-9790-1FA17965D50E}"/>
            </a:ext>
          </a:extLst>
        </xdr:cNvPr>
        <xdr:cNvSpPr/>
      </xdr:nvSpPr>
      <xdr:spPr>
        <a:xfrm rot="5400000">
          <a:off x="12701167" y="6449801"/>
          <a:ext cx="840528" cy="1051560"/>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endParaRPr lang="fr-BE" sz="800" b="1">
            <a:solidFill>
              <a:srgbClr val="31869B"/>
            </a:solidFill>
          </a:endParaRPr>
        </a:p>
        <a:p>
          <a:pPr algn="ctr"/>
          <a:r>
            <a:rPr lang="fr-BE" sz="1400" b="1">
              <a:solidFill>
                <a:srgbClr val="31869B"/>
              </a:solidFill>
            </a:rPr>
            <a:t>Rapportage</a:t>
          </a:r>
        </a:p>
      </xdr:txBody>
    </xdr:sp>
    <xdr:clientData/>
  </xdr:twoCellAnchor>
  <xdr:twoCellAnchor editAs="absolute">
    <xdr:from>
      <xdr:col>7</xdr:col>
      <xdr:colOff>18841</xdr:colOff>
      <xdr:row>16</xdr:row>
      <xdr:rowOff>201934</xdr:rowOff>
    </xdr:from>
    <xdr:to>
      <xdr:col>8</xdr:col>
      <xdr:colOff>552241</xdr:colOff>
      <xdr:row>21</xdr:row>
      <xdr:rowOff>297180</xdr:rowOff>
    </xdr:to>
    <xdr:sp macro="" textlink="">
      <xdr:nvSpPr>
        <xdr:cNvPr id="4" name="Flèche : pentagone 3">
          <a:extLst>
            <a:ext uri="{FF2B5EF4-FFF2-40B4-BE49-F238E27FC236}">
              <a16:creationId xmlns:a16="http://schemas.microsoft.com/office/drawing/2014/main" id="{9365FC44-2E01-4EF4-93D2-5FA1B8073B76}"/>
            </a:ext>
          </a:extLst>
        </xdr:cNvPr>
        <xdr:cNvSpPr/>
      </xdr:nvSpPr>
      <xdr:spPr>
        <a:xfrm rot="5400000">
          <a:off x="12479448" y="5634992"/>
          <a:ext cx="1283966" cy="1051560"/>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fr-BE" sz="1400" b="1"/>
            <a:t>Synthèses</a:t>
          </a:r>
        </a:p>
      </xdr:txBody>
    </xdr:sp>
    <xdr:clientData/>
  </xdr:twoCellAnchor>
  <xdr:twoCellAnchor editAs="absolute">
    <xdr:from>
      <xdr:col>7</xdr:col>
      <xdr:colOff>17148</xdr:colOff>
      <xdr:row>14</xdr:row>
      <xdr:rowOff>200874</xdr:rowOff>
    </xdr:from>
    <xdr:to>
      <xdr:col>8</xdr:col>
      <xdr:colOff>552241</xdr:colOff>
      <xdr:row>17</xdr:row>
      <xdr:rowOff>78104</xdr:rowOff>
    </xdr:to>
    <xdr:sp macro="" textlink="">
      <xdr:nvSpPr>
        <xdr:cNvPr id="5" name="Flèche : pentagone 4">
          <a:extLst>
            <a:ext uri="{FF2B5EF4-FFF2-40B4-BE49-F238E27FC236}">
              <a16:creationId xmlns:a16="http://schemas.microsoft.com/office/drawing/2014/main" id="{AD3467D6-853A-4A9D-9DDE-F8B5FF4A7F16}"/>
            </a:ext>
          </a:extLst>
        </xdr:cNvPr>
        <xdr:cNvSpPr/>
      </xdr:nvSpPr>
      <xdr:spPr>
        <a:xfrm rot="5400000">
          <a:off x="12491407" y="4637300"/>
          <a:ext cx="1262165" cy="1049443"/>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endParaRPr lang="fr-BE" sz="1400" b="1"/>
        </a:p>
        <a:p>
          <a:pPr algn="ctr"/>
          <a:r>
            <a:rPr lang="fr-BE" sz="1400" b="1"/>
            <a:t>Planification</a:t>
          </a:r>
        </a:p>
        <a:p>
          <a:pPr algn="ctr"/>
          <a:r>
            <a:rPr lang="fr-BE" sz="1400" b="1"/>
            <a:t>Suivi</a:t>
          </a:r>
        </a:p>
      </xdr:txBody>
    </xdr:sp>
    <xdr:clientData/>
  </xdr:twoCellAnchor>
  <xdr:twoCellAnchor editAs="absolute">
    <xdr:from>
      <xdr:col>6</xdr:col>
      <xdr:colOff>1043942</xdr:colOff>
      <xdr:row>10</xdr:row>
      <xdr:rowOff>47625</xdr:rowOff>
    </xdr:from>
    <xdr:to>
      <xdr:col>8</xdr:col>
      <xdr:colOff>1197223</xdr:colOff>
      <xdr:row>11</xdr:row>
      <xdr:rowOff>180764</xdr:rowOff>
    </xdr:to>
    <xdr:sp macro="" textlink="">
      <xdr:nvSpPr>
        <xdr:cNvPr id="6" name="ZoneTexte 5">
          <a:extLst>
            <a:ext uri="{FF2B5EF4-FFF2-40B4-BE49-F238E27FC236}">
              <a16:creationId xmlns:a16="http://schemas.microsoft.com/office/drawing/2014/main" id="{51FE7D47-5156-4722-8315-2BA996C46969}"/>
            </a:ext>
          </a:extLst>
        </xdr:cNvPr>
        <xdr:cNvSpPr txBox="1"/>
      </xdr:nvSpPr>
      <xdr:spPr>
        <a:xfrm>
          <a:off x="12544427" y="3558540"/>
          <a:ext cx="1730621" cy="350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400" b="1" u="sng">
              <a:solidFill>
                <a:srgbClr val="215967"/>
              </a:solidFill>
            </a:rPr>
            <a:t>Navigation:</a:t>
          </a:r>
        </a:p>
        <a:p>
          <a:endParaRPr lang="fr-BE" sz="1400" b="1" u="sng">
            <a:solidFill>
              <a:srgbClr val="215967"/>
            </a:solidFill>
          </a:endParaRPr>
        </a:p>
      </xdr:txBody>
    </xdr:sp>
    <xdr:clientData/>
  </xdr:twoCellAnchor>
  <xdr:twoCellAnchor editAs="absolute">
    <xdr:from>
      <xdr:col>8</xdr:col>
      <xdr:colOff>512233</xdr:colOff>
      <xdr:row>11</xdr:row>
      <xdr:rowOff>144570</xdr:rowOff>
    </xdr:from>
    <xdr:to>
      <xdr:col>8</xdr:col>
      <xdr:colOff>2227197</xdr:colOff>
      <xdr:row>12</xdr:row>
      <xdr:rowOff>180130</xdr:rowOff>
    </xdr:to>
    <xdr:sp macro="" textlink="">
      <xdr:nvSpPr>
        <xdr:cNvPr id="7" name="ZoneTexte 6">
          <a:hlinkClick xmlns:r="http://schemas.openxmlformats.org/officeDocument/2006/relationships" r:id="rId1"/>
          <a:extLst>
            <a:ext uri="{FF2B5EF4-FFF2-40B4-BE49-F238E27FC236}">
              <a16:creationId xmlns:a16="http://schemas.microsoft.com/office/drawing/2014/main" id="{7AFB28CF-C9E6-4B9B-9C21-CD7C11377473}"/>
            </a:ext>
          </a:extLst>
        </xdr:cNvPr>
        <xdr:cNvSpPr txBox="1"/>
      </xdr:nvSpPr>
      <xdr:spPr>
        <a:xfrm>
          <a:off x="13590058" y="3861225"/>
          <a:ext cx="1728299"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215967"/>
              </a:solidFill>
            </a:rPr>
            <a:t>&gt; </a:t>
          </a:r>
          <a:r>
            <a:rPr lang="fr-BE" sz="1200" b="1" u="sng">
              <a:solidFill>
                <a:srgbClr val="215967"/>
              </a:solidFill>
            </a:rPr>
            <a:t>Données de bilans </a:t>
          </a:r>
        </a:p>
        <a:p>
          <a:endParaRPr lang="fr-BE" sz="1100" b="1">
            <a:solidFill>
              <a:srgbClr val="215967"/>
            </a:solidFill>
          </a:endParaRPr>
        </a:p>
      </xdr:txBody>
    </xdr:sp>
    <xdr:clientData/>
  </xdr:twoCellAnchor>
  <xdr:twoCellAnchor editAs="absolute">
    <xdr:from>
      <xdr:col>8</xdr:col>
      <xdr:colOff>496359</xdr:colOff>
      <xdr:row>12</xdr:row>
      <xdr:rowOff>177803</xdr:rowOff>
    </xdr:from>
    <xdr:to>
      <xdr:col>8</xdr:col>
      <xdr:colOff>2232272</xdr:colOff>
      <xdr:row>14</xdr:row>
      <xdr:rowOff>46781</xdr:rowOff>
    </xdr:to>
    <xdr:sp macro="" textlink="">
      <xdr:nvSpPr>
        <xdr:cNvPr id="8" name="ZoneTexte 7">
          <a:hlinkClick xmlns:r="http://schemas.openxmlformats.org/officeDocument/2006/relationships" r:id="rId2"/>
          <a:extLst>
            <a:ext uri="{FF2B5EF4-FFF2-40B4-BE49-F238E27FC236}">
              <a16:creationId xmlns:a16="http://schemas.microsoft.com/office/drawing/2014/main" id="{4D39DE18-A4FE-42B5-9896-A3BCC1583664}"/>
            </a:ext>
          </a:extLst>
        </xdr:cNvPr>
        <xdr:cNvSpPr txBox="1"/>
      </xdr:nvSpPr>
      <xdr:spPr>
        <a:xfrm>
          <a:off x="13579899" y="4090673"/>
          <a:ext cx="1741628" cy="293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215967"/>
              </a:solidFill>
            </a:rPr>
            <a:t>&gt; </a:t>
          </a:r>
          <a:r>
            <a:rPr lang="fr-BE" sz="1200" b="1" u="sng">
              <a:solidFill>
                <a:srgbClr val="215967"/>
              </a:solidFill>
            </a:rPr>
            <a:t>Bilan patrimonial </a:t>
          </a:r>
        </a:p>
        <a:p>
          <a:endParaRPr lang="fr-BE" sz="1100" b="1">
            <a:solidFill>
              <a:srgbClr val="215967"/>
            </a:solidFill>
          </a:endParaRPr>
        </a:p>
      </xdr:txBody>
    </xdr:sp>
    <xdr:clientData/>
  </xdr:twoCellAnchor>
  <xdr:twoCellAnchor editAs="absolute">
    <xdr:from>
      <xdr:col>8</xdr:col>
      <xdr:colOff>515832</xdr:colOff>
      <xdr:row>13</xdr:row>
      <xdr:rowOff>174842</xdr:rowOff>
    </xdr:from>
    <xdr:to>
      <xdr:col>8</xdr:col>
      <xdr:colOff>2226986</xdr:colOff>
      <xdr:row>14</xdr:row>
      <xdr:rowOff>469271</xdr:rowOff>
    </xdr:to>
    <xdr:sp macro="" textlink="">
      <xdr:nvSpPr>
        <xdr:cNvPr id="9" name="ZoneTexte 8">
          <a:hlinkClick xmlns:r="http://schemas.openxmlformats.org/officeDocument/2006/relationships" r:id="rId3"/>
          <a:extLst>
            <a:ext uri="{FF2B5EF4-FFF2-40B4-BE49-F238E27FC236}">
              <a16:creationId xmlns:a16="http://schemas.microsoft.com/office/drawing/2014/main" id="{687D69F2-83F0-467C-8CC3-924863F1DB70}"/>
            </a:ext>
          </a:extLst>
        </xdr:cNvPr>
        <xdr:cNvSpPr txBox="1"/>
      </xdr:nvSpPr>
      <xdr:spPr>
        <a:xfrm>
          <a:off x="13587942" y="4314407"/>
          <a:ext cx="1734014" cy="48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215967"/>
              </a:solidFill>
            </a:rPr>
            <a:t>&gt; </a:t>
          </a:r>
          <a:r>
            <a:rPr lang="fr-BE" sz="1200" b="1" u="sng">
              <a:solidFill>
                <a:srgbClr val="215967"/>
              </a:solidFill>
            </a:rPr>
            <a:t>Bilan territorial </a:t>
          </a:r>
        </a:p>
        <a:p>
          <a:endParaRPr lang="fr-BE" sz="1100" b="1">
            <a:solidFill>
              <a:srgbClr val="215967"/>
            </a:solidFill>
          </a:endParaRPr>
        </a:p>
      </xdr:txBody>
    </xdr:sp>
    <xdr:clientData/>
  </xdr:twoCellAnchor>
  <xdr:twoCellAnchor editAs="absolute">
    <xdr:from>
      <xdr:col>8</xdr:col>
      <xdr:colOff>516258</xdr:colOff>
      <xdr:row>14</xdr:row>
      <xdr:rowOff>314963</xdr:rowOff>
    </xdr:from>
    <xdr:to>
      <xdr:col>8</xdr:col>
      <xdr:colOff>2231222</xdr:colOff>
      <xdr:row>14</xdr:row>
      <xdr:rowOff>610661</xdr:rowOff>
    </xdr:to>
    <xdr:sp macro="" textlink="">
      <xdr:nvSpPr>
        <xdr:cNvPr id="10" name="ZoneTexte 9">
          <a:hlinkClick xmlns:r="http://schemas.openxmlformats.org/officeDocument/2006/relationships" r:id="rId4"/>
          <a:extLst>
            <a:ext uri="{FF2B5EF4-FFF2-40B4-BE49-F238E27FC236}">
              <a16:creationId xmlns:a16="http://schemas.microsoft.com/office/drawing/2014/main" id="{07D8A3D0-906C-4D78-A546-9D2695B85CDE}"/>
            </a:ext>
          </a:extLst>
        </xdr:cNvPr>
        <xdr:cNvSpPr txBox="1"/>
      </xdr:nvSpPr>
      <xdr:spPr>
        <a:xfrm>
          <a:off x="13592178" y="4645028"/>
          <a:ext cx="1728299" cy="286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 </a:t>
          </a:r>
          <a:r>
            <a:rPr lang="fr-BE" sz="1200" b="1" u="sng">
              <a:solidFill>
                <a:srgbClr val="31869B"/>
              </a:solidFill>
            </a:rPr>
            <a:t>Potentiel EnR </a:t>
          </a:r>
        </a:p>
        <a:p>
          <a:endParaRPr lang="fr-BE" sz="1100" b="1">
            <a:solidFill>
              <a:srgbClr val="31869B"/>
            </a:solidFill>
          </a:endParaRPr>
        </a:p>
      </xdr:txBody>
    </xdr:sp>
    <xdr:clientData/>
  </xdr:twoCellAnchor>
  <xdr:twoCellAnchor editAs="absolute">
    <xdr:from>
      <xdr:col>8</xdr:col>
      <xdr:colOff>498480</xdr:colOff>
      <xdr:row>14</xdr:row>
      <xdr:rowOff>540390</xdr:rowOff>
    </xdr:from>
    <xdr:to>
      <xdr:col>8</xdr:col>
      <xdr:colOff>2228678</xdr:colOff>
      <xdr:row>15</xdr:row>
      <xdr:rowOff>41703</xdr:rowOff>
    </xdr:to>
    <xdr:sp macro="" textlink="">
      <xdr:nvSpPr>
        <xdr:cNvPr id="11" name="ZoneTexte 10">
          <a:hlinkClick xmlns:r="http://schemas.openxmlformats.org/officeDocument/2006/relationships" r:id="rId5"/>
          <a:extLst>
            <a:ext uri="{FF2B5EF4-FFF2-40B4-BE49-F238E27FC236}">
              <a16:creationId xmlns:a16="http://schemas.microsoft.com/office/drawing/2014/main" id="{ABA0FB4F-64CA-4003-96AB-07F0F10227DD}"/>
            </a:ext>
          </a:extLst>
        </xdr:cNvPr>
        <xdr:cNvSpPr txBox="1"/>
      </xdr:nvSpPr>
      <xdr:spPr>
        <a:xfrm>
          <a:off x="13582020" y="4860930"/>
          <a:ext cx="1741628" cy="30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a:t>
          </a:r>
          <a:r>
            <a:rPr lang="fr-BE" sz="1200" b="1" u="sng">
              <a:solidFill>
                <a:srgbClr val="31869B"/>
              </a:solidFill>
            </a:rPr>
            <a:t> Vision </a:t>
          </a:r>
        </a:p>
        <a:p>
          <a:endParaRPr lang="fr-BE" sz="1100" b="1">
            <a:solidFill>
              <a:srgbClr val="31869B"/>
            </a:solidFill>
          </a:endParaRPr>
        </a:p>
      </xdr:txBody>
    </xdr:sp>
    <xdr:clientData/>
  </xdr:twoCellAnchor>
  <xdr:twoCellAnchor editAs="absolute">
    <xdr:from>
      <xdr:col>8</xdr:col>
      <xdr:colOff>512237</xdr:colOff>
      <xdr:row>14</xdr:row>
      <xdr:rowOff>758407</xdr:rowOff>
    </xdr:from>
    <xdr:to>
      <xdr:col>8</xdr:col>
      <xdr:colOff>2227201</xdr:colOff>
      <xdr:row>16</xdr:row>
      <xdr:rowOff>49535</xdr:rowOff>
    </xdr:to>
    <xdr:sp macro="" textlink="">
      <xdr:nvSpPr>
        <xdr:cNvPr id="12" name="ZoneTexte 11">
          <a:hlinkClick xmlns:r="http://schemas.openxmlformats.org/officeDocument/2006/relationships" r:id="rId6"/>
          <a:extLst>
            <a:ext uri="{FF2B5EF4-FFF2-40B4-BE49-F238E27FC236}">
              <a16:creationId xmlns:a16="http://schemas.microsoft.com/office/drawing/2014/main" id="{1F07EB0D-6675-43A2-A4CA-E46C373FA37C}"/>
            </a:ext>
          </a:extLst>
        </xdr:cNvPr>
        <xdr:cNvSpPr txBox="1"/>
      </xdr:nvSpPr>
      <xdr:spPr>
        <a:xfrm>
          <a:off x="13590062" y="5084662"/>
          <a:ext cx="1728299" cy="285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 </a:t>
          </a:r>
          <a:r>
            <a:rPr lang="fr-BE" sz="1200" b="1" u="sng">
              <a:solidFill>
                <a:srgbClr val="31869B"/>
              </a:solidFill>
            </a:rPr>
            <a:t>Objectifs </a:t>
          </a:r>
        </a:p>
        <a:p>
          <a:endParaRPr lang="fr-BE" sz="1100" b="1">
            <a:solidFill>
              <a:srgbClr val="31869B"/>
            </a:solidFill>
          </a:endParaRPr>
        </a:p>
      </xdr:txBody>
    </xdr:sp>
    <xdr:clientData/>
  </xdr:twoCellAnchor>
  <xdr:twoCellAnchor editAs="absolute">
    <xdr:from>
      <xdr:col>8</xdr:col>
      <xdr:colOff>474348</xdr:colOff>
      <xdr:row>17</xdr:row>
      <xdr:rowOff>135255</xdr:rowOff>
    </xdr:from>
    <xdr:to>
      <xdr:col>8</xdr:col>
      <xdr:colOff>2225501</xdr:colOff>
      <xdr:row>19</xdr:row>
      <xdr:rowOff>15240</xdr:rowOff>
    </xdr:to>
    <xdr:sp macro="" textlink="">
      <xdr:nvSpPr>
        <xdr:cNvPr id="13" name="ZoneTexte 12">
          <a:hlinkClick xmlns:r="http://schemas.openxmlformats.org/officeDocument/2006/relationships" r:id="rId7"/>
          <a:extLst>
            <a:ext uri="{FF2B5EF4-FFF2-40B4-BE49-F238E27FC236}">
              <a16:creationId xmlns:a16="http://schemas.microsoft.com/office/drawing/2014/main" id="{9F17B3D2-9D20-4792-8D7C-EE84BD531630}"/>
            </a:ext>
          </a:extLst>
        </xdr:cNvPr>
        <xdr:cNvSpPr txBox="1"/>
      </xdr:nvSpPr>
      <xdr:spPr>
        <a:xfrm>
          <a:off x="13573128" y="5842635"/>
          <a:ext cx="1726388"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Actions VS Objectifs </a:t>
          </a:r>
        </a:p>
        <a:p>
          <a:endParaRPr lang="fr-BE" sz="1100" b="0">
            <a:solidFill>
              <a:schemeClr val="tx1">
                <a:lumMod val="50000"/>
                <a:lumOff val="50000"/>
              </a:schemeClr>
            </a:solidFill>
          </a:endParaRPr>
        </a:p>
      </xdr:txBody>
    </xdr:sp>
    <xdr:clientData/>
  </xdr:twoCellAnchor>
  <xdr:twoCellAnchor editAs="absolute">
    <xdr:from>
      <xdr:col>8</xdr:col>
      <xdr:colOff>474773</xdr:colOff>
      <xdr:row>16</xdr:row>
      <xdr:rowOff>275802</xdr:rowOff>
    </xdr:from>
    <xdr:to>
      <xdr:col>8</xdr:col>
      <xdr:colOff>2229742</xdr:colOff>
      <xdr:row>17</xdr:row>
      <xdr:rowOff>129540</xdr:rowOff>
    </xdr:to>
    <xdr:sp macro="" textlink="">
      <xdr:nvSpPr>
        <xdr:cNvPr id="14" name="ZoneTexte 13">
          <a:hlinkClick xmlns:r="http://schemas.openxmlformats.org/officeDocument/2006/relationships" r:id="rId8"/>
          <a:extLst>
            <a:ext uri="{FF2B5EF4-FFF2-40B4-BE49-F238E27FC236}">
              <a16:creationId xmlns:a16="http://schemas.microsoft.com/office/drawing/2014/main" id="{9CEF1425-9FA2-492E-8EB3-31F5194FDACE}"/>
            </a:ext>
          </a:extLst>
        </xdr:cNvPr>
        <xdr:cNvSpPr txBox="1"/>
      </xdr:nvSpPr>
      <xdr:spPr>
        <a:xfrm>
          <a:off x="13569743" y="5592657"/>
          <a:ext cx="1732109" cy="251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Actions</a:t>
          </a:r>
          <a:r>
            <a:rPr lang="fr-BE" sz="1200" b="0">
              <a:solidFill>
                <a:schemeClr val="tx1">
                  <a:lumMod val="50000"/>
                  <a:lumOff val="50000"/>
                </a:schemeClr>
              </a:solidFill>
            </a:rPr>
            <a:t> </a:t>
          </a:r>
        </a:p>
        <a:p>
          <a:endParaRPr lang="fr-BE" sz="1100" b="0">
            <a:solidFill>
              <a:schemeClr val="tx1">
                <a:lumMod val="50000"/>
                <a:lumOff val="50000"/>
              </a:schemeClr>
            </a:solidFill>
          </a:endParaRPr>
        </a:p>
      </xdr:txBody>
    </xdr:sp>
    <xdr:clientData/>
  </xdr:twoCellAnchor>
  <xdr:twoCellAnchor editAs="absolute">
    <xdr:from>
      <xdr:col>8</xdr:col>
      <xdr:colOff>494244</xdr:colOff>
      <xdr:row>20</xdr:row>
      <xdr:rowOff>20955</xdr:rowOff>
    </xdr:from>
    <xdr:to>
      <xdr:col>8</xdr:col>
      <xdr:colOff>2228252</xdr:colOff>
      <xdr:row>21</xdr:row>
      <xdr:rowOff>46152</xdr:rowOff>
    </xdr:to>
    <xdr:sp macro="" textlink="">
      <xdr:nvSpPr>
        <xdr:cNvPr id="15" name="ZoneTexte 14">
          <a:hlinkClick xmlns:r="http://schemas.openxmlformats.org/officeDocument/2006/relationships" r:id="rId9"/>
          <a:extLst>
            <a:ext uri="{FF2B5EF4-FFF2-40B4-BE49-F238E27FC236}">
              <a16:creationId xmlns:a16="http://schemas.microsoft.com/office/drawing/2014/main" id="{768F6106-DAC4-4233-BDD3-713AB9FA75A8}"/>
            </a:ext>
          </a:extLst>
        </xdr:cNvPr>
        <xdr:cNvSpPr txBox="1"/>
      </xdr:nvSpPr>
      <xdr:spPr>
        <a:xfrm>
          <a:off x="13577784" y="6330315"/>
          <a:ext cx="1741628" cy="225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Budget</a:t>
          </a:r>
        </a:p>
        <a:p>
          <a:endParaRPr lang="fr-BE" sz="1100" b="0">
            <a:solidFill>
              <a:schemeClr val="tx1">
                <a:lumMod val="50000"/>
                <a:lumOff val="50000"/>
              </a:schemeClr>
            </a:solidFill>
          </a:endParaRPr>
        </a:p>
      </xdr:txBody>
    </xdr:sp>
    <xdr:clientData/>
  </xdr:twoCellAnchor>
  <xdr:twoCellAnchor editAs="absolute">
    <xdr:from>
      <xdr:col>8</xdr:col>
      <xdr:colOff>498476</xdr:colOff>
      <xdr:row>21</xdr:row>
      <xdr:rowOff>317291</xdr:rowOff>
    </xdr:from>
    <xdr:to>
      <xdr:col>8</xdr:col>
      <xdr:colOff>2228674</xdr:colOff>
      <xdr:row>23</xdr:row>
      <xdr:rowOff>78108</xdr:rowOff>
    </xdr:to>
    <xdr:sp macro="" textlink="">
      <xdr:nvSpPr>
        <xdr:cNvPr id="16" name="ZoneTexte 15">
          <a:hlinkClick xmlns:r="http://schemas.openxmlformats.org/officeDocument/2006/relationships" r:id="rId10"/>
          <a:extLst>
            <a:ext uri="{FF2B5EF4-FFF2-40B4-BE49-F238E27FC236}">
              <a16:creationId xmlns:a16="http://schemas.microsoft.com/office/drawing/2014/main" id="{35DEE611-D7E4-4839-95A8-B5B689C9C8B8}"/>
            </a:ext>
          </a:extLst>
        </xdr:cNvPr>
        <xdr:cNvSpPr txBox="1"/>
      </xdr:nvSpPr>
      <xdr:spPr>
        <a:xfrm>
          <a:off x="13582016" y="6822866"/>
          <a:ext cx="1741628" cy="357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xdr:twoCellAnchor>
  <xdr:twoCellAnchor editAs="absolute">
    <xdr:from>
      <xdr:col>8</xdr:col>
      <xdr:colOff>498478</xdr:colOff>
      <xdr:row>18</xdr:row>
      <xdr:rowOff>169544</xdr:rowOff>
    </xdr:from>
    <xdr:to>
      <xdr:col>8</xdr:col>
      <xdr:colOff>2228676</xdr:colOff>
      <xdr:row>20</xdr:row>
      <xdr:rowOff>95250</xdr:rowOff>
    </xdr:to>
    <xdr:sp macro="" textlink="">
      <xdr:nvSpPr>
        <xdr:cNvPr id="17" name="ZoneTexte 16">
          <a:hlinkClick xmlns:r="http://schemas.openxmlformats.org/officeDocument/2006/relationships" r:id="rId11"/>
          <a:extLst>
            <a:ext uri="{FF2B5EF4-FFF2-40B4-BE49-F238E27FC236}">
              <a16:creationId xmlns:a16="http://schemas.microsoft.com/office/drawing/2014/main" id="{9859B3D9-A782-4A78-8083-BC9298E3310B}"/>
            </a:ext>
          </a:extLst>
        </xdr:cNvPr>
        <xdr:cNvSpPr txBox="1"/>
      </xdr:nvSpPr>
      <xdr:spPr>
        <a:xfrm>
          <a:off x="13582018" y="6082664"/>
          <a:ext cx="1741628" cy="321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xdr:twoCellAnchor>
  <xdr:twoCellAnchor editAs="absolute">
    <xdr:from>
      <xdr:col>8</xdr:col>
      <xdr:colOff>498475</xdr:colOff>
      <xdr:row>22</xdr:row>
      <xdr:rowOff>134828</xdr:rowOff>
    </xdr:from>
    <xdr:to>
      <xdr:col>8</xdr:col>
      <xdr:colOff>1921298</xdr:colOff>
      <xdr:row>24</xdr:row>
      <xdr:rowOff>16921</xdr:rowOff>
    </xdr:to>
    <xdr:sp macro="" textlink="">
      <xdr:nvSpPr>
        <xdr:cNvPr id="18" name="ZoneTexte 17">
          <a:hlinkClick xmlns:r="http://schemas.openxmlformats.org/officeDocument/2006/relationships" r:id="rId12"/>
          <a:extLst>
            <a:ext uri="{FF2B5EF4-FFF2-40B4-BE49-F238E27FC236}">
              <a16:creationId xmlns:a16="http://schemas.microsoft.com/office/drawing/2014/main" id="{BE8B000E-9694-4FF5-884D-3365E0F40089}"/>
            </a:ext>
          </a:extLst>
        </xdr:cNvPr>
        <xdr:cNvSpPr txBox="1"/>
      </xdr:nvSpPr>
      <xdr:spPr>
        <a:xfrm>
          <a:off x="13582015" y="7027118"/>
          <a:ext cx="1417108"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7</xdr:col>
      <xdr:colOff>22016</xdr:colOff>
      <xdr:row>11</xdr:row>
      <xdr:rowOff>140124</xdr:rowOff>
    </xdr:from>
    <xdr:to>
      <xdr:col>8</xdr:col>
      <xdr:colOff>477735</xdr:colOff>
      <xdr:row>13</xdr:row>
      <xdr:rowOff>16934</xdr:rowOff>
    </xdr:to>
    <xdr:sp macro="" textlink="">
      <xdr:nvSpPr>
        <xdr:cNvPr id="19" name="ZoneTexte 18">
          <a:hlinkClick xmlns:r="http://schemas.openxmlformats.org/officeDocument/2006/relationships" r:id="rId13"/>
          <a:extLst>
            <a:ext uri="{FF2B5EF4-FFF2-40B4-BE49-F238E27FC236}">
              <a16:creationId xmlns:a16="http://schemas.microsoft.com/office/drawing/2014/main" id="{EB723089-DC65-488A-A83D-6740833D8CD2}"/>
            </a:ext>
          </a:extLst>
        </xdr:cNvPr>
        <xdr:cNvSpPr txBox="1"/>
      </xdr:nvSpPr>
      <xdr:spPr>
        <a:xfrm>
          <a:off x="12579776" y="3851064"/>
          <a:ext cx="970069" cy="286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00709E"/>
              </a:solidFill>
            </a:rPr>
            <a:t>&gt; </a:t>
          </a:r>
          <a:r>
            <a:rPr lang="fr-BE" sz="1200" b="1" u="sng">
              <a:solidFill>
                <a:srgbClr val="00709E"/>
              </a:solidFill>
            </a:rPr>
            <a:t>Diagnostic</a:t>
          </a:r>
        </a:p>
        <a:p>
          <a:endParaRPr lang="fr-BE" sz="1100" b="1">
            <a:solidFill>
              <a:srgbClr val="00709E"/>
            </a:solidFill>
          </a:endParaRPr>
        </a:p>
      </xdr:txBody>
    </xdr:sp>
    <xdr:clientData/>
  </xdr:twoCellAnchor>
  <xdr:twoCellAnchor editAs="absolute">
    <xdr:from>
      <xdr:col>7</xdr:col>
      <xdr:colOff>17148</xdr:colOff>
      <xdr:row>11</xdr:row>
      <xdr:rowOff>183307</xdr:rowOff>
    </xdr:from>
    <xdr:to>
      <xdr:col>8</xdr:col>
      <xdr:colOff>552241</xdr:colOff>
      <xdr:row>14</xdr:row>
      <xdr:rowOff>488316</xdr:rowOff>
    </xdr:to>
    <xdr:sp macro="" textlink="">
      <xdr:nvSpPr>
        <xdr:cNvPr id="20" name="Flèche : pentagone 19">
          <a:extLst>
            <a:ext uri="{FF2B5EF4-FFF2-40B4-BE49-F238E27FC236}">
              <a16:creationId xmlns:a16="http://schemas.microsoft.com/office/drawing/2014/main" id="{5EE705DB-E5B5-415F-9F95-33D0F043A5D6}"/>
            </a:ext>
          </a:extLst>
        </xdr:cNvPr>
        <xdr:cNvSpPr/>
      </xdr:nvSpPr>
      <xdr:spPr>
        <a:xfrm rot="5400000">
          <a:off x="12659470" y="3830640"/>
          <a:ext cx="926039" cy="1049443"/>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fr-BE" sz="1400" b="1"/>
            <a:t>Diagnostic</a:t>
          </a:r>
        </a:p>
      </xdr:txBody>
    </xdr:sp>
    <xdr:clientData/>
  </xdr:twoCellAnchor>
  <xdr:twoCellAnchor editAs="absolute">
    <xdr:from>
      <xdr:col>8</xdr:col>
      <xdr:colOff>496362</xdr:colOff>
      <xdr:row>15</xdr:row>
      <xdr:rowOff>169550</xdr:rowOff>
    </xdr:from>
    <xdr:to>
      <xdr:col>8</xdr:col>
      <xdr:colOff>2226566</xdr:colOff>
      <xdr:row>16</xdr:row>
      <xdr:rowOff>276865</xdr:rowOff>
    </xdr:to>
    <xdr:sp macro="" textlink="">
      <xdr:nvSpPr>
        <xdr:cNvPr id="21" name="ZoneTexte 20">
          <a:hlinkClick xmlns:r="http://schemas.openxmlformats.org/officeDocument/2006/relationships" r:id="rId14"/>
          <a:extLst>
            <a:ext uri="{FF2B5EF4-FFF2-40B4-BE49-F238E27FC236}">
              <a16:creationId xmlns:a16="http://schemas.microsoft.com/office/drawing/2014/main" id="{8258000F-D5BB-480E-9569-2685F7E27CCF}"/>
            </a:ext>
          </a:extLst>
        </xdr:cNvPr>
        <xdr:cNvSpPr txBox="1"/>
      </xdr:nvSpPr>
      <xdr:spPr>
        <a:xfrm>
          <a:off x="13579902" y="5301620"/>
          <a:ext cx="1720679"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31869B"/>
              </a:solidFill>
            </a:rPr>
            <a:t>&gt; </a:t>
          </a:r>
          <a:r>
            <a:rPr lang="fr-BE" sz="1200" b="1" u="sng">
              <a:solidFill>
                <a:srgbClr val="31869B"/>
              </a:solidFill>
            </a:rPr>
            <a:t>Fiches actions</a:t>
          </a:r>
        </a:p>
        <a:p>
          <a:endParaRPr lang="fr-BE" sz="1100" b="1">
            <a:solidFill>
              <a:srgbClr val="31869B"/>
            </a:solidFill>
          </a:endParaRPr>
        </a:p>
      </xdr:txBody>
    </xdr:sp>
    <xdr:clientData/>
  </xdr:twoCellAnchor>
  <xdr:twoCellAnchor editAs="absolute">
    <xdr:from>
      <xdr:col>7</xdr:col>
      <xdr:colOff>98425</xdr:colOff>
      <xdr:row>24</xdr:row>
      <xdr:rowOff>150068</xdr:rowOff>
    </xdr:from>
    <xdr:to>
      <xdr:col>8</xdr:col>
      <xdr:colOff>1580942</xdr:colOff>
      <xdr:row>26</xdr:row>
      <xdr:rowOff>41686</xdr:rowOff>
    </xdr:to>
    <xdr:sp macro="" textlink="">
      <xdr:nvSpPr>
        <xdr:cNvPr id="22" name="ZoneTexte 21">
          <a:hlinkClick xmlns:r="http://schemas.openxmlformats.org/officeDocument/2006/relationships" r:id="rId15"/>
          <a:extLst>
            <a:ext uri="{FF2B5EF4-FFF2-40B4-BE49-F238E27FC236}">
              <a16:creationId xmlns:a16="http://schemas.microsoft.com/office/drawing/2014/main" id="{722FD3A1-6A80-4DEE-99D0-51010078FC8D}"/>
            </a:ext>
          </a:extLst>
        </xdr:cNvPr>
        <xdr:cNvSpPr txBox="1"/>
      </xdr:nvSpPr>
      <xdr:spPr>
        <a:xfrm>
          <a:off x="12663805" y="7450028"/>
          <a:ext cx="2008297" cy="287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Hypothèses</a:t>
          </a:r>
          <a:r>
            <a:rPr lang="fr-BE" sz="1200" b="0" u="sng" baseline="0">
              <a:solidFill>
                <a:schemeClr val="tx1">
                  <a:lumMod val="50000"/>
                  <a:lumOff val="50000"/>
                </a:schemeClr>
              </a:solidFill>
            </a:rPr>
            <a:t> &amp; méthodo</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8</xdr:col>
      <xdr:colOff>498476</xdr:colOff>
      <xdr:row>21</xdr:row>
      <xdr:rowOff>88691</xdr:rowOff>
    </xdr:from>
    <xdr:to>
      <xdr:col>8</xdr:col>
      <xdr:colOff>2228674</xdr:colOff>
      <xdr:row>22</xdr:row>
      <xdr:rowOff>53343</xdr:rowOff>
    </xdr:to>
    <xdr:sp macro="" textlink="">
      <xdr:nvSpPr>
        <xdr:cNvPr id="23" name="ZoneTexte 22">
          <a:hlinkClick xmlns:r="http://schemas.openxmlformats.org/officeDocument/2006/relationships" r:id="rId16"/>
          <a:extLst>
            <a:ext uri="{FF2B5EF4-FFF2-40B4-BE49-F238E27FC236}">
              <a16:creationId xmlns:a16="http://schemas.microsoft.com/office/drawing/2014/main" id="{52810A67-E4A6-4036-ABF8-321D53571B64}"/>
            </a:ext>
          </a:extLst>
        </xdr:cNvPr>
        <xdr:cNvSpPr txBox="1"/>
      </xdr:nvSpPr>
      <xdr:spPr>
        <a:xfrm>
          <a:off x="13582016" y="6590456"/>
          <a:ext cx="1741628" cy="357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POLLEC</a:t>
          </a:r>
        </a:p>
        <a:p>
          <a:endParaRPr lang="fr-BE" sz="1100" b="0">
            <a:solidFill>
              <a:schemeClr val="tx1">
                <a:lumMod val="50000"/>
                <a:lumOff val="5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2</xdr:row>
          <xdr:rowOff>213360</xdr:rowOff>
        </xdr:from>
        <xdr:to>
          <xdr:col>3</xdr:col>
          <xdr:colOff>411480</xdr:colOff>
          <xdr:row>2</xdr:row>
          <xdr:rowOff>441960</xdr:rowOff>
        </xdr:to>
        <xdr:sp macro="" textlink="">
          <xdr:nvSpPr>
            <xdr:cNvPr id="51619853" name="Check Box 13" hidden="1">
              <a:extLst>
                <a:ext uri="{63B3BB69-23CF-44E3-9099-C40C66FF867C}">
                  <a14:compatExt spid="_x0000_s51619853"/>
                </a:ext>
                <a:ext uri="{FF2B5EF4-FFF2-40B4-BE49-F238E27FC236}">
                  <a16:creationId xmlns:a16="http://schemas.microsoft.com/office/drawing/2014/main" id="{00000000-0008-0000-1700-00000DA8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54</xdr:col>
      <xdr:colOff>247650</xdr:colOff>
      <xdr:row>0</xdr:row>
      <xdr:rowOff>797719</xdr:rowOff>
    </xdr:to>
    <xdr:sp macro="" textlink="">
      <xdr:nvSpPr>
        <xdr:cNvPr id="2" name="Rectangle 1">
          <a:extLst>
            <a:ext uri="{FF2B5EF4-FFF2-40B4-BE49-F238E27FC236}">
              <a16:creationId xmlns:a16="http://schemas.microsoft.com/office/drawing/2014/main" id="{00000000-0008-0000-1600-000002000000}"/>
            </a:ext>
          </a:extLst>
        </xdr:cNvPr>
        <xdr:cNvSpPr/>
      </xdr:nvSpPr>
      <xdr:spPr>
        <a:xfrm>
          <a:off x="0" y="0"/>
          <a:ext cx="45015150" cy="797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BE"/>
        </a:p>
      </xdr:txBody>
    </xdr:sp>
    <xdr:clientData/>
  </xdr:twoCellAnchor>
  <xdr:twoCellAnchor editAs="absolute">
    <xdr:from>
      <xdr:col>11</xdr:col>
      <xdr:colOff>229873</xdr:colOff>
      <xdr:row>0</xdr:row>
      <xdr:rowOff>95885</xdr:rowOff>
    </xdr:from>
    <xdr:to>
      <xdr:col>12</xdr:col>
      <xdr:colOff>1190625</xdr:colOff>
      <xdr:row>0</xdr:row>
      <xdr:rowOff>396581</xdr:rowOff>
    </xdr:to>
    <xdr:sp macro="" textlink="">
      <xdr:nvSpPr>
        <xdr:cNvPr id="4" name="Flèche : pentagon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3023853" y="93345"/>
          <a:ext cx="2673347" cy="29879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3</xdr:col>
      <xdr:colOff>454027</xdr:colOff>
      <xdr:row>0</xdr:row>
      <xdr:rowOff>383753</xdr:rowOff>
    </xdr:from>
    <xdr:to>
      <xdr:col>4</xdr:col>
      <xdr:colOff>316443</xdr:colOff>
      <xdr:row>0</xdr:row>
      <xdr:rowOff>644101</xdr:rowOff>
    </xdr:to>
    <xdr:sp macro="" textlink="">
      <xdr:nvSpPr>
        <xdr:cNvPr id="18" name="ZoneTexte 17">
          <a:hlinkClick xmlns:r="http://schemas.openxmlformats.org/officeDocument/2006/relationships" r:id="rId2"/>
          <a:extLst>
            <a:ext uri="{FF2B5EF4-FFF2-40B4-BE49-F238E27FC236}">
              <a16:creationId xmlns:a16="http://schemas.microsoft.com/office/drawing/2014/main" id="{00000000-0008-0000-1600-000012000000}"/>
            </a:ext>
          </a:extLst>
        </xdr:cNvPr>
        <xdr:cNvSpPr txBox="1"/>
      </xdr:nvSpPr>
      <xdr:spPr>
        <a:xfrm>
          <a:off x="1711327" y="386293"/>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4</xdr:col>
      <xdr:colOff>191453</xdr:colOff>
      <xdr:row>0</xdr:row>
      <xdr:rowOff>384178</xdr:rowOff>
    </xdr:from>
    <xdr:to>
      <xdr:col>6</xdr:col>
      <xdr:colOff>407250</xdr:colOff>
      <xdr:row>0</xdr:row>
      <xdr:rowOff>689401</xdr:rowOff>
    </xdr:to>
    <xdr:sp macro="" textlink="">
      <xdr:nvSpPr>
        <xdr:cNvPr id="25" name="ZoneTexte 24">
          <a:hlinkClick xmlns:r="http://schemas.openxmlformats.org/officeDocument/2006/relationships" r:id="rId3"/>
          <a:extLst>
            <a:ext uri="{FF2B5EF4-FFF2-40B4-BE49-F238E27FC236}">
              <a16:creationId xmlns:a16="http://schemas.microsoft.com/office/drawing/2014/main" id="{00000000-0008-0000-1600-000019000000}"/>
            </a:ext>
          </a:extLst>
        </xdr:cNvPr>
        <xdr:cNvSpPr txBox="1"/>
      </xdr:nvSpPr>
      <xdr:spPr>
        <a:xfrm>
          <a:off x="3132138" y="384178"/>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6</xdr:col>
      <xdr:colOff>355917</xdr:colOff>
      <xdr:row>0</xdr:row>
      <xdr:rowOff>384180</xdr:rowOff>
    </xdr:from>
    <xdr:to>
      <xdr:col>6</xdr:col>
      <xdr:colOff>1658295</xdr:colOff>
      <xdr:row>0</xdr:row>
      <xdr:rowOff>702739</xdr:rowOff>
    </xdr:to>
    <xdr:sp macro="" textlink="">
      <xdr:nvSpPr>
        <xdr:cNvPr id="26" name="ZoneTexte 25">
          <a:hlinkClick xmlns:r="http://schemas.openxmlformats.org/officeDocument/2006/relationships" r:id="rId4"/>
          <a:extLst>
            <a:ext uri="{FF2B5EF4-FFF2-40B4-BE49-F238E27FC236}">
              <a16:creationId xmlns:a16="http://schemas.microsoft.com/office/drawing/2014/main" id="{00000000-0008-0000-1600-00001A000000}"/>
            </a:ext>
          </a:extLst>
        </xdr:cNvPr>
        <xdr:cNvSpPr txBox="1"/>
      </xdr:nvSpPr>
      <xdr:spPr>
        <a:xfrm>
          <a:off x="4491037" y="385450"/>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6</xdr:col>
      <xdr:colOff>1715025</xdr:colOff>
      <xdr:row>0</xdr:row>
      <xdr:rowOff>379102</xdr:rowOff>
    </xdr:from>
    <xdr:to>
      <xdr:col>7</xdr:col>
      <xdr:colOff>355921</xdr:colOff>
      <xdr:row>0</xdr:row>
      <xdr:rowOff>666545</xdr:rowOff>
    </xdr:to>
    <xdr:sp macro="" textlink="">
      <xdr:nvSpPr>
        <xdr:cNvPr id="27" name="ZoneTexte 26">
          <a:hlinkClick xmlns:r="http://schemas.openxmlformats.org/officeDocument/2006/relationships" r:id="rId5"/>
          <a:extLst>
            <a:ext uri="{FF2B5EF4-FFF2-40B4-BE49-F238E27FC236}">
              <a16:creationId xmlns:a16="http://schemas.microsoft.com/office/drawing/2014/main" id="{00000000-0008-0000-1600-00001B000000}"/>
            </a:ext>
          </a:extLst>
        </xdr:cNvPr>
        <xdr:cNvSpPr txBox="1"/>
      </xdr:nvSpPr>
      <xdr:spPr>
        <a:xfrm>
          <a:off x="5848875" y="379102"/>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7</xdr:col>
      <xdr:colOff>216433</xdr:colOff>
      <xdr:row>0</xdr:row>
      <xdr:rowOff>383336</xdr:rowOff>
    </xdr:from>
    <xdr:to>
      <xdr:col>7</xdr:col>
      <xdr:colOff>885722</xdr:colOff>
      <xdr:row>0</xdr:row>
      <xdr:rowOff>708244</xdr:rowOff>
    </xdr:to>
    <xdr:sp macro="" textlink="">
      <xdr:nvSpPr>
        <xdr:cNvPr id="28" name="ZoneTexte 27">
          <a:hlinkClick xmlns:r="http://schemas.openxmlformats.org/officeDocument/2006/relationships" r:id="rId6"/>
          <a:extLst>
            <a:ext uri="{FF2B5EF4-FFF2-40B4-BE49-F238E27FC236}">
              <a16:creationId xmlns:a16="http://schemas.microsoft.com/office/drawing/2014/main" id="{00000000-0008-0000-1600-00001C000000}"/>
            </a:ext>
          </a:extLst>
        </xdr:cNvPr>
        <xdr:cNvSpPr txBox="1"/>
      </xdr:nvSpPr>
      <xdr:spPr>
        <a:xfrm>
          <a:off x="6855358" y="383336"/>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7</xdr:col>
      <xdr:colOff>787497</xdr:colOff>
      <xdr:row>0</xdr:row>
      <xdr:rowOff>378256</xdr:rowOff>
    </xdr:from>
    <xdr:to>
      <xdr:col>8</xdr:col>
      <xdr:colOff>771848</xdr:colOff>
      <xdr:row>0</xdr:row>
      <xdr:rowOff>682209</xdr:rowOff>
    </xdr:to>
    <xdr:sp macro="" textlink="">
      <xdr:nvSpPr>
        <xdr:cNvPr id="29" name="ZoneTexte 28">
          <a:hlinkClick xmlns:r="http://schemas.openxmlformats.org/officeDocument/2006/relationships" r:id="rId7"/>
          <a:extLst>
            <a:ext uri="{FF2B5EF4-FFF2-40B4-BE49-F238E27FC236}">
              <a16:creationId xmlns:a16="http://schemas.microsoft.com/office/drawing/2014/main" id="{00000000-0008-0000-1600-00001D000000}"/>
            </a:ext>
          </a:extLst>
        </xdr:cNvPr>
        <xdr:cNvSpPr txBox="1"/>
      </xdr:nvSpPr>
      <xdr:spPr>
        <a:xfrm>
          <a:off x="7422612" y="376986"/>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9</xdr:col>
      <xdr:colOff>602830</xdr:colOff>
      <xdr:row>0</xdr:row>
      <xdr:rowOff>377412</xdr:rowOff>
    </xdr:from>
    <xdr:to>
      <xdr:col>10</xdr:col>
      <xdr:colOff>601349</xdr:colOff>
      <xdr:row>0</xdr:row>
      <xdr:rowOff>704226</xdr:rowOff>
    </xdr:to>
    <xdr:sp macro="" textlink="">
      <xdr:nvSpPr>
        <xdr:cNvPr id="30" name="ZoneTexte 29">
          <a:hlinkClick xmlns:r="http://schemas.openxmlformats.org/officeDocument/2006/relationships" r:id="rId8"/>
          <a:extLst>
            <a:ext uri="{FF2B5EF4-FFF2-40B4-BE49-F238E27FC236}">
              <a16:creationId xmlns:a16="http://schemas.microsoft.com/office/drawing/2014/main" id="{00000000-0008-0000-1600-00001E000000}"/>
            </a:ext>
          </a:extLst>
        </xdr:cNvPr>
        <xdr:cNvSpPr txBox="1"/>
      </xdr:nvSpPr>
      <xdr:spPr>
        <a:xfrm>
          <a:off x="10216095" y="373602"/>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8</xdr:col>
      <xdr:colOff>1997594</xdr:colOff>
      <xdr:row>0</xdr:row>
      <xdr:rowOff>364070</xdr:rowOff>
    </xdr:from>
    <xdr:to>
      <xdr:col>9</xdr:col>
      <xdr:colOff>711825</xdr:colOff>
      <xdr:row>0</xdr:row>
      <xdr:rowOff>682629</xdr:rowOff>
    </xdr:to>
    <xdr:sp macro="" textlink="">
      <xdr:nvSpPr>
        <xdr:cNvPr id="31" name="ZoneTexte 30">
          <a:hlinkClick xmlns:r="http://schemas.openxmlformats.org/officeDocument/2006/relationships" r:id="rId9"/>
          <a:extLst>
            <a:ext uri="{FF2B5EF4-FFF2-40B4-BE49-F238E27FC236}">
              <a16:creationId xmlns:a16="http://schemas.microsoft.com/office/drawing/2014/main" id="{00000000-0008-0000-1600-00001F000000}"/>
            </a:ext>
          </a:extLst>
        </xdr:cNvPr>
        <xdr:cNvSpPr txBox="1"/>
      </xdr:nvSpPr>
      <xdr:spPr>
        <a:xfrm>
          <a:off x="9522344" y="367245"/>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10</xdr:col>
      <xdr:colOff>1057690</xdr:colOff>
      <xdr:row>0</xdr:row>
      <xdr:rowOff>365348</xdr:rowOff>
    </xdr:from>
    <xdr:to>
      <xdr:col>11</xdr:col>
      <xdr:colOff>421752</xdr:colOff>
      <xdr:row>0</xdr:row>
      <xdr:rowOff>708248</xdr:rowOff>
    </xdr:to>
    <xdr:sp macro="" textlink="">
      <xdr:nvSpPr>
        <xdr:cNvPr id="32" name="ZoneTexte 31">
          <a:hlinkClick xmlns:r="http://schemas.openxmlformats.org/officeDocument/2006/relationships" r:id="rId10"/>
          <a:extLst>
            <a:ext uri="{FF2B5EF4-FFF2-40B4-BE49-F238E27FC236}">
              <a16:creationId xmlns:a16="http://schemas.microsoft.com/office/drawing/2014/main" id="{00000000-0008-0000-1600-000020000000}"/>
            </a:ext>
          </a:extLst>
        </xdr:cNvPr>
        <xdr:cNvSpPr txBox="1"/>
      </xdr:nvSpPr>
      <xdr:spPr>
        <a:xfrm>
          <a:off x="12361325" y="368523"/>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11</xdr:col>
      <xdr:colOff>1007845</xdr:colOff>
      <xdr:row>0</xdr:row>
      <xdr:rowOff>361324</xdr:rowOff>
    </xdr:from>
    <xdr:to>
      <xdr:col>11</xdr:col>
      <xdr:colOff>1693128</xdr:colOff>
      <xdr:row>0</xdr:row>
      <xdr:rowOff>668867</xdr:rowOff>
    </xdr:to>
    <xdr:sp macro="" textlink="">
      <xdr:nvSpPr>
        <xdr:cNvPr id="33" name="ZoneTexte 32">
          <a:hlinkClick xmlns:r="http://schemas.openxmlformats.org/officeDocument/2006/relationships" r:id="rId11"/>
          <a:extLst>
            <a:ext uri="{FF2B5EF4-FFF2-40B4-BE49-F238E27FC236}">
              <a16:creationId xmlns:a16="http://schemas.microsoft.com/office/drawing/2014/main" id="{00000000-0008-0000-1600-000021000000}"/>
            </a:ext>
          </a:extLst>
        </xdr:cNvPr>
        <xdr:cNvSpPr txBox="1"/>
      </xdr:nvSpPr>
      <xdr:spPr>
        <a:xfrm>
          <a:off x="13818335" y="365134"/>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10</xdr:col>
      <xdr:colOff>332520</xdr:colOff>
      <xdr:row>0</xdr:row>
      <xdr:rowOff>361323</xdr:rowOff>
    </xdr:from>
    <xdr:to>
      <xdr:col>10</xdr:col>
      <xdr:colOff>1324402</xdr:colOff>
      <xdr:row>0</xdr:row>
      <xdr:rowOff>664642</xdr:rowOff>
    </xdr:to>
    <xdr:sp macro="" textlink="">
      <xdr:nvSpPr>
        <xdr:cNvPr id="34" name="ZoneTexte 33">
          <a:hlinkClick xmlns:r="http://schemas.openxmlformats.org/officeDocument/2006/relationships" r:id="rId12"/>
          <a:extLst>
            <a:ext uri="{FF2B5EF4-FFF2-40B4-BE49-F238E27FC236}">
              <a16:creationId xmlns:a16="http://schemas.microsoft.com/office/drawing/2014/main" id="{00000000-0008-0000-1600-000022000000}"/>
            </a:ext>
          </a:extLst>
        </xdr:cNvPr>
        <xdr:cNvSpPr txBox="1"/>
      </xdr:nvSpPr>
      <xdr:spPr>
        <a:xfrm>
          <a:off x="11662825" y="365133"/>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2</xdr:col>
      <xdr:colOff>173784</xdr:colOff>
      <xdr:row>0</xdr:row>
      <xdr:rowOff>323215</xdr:rowOff>
    </xdr:from>
    <xdr:to>
      <xdr:col>3</xdr:col>
      <xdr:colOff>440273</xdr:colOff>
      <xdr:row>0</xdr:row>
      <xdr:rowOff>682626</xdr:rowOff>
    </xdr:to>
    <xdr:sp macro="" textlink="">
      <xdr:nvSpPr>
        <xdr:cNvPr id="35" name="ZoneTexte 34">
          <a:hlinkClick xmlns:r="http://schemas.openxmlformats.org/officeDocument/2006/relationships" r:id="rId13"/>
          <a:extLst>
            <a:ext uri="{FF2B5EF4-FFF2-40B4-BE49-F238E27FC236}">
              <a16:creationId xmlns:a16="http://schemas.microsoft.com/office/drawing/2014/main" id="{00000000-0008-0000-1600-000023000000}"/>
            </a:ext>
          </a:extLst>
        </xdr:cNvPr>
        <xdr:cNvSpPr txBox="1"/>
      </xdr:nvSpPr>
      <xdr:spPr>
        <a:xfrm>
          <a:off x="817039" y="333375"/>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1</xdr:col>
      <xdr:colOff>133985</xdr:colOff>
      <xdr:row>0</xdr:row>
      <xdr:rowOff>95885</xdr:rowOff>
    </xdr:from>
    <xdr:to>
      <xdr:col>2</xdr:col>
      <xdr:colOff>172720</xdr:colOff>
      <xdr:row>0</xdr:row>
      <xdr:rowOff>708078</xdr:rowOff>
    </xdr:to>
    <xdr:pic>
      <xdr:nvPicPr>
        <xdr:cNvPr id="36" name="Image 9">
          <a:extLst>
            <a:ext uri="{FF2B5EF4-FFF2-40B4-BE49-F238E27FC236}">
              <a16:creationId xmlns:a16="http://schemas.microsoft.com/office/drawing/2014/main" id="{00000000-0008-0000-1600-000024000000}"/>
            </a:ext>
          </a:extLst>
        </xdr:cNvPr>
        <xdr:cNvPicPr>
          <a:picLocks noChangeAspect="1"/>
        </xdr:cNvPicPr>
      </xdr:nvPicPr>
      <xdr:blipFill>
        <a:blip xmlns:r="http://schemas.openxmlformats.org/officeDocument/2006/relationships" r:embed="rId14">
          <a:duotone>
            <a:schemeClr val="accent5">
              <a:shade val="45000"/>
              <a:satMod val="135000"/>
            </a:schemeClr>
            <a:prstClr val="white"/>
          </a:duotone>
        </a:blip>
        <a:srcRect/>
        <a:stretch>
          <a:fillRect/>
        </a:stretch>
      </xdr:blipFill>
      <xdr:spPr bwMode="auto">
        <a:xfrm>
          <a:off x="123825" y="85725"/>
          <a:ext cx="663575" cy="626798"/>
        </a:xfrm>
        <a:prstGeom prst="rect">
          <a:avLst/>
        </a:prstGeom>
        <a:noFill/>
        <a:ln>
          <a:noFill/>
        </a:ln>
      </xdr:spPr>
    </xdr:pic>
    <xdr:clientData fPrintsWithSheet="0"/>
  </xdr:twoCellAnchor>
  <xdr:twoCellAnchor editAs="absolute">
    <xdr:from>
      <xdr:col>11</xdr:col>
      <xdr:colOff>1527063</xdr:colOff>
      <xdr:row>0</xdr:row>
      <xdr:rowOff>361324</xdr:rowOff>
    </xdr:from>
    <xdr:to>
      <xdr:col>12</xdr:col>
      <xdr:colOff>1231893</xdr:colOff>
      <xdr:row>0</xdr:row>
      <xdr:rowOff>668867</xdr:rowOff>
    </xdr:to>
    <xdr:sp macro="" textlink="">
      <xdr:nvSpPr>
        <xdr:cNvPr id="37" name="ZoneTexte 36">
          <a:hlinkClick xmlns:r="http://schemas.openxmlformats.org/officeDocument/2006/relationships" r:id="rId15"/>
          <a:extLst>
            <a:ext uri="{FF2B5EF4-FFF2-40B4-BE49-F238E27FC236}">
              <a16:creationId xmlns:a16="http://schemas.microsoft.com/office/drawing/2014/main" id="{00000000-0008-0000-1600-000025000000}"/>
            </a:ext>
          </a:extLst>
        </xdr:cNvPr>
        <xdr:cNvSpPr txBox="1"/>
      </xdr:nvSpPr>
      <xdr:spPr>
        <a:xfrm>
          <a:off x="14340728" y="365134"/>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8</xdr:col>
      <xdr:colOff>1959295</xdr:colOff>
      <xdr:row>0</xdr:row>
      <xdr:rowOff>93768</xdr:rowOff>
    </xdr:from>
    <xdr:to>
      <xdr:col>11</xdr:col>
      <xdr:colOff>379205</xdr:colOff>
      <xdr:row>0</xdr:row>
      <xdr:rowOff>400685</xdr:rowOff>
    </xdr:to>
    <xdr:sp macro="" textlink="">
      <xdr:nvSpPr>
        <xdr:cNvPr id="38" name="Flèche : pentagone 37">
          <a:hlinkClick xmlns:r="http://schemas.openxmlformats.org/officeDocument/2006/relationships" r:id="rId9"/>
          <a:extLst>
            <a:ext uri="{FF2B5EF4-FFF2-40B4-BE49-F238E27FC236}">
              <a16:creationId xmlns:a16="http://schemas.microsoft.com/office/drawing/2014/main" id="{00000000-0008-0000-1600-000026000000}"/>
            </a:ext>
          </a:extLst>
        </xdr:cNvPr>
        <xdr:cNvSpPr/>
      </xdr:nvSpPr>
      <xdr:spPr>
        <a:xfrm>
          <a:off x="9469440" y="102658"/>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6</xdr:col>
      <xdr:colOff>1416582</xdr:colOff>
      <xdr:row>0</xdr:row>
      <xdr:rowOff>97581</xdr:rowOff>
    </xdr:from>
    <xdr:to>
      <xdr:col>8</xdr:col>
      <xdr:colOff>2003111</xdr:colOff>
      <xdr:row>0</xdr:row>
      <xdr:rowOff>400685</xdr:rowOff>
    </xdr:to>
    <xdr:sp macro="" textlink="">
      <xdr:nvSpPr>
        <xdr:cNvPr id="39" name="Flèche : pentagone 38">
          <a:hlinkClick xmlns:r="http://schemas.openxmlformats.org/officeDocument/2006/relationships" r:id="rId5"/>
          <a:extLst>
            <a:ext uri="{FF2B5EF4-FFF2-40B4-BE49-F238E27FC236}">
              <a16:creationId xmlns:a16="http://schemas.microsoft.com/office/drawing/2014/main" id="{00000000-0008-0000-1600-000027000000}"/>
            </a:ext>
          </a:extLst>
        </xdr:cNvPr>
        <xdr:cNvSpPr/>
      </xdr:nvSpPr>
      <xdr:spPr>
        <a:xfrm>
          <a:off x="5556782" y="99486"/>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3</xdr:col>
      <xdr:colOff>400689</xdr:colOff>
      <xdr:row>0</xdr:row>
      <xdr:rowOff>97582</xdr:rowOff>
    </xdr:from>
    <xdr:to>
      <xdr:col>6</xdr:col>
      <xdr:colOff>1691961</xdr:colOff>
      <xdr:row>0</xdr:row>
      <xdr:rowOff>397428</xdr:rowOff>
    </xdr:to>
    <xdr:sp macro="" textlink="">
      <xdr:nvSpPr>
        <xdr:cNvPr id="40" name="Flèche : pentagone 39">
          <a:hlinkClick xmlns:r="http://schemas.openxmlformats.org/officeDocument/2006/relationships" r:id="rId2"/>
          <a:extLst>
            <a:ext uri="{FF2B5EF4-FFF2-40B4-BE49-F238E27FC236}">
              <a16:creationId xmlns:a16="http://schemas.microsoft.com/office/drawing/2014/main" id="{00000000-0008-0000-1600-000028000000}"/>
            </a:ext>
          </a:extLst>
        </xdr:cNvPr>
        <xdr:cNvSpPr/>
      </xdr:nvSpPr>
      <xdr:spPr>
        <a:xfrm>
          <a:off x="1647829" y="99487"/>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8</xdr:col>
      <xdr:colOff>602289</xdr:colOff>
      <xdr:row>0</xdr:row>
      <xdr:rowOff>377410</xdr:rowOff>
    </xdr:from>
    <xdr:to>
      <xdr:col>8</xdr:col>
      <xdr:colOff>1806575</xdr:colOff>
      <xdr:row>0</xdr:row>
      <xdr:rowOff>666123</xdr:rowOff>
    </xdr:to>
    <xdr:sp macro="" textlink="">
      <xdr:nvSpPr>
        <xdr:cNvPr id="41" name="ZoneTexte 40">
          <a:hlinkClick xmlns:r="http://schemas.openxmlformats.org/officeDocument/2006/relationships" r:id="rId7"/>
          <a:extLst>
            <a:ext uri="{FF2B5EF4-FFF2-40B4-BE49-F238E27FC236}">
              <a16:creationId xmlns:a16="http://schemas.microsoft.com/office/drawing/2014/main" id="{00000000-0008-0000-1600-000029000000}"/>
            </a:ext>
          </a:extLst>
        </xdr:cNvPr>
        <xdr:cNvSpPr txBox="1"/>
      </xdr:nvSpPr>
      <xdr:spPr>
        <a:xfrm>
          <a:off x="8132754" y="373600"/>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2</xdr:col>
      <xdr:colOff>208283</xdr:colOff>
      <xdr:row>0</xdr:row>
      <xdr:rowOff>96735</xdr:rowOff>
    </xdr:from>
    <xdr:to>
      <xdr:col>3</xdr:col>
      <xdr:colOff>513719</xdr:colOff>
      <xdr:row>0</xdr:row>
      <xdr:rowOff>383881</xdr:rowOff>
    </xdr:to>
    <xdr:sp macro="" textlink="">
      <xdr:nvSpPr>
        <xdr:cNvPr id="42" name="Flèche : pentagone 41">
          <a:extLst>
            <a:ext uri="{FF2B5EF4-FFF2-40B4-BE49-F238E27FC236}">
              <a16:creationId xmlns:a16="http://schemas.microsoft.com/office/drawing/2014/main" id="{00000000-0008-0000-1600-00002A000000}"/>
            </a:ext>
          </a:extLst>
        </xdr:cNvPr>
        <xdr:cNvSpPr/>
      </xdr:nvSpPr>
      <xdr:spPr>
        <a:xfrm>
          <a:off x="850903" y="94195"/>
          <a:ext cx="923926"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11</xdr:col>
      <xdr:colOff>383005</xdr:colOff>
      <xdr:row>0</xdr:row>
      <xdr:rowOff>361324</xdr:rowOff>
    </xdr:from>
    <xdr:to>
      <xdr:col>11</xdr:col>
      <xdr:colOff>1217295</xdr:colOff>
      <xdr:row>0</xdr:row>
      <xdr:rowOff>668867</xdr:rowOff>
    </xdr:to>
    <xdr:sp macro="" textlink="">
      <xdr:nvSpPr>
        <xdr:cNvPr id="43" name="ZoneTexte 42">
          <a:hlinkClick xmlns:r="http://schemas.openxmlformats.org/officeDocument/2006/relationships" r:id="rId16"/>
          <a:extLst>
            <a:ext uri="{FF2B5EF4-FFF2-40B4-BE49-F238E27FC236}">
              <a16:creationId xmlns:a16="http://schemas.microsoft.com/office/drawing/2014/main" id="{00000000-0008-0000-1600-00002B000000}"/>
            </a:ext>
          </a:extLst>
        </xdr:cNvPr>
        <xdr:cNvSpPr txBox="1"/>
      </xdr:nvSpPr>
      <xdr:spPr>
        <a:xfrm>
          <a:off x="13178255" y="365134"/>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180</xdr:col>
      <xdr:colOff>478793</xdr:colOff>
      <xdr:row>1</xdr:row>
      <xdr:rowOff>93980</xdr:rowOff>
    </xdr:from>
    <xdr:to>
      <xdr:col>184</xdr:col>
      <xdr:colOff>79375</xdr:colOff>
      <xdr:row>1</xdr:row>
      <xdr:rowOff>402296</xdr:rowOff>
    </xdr:to>
    <xdr:sp macro="" textlink="">
      <xdr:nvSpPr>
        <xdr:cNvPr id="2" name="Flèche : pentagone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2920348" y="101600"/>
          <a:ext cx="2673347" cy="30641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170</xdr:col>
      <xdr:colOff>1619252</xdr:colOff>
      <xdr:row>1</xdr:row>
      <xdr:rowOff>402168</xdr:rowOff>
    </xdr:from>
    <xdr:to>
      <xdr:col>170</xdr:col>
      <xdr:colOff>3165688</xdr:colOff>
      <xdr:row>1</xdr:row>
      <xdr:rowOff>667596</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00000000-0008-0000-1700-000003000000}"/>
            </a:ext>
          </a:extLst>
        </xdr:cNvPr>
        <xdr:cNvSpPr txBox="1"/>
      </xdr:nvSpPr>
      <xdr:spPr>
        <a:xfrm>
          <a:off x="1607822" y="402168"/>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170</xdr:col>
      <xdr:colOff>3028633</xdr:colOff>
      <xdr:row>1</xdr:row>
      <xdr:rowOff>400053</xdr:rowOff>
    </xdr:from>
    <xdr:to>
      <xdr:col>170</xdr:col>
      <xdr:colOff>4435690</xdr:colOff>
      <xdr:row>1</xdr:row>
      <xdr:rowOff>701466</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00000000-0008-0000-1700-000004000000}"/>
            </a:ext>
          </a:extLst>
        </xdr:cNvPr>
        <xdr:cNvSpPr txBox="1"/>
      </xdr:nvSpPr>
      <xdr:spPr>
        <a:xfrm>
          <a:off x="3028633" y="400053"/>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170</xdr:col>
      <xdr:colOff>4397057</xdr:colOff>
      <xdr:row>1</xdr:row>
      <xdr:rowOff>401325</xdr:rowOff>
    </xdr:from>
    <xdr:to>
      <xdr:col>172</xdr:col>
      <xdr:colOff>57460</xdr:colOff>
      <xdr:row>1</xdr:row>
      <xdr:rowOff>707184</xdr:rowOff>
    </xdr:to>
    <xdr:sp macro="" textlink="">
      <xdr:nvSpPr>
        <xdr:cNvPr id="5" name="ZoneTexte 4">
          <a:hlinkClick xmlns:r="http://schemas.openxmlformats.org/officeDocument/2006/relationships" r:id="rId4"/>
          <a:extLst>
            <a:ext uri="{FF2B5EF4-FFF2-40B4-BE49-F238E27FC236}">
              <a16:creationId xmlns:a16="http://schemas.microsoft.com/office/drawing/2014/main" id="{00000000-0008-0000-1700-000005000000}"/>
            </a:ext>
          </a:extLst>
        </xdr:cNvPr>
        <xdr:cNvSpPr txBox="1"/>
      </xdr:nvSpPr>
      <xdr:spPr>
        <a:xfrm>
          <a:off x="4387532" y="401325"/>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172</xdr:col>
      <xdr:colOff>116730</xdr:colOff>
      <xdr:row>1</xdr:row>
      <xdr:rowOff>402597</xdr:rowOff>
    </xdr:from>
    <xdr:to>
      <xdr:col>173</xdr:col>
      <xdr:colOff>626431</xdr:colOff>
      <xdr:row>1</xdr:row>
      <xdr:rowOff>684960</xdr:rowOff>
    </xdr:to>
    <xdr:sp macro="" textlink="">
      <xdr:nvSpPr>
        <xdr:cNvPr id="6" name="ZoneTexte 5">
          <a:hlinkClick xmlns:r="http://schemas.openxmlformats.org/officeDocument/2006/relationships" r:id="rId5"/>
          <a:extLst>
            <a:ext uri="{FF2B5EF4-FFF2-40B4-BE49-F238E27FC236}">
              <a16:creationId xmlns:a16="http://schemas.microsoft.com/office/drawing/2014/main" id="{00000000-0008-0000-1700-000006000000}"/>
            </a:ext>
          </a:extLst>
        </xdr:cNvPr>
        <xdr:cNvSpPr txBox="1"/>
      </xdr:nvSpPr>
      <xdr:spPr>
        <a:xfrm>
          <a:off x="5745370" y="394977"/>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173</xdr:col>
      <xdr:colOff>472973</xdr:colOff>
      <xdr:row>1</xdr:row>
      <xdr:rowOff>399211</xdr:rowOff>
    </xdr:from>
    <xdr:to>
      <xdr:col>173</xdr:col>
      <xdr:colOff>1146072</xdr:colOff>
      <xdr:row>1</xdr:row>
      <xdr:rowOff>727294</xdr:rowOff>
    </xdr:to>
    <xdr:sp macro="" textlink="">
      <xdr:nvSpPr>
        <xdr:cNvPr id="7" name="ZoneTexte 6">
          <a:hlinkClick xmlns:r="http://schemas.openxmlformats.org/officeDocument/2006/relationships" r:id="rId6"/>
          <a:extLst>
            <a:ext uri="{FF2B5EF4-FFF2-40B4-BE49-F238E27FC236}">
              <a16:creationId xmlns:a16="http://schemas.microsoft.com/office/drawing/2014/main" id="{00000000-0008-0000-1700-000007000000}"/>
            </a:ext>
          </a:extLst>
        </xdr:cNvPr>
        <xdr:cNvSpPr txBox="1"/>
      </xdr:nvSpPr>
      <xdr:spPr>
        <a:xfrm>
          <a:off x="6751853" y="399211"/>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173</xdr:col>
      <xdr:colOff>1047847</xdr:colOff>
      <xdr:row>1</xdr:row>
      <xdr:rowOff>400481</xdr:rowOff>
    </xdr:from>
    <xdr:to>
      <xdr:col>174</xdr:col>
      <xdr:colOff>706443</xdr:colOff>
      <xdr:row>1</xdr:row>
      <xdr:rowOff>701259</xdr:rowOff>
    </xdr:to>
    <xdr:sp macro="" textlink="">
      <xdr:nvSpPr>
        <xdr:cNvPr id="8" name="ZoneTexte 7">
          <a:hlinkClick xmlns:r="http://schemas.openxmlformats.org/officeDocument/2006/relationships" r:id="rId7"/>
          <a:extLst>
            <a:ext uri="{FF2B5EF4-FFF2-40B4-BE49-F238E27FC236}">
              <a16:creationId xmlns:a16="http://schemas.microsoft.com/office/drawing/2014/main" id="{00000000-0008-0000-1700-000008000000}"/>
            </a:ext>
          </a:extLst>
        </xdr:cNvPr>
        <xdr:cNvSpPr txBox="1"/>
      </xdr:nvSpPr>
      <xdr:spPr>
        <a:xfrm>
          <a:off x="7319107" y="392861"/>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177</xdr:col>
      <xdr:colOff>136105</xdr:colOff>
      <xdr:row>1</xdr:row>
      <xdr:rowOff>400907</xdr:rowOff>
    </xdr:from>
    <xdr:to>
      <xdr:col>179</xdr:col>
      <xdr:colOff>626749</xdr:colOff>
      <xdr:row>1</xdr:row>
      <xdr:rowOff>739786</xdr:rowOff>
    </xdr:to>
    <xdr:sp macro="" textlink="">
      <xdr:nvSpPr>
        <xdr:cNvPr id="9" name="ZoneTexte 8">
          <a:hlinkClick xmlns:r="http://schemas.openxmlformats.org/officeDocument/2006/relationships" r:id="rId8"/>
          <a:extLst>
            <a:ext uri="{FF2B5EF4-FFF2-40B4-BE49-F238E27FC236}">
              <a16:creationId xmlns:a16="http://schemas.microsoft.com/office/drawing/2014/main" id="{00000000-0008-0000-1700-000009000000}"/>
            </a:ext>
          </a:extLst>
        </xdr:cNvPr>
        <xdr:cNvSpPr txBox="1"/>
      </xdr:nvSpPr>
      <xdr:spPr>
        <a:xfrm>
          <a:off x="10112590" y="389477"/>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176</xdr:col>
      <xdr:colOff>610119</xdr:colOff>
      <xdr:row>1</xdr:row>
      <xdr:rowOff>383120</xdr:rowOff>
    </xdr:from>
    <xdr:to>
      <xdr:col>177</xdr:col>
      <xdr:colOff>244465</xdr:colOff>
      <xdr:row>1</xdr:row>
      <xdr:rowOff>706124</xdr:rowOff>
    </xdr:to>
    <xdr:sp macro="" textlink="">
      <xdr:nvSpPr>
        <xdr:cNvPr id="10" name="ZoneTexte 9">
          <a:hlinkClick xmlns:r="http://schemas.openxmlformats.org/officeDocument/2006/relationships" r:id="rId9"/>
          <a:extLst>
            <a:ext uri="{FF2B5EF4-FFF2-40B4-BE49-F238E27FC236}">
              <a16:creationId xmlns:a16="http://schemas.microsoft.com/office/drawing/2014/main" id="{00000000-0008-0000-1700-00000A000000}"/>
            </a:ext>
          </a:extLst>
        </xdr:cNvPr>
        <xdr:cNvSpPr txBox="1"/>
      </xdr:nvSpPr>
      <xdr:spPr>
        <a:xfrm>
          <a:off x="9418839" y="383120"/>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179</xdr:col>
      <xdr:colOff>1089440</xdr:colOff>
      <xdr:row>1</xdr:row>
      <xdr:rowOff>384398</xdr:rowOff>
    </xdr:from>
    <xdr:to>
      <xdr:col>181</xdr:col>
      <xdr:colOff>112</xdr:colOff>
      <xdr:row>1</xdr:row>
      <xdr:rowOff>727298</xdr:rowOff>
    </xdr:to>
    <xdr:sp macro="" textlink="">
      <xdr:nvSpPr>
        <xdr:cNvPr id="11" name="ZoneTexte 10">
          <a:hlinkClick xmlns:r="http://schemas.openxmlformats.org/officeDocument/2006/relationships" r:id="rId10"/>
          <a:extLst>
            <a:ext uri="{FF2B5EF4-FFF2-40B4-BE49-F238E27FC236}">
              <a16:creationId xmlns:a16="http://schemas.microsoft.com/office/drawing/2014/main" id="{00000000-0008-0000-1700-00000B000000}"/>
            </a:ext>
          </a:extLst>
        </xdr:cNvPr>
        <xdr:cNvSpPr txBox="1"/>
      </xdr:nvSpPr>
      <xdr:spPr>
        <a:xfrm>
          <a:off x="12257820" y="384398"/>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182</xdr:col>
      <xdr:colOff>92810</xdr:colOff>
      <xdr:row>1</xdr:row>
      <xdr:rowOff>381009</xdr:rowOff>
    </xdr:from>
    <xdr:to>
      <xdr:col>182</xdr:col>
      <xdr:colOff>783173</xdr:colOff>
      <xdr:row>1</xdr:row>
      <xdr:rowOff>687917</xdr:rowOff>
    </xdr:to>
    <xdr:sp macro="" textlink="">
      <xdr:nvSpPr>
        <xdr:cNvPr id="12" name="ZoneTexte 11">
          <a:hlinkClick xmlns:r="http://schemas.openxmlformats.org/officeDocument/2006/relationships" r:id="rId11"/>
          <a:extLst>
            <a:ext uri="{FF2B5EF4-FFF2-40B4-BE49-F238E27FC236}">
              <a16:creationId xmlns:a16="http://schemas.microsoft.com/office/drawing/2014/main" id="{00000000-0008-0000-1700-00000C000000}"/>
            </a:ext>
          </a:extLst>
        </xdr:cNvPr>
        <xdr:cNvSpPr txBox="1"/>
      </xdr:nvSpPr>
      <xdr:spPr>
        <a:xfrm>
          <a:off x="13714830" y="381009"/>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179</xdr:col>
      <xdr:colOff>383320</xdr:colOff>
      <xdr:row>1</xdr:row>
      <xdr:rowOff>381008</xdr:rowOff>
    </xdr:from>
    <xdr:to>
      <xdr:col>180</xdr:col>
      <xdr:colOff>96312</xdr:colOff>
      <xdr:row>1</xdr:row>
      <xdr:rowOff>665912</xdr:rowOff>
    </xdr:to>
    <xdr:sp macro="" textlink="">
      <xdr:nvSpPr>
        <xdr:cNvPr id="13" name="ZoneTexte 12">
          <a:hlinkClick xmlns:r="http://schemas.openxmlformats.org/officeDocument/2006/relationships" r:id="rId12"/>
          <a:extLst>
            <a:ext uri="{FF2B5EF4-FFF2-40B4-BE49-F238E27FC236}">
              <a16:creationId xmlns:a16="http://schemas.microsoft.com/office/drawing/2014/main" id="{00000000-0008-0000-1700-00000D000000}"/>
            </a:ext>
          </a:extLst>
        </xdr:cNvPr>
        <xdr:cNvSpPr txBox="1"/>
      </xdr:nvSpPr>
      <xdr:spPr>
        <a:xfrm>
          <a:off x="11559320" y="381008"/>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170</xdr:col>
      <xdr:colOff>707819</xdr:colOff>
      <xdr:row>1</xdr:row>
      <xdr:rowOff>358775</xdr:rowOff>
    </xdr:from>
    <xdr:to>
      <xdr:col>170</xdr:col>
      <xdr:colOff>1597243</xdr:colOff>
      <xdr:row>1</xdr:row>
      <xdr:rowOff>706121</xdr:rowOff>
    </xdr:to>
    <xdr:sp macro="" textlink="">
      <xdr:nvSpPr>
        <xdr:cNvPr id="14" name="ZoneTexte 13">
          <a:hlinkClick xmlns:r="http://schemas.openxmlformats.org/officeDocument/2006/relationships" r:id="rId13"/>
          <a:extLst>
            <a:ext uri="{FF2B5EF4-FFF2-40B4-BE49-F238E27FC236}">
              <a16:creationId xmlns:a16="http://schemas.microsoft.com/office/drawing/2014/main" id="{00000000-0008-0000-1700-00000E000000}"/>
            </a:ext>
          </a:extLst>
        </xdr:cNvPr>
        <xdr:cNvSpPr txBox="1"/>
      </xdr:nvSpPr>
      <xdr:spPr>
        <a:xfrm>
          <a:off x="713534" y="349250"/>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170</xdr:col>
      <xdr:colOff>20320</xdr:colOff>
      <xdr:row>1</xdr:row>
      <xdr:rowOff>93980</xdr:rowOff>
    </xdr:from>
    <xdr:to>
      <xdr:col>170</xdr:col>
      <xdr:colOff>683895</xdr:colOff>
      <xdr:row>1</xdr:row>
      <xdr:rowOff>743638</xdr:rowOff>
    </xdr:to>
    <xdr:pic>
      <xdr:nvPicPr>
        <xdr:cNvPr id="15" name="Image 9">
          <a:extLst>
            <a:ext uri="{FF2B5EF4-FFF2-40B4-BE49-F238E27FC236}">
              <a16:creationId xmlns:a16="http://schemas.microsoft.com/office/drawing/2014/main" id="{00000000-0008-0000-1700-00000F000000}"/>
            </a:ext>
          </a:extLst>
        </xdr:cNvPr>
        <xdr:cNvPicPr>
          <a:picLocks noChangeAspect="1"/>
        </xdr:cNvPicPr>
      </xdr:nvPicPr>
      <xdr:blipFill>
        <a:blip xmlns:r="http://schemas.openxmlformats.org/officeDocument/2006/relationships" r:embed="rId14">
          <a:duotone>
            <a:schemeClr val="accent5">
              <a:shade val="45000"/>
              <a:satMod val="135000"/>
            </a:schemeClr>
            <a:prstClr val="white"/>
          </a:duotone>
        </a:blip>
        <a:srcRect/>
        <a:stretch>
          <a:fillRect/>
        </a:stretch>
      </xdr:blipFill>
      <xdr:spPr bwMode="auto">
        <a:xfrm>
          <a:off x="20320" y="101600"/>
          <a:ext cx="663575" cy="626798"/>
        </a:xfrm>
        <a:prstGeom prst="rect">
          <a:avLst/>
        </a:prstGeom>
        <a:noFill/>
        <a:ln>
          <a:noFill/>
        </a:ln>
      </xdr:spPr>
    </xdr:pic>
    <xdr:clientData fPrintsWithSheet="0"/>
  </xdr:twoCellAnchor>
  <xdr:twoCellAnchor editAs="absolute">
    <xdr:from>
      <xdr:col>182</xdr:col>
      <xdr:colOff>630443</xdr:colOff>
      <xdr:row>1</xdr:row>
      <xdr:rowOff>381009</xdr:rowOff>
    </xdr:from>
    <xdr:to>
      <xdr:col>184</xdr:col>
      <xdr:colOff>134613</xdr:colOff>
      <xdr:row>1</xdr:row>
      <xdr:rowOff>687917</xdr:rowOff>
    </xdr:to>
    <xdr:sp macro="" textlink="">
      <xdr:nvSpPr>
        <xdr:cNvPr id="16" name="ZoneTexte 15">
          <a:hlinkClick xmlns:r="http://schemas.openxmlformats.org/officeDocument/2006/relationships" r:id="rId15"/>
          <a:extLst>
            <a:ext uri="{FF2B5EF4-FFF2-40B4-BE49-F238E27FC236}">
              <a16:creationId xmlns:a16="http://schemas.microsoft.com/office/drawing/2014/main" id="{00000000-0008-0000-1700-000010000000}"/>
            </a:ext>
          </a:extLst>
        </xdr:cNvPr>
        <xdr:cNvSpPr txBox="1"/>
      </xdr:nvSpPr>
      <xdr:spPr>
        <a:xfrm>
          <a:off x="14237223" y="381009"/>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176</xdr:col>
      <xdr:colOff>549595</xdr:colOff>
      <xdr:row>1</xdr:row>
      <xdr:rowOff>133773</xdr:rowOff>
    </xdr:from>
    <xdr:to>
      <xdr:col>180</xdr:col>
      <xdr:colOff>669400</xdr:colOff>
      <xdr:row>1</xdr:row>
      <xdr:rowOff>398780</xdr:rowOff>
    </xdr:to>
    <xdr:sp macro="" textlink="">
      <xdr:nvSpPr>
        <xdr:cNvPr id="18" name="Flèche : pentagone 17">
          <a:hlinkClick xmlns:r="http://schemas.openxmlformats.org/officeDocument/2006/relationships" r:id="rId9"/>
          <a:extLst>
            <a:ext uri="{FF2B5EF4-FFF2-40B4-BE49-F238E27FC236}">
              <a16:creationId xmlns:a16="http://schemas.microsoft.com/office/drawing/2014/main" id="{00000000-0008-0000-1700-000012000000}"/>
            </a:ext>
          </a:extLst>
        </xdr:cNvPr>
        <xdr:cNvSpPr/>
      </xdr:nvSpPr>
      <xdr:spPr>
        <a:xfrm>
          <a:off x="9365935" y="118533"/>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171</xdr:col>
      <xdr:colOff>0</xdr:colOff>
      <xdr:row>1</xdr:row>
      <xdr:rowOff>115361</xdr:rowOff>
    </xdr:from>
    <xdr:to>
      <xdr:col>176</xdr:col>
      <xdr:colOff>626431</xdr:colOff>
      <xdr:row>1</xdr:row>
      <xdr:rowOff>398780</xdr:rowOff>
    </xdr:to>
    <xdr:sp macro="" textlink="">
      <xdr:nvSpPr>
        <xdr:cNvPr id="38" name="Flèche : pentagone 37">
          <a:hlinkClick xmlns:r="http://schemas.openxmlformats.org/officeDocument/2006/relationships" r:id="rId5"/>
          <a:extLst>
            <a:ext uri="{FF2B5EF4-FFF2-40B4-BE49-F238E27FC236}">
              <a16:creationId xmlns:a16="http://schemas.microsoft.com/office/drawing/2014/main" id="{00000000-0008-0000-1700-000026000000}"/>
            </a:ext>
          </a:extLst>
        </xdr:cNvPr>
        <xdr:cNvSpPr/>
      </xdr:nvSpPr>
      <xdr:spPr>
        <a:xfrm>
          <a:off x="5453277" y="115361"/>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170</xdr:col>
      <xdr:colOff>1544324</xdr:colOff>
      <xdr:row>1</xdr:row>
      <xdr:rowOff>115362</xdr:rowOff>
    </xdr:from>
    <xdr:to>
      <xdr:col>172</xdr:col>
      <xdr:colOff>96841</xdr:colOff>
      <xdr:row>1</xdr:row>
      <xdr:rowOff>398698</xdr:rowOff>
    </xdr:to>
    <xdr:sp macro="" textlink="">
      <xdr:nvSpPr>
        <xdr:cNvPr id="39" name="Flèche : pentagone 38">
          <a:hlinkClick xmlns:r="http://schemas.openxmlformats.org/officeDocument/2006/relationships" r:id="rId2"/>
          <a:extLst>
            <a:ext uri="{FF2B5EF4-FFF2-40B4-BE49-F238E27FC236}">
              <a16:creationId xmlns:a16="http://schemas.microsoft.com/office/drawing/2014/main" id="{00000000-0008-0000-1700-000027000000}"/>
            </a:ext>
          </a:extLst>
        </xdr:cNvPr>
        <xdr:cNvSpPr/>
      </xdr:nvSpPr>
      <xdr:spPr>
        <a:xfrm>
          <a:off x="1544324" y="115362"/>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174</xdr:col>
      <xdr:colOff>552759</xdr:colOff>
      <xdr:row>1</xdr:row>
      <xdr:rowOff>400905</xdr:rowOff>
    </xdr:from>
    <xdr:to>
      <xdr:col>176</xdr:col>
      <xdr:colOff>439420</xdr:colOff>
      <xdr:row>1</xdr:row>
      <xdr:rowOff>701683</xdr:rowOff>
    </xdr:to>
    <xdr:sp macro="" textlink="">
      <xdr:nvSpPr>
        <xdr:cNvPr id="40" name="ZoneTexte 39">
          <a:hlinkClick xmlns:r="http://schemas.openxmlformats.org/officeDocument/2006/relationships" r:id="rId7"/>
          <a:extLst>
            <a:ext uri="{FF2B5EF4-FFF2-40B4-BE49-F238E27FC236}">
              <a16:creationId xmlns:a16="http://schemas.microsoft.com/office/drawing/2014/main" id="{00000000-0008-0000-1700-000028000000}"/>
            </a:ext>
          </a:extLst>
        </xdr:cNvPr>
        <xdr:cNvSpPr txBox="1"/>
      </xdr:nvSpPr>
      <xdr:spPr>
        <a:xfrm>
          <a:off x="8029249" y="389475"/>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170</xdr:col>
      <xdr:colOff>739778</xdr:colOff>
      <xdr:row>1</xdr:row>
      <xdr:rowOff>93980</xdr:rowOff>
    </xdr:from>
    <xdr:to>
      <xdr:col>170</xdr:col>
      <xdr:colOff>1656084</xdr:colOff>
      <xdr:row>1</xdr:row>
      <xdr:rowOff>397216</xdr:rowOff>
    </xdr:to>
    <xdr:sp macro="" textlink="">
      <xdr:nvSpPr>
        <xdr:cNvPr id="41" name="Flèche : pentagone 40">
          <a:extLst>
            <a:ext uri="{FF2B5EF4-FFF2-40B4-BE49-F238E27FC236}">
              <a16:creationId xmlns:a16="http://schemas.microsoft.com/office/drawing/2014/main" id="{00000000-0008-0000-1700-000029000000}"/>
            </a:ext>
          </a:extLst>
        </xdr:cNvPr>
        <xdr:cNvSpPr/>
      </xdr:nvSpPr>
      <xdr:spPr>
        <a:xfrm>
          <a:off x="747398" y="101600"/>
          <a:ext cx="923926" cy="30323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180</xdr:col>
      <xdr:colOff>627480</xdr:colOff>
      <xdr:row>1</xdr:row>
      <xdr:rowOff>381009</xdr:rowOff>
    </xdr:from>
    <xdr:to>
      <xdr:col>182</xdr:col>
      <xdr:colOff>323850</xdr:colOff>
      <xdr:row>1</xdr:row>
      <xdr:rowOff>687917</xdr:rowOff>
    </xdr:to>
    <xdr:sp macro="" textlink="">
      <xdr:nvSpPr>
        <xdr:cNvPr id="42" name="ZoneTexte 41">
          <a:hlinkClick xmlns:r="http://schemas.openxmlformats.org/officeDocument/2006/relationships" r:id="rId16"/>
          <a:extLst>
            <a:ext uri="{FF2B5EF4-FFF2-40B4-BE49-F238E27FC236}">
              <a16:creationId xmlns:a16="http://schemas.microsoft.com/office/drawing/2014/main" id="{00000000-0008-0000-1700-00002A000000}"/>
            </a:ext>
          </a:extLst>
        </xdr:cNvPr>
        <xdr:cNvSpPr txBox="1"/>
      </xdr:nvSpPr>
      <xdr:spPr>
        <a:xfrm>
          <a:off x="13074750" y="381009"/>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487680</xdr:colOff>
          <xdr:row>2</xdr:row>
          <xdr:rowOff>68580</xdr:rowOff>
        </xdr:from>
        <xdr:to>
          <xdr:col>30</xdr:col>
          <xdr:colOff>335280</xdr:colOff>
          <xdr:row>4</xdr:row>
          <xdr:rowOff>30480</xdr:rowOff>
        </xdr:to>
        <xdr:sp macro="" textlink="">
          <xdr:nvSpPr>
            <xdr:cNvPr id="30508049" name="Button 17" hidden="1">
              <a:extLst>
                <a:ext uri="{63B3BB69-23CF-44E3-9099-C40C66FF867C}">
                  <a14:compatExt spid="_x0000_s30508049"/>
                </a:ext>
                <a:ext uri="{FF2B5EF4-FFF2-40B4-BE49-F238E27FC236}">
                  <a16:creationId xmlns:a16="http://schemas.microsoft.com/office/drawing/2014/main" id="{00000000-0008-0000-1A00-00001184D10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1" i="0" u="none" strike="noStrike" baseline="0">
                  <a:solidFill>
                    <a:srgbClr val="003366"/>
                  </a:solidFill>
                  <a:latin typeface="Calibri"/>
                  <a:ea typeface="Calibri"/>
                  <a:cs typeface="Calibri"/>
                </a:rPr>
                <a:t>Imprimer en PDF</a:t>
              </a:r>
            </a:p>
          </xdr:txBody>
        </xdr:sp>
        <xdr:clientData fPrintsWithSheet="0"/>
      </xdr:twoCellAnchor>
    </mc:Choice>
    <mc:Fallback/>
  </mc:AlternateContent>
  <xdr:twoCellAnchor>
    <xdr:from>
      <xdr:col>2</xdr:col>
      <xdr:colOff>371475</xdr:colOff>
      <xdr:row>85</xdr:row>
      <xdr:rowOff>19050</xdr:rowOff>
    </xdr:from>
    <xdr:to>
      <xdr:col>54</xdr:col>
      <xdr:colOff>571500</xdr:colOff>
      <xdr:row>99</xdr:row>
      <xdr:rowOff>95250</xdr:rowOff>
    </xdr:to>
    <xdr:graphicFrame macro="">
      <xdr:nvGraphicFramePr>
        <xdr:cNvPr id="50291121" name="Graphique 1">
          <a:extLst>
            <a:ext uri="{FF2B5EF4-FFF2-40B4-BE49-F238E27FC236}">
              <a16:creationId xmlns:a16="http://schemas.microsoft.com/office/drawing/2014/main" id="{00000000-0008-0000-1800-0000B161F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66675</xdr:colOff>
      <xdr:row>100</xdr:row>
      <xdr:rowOff>95250</xdr:rowOff>
    </xdr:from>
    <xdr:to>
      <xdr:col>58</xdr:col>
      <xdr:colOff>219075</xdr:colOff>
      <xdr:row>124</xdr:row>
      <xdr:rowOff>114300</xdr:rowOff>
    </xdr:to>
    <xdr:graphicFrame macro="">
      <xdr:nvGraphicFramePr>
        <xdr:cNvPr id="50291122" name="Graphique 3">
          <a:extLst>
            <a:ext uri="{FF2B5EF4-FFF2-40B4-BE49-F238E27FC236}">
              <a16:creationId xmlns:a16="http://schemas.microsoft.com/office/drawing/2014/main" id="{00000000-0008-0000-1800-0000B261F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absolute">
    <xdr:from>
      <xdr:col>47</xdr:col>
      <xdr:colOff>0</xdr:colOff>
      <xdr:row>0</xdr:row>
      <xdr:rowOff>172297</xdr:rowOff>
    </xdr:from>
    <xdr:to>
      <xdr:col>60</xdr:col>
      <xdr:colOff>358140</xdr:colOff>
      <xdr:row>0</xdr:row>
      <xdr:rowOff>458811</xdr:rowOff>
    </xdr:to>
    <xdr:sp macro="" textlink="">
      <xdr:nvSpPr>
        <xdr:cNvPr id="2" name="Flèche : pentagone 1">
          <a:hlinkClick xmlns:r="http://schemas.openxmlformats.org/officeDocument/2006/relationships" r:id="rId3"/>
          <a:extLst>
            <a:ext uri="{FF2B5EF4-FFF2-40B4-BE49-F238E27FC236}">
              <a16:creationId xmlns:a16="http://schemas.microsoft.com/office/drawing/2014/main" id="{00000000-0008-0000-1800-000002000000}"/>
            </a:ext>
          </a:extLst>
        </xdr:cNvPr>
        <xdr:cNvSpPr/>
      </xdr:nvSpPr>
      <xdr:spPr>
        <a:xfrm>
          <a:off x="12950828" y="160867"/>
          <a:ext cx="2673347" cy="297944"/>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1</xdr:col>
      <xdr:colOff>1277199</xdr:colOff>
      <xdr:row>0</xdr:row>
      <xdr:rowOff>437728</xdr:rowOff>
    </xdr:from>
    <xdr:to>
      <xdr:col>1</xdr:col>
      <xdr:colOff>2819401</xdr:colOff>
      <xdr:row>0</xdr:row>
      <xdr:rowOff>706966</xdr:rowOff>
    </xdr:to>
    <xdr:sp macro="" textlink="">
      <xdr:nvSpPr>
        <xdr:cNvPr id="3" name="ZoneTexte 2">
          <a:hlinkClick xmlns:r="http://schemas.openxmlformats.org/officeDocument/2006/relationships" r:id="rId4"/>
          <a:extLst>
            <a:ext uri="{FF2B5EF4-FFF2-40B4-BE49-F238E27FC236}">
              <a16:creationId xmlns:a16="http://schemas.microsoft.com/office/drawing/2014/main" id="{00000000-0008-0000-1800-000003000000}"/>
            </a:ext>
          </a:extLst>
        </xdr:cNvPr>
        <xdr:cNvSpPr txBox="1"/>
      </xdr:nvSpPr>
      <xdr:spPr>
        <a:xfrm>
          <a:off x="1638302" y="452968"/>
          <a:ext cx="1553632"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1</xdr:col>
      <xdr:colOff>2686580</xdr:colOff>
      <xdr:row>0</xdr:row>
      <xdr:rowOff>441328</xdr:rowOff>
    </xdr:from>
    <xdr:to>
      <xdr:col>6</xdr:col>
      <xdr:colOff>207437</xdr:colOff>
      <xdr:row>0</xdr:row>
      <xdr:rowOff>759886</xdr:rowOff>
    </xdr:to>
    <xdr:sp macro="" textlink="">
      <xdr:nvSpPr>
        <xdr:cNvPr id="4" name="ZoneTexte 3">
          <a:hlinkClick xmlns:r="http://schemas.openxmlformats.org/officeDocument/2006/relationships" r:id="rId5"/>
          <a:extLst>
            <a:ext uri="{FF2B5EF4-FFF2-40B4-BE49-F238E27FC236}">
              <a16:creationId xmlns:a16="http://schemas.microsoft.com/office/drawing/2014/main" id="{00000000-0008-0000-1800-000004000000}"/>
            </a:ext>
          </a:extLst>
        </xdr:cNvPr>
        <xdr:cNvSpPr txBox="1"/>
      </xdr:nvSpPr>
      <xdr:spPr>
        <a:xfrm>
          <a:off x="3059113" y="450853"/>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6</xdr:col>
      <xdr:colOff>168804</xdr:colOff>
      <xdr:row>0</xdr:row>
      <xdr:rowOff>436885</xdr:rowOff>
    </xdr:from>
    <xdr:to>
      <xdr:col>10</xdr:col>
      <xdr:colOff>670447</xdr:colOff>
      <xdr:row>0</xdr:row>
      <xdr:rowOff>782749</xdr:rowOff>
    </xdr:to>
    <xdr:sp macro="" textlink="">
      <xdr:nvSpPr>
        <xdr:cNvPr id="5" name="ZoneTexte 4">
          <a:hlinkClick xmlns:r="http://schemas.openxmlformats.org/officeDocument/2006/relationships" r:id="rId6"/>
          <a:extLst>
            <a:ext uri="{FF2B5EF4-FFF2-40B4-BE49-F238E27FC236}">
              <a16:creationId xmlns:a16="http://schemas.microsoft.com/office/drawing/2014/main" id="{00000000-0008-0000-1800-000005000000}"/>
            </a:ext>
          </a:extLst>
        </xdr:cNvPr>
        <xdr:cNvSpPr txBox="1"/>
      </xdr:nvSpPr>
      <xdr:spPr>
        <a:xfrm>
          <a:off x="4418012" y="452125"/>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10</xdr:col>
      <xdr:colOff>744957</xdr:colOff>
      <xdr:row>0</xdr:row>
      <xdr:rowOff>440062</xdr:rowOff>
    </xdr:from>
    <xdr:to>
      <xdr:col>18</xdr:col>
      <xdr:colOff>305333</xdr:colOff>
      <xdr:row>0</xdr:row>
      <xdr:rowOff>743380</xdr:rowOff>
    </xdr:to>
    <xdr:sp macro="" textlink="">
      <xdr:nvSpPr>
        <xdr:cNvPr id="6" name="ZoneTexte 5">
          <a:hlinkClick xmlns:r="http://schemas.openxmlformats.org/officeDocument/2006/relationships" r:id="rId7"/>
          <a:extLst>
            <a:ext uri="{FF2B5EF4-FFF2-40B4-BE49-F238E27FC236}">
              <a16:creationId xmlns:a16="http://schemas.microsoft.com/office/drawing/2014/main" id="{00000000-0008-0000-1800-000006000000}"/>
            </a:ext>
          </a:extLst>
        </xdr:cNvPr>
        <xdr:cNvSpPr txBox="1"/>
      </xdr:nvSpPr>
      <xdr:spPr>
        <a:xfrm>
          <a:off x="5775850" y="445777"/>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18</xdr:col>
      <xdr:colOff>174735</xdr:colOff>
      <xdr:row>0</xdr:row>
      <xdr:rowOff>440486</xdr:rowOff>
    </xdr:from>
    <xdr:to>
      <xdr:col>22</xdr:col>
      <xdr:colOff>59375</xdr:colOff>
      <xdr:row>0</xdr:row>
      <xdr:rowOff>778094</xdr:rowOff>
    </xdr:to>
    <xdr:sp macro="" textlink="">
      <xdr:nvSpPr>
        <xdr:cNvPr id="7" name="ZoneTexte 6">
          <a:hlinkClick xmlns:r="http://schemas.openxmlformats.org/officeDocument/2006/relationships" r:id="rId8"/>
          <a:extLst>
            <a:ext uri="{FF2B5EF4-FFF2-40B4-BE49-F238E27FC236}">
              <a16:creationId xmlns:a16="http://schemas.microsoft.com/office/drawing/2014/main" id="{00000000-0008-0000-1800-000007000000}"/>
            </a:ext>
          </a:extLst>
        </xdr:cNvPr>
        <xdr:cNvSpPr txBox="1"/>
      </xdr:nvSpPr>
      <xdr:spPr>
        <a:xfrm>
          <a:off x="6782333" y="450011"/>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18</xdr:col>
      <xdr:colOff>740084</xdr:colOff>
      <xdr:row>0</xdr:row>
      <xdr:rowOff>436041</xdr:rowOff>
    </xdr:from>
    <xdr:to>
      <xdr:col>26</xdr:col>
      <xdr:colOff>54721</xdr:colOff>
      <xdr:row>0</xdr:row>
      <xdr:rowOff>746344</xdr:rowOff>
    </xdr:to>
    <xdr:sp macro="" textlink="">
      <xdr:nvSpPr>
        <xdr:cNvPr id="8" name="ZoneTexte 7">
          <a:hlinkClick xmlns:r="http://schemas.openxmlformats.org/officeDocument/2006/relationships" r:id="rId9"/>
          <a:extLst>
            <a:ext uri="{FF2B5EF4-FFF2-40B4-BE49-F238E27FC236}">
              <a16:creationId xmlns:a16="http://schemas.microsoft.com/office/drawing/2014/main" id="{00000000-0008-0000-1800-000008000000}"/>
            </a:ext>
          </a:extLst>
        </xdr:cNvPr>
        <xdr:cNvSpPr txBox="1"/>
      </xdr:nvSpPr>
      <xdr:spPr>
        <a:xfrm>
          <a:off x="7349587" y="443661"/>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34</xdr:col>
      <xdr:colOff>358143</xdr:colOff>
      <xdr:row>0</xdr:row>
      <xdr:rowOff>440277</xdr:rowOff>
    </xdr:from>
    <xdr:to>
      <xdr:col>42</xdr:col>
      <xdr:colOff>479217</xdr:colOff>
      <xdr:row>0</xdr:row>
      <xdr:rowOff>781061</xdr:rowOff>
    </xdr:to>
    <xdr:sp macro="" textlink="">
      <xdr:nvSpPr>
        <xdr:cNvPr id="9" name="ZoneTexte 8">
          <a:hlinkClick xmlns:r="http://schemas.openxmlformats.org/officeDocument/2006/relationships" r:id="rId10"/>
          <a:extLst>
            <a:ext uri="{FF2B5EF4-FFF2-40B4-BE49-F238E27FC236}">
              <a16:creationId xmlns:a16="http://schemas.microsoft.com/office/drawing/2014/main" id="{00000000-0008-0000-1800-000009000000}"/>
            </a:ext>
          </a:extLst>
        </xdr:cNvPr>
        <xdr:cNvSpPr txBox="1"/>
      </xdr:nvSpPr>
      <xdr:spPr>
        <a:xfrm>
          <a:off x="10143070" y="440277"/>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30</xdr:col>
      <xdr:colOff>474652</xdr:colOff>
      <xdr:row>0</xdr:row>
      <xdr:rowOff>441540</xdr:rowOff>
    </xdr:from>
    <xdr:to>
      <xdr:col>34</xdr:col>
      <xdr:colOff>479838</xdr:colOff>
      <xdr:row>0</xdr:row>
      <xdr:rowOff>741684</xdr:rowOff>
    </xdr:to>
    <xdr:sp macro="" textlink="">
      <xdr:nvSpPr>
        <xdr:cNvPr id="10" name="ZoneTexte 9">
          <a:hlinkClick xmlns:r="http://schemas.openxmlformats.org/officeDocument/2006/relationships" r:id="rId11"/>
          <a:extLst>
            <a:ext uri="{FF2B5EF4-FFF2-40B4-BE49-F238E27FC236}">
              <a16:creationId xmlns:a16="http://schemas.microsoft.com/office/drawing/2014/main" id="{00000000-0008-0000-1800-00000A000000}"/>
            </a:ext>
          </a:extLst>
        </xdr:cNvPr>
        <xdr:cNvSpPr txBox="1"/>
      </xdr:nvSpPr>
      <xdr:spPr>
        <a:xfrm>
          <a:off x="9449319" y="433920"/>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46</xdr:col>
      <xdr:colOff>167843</xdr:colOff>
      <xdr:row>0</xdr:row>
      <xdr:rowOff>435198</xdr:rowOff>
    </xdr:from>
    <xdr:to>
      <xdr:col>50</xdr:col>
      <xdr:colOff>282475</xdr:colOff>
      <xdr:row>0</xdr:row>
      <xdr:rowOff>778098</xdr:rowOff>
    </xdr:to>
    <xdr:sp macro="" textlink="">
      <xdr:nvSpPr>
        <xdr:cNvPr id="11" name="ZoneTexte 10">
          <a:hlinkClick xmlns:r="http://schemas.openxmlformats.org/officeDocument/2006/relationships" r:id="rId12"/>
          <a:extLst>
            <a:ext uri="{FF2B5EF4-FFF2-40B4-BE49-F238E27FC236}">
              <a16:creationId xmlns:a16="http://schemas.microsoft.com/office/drawing/2014/main" id="{00000000-0008-0000-1800-00000B000000}"/>
            </a:ext>
          </a:extLst>
        </xdr:cNvPr>
        <xdr:cNvSpPr txBox="1"/>
      </xdr:nvSpPr>
      <xdr:spPr>
        <a:xfrm>
          <a:off x="12288300" y="435198"/>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54</xdr:col>
      <xdr:colOff>55768</xdr:colOff>
      <xdr:row>0</xdr:row>
      <xdr:rowOff>439429</xdr:rowOff>
    </xdr:from>
    <xdr:to>
      <xdr:col>54</xdr:col>
      <xdr:colOff>744226</xdr:colOff>
      <xdr:row>0</xdr:row>
      <xdr:rowOff>746337</xdr:rowOff>
    </xdr:to>
    <xdr:sp macro="" textlink="">
      <xdr:nvSpPr>
        <xdr:cNvPr id="12" name="ZoneTexte 11">
          <a:hlinkClick xmlns:r="http://schemas.openxmlformats.org/officeDocument/2006/relationships" r:id="rId13"/>
          <a:extLst>
            <a:ext uri="{FF2B5EF4-FFF2-40B4-BE49-F238E27FC236}">
              <a16:creationId xmlns:a16="http://schemas.microsoft.com/office/drawing/2014/main" id="{00000000-0008-0000-1800-00000C000000}"/>
            </a:ext>
          </a:extLst>
        </xdr:cNvPr>
        <xdr:cNvSpPr txBox="1"/>
      </xdr:nvSpPr>
      <xdr:spPr>
        <a:xfrm>
          <a:off x="13745310" y="431809"/>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42</xdr:col>
      <xdr:colOff>249123</xdr:colOff>
      <xdr:row>0</xdr:row>
      <xdr:rowOff>439428</xdr:rowOff>
    </xdr:from>
    <xdr:to>
      <xdr:col>46</xdr:col>
      <xdr:colOff>440270</xdr:colOff>
      <xdr:row>0</xdr:row>
      <xdr:rowOff>743382</xdr:rowOff>
    </xdr:to>
    <xdr:sp macro="" textlink="">
      <xdr:nvSpPr>
        <xdr:cNvPr id="13" name="ZoneTexte 12">
          <a:hlinkClick xmlns:r="http://schemas.openxmlformats.org/officeDocument/2006/relationships" r:id="rId14"/>
          <a:extLst>
            <a:ext uri="{FF2B5EF4-FFF2-40B4-BE49-F238E27FC236}">
              <a16:creationId xmlns:a16="http://schemas.microsoft.com/office/drawing/2014/main" id="{00000000-0008-0000-1800-00000D000000}"/>
            </a:ext>
          </a:extLst>
        </xdr:cNvPr>
        <xdr:cNvSpPr txBox="1"/>
      </xdr:nvSpPr>
      <xdr:spPr>
        <a:xfrm>
          <a:off x="11589800" y="431808"/>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1</xdr:col>
      <xdr:colOff>360051</xdr:colOff>
      <xdr:row>0</xdr:row>
      <xdr:rowOff>400050</xdr:rowOff>
    </xdr:from>
    <xdr:to>
      <xdr:col>1</xdr:col>
      <xdr:colOff>1237827</xdr:colOff>
      <xdr:row>0</xdr:row>
      <xdr:rowOff>741681</xdr:rowOff>
    </xdr:to>
    <xdr:sp macro="" textlink="">
      <xdr:nvSpPr>
        <xdr:cNvPr id="14" name="ZoneTexte 13">
          <a:hlinkClick xmlns:r="http://schemas.openxmlformats.org/officeDocument/2006/relationships" r:id="rId15"/>
          <a:extLst>
            <a:ext uri="{FF2B5EF4-FFF2-40B4-BE49-F238E27FC236}">
              <a16:creationId xmlns:a16="http://schemas.microsoft.com/office/drawing/2014/main" id="{00000000-0008-0000-1800-00000E000000}"/>
            </a:ext>
          </a:extLst>
        </xdr:cNvPr>
        <xdr:cNvSpPr txBox="1"/>
      </xdr:nvSpPr>
      <xdr:spPr>
        <a:xfrm>
          <a:off x="744014" y="400050"/>
          <a:ext cx="881586"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58420</xdr:colOff>
      <xdr:row>0</xdr:row>
      <xdr:rowOff>152400</xdr:rowOff>
    </xdr:from>
    <xdr:to>
      <xdr:col>1</xdr:col>
      <xdr:colOff>341842</xdr:colOff>
      <xdr:row>0</xdr:row>
      <xdr:rowOff>779198</xdr:rowOff>
    </xdr:to>
    <xdr:pic>
      <xdr:nvPicPr>
        <xdr:cNvPr id="15" name="Image 9">
          <a:extLst>
            <a:ext uri="{FF2B5EF4-FFF2-40B4-BE49-F238E27FC236}">
              <a16:creationId xmlns:a16="http://schemas.microsoft.com/office/drawing/2014/main" id="{00000000-0008-0000-1800-00000F000000}"/>
            </a:ext>
          </a:extLst>
        </xdr:cNvPr>
        <xdr:cNvPicPr>
          <a:picLocks noChangeAspect="1"/>
        </xdr:cNvPicPr>
      </xdr:nvPicPr>
      <xdr:blipFill>
        <a:blip xmlns:r="http://schemas.openxmlformats.org/officeDocument/2006/relationships" r:embed="rId16">
          <a:duotone>
            <a:schemeClr val="accent5">
              <a:shade val="45000"/>
              <a:satMod val="135000"/>
            </a:schemeClr>
            <a:prstClr val="white"/>
          </a:duotone>
        </a:blip>
        <a:srcRect/>
        <a:stretch>
          <a:fillRect/>
        </a:stretch>
      </xdr:blipFill>
      <xdr:spPr bwMode="auto">
        <a:xfrm>
          <a:off x="50800" y="152400"/>
          <a:ext cx="663575" cy="626798"/>
        </a:xfrm>
        <a:prstGeom prst="rect">
          <a:avLst/>
        </a:prstGeom>
        <a:noFill/>
        <a:ln>
          <a:noFill/>
        </a:ln>
      </xdr:spPr>
    </xdr:pic>
    <xdr:clientData fPrintsWithSheet="0"/>
  </xdr:twoCellAnchor>
  <xdr:twoCellAnchor editAs="absolute">
    <xdr:from>
      <xdr:col>54</xdr:col>
      <xdr:colOff>555301</xdr:colOff>
      <xdr:row>0</xdr:row>
      <xdr:rowOff>439429</xdr:rowOff>
    </xdr:from>
    <xdr:to>
      <xdr:col>60</xdr:col>
      <xdr:colOff>400043</xdr:colOff>
      <xdr:row>0</xdr:row>
      <xdr:rowOff>746337</xdr:rowOff>
    </xdr:to>
    <xdr:sp macro="" textlink="">
      <xdr:nvSpPr>
        <xdr:cNvPr id="16" name="ZoneTexte 15">
          <a:hlinkClick xmlns:r="http://schemas.openxmlformats.org/officeDocument/2006/relationships" r:id="rId17"/>
          <a:extLst>
            <a:ext uri="{FF2B5EF4-FFF2-40B4-BE49-F238E27FC236}">
              <a16:creationId xmlns:a16="http://schemas.microsoft.com/office/drawing/2014/main" id="{00000000-0008-0000-1800-000010000000}"/>
            </a:ext>
          </a:extLst>
        </xdr:cNvPr>
        <xdr:cNvSpPr txBox="1"/>
      </xdr:nvSpPr>
      <xdr:spPr>
        <a:xfrm>
          <a:off x="14267703" y="431809"/>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30</xdr:col>
      <xdr:colOff>402698</xdr:colOff>
      <xdr:row>0</xdr:row>
      <xdr:rowOff>169333</xdr:rowOff>
    </xdr:from>
    <xdr:to>
      <xdr:col>50</xdr:col>
      <xdr:colOff>210718</xdr:colOff>
      <xdr:row>0</xdr:row>
      <xdr:rowOff>457200</xdr:rowOff>
    </xdr:to>
    <xdr:sp macro="" textlink="">
      <xdr:nvSpPr>
        <xdr:cNvPr id="17" name="Flèche : pentagone 16">
          <a:hlinkClick xmlns:r="http://schemas.openxmlformats.org/officeDocument/2006/relationships" r:id="rId11"/>
          <a:extLst>
            <a:ext uri="{FF2B5EF4-FFF2-40B4-BE49-F238E27FC236}">
              <a16:creationId xmlns:a16="http://schemas.microsoft.com/office/drawing/2014/main" id="{00000000-0008-0000-1800-000011000000}"/>
            </a:ext>
          </a:extLst>
        </xdr:cNvPr>
        <xdr:cNvSpPr/>
      </xdr:nvSpPr>
      <xdr:spPr>
        <a:xfrm>
          <a:off x="9396415" y="169333"/>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10</xdr:col>
      <xdr:colOff>439529</xdr:colOff>
      <xdr:row>0</xdr:row>
      <xdr:rowOff>173781</xdr:rowOff>
    </xdr:from>
    <xdr:to>
      <xdr:col>30</xdr:col>
      <xdr:colOff>479534</xdr:colOff>
      <xdr:row>0</xdr:row>
      <xdr:rowOff>457200</xdr:rowOff>
    </xdr:to>
    <xdr:sp macro="" textlink="">
      <xdr:nvSpPr>
        <xdr:cNvPr id="18" name="Flèche : pentagone 17">
          <a:hlinkClick xmlns:r="http://schemas.openxmlformats.org/officeDocument/2006/relationships" r:id="rId7"/>
          <a:extLst>
            <a:ext uri="{FF2B5EF4-FFF2-40B4-BE49-F238E27FC236}">
              <a16:creationId xmlns:a16="http://schemas.microsoft.com/office/drawing/2014/main" id="{00000000-0008-0000-1800-000012000000}"/>
            </a:ext>
          </a:extLst>
        </xdr:cNvPr>
        <xdr:cNvSpPr/>
      </xdr:nvSpPr>
      <xdr:spPr>
        <a:xfrm>
          <a:off x="5483757" y="166161"/>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1</xdr:col>
      <xdr:colOff>1202271</xdr:colOff>
      <xdr:row>0</xdr:row>
      <xdr:rowOff>173782</xdr:rowOff>
    </xdr:from>
    <xdr:to>
      <xdr:col>10</xdr:col>
      <xdr:colOff>707923</xdr:colOff>
      <xdr:row>0</xdr:row>
      <xdr:rowOff>460928</xdr:rowOff>
    </xdr:to>
    <xdr:sp macro="" textlink="">
      <xdr:nvSpPr>
        <xdr:cNvPr id="19" name="Flèche : pentagone 18">
          <a:hlinkClick xmlns:r="http://schemas.openxmlformats.org/officeDocument/2006/relationships" r:id="rId4"/>
          <a:extLst>
            <a:ext uri="{FF2B5EF4-FFF2-40B4-BE49-F238E27FC236}">
              <a16:creationId xmlns:a16="http://schemas.microsoft.com/office/drawing/2014/main" id="{00000000-0008-0000-1800-000013000000}"/>
            </a:ext>
          </a:extLst>
        </xdr:cNvPr>
        <xdr:cNvSpPr/>
      </xdr:nvSpPr>
      <xdr:spPr>
        <a:xfrm>
          <a:off x="1574804" y="166162"/>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22</xdr:col>
      <xdr:colOff>682722</xdr:colOff>
      <xdr:row>0</xdr:row>
      <xdr:rowOff>440275</xdr:rowOff>
    </xdr:from>
    <xdr:to>
      <xdr:col>30</xdr:col>
      <xdr:colOff>286808</xdr:colOff>
      <xdr:row>0</xdr:row>
      <xdr:rowOff>742958</xdr:rowOff>
    </xdr:to>
    <xdr:sp macro="" textlink="">
      <xdr:nvSpPr>
        <xdr:cNvPr id="20" name="ZoneTexte 19">
          <a:hlinkClick xmlns:r="http://schemas.openxmlformats.org/officeDocument/2006/relationships" r:id="rId9"/>
          <a:extLst>
            <a:ext uri="{FF2B5EF4-FFF2-40B4-BE49-F238E27FC236}">
              <a16:creationId xmlns:a16="http://schemas.microsoft.com/office/drawing/2014/main" id="{00000000-0008-0000-1800-000014000000}"/>
            </a:ext>
          </a:extLst>
        </xdr:cNvPr>
        <xdr:cNvSpPr txBox="1"/>
      </xdr:nvSpPr>
      <xdr:spPr>
        <a:xfrm>
          <a:off x="8059729" y="440275"/>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1</xdr:col>
      <xdr:colOff>397725</xdr:colOff>
      <xdr:row>0</xdr:row>
      <xdr:rowOff>152400</xdr:rowOff>
    </xdr:from>
    <xdr:to>
      <xdr:col>1</xdr:col>
      <xdr:colOff>1314031</xdr:colOff>
      <xdr:row>0</xdr:row>
      <xdr:rowOff>455636</xdr:rowOff>
    </xdr:to>
    <xdr:sp macro="" textlink="">
      <xdr:nvSpPr>
        <xdr:cNvPr id="21" name="Flèche : pentagone 20">
          <a:extLst>
            <a:ext uri="{FF2B5EF4-FFF2-40B4-BE49-F238E27FC236}">
              <a16:creationId xmlns:a16="http://schemas.microsoft.com/office/drawing/2014/main" id="{00000000-0008-0000-1800-000015000000}"/>
            </a:ext>
          </a:extLst>
        </xdr:cNvPr>
        <xdr:cNvSpPr/>
      </xdr:nvSpPr>
      <xdr:spPr>
        <a:xfrm>
          <a:off x="777878" y="152400"/>
          <a:ext cx="923926" cy="30323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50</xdr:col>
      <xdr:colOff>206898</xdr:colOff>
      <xdr:row>0</xdr:row>
      <xdr:rowOff>439429</xdr:rowOff>
    </xdr:from>
    <xdr:to>
      <xdr:col>54</xdr:col>
      <xdr:colOff>248708</xdr:colOff>
      <xdr:row>0</xdr:row>
      <xdr:rowOff>746337</xdr:rowOff>
    </xdr:to>
    <xdr:sp macro="" textlink="">
      <xdr:nvSpPr>
        <xdr:cNvPr id="22" name="ZoneTexte 21">
          <a:hlinkClick xmlns:r="http://schemas.openxmlformats.org/officeDocument/2006/relationships" r:id="rId18"/>
          <a:extLst>
            <a:ext uri="{FF2B5EF4-FFF2-40B4-BE49-F238E27FC236}">
              <a16:creationId xmlns:a16="http://schemas.microsoft.com/office/drawing/2014/main" id="{00000000-0008-0000-1800-000016000000}"/>
            </a:ext>
          </a:extLst>
        </xdr:cNvPr>
        <xdr:cNvSpPr txBox="1"/>
      </xdr:nvSpPr>
      <xdr:spPr>
        <a:xfrm>
          <a:off x="13105230" y="431809"/>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7</xdr:col>
      <xdr:colOff>542925</xdr:colOff>
      <xdr:row>3</xdr:row>
      <xdr:rowOff>57150</xdr:rowOff>
    </xdr:from>
    <xdr:to>
      <xdr:col>8</xdr:col>
      <xdr:colOff>4114800</xdr:colOff>
      <xdr:row>25</xdr:row>
      <xdr:rowOff>180975</xdr:rowOff>
    </xdr:to>
    <xdr:graphicFrame macro="">
      <xdr:nvGraphicFramePr>
        <xdr:cNvPr id="50217880" name="Graphique 1">
          <a:extLst>
            <a:ext uri="{FF2B5EF4-FFF2-40B4-BE49-F238E27FC236}">
              <a16:creationId xmlns:a16="http://schemas.microsoft.com/office/drawing/2014/main" id="{00000000-0008-0000-1900-00009843FE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2181228</xdr:colOff>
      <xdr:row>0</xdr:row>
      <xdr:rowOff>93133</xdr:rowOff>
    </xdr:from>
    <xdr:to>
      <xdr:col>8</xdr:col>
      <xdr:colOff>4854575</xdr:colOff>
      <xdr:row>0</xdr:row>
      <xdr:rowOff>382614</xdr:rowOff>
    </xdr:to>
    <xdr:sp macro="" textlink="">
      <xdr:nvSpPr>
        <xdr:cNvPr id="2" name="Flèche : pentagone 1">
          <a:hlinkClick xmlns:r="http://schemas.openxmlformats.org/officeDocument/2006/relationships" r:id="rId2"/>
          <a:extLst>
            <a:ext uri="{FF2B5EF4-FFF2-40B4-BE49-F238E27FC236}">
              <a16:creationId xmlns:a16="http://schemas.microsoft.com/office/drawing/2014/main" id="{00000000-0008-0000-1900-000002000000}"/>
            </a:ext>
          </a:extLst>
        </xdr:cNvPr>
        <xdr:cNvSpPr/>
      </xdr:nvSpPr>
      <xdr:spPr>
        <a:xfrm>
          <a:off x="12900028" y="93133"/>
          <a:ext cx="2673347" cy="28948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0</xdr:col>
      <xdr:colOff>1587502</xdr:colOff>
      <xdr:row>0</xdr:row>
      <xdr:rowOff>376771</xdr:rowOff>
    </xdr:from>
    <xdr:to>
      <xdr:col>3</xdr:col>
      <xdr:colOff>275168</xdr:colOff>
      <xdr:row>0</xdr:row>
      <xdr:rowOff>630769</xdr:rowOff>
    </xdr:to>
    <xdr:sp macro="" textlink="">
      <xdr:nvSpPr>
        <xdr:cNvPr id="3" name="ZoneTexte 2">
          <a:hlinkClick xmlns:r="http://schemas.openxmlformats.org/officeDocument/2006/relationships" r:id="rId3"/>
          <a:extLst>
            <a:ext uri="{FF2B5EF4-FFF2-40B4-BE49-F238E27FC236}">
              <a16:creationId xmlns:a16="http://schemas.microsoft.com/office/drawing/2014/main" id="{00000000-0008-0000-1900-000003000000}"/>
            </a:ext>
          </a:extLst>
        </xdr:cNvPr>
        <xdr:cNvSpPr txBox="1"/>
      </xdr:nvSpPr>
      <xdr:spPr>
        <a:xfrm>
          <a:off x="1587502" y="376771"/>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3</xdr:col>
      <xdr:colOff>138113</xdr:colOff>
      <xdr:row>0</xdr:row>
      <xdr:rowOff>374656</xdr:rowOff>
    </xdr:from>
    <xdr:to>
      <xdr:col>4</xdr:col>
      <xdr:colOff>232837</xdr:colOff>
      <xdr:row>0</xdr:row>
      <xdr:rowOff>683689</xdr:rowOff>
    </xdr:to>
    <xdr:sp macro="" textlink="">
      <xdr:nvSpPr>
        <xdr:cNvPr id="4" name="ZoneTexte 3">
          <a:hlinkClick xmlns:r="http://schemas.openxmlformats.org/officeDocument/2006/relationships" r:id="rId4"/>
          <a:extLst>
            <a:ext uri="{FF2B5EF4-FFF2-40B4-BE49-F238E27FC236}">
              <a16:creationId xmlns:a16="http://schemas.microsoft.com/office/drawing/2014/main" id="{00000000-0008-0000-1900-000004000000}"/>
            </a:ext>
          </a:extLst>
        </xdr:cNvPr>
        <xdr:cNvSpPr txBox="1"/>
      </xdr:nvSpPr>
      <xdr:spPr>
        <a:xfrm>
          <a:off x="3008313" y="374656"/>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4</xdr:col>
      <xdr:colOff>184679</xdr:colOff>
      <xdr:row>0</xdr:row>
      <xdr:rowOff>375928</xdr:rowOff>
    </xdr:from>
    <xdr:to>
      <xdr:col>4</xdr:col>
      <xdr:colOff>1483247</xdr:colOff>
      <xdr:row>0</xdr:row>
      <xdr:rowOff>691312</xdr:rowOff>
    </xdr:to>
    <xdr:sp macro="" textlink="">
      <xdr:nvSpPr>
        <xdr:cNvPr id="5" name="ZoneTexte 4">
          <a:hlinkClick xmlns:r="http://schemas.openxmlformats.org/officeDocument/2006/relationships" r:id="rId5"/>
          <a:extLst>
            <a:ext uri="{FF2B5EF4-FFF2-40B4-BE49-F238E27FC236}">
              <a16:creationId xmlns:a16="http://schemas.microsoft.com/office/drawing/2014/main" id="{00000000-0008-0000-1900-000005000000}"/>
            </a:ext>
          </a:extLst>
        </xdr:cNvPr>
        <xdr:cNvSpPr txBox="1"/>
      </xdr:nvSpPr>
      <xdr:spPr>
        <a:xfrm>
          <a:off x="4367212" y="375928"/>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4</xdr:col>
      <xdr:colOff>1542517</xdr:colOff>
      <xdr:row>0</xdr:row>
      <xdr:rowOff>369580</xdr:rowOff>
    </xdr:from>
    <xdr:to>
      <xdr:col>5</xdr:col>
      <xdr:colOff>982666</xdr:colOff>
      <xdr:row>0</xdr:row>
      <xdr:rowOff>659563</xdr:rowOff>
    </xdr:to>
    <xdr:sp macro="" textlink="">
      <xdr:nvSpPr>
        <xdr:cNvPr id="6" name="ZoneTexte 5">
          <a:hlinkClick xmlns:r="http://schemas.openxmlformats.org/officeDocument/2006/relationships" r:id="rId6"/>
          <a:extLst>
            <a:ext uri="{FF2B5EF4-FFF2-40B4-BE49-F238E27FC236}">
              <a16:creationId xmlns:a16="http://schemas.microsoft.com/office/drawing/2014/main" id="{00000000-0008-0000-1900-000006000000}"/>
            </a:ext>
          </a:extLst>
        </xdr:cNvPr>
        <xdr:cNvSpPr txBox="1"/>
      </xdr:nvSpPr>
      <xdr:spPr>
        <a:xfrm>
          <a:off x="5725050" y="369580"/>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5</xdr:col>
      <xdr:colOff>838733</xdr:colOff>
      <xdr:row>0</xdr:row>
      <xdr:rowOff>373814</xdr:rowOff>
    </xdr:from>
    <xdr:to>
      <xdr:col>6</xdr:col>
      <xdr:colOff>199499</xdr:colOff>
      <xdr:row>0</xdr:row>
      <xdr:rowOff>701897</xdr:rowOff>
    </xdr:to>
    <xdr:sp macro="" textlink="">
      <xdr:nvSpPr>
        <xdr:cNvPr id="7" name="ZoneTexte 6">
          <a:hlinkClick xmlns:r="http://schemas.openxmlformats.org/officeDocument/2006/relationships" r:id="rId7"/>
          <a:extLst>
            <a:ext uri="{FF2B5EF4-FFF2-40B4-BE49-F238E27FC236}">
              <a16:creationId xmlns:a16="http://schemas.microsoft.com/office/drawing/2014/main" id="{00000000-0008-0000-1900-000007000000}"/>
            </a:ext>
          </a:extLst>
        </xdr:cNvPr>
        <xdr:cNvSpPr txBox="1"/>
      </xdr:nvSpPr>
      <xdr:spPr>
        <a:xfrm>
          <a:off x="6731533" y="373814"/>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6</xdr:col>
      <xdr:colOff>93654</xdr:colOff>
      <xdr:row>0</xdr:row>
      <xdr:rowOff>367464</xdr:rowOff>
    </xdr:from>
    <xdr:to>
      <xdr:col>7</xdr:col>
      <xdr:colOff>3710</xdr:colOff>
      <xdr:row>0</xdr:row>
      <xdr:rowOff>670147</xdr:rowOff>
    </xdr:to>
    <xdr:sp macro="" textlink="">
      <xdr:nvSpPr>
        <xdr:cNvPr id="8" name="ZoneTexte 7">
          <a:hlinkClick xmlns:r="http://schemas.openxmlformats.org/officeDocument/2006/relationships" r:id="rId8"/>
          <a:extLst>
            <a:ext uri="{FF2B5EF4-FFF2-40B4-BE49-F238E27FC236}">
              <a16:creationId xmlns:a16="http://schemas.microsoft.com/office/drawing/2014/main" id="{00000000-0008-0000-1900-000008000000}"/>
            </a:ext>
          </a:extLst>
        </xdr:cNvPr>
        <xdr:cNvSpPr txBox="1"/>
      </xdr:nvSpPr>
      <xdr:spPr>
        <a:xfrm>
          <a:off x="7298787" y="367464"/>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7</xdr:col>
      <xdr:colOff>1921937</xdr:colOff>
      <xdr:row>0</xdr:row>
      <xdr:rowOff>364080</xdr:rowOff>
    </xdr:from>
    <xdr:to>
      <xdr:col>8</xdr:col>
      <xdr:colOff>1063629</xdr:colOff>
      <xdr:row>0</xdr:row>
      <xdr:rowOff>704864</xdr:rowOff>
    </xdr:to>
    <xdr:sp macro="" textlink="">
      <xdr:nvSpPr>
        <xdr:cNvPr id="9" name="ZoneTexte 8">
          <a:hlinkClick xmlns:r="http://schemas.openxmlformats.org/officeDocument/2006/relationships" r:id="rId9"/>
          <a:extLst>
            <a:ext uri="{FF2B5EF4-FFF2-40B4-BE49-F238E27FC236}">
              <a16:creationId xmlns:a16="http://schemas.microsoft.com/office/drawing/2014/main" id="{00000000-0008-0000-1900-000009000000}"/>
            </a:ext>
          </a:extLst>
        </xdr:cNvPr>
        <xdr:cNvSpPr txBox="1"/>
      </xdr:nvSpPr>
      <xdr:spPr>
        <a:xfrm>
          <a:off x="10092270" y="364080"/>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7</xdr:col>
      <xdr:colOff>1228186</xdr:colOff>
      <xdr:row>0</xdr:row>
      <xdr:rowOff>357723</xdr:rowOff>
    </xdr:from>
    <xdr:to>
      <xdr:col>7</xdr:col>
      <xdr:colOff>2015057</xdr:colOff>
      <xdr:row>0</xdr:row>
      <xdr:rowOff>673107</xdr:rowOff>
    </xdr:to>
    <xdr:sp macro="" textlink="">
      <xdr:nvSpPr>
        <xdr:cNvPr id="10" name="ZoneTexte 9">
          <a:hlinkClick xmlns:r="http://schemas.openxmlformats.org/officeDocument/2006/relationships" r:id="rId10"/>
          <a:extLst>
            <a:ext uri="{FF2B5EF4-FFF2-40B4-BE49-F238E27FC236}">
              <a16:creationId xmlns:a16="http://schemas.microsoft.com/office/drawing/2014/main" id="{00000000-0008-0000-1900-00000A000000}"/>
            </a:ext>
          </a:extLst>
        </xdr:cNvPr>
        <xdr:cNvSpPr txBox="1"/>
      </xdr:nvSpPr>
      <xdr:spPr>
        <a:xfrm>
          <a:off x="9398519" y="357723"/>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8</xdr:col>
      <xdr:colOff>1518700</xdr:colOff>
      <xdr:row>0</xdr:row>
      <xdr:rowOff>359001</xdr:rowOff>
    </xdr:from>
    <xdr:to>
      <xdr:col>8</xdr:col>
      <xdr:colOff>2390252</xdr:colOff>
      <xdr:row>0</xdr:row>
      <xdr:rowOff>701901</xdr:rowOff>
    </xdr:to>
    <xdr:sp macro="" textlink="">
      <xdr:nvSpPr>
        <xdr:cNvPr id="11" name="ZoneTexte 10">
          <a:hlinkClick xmlns:r="http://schemas.openxmlformats.org/officeDocument/2006/relationships" r:id="rId11"/>
          <a:extLst>
            <a:ext uri="{FF2B5EF4-FFF2-40B4-BE49-F238E27FC236}">
              <a16:creationId xmlns:a16="http://schemas.microsoft.com/office/drawing/2014/main" id="{00000000-0008-0000-1900-00000B000000}"/>
            </a:ext>
          </a:extLst>
        </xdr:cNvPr>
        <xdr:cNvSpPr txBox="1"/>
      </xdr:nvSpPr>
      <xdr:spPr>
        <a:xfrm>
          <a:off x="12237500" y="359001"/>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8</xdr:col>
      <xdr:colOff>2975710</xdr:colOff>
      <xdr:row>0</xdr:row>
      <xdr:rowOff>355612</xdr:rowOff>
    </xdr:from>
    <xdr:to>
      <xdr:col>8</xdr:col>
      <xdr:colOff>3658453</xdr:colOff>
      <xdr:row>0</xdr:row>
      <xdr:rowOff>662520</xdr:rowOff>
    </xdr:to>
    <xdr:sp macro="" textlink="">
      <xdr:nvSpPr>
        <xdr:cNvPr id="12" name="ZoneTexte 11">
          <a:hlinkClick xmlns:r="http://schemas.openxmlformats.org/officeDocument/2006/relationships" r:id="rId12"/>
          <a:extLst>
            <a:ext uri="{FF2B5EF4-FFF2-40B4-BE49-F238E27FC236}">
              <a16:creationId xmlns:a16="http://schemas.microsoft.com/office/drawing/2014/main" id="{00000000-0008-0000-1900-00000C000000}"/>
            </a:ext>
          </a:extLst>
        </xdr:cNvPr>
        <xdr:cNvSpPr txBox="1"/>
      </xdr:nvSpPr>
      <xdr:spPr>
        <a:xfrm>
          <a:off x="13694510" y="355612"/>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8</xdr:col>
      <xdr:colOff>820200</xdr:colOff>
      <xdr:row>0</xdr:row>
      <xdr:rowOff>355611</xdr:rowOff>
    </xdr:from>
    <xdr:to>
      <xdr:col>8</xdr:col>
      <xdr:colOff>1785412</xdr:colOff>
      <xdr:row>0</xdr:row>
      <xdr:rowOff>651945</xdr:rowOff>
    </xdr:to>
    <xdr:sp macro="" textlink="">
      <xdr:nvSpPr>
        <xdr:cNvPr id="13" name="ZoneTexte 12">
          <a:hlinkClick xmlns:r="http://schemas.openxmlformats.org/officeDocument/2006/relationships" r:id="rId13"/>
          <a:extLst>
            <a:ext uri="{FF2B5EF4-FFF2-40B4-BE49-F238E27FC236}">
              <a16:creationId xmlns:a16="http://schemas.microsoft.com/office/drawing/2014/main" id="{00000000-0008-0000-1900-00000D000000}"/>
            </a:ext>
          </a:extLst>
        </xdr:cNvPr>
        <xdr:cNvSpPr txBox="1"/>
      </xdr:nvSpPr>
      <xdr:spPr>
        <a:xfrm>
          <a:off x="11539000" y="355611"/>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0</xdr:col>
      <xdr:colOff>693214</xdr:colOff>
      <xdr:row>0</xdr:row>
      <xdr:rowOff>323853</xdr:rowOff>
    </xdr:from>
    <xdr:to>
      <xdr:col>0</xdr:col>
      <xdr:colOff>1576923</xdr:colOff>
      <xdr:row>0</xdr:row>
      <xdr:rowOff>673104</xdr:rowOff>
    </xdr:to>
    <xdr:sp macro="" textlink="">
      <xdr:nvSpPr>
        <xdr:cNvPr id="14" name="ZoneTexte 13">
          <a:hlinkClick xmlns:r="http://schemas.openxmlformats.org/officeDocument/2006/relationships" r:id="rId14"/>
          <a:extLst>
            <a:ext uri="{FF2B5EF4-FFF2-40B4-BE49-F238E27FC236}">
              <a16:creationId xmlns:a16="http://schemas.microsoft.com/office/drawing/2014/main" id="{00000000-0008-0000-1900-00000E000000}"/>
            </a:ext>
          </a:extLst>
        </xdr:cNvPr>
        <xdr:cNvSpPr txBox="1"/>
      </xdr:nvSpPr>
      <xdr:spPr>
        <a:xfrm>
          <a:off x="693214" y="323853"/>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76203</xdr:rowOff>
    </xdr:from>
    <xdr:to>
      <xdr:col>0</xdr:col>
      <xdr:colOff>663575</xdr:colOff>
      <xdr:row>0</xdr:row>
      <xdr:rowOff>703001</xdr:rowOff>
    </xdr:to>
    <xdr:pic>
      <xdr:nvPicPr>
        <xdr:cNvPr id="15" name="Image 9">
          <a:extLst>
            <a:ext uri="{FF2B5EF4-FFF2-40B4-BE49-F238E27FC236}">
              <a16:creationId xmlns:a16="http://schemas.microsoft.com/office/drawing/2014/main" id="{00000000-0008-0000-1900-00000F000000}"/>
            </a:ext>
          </a:extLst>
        </xdr:cNvPr>
        <xdr:cNvPicPr>
          <a:picLocks noChangeAspect="1"/>
        </xdr:cNvPicPr>
      </xdr:nvPicPr>
      <xdr:blipFill>
        <a:blip xmlns:r="http://schemas.openxmlformats.org/officeDocument/2006/relationships" r:embed="rId15">
          <a:duotone>
            <a:schemeClr val="accent5">
              <a:shade val="45000"/>
              <a:satMod val="135000"/>
            </a:schemeClr>
            <a:prstClr val="white"/>
          </a:duotone>
        </a:blip>
        <a:srcRect/>
        <a:stretch>
          <a:fillRect/>
        </a:stretch>
      </xdr:blipFill>
      <xdr:spPr bwMode="auto">
        <a:xfrm>
          <a:off x="0" y="76203"/>
          <a:ext cx="663575" cy="626798"/>
        </a:xfrm>
        <a:prstGeom prst="rect">
          <a:avLst/>
        </a:prstGeom>
        <a:noFill/>
        <a:ln>
          <a:noFill/>
        </a:ln>
      </xdr:spPr>
    </xdr:pic>
    <xdr:clientData fPrintsWithSheet="0"/>
  </xdr:twoCellAnchor>
  <xdr:twoCellAnchor editAs="absolute">
    <xdr:from>
      <xdr:col>8</xdr:col>
      <xdr:colOff>3498103</xdr:colOff>
      <xdr:row>0</xdr:row>
      <xdr:rowOff>355612</xdr:rowOff>
    </xdr:from>
    <xdr:to>
      <xdr:col>8</xdr:col>
      <xdr:colOff>4898383</xdr:colOff>
      <xdr:row>0</xdr:row>
      <xdr:rowOff>662520</xdr:rowOff>
    </xdr:to>
    <xdr:sp macro="" textlink="">
      <xdr:nvSpPr>
        <xdr:cNvPr id="16" name="ZoneTexte 15">
          <a:hlinkClick xmlns:r="http://schemas.openxmlformats.org/officeDocument/2006/relationships" r:id="rId16"/>
          <a:extLst>
            <a:ext uri="{FF2B5EF4-FFF2-40B4-BE49-F238E27FC236}">
              <a16:creationId xmlns:a16="http://schemas.microsoft.com/office/drawing/2014/main" id="{00000000-0008-0000-1900-000010000000}"/>
            </a:ext>
          </a:extLst>
        </xdr:cNvPr>
        <xdr:cNvSpPr txBox="1"/>
      </xdr:nvSpPr>
      <xdr:spPr>
        <a:xfrm>
          <a:off x="14216903" y="355612"/>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7</xdr:col>
      <xdr:colOff>1175282</xdr:colOff>
      <xdr:row>0</xdr:row>
      <xdr:rowOff>93136</xdr:rowOff>
    </xdr:from>
    <xdr:to>
      <xdr:col>8</xdr:col>
      <xdr:colOff>2358500</xdr:colOff>
      <xdr:row>0</xdr:row>
      <xdr:rowOff>381003</xdr:rowOff>
    </xdr:to>
    <xdr:sp macro="" textlink="">
      <xdr:nvSpPr>
        <xdr:cNvPr id="17" name="Flèche : pentagone 16">
          <a:hlinkClick xmlns:r="http://schemas.openxmlformats.org/officeDocument/2006/relationships" r:id="rId10"/>
          <a:extLst>
            <a:ext uri="{FF2B5EF4-FFF2-40B4-BE49-F238E27FC236}">
              <a16:creationId xmlns:a16="http://schemas.microsoft.com/office/drawing/2014/main" id="{00000000-0008-0000-1900-000011000000}"/>
            </a:ext>
          </a:extLst>
        </xdr:cNvPr>
        <xdr:cNvSpPr/>
      </xdr:nvSpPr>
      <xdr:spPr>
        <a:xfrm>
          <a:off x="9345615" y="93136"/>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4</xdr:col>
      <xdr:colOff>1250424</xdr:colOff>
      <xdr:row>0</xdr:row>
      <xdr:rowOff>89964</xdr:rowOff>
    </xdr:from>
    <xdr:to>
      <xdr:col>7</xdr:col>
      <xdr:colOff>1238783</xdr:colOff>
      <xdr:row>0</xdr:row>
      <xdr:rowOff>381003</xdr:rowOff>
    </xdr:to>
    <xdr:sp macro="" textlink="">
      <xdr:nvSpPr>
        <xdr:cNvPr id="39" name="Flèche : pentagone 38">
          <a:hlinkClick xmlns:r="http://schemas.openxmlformats.org/officeDocument/2006/relationships" r:id="rId6"/>
          <a:extLst>
            <a:ext uri="{FF2B5EF4-FFF2-40B4-BE49-F238E27FC236}">
              <a16:creationId xmlns:a16="http://schemas.microsoft.com/office/drawing/2014/main" id="{00000000-0008-0000-1900-000027000000}"/>
            </a:ext>
          </a:extLst>
        </xdr:cNvPr>
        <xdr:cNvSpPr/>
      </xdr:nvSpPr>
      <xdr:spPr>
        <a:xfrm>
          <a:off x="5432957" y="89964"/>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0</xdr:col>
      <xdr:colOff>1524004</xdr:colOff>
      <xdr:row>0</xdr:row>
      <xdr:rowOff>89965</xdr:rowOff>
    </xdr:from>
    <xdr:to>
      <xdr:col>4</xdr:col>
      <xdr:colOff>1515008</xdr:colOff>
      <xdr:row>0</xdr:row>
      <xdr:rowOff>384731</xdr:rowOff>
    </xdr:to>
    <xdr:sp macro="" textlink="">
      <xdr:nvSpPr>
        <xdr:cNvPr id="59" name="Flèche : pentagone 58">
          <a:hlinkClick xmlns:r="http://schemas.openxmlformats.org/officeDocument/2006/relationships" r:id="rId3"/>
          <a:extLst>
            <a:ext uri="{FF2B5EF4-FFF2-40B4-BE49-F238E27FC236}">
              <a16:creationId xmlns:a16="http://schemas.microsoft.com/office/drawing/2014/main" id="{00000000-0008-0000-1900-00003B000000}"/>
            </a:ext>
          </a:extLst>
        </xdr:cNvPr>
        <xdr:cNvSpPr/>
      </xdr:nvSpPr>
      <xdr:spPr>
        <a:xfrm>
          <a:off x="1524004" y="89965"/>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6</xdr:col>
      <xdr:colOff>803796</xdr:colOff>
      <xdr:row>0</xdr:row>
      <xdr:rowOff>364078</xdr:rowOff>
    </xdr:from>
    <xdr:to>
      <xdr:col>7</xdr:col>
      <xdr:colOff>1049867</xdr:colOff>
      <xdr:row>0</xdr:row>
      <xdr:rowOff>666761</xdr:rowOff>
    </xdr:to>
    <xdr:sp macro="" textlink="">
      <xdr:nvSpPr>
        <xdr:cNvPr id="60" name="ZoneTexte 59">
          <a:hlinkClick xmlns:r="http://schemas.openxmlformats.org/officeDocument/2006/relationships" r:id="rId8"/>
          <a:extLst>
            <a:ext uri="{FF2B5EF4-FFF2-40B4-BE49-F238E27FC236}">
              <a16:creationId xmlns:a16="http://schemas.microsoft.com/office/drawing/2014/main" id="{00000000-0008-0000-1900-00003C000000}"/>
            </a:ext>
          </a:extLst>
        </xdr:cNvPr>
        <xdr:cNvSpPr txBox="1"/>
      </xdr:nvSpPr>
      <xdr:spPr>
        <a:xfrm>
          <a:off x="8008929" y="364078"/>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0</xdr:col>
      <xdr:colOff>727078</xdr:colOff>
      <xdr:row>0</xdr:row>
      <xdr:rowOff>76203</xdr:rowOff>
    </xdr:from>
    <xdr:to>
      <xdr:col>0</xdr:col>
      <xdr:colOff>1651004</xdr:colOff>
      <xdr:row>0</xdr:row>
      <xdr:rowOff>379439</xdr:rowOff>
    </xdr:to>
    <xdr:sp macro="" textlink="">
      <xdr:nvSpPr>
        <xdr:cNvPr id="61" name="Flèche : pentagone 60">
          <a:extLst>
            <a:ext uri="{FF2B5EF4-FFF2-40B4-BE49-F238E27FC236}">
              <a16:creationId xmlns:a16="http://schemas.microsoft.com/office/drawing/2014/main" id="{00000000-0008-0000-1900-00003D000000}"/>
            </a:ext>
          </a:extLst>
        </xdr:cNvPr>
        <xdr:cNvSpPr/>
      </xdr:nvSpPr>
      <xdr:spPr>
        <a:xfrm>
          <a:off x="727078" y="76203"/>
          <a:ext cx="923926" cy="30323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8</xdr:col>
      <xdr:colOff>2335630</xdr:colOff>
      <xdr:row>0</xdr:row>
      <xdr:rowOff>355612</xdr:rowOff>
    </xdr:from>
    <xdr:to>
      <xdr:col>8</xdr:col>
      <xdr:colOff>3183890</xdr:colOff>
      <xdr:row>0</xdr:row>
      <xdr:rowOff>662520</xdr:rowOff>
    </xdr:to>
    <xdr:sp macro="" textlink="">
      <xdr:nvSpPr>
        <xdr:cNvPr id="62" name="ZoneTexte 61">
          <a:hlinkClick xmlns:r="http://schemas.openxmlformats.org/officeDocument/2006/relationships" r:id="rId17"/>
          <a:extLst>
            <a:ext uri="{FF2B5EF4-FFF2-40B4-BE49-F238E27FC236}">
              <a16:creationId xmlns:a16="http://schemas.microsoft.com/office/drawing/2014/main" id="{00000000-0008-0000-1900-00003E000000}"/>
            </a:ext>
          </a:extLst>
        </xdr:cNvPr>
        <xdr:cNvSpPr txBox="1"/>
      </xdr:nvSpPr>
      <xdr:spPr>
        <a:xfrm>
          <a:off x="13054430" y="355612"/>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213360</xdr:colOff>
          <xdr:row>3</xdr:row>
          <xdr:rowOff>22860</xdr:rowOff>
        </xdr:from>
        <xdr:to>
          <xdr:col>10</xdr:col>
          <xdr:colOff>640080</xdr:colOff>
          <xdr:row>4</xdr:row>
          <xdr:rowOff>99060</xdr:rowOff>
        </xdr:to>
        <xdr:sp macro="" textlink="">
          <xdr:nvSpPr>
            <xdr:cNvPr id="51397633" name="Button 1" hidden="1">
              <a:extLst>
                <a:ext uri="{63B3BB69-23CF-44E3-9099-C40C66FF867C}">
                  <a14:compatExt spid="_x0000_s51397633"/>
                </a:ext>
                <a:ext uri="{FF2B5EF4-FFF2-40B4-BE49-F238E27FC236}">
                  <a16:creationId xmlns:a16="http://schemas.microsoft.com/office/drawing/2014/main" id="{00000000-0008-0000-1C00-0000014410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BE" sz="1100" b="0" i="0" u="none" strike="noStrike" baseline="0">
                  <a:solidFill>
                    <a:srgbClr val="000000"/>
                  </a:solidFill>
                  <a:latin typeface="Calibri"/>
                  <a:ea typeface="Calibri"/>
                  <a:cs typeface="Calibri"/>
                </a:rPr>
                <a:t>Exporter vers document Word</a:t>
              </a:r>
            </a:p>
          </xdr:txBody>
        </xdr:sp>
        <xdr:clientData fPrintsWithSheet="0"/>
      </xdr:twoCellAnchor>
    </mc:Choice>
    <mc:Fallback/>
  </mc:AlternateContent>
  <xdr:twoCellAnchor editAs="absolute">
    <xdr:from>
      <xdr:col>9</xdr:col>
      <xdr:colOff>703160</xdr:colOff>
      <xdr:row>0</xdr:row>
      <xdr:rowOff>94615</xdr:rowOff>
    </xdr:from>
    <xdr:to>
      <xdr:col>13</xdr:col>
      <xdr:colOff>244052</xdr:colOff>
      <xdr:row>0</xdr:row>
      <xdr:rowOff>399756</xdr:rowOff>
    </xdr:to>
    <xdr:sp macro="" textlink="">
      <xdr:nvSpPr>
        <xdr:cNvPr id="2" name="Flèche : pentagon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2900028" y="101600"/>
          <a:ext cx="2673347" cy="30641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0</xdr:col>
      <xdr:colOff>1580517</xdr:colOff>
      <xdr:row>0</xdr:row>
      <xdr:rowOff>403438</xdr:rowOff>
    </xdr:from>
    <xdr:to>
      <xdr:col>1</xdr:col>
      <xdr:colOff>1409701</xdr:colOff>
      <xdr:row>0</xdr:row>
      <xdr:rowOff>651086</xdr:rowOff>
    </xdr:to>
    <xdr:sp macro="" textlink="">
      <xdr:nvSpPr>
        <xdr:cNvPr id="23" name="ZoneTexte 22">
          <a:hlinkClick xmlns:r="http://schemas.openxmlformats.org/officeDocument/2006/relationships" r:id="rId2"/>
          <a:extLst>
            <a:ext uri="{FF2B5EF4-FFF2-40B4-BE49-F238E27FC236}">
              <a16:creationId xmlns:a16="http://schemas.microsoft.com/office/drawing/2014/main" id="{00000000-0008-0000-1A00-000017000000}"/>
            </a:ext>
          </a:extLst>
        </xdr:cNvPr>
        <xdr:cNvSpPr txBox="1"/>
      </xdr:nvSpPr>
      <xdr:spPr>
        <a:xfrm>
          <a:off x="1587502" y="402168"/>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1</xdr:col>
      <xdr:colOff>1272646</xdr:colOff>
      <xdr:row>0</xdr:row>
      <xdr:rowOff>399418</xdr:rowOff>
    </xdr:from>
    <xdr:to>
      <xdr:col>1</xdr:col>
      <xdr:colOff>2686688</xdr:colOff>
      <xdr:row>0</xdr:row>
      <xdr:rowOff>703371</xdr:rowOff>
    </xdr:to>
    <xdr:sp macro="" textlink="">
      <xdr:nvSpPr>
        <xdr:cNvPr id="24" name="ZoneTexte 23">
          <a:hlinkClick xmlns:r="http://schemas.openxmlformats.org/officeDocument/2006/relationships" r:id="rId3"/>
          <a:extLst>
            <a:ext uri="{FF2B5EF4-FFF2-40B4-BE49-F238E27FC236}">
              <a16:creationId xmlns:a16="http://schemas.microsoft.com/office/drawing/2014/main" id="{00000000-0008-0000-1A00-000018000000}"/>
            </a:ext>
          </a:extLst>
        </xdr:cNvPr>
        <xdr:cNvSpPr txBox="1"/>
      </xdr:nvSpPr>
      <xdr:spPr>
        <a:xfrm>
          <a:off x="3008313" y="400053"/>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1</xdr:col>
      <xdr:colOff>2631545</xdr:colOff>
      <xdr:row>0</xdr:row>
      <xdr:rowOff>402595</xdr:rowOff>
    </xdr:from>
    <xdr:to>
      <xdr:col>1</xdr:col>
      <xdr:colOff>3927573</xdr:colOff>
      <xdr:row>0</xdr:row>
      <xdr:rowOff>720519</xdr:rowOff>
    </xdr:to>
    <xdr:sp macro="" textlink="">
      <xdr:nvSpPr>
        <xdr:cNvPr id="25" name="ZoneTexte 24">
          <a:hlinkClick xmlns:r="http://schemas.openxmlformats.org/officeDocument/2006/relationships" r:id="rId4"/>
          <a:extLst>
            <a:ext uri="{FF2B5EF4-FFF2-40B4-BE49-F238E27FC236}">
              <a16:creationId xmlns:a16="http://schemas.microsoft.com/office/drawing/2014/main" id="{00000000-0008-0000-1A00-000019000000}"/>
            </a:ext>
          </a:extLst>
        </xdr:cNvPr>
        <xdr:cNvSpPr txBox="1"/>
      </xdr:nvSpPr>
      <xdr:spPr>
        <a:xfrm>
          <a:off x="4367212" y="401325"/>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1</xdr:col>
      <xdr:colOff>3981128</xdr:colOff>
      <xdr:row>0</xdr:row>
      <xdr:rowOff>400692</xdr:rowOff>
    </xdr:from>
    <xdr:to>
      <xdr:col>2</xdr:col>
      <xdr:colOff>987746</xdr:colOff>
      <xdr:row>0</xdr:row>
      <xdr:rowOff>684960</xdr:rowOff>
    </xdr:to>
    <xdr:sp macro="" textlink="">
      <xdr:nvSpPr>
        <xdr:cNvPr id="26" name="ZoneTexte 25">
          <a:hlinkClick xmlns:r="http://schemas.openxmlformats.org/officeDocument/2006/relationships" r:id="rId5"/>
          <a:extLst>
            <a:ext uri="{FF2B5EF4-FFF2-40B4-BE49-F238E27FC236}">
              <a16:creationId xmlns:a16="http://schemas.microsoft.com/office/drawing/2014/main" id="{00000000-0008-0000-1A00-00001A000000}"/>
            </a:ext>
          </a:extLst>
        </xdr:cNvPr>
        <xdr:cNvSpPr txBox="1"/>
      </xdr:nvSpPr>
      <xdr:spPr>
        <a:xfrm>
          <a:off x="5725050" y="394977"/>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2</xdr:col>
      <xdr:colOff>838733</xdr:colOff>
      <xdr:row>0</xdr:row>
      <xdr:rowOff>397941</xdr:rowOff>
    </xdr:from>
    <xdr:to>
      <xdr:col>3</xdr:col>
      <xdr:colOff>308295</xdr:colOff>
      <xdr:row>0</xdr:row>
      <xdr:rowOff>727294</xdr:rowOff>
    </xdr:to>
    <xdr:sp macro="" textlink="">
      <xdr:nvSpPr>
        <xdr:cNvPr id="27" name="ZoneTexte 26">
          <a:hlinkClick xmlns:r="http://schemas.openxmlformats.org/officeDocument/2006/relationships" r:id="rId6"/>
          <a:extLst>
            <a:ext uri="{FF2B5EF4-FFF2-40B4-BE49-F238E27FC236}">
              <a16:creationId xmlns:a16="http://schemas.microsoft.com/office/drawing/2014/main" id="{00000000-0008-0000-1A00-00001B000000}"/>
            </a:ext>
          </a:extLst>
        </xdr:cNvPr>
        <xdr:cNvSpPr txBox="1"/>
      </xdr:nvSpPr>
      <xdr:spPr>
        <a:xfrm>
          <a:off x="6731533" y="399211"/>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3</xdr:col>
      <xdr:colOff>210705</xdr:colOff>
      <xdr:row>0</xdr:row>
      <xdr:rowOff>397941</xdr:rowOff>
    </xdr:from>
    <xdr:to>
      <xdr:col>3</xdr:col>
      <xdr:colOff>1085961</xdr:colOff>
      <xdr:row>0</xdr:row>
      <xdr:rowOff>701894</xdr:rowOff>
    </xdr:to>
    <xdr:sp macro="" textlink="">
      <xdr:nvSpPr>
        <xdr:cNvPr id="28" name="ZoneTexte 27">
          <a:hlinkClick xmlns:r="http://schemas.openxmlformats.org/officeDocument/2006/relationships" r:id="rId7"/>
          <a:extLst>
            <a:ext uri="{FF2B5EF4-FFF2-40B4-BE49-F238E27FC236}">
              <a16:creationId xmlns:a16="http://schemas.microsoft.com/office/drawing/2014/main" id="{00000000-0008-0000-1A00-00001C000000}"/>
            </a:ext>
          </a:extLst>
        </xdr:cNvPr>
        <xdr:cNvSpPr txBox="1"/>
      </xdr:nvSpPr>
      <xdr:spPr>
        <a:xfrm>
          <a:off x="7298787" y="392861"/>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5</xdr:col>
      <xdr:colOff>897047</xdr:colOff>
      <xdr:row>0</xdr:row>
      <xdr:rowOff>384397</xdr:rowOff>
    </xdr:from>
    <xdr:to>
      <xdr:col>8</xdr:col>
      <xdr:colOff>379946</xdr:colOff>
      <xdr:row>0</xdr:row>
      <xdr:rowOff>726451</xdr:rowOff>
    </xdr:to>
    <xdr:sp macro="" textlink="">
      <xdr:nvSpPr>
        <xdr:cNvPr id="29" name="ZoneTexte 28">
          <a:hlinkClick xmlns:r="http://schemas.openxmlformats.org/officeDocument/2006/relationships" r:id="rId8"/>
          <a:extLst>
            <a:ext uri="{FF2B5EF4-FFF2-40B4-BE49-F238E27FC236}">
              <a16:creationId xmlns:a16="http://schemas.microsoft.com/office/drawing/2014/main" id="{00000000-0008-0000-1A00-00001D000000}"/>
            </a:ext>
          </a:extLst>
        </xdr:cNvPr>
        <xdr:cNvSpPr txBox="1"/>
      </xdr:nvSpPr>
      <xdr:spPr>
        <a:xfrm>
          <a:off x="10092270" y="389477"/>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5</xdr:col>
      <xdr:colOff>208376</xdr:colOff>
      <xdr:row>0</xdr:row>
      <xdr:rowOff>383120</xdr:rowOff>
    </xdr:from>
    <xdr:to>
      <xdr:col>6</xdr:col>
      <xdr:colOff>1472</xdr:colOff>
      <xdr:row>0</xdr:row>
      <xdr:rowOff>705489</xdr:rowOff>
    </xdr:to>
    <xdr:sp macro="" textlink="">
      <xdr:nvSpPr>
        <xdr:cNvPr id="30" name="ZoneTexte 29">
          <a:hlinkClick xmlns:r="http://schemas.openxmlformats.org/officeDocument/2006/relationships" r:id="rId9"/>
          <a:extLst>
            <a:ext uri="{FF2B5EF4-FFF2-40B4-BE49-F238E27FC236}">
              <a16:creationId xmlns:a16="http://schemas.microsoft.com/office/drawing/2014/main" id="{00000000-0008-0000-1A00-00001E000000}"/>
            </a:ext>
          </a:extLst>
        </xdr:cNvPr>
        <xdr:cNvSpPr txBox="1"/>
      </xdr:nvSpPr>
      <xdr:spPr>
        <a:xfrm>
          <a:off x="9398519" y="383120"/>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9</xdr:col>
      <xdr:colOff>55237</xdr:colOff>
      <xdr:row>0</xdr:row>
      <xdr:rowOff>384398</xdr:rowOff>
    </xdr:from>
    <xdr:to>
      <xdr:col>10</xdr:col>
      <xdr:colOff>135579</xdr:colOff>
      <xdr:row>0</xdr:row>
      <xdr:rowOff>727298</xdr:rowOff>
    </xdr:to>
    <xdr:sp macro="" textlink="">
      <xdr:nvSpPr>
        <xdr:cNvPr id="31" name="ZoneTexte 30">
          <a:hlinkClick xmlns:r="http://schemas.openxmlformats.org/officeDocument/2006/relationships" r:id="rId10"/>
          <a:extLst>
            <a:ext uri="{FF2B5EF4-FFF2-40B4-BE49-F238E27FC236}">
              <a16:creationId xmlns:a16="http://schemas.microsoft.com/office/drawing/2014/main" id="{00000000-0008-0000-1A00-00001F000000}"/>
            </a:ext>
          </a:extLst>
        </xdr:cNvPr>
        <xdr:cNvSpPr txBox="1"/>
      </xdr:nvSpPr>
      <xdr:spPr>
        <a:xfrm>
          <a:off x="12237500" y="384398"/>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10</xdr:col>
      <xdr:colOff>707067</xdr:colOff>
      <xdr:row>0</xdr:row>
      <xdr:rowOff>381009</xdr:rowOff>
    </xdr:from>
    <xdr:to>
      <xdr:col>11</xdr:col>
      <xdr:colOff>610030</xdr:colOff>
      <xdr:row>0</xdr:row>
      <xdr:rowOff>687917</xdr:rowOff>
    </xdr:to>
    <xdr:sp macro="" textlink="">
      <xdr:nvSpPr>
        <xdr:cNvPr id="32" name="ZoneTexte 31">
          <a:hlinkClick xmlns:r="http://schemas.openxmlformats.org/officeDocument/2006/relationships" r:id="rId11"/>
          <a:extLst>
            <a:ext uri="{FF2B5EF4-FFF2-40B4-BE49-F238E27FC236}">
              <a16:creationId xmlns:a16="http://schemas.microsoft.com/office/drawing/2014/main" id="{00000000-0008-0000-1A00-000020000000}"/>
            </a:ext>
          </a:extLst>
        </xdr:cNvPr>
        <xdr:cNvSpPr txBox="1"/>
      </xdr:nvSpPr>
      <xdr:spPr>
        <a:xfrm>
          <a:off x="13694510" y="381009"/>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8</xdr:col>
      <xdr:colOff>149217</xdr:colOff>
      <xdr:row>0</xdr:row>
      <xdr:rowOff>381008</xdr:rowOff>
    </xdr:from>
    <xdr:to>
      <xdr:col>9</xdr:col>
      <xdr:colOff>323219</xdr:colOff>
      <xdr:row>0</xdr:row>
      <xdr:rowOff>682422</xdr:rowOff>
    </xdr:to>
    <xdr:sp macro="" textlink="">
      <xdr:nvSpPr>
        <xdr:cNvPr id="33" name="ZoneTexte 32">
          <a:hlinkClick xmlns:r="http://schemas.openxmlformats.org/officeDocument/2006/relationships" r:id="rId12"/>
          <a:extLst>
            <a:ext uri="{FF2B5EF4-FFF2-40B4-BE49-F238E27FC236}">
              <a16:creationId xmlns:a16="http://schemas.microsoft.com/office/drawing/2014/main" id="{00000000-0008-0000-1A00-000021000000}"/>
            </a:ext>
          </a:extLst>
        </xdr:cNvPr>
        <xdr:cNvSpPr txBox="1"/>
      </xdr:nvSpPr>
      <xdr:spPr>
        <a:xfrm>
          <a:off x="11539000" y="381008"/>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0</xdr:col>
      <xdr:colOff>689404</xdr:colOff>
      <xdr:row>0</xdr:row>
      <xdr:rowOff>345440</xdr:rowOff>
    </xdr:from>
    <xdr:to>
      <xdr:col>0</xdr:col>
      <xdr:colOff>1582638</xdr:colOff>
      <xdr:row>0</xdr:row>
      <xdr:rowOff>705486</xdr:rowOff>
    </xdr:to>
    <xdr:sp macro="" textlink="">
      <xdr:nvSpPr>
        <xdr:cNvPr id="34" name="ZoneTexte 33">
          <a:hlinkClick xmlns:r="http://schemas.openxmlformats.org/officeDocument/2006/relationships" r:id="rId13"/>
          <a:extLst>
            <a:ext uri="{FF2B5EF4-FFF2-40B4-BE49-F238E27FC236}">
              <a16:creationId xmlns:a16="http://schemas.microsoft.com/office/drawing/2014/main" id="{00000000-0008-0000-1A00-000022000000}"/>
            </a:ext>
          </a:extLst>
        </xdr:cNvPr>
        <xdr:cNvSpPr txBox="1"/>
      </xdr:nvSpPr>
      <xdr:spPr>
        <a:xfrm>
          <a:off x="693214" y="349250"/>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94615</xdr:rowOff>
    </xdr:from>
    <xdr:to>
      <xdr:col>0</xdr:col>
      <xdr:colOff>663575</xdr:colOff>
      <xdr:row>0</xdr:row>
      <xdr:rowOff>727128</xdr:rowOff>
    </xdr:to>
    <xdr:pic>
      <xdr:nvPicPr>
        <xdr:cNvPr id="35" name="Image 9">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14">
          <a:duotone>
            <a:schemeClr val="accent5">
              <a:shade val="45000"/>
              <a:satMod val="135000"/>
            </a:schemeClr>
            <a:prstClr val="white"/>
          </a:duotone>
        </a:blip>
        <a:srcRect/>
        <a:stretch>
          <a:fillRect/>
        </a:stretch>
      </xdr:blipFill>
      <xdr:spPr bwMode="auto">
        <a:xfrm>
          <a:off x="0" y="101600"/>
          <a:ext cx="663575" cy="626798"/>
        </a:xfrm>
        <a:prstGeom prst="rect">
          <a:avLst/>
        </a:prstGeom>
        <a:noFill/>
        <a:ln>
          <a:noFill/>
        </a:ln>
      </xdr:spPr>
    </xdr:pic>
    <xdr:clientData fPrintsWithSheet="0"/>
  </xdr:twoCellAnchor>
  <xdr:twoCellAnchor editAs="absolute">
    <xdr:from>
      <xdr:col>11</xdr:col>
      <xdr:colOff>453490</xdr:colOff>
      <xdr:row>0</xdr:row>
      <xdr:rowOff>381009</xdr:rowOff>
    </xdr:from>
    <xdr:to>
      <xdr:col>13</xdr:col>
      <xdr:colOff>287225</xdr:colOff>
      <xdr:row>0</xdr:row>
      <xdr:rowOff>687917</xdr:rowOff>
    </xdr:to>
    <xdr:sp macro="" textlink="">
      <xdr:nvSpPr>
        <xdr:cNvPr id="36" name="ZoneTexte 35">
          <a:hlinkClick xmlns:r="http://schemas.openxmlformats.org/officeDocument/2006/relationships" r:id="rId15"/>
          <a:extLst>
            <a:ext uri="{FF2B5EF4-FFF2-40B4-BE49-F238E27FC236}">
              <a16:creationId xmlns:a16="http://schemas.microsoft.com/office/drawing/2014/main" id="{00000000-0008-0000-1A00-000024000000}"/>
            </a:ext>
          </a:extLst>
        </xdr:cNvPr>
        <xdr:cNvSpPr txBox="1"/>
      </xdr:nvSpPr>
      <xdr:spPr>
        <a:xfrm>
          <a:off x="14216903" y="381009"/>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5</xdr:col>
      <xdr:colOff>171982</xdr:colOff>
      <xdr:row>0</xdr:row>
      <xdr:rowOff>117263</xdr:rowOff>
    </xdr:from>
    <xdr:to>
      <xdr:col>10</xdr:col>
      <xdr:colOff>112717</xdr:colOff>
      <xdr:row>0</xdr:row>
      <xdr:rowOff>399415</xdr:rowOff>
    </xdr:to>
    <xdr:sp macro="" textlink="">
      <xdr:nvSpPr>
        <xdr:cNvPr id="37" name="Flèche : pentagone 36">
          <a:hlinkClick xmlns:r="http://schemas.openxmlformats.org/officeDocument/2006/relationships" r:id="rId9"/>
          <a:extLst>
            <a:ext uri="{FF2B5EF4-FFF2-40B4-BE49-F238E27FC236}">
              <a16:creationId xmlns:a16="http://schemas.microsoft.com/office/drawing/2014/main" id="{00000000-0008-0000-1A00-000025000000}"/>
            </a:ext>
          </a:extLst>
        </xdr:cNvPr>
        <xdr:cNvSpPr/>
      </xdr:nvSpPr>
      <xdr:spPr>
        <a:xfrm>
          <a:off x="9345615" y="118533"/>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1</xdr:col>
      <xdr:colOff>3697290</xdr:colOff>
      <xdr:row>0</xdr:row>
      <xdr:rowOff>115361</xdr:rowOff>
    </xdr:from>
    <xdr:to>
      <xdr:col>5</xdr:col>
      <xdr:colOff>209448</xdr:colOff>
      <xdr:row>0</xdr:row>
      <xdr:rowOff>399415</xdr:rowOff>
    </xdr:to>
    <xdr:sp macro="" textlink="">
      <xdr:nvSpPr>
        <xdr:cNvPr id="38" name="Flèche : pentagone 37">
          <a:hlinkClick xmlns:r="http://schemas.openxmlformats.org/officeDocument/2006/relationships" r:id="rId5"/>
          <a:extLst>
            <a:ext uri="{FF2B5EF4-FFF2-40B4-BE49-F238E27FC236}">
              <a16:creationId xmlns:a16="http://schemas.microsoft.com/office/drawing/2014/main" id="{00000000-0008-0000-1A00-000026000000}"/>
            </a:ext>
          </a:extLst>
        </xdr:cNvPr>
        <xdr:cNvSpPr/>
      </xdr:nvSpPr>
      <xdr:spPr>
        <a:xfrm>
          <a:off x="5432957" y="115361"/>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0</xdr:col>
      <xdr:colOff>1524004</xdr:colOff>
      <xdr:row>0</xdr:row>
      <xdr:rowOff>115362</xdr:rowOff>
    </xdr:from>
    <xdr:to>
      <xdr:col>1</xdr:col>
      <xdr:colOff>3961874</xdr:colOff>
      <xdr:row>0</xdr:row>
      <xdr:rowOff>403778</xdr:rowOff>
    </xdr:to>
    <xdr:sp macro="" textlink="">
      <xdr:nvSpPr>
        <xdr:cNvPr id="39" name="Flèche : pentagone 38">
          <a:hlinkClick xmlns:r="http://schemas.openxmlformats.org/officeDocument/2006/relationships" r:id="rId2"/>
          <a:extLst>
            <a:ext uri="{FF2B5EF4-FFF2-40B4-BE49-F238E27FC236}">
              <a16:creationId xmlns:a16="http://schemas.microsoft.com/office/drawing/2014/main" id="{00000000-0008-0000-1A00-000027000000}"/>
            </a:ext>
          </a:extLst>
        </xdr:cNvPr>
        <xdr:cNvSpPr/>
      </xdr:nvSpPr>
      <xdr:spPr>
        <a:xfrm>
          <a:off x="1524004" y="115362"/>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3</xdr:col>
      <xdr:colOff>913862</xdr:colOff>
      <xdr:row>0</xdr:row>
      <xdr:rowOff>384395</xdr:rowOff>
    </xdr:from>
    <xdr:to>
      <xdr:col>5</xdr:col>
      <xdr:colOff>21167</xdr:colOff>
      <xdr:row>0</xdr:row>
      <xdr:rowOff>688348</xdr:rowOff>
    </xdr:to>
    <xdr:sp macro="" textlink="">
      <xdr:nvSpPr>
        <xdr:cNvPr id="40" name="ZoneTexte 39">
          <a:hlinkClick xmlns:r="http://schemas.openxmlformats.org/officeDocument/2006/relationships" r:id="rId7"/>
          <a:extLst>
            <a:ext uri="{FF2B5EF4-FFF2-40B4-BE49-F238E27FC236}">
              <a16:creationId xmlns:a16="http://schemas.microsoft.com/office/drawing/2014/main" id="{00000000-0008-0000-1A00-000028000000}"/>
            </a:ext>
          </a:extLst>
        </xdr:cNvPr>
        <xdr:cNvSpPr txBox="1"/>
      </xdr:nvSpPr>
      <xdr:spPr>
        <a:xfrm>
          <a:off x="8008929" y="389475"/>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0</xdr:col>
      <xdr:colOff>727078</xdr:colOff>
      <xdr:row>0</xdr:row>
      <xdr:rowOff>94615</xdr:rowOff>
    </xdr:from>
    <xdr:to>
      <xdr:col>0</xdr:col>
      <xdr:colOff>1657989</xdr:colOff>
      <xdr:row>0</xdr:row>
      <xdr:rowOff>399121</xdr:rowOff>
    </xdr:to>
    <xdr:sp macro="" textlink="">
      <xdr:nvSpPr>
        <xdr:cNvPr id="41" name="Flèche : pentagone 40">
          <a:extLst>
            <a:ext uri="{FF2B5EF4-FFF2-40B4-BE49-F238E27FC236}">
              <a16:creationId xmlns:a16="http://schemas.microsoft.com/office/drawing/2014/main" id="{00000000-0008-0000-1A00-000029000000}"/>
            </a:ext>
          </a:extLst>
        </xdr:cNvPr>
        <xdr:cNvSpPr/>
      </xdr:nvSpPr>
      <xdr:spPr>
        <a:xfrm>
          <a:off x="727078" y="101600"/>
          <a:ext cx="923926" cy="30323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10</xdr:col>
      <xdr:colOff>96832</xdr:colOff>
      <xdr:row>0</xdr:row>
      <xdr:rowOff>381009</xdr:rowOff>
    </xdr:from>
    <xdr:to>
      <xdr:col>11</xdr:col>
      <xdr:colOff>150707</xdr:colOff>
      <xdr:row>0</xdr:row>
      <xdr:rowOff>687917</xdr:rowOff>
    </xdr:to>
    <xdr:sp macro="" textlink="">
      <xdr:nvSpPr>
        <xdr:cNvPr id="42" name="ZoneTexte 41">
          <a:hlinkClick xmlns:r="http://schemas.openxmlformats.org/officeDocument/2006/relationships" r:id="rId16"/>
          <a:extLst>
            <a:ext uri="{FF2B5EF4-FFF2-40B4-BE49-F238E27FC236}">
              <a16:creationId xmlns:a16="http://schemas.microsoft.com/office/drawing/2014/main" id="{00000000-0008-0000-1A00-00002A000000}"/>
            </a:ext>
          </a:extLst>
        </xdr:cNvPr>
        <xdr:cNvSpPr txBox="1"/>
      </xdr:nvSpPr>
      <xdr:spPr>
        <a:xfrm>
          <a:off x="13054430" y="381009"/>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0</xdr:col>
      <xdr:colOff>0</xdr:colOff>
      <xdr:row>12</xdr:row>
      <xdr:rowOff>98214</xdr:rowOff>
    </xdr:from>
    <xdr:to>
      <xdr:col>2</xdr:col>
      <xdr:colOff>568219</xdr:colOff>
      <xdr:row>26</xdr:row>
      <xdr:rowOff>93134</xdr:rowOff>
    </xdr:to>
    <xdr:graphicFrame macro="">
      <xdr:nvGraphicFramePr>
        <xdr:cNvPr id="5" name="Graphique 4">
          <a:extLst>
            <a:ext uri="{FF2B5EF4-FFF2-40B4-BE49-F238E27FC236}">
              <a16:creationId xmlns:a16="http://schemas.microsoft.com/office/drawing/2014/main" id="{00000000-0008-0000-1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fPrintsWithSheet="0"/>
  </xdr:twoCellAnchor>
  <xdr:twoCellAnchor editAs="absolute">
    <xdr:from>
      <xdr:col>3</xdr:col>
      <xdr:colOff>212091</xdr:colOff>
      <xdr:row>12</xdr:row>
      <xdr:rowOff>171662</xdr:rowOff>
    </xdr:from>
    <xdr:to>
      <xdr:col>10</xdr:col>
      <xdr:colOff>668867</xdr:colOff>
      <xdr:row>26</xdr:row>
      <xdr:rowOff>93133</xdr:rowOff>
    </xdr:to>
    <xdr:graphicFrame macro="">
      <xdr:nvGraphicFramePr>
        <xdr:cNvPr id="6" name="Graphique 5">
          <a:extLst>
            <a:ext uri="{FF2B5EF4-FFF2-40B4-BE49-F238E27FC236}">
              <a16:creationId xmlns:a16="http://schemas.microsoft.com/office/drawing/2014/main" id="{00000000-0008-0000-1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twoCellAnchor>
</xdr:wsDr>
</file>

<file path=xl/drawings/drawing23.xml><?xml version="1.0" encoding="utf-8"?>
<c:userShapes xmlns:c="http://schemas.openxmlformats.org/drawingml/2006/chart">
  <cdr:relSizeAnchor xmlns:cdr="http://schemas.openxmlformats.org/drawingml/2006/chartDrawing">
    <cdr:from>
      <cdr:x>0.34759</cdr:x>
      <cdr:y>0.09124</cdr:y>
    </cdr:from>
    <cdr:to>
      <cdr:x>0.55604</cdr:x>
      <cdr:y>0.24801</cdr:y>
    </cdr:to>
    <cdr:sp macro="" textlink="">
      <cdr:nvSpPr>
        <cdr:cNvPr id="2" name="ZoneTexte 1">
          <a:extLst xmlns:a="http://schemas.openxmlformats.org/drawingml/2006/main">
            <a:ext uri="{FF2B5EF4-FFF2-40B4-BE49-F238E27FC236}">
              <a16:creationId xmlns:a16="http://schemas.microsoft.com/office/drawing/2014/main" id="{B9FAA254-D676-97A0-982D-FD5061C9F643}"/>
            </a:ext>
          </a:extLst>
        </cdr:cNvPr>
        <cdr:cNvSpPr txBox="1"/>
      </cdr:nvSpPr>
      <cdr:spPr>
        <a:xfrm xmlns:a="http://schemas.openxmlformats.org/drawingml/2006/main">
          <a:off x="2248729" y="272228"/>
          <a:ext cx="1348564" cy="467757"/>
        </a:xfrm>
        <a:prstGeom xmlns:a="http://schemas.openxmlformats.org/drawingml/2006/main" prst="rect">
          <a:avLst/>
        </a:prstGeom>
        <a:solidFill xmlns:a="http://schemas.openxmlformats.org/drawingml/2006/main">
          <a:schemeClr val="lt1">
            <a:alpha val="60000"/>
          </a:schemeClr>
        </a:solidFill>
        <a:ln xmlns:a="http://schemas.openxmlformats.org/drawingml/2006/main" w="19050">
          <a:solidFill>
            <a:schemeClr val="accent5">
              <a:lumMod val="50000"/>
            </a:schemeClr>
          </a:solidFill>
        </a:ln>
      </cdr:spPr>
      <cdr:txBody>
        <a:bodyPr xmlns:a="http://schemas.openxmlformats.org/drawingml/2006/main" vertOverflow="clip" wrap="square" rtlCol="0"/>
        <a:lstStyle xmlns:a="http://schemas.openxmlformats.org/drawingml/2006/main"/>
        <a:p xmlns:a="http://schemas.openxmlformats.org/drawingml/2006/main">
          <a:pPr algn="ctr"/>
          <a:r>
            <a:rPr lang="fr-BE" sz="1100">
              <a:solidFill>
                <a:schemeClr val="accent5">
                  <a:lumMod val="50000"/>
                </a:schemeClr>
              </a:solidFill>
            </a:rPr>
            <a:t>Evolution par rapport à 2006</a:t>
          </a:r>
        </a:p>
      </cdr:txBody>
    </cdr:sp>
  </cdr:relSizeAnchor>
</c:userShapes>
</file>

<file path=xl/drawings/drawing24.xml><?xml version="1.0" encoding="utf-8"?>
<c:userShapes xmlns:c="http://schemas.openxmlformats.org/drawingml/2006/chart">
  <cdr:relSizeAnchor xmlns:cdr="http://schemas.openxmlformats.org/drawingml/2006/chartDrawing">
    <cdr:from>
      <cdr:x>0.38696</cdr:x>
      <cdr:y>0.12601</cdr:y>
    </cdr:from>
    <cdr:to>
      <cdr:x>0.5561</cdr:x>
      <cdr:y>0.27869</cdr:y>
    </cdr:to>
    <cdr:sp macro="" textlink="">
      <cdr:nvSpPr>
        <cdr:cNvPr id="2" name="ZoneTexte 1">
          <a:extLst xmlns:a="http://schemas.openxmlformats.org/drawingml/2006/main">
            <a:ext uri="{FF2B5EF4-FFF2-40B4-BE49-F238E27FC236}">
              <a16:creationId xmlns:a16="http://schemas.microsoft.com/office/drawing/2014/main" id="{54DC83D0-A8AC-5480-9988-92E221B76B60}"/>
            </a:ext>
          </a:extLst>
        </cdr:cNvPr>
        <cdr:cNvSpPr txBox="1"/>
      </cdr:nvSpPr>
      <cdr:spPr>
        <a:xfrm xmlns:a="http://schemas.openxmlformats.org/drawingml/2006/main">
          <a:off x="2736988" y="377169"/>
          <a:ext cx="1196336" cy="457009"/>
        </a:xfrm>
        <a:prstGeom xmlns:a="http://schemas.openxmlformats.org/drawingml/2006/main" prst="rect">
          <a:avLst/>
        </a:prstGeom>
        <a:solidFill xmlns:a="http://schemas.openxmlformats.org/drawingml/2006/main">
          <a:schemeClr val="lt1">
            <a:alpha val="60000"/>
          </a:schemeClr>
        </a:solidFill>
        <a:ln xmlns:a="http://schemas.openxmlformats.org/drawingml/2006/main" w="19050">
          <a:solidFill>
            <a:schemeClr val="accent5">
              <a:lumMod val="50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a:solidFill>
                <a:schemeClr val="accent5">
                  <a:lumMod val="50000"/>
                </a:schemeClr>
              </a:solidFill>
            </a:rPr>
            <a:t>Evolution par rapport à 2006</a:t>
          </a:r>
        </a:p>
      </cdr:txBody>
    </cdr:sp>
  </cdr:relSizeAnchor>
</c:userShapes>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350520</xdr:colOff>
          <xdr:row>21</xdr:row>
          <xdr:rowOff>152400</xdr:rowOff>
        </xdr:from>
        <xdr:to>
          <xdr:col>1</xdr:col>
          <xdr:colOff>632460</xdr:colOff>
          <xdr:row>21</xdr:row>
          <xdr:rowOff>381000</xdr:rowOff>
        </xdr:to>
        <xdr:sp macro="" textlink="">
          <xdr:nvSpPr>
            <xdr:cNvPr id="51326977" name="Check Box 1" hidden="1">
              <a:extLst>
                <a:ext uri="{63B3BB69-23CF-44E3-9099-C40C66FF867C}">
                  <a14:compatExt spid="_x0000_s51326977"/>
                </a:ext>
                <a:ext uri="{FF2B5EF4-FFF2-40B4-BE49-F238E27FC236}">
                  <a16:creationId xmlns:a16="http://schemas.microsoft.com/office/drawing/2014/main" id="{00000000-0008-0000-1E00-000001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21</xdr:row>
          <xdr:rowOff>480060</xdr:rowOff>
        </xdr:from>
        <xdr:to>
          <xdr:col>1</xdr:col>
          <xdr:colOff>632460</xdr:colOff>
          <xdr:row>21</xdr:row>
          <xdr:rowOff>708660</xdr:rowOff>
        </xdr:to>
        <xdr:sp macro="" textlink="">
          <xdr:nvSpPr>
            <xdr:cNvPr id="51326978" name="Check Box 2" hidden="1">
              <a:extLst>
                <a:ext uri="{63B3BB69-23CF-44E3-9099-C40C66FF867C}">
                  <a14:compatExt spid="_x0000_s51326978"/>
                </a:ext>
                <a:ext uri="{FF2B5EF4-FFF2-40B4-BE49-F238E27FC236}">
                  <a16:creationId xmlns:a16="http://schemas.microsoft.com/office/drawing/2014/main" id="{00000000-0008-0000-1E00-000002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21</xdr:row>
          <xdr:rowOff>830580</xdr:rowOff>
        </xdr:from>
        <xdr:to>
          <xdr:col>1</xdr:col>
          <xdr:colOff>617220</xdr:colOff>
          <xdr:row>21</xdr:row>
          <xdr:rowOff>1059180</xdr:rowOff>
        </xdr:to>
        <xdr:sp macro="" textlink="">
          <xdr:nvSpPr>
            <xdr:cNvPr id="51326979" name="Check Box 3" hidden="1">
              <a:extLst>
                <a:ext uri="{63B3BB69-23CF-44E3-9099-C40C66FF867C}">
                  <a14:compatExt spid="_x0000_s51326979"/>
                </a:ext>
                <a:ext uri="{FF2B5EF4-FFF2-40B4-BE49-F238E27FC236}">
                  <a16:creationId xmlns:a16="http://schemas.microsoft.com/office/drawing/2014/main" id="{00000000-0008-0000-1E00-000003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152400</xdr:rowOff>
        </xdr:from>
        <xdr:to>
          <xdr:col>2</xdr:col>
          <xdr:colOff>274320</xdr:colOff>
          <xdr:row>21</xdr:row>
          <xdr:rowOff>381000</xdr:rowOff>
        </xdr:to>
        <xdr:sp macro="" textlink="">
          <xdr:nvSpPr>
            <xdr:cNvPr id="51326980" name="Check Box 4" hidden="1">
              <a:extLst>
                <a:ext uri="{63B3BB69-23CF-44E3-9099-C40C66FF867C}">
                  <a14:compatExt spid="_x0000_s51326980"/>
                </a:ext>
                <a:ext uri="{FF2B5EF4-FFF2-40B4-BE49-F238E27FC236}">
                  <a16:creationId xmlns:a16="http://schemas.microsoft.com/office/drawing/2014/main" id="{00000000-0008-0000-1E00-000004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480060</xdr:rowOff>
        </xdr:from>
        <xdr:to>
          <xdr:col>2</xdr:col>
          <xdr:colOff>274320</xdr:colOff>
          <xdr:row>21</xdr:row>
          <xdr:rowOff>708660</xdr:rowOff>
        </xdr:to>
        <xdr:sp macro="" textlink="">
          <xdr:nvSpPr>
            <xdr:cNvPr id="51326981" name="Check Box 5" hidden="1">
              <a:extLst>
                <a:ext uri="{63B3BB69-23CF-44E3-9099-C40C66FF867C}">
                  <a14:compatExt spid="_x0000_s51326981"/>
                </a:ext>
                <a:ext uri="{FF2B5EF4-FFF2-40B4-BE49-F238E27FC236}">
                  <a16:creationId xmlns:a16="http://schemas.microsoft.com/office/drawing/2014/main" id="{00000000-0008-0000-1E00-000005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830580</xdr:rowOff>
        </xdr:from>
        <xdr:to>
          <xdr:col>2</xdr:col>
          <xdr:colOff>274320</xdr:colOff>
          <xdr:row>21</xdr:row>
          <xdr:rowOff>1059180</xdr:rowOff>
        </xdr:to>
        <xdr:sp macro="" textlink="">
          <xdr:nvSpPr>
            <xdr:cNvPr id="51326982" name="Check Box 6" hidden="1">
              <a:extLst>
                <a:ext uri="{63B3BB69-23CF-44E3-9099-C40C66FF867C}">
                  <a14:compatExt spid="_x0000_s51326982"/>
                </a:ext>
                <a:ext uri="{FF2B5EF4-FFF2-40B4-BE49-F238E27FC236}">
                  <a16:creationId xmlns:a16="http://schemas.microsoft.com/office/drawing/2014/main" id="{00000000-0008-0000-1E00-000006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21</xdr:row>
          <xdr:rowOff>152400</xdr:rowOff>
        </xdr:from>
        <xdr:to>
          <xdr:col>3</xdr:col>
          <xdr:colOff>22860</xdr:colOff>
          <xdr:row>21</xdr:row>
          <xdr:rowOff>381000</xdr:rowOff>
        </xdr:to>
        <xdr:sp macro="" textlink="">
          <xdr:nvSpPr>
            <xdr:cNvPr id="51326983" name="Check Box 7" hidden="1">
              <a:extLst>
                <a:ext uri="{63B3BB69-23CF-44E3-9099-C40C66FF867C}">
                  <a14:compatExt spid="_x0000_s51326983"/>
                </a:ext>
                <a:ext uri="{FF2B5EF4-FFF2-40B4-BE49-F238E27FC236}">
                  <a16:creationId xmlns:a16="http://schemas.microsoft.com/office/drawing/2014/main" id="{00000000-0008-0000-1E00-000007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1988820</xdr:colOff>
          <xdr:row>21</xdr:row>
          <xdr:rowOff>480060</xdr:rowOff>
        </xdr:from>
        <xdr:to>
          <xdr:col>3</xdr:col>
          <xdr:colOff>22860</xdr:colOff>
          <xdr:row>21</xdr:row>
          <xdr:rowOff>708660</xdr:rowOff>
        </xdr:to>
        <xdr:sp macro="" textlink="">
          <xdr:nvSpPr>
            <xdr:cNvPr id="51326984" name="Check Box 8" hidden="1">
              <a:extLst>
                <a:ext uri="{63B3BB69-23CF-44E3-9099-C40C66FF867C}">
                  <a14:compatExt spid="_x0000_s51326984"/>
                </a:ext>
                <a:ext uri="{FF2B5EF4-FFF2-40B4-BE49-F238E27FC236}">
                  <a16:creationId xmlns:a16="http://schemas.microsoft.com/office/drawing/2014/main" id="{00000000-0008-0000-1E00-000008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21</xdr:row>
          <xdr:rowOff>830580</xdr:rowOff>
        </xdr:from>
        <xdr:to>
          <xdr:col>3</xdr:col>
          <xdr:colOff>30480</xdr:colOff>
          <xdr:row>21</xdr:row>
          <xdr:rowOff>1059180</xdr:rowOff>
        </xdr:to>
        <xdr:sp macro="" textlink="">
          <xdr:nvSpPr>
            <xdr:cNvPr id="51326985" name="Check Box 9" hidden="1">
              <a:extLst>
                <a:ext uri="{63B3BB69-23CF-44E3-9099-C40C66FF867C}">
                  <a14:compatExt spid="_x0000_s51326985"/>
                </a:ext>
                <a:ext uri="{FF2B5EF4-FFF2-40B4-BE49-F238E27FC236}">
                  <a16:creationId xmlns:a16="http://schemas.microsoft.com/office/drawing/2014/main" id="{00000000-0008-0000-1E00-000009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1737360</xdr:colOff>
          <xdr:row>21</xdr:row>
          <xdr:rowOff>152400</xdr:rowOff>
        </xdr:from>
        <xdr:to>
          <xdr:col>3</xdr:col>
          <xdr:colOff>2011680</xdr:colOff>
          <xdr:row>21</xdr:row>
          <xdr:rowOff>381000</xdr:rowOff>
        </xdr:to>
        <xdr:sp macro="" textlink="">
          <xdr:nvSpPr>
            <xdr:cNvPr id="51326986" name="Check Box 10" hidden="1">
              <a:extLst>
                <a:ext uri="{63B3BB69-23CF-44E3-9099-C40C66FF867C}">
                  <a14:compatExt spid="_x0000_s51326986"/>
                </a:ext>
                <a:ext uri="{FF2B5EF4-FFF2-40B4-BE49-F238E27FC236}">
                  <a16:creationId xmlns:a16="http://schemas.microsoft.com/office/drawing/2014/main" id="{00000000-0008-0000-1E00-00000A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1737360</xdr:colOff>
          <xdr:row>21</xdr:row>
          <xdr:rowOff>480060</xdr:rowOff>
        </xdr:from>
        <xdr:to>
          <xdr:col>3</xdr:col>
          <xdr:colOff>2011680</xdr:colOff>
          <xdr:row>21</xdr:row>
          <xdr:rowOff>708660</xdr:rowOff>
        </xdr:to>
        <xdr:sp macro="" textlink="">
          <xdr:nvSpPr>
            <xdr:cNvPr id="51326987" name="Check Box 11" hidden="1">
              <a:extLst>
                <a:ext uri="{63B3BB69-23CF-44E3-9099-C40C66FF867C}">
                  <a14:compatExt spid="_x0000_s51326987"/>
                </a:ext>
                <a:ext uri="{FF2B5EF4-FFF2-40B4-BE49-F238E27FC236}">
                  <a16:creationId xmlns:a16="http://schemas.microsoft.com/office/drawing/2014/main" id="{00000000-0008-0000-1E00-00000B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1744980</xdr:colOff>
          <xdr:row>21</xdr:row>
          <xdr:rowOff>830580</xdr:rowOff>
        </xdr:from>
        <xdr:to>
          <xdr:col>3</xdr:col>
          <xdr:colOff>2011680</xdr:colOff>
          <xdr:row>21</xdr:row>
          <xdr:rowOff>1059180</xdr:rowOff>
        </xdr:to>
        <xdr:sp macro="" textlink="">
          <xdr:nvSpPr>
            <xdr:cNvPr id="51326988" name="Check Box 12" hidden="1">
              <a:extLst>
                <a:ext uri="{63B3BB69-23CF-44E3-9099-C40C66FF867C}">
                  <a14:compatExt spid="_x0000_s51326988"/>
                </a:ext>
                <a:ext uri="{FF2B5EF4-FFF2-40B4-BE49-F238E27FC236}">
                  <a16:creationId xmlns:a16="http://schemas.microsoft.com/office/drawing/2014/main" id="{00000000-0008-0000-1E00-00000C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1668780</xdr:colOff>
          <xdr:row>21</xdr:row>
          <xdr:rowOff>152400</xdr:rowOff>
        </xdr:from>
        <xdr:to>
          <xdr:col>4</xdr:col>
          <xdr:colOff>1950720</xdr:colOff>
          <xdr:row>21</xdr:row>
          <xdr:rowOff>381000</xdr:rowOff>
        </xdr:to>
        <xdr:sp macro="" textlink="">
          <xdr:nvSpPr>
            <xdr:cNvPr id="51326989" name="Check Box 13" hidden="1">
              <a:extLst>
                <a:ext uri="{63B3BB69-23CF-44E3-9099-C40C66FF867C}">
                  <a14:compatExt spid="_x0000_s51326989"/>
                </a:ext>
                <a:ext uri="{FF2B5EF4-FFF2-40B4-BE49-F238E27FC236}">
                  <a16:creationId xmlns:a16="http://schemas.microsoft.com/office/drawing/2014/main" id="{00000000-0008-0000-1E00-00000D3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550334</xdr:colOff>
      <xdr:row>21</xdr:row>
      <xdr:rowOff>135466</xdr:rowOff>
    </xdr:from>
    <xdr:to>
      <xdr:col>1</xdr:col>
      <xdr:colOff>1812714</xdr:colOff>
      <xdr:row>21</xdr:row>
      <xdr:rowOff>402590</xdr:rowOff>
    </xdr:to>
    <xdr:sp macro="" textlink="">
      <xdr:nvSpPr>
        <xdr:cNvPr id="2" name="ZoneTexte 1">
          <a:extLst>
            <a:ext uri="{FF2B5EF4-FFF2-40B4-BE49-F238E27FC236}">
              <a16:creationId xmlns:a16="http://schemas.microsoft.com/office/drawing/2014/main" id="{00000000-0008-0000-1D00-000002000000}"/>
            </a:ext>
          </a:extLst>
        </xdr:cNvPr>
        <xdr:cNvSpPr txBox="1"/>
      </xdr:nvSpPr>
      <xdr:spPr>
        <a:xfrm>
          <a:off x="3697394" y="5385646"/>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Femmes et filles</a:t>
          </a:r>
        </a:p>
      </xdr:txBody>
    </xdr:sp>
    <xdr:clientData/>
  </xdr:twoCellAnchor>
  <xdr:twoCellAnchor editAs="oneCell">
    <xdr:from>
      <xdr:col>1</xdr:col>
      <xdr:colOff>541868</xdr:colOff>
      <xdr:row>21</xdr:row>
      <xdr:rowOff>457199</xdr:rowOff>
    </xdr:from>
    <xdr:to>
      <xdr:col>1</xdr:col>
      <xdr:colOff>1808058</xdr:colOff>
      <xdr:row>21</xdr:row>
      <xdr:rowOff>739563</xdr:rowOff>
    </xdr:to>
    <xdr:sp macro="" textlink="">
      <xdr:nvSpPr>
        <xdr:cNvPr id="3" name="ZoneTexte 2">
          <a:extLst>
            <a:ext uri="{FF2B5EF4-FFF2-40B4-BE49-F238E27FC236}">
              <a16:creationId xmlns:a16="http://schemas.microsoft.com/office/drawing/2014/main" id="{00000000-0008-0000-1D00-000003000000}"/>
            </a:ext>
          </a:extLst>
        </xdr:cNvPr>
        <xdr:cNvSpPr txBox="1"/>
      </xdr:nvSpPr>
      <xdr:spPr>
        <a:xfrm>
          <a:off x="3688928" y="57073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Enfants</a:t>
          </a:r>
        </a:p>
      </xdr:txBody>
    </xdr:sp>
    <xdr:clientData/>
  </xdr:twoCellAnchor>
  <xdr:twoCellAnchor editAs="oneCell">
    <xdr:from>
      <xdr:col>1</xdr:col>
      <xdr:colOff>550334</xdr:colOff>
      <xdr:row>21</xdr:row>
      <xdr:rowOff>812799</xdr:rowOff>
    </xdr:from>
    <xdr:to>
      <xdr:col>1</xdr:col>
      <xdr:colOff>1812714</xdr:colOff>
      <xdr:row>21</xdr:row>
      <xdr:rowOff>1087543</xdr:rowOff>
    </xdr:to>
    <xdr:sp macro="" textlink="">
      <xdr:nvSpPr>
        <xdr:cNvPr id="4" name="ZoneTexte 3">
          <a:extLst>
            <a:ext uri="{FF2B5EF4-FFF2-40B4-BE49-F238E27FC236}">
              <a16:creationId xmlns:a16="http://schemas.microsoft.com/office/drawing/2014/main" id="{00000000-0008-0000-1D00-000004000000}"/>
            </a:ext>
          </a:extLst>
        </xdr:cNvPr>
        <xdr:cNvSpPr txBox="1"/>
      </xdr:nvSpPr>
      <xdr:spPr>
        <a:xfrm>
          <a:off x="3697394" y="60629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Jeunes</a:t>
          </a:r>
        </a:p>
      </xdr:txBody>
    </xdr:sp>
    <xdr:clientData/>
  </xdr:twoCellAnchor>
  <xdr:twoCellAnchor editAs="oneCell">
    <xdr:from>
      <xdr:col>2</xdr:col>
      <xdr:colOff>152399</xdr:colOff>
      <xdr:row>21</xdr:row>
      <xdr:rowOff>126999</xdr:rowOff>
    </xdr:from>
    <xdr:to>
      <xdr:col>2</xdr:col>
      <xdr:colOff>1426209</xdr:colOff>
      <xdr:row>21</xdr:row>
      <xdr:rowOff>401743</xdr:rowOff>
    </xdr:to>
    <xdr:sp macro="" textlink="">
      <xdr:nvSpPr>
        <xdr:cNvPr id="5" name="ZoneTexte 4">
          <a:extLst>
            <a:ext uri="{FF2B5EF4-FFF2-40B4-BE49-F238E27FC236}">
              <a16:creationId xmlns:a16="http://schemas.microsoft.com/office/drawing/2014/main" id="{00000000-0008-0000-1D00-000005000000}"/>
            </a:ext>
          </a:extLst>
        </xdr:cNvPr>
        <xdr:cNvSpPr txBox="1"/>
      </xdr:nvSpPr>
      <xdr:spPr>
        <a:xfrm>
          <a:off x="5654039" y="53771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âgées</a:t>
          </a:r>
        </a:p>
      </xdr:txBody>
    </xdr:sp>
    <xdr:clientData/>
  </xdr:twoCellAnchor>
  <xdr:twoCellAnchor editAs="oneCell">
    <xdr:from>
      <xdr:col>2</xdr:col>
      <xdr:colOff>152398</xdr:colOff>
      <xdr:row>21</xdr:row>
      <xdr:rowOff>465664</xdr:rowOff>
    </xdr:from>
    <xdr:to>
      <xdr:col>2</xdr:col>
      <xdr:colOff>1697144</xdr:colOff>
      <xdr:row>21</xdr:row>
      <xdr:rowOff>740408</xdr:rowOff>
    </xdr:to>
    <xdr:sp macro="" textlink="">
      <xdr:nvSpPr>
        <xdr:cNvPr id="6" name="ZoneTexte 5">
          <a:extLst>
            <a:ext uri="{FF2B5EF4-FFF2-40B4-BE49-F238E27FC236}">
              <a16:creationId xmlns:a16="http://schemas.microsoft.com/office/drawing/2014/main" id="{00000000-0008-0000-1D00-000006000000}"/>
            </a:ext>
          </a:extLst>
        </xdr:cNvPr>
        <xdr:cNvSpPr txBox="1"/>
      </xdr:nvSpPr>
      <xdr:spPr>
        <a:xfrm>
          <a:off x="5654038" y="5715844"/>
          <a:ext cx="1540936"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Groupes marginalisés</a:t>
          </a:r>
        </a:p>
      </xdr:txBody>
    </xdr:sp>
    <xdr:clientData/>
  </xdr:twoCellAnchor>
  <xdr:twoCellAnchor editAs="oneCell">
    <xdr:from>
      <xdr:col>2</xdr:col>
      <xdr:colOff>143934</xdr:colOff>
      <xdr:row>21</xdr:row>
      <xdr:rowOff>821267</xdr:rowOff>
    </xdr:from>
    <xdr:to>
      <xdr:col>2</xdr:col>
      <xdr:colOff>1850390</xdr:colOff>
      <xdr:row>21</xdr:row>
      <xdr:rowOff>1088391</xdr:rowOff>
    </xdr:to>
    <xdr:sp macro="" textlink="">
      <xdr:nvSpPr>
        <xdr:cNvPr id="7" name="ZoneTexte 6">
          <a:extLst>
            <a:ext uri="{FF2B5EF4-FFF2-40B4-BE49-F238E27FC236}">
              <a16:creationId xmlns:a16="http://schemas.microsoft.com/office/drawing/2014/main" id="{00000000-0008-0000-1D00-000007000000}"/>
            </a:ext>
          </a:extLst>
        </xdr:cNvPr>
        <xdr:cNvSpPr txBox="1"/>
      </xdr:nvSpPr>
      <xdr:spPr>
        <a:xfrm>
          <a:off x="5645574" y="6071447"/>
          <a:ext cx="1710266"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handicapées</a:t>
          </a:r>
        </a:p>
      </xdr:txBody>
    </xdr:sp>
    <xdr:clientData/>
  </xdr:twoCellAnchor>
  <xdr:twoCellAnchor editAs="oneCell">
    <xdr:from>
      <xdr:col>2</xdr:col>
      <xdr:colOff>2175935</xdr:colOff>
      <xdr:row>21</xdr:row>
      <xdr:rowOff>42334</xdr:rowOff>
    </xdr:from>
    <xdr:to>
      <xdr:col>3</xdr:col>
      <xdr:colOff>1578610</xdr:colOff>
      <xdr:row>21</xdr:row>
      <xdr:rowOff>593514</xdr:rowOff>
    </xdr:to>
    <xdr:sp macro="" textlink="">
      <xdr:nvSpPr>
        <xdr:cNvPr id="8" name="ZoneTexte 7">
          <a:extLst>
            <a:ext uri="{FF2B5EF4-FFF2-40B4-BE49-F238E27FC236}">
              <a16:creationId xmlns:a16="http://schemas.microsoft.com/office/drawing/2014/main" id="{00000000-0008-0000-1D00-000008000000}"/>
            </a:ext>
          </a:extLst>
        </xdr:cNvPr>
        <xdr:cNvSpPr txBox="1"/>
      </xdr:nvSpPr>
      <xdr:spPr>
        <a:xfrm>
          <a:off x="7677575" y="5292514"/>
          <a:ext cx="1639145" cy="55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atteintes de maladies</a:t>
          </a:r>
          <a:r>
            <a:rPr lang="fr-BE" sz="1200" baseline="0">
              <a:solidFill>
                <a:srgbClr val="215967"/>
              </a:solidFill>
            </a:rPr>
            <a:t> chroniques</a:t>
          </a:r>
          <a:endParaRPr lang="fr-BE" sz="1200">
            <a:solidFill>
              <a:srgbClr val="215967"/>
            </a:solidFill>
          </a:endParaRPr>
        </a:p>
      </xdr:txBody>
    </xdr:sp>
    <xdr:clientData/>
  </xdr:twoCellAnchor>
  <xdr:twoCellAnchor editAs="oneCell">
    <xdr:from>
      <xdr:col>2</xdr:col>
      <xdr:colOff>2159004</xdr:colOff>
      <xdr:row>21</xdr:row>
      <xdr:rowOff>474134</xdr:rowOff>
    </xdr:from>
    <xdr:to>
      <xdr:col>3</xdr:col>
      <xdr:colOff>1774190</xdr:colOff>
      <xdr:row>21</xdr:row>
      <xdr:rowOff>892810</xdr:rowOff>
    </xdr:to>
    <xdr:sp macro="" textlink="">
      <xdr:nvSpPr>
        <xdr:cNvPr id="9" name="ZoneTexte 8">
          <a:extLst>
            <a:ext uri="{FF2B5EF4-FFF2-40B4-BE49-F238E27FC236}">
              <a16:creationId xmlns:a16="http://schemas.microsoft.com/office/drawing/2014/main" id="{00000000-0008-0000-1D00-000009000000}"/>
            </a:ext>
          </a:extLst>
        </xdr:cNvPr>
        <xdr:cNvSpPr txBox="1"/>
      </xdr:nvSpPr>
      <xdr:spPr>
        <a:xfrm>
          <a:off x="7660644" y="5724314"/>
          <a:ext cx="1859276" cy="414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Ménages à faibles revenus</a:t>
          </a:r>
        </a:p>
      </xdr:txBody>
    </xdr:sp>
    <xdr:clientData/>
  </xdr:twoCellAnchor>
  <xdr:twoCellAnchor editAs="oneCell">
    <xdr:from>
      <xdr:col>2</xdr:col>
      <xdr:colOff>2209801</xdr:colOff>
      <xdr:row>21</xdr:row>
      <xdr:rowOff>804334</xdr:rowOff>
    </xdr:from>
    <xdr:to>
      <xdr:col>3</xdr:col>
      <xdr:colOff>1676400</xdr:colOff>
      <xdr:row>21</xdr:row>
      <xdr:rowOff>1082888</xdr:rowOff>
    </xdr:to>
    <xdr:sp macro="" textlink="">
      <xdr:nvSpPr>
        <xdr:cNvPr id="10" name="ZoneTexte 9">
          <a:extLst>
            <a:ext uri="{FF2B5EF4-FFF2-40B4-BE49-F238E27FC236}">
              <a16:creationId xmlns:a16="http://schemas.microsoft.com/office/drawing/2014/main" id="{00000000-0008-0000-1D00-00000A000000}"/>
            </a:ext>
          </a:extLst>
        </xdr:cNvPr>
        <xdr:cNvSpPr txBox="1"/>
      </xdr:nvSpPr>
      <xdr:spPr>
        <a:xfrm>
          <a:off x="7711441" y="6054514"/>
          <a:ext cx="1706879"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Chômeurs</a:t>
          </a:r>
        </a:p>
      </xdr:txBody>
    </xdr:sp>
    <xdr:clientData/>
  </xdr:twoCellAnchor>
  <xdr:twoCellAnchor editAs="oneCell">
    <xdr:from>
      <xdr:col>3</xdr:col>
      <xdr:colOff>1921935</xdr:colOff>
      <xdr:row>21</xdr:row>
      <xdr:rowOff>33866</xdr:rowOff>
    </xdr:from>
    <xdr:to>
      <xdr:col>4</xdr:col>
      <xdr:colOff>1383182</xdr:colOff>
      <xdr:row>21</xdr:row>
      <xdr:rowOff>625686</xdr:rowOff>
    </xdr:to>
    <xdr:sp macro="" textlink="">
      <xdr:nvSpPr>
        <xdr:cNvPr id="11" name="ZoneTexte 10">
          <a:extLst>
            <a:ext uri="{FF2B5EF4-FFF2-40B4-BE49-F238E27FC236}">
              <a16:creationId xmlns:a16="http://schemas.microsoft.com/office/drawing/2014/main" id="{00000000-0008-0000-1D00-00000B000000}"/>
            </a:ext>
          </a:extLst>
        </xdr:cNvPr>
        <xdr:cNvSpPr txBox="1"/>
      </xdr:nvSpPr>
      <xdr:spPr>
        <a:xfrm>
          <a:off x="9663855" y="5284046"/>
          <a:ext cx="1709419"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vivant dans des logements précaires</a:t>
          </a:r>
        </a:p>
      </xdr:txBody>
    </xdr:sp>
    <xdr:clientData/>
  </xdr:twoCellAnchor>
  <xdr:twoCellAnchor editAs="oneCell">
    <xdr:from>
      <xdr:col>3</xdr:col>
      <xdr:colOff>1938869</xdr:colOff>
      <xdr:row>21</xdr:row>
      <xdr:rowOff>465666</xdr:rowOff>
    </xdr:from>
    <xdr:to>
      <xdr:col>4</xdr:col>
      <xdr:colOff>2070674</xdr:colOff>
      <xdr:row>21</xdr:row>
      <xdr:rowOff>739563</xdr:rowOff>
    </xdr:to>
    <xdr:sp macro="" textlink="">
      <xdr:nvSpPr>
        <xdr:cNvPr id="12" name="ZoneTexte 11">
          <a:extLst>
            <a:ext uri="{FF2B5EF4-FFF2-40B4-BE49-F238E27FC236}">
              <a16:creationId xmlns:a16="http://schemas.microsoft.com/office/drawing/2014/main" id="{00000000-0008-0000-1D00-00000C000000}"/>
            </a:ext>
          </a:extLst>
        </xdr:cNvPr>
        <xdr:cNvSpPr txBox="1"/>
      </xdr:nvSpPr>
      <xdr:spPr>
        <a:xfrm>
          <a:off x="9680789" y="5715846"/>
          <a:ext cx="2395217" cy="262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Migrants</a:t>
          </a:r>
          <a:r>
            <a:rPr lang="fr-BE" sz="1200" baseline="0">
              <a:solidFill>
                <a:srgbClr val="215967"/>
              </a:solidFill>
            </a:rPr>
            <a:t> et personnes déplacées</a:t>
          </a:r>
          <a:endParaRPr lang="fr-BE" sz="1200">
            <a:solidFill>
              <a:srgbClr val="215967"/>
            </a:solidFill>
          </a:endParaRPr>
        </a:p>
      </xdr:txBody>
    </xdr:sp>
    <xdr:clientData/>
  </xdr:twoCellAnchor>
  <xdr:twoCellAnchor editAs="oneCell">
    <xdr:from>
      <xdr:col>3</xdr:col>
      <xdr:colOff>1955803</xdr:colOff>
      <xdr:row>21</xdr:row>
      <xdr:rowOff>804333</xdr:rowOff>
    </xdr:from>
    <xdr:to>
      <xdr:col>4</xdr:col>
      <xdr:colOff>2078083</xdr:colOff>
      <xdr:row>21</xdr:row>
      <xdr:rowOff>1066800</xdr:rowOff>
    </xdr:to>
    <xdr:sp macro="" textlink="">
      <xdr:nvSpPr>
        <xdr:cNvPr id="13" name="ZoneTexte 12">
          <a:extLst>
            <a:ext uri="{FF2B5EF4-FFF2-40B4-BE49-F238E27FC236}">
              <a16:creationId xmlns:a16="http://schemas.microsoft.com/office/drawing/2014/main" id="{00000000-0008-0000-1D00-00000D000000}"/>
            </a:ext>
          </a:extLst>
        </xdr:cNvPr>
        <xdr:cNvSpPr txBox="1"/>
      </xdr:nvSpPr>
      <xdr:spPr>
        <a:xfrm>
          <a:off x="9697723" y="6054513"/>
          <a:ext cx="2395217" cy="262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Autres</a:t>
          </a:r>
        </a:p>
      </xdr:txBody>
    </xdr:sp>
    <xdr:clientData/>
  </xdr:twoCellAnchor>
  <xdr:twoCellAnchor editAs="oneCell">
    <xdr:from>
      <xdr:col>4</xdr:col>
      <xdr:colOff>1862670</xdr:colOff>
      <xdr:row>21</xdr:row>
      <xdr:rowOff>118534</xdr:rowOff>
    </xdr:from>
    <xdr:to>
      <xdr:col>5</xdr:col>
      <xdr:colOff>304799</xdr:colOff>
      <xdr:row>21</xdr:row>
      <xdr:rowOff>360257</xdr:rowOff>
    </xdr:to>
    <xdr:sp macro="" textlink="">
      <xdr:nvSpPr>
        <xdr:cNvPr id="14" name="ZoneTexte 13">
          <a:extLst>
            <a:ext uri="{FF2B5EF4-FFF2-40B4-BE49-F238E27FC236}">
              <a16:creationId xmlns:a16="http://schemas.microsoft.com/office/drawing/2014/main" id="{00000000-0008-0000-1D00-00000E000000}"/>
            </a:ext>
          </a:extLst>
        </xdr:cNvPr>
        <xdr:cNvSpPr txBox="1"/>
      </xdr:nvSpPr>
      <xdr:spPr>
        <a:xfrm>
          <a:off x="11669610" y="5368714"/>
          <a:ext cx="1147230" cy="245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Tous</a:t>
          </a:r>
        </a:p>
      </xdr:txBody>
    </xdr:sp>
    <xdr:clientData/>
  </xdr:twoCellAnchor>
  <xdr:twoCellAnchor>
    <xdr:from>
      <xdr:col>0</xdr:col>
      <xdr:colOff>2775854</xdr:colOff>
      <xdr:row>75</xdr:row>
      <xdr:rowOff>631371</xdr:rowOff>
    </xdr:from>
    <xdr:to>
      <xdr:col>0</xdr:col>
      <xdr:colOff>2852057</xdr:colOff>
      <xdr:row>85</xdr:row>
      <xdr:rowOff>185056</xdr:rowOff>
    </xdr:to>
    <xdr:sp macro="" textlink="">
      <xdr:nvSpPr>
        <xdr:cNvPr id="15" name="Parenthèse ouvrante 14">
          <a:extLst>
            <a:ext uri="{FF2B5EF4-FFF2-40B4-BE49-F238E27FC236}">
              <a16:creationId xmlns:a16="http://schemas.microsoft.com/office/drawing/2014/main" id="{853763F6-4890-37B2-F2D4-8D4710171B61}"/>
            </a:ext>
          </a:extLst>
        </xdr:cNvPr>
        <xdr:cNvSpPr/>
      </xdr:nvSpPr>
      <xdr:spPr>
        <a:xfrm>
          <a:off x="2775854" y="23143028"/>
          <a:ext cx="76203" cy="1861457"/>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0</xdr:col>
      <xdr:colOff>250371</xdr:colOff>
      <xdr:row>79</xdr:row>
      <xdr:rowOff>65313</xdr:rowOff>
    </xdr:from>
    <xdr:to>
      <xdr:col>0</xdr:col>
      <xdr:colOff>2684961</xdr:colOff>
      <xdr:row>83</xdr:row>
      <xdr:rowOff>108857</xdr:rowOff>
    </xdr:to>
    <xdr:sp macro="" textlink="">
      <xdr:nvSpPr>
        <xdr:cNvPr id="16" name="ZoneTexte 15">
          <a:extLst>
            <a:ext uri="{FF2B5EF4-FFF2-40B4-BE49-F238E27FC236}">
              <a16:creationId xmlns:a16="http://schemas.microsoft.com/office/drawing/2014/main" id="{5F82AF8F-DCBB-47CC-2705-65ABF36E2988}"/>
            </a:ext>
          </a:extLst>
        </xdr:cNvPr>
        <xdr:cNvSpPr txBox="1"/>
      </xdr:nvSpPr>
      <xdr:spPr>
        <a:xfrm>
          <a:off x="250371" y="23774399"/>
          <a:ext cx="2434590" cy="783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100"/>
            <a:t>Indicateurs issus de la fiche action du PAEDC (remplissage automatique des cellules grisées)</a:t>
          </a:r>
        </a:p>
      </xdr:txBody>
    </xdr:sp>
    <xdr:clientData/>
  </xdr:twoCellAnchor>
  <xdr:twoCellAnchor>
    <xdr:from>
      <xdr:col>0</xdr:col>
      <xdr:colOff>2775854</xdr:colOff>
      <xdr:row>86</xdr:row>
      <xdr:rowOff>10885</xdr:rowOff>
    </xdr:from>
    <xdr:to>
      <xdr:col>0</xdr:col>
      <xdr:colOff>2852057</xdr:colOff>
      <xdr:row>96</xdr:row>
      <xdr:rowOff>10884</xdr:rowOff>
    </xdr:to>
    <xdr:sp macro="" textlink="">
      <xdr:nvSpPr>
        <xdr:cNvPr id="17" name="Parenthèse ouvrante 16">
          <a:extLst>
            <a:ext uri="{FF2B5EF4-FFF2-40B4-BE49-F238E27FC236}">
              <a16:creationId xmlns:a16="http://schemas.microsoft.com/office/drawing/2014/main" id="{DCD17858-DF5C-3D24-9F74-4AB8F690DE99}"/>
            </a:ext>
          </a:extLst>
        </xdr:cNvPr>
        <xdr:cNvSpPr/>
      </xdr:nvSpPr>
      <xdr:spPr>
        <a:xfrm>
          <a:off x="2775854" y="25026256"/>
          <a:ext cx="76203" cy="1861457"/>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0</xdr:col>
      <xdr:colOff>228599</xdr:colOff>
      <xdr:row>89</xdr:row>
      <xdr:rowOff>163284</xdr:rowOff>
    </xdr:from>
    <xdr:to>
      <xdr:col>0</xdr:col>
      <xdr:colOff>2666999</xdr:colOff>
      <xdr:row>92</xdr:row>
      <xdr:rowOff>121647</xdr:rowOff>
    </xdr:to>
    <xdr:sp macro="" textlink="">
      <xdr:nvSpPr>
        <xdr:cNvPr id="18" name="ZoneTexte 17">
          <a:extLst>
            <a:ext uri="{FF2B5EF4-FFF2-40B4-BE49-F238E27FC236}">
              <a16:creationId xmlns:a16="http://schemas.microsoft.com/office/drawing/2014/main" id="{030F1EF5-C05C-87B9-B349-FFF662129C63}"/>
            </a:ext>
          </a:extLst>
        </xdr:cNvPr>
        <xdr:cNvSpPr txBox="1"/>
      </xdr:nvSpPr>
      <xdr:spPr>
        <a:xfrm>
          <a:off x="228599" y="25733827"/>
          <a:ext cx="2438400"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100"/>
            <a:t>Autres</a:t>
          </a:r>
          <a:r>
            <a:rPr lang="fr-BE" sz="1100" baseline="0"/>
            <a:t> indicateurs (remplissage libre)</a:t>
          </a:r>
          <a:endParaRPr lang="fr-BE" sz="1100"/>
        </a:p>
      </xdr:txBody>
    </xdr: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350520</xdr:colOff>
          <xdr:row>21</xdr:row>
          <xdr:rowOff>152400</xdr:rowOff>
        </xdr:from>
        <xdr:to>
          <xdr:col>1</xdr:col>
          <xdr:colOff>632460</xdr:colOff>
          <xdr:row>21</xdr:row>
          <xdr:rowOff>381000</xdr:rowOff>
        </xdr:to>
        <xdr:sp macro="" textlink="">
          <xdr:nvSpPr>
            <xdr:cNvPr id="51328001" name="Check Box 1" hidden="1">
              <a:extLst>
                <a:ext uri="{63B3BB69-23CF-44E3-9099-C40C66FF867C}">
                  <a14:compatExt spid="_x0000_s51328001"/>
                </a:ext>
                <a:ext uri="{FF2B5EF4-FFF2-40B4-BE49-F238E27FC236}">
                  <a16:creationId xmlns:a16="http://schemas.microsoft.com/office/drawing/2014/main" id="{00000000-0008-0000-1F00-000001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21</xdr:row>
          <xdr:rowOff>480060</xdr:rowOff>
        </xdr:from>
        <xdr:to>
          <xdr:col>1</xdr:col>
          <xdr:colOff>632460</xdr:colOff>
          <xdr:row>21</xdr:row>
          <xdr:rowOff>708660</xdr:rowOff>
        </xdr:to>
        <xdr:sp macro="" textlink="">
          <xdr:nvSpPr>
            <xdr:cNvPr id="51328002" name="Check Box 2" hidden="1">
              <a:extLst>
                <a:ext uri="{63B3BB69-23CF-44E3-9099-C40C66FF867C}">
                  <a14:compatExt spid="_x0000_s51328002"/>
                </a:ext>
                <a:ext uri="{FF2B5EF4-FFF2-40B4-BE49-F238E27FC236}">
                  <a16:creationId xmlns:a16="http://schemas.microsoft.com/office/drawing/2014/main" id="{00000000-0008-0000-1F00-000002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21</xdr:row>
          <xdr:rowOff>830580</xdr:rowOff>
        </xdr:from>
        <xdr:to>
          <xdr:col>1</xdr:col>
          <xdr:colOff>617220</xdr:colOff>
          <xdr:row>21</xdr:row>
          <xdr:rowOff>1059180</xdr:rowOff>
        </xdr:to>
        <xdr:sp macro="" textlink="">
          <xdr:nvSpPr>
            <xdr:cNvPr id="51328003" name="Check Box 3" hidden="1">
              <a:extLst>
                <a:ext uri="{63B3BB69-23CF-44E3-9099-C40C66FF867C}">
                  <a14:compatExt spid="_x0000_s51328003"/>
                </a:ext>
                <a:ext uri="{FF2B5EF4-FFF2-40B4-BE49-F238E27FC236}">
                  <a16:creationId xmlns:a16="http://schemas.microsoft.com/office/drawing/2014/main" id="{00000000-0008-0000-1F00-000003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152400</xdr:rowOff>
        </xdr:from>
        <xdr:to>
          <xdr:col>2</xdr:col>
          <xdr:colOff>274320</xdr:colOff>
          <xdr:row>21</xdr:row>
          <xdr:rowOff>381000</xdr:rowOff>
        </xdr:to>
        <xdr:sp macro="" textlink="">
          <xdr:nvSpPr>
            <xdr:cNvPr id="51328004" name="Check Box 4" hidden="1">
              <a:extLst>
                <a:ext uri="{63B3BB69-23CF-44E3-9099-C40C66FF867C}">
                  <a14:compatExt spid="_x0000_s51328004"/>
                </a:ext>
                <a:ext uri="{FF2B5EF4-FFF2-40B4-BE49-F238E27FC236}">
                  <a16:creationId xmlns:a16="http://schemas.microsoft.com/office/drawing/2014/main" id="{00000000-0008-0000-1F00-000004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480060</xdr:rowOff>
        </xdr:from>
        <xdr:to>
          <xdr:col>2</xdr:col>
          <xdr:colOff>274320</xdr:colOff>
          <xdr:row>21</xdr:row>
          <xdr:rowOff>708660</xdr:rowOff>
        </xdr:to>
        <xdr:sp macro="" textlink="">
          <xdr:nvSpPr>
            <xdr:cNvPr id="51328005" name="Check Box 5" hidden="1">
              <a:extLst>
                <a:ext uri="{63B3BB69-23CF-44E3-9099-C40C66FF867C}">
                  <a14:compatExt spid="_x0000_s51328005"/>
                </a:ext>
                <a:ext uri="{FF2B5EF4-FFF2-40B4-BE49-F238E27FC236}">
                  <a16:creationId xmlns:a16="http://schemas.microsoft.com/office/drawing/2014/main" id="{00000000-0008-0000-1F00-000005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830580</xdr:rowOff>
        </xdr:from>
        <xdr:to>
          <xdr:col>2</xdr:col>
          <xdr:colOff>274320</xdr:colOff>
          <xdr:row>21</xdr:row>
          <xdr:rowOff>1059180</xdr:rowOff>
        </xdr:to>
        <xdr:sp macro="" textlink="">
          <xdr:nvSpPr>
            <xdr:cNvPr id="51328006" name="Check Box 6" hidden="1">
              <a:extLst>
                <a:ext uri="{63B3BB69-23CF-44E3-9099-C40C66FF867C}">
                  <a14:compatExt spid="_x0000_s51328006"/>
                </a:ext>
                <a:ext uri="{FF2B5EF4-FFF2-40B4-BE49-F238E27FC236}">
                  <a16:creationId xmlns:a16="http://schemas.microsoft.com/office/drawing/2014/main" id="{00000000-0008-0000-1F00-000006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21</xdr:row>
          <xdr:rowOff>152400</xdr:rowOff>
        </xdr:from>
        <xdr:to>
          <xdr:col>3</xdr:col>
          <xdr:colOff>22860</xdr:colOff>
          <xdr:row>21</xdr:row>
          <xdr:rowOff>381000</xdr:rowOff>
        </xdr:to>
        <xdr:sp macro="" textlink="">
          <xdr:nvSpPr>
            <xdr:cNvPr id="51328007" name="Check Box 7" hidden="1">
              <a:extLst>
                <a:ext uri="{63B3BB69-23CF-44E3-9099-C40C66FF867C}">
                  <a14:compatExt spid="_x0000_s51328007"/>
                </a:ext>
                <a:ext uri="{FF2B5EF4-FFF2-40B4-BE49-F238E27FC236}">
                  <a16:creationId xmlns:a16="http://schemas.microsoft.com/office/drawing/2014/main" id="{00000000-0008-0000-1F00-000007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1988820</xdr:colOff>
          <xdr:row>21</xdr:row>
          <xdr:rowOff>480060</xdr:rowOff>
        </xdr:from>
        <xdr:to>
          <xdr:col>3</xdr:col>
          <xdr:colOff>22860</xdr:colOff>
          <xdr:row>21</xdr:row>
          <xdr:rowOff>708660</xdr:rowOff>
        </xdr:to>
        <xdr:sp macro="" textlink="">
          <xdr:nvSpPr>
            <xdr:cNvPr id="51328008" name="Check Box 8" hidden="1">
              <a:extLst>
                <a:ext uri="{63B3BB69-23CF-44E3-9099-C40C66FF867C}">
                  <a14:compatExt spid="_x0000_s51328008"/>
                </a:ext>
                <a:ext uri="{FF2B5EF4-FFF2-40B4-BE49-F238E27FC236}">
                  <a16:creationId xmlns:a16="http://schemas.microsoft.com/office/drawing/2014/main" id="{00000000-0008-0000-1F00-000008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21</xdr:row>
          <xdr:rowOff>830580</xdr:rowOff>
        </xdr:from>
        <xdr:to>
          <xdr:col>3</xdr:col>
          <xdr:colOff>30480</xdr:colOff>
          <xdr:row>21</xdr:row>
          <xdr:rowOff>1059180</xdr:rowOff>
        </xdr:to>
        <xdr:sp macro="" textlink="">
          <xdr:nvSpPr>
            <xdr:cNvPr id="51328009" name="Check Box 9" hidden="1">
              <a:extLst>
                <a:ext uri="{63B3BB69-23CF-44E3-9099-C40C66FF867C}">
                  <a14:compatExt spid="_x0000_s51328009"/>
                </a:ext>
                <a:ext uri="{FF2B5EF4-FFF2-40B4-BE49-F238E27FC236}">
                  <a16:creationId xmlns:a16="http://schemas.microsoft.com/office/drawing/2014/main" id="{00000000-0008-0000-1F00-000009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1737360</xdr:colOff>
          <xdr:row>21</xdr:row>
          <xdr:rowOff>152400</xdr:rowOff>
        </xdr:from>
        <xdr:to>
          <xdr:col>4</xdr:col>
          <xdr:colOff>0</xdr:colOff>
          <xdr:row>21</xdr:row>
          <xdr:rowOff>381000</xdr:rowOff>
        </xdr:to>
        <xdr:sp macro="" textlink="">
          <xdr:nvSpPr>
            <xdr:cNvPr id="51328010" name="Check Box 10" hidden="1">
              <a:extLst>
                <a:ext uri="{63B3BB69-23CF-44E3-9099-C40C66FF867C}">
                  <a14:compatExt spid="_x0000_s51328010"/>
                </a:ext>
                <a:ext uri="{FF2B5EF4-FFF2-40B4-BE49-F238E27FC236}">
                  <a16:creationId xmlns:a16="http://schemas.microsoft.com/office/drawing/2014/main" id="{00000000-0008-0000-1F00-00000A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1737360</xdr:colOff>
          <xdr:row>21</xdr:row>
          <xdr:rowOff>480060</xdr:rowOff>
        </xdr:from>
        <xdr:to>
          <xdr:col>4</xdr:col>
          <xdr:colOff>0</xdr:colOff>
          <xdr:row>21</xdr:row>
          <xdr:rowOff>708660</xdr:rowOff>
        </xdr:to>
        <xdr:sp macro="" textlink="">
          <xdr:nvSpPr>
            <xdr:cNvPr id="51328011" name="Check Box 11" hidden="1">
              <a:extLst>
                <a:ext uri="{63B3BB69-23CF-44E3-9099-C40C66FF867C}">
                  <a14:compatExt spid="_x0000_s51328011"/>
                </a:ext>
                <a:ext uri="{FF2B5EF4-FFF2-40B4-BE49-F238E27FC236}">
                  <a16:creationId xmlns:a16="http://schemas.microsoft.com/office/drawing/2014/main" id="{00000000-0008-0000-1F00-00000B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1744980</xdr:colOff>
          <xdr:row>21</xdr:row>
          <xdr:rowOff>830580</xdr:rowOff>
        </xdr:from>
        <xdr:to>
          <xdr:col>4</xdr:col>
          <xdr:colOff>0</xdr:colOff>
          <xdr:row>21</xdr:row>
          <xdr:rowOff>1059180</xdr:rowOff>
        </xdr:to>
        <xdr:sp macro="" textlink="">
          <xdr:nvSpPr>
            <xdr:cNvPr id="51328012" name="Check Box 12" hidden="1">
              <a:extLst>
                <a:ext uri="{63B3BB69-23CF-44E3-9099-C40C66FF867C}">
                  <a14:compatExt spid="_x0000_s51328012"/>
                </a:ext>
                <a:ext uri="{FF2B5EF4-FFF2-40B4-BE49-F238E27FC236}">
                  <a16:creationId xmlns:a16="http://schemas.microsoft.com/office/drawing/2014/main" id="{00000000-0008-0000-1F00-00000C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1668780</xdr:colOff>
          <xdr:row>21</xdr:row>
          <xdr:rowOff>152400</xdr:rowOff>
        </xdr:from>
        <xdr:to>
          <xdr:col>4</xdr:col>
          <xdr:colOff>1950720</xdr:colOff>
          <xdr:row>21</xdr:row>
          <xdr:rowOff>381000</xdr:rowOff>
        </xdr:to>
        <xdr:sp macro="" textlink="">
          <xdr:nvSpPr>
            <xdr:cNvPr id="51328013" name="Check Box 13" hidden="1">
              <a:extLst>
                <a:ext uri="{63B3BB69-23CF-44E3-9099-C40C66FF867C}">
                  <a14:compatExt spid="_x0000_s51328013"/>
                </a:ext>
                <a:ext uri="{FF2B5EF4-FFF2-40B4-BE49-F238E27FC236}">
                  <a16:creationId xmlns:a16="http://schemas.microsoft.com/office/drawing/2014/main" id="{00000000-0008-0000-1F00-00000D3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550334</xdr:colOff>
      <xdr:row>21</xdr:row>
      <xdr:rowOff>135466</xdr:rowOff>
    </xdr:from>
    <xdr:to>
      <xdr:col>1</xdr:col>
      <xdr:colOff>1818429</xdr:colOff>
      <xdr:row>21</xdr:row>
      <xdr:rowOff>402590</xdr:rowOff>
    </xdr:to>
    <xdr:sp macro="" textlink="">
      <xdr:nvSpPr>
        <xdr:cNvPr id="2" name="ZoneTexte 1">
          <a:extLst>
            <a:ext uri="{FF2B5EF4-FFF2-40B4-BE49-F238E27FC236}">
              <a16:creationId xmlns:a16="http://schemas.microsoft.com/office/drawing/2014/main" id="{00000000-0008-0000-1E00-000002000000}"/>
            </a:ext>
          </a:extLst>
        </xdr:cNvPr>
        <xdr:cNvSpPr txBox="1"/>
      </xdr:nvSpPr>
      <xdr:spPr>
        <a:xfrm>
          <a:off x="3697394" y="5385646"/>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Femmes et filles</a:t>
          </a:r>
        </a:p>
      </xdr:txBody>
    </xdr:sp>
    <xdr:clientData/>
  </xdr:twoCellAnchor>
  <xdr:twoCellAnchor editAs="oneCell">
    <xdr:from>
      <xdr:col>1</xdr:col>
      <xdr:colOff>541868</xdr:colOff>
      <xdr:row>21</xdr:row>
      <xdr:rowOff>457199</xdr:rowOff>
    </xdr:from>
    <xdr:to>
      <xdr:col>1</xdr:col>
      <xdr:colOff>1808058</xdr:colOff>
      <xdr:row>21</xdr:row>
      <xdr:rowOff>730038</xdr:rowOff>
    </xdr:to>
    <xdr:sp macro="" textlink="">
      <xdr:nvSpPr>
        <xdr:cNvPr id="3" name="ZoneTexte 2">
          <a:extLst>
            <a:ext uri="{FF2B5EF4-FFF2-40B4-BE49-F238E27FC236}">
              <a16:creationId xmlns:a16="http://schemas.microsoft.com/office/drawing/2014/main" id="{00000000-0008-0000-1E00-000003000000}"/>
            </a:ext>
          </a:extLst>
        </xdr:cNvPr>
        <xdr:cNvSpPr txBox="1"/>
      </xdr:nvSpPr>
      <xdr:spPr>
        <a:xfrm>
          <a:off x="3688928" y="57073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Enfants</a:t>
          </a:r>
        </a:p>
      </xdr:txBody>
    </xdr:sp>
    <xdr:clientData/>
  </xdr:twoCellAnchor>
  <xdr:twoCellAnchor editAs="oneCell">
    <xdr:from>
      <xdr:col>1</xdr:col>
      <xdr:colOff>550334</xdr:colOff>
      <xdr:row>21</xdr:row>
      <xdr:rowOff>812799</xdr:rowOff>
    </xdr:from>
    <xdr:to>
      <xdr:col>1</xdr:col>
      <xdr:colOff>1818429</xdr:colOff>
      <xdr:row>21</xdr:row>
      <xdr:rowOff>1087543</xdr:rowOff>
    </xdr:to>
    <xdr:sp macro="" textlink="">
      <xdr:nvSpPr>
        <xdr:cNvPr id="4" name="ZoneTexte 3">
          <a:extLst>
            <a:ext uri="{FF2B5EF4-FFF2-40B4-BE49-F238E27FC236}">
              <a16:creationId xmlns:a16="http://schemas.microsoft.com/office/drawing/2014/main" id="{00000000-0008-0000-1E00-000004000000}"/>
            </a:ext>
          </a:extLst>
        </xdr:cNvPr>
        <xdr:cNvSpPr txBox="1"/>
      </xdr:nvSpPr>
      <xdr:spPr>
        <a:xfrm>
          <a:off x="3697394" y="60629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Jeunes</a:t>
          </a:r>
        </a:p>
      </xdr:txBody>
    </xdr:sp>
    <xdr:clientData/>
  </xdr:twoCellAnchor>
  <xdr:twoCellAnchor editAs="oneCell">
    <xdr:from>
      <xdr:col>2</xdr:col>
      <xdr:colOff>152399</xdr:colOff>
      <xdr:row>21</xdr:row>
      <xdr:rowOff>126999</xdr:rowOff>
    </xdr:from>
    <xdr:to>
      <xdr:col>2</xdr:col>
      <xdr:colOff>1426209</xdr:colOff>
      <xdr:row>21</xdr:row>
      <xdr:rowOff>401743</xdr:rowOff>
    </xdr:to>
    <xdr:sp macro="" textlink="">
      <xdr:nvSpPr>
        <xdr:cNvPr id="5" name="ZoneTexte 4">
          <a:extLst>
            <a:ext uri="{FF2B5EF4-FFF2-40B4-BE49-F238E27FC236}">
              <a16:creationId xmlns:a16="http://schemas.microsoft.com/office/drawing/2014/main" id="{00000000-0008-0000-1E00-000005000000}"/>
            </a:ext>
          </a:extLst>
        </xdr:cNvPr>
        <xdr:cNvSpPr txBox="1"/>
      </xdr:nvSpPr>
      <xdr:spPr>
        <a:xfrm>
          <a:off x="5654039" y="53771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âgées</a:t>
          </a:r>
        </a:p>
      </xdr:txBody>
    </xdr:sp>
    <xdr:clientData/>
  </xdr:twoCellAnchor>
  <xdr:twoCellAnchor editAs="oneCell">
    <xdr:from>
      <xdr:col>2</xdr:col>
      <xdr:colOff>152398</xdr:colOff>
      <xdr:row>21</xdr:row>
      <xdr:rowOff>465664</xdr:rowOff>
    </xdr:from>
    <xdr:to>
      <xdr:col>2</xdr:col>
      <xdr:colOff>1697144</xdr:colOff>
      <xdr:row>21</xdr:row>
      <xdr:rowOff>740408</xdr:rowOff>
    </xdr:to>
    <xdr:sp macro="" textlink="">
      <xdr:nvSpPr>
        <xdr:cNvPr id="6" name="ZoneTexte 5">
          <a:extLst>
            <a:ext uri="{FF2B5EF4-FFF2-40B4-BE49-F238E27FC236}">
              <a16:creationId xmlns:a16="http://schemas.microsoft.com/office/drawing/2014/main" id="{00000000-0008-0000-1E00-000006000000}"/>
            </a:ext>
          </a:extLst>
        </xdr:cNvPr>
        <xdr:cNvSpPr txBox="1"/>
      </xdr:nvSpPr>
      <xdr:spPr>
        <a:xfrm>
          <a:off x="5654038" y="5715844"/>
          <a:ext cx="1540936"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Groupes marginalisés</a:t>
          </a:r>
        </a:p>
      </xdr:txBody>
    </xdr:sp>
    <xdr:clientData/>
  </xdr:twoCellAnchor>
  <xdr:twoCellAnchor editAs="oneCell">
    <xdr:from>
      <xdr:col>2</xdr:col>
      <xdr:colOff>143934</xdr:colOff>
      <xdr:row>21</xdr:row>
      <xdr:rowOff>821267</xdr:rowOff>
    </xdr:from>
    <xdr:to>
      <xdr:col>2</xdr:col>
      <xdr:colOff>1850390</xdr:colOff>
      <xdr:row>21</xdr:row>
      <xdr:rowOff>1088391</xdr:rowOff>
    </xdr:to>
    <xdr:sp macro="" textlink="">
      <xdr:nvSpPr>
        <xdr:cNvPr id="7" name="ZoneTexte 6">
          <a:extLst>
            <a:ext uri="{FF2B5EF4-FFF2-40B4-BE49-F238E27FC236}">
              <a16:creationId xmlns:a16="http://schemas.microsoft.com/office/drawing/2014/main" id="{00000000-0008-0000-1E00-000007000000}"/>
            </a:ext>
          </a:extLst>
        </xdr:cNvPr>
        <xdr:cNvSpPr txBox="1"/>
      </xdr:nvSpPr>
      <xdr:spPr>
        <a:xfrm>
          <a:off x="5645574" y="6071447"/>
          <a:ext cx="1710266"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handicapées</a:t>
          </a:r>
        </a:p>
      </xdr:txBody>
    </xdr:sp>
    <xdr:clientData/>
  </xdr:twoCellAnchor>
  <xdr:twoCellAnchor editAs="oneCell">
    <xdr:from>
      <xdr:col>2</xdr:col>
      <xdr:colOff>2175935</xdr:colOff>
      <xdr:row>21</xdr:row>
      <xdr:rowOff>42334</xdr:rowOff>
    </xdr:from>
    <xdr:to>
      <xdr:col>3</xdr:col>
      <xdr:colOff>1578610</xdr:colOff>
      <xdr:row>21</xdr:row>
      <xdr:rowOff>599229</xdr:rowOff>
    </xdr:to>
    <xdr:sp macro="" textlink="">
      <xdr:nvSpPr>
        <xdr:cNvPr id="8" name="ZoneTexte 7">
          <a:extLst>
            <a:ext uri="{FF2B5EF4-FFF2-40B4-BE49-F238E27FC236}">
              <a16:creationId xmlns:a16="http://schemas.microsoft.com/office/drawing/2014/main" id="{00000000-0008-0000-1E00-000008000000}"/>
            </a:ext>
          </a:extLst>
        </xdr:cNvPr>
        <xdr:cNvSpPr txBox="1"/>
      </xdr:nvSpPr>
      <xdr:spPr>
        <a:xfrm>
          <a:off x="7677575" y="5292514"/>
          <a:ext cx="1639145" cy="55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atteintes de maladies</a:t>
          </a:r>
          <a:r>
            <a:rPr lang="fr-BE" sz="1200" baseline="0">
              <a:solidFill>
                <a:srgbClr val="215967"/>
              </a:solidFill>
            </a:rPr>
            <a:t> chroniques</a:t>
          </a:r>
          <a:endParaRPr lang="fr-BE" sz="1200">
            <a:solidFill>
              <a:srgbClr val="215967"/>
            </a:solidFill>
          </a:endParaRPr>
        </a:p>
      </xdr:txBody>
    </xdr:sp>
    <xdr:clientData/>
  </xdr:twoCellAnchor>
  <xdr:twoCellAnchor editAs="oneCell">
    <xdr:from>
      <xdr:col>2</xdr:col>
      <xdr:colOff>2159004</xdr:colOff>
      <xdr:row>21</xdr:row>
      <xdr:rowOff>474134</xdr:rowOff>
    </xdr:from>
    <xdr:to>
      <xdr:col>3</xdr:col>
      <xdr:colOff>1774190</xdr:colOff>
      <xdr:row>21</xdr:row>
      <xdr:rowOff>892810</xdr:rowOff>
    </xdr:to>
    <xdr:sp macro="" textlink="">
      <xdr:nvSpPr>
        <xdr:cNvPr id="9" name="ZoneTexte 8">
          <a:extLst>
            <a:ext uri="{FF2B5EF4-FFF2-40B4-BE49-F238E27FC236}">
              <a16:creationId xmlns:a16="http://schemas.microsoft.com/office/drawing/2014/main" id="{00000000-0008-0000-1E00-000009000000}"/>
            </a:ext>
          </a:extLst>
        </xdr:cNvPr>
        <xdr:cNvSpPr txBox="1"/>
      </xdr:nvSpPr>
      <xdr:spPr>
        <a:xfrm>
          <a:off x="7660644" y="5724314"/>
          <a:ext cx="1859276" cy="414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Ménages à faibles revenus</a:t>
          </a:r>
        </a:p>
      </xdr:txBody>
    </xdr:sp>
    <xdr:clientData/>
  </xdr:twoCellAnchor>
  <xdr:twoCellAnchor editAs="oneCell">
    <xdr:from>
      <xdr:col>2</xdr:col>
      <xdr:colOff>2209801</xdr:colOff>
      <xdr:row>21</xdr:row>
      <xdr:rowOff>804334</xdr:rowOff>
    </xdr:from>
    <xdr:to>
      <xdr:col>3</xdr:col>
      <xdr:colOff>1676400</xdr:colOff>
      <xdr:row>21</xdr:row>
      <xdr:rowOff>1077173</xdr:rowOff>
    </xdr:to>
    <xdr:sp macro="" textlink="">
      <xdr:nvSpPr>
        <xdr:cNvPr id="10" name="ZoneTexte 9">
          <a:extLst>
            <a:ext uri="{FF2B5EF4-FFF2-40B4-BE49-F238E27FC236}">
              <a16:creationId xmlns:a16="http://schemas.microsoft.com/office/drawing/2014/main" id="{00000000-0008-0000-1E00-00000A000000}"/>
            </a:ext>
          </a:extLst>
        </xdr:cNvPr>
        <xdr:cNvSpPr txBox="1"/>
      </xdr:nvSpPr>
      <xdr:spPr>
        <a:xfrm>
          <a:off x="7711441" y="6054514"/>
          <a:ext cx="1706879"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Chômeurs</a:t>
          </a:r>
        </a:p>
      </xdr:txBody>
    </xdr:sp>
    <xdr:clientData/>
  </xdr:twoCellAnchor>
  <xdr:twoCellAnchor editAs="oneCell">
    <xdr:from>
      <xdr:col>3</xdr:col>
      <xdr:colOff>1921935</xdr:colOff>
      <xdr:row>21</xdr:row>
      <xdr:rowOff>33866</xdr:rowOff>
    </xdr:from>
    <xdr:to>
      <xdr:col>4</xdr:col>
      <xdr:colOff>1568239</xdr:colOff>
      <xdr:row>21</xdr:row>
      <xdr:rowOff>619971</xdr:rowOff>
    </xdr:to>
    <xdr:sp macro="" textlink="">
      <xdr:nvSpPr>
        <xdr:cNvPr id="11" name="ZoneTexte 10">
          <a:extLst>
            <a:ext uri="{FF2B5EF4-FFF2-40B4-BE49-F238E27FC236}">
              <a16:creationId xmlns:a16="http://schemas.microsoft.com/office/drawing/2014/main" id="{00000000-0008-0000-1E00-00000B000000}"/>
            </a:ext>
          </a:extLst>
        </xdr:cNvPr>
        <xdr:cNvSpPr txBox="1"/>
      </xdr:nvSpPr>
      <xdr:spPr>
        <a:xfrm>
          <a:off x="9663855" y="5284046"/>
          <a:ext cx="1709419"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vivant dans des logements précaires</a:t>
          </a:r>
        </a:p>
      </xdr:txBody>
    </xdr:sp>
    <xdr:clientData/>
  </xdr:twoCellAnchor>
  <xdr:twoCellAnchor editAs="oneCell">
    <xdr:from>
      <xdr:col>3</xdr:col>
      <xdr:colOff>1938869</xdr:colOff>
      <xdr:row>21</xdr:row>
      <xdr:rowOff>465666</xdr:rowOff>
    </xdr:from>
    <xdr:to>
      <xdr:col>4</xdr:col>
      <xdr:colOff>2265256</xdr:colOff>
      <xdr:row>21</xdr:row>
      <xdr:rowOff>730038</xdr:rowOff>
    </xdr:to>
    <xdr:sp macro="" textlink="">
      <xdr:nvSpPr>
        <xdr:cNvPr id="12" name="ZoneTexte 11">
          <a:extLst>
            <a:ext uri="{FF2B5EF4-FFF2-40B4-BE49-F238E27FC236}">
              <a16:creationId xmlns:a16="http://schemas.microsoft.com/office/drawing/2014/main" id="{00000000-0008-0000-1E00-00000C000000}"/>
            </a:ext>
          </a:extLst>
        </xdr:cNvPr>
        <xdr:cNvSpPr txBox="1"/>
      </xdr:nvSpPr>
      <xdr:spPr>
        <a:xfrm>
          <a:off x="9680789" y="5715846"/>
          <a:ext cx="2395217" cy="262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Migrants</a:t>
          </a:r>
          <a:r>
            <a:rPr lang="fr-BE" sz="1200" baseline="0">
              <a:solidFill>
                <a:srgbClr val="215967"/>
              </a:solidFill>
            </a:rPr>
            <a:t> et personnes déplacées</a:t>
          </a:r>
          <a:endParaRPr lang="fr-BE" sz="1200">
            <a:solidFill>
              <a:srgbClr val="215967"/>
            </a:solidFill>
          </a:endParaRPr>
        </a:p>
      </xdr:txBody>
    </xdr:sp>
    <xdr:clientData/>
  </xdr:twoCellAnchor>
  <xdr:twoCellAnchor editAs="oneCell">
    <xdr:from>
      <xdr:col>3</xdr:col>
      <xdr:colOff>1955803</xdr:colOff>
      <xdr:row>21</xdr:row>
      <xdr:rowOff>804333</xdr:rowOff>
    </xdr:from>
    <xdr:to>
      <xdr:col>4</xdr:col>
      <xdr:colOff>2286000</xdr:colOff>
      <xdr:row>21</xdr:row>
      <xdr:rowOff>1066800</xdr:rowOff>
    </xdr:to>
    <xdr:sp macro="" textlink="">
      <xdr:nvSpPr>
        <xdr:cNvPr id="13" name="ZoneTexte 12">
          <a:extLst>
            <a:ext uri="{FF2B5EF4-FFF2-40B4-BE49-F238E27FC236}">
              <a16:creationId xmlns:a16="http://schemas.microsoft.com/office/drawing/2014/main" id="{00000000-0008-0000-1E00-00000D000000}"/>
            </a:ext>
          </a:extLst>
        </xdr:cNvPr>
        <xdr:cNvSpPr txBox="1"/>
      </xdr:nvSpPr>
      <xdr:spPr>
        <a:xfrm>
          <a:off x="9697723" y="6054513"/>
          <a:ext cx="2395217" cy="262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Autres</a:t>
          </a:r>
        </a:p>
      </xdr:txBody>
    </xdr:sp>
    <xdr:clientData/>
  </xdr:twoCellAnchor>
  <xdr:twoCellAnchor>
    <xdr:from>
      <xdr:col>4</xdr:col>
      <xdr:colOff>1862670</xdr:colOff>
      <xdr:row>21</xdr:row>
      <xdr:rowOff>118534</xdr:rowOff>
    </xdr:from>
    <xdr:to>
      <xdr:col>5</xdr:col>
      <xdr:colOff>304800</xdr:colOff>
      <xdr:row>21</xdr:row>
      <xdr:rowOff>364067</xdr:rowOff>
    </xdr:to>
    <xdr:sp macro="" textlink="">
      <xdr:nvSpPr>
        <xdr:cNvPr id="14" name="ZoneTexte 13">
          <a:extLst>
            <a:ext uri="{FF2B5EF4-FFF2-40B4-BE49-F238E27FC236}">
              <a16:creationId xmlns:a16="http://schemas.microsoft.com/office/drawing/2014/main" id="{00000000-0008-0000-1E00-00000E000000}"/>
            </a:ext>
          </a:extLst>
        </xdr:cNvPr>
        <xdr:cNvSpPr txBox="1"/>
      </xdr:nvSpPr>
      <xdr:spPr>
        <a:xfrm>
          <a:off x="11669610" y="5368714"/>
          <a:ext cx="1147230" cy="245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Tous</a:t>
          </a:r>
        </a:p>
      </xdr:txBody>
    </xdr:sp>
    <xdr:clientData/>
  </xdr:twoCellAnchor>
  <xdr:twoCellAnchor>
    <xdr:from>
      <xdr:col>0</xdr:col>
      <xdr:colOff>2775854</xdr:colOff>
      <xdr:row>86</xdr:row>
      <xdr:rowOff>10885</xdr:rowOff>
    </xdr:from>
    <xdr:to>
      <xdr:col>0</xdr:col>
      <xdr:colOff>2852057</xdr:colOff>
      <xdr:row>96</xdr:row>
      <xdr:rowOff>10884</xdr:rowOff>
    </xdr:to>
    <xdr:sp macro="" textlink="">
      <xdr:nvSpPr>
        <xdr:cNvPr id="15" name="Parenthèse ouvrante 14">
          <a:extLst>
            <a:ext uri="{FF2B5EF4-FFF2-40B4-BE49-F238E27FC236}">
              <a16:creationId xmlns:a16="http://schemas.microsoft.com/office/drawing/2014/main" id="{6396E0A9-20D6-46C1-A6B9-77C026B28895}"/>
            </a:ext>
          </a:extLst>
        </xdr:cNvPr>
        <xdr:cNvSpPr/>
      </xdr:nvSpPr>
      <xdr:spPr>
        <a:xfrm>
          <a:off x="2775854" y="24928285"/>
          <a:ext cx="76203" cy="1836419"/>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0</xdr:col>
      <xdr:colOff>228599</xdr:colOff>
      <xdr:row>89</xdr:row>
      <xdr:rowOff>163284</xdr:rowOff>
    </xdr:from>
    <xdr:to>
      <xdr:col>0</xdr:col>
      <xdr:colOff>2666999</xdr:colOff>
      <xdr:row>92</xdr:row>
      <xdr:rowOff>121647</xdr:rowOff>
    </xdr:to>
    <xdr:sp macro="" textlink="">
      <xdr:nvSpPr>
        <xdr:cNvPr id="16" name="ZoneTexte 15">
          <a:extLst>
            <a:ext uri="{FF2B5EF4-FFF2-40B4-BE49-F238E27FC236}">
              <a16:creationId xmlns:a16="http://schemas.microsoft.com/office/drawing/2014/main" id="{32BAD2CA-78BB-48E3-BB11-48619ADDCEDA}"/>
            </a:ext>
          </a:extLst>
        </xdr:cNvPr>
        <xdr:cNvSpPr txBox="1"/>
      </xdr:nvSpPr>
      <xdr:spPr>
        <a:xfrm>
          <a:off x="228599" y="25629324"/>
          <a:ext cx="2438400" cy="505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100"/>
            <a:t>Autres</a:t>
          </a:r>
          <a:r>
            <a:rPr lang="fr-BE" sz="1100" baseline="0"/>
            <a:t> indicateurs (remplissage libre)</a:t>
          </a:r>
          <a:endParaRPr lang="fr-BE" sz="1100"/>
        </a:p>
      </xdr:txBody>
    </xdr:sp>
    <xdr:clientData/>
  </xdr:twoCellAnchor>
  <xdr:twoCellAnchor>
    <xdr:from>
      <xdr:col>0</xdr:col>
      <xdr:colOff>2773133</xdr:colOff>
      <xdr:row>75</xdr:row>
      <xdr:rowOff>581025</xdr:rowOff>
    </xdr:from>
    <xdr:to>
      <xdr:col>0</xdr:col>
      <xdr:colOff>2849336</xdr:colOff>
      <xdr:row>85</xdr:row>
      <xdr:rowOff>175532</xdr:rowOff>
    </xdr:to>
    <xdr:sp macro="" textlink="">
      <xdr:nvSpPr>
        <xdr:cNvPr id="17" name="Parenthèse ouvrante 16">
          <a:extLst>
            <a:ext uri="{FF2B5EF4-FFF2-40B4-BE49-F238E27FC236}">
              <a16:creationId xmlns:a16="http://schemas.microsoft.com/office/drawing/2014/main" id="{C62002FB-0DA4-4DE9-8DF8-115E4332A835}"/>
            </a:ext>
          </a:extLst>
        </xdr:cNvPr>
        <xdr:cNvSpPr/>
      </xdr:nvSpPr>
      <xdr:spPr>
        <a:xfrm>
          <a:off x="2773133" y="21231225"/>
          <a:ext cx="76203" cy="1861457"/>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0</xdr:col>
      <xdr:colOff>247650</xdr:colOff>
      <xdr:row>79</xdr:row>
      <xdr:rowOff>31296</xdr:rowOff>
    </xdr:from>
    <xdr:to>
      <xdr:col>0</xdr:col>
      <xdr:colOff>2682240</xdr:colOff>
      <xdr:row>83</xdr:row>
      <xdr:rowOff>19050</xdr:rowOff>
    </xdr:to>
    <xdr:sp macro="" textlink="">
      <xdr:nvSpPr>
        <xdr:cNvPr id="18" name="ZoneTexte 17">
          <a:extLst>
            <a:ext uri="{FF2B5EF4-FFF2-40B4-BE49-F238E27FC236}">
              <a16:creationId xmlns:a16="http://schemas.microsoft.com/office/drawing/2014/main" id="{5FBE040C-CC67-409A-9920-F3338C02E338}"/>
            </a:ext>
          </a:extLst>
        </xdr:cNvPr>
        <xdr:cNvSpPr txBox="1"/>
      </xdr:nvSpPr>
      <xdr:spPr>
        <a:xfrm>
          <a:off x="247650" y="21862596"/>
          <a:ext cx="2434590" cy="711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100"/>
            <a:t>Indicateurs issus de la fiche action du PAEDC (remplissage automatique des cellules grisées)</a:t>
          </a:r>
        </a:p>
      </xdr:txBody>
    </xdr:sp>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350520</xdr:colOff>
          <xdr:row>21</xdr:row>
          <xdr:rowOff>137160</xdr:rowOff>
        </xdr:from>
        <xdr:to>
          <xdr:col>1</xdr:col>
          <xdr:colOff>632460</xdr:colOff>
          <xdr:row>21</xdr:row>
          <xdr:rowOff>365760</xdr:rowOff>
        </xdr:to>
        <xdr:sp macro="" textlink="">
          <xdr:nvSpPr>
            <xdr:cNvPr id="51329025" name="Check Box 1" hidden="1">
              <a:extLst>
                <a:ext uri="{63B3BB69-23CF-44E3-9099-C40C66FF867C}">
                  <a14:compatExt spid="_x0000_s51329025"/>
                </a:ext>
                <a:ext uri="{FF2B5EF4-FFF2-40B4-BE49-F238E27FC236}">
                  <a16:creationId xmlns:a16="http://schemas.microsoft.com/office/drawing/2014/main" id="{00000000-0008-0000-2000-000001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21</xdr:row>
          <xdr:rowOff>464820</xdr:rowOff>
        </xdr:from>
        <xdr:to>
          <xdr:col>1</xdr:col>
          <xdr:colOff>632460</xdr:colOff>
          <xdr:row>21</xdr:row>
          <xdr:rowOff>693420</xdr:rowOff>
        </xdr:to>
        <xdr:sp macro="" textlink="">
          <xdr:nvSpPr>
            <xdr:cNvPr id="51329026" name="Check Box 2" hidden="1">
              <a:extLst>
                <a:ext uri="{63B3BB69-23CF-44E3-9099-C40C66FF867C}">
                  <a14:compatExt spid="_x0000_s51329026"/>
                </a:ext>
                <a:ext uri="{FF2B5EF4-FFF2-40B4-BE49-F238E27FC236}">
                  <a16:creationId xmlns:a16="http://schemas.microsoft.com/office/drawing/2014/main" id="{00000000-0008-0000-2000-000002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21</xdr:row>
          <xdr:rowOff>822960</xdr:rowOff>
        </xdr:from>
        <xdr:to>
          <xdr:col>1</xdr:col>
          <xdr:colOff>617220</xdr:colOff>
          <xdr:row>21</xdr:row>
          <xdr:rowOff>1051560</xdr:rowOff>
        </xdr:to>
        <xdr:sp macro="" textlink="">
          <xdr:nvSpPr>
            <xdr:cNvPr id="51329027" name="Check Box 3" hidden="1">
              <a:extLst>
                <a:ext uri="{63B3BB69-23CF-44E3-9099-C40C66FF867C}">
                  <a14:compatExt spid="_x0000_s51329027"/>
                </a:ext>
                <a:ext uri="{FF2B5EF4-FFF2-40B4-BE49-F238E27FC236}">
                  <a16:creationId xmlns:a16="http://schemas.microsoft.com/office/drawing/2014/main" id="{00000000-0008-0000-2000-000003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137160</xdr:rowOff>
        </xdr:from>
        <xdr:to>
          <xdr:col>2</xdr:col>
          <xdr:colOff>274320</xdr:colOff>
          <xdr:row>21</xdr:row>
          <xdr:rowOff>365760</xdr:rowOff>
        </xdr:to>
        <xdr:sp macro="" textlink="">
          <xdr:nvSpPr>
            <xdr:cNvPr id="51329028" name="Check Box 4" hidden="1">
              <a:extLst>
                <a:ext uri="{63B3BB69-23CF-44E3-9099-C40C66FF867C}">
                  <a14:compatExt spid="_x0000_s51329028"/>
                </a:ext>
                <a:ext uri="{FF2B5EF4-FFF2-40B4-BE49-F238E27FC236}">
                  <a16:creationId xmlns:a16="http://schemas.microsoft.com/office/drawing/2014/main" id="{00000000-0008-0000-2000-000004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464820</xdr:rowOff>
        </xdr:from>
        <xdr:to>
          <xdr:col>2</xdr:col>
          <xdr:colOff>274320</xdr:colOff>
          <xdr:row>21</xdr:row>
          <xdr:rowOff>693420</xdr:rowOff>
        </xdr:to>
        <xdr:sp macro="" textlink="">
          <xdr:nvSpPr>
            <xdr:cNvPr id="51329029" name="Check Box 5" hidden="1">
              <a:extLst>
                <a:ext uri="{63B3BB69-23CF-44E3-9099-C40C66FF867C}">
                  <a14:compatExt spid="_x0000_s51329029"/>
                </a:ext>
                <a:ext uri="{FF2B5EF4-FFF2-40B4-BE49-F238E27FC236}">
                  <a16:creationId xmlns:a16="http://schemas.microsoft.com/office/drawing/2014/main" id="{00000000-0008-0000-2000-000005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822960</xdr:rowOff>
        </xdr:from>
        <xdr:to>
          <xdr:col>2</xdr:col>
          <xdr:colOff>274320</xdr:colOff>
          <xdr:row>21</xdr:row>
          <xdr:rowOff>1051560</xdr:rowOff>
        </xdr:to>
        <xdr:sp macro="" textlink="">
          <xdr:nvSpPr>
            <xdr:cNvPr id="51329030" name="Check Box 6" hidden="1">
              <a:extLst>
                <a:ext uri="{63B3BB69-23CF-44E3-9099-C40C66FF867C}">
                  <a14:compatExt spid="_x0000_s51329030"/>
                </a:ext>
                <a:ext uri="{FF2B5EF4-FFF2-40B4-BE49-F238E27FC236}">
                  <a16:creationId xmlns:a16="http://schemas.microsoft.com/office/drawing/2014/main" id="{00000000-0008-0000-2000-000006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21</xdr:row>
          <xdr:rowOff>137160</xdr:rowOff>
        </xdr:from>
        <xdr:to>
          <xdr:col>3</xdr:col>
          <xdr:colOff>22860</xdr:colOff>
          <xdr:row>21</xdr:row>
          <xdr:rowOff>365760</xdr:rowOff>
        </xdr:to>
        <xdr:sp macro="" textlink="">
          <xdr:nvSpPr>
            <xdr:cNvPr id="51329031" name="Check Box 7" hidden="1">
              <a:extLst>
                <a:ext uri="{63B3BB69-23CF-44E3-9099-C40C66FF867C}">
                  <a14:compatExt spid="_x0000_s51329031"/>
                </a:ext>
                <a:ext uri="{FF2B5EF4-FFF2-40B4-BE49-F238E27FC236}">
                  <a16:creationId xmlns:a16="http://schemas.microsoft.com/office/drawing/2014/main" id="{00000000-0008-0000-2000-000007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1988820</xdr:colOff>
          <xdr:row>21</xdr:row>
          <xdr:rowOff>464820</xdr:rowOff>
        </xdr:from>
        <xdr:to>
          <xdr:col>3</xdr:col>
          <xdr:colOff>22860</xdr:colOff>
          <xdr:row>21</xdr:row>
          <xdr:rowOff>693420</xdr:rowOff>
        </xdr:to>
        <xdr:sp macro="" textlink="">
          <xdr:nvSpPr>
            <xdr:cNvPr id="51329032" name="Check Box 8" hidden="1">
              <a:extLst>
                <a:ext uri="{63B3BB69-23CF-44E3-9099-C40C66FF867C}">
                  <a14:compatExt spid="_x0000_s51329032"/>
                </a:ext>
                <a:ext uri="{FF2B5EF4-FFF2-40B4-BE49-F238E27FC236}">
                  <a16:creationId xmlns:a16="http://schemas.microsoft.com/office/drawing/2014/main" id="{00000000-0008-0000-2000-000008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21</xdr:row>
          <xdr:rowOff>822960</xdr:rowOff>
        </xdr:from>
        <xdr:to>
          <xdr:col>3</xdr:col>
          <xdr:colOff>30480</xdr:colOff>
          <xdr:row>21</xdr:row>
          <xdr:rowOff>1051560</xdr:rowOff>
        </xdr:to>
        <xdr:sp macro="" textlink="">
          <xdr:nvSpPr>
            <xdr:cNvPr id="51329033" name="Check Box 9" hidden="1">
              <a:extLst>
                <a:ext uri="{63B3BB69-23CF-44E3-9099-C40C66FF867C}">
                  <a14:compatExt spid="_x0000_s51329033"/>
                </a:ext>
                <a:ext uri="{FF2B5EF4-FFF2-40B4-BE49-F238E27FC236}">
                  <a16:creationId xmlns:a16="http://schemas.microsoft.com/office/drawing/2014/main" id="{00000000-0008-0000-2000-000009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1737360</xdr:colOff>
          <xdr:row>21</xdr:row>
          <xdr:rowOff>137160</xdr:rowOff>
        </xdr:from>
        <xdr:to>
          <xdr:col>4</xdr:col>
          <xdr:colOff>0</xdr:colOff>
          <xdr:row>21</xdr:row>
          <xdr:rowOff>365760</xdr:rowOff>
        </xdr:to>
        <xdr:sp macro="" textlink="">
          <xdr:nvSpPr>
            <xdr:cNvPr id="51329034" name="Check Box 10" hidden="1">
              <a:extLst>
                <a:ext uri="{63B3BB69-23CF-44E3-9099-C40C66FF867C}">
                  <a14:compatExt spid="_x0000_s51329034"/>
                </a:ext>
                <a:ext uri="{FF2B5EF4-FFF2-40B4-BE49-F238E27FC236}">
                  <a16:creationId xmlns:a16="http://schemas.microsoft.com/office/drawing/2014/main" id="{00000000-0008-0000-2000-00000A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1737360</xdr:colOff>
          <xdr:row>21</xdr:row>
          <xdr:rowOff>464820</xdr:rowOff>
        </xdr:from>
        <xdr:to>
          <xdr:col>4</xdr:col>
          <xdr:colOff>0</xdr:colOff>
          <xdr:row>21</xdr:row>
          <xdr:rowOff>693420</xdr:rowOff>
        </xdr:to>
        <xdr:sp macro="" textlink="">
          <xdr:nvSpPr>
            <xdr:cNvPr id="51329035" name="Check Box 11" hidden="1">
              <a:extLst>
                <a:ext uri="{63B3BB69-23CF-44E3-9099-C40C66FF867C}">
                  <a14:compatExt spid="_x0000_s51329035"/>
                </a:ext>
                <a:ext uri="{FF2B5EF4-FFF2-40B4-BE49-F238E27FC236}">
                  <a16:creationId xmlns:a16="http://schemas.microsoft.com/office/drawing/2014/main" id="{00000000-0008-0000-2000-00000B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1744980</xdr:colOff>
          <xdr:row>21</xdr:row>
          <xdr:rowOff>822960</xdr:rowOff>
        </xdr:from>
        <xdr:to>
          <xdr:col>4</xdr:col>
          <xdr:colOff>0</xdr:colOff>
          <xdr:row>21</xdr:row>
          <xdr:rowOff>1051560</xdr:rowOff>
        </xdr:to>
        <xdr:sp macro="" textlink="">
          <xdr:nvSpPr>
            <xdr:cNvPr id="51329036" name="Check Box 12" hidden="1">
              <a:extLst>
                <a:ext uri="{63B3BB69-23CF-44E3-9099-C40C66FF867C}">
                  <a14:compatExt spid="_x0000_s51329036"/>
                </a:ext>
                <a:ext uri="{FF2B5EF4-FFF2-40B4-BE49-F238E27FC236}">
                  <a16:creationId xmlns:a16="http://schemas.microsoft.com/office/drawing/2014/main" id="{00000000-0008-0000-2000-00000C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1668780</xdr:colOff>
          <xdr:row>21</xdr:row>
          <xdr:rowOff>137160</xdr:rowOff>
        </xdr:from>
        <xdr:to>
          <xdr:col>4</xdr:col>
          <xdr:colOff>1950720</xdr:colOff>
          <xdr:row>21</xdr:row>
          <xdr:rowOff>365760</xdr:rowOff>
        </xdr:to>
        <xdr:sp macro="" textlink="">
          <xdr:nvSpPr>
            <xdr:cNvPr id="51329037" name="Check Box 13" hidden="1">
              <a:extLst>
                <a:ext uri="{63B3BB69-23CF-44E3-9099-C40C66FF867C}">
                  <a14:compatExt spid="_x0000_s51329037"/>
                </a:ext>
                <a:ext uri="{FF2B5EF4-FFF2-40B4-BE49-F238E27FC236}">
                  <a16:creationId xmlns:a16="http://schemas.microsoft.com/office/drawing/2014/main" id="{00000000-0008-0000-2000-00000D38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550334</xdr:colOff>
      <xdr:row>21</xdr:row>
      <xdr:rowOff>135466</xdr:rowOff>
    </xdr:from>
    <xdr:to>
      <xdr:col>1</xdr:col>
      <xdr:colOff>1820334</xdr:colOff>
      <xdr:row>21</xdr:row>
      <xdr:rowOff>406400</xdr:rowOff>
    </xdr:to>
    <xdr:sp macro="" textlink="">
      <xdr:nvSpPr>
        <xdr:cNvPr id="2" name="ZoneTexte 1">
          <a:extLst>
            <a:ext uri="{FF2B5EF4-FFF2-40B4-BE49-F238E27FC236}">
              <a16:creationId xmlns:a16="http://schemas.microsoft.com/office/drawing/2014/main" id="{00000000-0008-0000-1F00-000002000000}"/>
            </a:ext>
          </a:extLst>
        </xdr:cNvPr>
        <xdr:cNvSpPr txBox="1"/>
      </xdr:nvSpPr>
      <xdr:spPr>
        <a:xfrm>
          <a:off x="3697394" y="5385646"/>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Femmes et filles</a:t>
          </a:r>
        </a:p>
      </xdr:txBody>
    </xdr:sp>
    <xdr:clientData/>
  </xdr:twoCellAnchor>
  <xdr:twoCellAnchor editAs="oneCell">
    <xdr:from>
      <xdr:col>1</xdr:col>
      <xdr:colOff>541868</xdr:colOff>
      <xdr:row>21</xdr:row>
      <xdr:rowOff>457199</xdr:rowOff>
    </xdr:from>
    <xdr:to>
      <xdr:col>1</xdr:col>
      <xdr:colOff>1811868</xdr:colOff>
      <xdr:row>21</xdr:row>
      <xdr:rowOff>728133</xdr:rowOff>
    </xdr:to>
    <xdr:sp macro="" textlink="">
      <xdr:nvSpPr>
        <xdr:cNvPr id="3" name="ZoneTexte 2">
          <a:extLst>
            <a:ext uri="{FF2B5EF4-FFF2-40B4-BE49-F238E27FC236}">
              <a16:creationId xmlns:a16="http://schemas.microsoft.com/office/drawing/2014/main" id="{00000000-0008-0000-1F00-000003000000}"/>
            </a:ext>
          </a:extLst>
        </xdr:cNvPr>
        <xdr:cNvSpPr txBox="1"/>
      </xdr:nvSpPr>
      <xdr:spPr>
        <a:xfrm>
          <a:off x="3688928" y="57073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Enfants</a:t>
          </a:r>
        </a:p>
      </xdr:txBody>
    </xdr:sp>
    <xdr:clientData/>
  </xdr:twoCellAnchor>
  <xdr:twoCellAnchor editAs="oneCell">
    <xdr:from>
      <xdr:col>1</xdr:col>
      <xdr:colOff>550334</xdr:colOff>
      <xdr:row>21</xdr:row>
      <xdr:rowOff>812799</xdr:rowOff>
    </xdr:from>
    <xdr:to>
      <xdr:col>1</xdr:col>
      <xdr:colOff>1820334</xdr:colOff>
      <xdr:row>21</xdr:row>
      <xdr:rowOff>1083733</xdr:rowOff>
    </xdr:to>
    <xdr:sp macro="" textlink="">
      <xdr:nvSpPr>
        <xdr:cNvPr id="4" name="ZoneTexte 3">
          <a:extLst>
            <a:ext uri="{FF2B5EF4-FFF2-40B4-BE49-F238E27FC236}">
              <a16:creationId xmlns:a16="http://schemas.microsoft.com/office/drawing/2014/main" id="{00000000-0008-0000-1F00-000004000000}"/>
            </a:ext>
          </a:extLst>
        </xdr:cNvPr>
        <xdr:cNvSpPr txBox="1"/>
      </xdr:nvSpPr>
      <xdr:spPr>
        <a:xfrm>
          <a:off x="3697394" y="60629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Jeunes</a:t>
          </a:r>
        </a:p>
      </xdr:txBody>
    </xdr:sp>
    <xdr:clientData/>
  </xdr:twoCellAnchor>
  <xdr:twoCellAnchor editAs="oneCell">
    <xdr:from>
      <xdr:col>2</xdr:col>
      <xdr:colOff>152399</xdr:colOff>
      <xdr:row>21</xdr:row>
      <xdr:rowOff>126999</xdr:rowOff>
    </xdr:from>
    <xdr:to>
      <xdr:col>2</xdr:col>
      <xdr:colOff>1422399</xdr:colOff>
      <xdr:row>21</xdr:row>
      <xdr:rowOff>397933</xdr:rowOff>
    </xdr:to>
    <xdr:sp macro="" textlink="">
      <xdr:nvSpPr>
        <xdr:cNvPr id="5" name="ZoneTexte 4">
          <a:extLst>
            <a:ext uri="{FF2B5EF4-FFF2-40B4-BE49-F238E27FC236}">
              <a16:creationId xmlns:a16="http://schemas.microsoft.com/office/drawing/2014/main" id="{00000000-0008-0000-1F00-000005000000}"/>
            </a:ext>
          </a:extLst>
        </xdr:cNvPr>
        <xdr:cNvSpPr txBox="1"/>
      </xdr:nvSpPr>
      <xdr:spPr>
        <a:xfrm>
          <a:off x="5654039" y="53771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âgées</a:t>
          </a:r>
        </a:p>
      </xdr:txBody>
    </xdr:sp>
    <xdr:clientData/>
  </xdr:twoCellAnchor>
  <xdr:twoCellAnchor editAs="oneCell">
    <xdr:from>
      <xdr:col>2</xdr:col>
      <xdr:colOff>152398</xdr:colOff>
      <xdr:row>21</xdr:row>
      <xdr:rowOff>465664</xdr:rowOff>
    </xdr:from>
    <xdr:to>
      <xdr:col>2</xdr:col>
      <xdr:colOff>1693334</xdr:colOff>
      <xdr:row>21</xdr:row>
      <xdr:rowOff>736598</xdr:rowOff>
    </xdr:to>
    <xdr:sp macro="" textlink="">
      <xdr:nvSpPr>
        <xdr:cNvPr id="6" name="ZoneTexte 5">
          <a:extLst>
            <a:ext uri="{FF2B5EF4-FFF2-40B4-BE49-F238E27FC236}">
              <a16:creationId xmlns:a16="http://schemas.microsoft.com/office/drawing/2014/main" id="{00000000-0008-0000-1F00-000006000000}"/>
            </a:ext>
          </a:extLst>
        </xdr:cNvPr>
        <xdr:cNvSpPr txBox="1"/>
      </xdr:nvSpPr>
      <xdr:spPr>
        <a:xfrm>
          <a:off x="5654038" y="5715844"/>
          <a:ext cx="1540936"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Groupes marginalisés</a:t>
          </a:r>
        </a:p>
      </xdr:txBody>
    </xdr:sp>
    <xdr:clientData/>
  </xdr:twoCellAnchor>
  <xdr:twoCellAnchor editAs="oneCell">
    <xdr:from>
      <xdr:col>2</xdr:col>
      <xdr:colOff>143934</xdr:colOff>
      <xdr:row>21</xdr:row>
      <xdr:rowOff>821267</xdr:rowOff>
    </xdr:from>
    <xdr:to>
      <xdr:col>2</xdr:col>
      <xdr:colOff>1854200</xdr:colOff>
      <xdr:row>21</xdr:row>
      <xdr:rowOff>1092201</xdr:rowOff>
    </xdr:to>
    <xdr:sp macro="" textlink="">
      <xdr:nvSpPr>
        <xdr:cNvPr id="7" name="ZoneTexte 6">
          <a:extLst>
            <a:ext uri="{FF2B5EF4-FFF2-40B4-BE49-F238E27FC236}">
              <a16:creationId xmlns:a16="http://schemas.microsoft.com/office/drawing/2014/main" id="{00000000-0008-0000-1F00-000007000000}"/>
            </a:ext>
          </a:extLst>
        </xdr:cNvPr>
        <xdr:cNvSpPr txBox="1"/>
      </xdr:nvSpPr>
      <xdr:spPr>
        <a:xfrm>
          <a:off x="5645574" y="6071447"/>
          <a:ext cx="1710266"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handicapées</a:t>
          </a:r>
        </a:p>
      </xdr:txBody>
    </xdr:sp>
    <xdr:clientData/>
  </xdr:twoCellAnchor>
  <xdr:twoCellAnchor editAs="oneCell">
    <xdr:from>
      <xdr:col>2</xdr:col>
      <xdr:colOff>2175935</xdr:colOff>
      <xdr:row>21</xdr:row>
      <xdr:rowOff>42334</xdr:rowOff>
    </xdr:from>
    <xdr:to>
      <xdr:col>3</xdr:col>
      <xdr:colOff>1574800</xdr:colOff>
      <xdr:row>21</xdr:row>
      <xdr:rowOff>601134</xdr:rowOff>
    </xdr:to>
    <xdr:sp macro="" textlink="">
      <xdr:nvSpPr>
        <xdr:cNvPr id="8" name="ZoneTexte 7">
          <a:extLst>
            <a:ext uri="{FF2B5EF4-FFF2-40B4-BE49-F238E27FC236}">
              <a16:creationId xmlns:a16="http://schemas.microsoft.com/office/drawing/2014/main" id="{00000000-0008-0000-1F00-000008000000}"/>
            </a:ext>
          </a:extLst>
        </xdr:cNvPr>
        <xdr:cNvSpPr txBox="1"/>
      </xdr:nvSpPr>
      <xdr:spPr>
        <a:xfrm>
          <a:off x="7677575" y="5292514"/>
          <a:ext cx="1639145" cy="55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atteintes de maladies</a:t>
          </a:r>
          <a:r>
            <a:rPr lang="fr-BE" sz="1200" baseline="0">
              <a:solidFill>
                <a:srgbClr val="215967"/>
              </a:solidFill>
            </a:rPr>
            <a:t> chroniques</a:t>
          </a:r>
          <a:endParaRPr lang="fr-BE" sz="1200">
            <a:solidFill>
              <a:srgbClr val="215967"/>
            </a:solidFill>
          </a:endParaRPr>
        </a:p>
      </xdr:txBody>
    </xdr:sp>
    <xdr:clientData/>
  </xdr:twoCellAnchor>
  <xdr:twoCellAnchor editAs="oneCell">
    <xdr:from>
      <xdr:col>2</xdr:col>
      <xdr:colOff>2159004</xdr:colOff>
      <xdr:row>21</xdr:row>
      <xdr:rowOff>474134</xdr:rowOff>
    </xdr:from>
    <xdr:to>
      <xdr:col>3</xdr:col>
      <xdr:colOff>1778000</xdr:colOff>
      <xdr:row>21</xdr:row>
      <xdr:rowOff>889000</xdr:rowOff>
    </xdr:to>
    <xdr:sp macro="" textlink="">
      <xdr:nvSpPr>
        <xdr:cNvPr id="9" name="ZoneTexte 8">
          <a:extLst>
            <a:ext uri="{FF2B5EF4-FFF2-40B4-BE49-F238E27FC236}">
              <a16:creationId xmlns:a16="http://schemas.microsoft.com/office/drawing/2014/main" id="{00000000-0008-0000-1F00-000009000000}"/>
            </a:ext>
          </a:extLst>
        </xdr:cNvPr>
        <xdr:cNvSpPr txBox="1"/>
      </xdr:nvSpPr>
      <xdr:spPr>
        <a:xfrm>
          <a:off x="7660644" y="5724314"/>
          <a:ext cx="1859276" cy="414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Ménages à faibles revenus</a:t>
          </a:r>
        </a:p>
      </xdr:txBody>
    </xdr:sp>
    <xdr:clientData/>
  </xdr:twoCellAnchor>
  <xdr:twoCellAnchor editAs="oneCell">
    <xdr:from>
      <xdr:col>2</xdr:col>
      <xdr:colOff>2209801</xdr:colOff>
      <xdr:row>21</xdr:row>
      <xdr:rowOff>804334</xdr:rowOff>
    </xdr:from>
    <xdr:to>
      <xdr:col>3</xdr:col>
      <xdr:colOff>1676400</xdr:colOff>
      <xdr:row>21</xdr:row>
      <xdr:rowOff>1075268</xdr:rowOff>
    </xdr:to>
    <xdr:sp macro="" textlink="">
      <xdr:nvSpPr>
        <xdr:cNvPr id="10" name="ZoneTexte 9">
          <a:extLst>
            <a:ext uri="{FF2B5EF4-FFF2-40B4-BE49-F238E27FC236}">
              <a16:creationId xmlns:a16="http://schemas.microsoft.com/office/drawing/2014/main" id="{00000000-0008-0000-1F00-00000A000000}"/>
            </a:ext>
          </a:extLst>
        </xdr:cNvPr>
        <xdr:cNvSpPr txBox="1"/>
      </xdr:nvSpPr>
      <xdr:spPr>
        <a:xfrm>
          <a:off x="7711441" y="6054514"/>
          <a:ext cx="1706879"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Chômeurs</a:t>
          </a:r>
        </a:p>
      </xdr:txBody>
    </xdr:sp>
    <xdr:clientData/>
  </xdr:twoCellAnchor>
  <xdr:twoCellAnchor editAs="oneCell">
    <xdr:from>
      <xdr:col>3</xdr:col>
      <xdr:colOff>1921935</xdr:colOff>
      <xdr:row>21</xdr:row>
      <xdr:rowOff>33866</xdr:rowOff>
    </xdr:from>
    <xdr:to>
      <xdr:col>4</xdr:col>
      <xdr:colOff>1566334</xdr:colOff>
      <xdr:row>21</xdr:row>
      <xdr:rowOff>618066</xdr:rowOff>
    </xdr:to>
    <xdr:sp macro="" textlink="">
      <xdr:nvSpPr>
        <xdr:cNvPr id="11" name="ZoneTexte 10">
          <a:extLst>
            <a:ext uri="{FF2B5EF4-FFF2-40B4-BE49-F238E27FC236}">
              <a16:creationId xmlns:a16="http://schemas.microsoft.com/office/drawing/2014/main" id="{00000000-0008-0000-1F00-00000B000000}"/>
            </a:ext>
          </a:extLst>
        </xdr:cNvPr>
        <xdr:cNvSpPr txBox="1"/>
      </xdr:nvSpPr>
      <xdr:spPr>
        <a:xfrm>
          <a:off x="9663855" y="5284046"/>
          <a:ext cx="1709419"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vivant dans des logements précaires</a:t>
          </a:r>
        </a:p>
      </xdr:txBody>
    </xdr:sp>
    <xdr:clientData/>
  </xdr:twoCellAnchor>
  <xdr:twoCellAnchor editAs="oneCell">
    <xdr:from>
      <xdr:col>3</xdr:col>
      <xdr:colOff>1938869</xdr:colOff>
      <xdr:row>21</xdr:row>
      <xdr:rowOff>465666</xdr:rowOff>
    </xdr:from>
    <xdr:to>
      <xdr:col>4</xdr:col>
      <xdr:colOff>2269066</xdr:colOff>
      <xdr:row>21</xdr:row>
      <xdr:rowOff>728133</xdr:rowOff>
    </xdr:to>
    <xdr:sp macro="" textlink="">
      <xdr:nvSpPr>
        <xdr:cNvPr id="12" name="ZoneTexte 11">
          <a:extLst>
            <a:ext uri="{FF2B5EF4-FFF2-40B4-BE49-F238E27FC236}">
              <a16:creationId xmlns:a16="http://schemas.microsoft.com/office/drawing/2014/main" id="{00000000-0008-0000-1F00-00000C000000}"/>
            </a:ext>
          </a:extLst>
        </xdr:cNvPr>
        <xdr:cNvSpPr txBox="1"/>
      </xdr:nvSpPr>
      <xdr:spPr>
        <a:xfrm>
          <a:off x="9680789" y="5715846"/>
          <a:ext cx="2395217" cy="262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Migrants</a:t>
          </a:r>
          <a:r>
            <a:rPr lang="fr-BE" sz="1200" baseline="0">
              <a:solidFill>
                <a:srgbClr val="215967"/>
              </a:solidFill>
            </a:rPr>
            <a:t> et personnes déplacées</a:t>
          </a:r>
          <a:endParaRPr lang="fr-BE" sz="1200">
            <a:solidFill>
              <a:srgbClr val="215967"/>
            </a:solidFill>
          </a:endParaRPr>
        </a:p>
      </xdr:txBody>
    </xdr:sp>
    <xdr:clientData/>
  </xdr:twoCellAnchor>
  <xdr:twoCellAnchor editAs="oneCell">
    <xdr:from>
      <xdr:col>3</xdr:col>
      <xdr:colOff>1955803</xdr:colOff>
      <xdr:row>21</xdr:row>
      <xdr:rowOff>804333</xdr:rowOff>
    </xdr:from>
    <xdr:to>
      <xdr:col>4</xdr:col>
      <xdr:colOff>2286000</xdr:colOff>
      <xdr:row>21</xdr:row>
      <xdr:rowOff>1066800</xdr:rowOff>
    </xdr:to>
    <xdr:sp macro="" textlink="">
      <xdr:nvSpPr>
        <xdr:cNvPr id="13" name="ZoneTexte 12">
          <a:extLst>
            <a:ext uri="{FF2B5EF4-FFF2-40B4-BE49-F238E27FC236}">
              <a16:creationId xmlns:a16="http://schemas.microsoft.com/office/drawing/2014/main" id="{00000000-0008-0000-1F00-00000D000000}"/>
            </a:ext>
          </a:extLst>
        </xdr:cNvPr>
        <xdr:cNvSpPr txBox="1"/>
      </xdr:nvSpPr>
      <xdr:spPr>
        <a:xfrm>
          <a:off x="9697723" y="6054513"/>
          <a:ext cx="2395217" cy="262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Autres</a:t>
          </a:r>
        </a:p>
      </xdr:txBody>
    </xdr:sp>
    <xdr:clientData/>
  </xdr:twoCellAnchor>
  <xdr:twoCellAnchor editAs="oneCell">
    <xdr:from>
      <xdr:col>4</xdr:col>
      <xdr:colOff>1862670</xdr:colOff>
      <xdr:row>21</xdr:row>
      <xdr:rowOff>118534</xdr:rowOff>
    </xdr:from>
    <xdr:to>
      <xdr:col>5</xdr:col>
      <xdr:colOff>304800</xdr:colOff>
      <xdr:row>21</xdr:row>
      <xdr:rowOff>364067</xdr:rowOff>
    </xdr:to>
    <xdr:sp macro="" textlink="">
      <xdr:nvSpPr>
        <xdr:cNvPr id="14" name="ZoneTexte 13">
          <a:extLst>
            <a:ext uri="{FF2B5EF4-FFF2-40B4-BE49-F238E27FC236}">
              <a16:creationId xmlns:a16="http://schemas.microsoft.com/office/drawing/2014/main" id="{00000000-0008-0000-1F00-00000E000000}"/>
            </a:ext>
          </a:extLst>
        </xdr:cNvPr>
        <xdr:cNvSpPr txBox="1"/>
      </xdr:nvSpPr>
      <xdr:spPr>
        <a:xfrm>
          <a:off x="11669610" y="5368714"/>
          <a:ext cx="1147230" cy="245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Tous</a:t>
          </a:r>
        </a:p>
      </xdr:txBody>
    </xdr:sp>
    <xdr:clientData/>
  </xdr:twoCellAnchor>
  <xdr:twoCellAnchor>
    <xdr:from>
      <xdr:col>0</xdr:col>
      <xdr:colOff>2775854</xdr:colOff>
      <xdr:row>86</xdr:row>
      <xdr:rowOff>10885</xdr:rowOff>
    </xdr:from>
    <xdr:to>
      <xdr:col>0</xdr:col>
      <xdr:colOff>2852057</xdr:colOff>
      <xdr:row>96</xdr:row>
      <xdr:rowOff>0</xdr:rowOff>
    </xdr:to>
    <xdr:sp macro="" textlink="">
      <xdr:nvSpPr>
        <xdr:cNvPr id="15" name="Parenthèse ouvrante 14">
          <a:extLst>
            <a:ext uri="{FF2B5EF4-FFF2-40B4-BE49-F238E27FC236}">
              <a16:creationId xmlns:a16="http://schemas.microsoft.com/office/drawing/2014/main" id="{A350FA5E-2BE7-4E2D-983E-5B89E0AD54D4}"/>
            </a:ext>
          </a:extLst>
        </xdr:cNvPr>
        <xdr:cNvSpPr/>
      </xdr:nvSpPr>
      <xdr:spPr>
        <a:xfrm>
          <a:off x="2775854" y="23168065"/>
          <a:ext cx="76203" cy="1836419"/>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0</xdr:col>
      <xdr:colOff>228599</xdr:colOff>
      <xdr:row>89</xdr:row>
      <xdr:rowOff>163284</xdr:rowOff>
    </xdr:from>
    <xdr:to>
      <xdr:col>0</xdr:col>
      <xdr:colOff>2666999</xdr:colOff>
      <xdr:row>91</xdr:row>
      <xdr:rowOff>180702</xdr:rowOff>
    </xdr:to>
    <xdr:sp macro="" textlink="">
      <xdr:nvSpPr>
        <xdr:cNvPr id="16" name="ZoneTexte 15">
          <a:extLst>
            <a:ext uri="{FF2B5EF4-FFF2-40B4-BE49-F238E27FC236}">
              <a16:creationId xmlns:a16="http://schemas.microsoft.com/office/drawing/2014/main" id="{B7315B0B-5405-4CF9-BDC3-45A9BDFD1F6E}"/>
            </a:ext>
          </a:extLst>
        </xdr:cNvPr>
        <xdr:cNvSpPr txBox="1"/>
      </xdr:nvSpPr>
      <xdr:spPr>
        <a:xfrm>
          <a:off x="228599" y="23869104"/>
          <a:ext cx="2438400" cy="505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100"/>
            <a:t>Autres</a:t>
          </a:r>
          <a:r>
            <a:rPr lang="fr-BE" sz="1100" baseline="0"/>
            <a:t> indicateurs (remplissage libre)</a:t>
          </a:r>
          <a:endParaRPr lang="fr-BE" sz="1100"/>
        </a:p>
      </xdr:txBody>
    </xdr:sp>
    <xdr:clientData/>
  </xdr:twoCellAnchor>
  <xdr:twoCellAnchor>
    <xdr:from>
      <xdr:col>0</xdr:col>
      <xdr:colOff>2773133</xdr:colOff>
      <xdr:row>75</xdr:row>
      <xdr:rowOff>581025</xdr:rowOff>
    </xdr:from>
    <xdr:to>
      <xdr:col>0</xdr:col>
      <xdr:colOff>2849336</xdr:colOff>
      <xdr:row>85</xdr:row>
      <xdr:rowOff>175532</xdr:rowOff>
    </xdr:to>
    <xdr:sp macro="" textlink="">
      <xdr:nvSpPr>
        <xdr:cNvPr id="17" name="Parenthèse ouvrante 16">
          <a:extLst>
            <a:ext uri="{FF2B5EF4-FFF2-40B4-BE49-F238E27FC236}">
              <a16:creationId xmlns:a16="http://schemas.microsoft.com/office/drawing/2014/main" id="{A9C1D1B4-9CCF-4544-AD7D-F2AD4CC3D7E5}"/>
            </a:ext>
          </a:extLst>
        </xdr:cNvPr>
        <xdr:cNvSpPr/>
      </xdr:nvSpPr>
      <xdr:spPr>
        <a:xfrm>
          <a:off x="2773133" y="21261705"/>
          <a:ext cx="76203" cy="1880507"/>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0</xdr:col>
      <xdr:colOff>247650</xdr:colOff>
      <xdr:row>79</xdr:row>
      <xdr:rowOff>31296</xdr:rowOff>
    </xdr:from>
    <xdr:to>
      <xdr:col>0</xdr:col>
      <xdr:colOff>2686050</xdr:colOff>
      <xdr:row>84</xdr:row>
      <xdr:rowOff>47625</xdr:rowOff>
    </xdr:to>
    <xdr:sp macro="" textlink="">
      <xdr:nvSpPr>
        <xdr:cNvPr id="18" name="ZoneTexte 17">
          <a:extLst>
            <a:ext uri="{FF2B5EF4-FFF2-40B4-BE49-F238E27FC236}">
              <a16:creationId xmlns:a16="http://schemas.microsoft.com/office/drawing/2014/main" id="{9DE9DDA1-6727-430C-957E-32983D87559F}"/>
            </a:ext>
          </a:extLst>
        </xdr:cNvPr>
        <xdr:cNvSpPr txBox="1"/>
      </xdr:nvSpPr>
      <xdr:spPr>
        <a:xfrm>
          <a:off x="247650" y="22767471"/>
          <a:ext cx="2438400" cy="921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100"/>
            <a:t>Indicateurs issus de la fiche action du PAEDC (remplissage automatique des cellules grisées)</a:t>
          </a:r>
        </a:p>
      </xdr:txBody>
    </xdr: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350520</xdr:colOff>
          <xdr:row>21</xdr:row>
          <xdr:rowOff>152400</xdr:rowOff>
        </xdr:from>
        <xdr:to>
          <xdr:col>1</xdr:col>
          <xdr:colOff>632460</xdr:colOff>
          <xdr:row>21</xdr:row>
          <xdr:rowOff>381000</xdr:rowOff>
        </xdr:to>
        <xdr:sp macro="" textlink="">
          <xdr:nvSpPr>
            <xdr:cNvPr id="51330049" name="Check Box 1" hidden="1">
              <a:extLst>
                <a:ext uri="{63B3BB69-23CF-44E3-9099-C40C66FF867C}">
                  <a14:compatExt spid="_x0000_s51330049"/>
                </a:ext>
                <a:ext uri="{FF2B5EF4-FFF2-40B4-BE49-F238E27FC236}">
                  <a16:creationId xmlns:a16="http://schemas.microsoft.com/office/drawing/2014/main" id="{00000000-0008-0000-2100-000001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21</xdr:row>
          <xdr:rowOff>480060</xdr:rowOff>
        </xdr:from>
        <xdr:to>
          <xdr:col>1</xdr:col>
          <xdr:colOff>632460</xdr:colOff>
          <xdr:row>21</xdr:row>
          <xdr:rowOff>708660</xdr:rowOff>
        </xdr:to>
        <xdr:sp macro="" textlink="">
          <xdr:nvSpPr>
            <xdr:cNvPr id="51330050" name="Check Box 2" hidden="1">
              <a:extLst>
                <a:ext uri="{63B3BB69-23CF-44E3-9099-C40C66FF867C}">
                  <a14:compatExt spid="_x0000_s51330050"/>
                </a:ext>
                <a:ext uri="{FF2B5EF4-FFF2-40B4-BE49-F238E27FC236}">
                  <a16:creationId xmlns:a16="http://schemas.microsoft.com/office/drawing/2014/main" id="{00000000-0008-0000-2100-000002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21</xdr:row>
          <xdr:rowOff>830580</xdr:rowOff>
        </xdr:from>
        <xdr:to>
          <xdr:col>1</xdr:col>
          <xdr:colOff>617220</xdr:colOff>
          <xdr:row>21</xdr:row>
          <xdr:rowOff>1059180</xdr:rowOff>
        </xdr:to>
        <xdr:sp macro="" textlink="">
          <xdr:nvSpPr>
            <xdr:cNvPr id="51330051" name="Check Box 3" hidden="1">
              <a:extLst>
                <a:ext uri="{63B3BB69-23CF-44E3-9099-C40C66FF867C}">
                  <a14:compatExt spid="_x0000_s51330051"/>
                </a:ext>
                <a:ext uri="{FF2B5EF4-FFF2-40B4-BE49-F238E27FC236}">
                  <a16:creationId xmlns:a16="http://schemas.microsoft.com/office/drawing/2014/main" id="{00000000-0008-0000-2100-000003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152400</xdr:rowOff>
        </xdr:from>
        <xdr:to>
          <xdr:col>2</xdr:col>
          <xdr:colOff>274320</xdr:colOff>
          <xdr:row>21</xdr:row>
          <xdr:rowOff>381000</xdr:rowOff>
        </xdr:to>
        <xdr:sp macro="" textlink="">
          <xdr:nvSpPr>
            <xdr:cNvPr id="51330052" name="Check Box 4" hidden="1">
              <a:extLst>
                <a:ext uri="{63B3BB69-23CF-44E3-9099-C40C66FF867C}">
                  <a14:compatExt spid="_x0000_s51330052"/>
                </a:ext>
                <a:ext uri="{FF2B5EF4-FFF2-40B4-BE49-F238E27FC236}">
                  <a16:creationId xmlns:a16="http://schemas.microsoft.com/office/drawing/2014/main" id="{00000000-0008-0000-2100-000004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480060</xdr:rowOff>
        </xdr:from>
        <xdr:to>
          <xdr:col>2</xdr:col>
          <xdr:colOff>274320</xdr:colOff>
          <xdr:row>21</xdr:row>
          <xdr:rowOff>708660</xdr:rowOff>
        </xdr:to>
        <xdr:sp macro="" textlink="">
          <xdr:nvSpPr>
            <xdr:cNvPr id="51330053" name="Check Box 5" hidden="1">
              <a:extLst>
                <a:ext uri="{63B3BB69-23CF-44E3-9099-C40C66FF867C}">
                  <a14:compatExt spid="_x0000_s51330053"/>
                </a:ext>
                <a:ext uri="{FF2B5EF4-FFF2-40B4-BE49-F238E27FC236}">
                  <a16:creationId xmlns:a16="http://schemas.microsoft.com/office/drawing/2014/main" id="{00000000-0008-0000-2100-000005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830580</xdr:rowOff>
        </xdr:from>
        <xdr:to>
          <xdr:col>2</xdr:col>
          <xdr:colOff>274320</xdr:colOff>
          <xdr:row>21</xdr:row>
          <xdr:rowOff>1059180</xdr:rowOff>
        </xdr:to>
        <xdr:sp macro="" textlink="">
          <xdr:nvSpPr>
            <xdr:cNvPr id="51330054" name="Check Box 6" hidden="1">
              <a:extLst>
                <a:ext uri="{63B3BB69-23CF-44E3-9099-C40C66FF867C}">
                  <a14:compatExt spid="_x0000_s51330054"/>
                </a:ext>
                <a:ext uri="{FF2B5EF4-FFF2-40B4-BE49-F238E27FC236}">
                  <a16:creationId xmlns:a16="http://schemas.microsoft.com/office/drawing/2014/main" id="{00000000-0008-0000-2100-000006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21</xdr:row>
          <xdr:rowOff>152400</xdr:rowOff>
        </xdr:from>
        <xdr:to>
          <xdr:col>3</xdr:col>
          <xdr:colOff>22860</xdr:colOff>
          <xdr:row>21</xdr:row>
          <xdr:rowOff>381000</xdr:rowOff>
        </xdr:to>
        <xdr:sp macro="" textlink="">
          <xdr:nvSpPr>
            <xdr:cNvPr id="51330055" name="Check Box 7" hidden="1">
              <a:extLst>
                <a:ext uri="{63B3BB69-23CF-44E3-9099-C40C66FF867C}">
                  <a14:compatExt spid="_x0000_s51330055"/>
                </a:ext>
                <a:ext uri="{FF2B5EF4-FFF2-40B4-BE49-F238E27FC236}">
                  <a16:creationId xmlns:a16="http://schemas.microsoft.com/office/drawing/2014/main" id="{00000000-0008-0000-2100-000007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1988820</xdr:colOff>
          <xdr:row>21</xdr:row>
          <xdr:rowOff>480060</xdr:rowOff>
        </xdr:from>
        <xdr:to>
          <xdr:col>3</xdr:col>
          <xdr:colOff>22860</xdr:colOff>
          <xdr:row>21</xdr:row>
          <xdr:rowOff>708660</xdr:rowOff>
        </xdr:to>
        <xdr:sp macro="" textlink="">
          <xdr:nvSpPr>
            <xdr:cNvPr id="51330056" name="Check Box 8" hidden="1">
              <a:extLst>
                <a:ext uri="{63B3BB69-23CF-44E3-9099-C40C66FF867C}">
                  <a14:compatExt spid="_x0000_s51330056"/>
                </a:ext>
                <a:ext uri="{FF2B5EF4-FFF2-40B4-BE49-F238E27FC236}">
                  <a16:creationId xmlns:a16="http://schemas.microsoft.com/office/drawing/2014/main" id="{00000000-0008-0000-2100-000008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21</xdr:row>
          <xdr:rowOff>830580</xdr:rowOff>
        </xdr:from>
        <xdr:to>
          <xdr:col>3</xdr:col>
          <xdr:colOff>30480</xdr:colOff>
          <xdr:row>21</xdr:row>
          <xdr:rowOff>1059180</xdr:rowOff>
        </xdr:to>
        <xdr:sp macro="" textlink="">
          <xdr:nvSpPr>
            <xdr:cNvPr id="51330057" name="Check Box 9" hidden="1">
              <a:extLst>
                <a:ext uri="{63B3BB69-23CF-44E3-9099-C40C66FF867C}">
                  <a14:compatExt spid="_x0000_s51330057"/>
                </a:ext>
                <a:ext uri="{FF2B5EF4-FFF2-40B4-BE49-F238E27FC236}">
                  <a16:creationId xmlns:a16="http://schemas.microsoft.com/office/drawing/2014/main" id="{00000000-0008-0000-2100-000009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1737360</xdr:colOff>
          <xdr:row>21</xdr:row>
          <xdr:rowOff>152400</xdr:rowOff>
        </xdr:from>
        <xdr:to>
          <xdr:col>4</xdr:col>
          <xdr:colOff>0</xdr:colOff>
          <xdr:row>21</xdr:row>
          <xdr:rowOff>381000</xdr:rowOff>
        </xdr:to>
        <xdr:sp macro="" textlink="">
          <xdr:nvSpPr>
            <xdr:cNvPr id="51330058" name="Check Box 10" hidden="1">
              <a:extLst>
                <a:ext uri="{63B3BB69-23CF-44E3-9099-C40C66FF867C}">
                  <a14:compatExt spid="_x0000_s51330058"/>
                </a:ext>
                <a:ext uri="{FF2B5EF4-FFF2-40B4-BE49-F238E27FC236}">
                  <a16:creationId xmlns:a16="http://schemas.microsoft.com/office/drawing/2014/main" id="{00000000-0008-0000-2100-00000A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1737360</xdr:colOff>
          <xdr:row>21</xdr:row>
          <xdr:rowOff>480060</xdr:rowOff>
        </xdr:from>
        <xdr:to>
          <xdr:col>4</xdr:col>
          <xdr:colOff>0</xdr:colOff>
          <xdr:row>21</xdr:row>
          <xdr:rowOff>708660</xdr:rowOff>
        </xdr:to>
        <xdr:sp macro="" textlink="">
          <xdr:nvSpPr>
            <xdr:cNvPr id="51330059" name="Check Box 11" hidden="1">
              <a:extLst>
                <a:ext uri="{63B3BB69-23CF-44E3-9099-C40C66FF867C}">
                  <a14:compatExt spid="_x0000_s51330059"/>
                </a:ext>
                <a:ext uri="{FF2B5EF4-FFF2-40B4-BE49-F238E27FC236}">
                  <a16:creationId xmlns:a16="http://schemas.microsoft.com/office/drawing/2014/main" id="{00000000-0008-0000-2100-00000B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1744980</xdr:colOff>
          <xdr:row>21</xdr:row>
          <xdr:rowOff>830580</xdr:rowOff>
        </xdr:from>
        <xdr:to>
          <xdr:col>4</xdr:col>
          <xdr:colOff>0</xdr:colOff>
          <xdr:row>21</xdr:row>
          <xdr:rowOff>1059180</xdr:rowOff>
        </xdr:to>
        <xdr:sp macro="" textlink="">
          <xdr:nvSpPr>
            <xdr:cNvPr id="51330060" name="Check Box 12" hidden="1">
              <a:extLst>
                <a:ext uri="{63B3BB69-23CF-44E3-9099-C40C66FF867C}">
                  <a14:compatExt spid="_x0000_s51330060"/>
                </a:ext>
                <a:ext uri="{FF2B5EF4-FFF2-40B4-BE49-F238E27FC236}">
                  <a16:creationId xmlns:a16="http://schemas.microsoft.com/office/drawing/2014/main" id="{00000000-0008-0000-2100-00000C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1668780</xdr:colOff>
          <xdr:row>21</xdr:row>
          <xdr:rowOff>152400</xdr:rowOff>
        </xdr:from>
        <xdr:to>
          <xdr:col>4</xdr:col>
          <xdr:colOff>1950720</xdr:colOff>
          <xdr:row>21</xdr:row>
          <xdr:rowOff>381000</xdr:rowOff>
        </xdr:to>
        <xdr:sp macro="" textlink="">
          <xdr:nvSpPr>
            <xdr:cNvPr id="51330061" name="Check Box 13" hidden="1">
              <a:extLst>
                <a:ext uri="{63B3BB69-23CF-44E3-9099-C40C66FF867C}">
                  <a14:compatExt spid="_x0000_s51330061"/>
                </a:ext>
                <a:ext uri="{FF2B5EF4-FFF2-40B4-BE49-F238E27FC236}">
                  <a16:creationId xmlns:a16="http://schemas.microsoft.com/office/drawing/2014/main" id="{00000000-0008-0000-2100-00000D3C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550334</xdr:colOff>
      <xdr:row>21</xdr:row>
      <xdr:rowOff>135466</xdr:rowOff>
    </xdr:from>
    <xdr:to>
      <xdr:col>1</xdr:col>
      <xdr:colOff>1820334</xdr:colOff>
      <xdr:row>21</xdr:row>
      <xdr:rowOff>406400</xdr:rowOff>
    </xdr:to>
    <xdr:sp macro="" textlink="">
      <xdr:nvSpPr>
        <xdr:cNvPr id="2" name="ZoneTexte 1">
          <a:extLst>
            <a:ext uri="{FF2B5EF4-FFF2-40B4-BE49-F238E27FC236}">
              <a16:creationId xmlns:a16="http://schemas.microsoft.com/office/drawing/2014/main" id="{00000000-0008-0000-2000-000002000000}"/>
            </a:ext>
          </a:extLst>
        </xdr:cNvPr>
        <xdr:cNvSpPr txBox="1"/>
      </xdr:nvSpPr>
      <xdr:spPr>
        <a:xfrm>
          <a:off x="3697394" y="5385646"/>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Femmes et filles</a:t>
          </a:r>
        </a:p>
      </xdr:txBody>
    </xdr:sp>
    <xdr:clientData/>
  </xdr:twoCellAnchor>
  <xdr:twoCellAnchor editAs="oneCell">
    <xdr:from>
      <xdr:col>1</xdr:col>
      <xdr:colOff>541868</xdr:colOff>
      <xdr:row>21</xdr:row>
      <xdr:rowOff>457199</xdr:rowOff>
    </xdr:from>
    <xdr:to>
      <xdr:col>1</xdr:col>
      <xdr:colOff>1811868</xdr:colOff>
      <xdr:row>21</xdr:row>
      <xdr:rowOff>728133</xdr:rowOff>
    </xdr:to>
    <xdr:sp macro="" textlink="">
      <xdr:nvSpPr>
        <xdr:cNvPr id="3" name="ZoneTexte 2">
          <a:extLst>
            <a:ext uri="{FF2B5EF4-FFF2-40B4-BE49-F238E27FC236}">
              <a16:creationId xmlns:a16="http://schemas.microsoft.com/office/drawing/2014/main" id="{00000000-0008-0000-2000-000003000000}"/>
            </a:ext>
          </a:extLst>
        </xdr:cNvPr>
        <xdr:cNvSpPr txBox="1"/>
      </xdr:nvSpPr>
      <xdr:spPr>
        <a:xfrm>
          <a:off x="3688928" y="57073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Enfants</a:t>
          </a:r>
        </a:p>
      </xdr:txBody>
    </xdr:sp>
    <xdr:clientData/>
  </xdr:twoCellAnchor>
  <xdr:twoCellAnchor editAs="oneCell">
    <xdr:from>
      <xdr:col>1</xdr:col>
      <xdr:colOff>550334</xdr:colOff>
      <xdr:row>21</xdr:row>
      <xdr:rowOff>812799</xdr:rowOff>
    </xdr:from>
    <xdr:to>
      <xdr:col>1</xdr:col>
      <xdr:colOff>1820334</xdr:colOff>
      <xdr:row>21</xdr:row>
      <xdr:rowOff>1083733</xdr:rowOff>
    </xdr:to>
    <xdr:sp macro="" textlink="">
      <xdr:nvSpPr>
        <xdr:cNvPr id="4" name="ZoneTexte 3">
          <a:extLst>
            <a:ext uri="{FF2B5EF4-FFF2-40B4-BE49-F238E27FC236}">
              <a16:creationId xmlns:a16="http://schemas.microsoft.com/office/drawing/2014/main" id="{00000000-0008-0000-2000-000004000000}"/>
            </a:ext>
          </a:extLst>
        </xdr:cNvPr>
        <xdr:cNvSpPr txBox="1"/>
      </xdr:nvSpPr>
      <xdr:spPr>
        <a:xfrm>
          <a:off x="3697394" y="60629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Jeunes</a:t>
          </a:r>
        </a:p>
      </xdr:txBody>
    </xdr:sp>
    <xdr:clientData/>
  </xdr:twoCellAnchor>
  <xdr:twoCellAnchor editAs="oneCell">
    <xdr:from>
      <xdr:col>2</xdr:col>
      <xdr:colOff>152399</xdr:colOff>
      <xdr:row>21</xdr:row>
      <xdr:rowOff>126999</xdr:rowOff>
    </xdr:from>
    <xdr:to>
      <xdr:col>2</xdr:col>
      <xdr:colOff>1422399</xdr:colOff>
      <xdr:row>21</xdr:row>
      <xdr:rowOff>397933</xdr:rowOff>
    </xdr:to>
    <xdr:sp macro="" textlink="">
      <xdr:nvSpPr>
        <xdr:cNvPr id="5" name="ZoneTexte 4">
          <a:extLst>
            <a:ext uri="{FF2B5EF4-FFF2-40B4-BE49-F238E27FC236}">
              <a16:creationId xmlns:a16="http://schemas.microsoft.com/office/drawing/2014/main" id="{00000000-0008-0000-2000-000005000000}"/>
            </a:ext>
          </a:extLst>
        </xdr:cNvPr>
        <xdr:cNvSpPr txBox="1"/>
      </xdr:nvSpPr>
      <xdr:spPr>
        <a:xfrm>
          <a:off x="5654039" y="53771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âgées</a:t>
          </a:r>
        </a:p>
      </xdr:txBody>
    </xdr:sp>
    <xdr:clientData/>
  </xdr:twoCellAnchor>
  <xdr:twoCellAnchor editAs="oneCell">
    <xdr:from>
      <xdr:col>2</xdr:col>
      <xdr:colOff>152398</xdr:colOff>
      <xdr:row>21</xdr:row>
      <xdr:rowOff>465664</xdr:rowOff>
    </xdr:from>
    <xdr:to>
      <xdr:col>2</xdr:col>
      <xdr:colOff>1693334</xdr:colOff>
      <xdr:row>21</xdr:row>
      <xdr:rowOff>736598</xdr:rowOff>
    </xdr:to>
    <xdr:sp macro="" textlink="">
      <xdr:nvSpPr>
        <xdr:cNvPr id="6" name="ZoneTexte 5">
          <a:extLst>
            <a:ext uri="{FF2B5EF4-FFF2-40B4-BE49-F238E27FC236}">
              <a16:creationId xmlns:a16="http://schemas.microsoft.com/office/drawing/2014/main" id="{00000000-0008-0000-2000-000006000000}"/>
            </a:ext>
          </a:extLst>
        </xdr:cNvPr>
        <xdr:cNvSpPr txBox="1"/>
      </xdr:nvSpPr>
      <xdr:spPr>
        <a:xfrm>
          <a:off x="5654038" y="5715844"/>
          <a:ext cx="1540936"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Groupes marginalisés</a:t>
          </a:r>
        </a:p>
      </xdr:txBody>
    </xdr:sp>
    <xdr:clientData/>
  </xdr:twoCellAnchor>
  <xdr:twoCellAnchor editAs="oneCell">
    <xdr:from>
      <xdr:col>2</xdr:col>
      <xdr:colOff>143934</xdr:colOff>
      <xdr:row>21</xdr:row>
      <xdr:rowOff>821267</xdr:rowOff>
    </xdr:from>
    <xdr:to>
      <xdr:col>2</xdr:col>
      <xdr:colOff>1854200</xdr:colOff>
      <xdr:row>21</xdr:row>
      <xdr:rowOff>1092201</xdr:rowOff>
    </xdr:to>
    <xdr:sp macro="" textlink="">
      <xdr:nvSpPr>
        <xdr:cNvPr id="7" name="ZoneTexte 6">
          <a:extLst>
            <a:ext uri="{FF2B5EF4-FFF2-40B4-BE49-F238E27FC236}">
              <a16:creationId xmlns:a16="http://schemas.microsoft.com/office/drawing/2014/main" id="{00000000-0008-0000-2000-000007000000}"/>
            </a:ext>
          </a:extLst>
        </xdr:cNvPr>
        <xdr:cNvSpPr txBox="1"/>
      </xdr:nvSpPr>
      <xdr:spPr>
        <a:xfrm>
          <a:off x="5645574" y="6071447"/>
          <a:ext cx="1710266"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handicapées</a:t>
          </a:r>
        </a:p>
      </xdr:txBody>
    </xdr:sp>
    <xdr:clientData/>
  </xdr:twoCellAnchor>
  <xdr:twoCellAnchor editAs="oneCell">
    <xdr:from>
      <xdr:col>2</xdr:col>
      <xdr:colOff>2175935</xdr:colOff>
      <xdr:row>21</xdr:row>
      <xdr:rowOff>42334</xdr:rowOff>
    </xdr:from>
    <xdr:to>
      <xdr:col>3</xdr:col>
      <xdr:colOff>1574800</xdr:colOff>
      <xdr:row>21</xdr:row>
      <xdr:rowOff>601134</xdr:rowOff>
    </xdr:to>
    <xdr:sp macro="" textlink="">
      <xdr:nvSpPr>
        <xdr:cNvPr id="8" name="ZoneTexte 7">
          <a:extLst>
            <a:ext uri="{FF2B5EF4-FFF2-40B4-BE49-F238E27FC236}">
              <a16:creationId xmlns:a16="http://schemas.microsoft.com/office/drawing/2014/main" id="{00000000-0008-0000-2000-000008000000}"/>
            </a:ext>
          </a:extLst>
        </xdr:cNvPr>
        <xdr:cNvSpPr txBox="1"/>
      </xdr:nvSpPr>
      <xdr:spPr>
        <a:xfrm>
          <a:off x="7679268" y="5300134"/>
          <a:ext cx="1642532" cy="55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atteintes de maladies</a:t>
          </a:r>
          <a:r>
            <a:rPr lang="fr-BE" sz="1200" baseline="0">
              <a:solidFill>
                <a:srgbClr val="215967"/>
              </a:solidFill>
            </a:rPr>
            <a:t> chroniques</a:t>
          </a:r>
          <a:endParaRPr lang="fr-BE" sz="1200">
            <a:solidFill>
              <a:srgbClr val="215967"/>
            </a:solidFill>
          </a:endParaRPr>
        </a:p>
      </xdr:txBody>
    </xdr:sp>
    <xdr:clientData/>
  </xdr:twoCellAnchor>
  <xdr:twoCellAnchor editAs="oneCell">
    <xdr:from>
      <xdr:col>2</xdr:col>
      <xdr:colOff>2159004</xdr:colOff>
      <xdr:row>21</xdr:row>
      <xdr:rowOff>474134</xdr:rowOff>
    </xdr:from>
    <xdr:to>
      <xdr:col>3</xdr:col>
      <xdr:colOff>1778000</xdr:colOff>
      <xdr:row>21</xdr:row>
      <xdr:rowOff>889000</xdr:rowOff>
    </xdr:to>
    <xdr:sp macro="" textlink="">
      <xdr:nvSpPr>
        <xdr:cNvPr id="9" name="ZoneTexte 8">
          <a:extLst>
            <a:ext uri="{FF2B5EF4-FFF2-40B4-BE49-F238E27FC236}">
              <a16:creationId xmlns:a16="http://schemas.microsoft.com/office/drawing/2014/main" id="{00000000-0008-0000-2000-000009000000}"/>
            </a:ext>
          </a:extLst>
        </xdr:cNvPr>
        <xdr:cNvSpPr txBox="1"/>
      </xdr:nvSpPr>
      <xdr:spPr>
        <a:xfrm>
          <a:off x="7660644" y="5724314"/>
          <a:ext cx="1859276" cy="414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Ménages à faibles revenus</a:t>
          </a:r>
        </a:p>
      </xdr:txBody>
    </xdr:sp>
    <xdr:clientData/>
  </xdr:twoCellAnchor>
  <xdr:twoCellAnchor editAs="oneCell">
    <xdr:from>
      <xdr:col>2</xdr:col>
      <xdr:colOff>2209801</xdr:colOff>
      <xdr:row>21</xdr:row>
      <xdr:rowOff>804334</xdr:rowOff>
    </xdr:from>
    <xdr:to>
      <xdr:col>3</xdr:col>
      <xdr:colOff>1676400</xdr:colOff>
      <xdr:row>21</xdr:row>
      <xdr:rowOff>1075268</xdr:rowOff>
    </xdr:to>
    <xdr:sp macro="" textlink="">
      <xdr:nvSpPr>
        <xdr:cNvPr id="10" name="ZoneTexte 9">
          <a:extLst>
            <a:ext uri="{FF2B5EF4-FFF2-40B4-BE49-F238E27FC236}">
              <a16:creationId xmlns:a16="http://schemas.microsoft.com/office/drawing/2014/main" id="{00000000-0008-0000-2000-00000A000000}"/>
            </a:ext>
          </a:extLst>
        </xdr:cNvPr>
        <xdr:cNvSpPr txBox="1"/>
      </xdr:nvSpPr>
      <xdr:spPr>
        <a:xfrm>
          <a:off x="7711441" y="6054514"/>
          <a:ext cx="1706879"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Chômeurs</a:t>
          </a:r>
        </a:p>
      </xdr:txBody>
    </xdr:sp>
    <xdr:clientData/>
  </xdr:twoCellAnchor>
  <xdr:twoCellAnchor editAs="oneCell">
    <xdr:from>
      <xdr:col>3</xdr:col>
      <xdr:colOff>1921935</xdr:colOff>
      <xdr:row>21</xdr:row>
      <xdr:rowOff>33866</xdr:rowOff>
    </xdr:from>
    <xdr:to>
      <xdr:col>4</xdr:col>
      <xdr:colOff>1566334</xdr:colOff>
      <xdr:row>21</xdr:row>
      <xdr:rowOff>618066</xdr:rowOff>
    </xdr:to>
    <xdr:sp macro="" textlink="">
      <xdr:nvSpPr>
        <xdr:cNvPr id="11" name="ZoneTexte 10">
          <a:extLst>
            <a:ext uri="{FF2B5EF4-FFF2-40B4-BE49-F238E27FC236}">
              <a16:creationId xmlns:a16="http://schemas.microsoft.com/office/drawing/2014/main" id="{00000000-0008-0000-2000-00000B000000}"/>
            </a:ext>
          </a:extLst>
        </xdr:cNvPr>
        <xdr:cNvSpPr txBox="1"/>
      </xdr:nvSpPr>
      <xdr:spPr>
        <a:xfrm>
          <a:off x="9663855" y="5284046"/>
          <a:ext cx="1709419"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vivant dans des logements précaires</a:t>
          </a:r>
        </a:p>
      </xdr:txBody>
    </xdr:sp>
    <xdr:clientData/>
  </xdr:twoCellAnchor>
  <xdr:twoCellAnchor editAs="oneCell">
    <xdr:from>
      <xdr:col>3</xdr:col>
      <xdr:colOff>1938869</xdr:colOff>
      <xdr:row>21</xdr:row>
      <xdr:rowOff>465666</xdr:rowOff>
    </xdr:from>
    <xdr:to>
      <xdr:col>4</xdr:col>
      <xdr:colOff>2269066</xdr:colOff>
      <xdr:row>21</xdr:row>
      <xdr:rowOff>728133</xdr:rowOff>
    </xdr:to>
    <xdr:sp macro="" textlink="">
      <xdr:nvSpPr>
        <xdr:cNvPr id="12" name="ZoneTexte 11">
          <a:extLst>
            <a:ext uri="{FF2B5EF4-FFF2-40B4-BE49-F238E27FC236}">
              <a16:creationId xmlns:a16="http://schemas.microsoft.com/office/drawing/2014/main" id="{00000000-0008-0000-2000-00000C000000}"/>
            </a:ext>
          </a:extLst>
        </xdr:cNvPr>
        <xdr:cNvSpPr txBox="1"/>
      </xdr:nvSpPr>
      <xdr:spPr>
        <a:xfrm>
          <a:off x="9680789" y="5715846"/>
          <a:ext cx="2395217" cy="262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Migrants</a:t>
          </a:r>
          <a:r>
            <a:rPr lang="fr-BE" sz="1200" baseline="0">
              <a:solidFill>
                <a:srgbClr val="215967"/>
              </a:solidFill>
            </a:rPr>
            <a:t> et personnes déplacées</a:t>
          </a:r>
          <a:endParaRPr lang="fr-BE" sz="1200">
            <a:solidFill>
              <a:srgbClr val="215967"/>
            </a:solidFill>
          </a:endParaRPr>
        </a:p>
      </xdr:txBody>
    </xdr:sp>
    <xdr:clientData/>
  </xdr:twoCellAnchor>
  <xdr:twoCellAnchor editAs="oneCell">
    <xdr:from>
      <xdr:col>3</xdr:col>
      <xdr:colOff>1955803</xdr:colOff>
      <xdr:row>21</xdr:row>
      <xdr:rowOff>804333</xdr:rowOff>
    </xdr:from>
    <xdr:to>
      <xdr:col>4</xdr:col>
      <xdr:colOff>2286000</xdr:colOff>
      <xdr:row>21</xdr:row>
      <xdr:rowOff>1066800</xdr:rowOff>
    </xdr:to>
    <xdr:sp macro="" textlink="">
      <xdr:nvSpPr>
        <xdr:cNvPr id="13" name="ZoneTexte 12">
          <a:extLst>
            <a:ext uri="{FF2B5EF4-FFF2-40B4-BE49-F238E27FC236}">
              <a16:creationId xmlns:a16="http://schemas.microsoft.com/office/drawing/2014/main" id="{00000000-0008-0000-2000-00000D000000}"/>
            </a:ext>
          </a:extLst>
        </xdr:cNvPr>
        <xdr:cNvSpPr txBox="1"/>
      </xdr:nvSpPr>
      <xdr:spPr>
        <a:xfrm>
          <a:off x="9697723" y="6054513"/>
          <a:ext cx="2395217" cy="262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Autres</a:t>
          </a:r>
        </a:p>
      </xdr:txBody>
    </xdr:sp>
    <xdr:clientData/>
  </xdr:twoCellAnchor>
  <xdr:twoCellAnchor>
    <xdr:from>
      <xdr:col>4</xdr:col>
      <xdr:colOff>1862670</xdr:colOff>
      <xdr:row>21</xdr:row>
      <xdr:rowOff>118534</xdr:rowOff>
    </xdr:from>
    <xdr:to>
      <xdr:col>5</xdr:col>
      <xdr:colOff>304800</xdr:colOff>
      <xdr:row>21</xdr:row>
      <xdr:rowOff>364067</xdr:rowOff>
    </xdr:to>
    <xdr:sp macro="" textlink="">
      <xdr:nvSpPr>
        <xdr:cNvPr id="14" name="ZoneTexte 13">
          <a:extLst>
            <a:ext uri="{FF2B5EF4-FFF2-40B4-BE49-F238E27FC236}">
              <a16:creationId xmlns:a16="http://schemas.microsoft.com/office/drawing/2014/main" id="{00000000-0008-0000-2000-00000E000000}"/>
            </a:ext>
          </a:extLst>
        </xdr:cNvPr>
        <xdr:cNvSpPr txBox="1"/>
      </xdr:nvSpPr>
      <xdr:spPr>
        <a:xfrm>
          <a:off x="11669610" y="5368714"/>
          <a:ext cx="1147230" cy="245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Tous</a:t>
          </a:r>
        </a:p>
      </xdr:txBody>
    </xdr:sp>
    <xdr:clientData/>
  </xdr:twoCellAnchor>
  <xdr:twoCellAnchor>
    <xdr:from>
      <xdr:col>0</xdr:col>
      <xdr:colOff>2775854</xdr:colOff>
      <xdr:row>86</xdr:row>
      <xdr:rowOff>10885</xdr:rowOff>
    </xdr:from>
    <xdr:to>
      <xdr:col>0</xdr:col>
      <xdr:colOff>2852057</xdr:colOff>
      <xdr:row>96</xdr:row>
      <xdr:rowOff>0</xdr:rowOff>
    </xdr:to>
    <xdr:sp macro="" textlink="">
      <xdr:nvSpPr>
        <xdr:cNvPr id="15" name="Parenthèse ouvrante 14">
          <a:extLst>
            <a:ext uri="{FF2B5EF4-FFF2-40B4-BE49-F238E27FC236}">
              <a16:creationId xmlns:a16="http://schemas.microsoft.com/office/drawing/2014/main" id="{F0C27D20-B73A-4B0A-B190-33817F2AEDA2}"/>
            </a:ext>
          </a:extLst>
        </xdr:cNvPr>
        <xdr:cNvSpPr/>
      </xdr:nvSpPr>
      <xdr:spPr>
        <a:xfrm>
          <a:off x="2775854" y="24074845"/>
          <a:ext cx="76203" cy="1825535"/>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0</xdr:col>
      <xdr:colOff>228599</xdr:colOff>
      <xdr:row>89</xdr:row>
      <xdr:rowOff>163284</xdr:rowOff>
    </xdr:from>
    <xdr:to>
      <xdr:col>0</xdr:col>
      <xdr:colOff>2666999</xdr:colOff>
      <xdr:row>91</xdr:row>
      <xdr:rowOff>89262</xdr:rowOff>
    </xdr:to>
    <xdr:sp macro="" textlink="">
      <xdr:nvSpPr>
        <xdr:cNvPr id="16" name="ZoneTexte 15">
          <a:extLst>
            <a:ext uri="{FF2B5EF4-FFF2-40B4-BE49-F238E27FC236}">
              <a16:creationId xmlns:a16="http://schemas.microsoft.com/office/drawing/2014/main" id="{3F0C5451-C35A-4C0B-9A1C-05576D9E9A26}"/>
            </a:ext>
          </a:extLst>
        </xdr:cNvPr>
        <xdr:cNvSpPr txBox="1"/>
      </xdr:nvSpPr>
      <xdr:spPr>
        <a:xfrm>
          <a:off x="228599" y="24775884"/>
          <a:ext cx="2438400" cy="383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100"/>
            <a:t>Autres</a:t>
          </a:r>
          <a:r>
            <a:rPr lang="fr-BE" sz="1100" baseline="0"/>
            <a:t> indicateurs (remplissage libre)</a:t>
          </a:r>
          <a:endParaRPr lang="fr-BE" sz="1100"/>
        </a:p>
      </xdr:txBody>
    </xdr:sp>
    <xdr:clientData/>
  </xdr:twoCellAnchor>
  <xdr:twoCellAnchor>
    <xdr:from>
      <xdr:col>0</xdr:col>
      <xdr:colOff>2773133</xdr:colOff>
      <xdr:row>75</xdr:row>
      <xdr:rowOff>581025</xdr:rowOff>
    </xdr:from>
    <xdr:to>
      <xdr:col>0</xdr:col>
      <xdr:colOff>2849336</xdr:colOff>
      <xdr:row>85</xdr:row>
      <xdr:rowOff>175532</xdr:rowOff>
    </xdr:to>
    <xdr:sp macro="" textlink="">
      <xdr:nvSpPr>
        <xdr:cNvPr id="17" name="Parenthèse ouvrante 16">
          <a:extLst>
            <a:ext uri="{FF2B5EF4-FFF2-40B4-BE49-F238E27FC236}">
              <a16:creationId xmlns:a16="http://schemas.microsoft.com/office/drawing/2014/main" id="{06495566-90B0-43F4-A132-594F1CAD2234}"/>
            </a:ext>
          </a:extLst>
        </xdr:cNvPr>
        <xdr:cNvSpPr/>
      </xdr:nvSpPr>
      <xdr:spPr>
        <a:xfrm>
          <a:off x="2773133" y="22168485"/>
          <a:ext cx="76203" cy="1880507"/>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0</xdr:col>
      <xdr:colOff>247650</xdr:colOff>
      <xdr:row>79</xdr:row>
      <xdr:rowOff>31295</xdr:rowOff>
    </xdr:from>
    <xdr:to>
      <xdr:col>0</xdr:col>
      <xdr:colOff>2686050</xdr:colOff>
      <xdr:row>85</xdr:row>
      <xdr:rowOff>47624</xdr:rowOff>
    </xdr:to>
    <xdr:sp macro="" textlink="">
      <xdr:nvSpPr>
        <xdr:cNvPr id="18" name="ZoneTexte 17">
          <a:extLst>
            <a:ext uri="{FF2B5EF4-FFF2-40B4-BE49-F238E27FC236}">
              <a16:creationId xmlns:a16="http://schemas.microsoft.com/office/drawing/2014/main" id="{8E36DEE5-2652-4897-BDAA-BF4C48AD2313}"/>
            </a:ext>
          </a:extLst>
        </xdr:cNvPr>
        <xdr:cNvSpPr txBox="1"/>
      </xdr:nvSpPr>
      <xdr:spPr>
        <a:xfrm>
          <a:off x="247650" y="21776870"/>
          <a:ext cx="2438400" cy="1102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100"/>
            <a:t>Indicateurs issus de la fiche action du PAEDC (remplissage automatique des cellules grisées)</a:t>
          </a:r>
        </a:p>
      </xdr:txBody>
    </xdr: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350520</xdr:colOff>
          <xdr:row>21</xdr:row>
          <xdr:rowOff>152400</xdr:rowOff>
        </xdr:from>
        <xdr:to>
          <xdr:col>1</xdr:col>
          <xdr:colOff>632460</xdr:colOff>
          <xdr:row>21</xdr:row>
          <xdr:rowOff>381000</xdr:rowOff>
        </xdr:to>
        <xdr:sp macro="" textlink="">
          <xdr:nvSpPr>
            <xdr:cNvPr id="51331073" name="Check Box 1" hidden="1">
              <a:extLst>
                <a:ext uri="{63B3BB69-23CF-44E3-9099-C40C66FF867C}">
                  <a14:compatExt spid="_x0000_s51331073"/>
                </a:ext>
                <a:ext uri="{FF2B5EF4-FFF2-40B4-BE49-F238E27FC236}">
                  <a16:creationId xmlns:a16="http://schemas.microsoft.com/office/drawing/2014/main" id="{00000000-0008-0000-2200-000001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21</xdr:row>
          <xdr:rowOff>480060</xdr:rowOff>
        </xdr:from>
        <xdr:to>
          <xdr:col>1</xdr:col>
          <xdr:colOff>632460</xdr:colOff>
          <xdr:row>21</xdr:row>
          <xdr:rowOff>708660</xdr:rowOff>
        </xdr:to>
        <xdr:sp macro="" textlink="">
          <xdr:nvSpPr>
            <xdr:cNvPr id="51331074" name="Check Box 2" hidden="1">
              <a:extLst>
                <a:ext uri="{63B3BB69-23CF-44E3-9099-C40C66FF867C}">
                  <a14:compatExt spid="_x0000_s51331074"/>
                </a:ext>
                <a:ext uri="{FF2B5EF4-FFF2-40B4-BE49-F238E27FC236}">
                  <a16:creationId xmlns:a16="http://schemas.microsoft.com/office/drawing/2014/main" id="{00000000-0008-0000-2200-000002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21</xdr:row>
          <xdr:rowOff>830580</xdr:rowOff>
        </xdr:from>
        <xdr:to>
          <xdr:col>1</xdr:col>
          <xdr:colOff>617220</xdr:colOff>
          <xdr:row>21</xdr:row>
          <xdr:rowOff>1059180</xdr:rowOff>
        </xdr:to>
        <xdr:sp macro="" textlink="">
          <xdr:nvSpPr>
            <xdr:cNvPr id="51331075" name="Check Box 3" hidden="1">
              <a:extLst>
                <a:ext uri="{63B3BB69-23CF-44E3-9099-C40C66FF867C}">
                  <a14:compatExt spid="_x0000_s51331075"/>
                </a:ext>
                <a:ext uri="{FF2B5EF4-FFF2-40B4-BE49-F238E27FC236}">
                  <a16:creationId xmlns:a16="http://schemas.microsoft.com/office/drawing/2014/main" id="{00000000-0008-0000-2200-000003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152400</xdr:rowOff>
        </xdr:from>
        <xdr:to>
          <xdr:col>2</xdr:col>
          <xdr:colOff>274320</xdr:colOff>
          <xdr:row>21</xdr:row>
          <xdr:rowOff>381000</xdr:rowOff>
        </xdr:to>
        <xdr:sp macro="" textlink="">
          <xdr:nvSpPr>
            <xdr:cNvPr id="51331076" name="Check Box 4" hidden="1">
              <a:extLst>
                <a:ext uri="{63B3BB69-23CF-44E3-9099-C40C66FF867C}">
                  <a14:compatExt spid="_x0000_s51331076"/>
                </a:ext>
                <a:ext uri="{FF2B5EF4-FFF2-40B4-BE49-F238E27FC236}">
                  <a16:creationId xmlns:a16="http://schemas.microsoft.com/office/drawing/2014/main" id="{00000000-0008-0000-2200-000004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480060</xdr:rowOff>
        </xdr:from>
        <xdr:to>
          <xdr:col>2</xdr:col>
          <xdr:colOff>274320</xdr:colOff>
          <xdr:row>21</xdr:row>
          <xdr:rowOff>708660</xdr:rowOff>
        </xdr:to>
        <xdr:sp macro="" textlink="">
          <xdr:nvSpPr>
            <xdr:cNvPr id="51331077" name="Check Box 5" hidden="1">
              <a:extLst>
                <a:ext uri="{63B3BB69-23CF-44E3-9099-C40C66FF867C}">
                  <a14:compatExt spid="_x0000_s51331077"/>
                </a:ext>
                <a:ext uri="{FF2B5EF4-FFF2-40B4-BE49-F238E27FC236}">
                  <a16:creationId xmlns:a16="http://schemas.microsoft.com/office/drawing/2014/main" id="{00000000-0008-0000-2200-000005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830580</xdr:rowOff>
        </xdr:from>
        <xdr:to>
          <xdr:col>2</xdr:col>
          <xdr:colOff>274320</xdr:colOff>
          <xdr:row>21</xdr:row>
          <xdr:rowOff>1059180</xdr:rowOff>
        </xdr:to>
        <xdr:sp macro="" textlink="">
          <xdr:nvSpPr>
            <xdr:cNvPr id="51331078" name="Check Box 6" hidden="1">
              <a:extLst>
                <a:ext uri="{63B3BB69-23CF-44E3-9099-C40C66FF867C}">
                  <a14:compatExt spid="_x0000_s51331078"/>
                </a:ext>
                <a:ext uri="{FF2B5EF4-FFF2-40B4-BE49-F238E27FC236}">
                  <a16:creationId xmlns:a16="http://schemas.microsoft.com/office/drawing/2014/main" id="{00000000-0008-0000-2200-000006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21</xdr:row>
          <xdr:rowOff>152400</xdr:rowOff>
        </xdr:from>
        <xdr:to>
          <xdr:col>3</xdr:col>
          <xdr:colOff>22860</xdr:colOff>
          <xdr:row>21</xdr:row>
          <xdr:rowOff>381000</xdr:rowOff>
        </xdr:to>
        <xdr:sp macro="" textlink="">
          <xdr:nvSpPr>
            <xdr:cNvPr id="51331079" name="Check Box 7" hidden="1">
              <a:extLst>
                <a:ext uri="{63B3BB69-23CF-44E3-9099-C40C66FF867C}">
                  <a14:compatExt spid="_x0000_s51331079"/>
                </a:ext>
                <a:ext uri="{FF2B5EF4-FFF2-40B4-BE49-F238E27FC236}">
                  <a16:creationId xmlns:a16="http://schemas.microsoft.com/office/drawing/2014/main" id="{00000000-0008-0000-2200-000007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1988820</xdr:colOff>
          <xdr:row>21</xdr:row>
          <xdr:rowOff>480060</xdr:rowOff>
        </xdr:from>
        <xdr:to>
          <xdr:col>3</xdr:col>
          <xdr:colOff>22860</xdr:colOff>
          <xdr:row>21</xdr:row>
          <xdr:rowOff>708660</xdr:rowOff>
        </xdr:to>
        <xdr:sp macro="" textlink="">
          <xdr:nvSpPr>
            <xdr:cNvPr id="51331080" name="Check Box 8" hidden="1">
              <a:extLst>
                <a:ext uri="{63B3BB69-23CF-44E3-9099-C40C66FF867C}">
                  <a14:compatExt spid="_x0000_s51331080"/>
                </a:ext>
                <a:ext uri="{FF2B5EF4-FFF2-40B4-BE49-F238E27FC236}">
                  <a16:creationId xmlns:a16="http://schemas.microsoft.com/office/drawing/2014/main" id="{00000000-0008-0000-2200-000008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21</xdr:row>
          <xdr:rowOff>830580</xdr:rowOff>
        </xdr:from>
        <xdr:to>
          <xdr:col>3</xdr:col>
          <xdr:colOff>30480</xdr:colOff>
          <xdr:row>21</xdr:row>
          <xdr:rowOff>1059180</xdr:rowOff>
        </xdr:to>
        <xdr:sp macro="" textlink="">
          <xdr:nvSpPr>
            <xdr:cNvPr id="51331081" name="Check Box 9" hidden="1">
              <a:extLst>
                <a:ext uri="{63B3BB69-23CF-44E3-9099-C40C66FF867C}">
                  <a14:compatExt spid="_x0000_s51331081"/>
                </a:ext>
                <a:ext uri="{FF2B5EF4-FFF2-40B4-BE49-F238E27FC236}">
                  <a16:creationId xmlns:a16="http://schemas.microsoft.com/office/drawing/2014/main" id="{00000000-0008-0000-2200-000009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1737360</xdr:colOff>
          <xdr:row>21</xdr:row>
          <xdr:rowOff>152400</xdr:rowOff>
        </xdr:from>
        <xdr:to>
          <xdr:col>4</xdr:col>
          <xdr:colOff>0</xdr:colOff>
          <xdr:row>21</xdr:row>
          <xdr:rowOff>381000</xdr:rowOff>
        </xdr:to>
        <xdr:sp macro="" textlink="">
          <xdr:nvSpPr>
            <xdr:cNvPr id="51331082" name="Check Box 10" hidden="1">
              <a:extLst>
                <a:ext uri="{63B3BB69-23CF-44E3-9099-C40C66FF867C}">
                  <a14:compatExt spid="_x0000_s51331082"/>
                </a:ext>
                <a:ext uri="{FF2B5EF4-FFF2-40B4-BE49-F238E27FC236}">
                  <a16:creationId xmlns:a16="http://schemas.microsoft.com/office/drawing/2014/main" id="{00000000-0008-0000-2200-00000A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1737360</xdr:colOff>
          <xdr:row>21</xdr:row>
          <xdr:rowOff>480060</xdr:rowOff>
        </xdr:from>
        <xdr:to>
          <xdr:col>4</xdr:col>
          <xdr:colOff>0</xdr:colOff>
          <xdr:row>21</xdr:row>
          <xdr:rowOff>708660</xdr:rowOff>
        </xdr:to>
        <xdr:sp macro="" textlink="">
          <xdr:nvSpPr>
            <xdr:cNvPr id="51331083" name="Check Box 11" hidden="1">
              <a:extLst>
                <a:ext uri="{63B3BB69-23CF-44E3-9099-C40C66FF867C}">
                  <a14:compatExt spid="_x0000_s51331083"/>
                </a:ext>
                <a:ext uri="{FF2B5EF4-FFF2-40B4-BE49-F238E27FC236}">
                  <a16:creationId xmlns:a16="http://schemas.microsoft.com/office/drawing/2014/main" id="{00000000-0008-0000-2200-00000B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1744980</xdr:colOff>
          <xdr:row>21</xdr:row>
          <xdr:rowOff>830580</xdr:rowOff>
        </xdr:from>
        <xdr:to>
          <xdr:col>4</xdr:col>
          <xdr:colOff>0</xdr:colOff>
          <xdr:row>21</xdr:row>
          <xdr:rowOff>1059180</xdr:rowOff>
        </xdr:to>
        <xdr:sp macro="" textlink="">
          <xdr:nvSpPr>
            <xdr:cNvPr id="51331084" name="Check Box 12" hidden="1">
              <a:extLst>
                <a:ext uri="{63B3BB69-23CF-44E3-9099-C40C66FF867C}">
                  <a14:compatExt spid="_x0000_s51331084"/>
                </a:ext>
                <a:ext uri="{FF2B5EF4-FFF2-40B4-BE49-F238E27FC236}">
                  <a16:creationId xmlns:a16="http://schemas.microsoft.com/office/drawing/2014/main" id="{00000000-0008-0000-2200-00000C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1668780</xdr:colOff>
          <xdr:row>21</xdr:row>
          <xdr:rowOff>152400</xdr:rowOff>
        </xdr:from>
        <xdr:to>
          <xdr:col>4</xdr:col>
          <xdr:colOff>1950720</xdr:colOff>
          <xdr:row>21</xdr:row>
          <xdr:rowOff>381000</xdr:rowOff>
        </xdr:to>
        <xdr:sp macro="" textlink="">
          <xdr:nvSpPr>
            <xdr:cNvPr id="51331085" name="Check Box 13" hidden="1">
              <a:extLst>
                <a:ext uri="{63B3BB69-23CF-44E3-9099-C40C66FF867C}">
                  <a14:compatExt spid="_x0000_s51331085"/>
                </a:ext>
                <a:ext uri="{FF2B5EF4-FFF2-40B4-BE49-F238E27FC236}">
                  <a16:creationId xmlns:a16="http://schemas.microsoft.com/office/drawing/2014/main" id="{00000000-0008-0000-2200-00000D40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550334</xdr:colOff>
      <xdr:row>21</xdr:row>
      <xdr:rowOff>135466</xdr:rowOff>
    </xdr:from>
    <xdr:to>
      <xdr:col>1</xdr:col>
      <xdr:colOff>1820334</xdr:colOff>
      <xdr:row>21</xdr:row>
      <xdr:rowOff>406400</xdr:rowOff>
    </xdr:to>
    <xdr:sp macro="" textlink="">
      <xdr:nvSpPr>
        <xdr:cNvPr id="2" name="ZoneTexte 1">
          <a:extLst>
            <a:ext uri="{FF2B5EF4-FFF2-40B4-BE49-F238E27FC236}">
              <a16:creationId xmlns:a16="http://schemas.microsoft.com/office/drawing/2014/main" id="{00000000-0008-0000-2100-000002000000}"/>
            </a:ext>
          </a:extLst>
        </xdr:cNvPr>
        <xdr:cNvSpPr txBox="1"/>
      </xdr:nvSpPr>
      <xdr:spPr>
        <a:xfrm>
          <a:off x="3697394" y="5385646"/>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Femmes et filles</a:t>
          </a:r>
        </a:p>
      </xdr:txBody>
    </xdr:sp>
    <xdr:clientData/>
  </xdr:twoCellAnchor>
  <xdr:twoCellAnchor editAs="oneCell">
    <xdr:from>
      <xdr:col>1</xdr:col>
      <xdr:colOff>541868</xdr:colOff>
      <xdr:row>21</xdr:row>
      <xdr:rowOff>457199</xdr:rowOff>
    </xdr:from>
    <xdr:to>
      <xdr:col>1</xdr:col>
      <xdr:colOff>1811868</xdr:colOff>
      <xdr:row>21</xdr:row>
      <xdr:rowOff>728133</xdr:rowOff>
    </xdr:to>
    <xdr:sp macro="" textlink="">
      <xdr:nvSpPr>
        <xdr:cNvPr id="3" name="ZoneTexte 2">
          <a:extLst>
            <a:ext uri="{FF2B5EF4-FFF2-40B4-BE49-F238E27FC236}">
              <a16:creationId xmlns:a16="http://schemas.microsoft.com/office/drawing/2014/main" id="{00000000-0008-0000-2100-000003000000}"/>
            </a:ext>
          </a:extLst>
        </xdr:cNvPr>
        <xdr:cNvSpPr txBox="1"/>
      </xdr:nvSpPr>
      <xdr:spPr>
        <a:xfrm>
          <a:off x="3688928" y="57073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Enfants</a:t>
          </a:r>
        </a:p>
      </xdr:txBody>
    </xdr:sp>
    <xdr:clientData/>
  </xdr:twoCellAnchor>
  <xdr:twoCellAnchor editAs="oneCell">
    <xdr:from>
      <xdr:col>1</xdr:col>
      <xdr:colOff>550334</xdr:colOff>
      <xdr:row>21</xdr:row>
      <xdr:rowOff>812799</xdr:rowOff>
    </xdr:from>
    <xdr:to>
      <xdr:col>1</xdr:col>
      <xdr:colOff>1820334</xdr:colOff>
      <xdr:row>21</xdr:row>
      <xdr:rowOff>1083733</xdr:rowOff>
    </xdr:to>
    <xdr:sp macro="" textlink="">
      <xdr:nvSpPr>
        <xdr:cNvPr id="4" name="ZoneTexte 3">
          <a:extLst>
            <a:ext uri="{FF2B5EF4-FFF2-40B4-BE49-F238E27FC236}">
              <a16:creationId xmlns:a16="http://schemas.microsoft.com/office/drawing/2014/main" id="{00000000-0008-0000-2100-000004000000}"/>
            </a:ext>
          </a:extLst>
        </xdr:cNvPr>
        <xdr:cNvSpPr txBox="1"/>
      </xdr:nvSpPr>
      <xdr:spPr>
        <a:xfrm>
          <a:off x="3697394" y="60629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Jeunes</a:t>
          </a:r>
        </a:p>
      </xdr:txBody>
    </xdr:sp>
    <xdr:clientData/>
  </xdr:twoCellAnchor>
  <xdr:twoCellAnchor editAs="oneCell">
    <xdr:from>
      <xdr:col>2</xdr:col>
      <xdr:colOff>152399</xdr:colOff>
      <xdr:row>21</xdr:row>
      <xdr:rowOff>126999</xdr:rowOff>
    </xdr:from>
    <xdr:to>
      <xdr:col>2</xdr:col>
      <xdr:colOff>1422399</xdr:colOff>
      <xdr:row>21</xdr:row>
      <xdr:rowOff>397933</xdr:rowOff>
    </xdr:to>
    <xdr:sp macro="" textlink="">
      <xdr:nvSpPr>
        <xdr:cNvPr id="5" name="ZoneTexte 4">
          <a:extLst>
            <a:ext uri="{FF2B5EF4-FFF2-40B4-BE49-F238E27FC236}">
              <a16:creationId xmlns:a16="http://schemas.microsoft.com/office/drawing/2014/main" id="{00000000-0008-0000-2100-000005000000}"/>
            </a:ext>
          </a:extLst>
        </xdr:cNvPr>
        <xdr:cNvSpPr txBox="1"/>
      </xdr:nvSpPr>
      <xdr:spPr>
        <a:xfrm>
          <a:off x="5654039" y="53771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âgées</a:t>
          </a:r>
        </a:p>
      </xdr:txBody>
    </xdr:sp>
    <xdr:clientData/>
  </xdr:twoCellAnchor>
  <xdr:twoCellAnchor editAs="oneCell">
    <xdr:from>
      <xdr:col>2</xdr:col>
      <xdr:colOff>152398</xdr:colOff>
      <xdr:row>21</xdr:row>
      <xdr:rowOff>465664</xdr:rowOff>
    </xdr:from>
    <xdr:to>
      <xdr:col>2</xdr:col>
      <xdr:colOff>1693334</xdr:colOff>
      <xdr:row>21</xdr:row>
      <xdr:rowOff>736598</xdr:rowOff>
    </xdr:to>
    <xdr:sp macro="" textlink="">
      <xdr:nvSpPr>
        <xdr:cNvPr id="6" name="ZoneTexte 5">
          <a:extLst>
            <a:ext uri="{FF2B5EF4-FFF2-40B4-BE49-F238E27FC236}">
              <a16:creationId xmlns:a16="http://schemas.microsoft.com/office/drawing/2014/main" id="{00000000-0008-0000-2100-000006000000}"/>
            </a:ext>
          </a:extLst>
        </xdr:cNvPr>
        <xdr:cNvSpPr txBox="1"/>
      </xdr:nvSpPr>
      <xdr:spPr>
        <a:xfrm>
          <a:off x="5654038" y="5715844"/>
          <a:ext cx="1540936"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Groupes marginalisés</a:t>
          </a:r>
        </a:p>
      </xdr:txBody>
    </xdr:sp>
    <xdr:clientData/>
  </xdr:twoCellAnchor>
  <xdr:twoCellAnchor editAs="oneCell">
    <xdr:from>
      <xdr:col>2</xdr:col>
      <xdr:colOff>143934</xdr:colOff>
      <xdr:row>21</xdr:row>
      <xdr:rowOff>821267</xdr:rowOff>
    </xdr:from>
    <xdr:to>
      <xdr:col>2</xdr:col>
      <xdr:colOff>1854200</xdr:colOff>
      <xdr:row>21</xdr:row>
      <xdr:rowOff>1092201</xdr:rowOff>
    </xdr:to>
    <xdr:sp macro="" textlink="">
      <xdr:nvSpPr>
        <xdr:cNvPr id="7" name="ZoneTexte 6">
          <a:extLst>
            <a:ext uri="{FF2B5EF4-FFF2-40B4-BE49-F238E27FC236}">
              <a16:creationId xmlns:a16="http://schemas.microsoft.com/office/drawing/2014/main" id="{00000000-0008-0000-2100-000007000000}"/>
            </a:ext>
          </a:extLst>
        </xdr:cNvPr>
        <xdr:cNvSpPr txBox="1"/>
      </xdr:nvSpPr>
      <xdr:spPr>
        <a:xfrm>
          <a:off x="5645574" y="6071447"/>
          <a:ext cx="1710266"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handicapées</a:t>
          </a:r>
        </a:p>
      </xdr:txBody>
    </xdr:sp>
    <xdr:clientData/>
  </xdr:twoCellAnchor>
  <xdr:twoCellAnchor editAs="oneCell">
    <xdr:from>
      <xdr:col>2</xdr:col>
      <xdr:colOff>2175935</xdr:colOff>
      <xdr:row>21</xdr:row>
      <xdr:rowOff>42334</xdr:rowOff>
    </xdr:from>
    <xdr:to>
      <xdr:col>3</xdr:col>
      <xdr:colOff>1574800</xdr:colOff>
      <xdr:row>21</xdr:row>
      <xdr:rowOff>601134</xdr:rowOff>
    </xdr:to>
    <xdr:sp macro="" textlink="">
      <xdr:nvSpPr>
        <xdr:cNvPr id="8" name="ZoneTexte 7">
          <a:extLst>
            <a:ext uri="{FF2B5EF4-FFF2-40B4-BE49-F238E27FC236}">
              <a16:creationId xmlns:a16="http://schemas.microsoft.com/office/drawing/2014/main" id="{00000000-0008-0000-2100-000008000000}"/>
            </a:ext>
          </a:extLst>
        </xdr:cNvPr>
        <xdr:cNvSpPr txBox="1"/>
      </xdr:nvSpPr>
      <xdr:spPr>
        <a:xfrm>
          <a:off x="7677575" y="5292514"/>
          <a:ext cx="1639145" cy="55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atteintes de maladies</a:t>
          </a:r>
          <a:r>
            <a:rPr lang="fr-BE" sz="1200" baseline="0">
              <a:solidFill>
                <a:srgbClr val="215967"/>
              </a:solidFill>
            </a:rPr>
            <a:t> chroniques</a:t>
          </a:r>
          <a:endParaRPr lang="fr-BE" sz="1200">
            <a:solidFill>
              <a:srgbClr val="215967"/>
            </a:solidFill>
          </a:endParaRPr>
        </a:p>
      </xdr:txBody>
    </xdr:sp>
    <xdr:clientData/>
  </xdr:twoCellAnchor>
  <xdr:twoCellAnchor editAs="oneCell">
    <xdr:from>
      <xdr:col>2</xdr:col>
      <xdr:colOff>2159004</xdr:colOff>
      <xdr:row>21</xdr:row>
      <xdr:rowOff>474134</xdr:rowOff>
    </xdr:from>
    <xdr:to>
      <xdr:col>3</xdr:col>
      <xdr:colOff>1778000</xdr:colOff>
      <xdr:row>21</xdr:row>
      <xdr:rowOff>889000</xdr:rowOff>
    </xdr:to>
    <xdr:sp macro="" textlink="">
      <xdr:nvSpPr>
        <xdr:cNvPr id="9" name="ZoneTexte 8">
          <a:extLst>
            <a:ext uri="{FF2B5EF4-FFF2-40B4-BE49-F238E27FC236}">
              <a16:creationId xmlns:a16="http://schemas.microsoft.com/office/drawing/2014/main" id="{00000000-0008-0000-2100-000009000000}"/>
            </a:ext>
          </a:extLst>
        </xdr:cNvPr>
        <xdr:cNvSpPr txBox="1"/>
      </xdr:nvSpPr>
      <xdr:spPr>
        <a:xfrm>
          <a:off x="7660644" y="5724314"/>
          <a:ext cx="1859276" cy="414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Ménages à faibles revenus</a:t>
          </a:r>
        </a:p>
      </xdr:txBody>
    </xdr:sp>
    <xdr:clientData/>
  </xdr:twoCellAnchor>
  <xdr:twoCellAnchor editAs="oneCell">
    <xdr:from>
      <xdr:col>2</xdr:col>
      <xdr:colOff>2209801</xdr:colOff>
      <xdr:row>21</xdr:row>
      <xdr:rowOff>804334</xdr:rowOff>
    </xdr:from>
    <xdr:to>
      <xdr:col>3</xdr:col>
      <xdr:colOff>1676400</xdr:colOff>
      <xdr:row>21</xdr:row>
      <xdr:rowOff>1075268</xdr:rowOff>
    </xdr:to>
    <xdr:sp macro="" textlink="">
      <xdr:nvSpPr>
        <xdr:cNvPr id="10" name="ZoneTexte 9">
          <a:extLst>
            <a:ext uri="{FF2B5EF4-FFF2-40B4-BE49-F238E27FC236}">
              <a16:creationId xmlns:a16="http://schemas.microsoft.com/office/drawing/2014/main" id="{00000000-0008-0000-2100-00000A000000}"/>
            </a:ext>
          </a:extLst>
        </xdr:cNvPr>
        <xdr:cNvSpPr txBox="1"/>
      </xdr:nvSpPr>
      <xdr:spPr>
        <a:xfrm>
          <a:off x="7711441" y="6054514"/>
          <a:ext cx="1706879"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Chômeurs</a:t>
          </a:r>
        </a:p>
      </xdr:txBody>
    </xdr:sp>
    <xdr:clientData/>
  </xdr:twoCellAnchor>
  <xdr:twoCellAnchor editAs="oneCell">
    <xdr:from>
      <xdr:col>3</xdr:col>
      <xdr:colOff>1921935</xdr:colOff>
      <xdr:row>21</xdr:row>
      <xdr:rowOff>33866</xdr:rowOff>
    </xdr:from>
    <xdr:to>
      <xdr:col>4</xdr:col>
      <xdr:colOff>1566334</xdr:colOff>
      <xdr:row>21</xdr:row>
      <xdr:rowOff>618066</xdr:rowOff>
    </xdr:to>
    <xdr:sp macro="" textlink="">
      <xdr:nvSpPr>
        <xdr:cNvPr id="11" name="ZoneTexte 10">
          <a:extLst>
            <a:ext uri="{FF2B5EF4-FFF2-40B4-BE49-F238E27FC236}">
              <a16:creationId xmlns:a16="http://schemas.microsoft.com/office/drawing/2014/main" id="{00000000-0008-0000-2100-00000B000000}"/>
            </a:ext>
          </a:extLst>
        </xdr:cNvPr>
        <xdr:cNvSpPr txBox="1"/>
      </xdr:nvSpPr>
      <xdr:spPr>
        <a:xfrm>
          <a:off x="9663855" y="5284046"/>
          <a:ext cx="1709419"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vivant dans des logements précaires</a:t>
          </a:r>
        </a:p>
      </xdr:txBody>
    </xdr:sp>
    <xdr:clientData/>
  </xdr:twoCellAnchor>
  <xdr:twoCellAnchor editAs="oneCell">
    <xdr:from>
      <xdr:col>3</xdr:col>
      <xdr:colOff>1938869</xdr:colOff>
      <xdr:row>21</xdr:row>
      <xdr:rowOff>465666</xdr:rowOff>
    </xdr:from>
    <xdr:to>
      <xdr:col>4</xdr:col>
      <xdr:colOff>2269066</xdr:colOff>
      <xdr:row>21</xdr:row>
      <xdr:rowOff>728133</xdr:rowOff>
    </xdr:to>
    <xdr:sp macro="" textlink="">
      <xdr:nvSpPr>
        <xdr:cNvPr id="12" name="ZoneTexte 11">
          <a:extLst>
            <a:ext uri="{FF2B5EF4-FFF2-40B4-BE49-F238E27FC236}">
              <a16:creationId xmlns:a16="http://schemas.microsoft.com/office/drawing/2014/main" id="{00000000-0008-0000-2100-00000C000000}"/>
            </a:ext>
          </a:extLst>
        </xdr:cNvPr>
        <xdr:cNvSpPr txBox="1"/>
      </xdr:nvSpPr>
      <xdr:spPr>
        <a:xfrm>
          <a:off x="9680789" y="5715846"/>
          <a:ext cx="2395217" cy="262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Migrants</a:t>
          </a:r>
          <a:r>
            <a:rPr lang="fr-BE" sz="1200" baseline="0">
              <a:solidFill>
                <a:srgbClr val="215967"/>
              </a:solidFill>
            </a:rPr>
            <a:t> et personnes déplacées</a:t>
          </a:r>
          <a:endParaRPr lang="fr-BE" sz="1200">
            <a:solidFill>
              <a:srgbClr val="215967"/>
            </a:solidFill>
          </a:endParaRPr>
        </a:p>
      </xdr:txBody>
    </xdr:sp>
    <xdr:clientData/>
  </xdr:twoCellAnchor>
  <xdr:twoCellAnchor editAs="oneCell">
    <xdr:from>
      <xdr:col>3</xdr:col>
      <xdr:colOff>1955803</xdr:colOff>
      <xdr:row>21</xdr:row>
      <xdr:rowOff>804333</xdr:rowOff>
    </xdr:from>
    <xdr:to>
      <xdr:col>4</xdr:col>
      <xdr:colOff>2286000</xdr:colOff>
      <xdr:row>21</xdr:row>
      <xdr:rowOff>1066800</xdr:rowOff>
    </xdr:to>
    <xdr:sp macro="" textlink="">
      <xdr:nvSpPr>
        <xdr:cNvPr id="13" name="ZoneTexte 12">
          <a:extLst>
            <a:ext uri="{FF2B5EF4-FFF2-40B4-BE49-F238E27FC236}">
              <a16:creationId xmlns:a16="http://schemas.microsoft.com/office/drawing/2014/main" id="{00000000-0008-0000-2100-00000D000000}"/>
            </a:ext>
          </a:extLst>
        </xdr:cNvPr>
        <xdr:cNvSpPr txBox="1"/>
      </xdr:nvSpPr>
      <xdr:spPr>
        <a:xfrm>
          <a:off x="9697723" y="6054513"/>
          <a:ext cx="2395217" cy="262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Autres</a:t>
          </a:r>
        </a:p>
      </xdr:txBody>
    </xdr:sp>
    <xdr:clientData/>
  </xdr:twoCellAnchor>
  <xdr:twoCellAnchor editAs="oneCell">
    <xdr:from>
      <xdr:col>4</xdr:col>
      <xdr:colOff>1862670</xdr:colOff>
      <xdr:row>21</xdr:row>
      <xdr:rowOff>118534</xdr:rowOff>
    </xdr:from>
    <xdr:to>
      <xdr:col>5</xdr:col>
      <xdr:colOff>304800</xdr:colOff>
      <xdr:row>21</xdr:row>
      <xdr:rowOff>364067</xdr:rowOff>
    </xdr:to>
    <xdr:sp macro="" textlink="">
      <xdr:nvSpPr>
        <xdr:cNvPr id="14" name="ZoneTexte 13">
          <a:extLst>
            <a:ext uri="{FF2B5EF4-FFF2-40B4-BE49-F238E27FC236}">
              <a16:creationId xmlns:a16="http://schemas.microsoft.com/office/drawing/2014/main" id="{00000000-0008-0000-2100-00000E000000}"/>
            </a:ext>
          </a:extLst>
        </xdr:cNvPr>
        <xdr:cNvSpPr txBox="1"/>
      </xdr:nvSpPr>
      <xdr:spPr>
        <a:xfrm>
          <a:off x="11669610" y="5368714"/>
          <a:ext cx="1147230" cy="245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Tous</a:t>
          </a:r>
        </a:p>
      </xdr:txBody>
    </xdr:sp>
    <xdr:clientData/>
  </xdr:twoCellAnchor>
  <xdr:twoCellAnchor>
    <xdr:from>
      <xdr:col>0</xdr:col>
      <xdr:colOff>2775854</xdr:colOff>
      <xdr:row>86</xdr:row>
      <xdr:rowOff>10885</xdr:rowOff>
    </xdr:from>
    <xdr:to>
      <xdr:col>0</xdr:col>
      <xdr:colOff>2852057</xdr:colOff>
      <xdr:row>96</xdr:row>
      <xdr:rowOff>0</xdr:rowOff>
    </xdr:to>
    <xdr:sp macro="" textlink="">
      <xdr:nvSpPr>
        <xdr:cNvPr id="15" name="Parenthèse ouvrante 14">
          <a:extLst>
            <a:ext uri="{FF2B5EF4-FFF2-40B4-BE49-F238E27FC236}">
              <a16:creationId xmlns:a16="http://schemas.microsoft.com/office/drawing/2014/main" id="{D9B5B243-49E6-4E44-BA5D-280A69749573}"/>
            </a:ext>
          </a:extLst>
        </xdr:cNvPr>
        <xdr:cNvSpPr/>
      </xdr:nvSpPr>
      <xdr:spPr>
        <a:xfrm>
          <a:off x="2775854" y="23084245"/>
          <a:ext cx="76203" cy="1825535"/>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0</xdr:col>
      <xdr:colOff>228599</xdr:colOff>
      <xdr:row>89</xdr:row>
      <xdr:rowOff>163284</xdr:rowOff>
    </xdr:from>
    <xdr:to>
      <xdr:col>0</xdr:col>
      <xdr:colOff>2666999</xdr:colOff>
      <xdr:row>90</xdr:row>
      <xdr:rowOff>180702</xdr:rowOff>
    </xdr:to>
    <xdr:sp macro="" textlink="">
      <xdr:nvSpPr>
        <xdr:cNvPr id="16" name="ZoneTexte 15">
          <a:extLst>
            <a:ext uri="{FF2B5EF4-FFF2-40B4-BE49-F238E27FC236}">
              <a16:creationId xmlns:a16="http://schemas.microsoft.com/office/drawing/2014/main" id="{B6113A02-A1BD-4FB9-A02E-3114C423B4A8}"/>
            </a:ext>
          </a:extLst>
        </xdr:cNvPr>
        <xdr:cNvSpPr txBox="1"/>
      </xdr:nvSpPr>
      <xdr:spPr>
        <a:xfrm>
          <a:off x="228599" y="23785284"/>
          <a:ext cx="2438400" cy="291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100"/>
            <a:t>Autres</a:t>
          </a:r>
          <a:r>
            <a:rPr lang="fr-BE" sz="1100" baseline="0"/>
            <a:t> indicateurs (remplissage libre)</a:t>
          </a:r>
          <a:endParaRPr lang="fr-BE" sz="1100"/>
        </a:p>
      </xdr:txBody>
    </xdr:sp>
    <xdr:clientData/>
  </xdr:twoCellAnchor>
  <xdr:twoCellAnchor>
    <xdr:from>
      <xdr:col>0</xdr:col>
      <xdr:colOff>2773133</xdr:colOff>
      <xdr:row>75</xdr:row>
      <xdr:rowOff>581025</xdr:rowOff>
    </xdr:from>
    <xdr:to>
      <xdr:col>0</xdr:col>
      <xdr:colOff>2849336</xdr:colOff>
      <xdr:row>85</xdr:row>
      <xdr:rowOff>175532</xdr:rowOff>
    </xdr:to>
    <xdr:sp macro="" textlink="">
      <xdr:nvSpPr>
        <xdr:cNvPr id="17" name="Parenthèse ouvrante 16">
          <a:extLst>
            <a:ext uri="{FF2B5EF4-FFF2-40B4-BE49-F238E27FC236}">
              <a16:creationId xmlns:a16="http://schemas.microsoft.com/office/drawing/2014/main" id="{9939BFDB-EB7F-46FF-AD07-8BA776B7047E}"/>
            </a:ext>
          </a:extLst>
        </xdr:cNvPr>
        <xdr:cNvSpPr/>
      </xdr:nvSpPr>
      <xdr:spPr>
        <a:xfrm>
          <a:off x="2773133" y="21177885"/>
          <a:ext cx="76203" cy="1880507"/>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0</xdr:col>
      <xdr:colOff>247650</xdr:colOff>
      <xdr:row>79</xdr:row>
      <xdr:rowOff>31296</xdr:rowOff>
    </xdr:from>
    <xdr:to>
      <xdr:col>0</xdr:col>
      <xdr:colOff>2686050</xdr:colOff>
      <xdr:row>83</xdr:row>
      <xdr:rowOff>95250</xdr:rowOff>
    </xdr:to>
    <xdr:sp macro="" textlink="">
      <xdr:nvSpPr>
        <xdr:cNvPr id="18" name="ZoneTexte 17">
          <a:extLst>
            <a:ext uri="{FF2B5EF4-FFF2-40B4-BE49-F238E27FC236}">
              <a16:creationId xmlns:a16="http://schemas.microsoft.com/office/drawing/2014/main" id="{7BD64B6B-83A0-4BB0-8A32-39A43AC22935}"/>
            </a:ext>
          </a:extLst>
        </xdr:cNvPr>
        <xdr:cNvSpPr txBox="1"/>
      </xdr:nvSpPr>
      <xdr:spPr>
        <a:xfrm>
          <a:off x="247650" y="21853071"/>
          <a:ext cx="2438400" cy="787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100"/>
            <a:t>Indicateurs issus de la fiche action du PAEDC (remplissage automatique des cellules grisées)</a:t>
          </a:r>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350520</xdr:colOff>
          <xdr:row>21</xdr:row>
          <xdr:rowOff>152400</xdr:rowOff>
        </xdr:from>
        <xdr:to>
          <xdr:col>1</xdr:col>
          <xdr:colOff>632460</xdr:colOff>
          <xdr:row>21</xdr:row>
          <xdr:rowOff>381000</xdr:rowOff>
        </xdr:to>
        <xdr:sp macro="" textlink="">
          <xdr:nvSpPr>
            <xdr:cNvPr id="51332097" name="Check Box 1" hidden="1">
              <a:extLst>
                <a:ext uri="{63B3BB69-23CF-44E3-9099-C40C66FF867C}">
                  <a14:compatExt spid="_x0000_s51332097"/>
                </a:ext>
                <a:ext uri="{FF2B5EF4-FFF2-40B4-BE49-F238E27FC236}">
                  <a16:creationId xmlns:a16="http://schemas.microsoft.com/office/drawing/2014/main" id="{00000000-0008-0000-2300-000001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21</xdr:row>
          <xdr:rowOff>480060</xdr:rowOff>
        </xdr:from>
        <xdr:to>
          <xdr:col>1</xdr:col>
          <xdr:colOff>632460</xdr:colOff>
          <xdr:row>21</xdr:row>
          <xdr:rowOff>708660</xdr:rowOff>
        </xdr:to>
        <xdr:sp macro="" textlink="">
          <xdr:nvSpPr>
            <xdr:cNvPr id="51332098" name="Check Box 2" hidden="1">
              <a:extLst>
                <a:ext uri="{63B3BB69-23CF-44E3-9099-C40C66FF867C}">
                  <a14:compatExt spid="_x0000_s51332098"/>
                </a:ext>
                <a:ext uri="{FF2B5EF4-FFF2-40B4-BE49-F238E27FC236}">
                  <a16:creationId xmlns:a16="http://schemas.microsoft.com/office/drawing/2014/main" id="{00000000-0008-0000-2300-000002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21</xdr:row>
          <xdr:rowOff>838200</xdr:rowOff>
        </xdr:from>
        <xdr:to>
          <xdr:col>1</xdr:col>
          <xdr:colOff>617220</xdr:colOff>
          <xdr:row>21</xdr:row>
          <xdr:rowOff>1066800</xdr:rowOff>
        </xdr:to>
        <xdr:sp macro="" textlink="">
          <xdr:nvSpPr>
            <xdr:cNvPr id="51332099" name="Check Box 3" hidden="1">
              <a:extLst>
                <a:ext uri="{63B3BB69-23CF-44E3-9099-C40C66FF867C}">
                  <a14:compatExt spid="_x0000_s51332099"/>
                </a:ext>
                <a:ext uri="{FF2B5EF4-FFF2-40B4-BE49-F238E27FC236}">
                  <a16:creationId xmlns:a16="http://schemas.microsoft.com/office/drawing/2014/main" id="{00000000-0008-0000-2300-000003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152400</xdr:rowOff>
        </xdr:from>
        <xdr:to>
          <xdr:col>2</xdr:col>
          <xdr:colOff>274320</xdr:colOff>
          <xdr:row>21</xdr:row>
          <xdr:rowOff>381000</xdr:rowOff>
        </xdr:to>
        <xdr:sp macro="" textlink="">
          <xdr:nvSpPr>
            <xdr:cNvPr id="51332100" name="Check Box 4" hidden="1">
              <a:extLst>
                <a:ext uri="{63B3BB69-23CF-44E3-9099-C40C66FF867C}">
                  <a14:compatExt spid="_x0000_s51332100"/>
                </a:ext>
                <a:ext uri="{FF2B5EF4-FFF2-40B4-BE49-F238E27FC236}">
                  <a16:creationId xmlns:a16="http://schemas.microsoft.com/office/drawing/2014/main" id="{00000000-0008-0000-2300-000004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2346960</xdr:colOff>
          <xdr:row>21</xdr:row>
          <xdr:rowOff>480060</xdr:rowOff>
        </xdr:from>
        <xdr:to>
          <xdr:col>2</xdr:col>
          <xdr:colOff>274320</xdr:colOff>
          <xdr:row>21</xdr:row>
          <xdr:rowOff>708660</xdr:rowOff>
        </xdr:to>
        <xdr:sp macro="" textlink="">
          <xdr:nvSpPr>
            <xdr:cNvPr id="51332101" name="Check Box 5" hidden="1">
              <a:extLst>
                <a:ext uri="{63B3BB69-23CF-44E3-9099-C40C66FF867C}">
                  <a14:compatExt spid="_x0000_s51332101"/>
                </a:ext>
                <a:ext uri="{FF2B5EF4-FFF2-40B4-BE49-F238E27FC236}">
                  <a16:creationId xmlns:a16="http://schemas.microsoft.com/office/drawing/2014/main" id="{00000000-0008-0000-2300-000005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21</xdr:row>
          <xdr:rowOff>838200</xdr:rowOff>
        </xdr:from>
        <xdr:to>
          <xdr:col>2</xdr:col>
          <xdr:colOff>274320</xdr:colOff>
          <xdr:row>21</xdr:row>
          <xdr:rowOff>1066800</xdr:rowOff>
        </xdr:to>
        <xdr:sp macro="" textlink="">
          <xdr:nvSpPr>
            <xdr:cNvPr id="51332102" name="Check Box 6" hidden="1">
              <a:extLst>
                <a:ext uri="{63B3BB69-23CF-44E3-9099-C40C66FF867C}">
                  <a14:compatExt spid="_x0000_s51332102"/>
                </a:ext>
                <a:ext uri="{FF2B5EF4-FFF2-40B4-BE49-F238E27FC236}">
                  <a16:creationId xmlns:a16="http://schemas.microsoft.com/office/drawing/2014/main" id="{00000000-0008-0000-2300-000006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21</xdr:row>
          <xdr:rowOff>152400</xdr:rowOff>
        </xdr:from>
        <xdr:to>
          <xdr:col>3</xdr:col>
          <xdr:colOff>22860</xdr:colOff>
          <xdr:row>21</xdr:row>
          <xdr:rowOff>381000</xdr:rowOff>
        </xdr:to>
        <xdr:sp macro="" textlink="">
          <xdr:nvSpPr>
            <xdr:cNvPr id="51332103" name="Check Box 7" hidden="1">
              <a:extLst>
                <a:ext uri="{63B3BB69-23CF-44E3-9099-C40C66FF867C}">
                  <a14:compatExt spid="_x0000_s51332103"/>
                </a:ext>
                <a:ext uri="{FF2B5EF4-FFF2-40B4-BE49-F238E27FC236}">
                  <a16:creationId xmlns:a16="http://schemas.microsoft.com/office/drawing/2014/main" id="{00000000-0008-0000-2300-000007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1988820</xdr:colOff>
          <xdr:row>21</xdr:row>
          <xdr:rowOff>480060</xdr:rowOff>
        </xdr:from>
        <xdr:to>
          <xdr:col>3</xdr:col>
          <xdr:colOff>22860</xdr:colOff>
          <xdr:row>21</xdr:row>
          <xdr:rowOff>708660</xdr:rowOff>
        </xdr:to>
        <xdr:sp macro="" textlink="">
          <xdr:nvSpPr>
            <xdr:cNvPr id="51332104" name="Check Box 8" hidden="1">
              <a:extLst>
                <a:ext uri="{63B3BB69-23CF-44E3-9099-C40C66FF867C}">
                  <a14:compatExt spid="_x0000_s51332104"/>
                </a:ext>
                <a:ext uri="{FF2B5EF4-FFF2-40B4-BE49-F238E27FC236}">
                  <a16:creationId xmlns:a16="http://schemas.microsoft.com/office/drawing/2014/main" id="{00000000-0008-0000-2300-000008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21</xdr:row>
          <xdr:rowOff>838200</xdr:rowOff>
        </xdr:from>
        <xdr:to>
          <xdr:col>3</xdr:col>
          <xdr:colOff>30480</xdr:colOff>
          <xdr:row>21</xdr:row>
          <xdr:rowOff>1066800</xdr:rowOff>
        </xdr:to>
        <xdr:sp macro="" textlink="">
          <xdr:nvSpPr>
            <xdr:cNvPr id="51332105" name="Check Box 9" hidden="1">
              <a:extLst>
                <a:ext uri="{63B3BB69-23CF-44E3-9099-C40C66FF867C}">
                  <a14:compatExt spid="_x0000_s51332105"/>
                </a:ext>
                <a:ext uri="{FF2B5EF4-FFF2-40B4-BE49-F238E27FC236}">
                  <a16:creationId xmlns:a16="http://schemas.microsoft.com/office/drawing/2014/main" id="{00000000-0008-0000-2300-000009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1737360</xdr:colOff>
          <xdr:row>21</xdr:row>
          <xdr:rowOff>152400</xdr:rowOff>
        </xdr:from>
        <xdr:to>
          <xdr:col>4</xdr:col>
          <xdr:colOff>0</xdr:colOff>
          <xdr:row>21</xdr:row>
          <xdr:rowOff>381000</xdr:rowOff>
        </xdr:to>
        <xdr:sp macro="" textlink="">
          <xdr:nvSpPr>
            <xdr:cNvPr id="51332106" name="Check Box 10" hidden="1">
              <a:extLst>
                <a:ext uri="{63B3BB69-23CF-44E3-9099-C40C66FF867C}">
                  <a14:compatExt spid="_x0000_s51332106"/>
                </a:ext>
                <a:ext uri="{FF2B5EF4-FFF2-40B4-BE49-F238E27FC236}">
                  <a16:creationId xmlns:a16="http://schemas.microsoft.com/office/drawing/2014/main" id="{00000000-0008-0000-2300-00000A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1737360</xdr:colOff>
          <xdr:row>21</xdr:row>
          <xdr:rowOff>480060</xdr:rowOff>
        </xdr:from>
        <xdr:to>
          <xdr:col>4</xdr:col>
          <xdr:colOff>0</xdr:colOff>
          <xdr:row>21</xdr:row>
          <xdr:rowOff>708660</xdr:rowOff>
        </xdr:to>
        <xdr:sp macro="" textlink="">
          <xdr:nvSpPr>
            <xdr:cNvPr id="51332107" name="Check Box 11" hidden="1">
              <a:extLst>
                <a:ext uri="{63B3BB69-23CF-44E3-9099-C40C66FF867C}">
                  <a14:compatExt spid="_x0000_s51332107"/>
                </a:ext>
                <a:ext uri="{FF2B5EF4-FFF2-40B4-BE49-F238E27FC236}">
                  <a16:creationId xmlns:a16="http://schemas.microsoft.com/office/drawing/2014/main" id="{00000000-0008-0000-2300-00000B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1744980</xdr:colOff>
          <xdr:row>21</xdr:row>
          <xdr:rowOff>838200</xdr:rowOff>
        </xdr:from>
        <xdr:to>
          <xdr:col>4</xdr:col>
          <xdr:colOff>0</xdr:colOff>
          <xdr:row>21</xdr:row>
          <xdr:rowOff>1066800</xdr:rowOff>
        </xdr:to>
        <xdr:sp macro="" textlink="">
          <xdr:nvSpPr>
            <xdr:cNvPr id="51332108" name="Check Box 12" hidden="1">
              <a:extLst>
                <a:ext uri="{63B3BB69-23CF-44E3-9099-C40C66FF867C}">
                  <a14:compatExt spid="_x0000_s51332108"/>
                </a:ext>
                <a:ext uri="{FF2B5EF4-FFF2-40B4-BE49-F238E27FC236}">
                  <a16:creationId xmlns:a16="http://schemas.microsoft.com/office/drawing/2014/main" id="{00000000-0008-0000-2300-00000C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1668780</xdr:colOff>
          <xdr:row>21</xdr:row>
          <xdr:rowOff>152400</xdr:rowOff>
        </xdr:from>
        <xdr:to>
          <xdr:col>4</xdr:col>
          <xdr:colOff>1950720</xdr:colOff>
          <xdr:row>21</xdr:row>
          <xdr:rowOff>381000</xdr:rowOff>
        </xdr:to>
        <xdr:sp macro="" textlink="">
          <xdr:nvSpPr>
            <xdr:cNvPr id="51332109" name="Check Box 13" hidden="1">
              <a:extLst>
                <a:ext uri="{63B3BB69-23CF-44E3-9099-C40C66FF867C}">
                  <a14:compatExt spid="_x0000_s51332109"/>
                </a:ext>
                <a:ext uri="{FF2B5EF4-FFF2-40B4-BE49-F238E27FC236}">
                  <a16:creationId xmlns:a16="http://schemas.microsoft.com/office/drawing/2014/main" id="{00000000-0008-0000-2300-00000D440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550334</xdr:colOff>
      <xdr:row>21</xdr:row>
      <xdr:rowOff>135466</xdr:rowOff>
    </xdr:from>
    <xdr:to>
      <xdr:col>1</xdr:col>
      <xdr:colOff>1820334</xdr:colOff>
      <xdr:row>21</xdr:row>
      <xdr:rowOff>406400</xdr:rowOff>
    </xdr:to>
    <xdr:sp macro="" textlink="">
      <xdr:nvSpPr>
        <xdr:cNvPr id="2" name="ZoneTexte 1">
          <a:extLst>
            <a:ext uri="{FF2B5EF4-FFF2-40B4-BE49-F238E27FC236}">
              <a16:creationId xmlns:a16="http://schemas.microsoft.com/office/drawing/2014/main" id="{00000000-0008-0000-2200-000002000000}"/>
            </a:ext>
          </a:extLst>
        </xdr:cNvPr>
        <xdr:cNvSpPr txBox="1"/>
      </xdr:nvSpPr>
      <xdr:spPr>
        <a:xfrm>
          <a:off x="3697394" y="5385646"/>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Femmes et filles</a:t>
          </a:r>
        </a:p>
      </xdr:txBody>
    </xdr:sp>
    <xdr:clientData/>
  </xdr:twoCellAnchor>
  <xdr:twoCellAnchor editAs="oneCell">
    <xdr:from>
      <xdr:col>1</xdr:col>
      <xdr:colOff>541868</xdr:colOff>
      <xdr:row>21</xdr:row>
      <xdr:rowOff>457199</xdr:rowOff>
    </xdr:from>
    <xdr:to>
      <xdr:col>1</xdr:col>
      <xdr:colOff>1811868</xdr:colOff>
      <xdr:row>21</xdr:row>
      <xdr:rowOff>728133</xdr:rowOff>
    </xdr:to>
    <xdr:sp macro="" textlink="">
      <xdr:nvSpPr>
        <xdr:cNvPr id="3" name="ZoneTexte 2">
          <a:extLst>
            <a:ext uri="{FF2B5EF4-FFF2-40B4-BE49-F238E27FC236}">
              <a16:creationId xmlns:a16="http://schemas.microsoft.com/office/drawing/2014/main" id="{00000000-0008-0000-2200-000003000000}"/>
            </a:ext>
          </a:extLst>
        </xdr:cNvPr>
        <xdr:cNvSpPr txBox="1"/>
      </xdr:nvSpPr>
      <xdr:spPr>
        <a:xfrm>
          <a:off x="3688928" y="57073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Enfants</a:t>
          </a:r>
        </a:p>
      </xdr:txBody>
    </xdr:sp>
    <xdr:clientData/>
  </xdr:twoCellAnchor>
  <xdr:twoCellAnchor editAs="oneCell">
    <xdr:from>
      <xdr:col>1</xdr:col>
      <xdr:colOff>550334</xdr:colOff>
      <xdr:row>21</xdr:row>
      <xdr:rowOff>812799</xdr:rowOff>
    </xdr:from>
    <xdr:to>
      <xdr:col>1</xdr:col>
      <xdr:colOff>1820334</xdr:colOff>
      <xdr:row>21</xdr:row>
      <xdr:rowOff>1083733</xdr:rowOff>
    </xdr:to>
    <xdr:sp macro="" textlink="">
      <xdr:nvSpPr>
        <xdr:cNvPr id="4" name="ZoneTexte 3">
          <a:extLst>
            <a:ext uri="{FF2B5EF4-FFF2-40B4-BE49-F238E27FC236}">
              <a16:creationId xmlns:a16="http://schemas.microsoft.com/office/drawing/2014/main" id="{00000000-0008-0000-2200-000004000000}"/>
            </a:ext>
          </a:extLst>
        </xdr:cNvPr>
        <xdr:cNvSpPr txBox="1"/>
      </xdr:nvSpPr>
      <xdr:spPr>
        <a:xfrm>
          <a:off x="3697394" y="60629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Jeunes</a:t>
          </a:r>
        </a:p>
      </xdr:txBody>
    </xdr:sp>
    <xdr:clientData/>
  </xdr:twoCellAnchor>
  <xdr:twoCellAnchor editAs="oneCell">
    <xdr:from>
      <xdr:col>2</xdr:col>
      <xdr:colOff>152399</xdr:colOff>
      <xdr:row>21</xdr:row>
      <xdr:rowOff>126999</xdr:rowOff>
    </xdr:from>
    <xdr:to>
      <xdr:col>2</xdr:col>
      <xdr:colOff>1422399</xdr:colOff>
      <xdr:row>21</xdr:row>
      <xdr:rowOff>397933</xdr:rowOff>
    </xdr:to>
    <xdr:sp macro="" textlink="">
      <xdr:nvSpPr>
        <xdr:cNvPr id="5" name="ZoneTexte 4">
          <a:extLst>
            <a:ext uri="{FF2B5EF4-FFF2-40B4-BE49-F238E27FC236}">
              <a16:creationId xmlns:a16="http://schemas.microsoft.com/office/drawing/2014/main" id="{00000000-0008-0000-2200-000005000000}"/>
            </a:ext>
          </a:extLst>
        </xdr:cNvPr>
        <xdr:cNvSpPr txBox="1"/>
      </xdr:nvSpPr>
      <xdr:spPr>
        <a:xfrm>
          <a:off x="5654039" y="5377179"/>
          <a:ext cx="1270000"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âgées</a:t>
          </a:r>
        </a:p>
      </xdr:txBody>
    </xdr:sp>
    <xdr:clientData/>
  </xdr:twoCellAnchor>
  <xdr:twoCellAnchor editAs="oneCell">
    <xdr:from>
      <xdr:col>2</xdr:col>
      <xdr:colOff>152398</xdr:colOff>
      <xdr:row>21</xdr:row>
      <xdr:rowOff>465664</xdr:rowOff>
    </xdr:from>
    <xdr:to>
      <xdr:col>2</xdr:col>
      <xdr:colOff>1693334</xdr:colOff>
      <xdr:row>21</xdr:row>
      <xdr:rowOff>736598</xdr:rowOff>
    </xdr:to>
    <xdr:sp macro="" textlink="">
      <xdr:nvSpPr>
        <xdr:cNvPr id="6" name="ZoneTexte 5">
          <a:extLst>
            <a:ext uri="{FF2B5EF4-FFF2-40B4-BE49-F238E27FC236}">
              <a16:creationId xmlns:a16="http://schemas.microsoft.com/office/drawing/2014/main" id="{00000000-0008-0000-2200-000006000000}"/>
            </a:ext>
          </a:extLst>
        </xdr:cNvPr>
        <xdr:cNvSpPr txBox="1"/>
      </xdr:nvSpPr>
      <xdr:spPr>
        <a:xfrm>
          <a:off x="5654038" y="5715844"/>
          <a:ext cx="1540936"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Groupes marginalisés</a:t>
          </a:r>
        </a:p>
      </xdr:txBody>
    </xdr:sp>
    <xdr:clientData/>
  </xdr:twoCellAnchor>
  <xdr:twoCellAnchor editAs="oneCell">
    <xdr:from>
      <xdr:col>2</xdr:col>
      <xdr:colOff>143934</xdr:colOff>
      <xdr:row>21</xdr:row>
      <xdr:rowOff>821267</xdr:rowOff>
    </xdr:from>
    <xdr:to>
      <xdr:col>2</xdr:col>
      <xdr:colOff>1854200</xdr:colOff>
      <xdr:row>21</xdr:row>
      <xdr:rowOff>1092201</xdr:rowOff>
    </xdr:to>
    <xdr:sp macro="" textlink="">
      <xdr:nvSpPr>
        <xdr:cNvPr id="7" name="ZoneTexte 6">
          <a:extLst>
            <a:ext uri="{FF2B5EF4-FFF2-40B4-BE49-F238E27FC236}">
              <a16:creationId xmlns:a16="http://schemas.microsoft.com/office/drawing/2014/main" id="{00000000-0008-0000-2200-000007000000}"/>
            </a:ext>
          </a:extLst>
        </xdr:cNvPr>
        <xdr:cNvSpPr txBox="1"/>
      </xdr:nvSpPr>
      <xdr:spPr>
        <a:xfrm>
          <a:off x="5645574" y="6071447"/>
          <a:ext cx="1710266"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handicapées</a:t>
          </a:r>
        </a:p>
      </xdr:txBody>
    </xdr:sp>
    <xdr:clientData/>
  </xdr:twoCellAnchor>
  <xdr:twoCellAnchor editAs="oneCell">
    <xdr:from>
      <xdr:col>2</xdr:col>
      <xdr:colOff>2175935</xdr:colOff>
      <xdr:row>21</xdr:row>
      <xdr:rowOff>42334</xdr:rowOff>
    </xdr:from>
    <xdr:to>
      <xdr:col>3</xdr:col>
      <xdr:colOff>1574800</xdr:colOff>
      <xdr:row>21</xdr:row>
      <xdr:rowOff>601134</xdr:rowOff>
    </xdr:to>
    <xdr:sp macro="" textlink="">
      <xdr:nvSpPr>
        <xdr:cNvPr id="8" name="ZoneTexte 7">
          <a:extLst>
            <a:ext uri="{FF2B5EF4-FFF2-40B4-BE49-F238E27FC236}">
              <a16:creationId xmlns:a16="http://schemas.microsoft.com/office/drawing/2014/main" id="{00000000-0008-0000-2200-000008000000}"/>
            </a:ext>
          </a:extLst>
        </xdr:cNvPr>
        <xdr:cNvSpPr txBox="1"/>
      </xdr:nvSpPr>
      <xdr:spPr>
        <a:xfrm>
          <a:off x="7677575" y="5292514"/>
          <a:ext cx="1639145" cy="55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atteintes de maladies</a:t>
          </a:r>
          <a:r>
            <a:rPr lang="fr-BE" sz="1200" baseline="0">
              <a:solidFill>
                <a:srgbClr val="215967"/>
              </a:solidFill>
            </a:rPr>
            <a:t> chroniques</a:t>
          </a:r>
          <a:endParaRPr lang="fr-BE" sz="1200">
            <a:solidFill>
              <a:srgbClr val="215967"/>
            </a:solidFill>
          </a:endParaRPr>
        </a:p>
      </xdr:txBody>
    </xdr:sp>
    <xdr:clientData/>
  </xdr:twoCellAnchor>
  <xdr:twoCellAnchor editAs="oneCell">
    <xdr:from>
      <xdr:col>2</xdr:col>
      <xdr:colOff>2159004</xdr:colOff>
      <xdr:row>21</xdr:row>
      <xdr:rowOff>474134</xdr:rowOff>
    </xdr:from>
    <xdr:to>
      <xdr:col>3</xdr:col>
      <xdr:colOff>1778000</xdr:colOff>
      <xdr:row>21</xdr:row>
      <xdr:rowOff>889000</xdr:rowOff>
    </xdr:to>
    <xdr:sp macro="" textlink="">
      <xdr:nvSpPr>
        <xdr:cNvPr id="9" name="ZoneTexte 8">
          <a:extLst>
            <a:ext uri="{FF2B5EF4-FFF2-40B4-BE49-F238E27FC236}">
              <a16:creationId xmlns:a16="http://schemas.microsoft.com/office/drawing/2014/main" id="{00000000-0008-0000-2200-000009000000}"/>
            </a:ext>
          </a:extLst>
        </xdr:cNvPr>
        <xdr:cNvSpPr txBox="1"/>
      </xdr:nvSpPr>
      <xdr:spPr>
        <a:xfrm>
          <a:off x="7660644" y="5724314"/>
          <a:ext cx="1859276" cy="414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Ménages à faibles revenus</a:t>
          </a:r>
        </a:p>
      </xdr:txBody>
    </xdr:sp>
    <xdr:clientData/>
  </xdr:twoCellAnchor>
  <xdr:twoCellAnchor editAs="oneCell">
    <xdr:from>
      <xdr:col>2</xdr:col>
      <xdr:colOff>2209801</xdr:colOff>
      <xdr:row>21</xdr:row>
      <xdr:rowOff>804334</xdr:rowOff>
    </xdr:from>
    <xdr:to>
      <xdr:col>3</xdr:col>
      <xdr:colOff>1676400</xdr:colOff>
      <xdr:row>21</xdr:row>
      <xdr:rowOff>1075268</xdr:rowOff>
    </xdr:to>
    <xdr:sp macro="" textlink="">
      <xdr:nvSpPr>
        <xdr:cNvPr id="10" name="ZoneTexte 9">
          <a:extLst>
            <a:ext uri="{FF2B5EF4-FFF2-40B4-BE49-F238E27FC236}">
              <a16:creationId xmlns:a16="http://schemas.microsoft.com/office/drawing/2014/main" id="{00000000-0008-0000-2200-00000A000000}"/>
            </a:ext>
          </a:extLst>
        </xdr:cNvPr>
        <xdr:cNvSpPr txBox="1"/>
      </xdr:nvSpPr>
      <xdr:spPr>
        <a:xfrm>
          <a:off x="7711441" y="6054514"/>
          <a:ext cx="1706879" cy="27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Chômeurs</a:t>
          </a:r>
        </a:p>
      </xdr:txBody>
    </xdr:sp>
    <xdr:clientData/>
  </xdr:twoCellAnchor>
  <xdr:twoCellAnchor editAs="oneCell">
    <xdr:from>
      <xdr:col>3</xdr:col>
      <xdr:colOff>1921935</xdr:colOff>
      <xdr:row>21</xdr:row>
      <xdr:rowOff>33866</xdr:rowOff>
    </xdr:from>
    <xdr:to>
      <xdr:col>4</xdr:col>
      <xdr:colOff>1566334</xdr:colOff>
      <xdr:row>21</xdr:row>
      <xdr:rowOff>618066</xdr:rowOff>
    </xdr:to>
    <xdr:sp macro="" textlink="">
      <xdr:nvSpPr>
        <xdr:cNvPr id="11" name="ZoneTexte 10">
          <a:extLst>
            <a:ext uri="{FF2B5EF4-FFF2-40B4-BE49-F238E27FC236}">
              <a16:creationId xmlns:a16="http://schemas.microsoft.com/office/drawing/2014/main" id="{00000000-0008-0000-2200-00000B000000}"/>
            </a:ext>
          </a:extLst>
        </xdr:cNvPr>
        <xdr:cNvSpPr txBox="1"/>
      </xdr:nvSpPr>
      <xdr:spPr>
        <a:xfrm>
          <a:off x="9663855" y="5284046"/>
          <a:ext cx="1709419"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Personnes vivant dans des logements précaires</a:t>
          </a:r>
        </a:p>
      </xdr:txBody>
    </xdr:sp>
    <xdr:clientData/>
  </xdr:twoCellAnchor>
  <xdr:twoCellAnchor editAs="oneCell">
    <xdr:from>
      <xdr:col>3</xdr:col>
      <xdr:colOff>1938869</xdr:colOff>
      <xdr:row>21</xdr:row>
      <xdr:rowOff>465666</xdr:rowOff>
    </xdr:from>
    <xdr:to>
      <xdr:col>4</xdr:col>
      <xdr:colOff>2269066</xdr:colOff>
      <xdr:row>21</xdr:row>
      <xdr:rowOff>728133</xdr:rowOff>
    </xdr:to>
    <xdr:sp macro="" textlink="">
      <xdr:nvSpPr>
        <xdr:cNvPr id="12" name="ZoneTexte 11">
          <a:extLst>
            <a:ext uri="{FF2B5EF4-FFF2-40B4-BE49-F238E27FC236}">
              <a16:creationId xmlns:a16="http://schemas.microsoft.com/office/drawing/2014/main" id="{00000000-0008-0000-2200-00000C000000}"/>
            </a:ext>
          </a:extLst>
        </xdr:cNvPr>
        <xdr:cNvSpPr txBox="1"/>
      </xdr:nvSpPr>
      <xdr:spPr>
        <a:xfrm>
          <a:off x="9680789" y="5715846"/>
          <a:ext cx="2395217" cy="262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Migrants</a:t>
          </a:r>
          <a:r>
            <a:rPr lang="fr-BE" sz="1200" baseline="0">
              <a:solidFill>
                <a:srgbClr val="215967"/>
              </a:solidFill>
            </a:rPr>
            <a:t> et personnes déplacées</a:t>
          </a:r>
          <a:endParaRPr lang="fr-BE" sz="1200">
            <a:solidFill>
              <a:srgbClr val="215967"/>
            </a:solidFill>
          </a:endParaRPr>
        </a:p>
      </xdr:txBody>
    </xdr:sp>
    <xdr:clientData/>
  </xdr:twoCellAnchor>
  <xdr:twoCellAnchor editAs="oneCell">
    <xdr:from>
      <xdr:col>3</xdr:col>
      <xdr:colOff>1955803</xdr:colOff>
      <xdr:row>21</xdr:row>
      <xdr:rowOff>804333</xdr:rowOff>
    </xdr:from>
    <xdr:to>
      <xdr:col>4</xdr:col>
      <xdr:colOff>2286000</xdr:colOff>
      <xdr:row>21</xdr:row>
      <xdr:rowOff>1066800</xdr:rowOff>
    </xdr:to>
    <xdr:sp macro="" textlink="">
      <xdr:nvSpPr>
        <xdr:cNvPr id="13" name="ZoneTexte 12">
          <a:extLst>
            <a:ext uri="{FF2B5EF4-FFF2-40B4-BE49-F238E27FC236}">
              <a16:creationId xmlns:a16="http://schemas.microsoft.com/office/drawing/2014/main" id="{00000000-0008-0000-2200-00000D000000}"/>
            </a:ext>
          </a:extLst>
        </xdr:cNvPr>
        <xdr:cNvSpPr txBox="1"/>
      </xdr:nvSpPr>
      <xdr:spPr>
        <a:xfrm>
          <a:off x="9697723" y="6054513"/>
          <a:ext cx="2395217" cy="262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Autres</a:t>
          </a:r>
        </a:p>
      </xdr:txBody>
    </xdr:sp>
    <xdr:clientData/>
  </xdr:twoCellAnchor>
  <xdr:twoCellAnchor editAs="oneCell">
    <xdr:from>
      <xdr:col>4</xdr:col>
      <xdr:colOff>1862670</xdr:colOff>
      <xdr:row>21</xdr:row>
      <xdr:rowOff>118534</xdr:rowOff>
    </xdr:from>
    <xdr:to>
      <xdr:col>5</xdr:col>
      <xdr:colOff>304800</xdr:colOff>
      <xdr:row>21</xdr:row>
      <xdr:rowOff>364067</xdr:rowOff>
    </xdr:to>
    <xdr:sp macro="" textlink="">
      <xdr:nvSpPr>
        <xdr:cNvPr id="14" name="ZoneTexte 13">
          <a:extLst>
            <a:ext uri="{FF2B5EF4-FFF2-40B4-BE49-F238E27FC236}">
              <a16:creationId xmlns:a16="http://schemas.microsoft.com/office/drawing/2014/main" id="{00000000-0008-0000-2200-00000E000000}"/>
            </a:ext>
          </a:extLst>
        </xdr:cNvPr>
        <xdr:cNvSpPr txBox="1"/>
      </xdr:nvSpPr>
      <xdr:spPr>
        <a:xfrm>
          <a:off x="11669610" y="5368714"/>
          <a:ext cx="1147230" cy="245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Tous</a:t>
          </a:r>
        </a:p>
      </xdr:txBody>
    </xdr:sp>
    <xdr:clientData/>
  </xdr:twoCellAnchor>
  <xdr:twoCellAnchor>
    <xdr:from>
      <xdr:col>0</xdr:col>
      <xdr:colOff>2775854</xdr:colOff>
      <xdr:row>86</xdr:row>
      <xdr:rowOff>10885</xdr:rowOff>
    </xdr:from>
    <xdr:to>
      <xdr:col>0</xdr:col>
      <xdr:colOff>2852057</xdr:colOff>
      <xdr:row>96</xdr:row>
      <xdr:rowOff>0</xdr:rowOff>
    </xdr:to>
    <xdr:sp macro="" textlink="">
      <xdr:nvSpPr>
        <xdr:cNvPr id="15" name="Parenthèse ouvrante 14">
          <a:extLst>
            <a:ext uri="{FF2B5EF4-FFF2-40B4-BE49-F238E27FC236}">
              <a16:creationId xmlns:a16="http://schemas.microsoft.com/office/drawing/2014/main" id="{C78F207A-0BD3-4611-A43D-C4BC1E70E282}"/>
            </a:ext>
          </a:extLst>
        </xdr:cNvPr>
        <xdr:cNvSpPr/>
      </xdr:nvSpPr>
      <xdr:spPr>
        <a:xfrm>
          <a:off x="2775854" y="23160445"/>
          <a:ext cx="76203" cy="1825535"/>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0</xdr:col>
      <xdr:colOff>228599</xdr:colOff>
      <xdr:row>89</xdr:row>
      <xdr:rowOff>163284</xdr:rowOff>
    </xdr:from>
    <xdr:to>
      <xdr:col>0</xdr:col>
      <xdr:colOff>2666999</xdr:colOff>
      <xdr:row>90</xdr:row>
      <xdr:rowOff>134982</xdr:rowOff>
    </xdr:to>
    <xdr:sp macro="" textlink="">
      <xdr:nvSpPr>
        <xdr:cNvPr id="16" name="ZoneTexte 15">
          <a:extLst>
            <a:ext uri="{FF2B5EF4-FFF2-40B4-BE49-F238E27FC236}">
              <a16:creationId xmlns:a16="http://schemas.microsoft.com/office/drawing/2014/main" id="{8DEF12A3-89E5-492D-B298-A6D73F3A7C7B}"/>
            </a:ext>
          </a:extLst>
        </xdr:cNvPr>
        <xdr:cNvSpPr txBox="1"/>
      </xdr:nvSpPr>
      <xdr:spPr>
        <a:xfrm>
          <a:off x="228599" y="23861484"/>
          <a:ext cx="2438400" cy="200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100"/>
            <a:t>Autres</a:t>
          </a:r>
          <a:r>
            <a:rPr lang="fr-BE" sz="1100" baseline="0"/>
            <a:t> indicateurs (remplissage libre)</a:t>
          </a:r>
          <a:endParaRPr lang="fr-BE" sz="1100"/>
        </a:p>
      </xdr:txBody>
    </xdr:sp>
    <xdr:clientData/>
  </xdr:twoCellAnchor>
  <xdr:twoCellAnchor>
    <xdr:from>
      <xdr:col>0</xdr:col>
      <xdr:colOff>2773133</xdr:colOff>
      <xdr:row>75</xdr:row>
      <xdr:rowOff>581025</xdr:rowOff>
    </xdr:from>
    <xdr:to>
      <xdr:col>0</xdr:col>
      <xdr:colOff>2849336</xdr:colOff>
      <xdr:row>85</xdr:row>
      <xdr:rowOff>175532</xdr:rowOff>
    </xdr:to>
    <xdr:sp macro="" textlink="">
      <xdr:nvSpPr>
        <xdr:cNvPr id="17" name="Parenthèse ouvrante 16">
          <a:extLst>
            <a:ext uri="{FF2B5EF4-FFF2-40B4-BE49-F238E27FC236}">
              <a16:creationId xmlns:a16="http://schemas.microsoft.com/office/drawing/2014/main" id="{E60F6010-D86A-462C-B751-67F9523B13A6}"/>
            </a:ext>
          </a:extLst>
        </xdr:cNvPr>
        <xdr:cNvSpPr/>
      </xdr:nvSpPr>
      <xdr:spPr>
        <a:xfrm>
          <a:off x="2773133" y="21254085"/>
          <a:ext cx="76203" cy="1880507"/>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editAs="oneCell">
    <xdr:from>
      <xdr:col>0</xdr:col>
      <xdr:colOff>247650</xdr:colOff>
      <xdr:row>79</xdr:row>
      <xdr:rowOff>31296</xdr:rowOff>
    </xdr:from>
    <xdr:to>
      <xdr:col>0</xdr:col>
      <xdr:colOff>2686050</xdr:colOff>
      <xdr:row>83</xdr:row>
      <xdr:rowOff>76200</xdr:rowOff>
    </xdr:to>
    <xdr:sp macro="" textlink="">
      <xdr:nvSpPr>
        <xdr:cNvPr id="18" name="ZoneTexte 17">
          <a:extLst>
            <a:ext uri="{FF2B5EF4-FFF2-40B4-BE49-F238E27FC236}">
              <a16:creationId xmlns:a16="http://schemas.microsoft.com/office/drawing/2014/main" id="{4C039BBB-CF33-40D3-9FBF-5CC7B90B40EC}"/>
            </a:ext>
          </a:extLst>
        </xdr:cNvPr>
        <xdr:cNvSpPr txBox="1"/>
      </xdr:nvSpPr>
      <xdr:spPr>
        <a:xfrm>
          <a:off x="247650" y="21776871"/>
          <a:ext cx="2438400" cy="768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100"/>
            <a:t>Indicateurs issus de la fiche action du PAEDC (remplissage automatique des cellules grisées)</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514350</xdr:colOff>
      <xdr:row>8</xdr:row>
      <xdr:rowOff>85725</xdr:rowOff>
    </xdr:from>
    <xdr:to>
      <xdr:col>4</xdr:col>
      <xdr:colOff>266700</xdr:colOff>
      <xdr:row>13</xdr:row>
      <xdr:rowOff>0</xdr:rowOff>
    </xdr:to>
    <xdr:pic>
      <xdr:nvPicPr>
        <xdr:cNvPr id="50192873" name="Picture 4" descr="RÃ©sultat de recherche d'images pour &quot;convention des maires&quot;">
          <a:extLst>
            <a:ext uri="{FF2B5EF4-FFF2-40B4-BE49-F238E27FC236}">
              <a16:creationId xmlns:a16="http://schemas.microsoft.com/office/drawing/2014/main" id="{00000000-0008-0000-2300-0000E9E1F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219325"/>
          <a:ext cx="219075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20</xdr:col>
      <xdr:colOff>369361</xdr:colOff>
      <xdr:row>0</xdr:row>
      <xdr:rowOff>101601</xdr:rowOff>
    </xdr:from>
    <xdr:to>
      <xdr:col>22</xdr:col>
      <xdr:colOff>1789642</xdr:colOff>
      <xdr:row>0</xdr:row>
      <xdr:rowOff>408012</xdr:rowOff>
    </xdr:to>
    <xdr:sp macro="" textlink="">
      <xdr:nvSpPr>
        <xdr:cNvPr id="2" name="Flèche : pentagone 1">
          <a:hlinkClick xmlns:r="http://schemas.openxmlformats.org/officeDocument/2006/relationships" r:id="rId2"/>
          <a:extLst>
            <a:ext uri="{FF2B5EF4-FFF2-40B4-BE49-F238E27FC236}">
              <a16:creationId xmlns:a16="http://schemas.microsoft.com/office/drawing/2014/main" id="{00000000-0008-0000-2300-000002000000}"/>
            </a:ext>
          </a:extLst>
        </xdr:cNvPr>
        <xdr:cNvSpPr/>
      </xdr:nvSpPr>
      <xdr:spPr>
        <a:xfrm>
          <a:off x="12900028" y="101601"/>
          <a:ext cx="2673347" cy="30641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2</xdr:col>
      <xdr:colOff>334435</xdr:colOff>
      <xdr:row>0</xdr:row>
      <xdr:rowOff>402169</xdr:rowOff>
    </xdr:from>
    <xdr:to>
      <xdr:col>5</xdr:col>
      <xdr:colOff>12701</xdr:colOff>
      <xdr:row>0</xdr:row>
      <xdr:rowOff>656167</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00000000-0008-0000-2300-000004000000}"/>
            </a:ext>
          </a:extLst>
        </xdr:cNvPr>
        <xdr:cNvSpPr txBox="1"/>
      </xdr:nvSpPr>
      <xdr:spPr>
        <a:xfrm>
          <a:off x="1587502" y="402169"/>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4</xdr:col>
      <xdr:colOff>502180</xdr:colOff>
      <xdr:row>0</xdr:row>
      <xdr:rowOff>400054</xdr:rowOff>
    </xdr:from>
    <xdr:to>
      <xdr:col>7</xdr:col>
      <xdr:colOff>29637</xdr:colOff>
      <xdr:row>0</xdr:row>
      <xdr:rowOff>709087</xdr:rowOff>
    </xdr:to>
    <xdr:sp macro="" textlink="">
      <xdr:nvSpPr>
        <xdr:cNvPr id="24" name="ZoneTexte 23">
          <a:hlinkClick xmlns:r="http://schemas.openxmlformats.org/officeDocument/2006/relationships" r:id="rId4"/>
          <a:extLst>
            <a:ext uri="{FF2B5EF4-FFF2-40B4-BE49-F238E27FC236}">
              <a16:creationId xmlns:a16="http://schemas.microsoft.com/office/drawing/2014/main" id="{00000000-0008-0000-2300-000018000000}"/>
            </a:ext>
          </a:extLst>
        </xdr:cNvPr>
        <xdr:cNvSpPr txBox="1"/>
      </xdr:nvSpPr>
      <xdr:spPr>
        <a:xfrm>
          <a:off x="3008313" y="400054"/>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6</xdr:col>
      <xdr:colOff>608012</xdr:colOff>
      <xdr:row>0</xdr:row>
      <xdr:rowOff>401326</xdr:rowOff>
    </xdr:from>
    <xdr:to>
      <xdr:col>9</xdr:col>
      <xdr:colOff>26980</xdr:colOff>
      <xdr:row>0</xdr:row>
      <xdr:rowOff>716710</xdr:rowOff>
    </xdr:to>
    <xdr:sp macro="" textlink="">
      <xdr:nvSpPr>
        <xdr:cNvPr id="25" name="ZoneTexte 24">
          <a:hlinkClick xmlns:r="http://schemas.openxmlformats.org/officeDocument/2006/relationships" r:id="rId5"/>
          <a:extLst>
            <a:ext uri="{FF2B5EF4-FFF2-40B4-BE49-F238E27FC236}">
              <a16:creationId xmlns:a16="http://schemas.microsoft.com/office/drawing/2014/main" id="{00000000-0008-0000-2300-000019000000}"/>
            </a:ext>
          </a:extLst>
        </xdr:cNvPr>
        <xdr:cNvSpPr txBox="1"/>
      </xdr:nvSpPr>
      <xdr:spPr>
        <a:xfrm>
          <a:off x="4367212" y="401326"/>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9</xdr:col>
      <xdr:colOff>86250</xdr:colOff>
      <xdr:row>0</xdr:row>
      <xdr:rowOff>394978</xdr:rowOff>
    </xdr:from>
    <xdr:to>
      <xdr:col>11</xdr:col>
      <xdr:colOff>533</xdr:colOff>
      <xdr:row>0</xdr:row>
      <xdr:rowOff>684961</xdr:rowOff>
    </xdr:to>
    <xdr:sp macro="" textlink="">
      <xdr:nvSpPr>
        <xdr:cNvPr id="26" name="ZoneTexte 25">
          <a:hlinkClick xmlns:r="http://schemas.openxmlformats.org/officeDocument/2006/relationships" r:id="rId6"/>
          <a:extLst>
            <a:ext uri="{FF2B5EF4-FFF2-40B4-BE49-F238E27FC236}">
              <a16:creationId xmlns:a16="http://schemas.microsoft.com/office/drawing/2014/main" id="{00000000-0008-0000-2300-00001A000000}"/>
            </a:ext>
          </a:extLst>
        </xdr:cNvPr>
        <xdr:cNvSpPr txBox="1"/>
      </xdr:nvSpPr>
      <xdr:spPr>
        <a:xfrm>
          <a:off x="5725050" y="394978"/>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10</xdr:col>
      <xdr:colOff>466200</xdr:colOff>
      <xdr:row>0</xdr:row>
      <xdr:rowOff>399212</xdr:rowOff>
    </xdr:from>
    <xdr:to>
      <xdr:col>11</xdr:col>
      <xdr:colOff>512765</xdr:colOff>
      <xdr:row>0</xdr:row>
      <xdr:rowOff>727295</xdr:rowOff>
    </xdr:to>
    <xdr:sp macro="" textlink="">
      <xdr:nvSpPr>
        <xdr:cNvPr id="27" name="ZoneTexte 26">
          <a:hlinkClick xmlns:r="http://schemas.openxmlformats.org/officeDocument/2006/relationships" r:id="rId7"/>
          <a:extLst>
            <a:ext uri="{FF2B5EF4-FFF2-40B4-BE49-F238E27FC236}">
              <a16:creationId xmlns:a16="http://schemas.microsoft.com/office/drawing/2014/main" id="{00000000-0008-0000-2300-00001B000000}"/>
            </a:ext>
          </a:extLst>
        </xdr:cNvPr>
        <xdr:cNvSpPr txBox="1"/>
      </xdr:nvSpPr>
      <xdr:spPr>
        <a:xfrm>
          <a:off x="6731533" y="399212"/>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11</xdr:col>
      <xdr:colOff>406920</xdr:colOff>
      <xdr:row>0</xdr:row>
      <xdr:rowOff>392862</xdr:rowOff>
    </xdr:from>
    <xdr:to>
      <xdr:col>13</xdr:col>
      <xdr:colOff>29110</xdr:colOff>
      <xdr:row>0</xdr:row>
      <xdr:rowOff>695545</xdr:rowOff>
    </xdr:to>
    <xdr:sp macro="" textlink="">
      <xdr:nvSpPr>
        <xdr:cNvPr id="28" name="ZoneTexte 27">
          <a:hlinkClick xmlns:r="http://schemas.openxmlformats.org/officeDocument/2006/relationships" r:id="rId8"/>
          <a:extLst>
            <a:ext uri="{FF2B5EF4-FFF2-40B4-BE49-F238E27FC236}">
              <a16:creationId xmlns:a16="http://schemas.microsoft.com/office/drawing/2014/main" id="{00000000-0008-0000-2300-00001C000000}"/>
            </a:ext>
          </a:extLst>
        </xdr:cNvPr>
        <xdr:cNvSpPr txBox="1"/>
      </xdr:nvSpPr>
      <xdr:spPr>
        <a:xfrm>
          <a:off x="7298787" y="392862"/>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16</xdr:col>
      <xdr:colOff>67737</xdr:colOff>
      <xdr:row>0</xdr:row>
      <xdr:rowOff>389478</xdr:rowOff>
    </xdr:from>
    <xdr:to>
      <xdr:col>18</xdr:col>
      <xdr:colOff>504829</xdr:colOff>
      <xdr:row>0</xdr:row>
      <xdr:rowOff>730262</xdr:rowOff>
    </xdr:to>
    <xdr:sp macro="" textlink="">
      <xdr:nvSpPr>
        <xdr:cNvPr id="29" name="ZoneTexte 28">
          <a:hlinkClick xmlns:r="http://schemas.openxmlformats.org/officeDocument/2006/relationships" r:id="rId9"/>
          <a:extLst>
            <a:ext uri="{FF2B5EF4-FFF2-40B4-BE49-F238E27FC236}">
              <a16:creationId xmlns:a16="http://schemas.microsoft.com/office/drawing/2014/main" id="{00000000-0008-0000-2300-00001D000000}"/>
            </a:ext>
          </a:extLst>
        </xdr:cNvPr>
        <xdr:cNvSpPr txBox="1"/>
      </xdr:nvSpPr>
      <xdr:spPr>
        <a:xfrm>
          <a:off x="10092270" y="389478"/>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15</xdr:col>
      <xdr:colOff>519</xdr:colOff>
      <xdr:row>0</xdr:row>
      <xdr:rowOff>383121</xdr:rowOff>
    </xdr:from>
    <xdr:to>
      <xdr:col>16</xdr:col>
      <xdr:colOff>160857</xdr:colOff>
      <xdr:row>0</xdr:row>
      <xdr:rowOff>698505</xdr:rowOff>
    </xdr:to>
    <xdr:sp macro="" textlink="">
      <xdr:nvSpPr>
        <xdr:cNvPr id="30" name="ZoneTexte 29">
          <a:hlinkClick xmlns:r="http://schemas.openxmlformats.org/officeDocument/2006/relationships" r:id="rId10"/>
          <a:extLst>
            <a:ext uri="{FF2B5EF4-FFF2-40B4-BE49-F238E27FC236}">
              <a16:creationId xmlns:a16="http://schemas.microsoft.com/office/drawing/2014/main" id="{00000000-0008-0000-2300-00001E000000}"/>
            </a:ext>
          </a:extLst>
        </xdr:cNvPr>
        <xdr:cNvSpPr txBox="1"/>
      </xdr:nvSpPr>
      <xdr:spPr>
        <a:xfrm>
          <a:off x="9398519" y="383121"/>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19</xdr:col>
      <xdr:colOff>333367</xdr:colOff>
      <xdr:row>0</xdr:row>
      <xdr:rowOff>384399</xdr:rowOff>
    </xdr:from>
    <xdr:to>
      <xdr:col>20</xdr:col>
      <xdr:colOff>578385</xdr:colOff>
      <xdr:row>0</xdr:row>
      <xdr:rowOff>727299</xdr:rowOff>
    </xdr:to>
    <xdr:sp macro="" textlink="">
      <xdr:nvSpPr>
        <xdr:cNvPr id="31" name="ZoneTexte 30">
          <a:hlinkClick xmlns:r="http://schemas.openxmlformats.org/officeDocument/2006/relationships" r:id="rId11"/>
          <a:extLst>
            <a:ext uri="{FF2B5EF4-FFF2-40B4-BE49-F238E27FC236}">
              <a16:creationId xmlns:a16="http://schemas.microsoft.com/office/drawing/2014/main" id="{00000000-0008-0000-2300-00001F000000}"/>
            </a:ext>
          </a:extLst>
        </xdr:cNvPr>
        <xdr:cNvSpPr txBox="1"/>
      </xdr:nvSpPr>
      <xdr:spPr>
        <a:xfrm>
          <a:off x="12237500" y="384399"/>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21</xdr:col>
      <xdr:colOff>537310</xdr:colOff>
      <xdr:row>0</xdr:row>
      <xdr:rowOff>381010</xdr:rowOff>
    </xdr:from>
    <xdr:to>
      <xdr:col>22</xdr:col>
      <xdr:colOff>593520</xdr:colOff>
      <xdr:row>0</xdr:row>
      <xdr:rowOff>687918</xdr:rowOff>
    </xdr:to>
    <xdr:sp macro="" textlink="">
      <xdr:nvSpPr>
        <xdr:cNvPr id="32" name="ZoneTexte 31">
          <a:hlinkClick xmlns:r="http://schemas.openxmlformats.org/officeDocument/2006/relationships" r:id="rId12"/>
          <a:extLst>
            <a:ext uri="{FF2B5EF4-FFF2-40B4-BE49-F238E27FC236}">
              <a16:creationId xmlns:a16="http://schemas.microsoft.com/office/drawing/2014/main" id="{00000000-0008-0000-2300-000020000000}"/>
            </a:ext>
          </a:extLst>
        </xdr:cNvPr>
        <xdr:cNvSpPr txBox="1"/>
      </xdr:nvSpPr>
      <xdr:spPr>
        <a:xfrm>
          <a:off x="13694510" y="381010"/>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18</xdr:col>
      <xdr:colOff>261400</xdr:colOff>
      <xdr:row>0</xdr:row>
      <xdr:rowOff>381009</xdr:rowOff>
    </xdr:from>
    <xdr:to>
      <xdr:col>19</xdr:col>
      <xdr:colOff>600079</xdr:colOff>
      <xdr:row>0</xdr:row>
      <xdr:rowOff>677343</xdr:rowOff>
    </xdr:to>
    <xdr:sp macro="" textlink="">
      <xdr:nvSpPr>
        <xdr:cNvPr id="33" name="ZoneTexte 32">
          <a:hlinkClick xmlns:r="http://schemas.openxmlformats.org/officeDocument/2006/relationships" r:id="rId13"/>
          <a:extLst>
            <a:ext uri="{FF2B5EF4-FFF2-40B4-BE49-F238E27FC236}">
              <a16:creationId xmlns:a16="http://schemas.microsoft.com/office/drawing/2014/main" id="{00000000-0008-0000-2300-000021000000}"/>
            </a:ext>
          </a:extLst>
        </xdr:cNvPr>
        <xdr:cNvSpPr txBox="1"/>
      </xdr:nvSpPr>
      <xdr:spPr>
        <a:xfrm>
          <a:off x="11539000" y="381009"/>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1</xdr:col>
      <xdr:colOff>66681</xdr:colOff>
      <xdr:row>0</xdr:row>
      <xdr:rowOff>349251</xdr:rowOff>
    </xdr:from>
    <xdr:to>
      <xdr:col>2</xdr:col>
      <xdr:colOff>323856</xdr:colOff>
      <xdr:row>0</xdr:row>
      <xdr:rowOff>698502</xdr:rowOff>
    </xdr:to>
    <xdr:sp macro="" textlink="">
      <xdr:nvSpPr>
        <xdr:cNvPr id="34" name="ZoneTexte 33">
          <a:hlinkClick xmlns:r="http://schemas.openxmlformats.org/officeDocument/2006/relationships" r:id="rId14"/>
          <a:extLst>
            <a:ext uri="{FF2B5EF4-FFF2-40B4-BE49-F238E27FC236}">
              <a16:creationId xmlns:a16="http://schemas.microsoft.com/office/drawing/2014/main" id="{00000000-0008-0000-2300-000022000000}"/>
            </a:ext>
          </a:extLst>
        </xdr:cNvPr>
        <xdr:cNvSpPr txBox="1"/>
      </xdr:nvSpPr>
      <xdr:spPr>
        <a:xfrm>
          <a:off x="693214" y="349251"/>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101601</xdr:rowOff>
    </xdr:from>
    <xdr:to>
      <xdr:col>1</xdr:col>
      <xdr:colOff>37042</xdr:colOff>
      <xdr:row>0</xdr:row>
      <xdr:rowOff>728399</xdr:rowOff>
    </xdr:to>
    <xdr:pic>
      <xdr:nvPicPr>
        <xdr:cNvPr id="35" name="Image 9">
          <a:extLst>
            <a:ext uri="{FF2B5EF4-FFF2-40B4-BE49-F238E27FC236}">
              <a16:creationId xmlns:a16="http://schemas.microsoft.com/office/drawing/2014/main" id="{00000000-0008-0000-2300-000023000000}"/>
            </a:ext>
          </a:extLst>
        </xdr:cNvPr>
        <xdr:cNvPicPr>
          <a:picLocks noChangeAspect="1"/>
        </xdr:cNvPicPr>
      </xdr:nvPicPr>
      <xdr:blipFill>
        <a:blip xmlns:r="http://schemas.openxmlformats.org/officeDocument/2006/relationships" r:embed="rId15">
          <a:duotone>
            <a:schemeClr val="accent5">
              <a:shade val="45000"/>
              <a:satMod val="135000"/>
            </a:schemeClr>
            <a:prstClr val="white"/>
          </a:duotone>
        </a:blip>
        <a:srcRect/>
        <a:stretch>
          <a:fillRect/>
        </a:stretch>
      </xdr:blipFill>
      <xdr:spPr bwMode="auto">
        <a:xfrm>
          <a:off x="0" y="101601"/>
          <a:ext cx="663575" cy="626798"/>
        </a:xfrm>
        <a:prstGeom prst="rect">
          <a:avLst/>
        </a:prstGeom>
        <a:noFill/>
        <a:ln>
          <a:noFill/>
        </a:ln>
      </xdr:spPr>
    </xdr:pic>
    <xdr:clientData fPrintsWithSheet="0"/>
  </xdr:twoCellAnchor>
  <xdr:twoCellAnchor editAs="absolute">
    <xdr:from>
      <xdr:col>22</xdr:col>
      <xdr:colOff>433170</xdr:colOff>
      <xdr:row>0</xdr:row>
      <xdr:rowOff>381010</xdr:rowOff>
    </xdr:from>
    <xdr:to>
      <xdr:col>22</xdr:col>
      <xdr:colOff>1833450</xdr:colOff>
      <xdr:row>0</xdr:row>
      <xdr:rowOff>687918</xdr:rowOff>
    </xdr:to>
    <xdr:sp macro="" textlink="">
      <xdr:nvSpPr>
        <xdr:cNvPr id="36" name="ZoneTexte 35">
          <a:hlinkClick xmlns:r="http://schemas.openxmlformats.org/officeDocument/2006/relationships" r:id="rId16"/>
          <a:extLst>
            <a:ext uri="{FF2B5EF4-FFF2-40B4-BE49-F238E27FC236}">
              <a16:creationId xmlns:a16="http://schemas.microsoft.com/office/drawing/2014/main" id="{00000000-0008-0000-2300-000024000000}"/>
            </a:ext>
          </a:extLst>
        </xdr:cNvPr>
        <xdr:cNvSpPr txBox="1"/>
      </xdr:nvSpPr>
      <xdr:spPr>
        <a:xfrm>
          <a:off x="14216903" y="381010"/>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14</xdr:col>
      <xdr:colOff>574148</xdr:colOff>
      <xdr:row>0</xdr:row>
      <xdr:rowOff>118534</xdr:rowOff>
    </xdr:from>
    <xdr:to>
      <xdr:col>20</xdr:col>
      <xdr:colOff>546633</xdr:colOff>
      <xdr:row>0</xdr:row>
      <xdr:rowOff>406401</xdr:rowOff>
    </xdr:to>
    <xdr:sp macro="" textlink="">
      <xdr:nvSpPr>
        <xdr:cNvPr id="37" name="Flèche : pentagone 36">
          <a:hlinkClick xmlns:r="http://schemas.openxmlformats.org/officeDocument/2006/relationships" r:id="rId10"/>
          <a:extLst>
            <a:ext uri="{FF2B5EF4-FFF2-40B4-BE49-F238E27FC236}">
              <a16:creationId xmlns:a16="http://schemas.microsoft.com/office/drawing/2014/main" id="{00000000-0008-0000-2300-000025000000}"/>
            </a:ext>
          </a:extLst>
        </xdr:cNvPr>
        <xdr:cNvSpPr/>
      </xdr:nvSpPr>
      <xdr:spPr>
        <a:xfrm>
          <a:off x="9345615" y="118534"/>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8</xdr:col>
      <xdr:colOff>420690</xdr:colOff>
      <xdr:row>0</xdr:row>
      <xdr:rowOff>115362</xdr:rowOff>
    </xdr:from>
    <xdr:to>
      <xdr:col>15</xdr:col>
      <xdr:colOff>11116</xdr:colOff>
      <xdr:row>0</xdr:row>
      <xdr:rowOff>406401</xdr:rowOff>
    </xdr:to>
    <xdr:sp macro="" textlink="">
      <xdr:nvSpPr>
        <xdr:cNvPr id="38" name="Flèche : pentagone 37">
          <a:hlinkClick xmlns:r="http://schemas.openxmlformats.org/officeDocument/2006/relationships" r:id="rId6"/>
          <a:extLst>
            <a:ext uri="{FF2B5EF4-FFF2-40B4-BE49-F238E27FC236}">
              <a16:creationId xmlns:a16="http://schemas.microsoft.com/office/drawing/2014/main" id="{00000000-0008-0000-2300-000026000000}"/>
            </a:ext>
          </a:extLst>
        </xdr:cNvPr>
        <xdr:cNvSpPr/>
      </xdr:nvSpPr>
      <xdr:spPr>
        <a:xfrm>
          <a:off x="5432957" y="115362"/>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2</xdr:col>
      <xdr:colOff>270937</xdr:colOff>
      <xdr:row>0</xdr:row>
      <xdr:rowOff>115363</xdr:rowOff>
    </xdr:from>
    <xdr:to>
      <xdr:col>9</xdr:col>
      <xdr:colOff>58741</xdr:colOff>
      <xdr:row>0</xdr:row>
      <xdr:rowOff>410129</xdr:rowOff>
    </xdr:to>
    <xdr:sp macro="" textlink="">
      <xdr:nvSpPr>
        <xdr:cNvPr id="39" name="Flèche : pentagone 38">
          <a:hlinkClick xmlns:r="http://schemas.openxmlformats.org/officeDocument/2006/relationships" r:id="rId3"/>
          <a:extLst>
            <a:ext uri="{FF2B5EF4-FFF2-40B4-BE49-F238E27FC236}">
              <a16:creationId xmlns:a16="http://schemas.microsoft.com/office/drawing/2014/main" id="{00000000-0008-0000-2300-000027000000}"/>
            </a:ext>
          </a:extLst>
        </xdr:cNvPr>
        <xdr:cNvSpPr/>
      </xdr:nvSpPr>
      <xdr:spPr>
        <a:xfrm>
          <a:off x="1524004" y="115363"/>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12</xdr:col>
      <xdr:colOff>490529</xdr:colOff>
      <xdr:row>0</xdr:row>
      <xdr:rowOff>389476</xdr:rowOff>
    </xdr:from>
    <xdr:to>
      <xdr:col>14</xdr:col>
      <xdr:colOff>448733</xdr:colOff>
      <xdr:row>0</xdr:row>
      <xdr:rowOff>692159</xdr:rowOff>
    </xdr:to>
    <xdr:sp macro="" textlink="">
      <xdr:nvSpPr>
        <xdr:cNvPr id="40" name="ZoneTexte 39">
          <a:hlinkClick xmlns:r="http://schemas.openxmlformats.org/officeDocument/2006/relationships" r:id="rId8"/>
          <a:extLst>
            <a:ext uri="{FF2B5EF4-FFF2-40B4-BE49-F238E27FC236}">
              <a16:creationId xmlns:a16="http://schemas.microsoft.com/office/drawing/2014/main" id="{00000000-0008-0000-2300-000028000000}"/>
            </a:ext>
          </a:extLst>
        </xdr:cNvPr>
        <xdr:cNvSpPr txBox="1"/>
      </xdr:nvSpPr>
      <xdr:spPr>
        <a:xfrm>
          <a:off x="8008929" y="389476"/>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1</xdr:col>
      <xdr:colOff>100545</xdr:colOff>
      <xdr:row>0</xdr:row>
      <xdr:rowOff>101601</xdr:rowOff>
    </xdr:from>
    <xdr:to>
      <xdr:col>2</xdr:col>
      <xdr:colOff>397937</xdr:colOff>
      <xdr:row>0</xdr:row>
      <xdr:rowOff>404837</xdr:rowOff>
    </xdr:to>
    <xdr:sp macro="" textlink="">
      <xdr:nvSpPr>
        <xdr:cNvPr id="41" name="Flèche : pentagone 40">
          <a:extLst>
            <a:ext uri="{FF2B5EF4-FFF2-40B4-BE49-F238E27FC236}">
              <a16:creationId xmlns:a16="http://schemas.microsoft.com/office/drawing/2014/main" id="{00000000-0008-0000-2300-000029000000}"/>
            </a:ext>
          </a:extLst>
        </xdr:cNvPr>
        <xdr:cNvSpPr/>
      </xdr:nvSpPr>
      <xdr:spPr>
        <a:xfrm>
          <a:off x="727078" y="101601"/>
          <a:ext cx="923926" cy="30323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20</xdr:col>
      <xdr:colOff>523763</xdr:colOff>
      <xdr:row>0</xdr:row>
      <xdr:rowOff>381010</xdr:rowOff>
    </xdr:from>
    <xdr:to>
      <xdr:col>22</xdr:col>
      <xdr:colOff>118957</xdr:colOff>
      <xdr:row>0</xdr:row>
      <xdr:rowOff>687918</xdr:rowOff>
    </xdr:to>
    <xdr:sp macro="" textlink="">
      <xdr:nvSpPr>
        <xdr:cNvPr id="42" name="ZoneTexte 41">
          <a:hlinkClick xmlns:r="http://schemas.openxmlformats.org/officeDocument/2006/relationships" r:id="rId17"/>
          <a:extLst>
            <a:ext uri="{FF2B5EF4-FFF2-40B4-BE49-F238E27FC236}">
              <a16:creationId xmlns:a16="http://schemas.microsoft.com/office/drawing/2014/main" id="{00000000-0008-0000-2300-00002A000000}"/>
            </a:ext>
          </a:extLst>
        </xdr:cNvPr>
        <xdr:cNvSpPr txBox="1"/>
      </xdr:nvSpPr>
      <xdr:spPr>
        <a:xfrm>
          <a:off x="13054430" y="381010"/>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oneCell">
    <xdr:from>
      <xdr:col>12</xdr:col>
      <xdr:colOff>133957</xdr:colOff>
      <xdr:row>7</xdr:row>
      <xdr:rowOff>93344</xdr:rowOff>
    </xdr:from>
    <xdr:to>
      <xdr:col>20</xdr:col>
      <xdr:colOff>169718</xdr:colOff>
      <xdr:row>22</xdr:row>
      <xdr:rowOff>56437</xdr:rowOff>
    </xdr:to>
    <xdr:pic>
      <xdr:nvPicPr>
        <xdr:cNvPr id="3" name="Imag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8"/>
        <a:stretch>
          <a:fillRect/>
        </a:stretch>
      </xdr:blipFill>
      <xdr:spPr>
        <a:xfrm>
          <a:off x="7626957" y="1987761"/>
          <a:ext cx="5031094" cy="355084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13</xdr:col>
      <xdr:colOff>76657</xdr:colOff>
      <xdr:row>0</xdr:row>
      <xdr:rowOff>125457</xdr:rowOff>
    </xdr:from>
    <xdr:to>
      <xdr:col>16</xdr:col>
      <xdr:colOff>2994</xdr:colOff>
      <xdr:row>0</xdr:row>
      <xdr:rowOff>431868</xdr:rowOff>
    </xdr:to>
    <xdr:sp macro="" textlink="">
      <xdr:nvSpPr>
        <xdr:cNvPr id="2" name="Flèche : pentagon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12900028" y="119742"/>
          <a:ext cx="2673347" cy="306411"/>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1</xdr:col>
      <xdr:colOff>1355092</xdr:colOff>
      <xdr:row>0</xdr:row>
      <xdr:rowOff>420310</xdr:rowOff>
    </xdr:from>
    <xdr:to>
      <xdr:col>2</xdr:col>
      <xdr:colOff>685197</xdr:colOff>
      <xdr:row>0</xdr:row>
      <xdr:rowOff>670498</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00000000-0008-0000-2400-000003000000}"/>
            </a:ext>
          </a:extLst>
        </xdr:cNvPr>
        <xdr:cNvSpPr txBox="1"/>
      </xdr:nvSpPr>
      <xdr:spPr>
        <a:xfrm>
          <a:off x="1587502" y="420310"/>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2</xdr:col>
      <xdr:colOff>551952</xdr:colOff>
      <xdr:row>0</xdr:row>
      <xdr:rowOff>418195</xdr:rowOff>
    </xdr:from>
    <xdr:to>
      <xdr:col>3</xdr:col>
      <xdr:colOff>698171</xdr:colOff>
      <xdr:row>0</xdr:row>
      <xdr:rowOff>727228</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00000000-0008-0000-2400-000004000000}"/>
            </a:ext>
          </a:extLst>
        </xdr:cNvPr>
        <xdr:cNvSpPr txBox="1"/>
      </xdr:nvSpPr>
      <xdr:spPr>
        <a:xfrm>
          <a:off x="3008313" y="418195"/>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3</xdr:col>
      <xdr:colOff>644298</xdr:colOff>
      <xdr:row>0</xdr:row>
      <xdr:rowOff>419467</xdr:rowOff>
    </xdr:from>
    <xdr:to>
      <xdr:col>4</xdr:col>
      <xdr:colOff>703255</xdr:colOff>
      <xdr:row>0</xdr:row>
      <xdr:rowOff>744376</xdr:rowOff>
    </xdr:to>
    <xdr:sp macro="" textlink="">
      <xdr:nvSpPr>
        <xdr:cNvPr id="5" name="ZoneTexte 4">
          <a:hlinkClick xmlns:r="http://schemas.openxmlformats.org/officeDocument/2006/relationships" r:id="rId4"/>
          <a:extLst>
            <a:ext uri="{FF2B5EF4-FFF2-40B4-BE49-F238E27FC236}">
              <a16:creationId xmlns:a16="http://schemas.microsoft.com/office/drawing/2014/main" id="{00000000-0008-0000-2400-000005000000}"/>
            </a:ext>
          </a:extLst>
        </xdr:cNvPr>
        <xdr:cNvSpPr txBox="1"/>
      </xdr:nvSpPr>
      <xdr:spPr>
        <a:xfrm>
          <a:off x="4367212" y="419467"/>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4</xdr:col>
      <xdr:colOff>781575</xdr:colOff>
      <xdr:row>0</xdr:row>
      <xdr:rowOff>407404</xdr:rowOff>
    </xdr:from>
    <xdr:to>
      <xdr:col>5</xdr:col>
      <xdr:colOff>877437</xdr:colOff>
      <xdr:row>0</xdr:row>
      <xdr:rowOff>706912</xdr:rowOff>
    </xdr:to>
    <xdr:sp macro="" textlink="">
      <xdr:nvSpPr>
        <xdr:cNvPr id="6" name="ZoneTexte 5">
          <a:hlinkClick xmlns:r="http://schemas.openxmlformats.org/officeDocument/2006/relationships" r:id="rId5"/>
          <a:extLst>
            <a:ext uri="{FF2B5EF4-FFF2-40B4-BE49-F238E27FC236}">
              <a16:creationId xmlns:a16="http://schemas.microsoft.com/office/drawing/2014/main" id="{00000000-0008-0000-2400-000006000000}"/>
            </a:ext>
          </a:extLst>
        </xdr:cNvPr>
        <xdr:cNvSpPr txBox="1"/>
      </xdr:nvSpPr>
      <xdr:spPr>
        <a:xfrm>
          <a:off x="5725050" y="413119"/>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5</xdr:col>
      <xdr:colOff>743029</xdr:colOff>
      <xdr:row>0</xdr:row>
      <xdr:rowOff>417353</xdr:rowOff>
    </xdr:from>
    <xdr:to>
      <xdr:col>6</xdr:col>
      <xdr:colOff>205909</xdr:colOff>
      <xdr:row>0</xdr:row>
      <xdr:rowOff>741626</xdr:rowOff>
    </xdr:to>
    <xdr:sp macro="" textlink="">
      <xdr:nvSpPr>
        <xdr:cNvPr id="7" name="ZoneTexte 6">
          <a:hlinkClick xmlns:r="http://schemas.openxmlformats.org/officeDocument/2006/relationships" r:id="rId6"/>
          <a:extLst>
            <a:ext uri="{FF2B5EF4-FFF2-40B4-BE49-F238E27FC236}">
              <a16:creationId xmlns:a16="http://schemas.microsoft.com/office/drawing/2014/main" id="{00000000-0008-0000-2400-000007000000}"/>
            </a:ext>
          </a:extLst>
        </xdr:cNvPr>
        <xdr:cNvSpPr txBox="1"/>
      </xdr:nvSpPr>
      <xdr:spPr>
        <a:xfrm>
          <a:off x="6731533" y="417353"/>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6</xdr:col>
      <xdr:colOff>96254</xdr:colOff>
      <xdr:row>0</xdr:row>
      <xdr:rowOff>403383</xdr:rowOff>
    </xdr:from>
    <xdr:to>
      <xdr:col>7</xdr:col>
      <xdr:colOff>200529</xdr:colOff>
      <xdr:row>0</xdr:row>
      <xdr:rowOff>704161</xdr:rowOff>
    </xdr:to>
    <xdr:sp macro="" textlink="">
      <xdr:nvSpPr>
        <xdr:cNvPr id="8" name="ZoneTexte 7">
          <a:hlinkClick xmlns:r="http://schemas.openxmlformats.org/officeDocument/2006/relationships" r:id="rId7"/>
          <a:extLst>
            <a:ext uri="{FF2B5EF4-FFF2-40B4-BE49-F238E27FC236}">
              <a16:creationId xmlns:a16="http://schemas.microsoft.com/office/drawing/2014/main" id="{00000000-0008-0000-2400-000008000000}"/>
            </a:ext>
          </a:extLst>
        </xdr:cNvPr>
        <xdr:cNvSpPr txBox="1"/>
      </xdr:nvSpPr>
      <xdr:spPr>
        <a:xfrm>
          <a:off x="7298787" y="411003"/>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9</xdr:col>
      <xdr:colOff>438002</xdr:colOff>
      <xdr:row>0</xdr:row>
      <xdr:rowOff>403809</xdr:rowOff>
    </xdr:from>
    <xdr:to>
      <xdr:col>11</xdr:col>
      <xdr:colOff>816705</xdr:colOff>
      <xdr:row>0</xdr:row>
      <xdr:rowOff>744593</xdr:rowOff>
    </xdr:to>
    <xdr:sp macro="" textlink="">
      <xdr:nvSpPr>
        <xdr:cNvPr id="9" name="ZoneTexte 8">
          <a:hlinkClick xmlns:r="http://schemas.openxmlformats.org/officeDocument/2006/relationships" r:id="rId8"/>
          <a:extLst>
            <a:ext uri="{FF2B5EF4-FFF2-40B4-BE49-F238E27FC236}">
              <a16:creationId xmlns:a16="http://schemas.microsoft.com/office/drawing/2014/main" id="{00000000-0008-0000-2400-000009000000}"/>
            </a:ext>
          </a:extLst>
        </xdr:cNvPr>
        <xdr:cNvSpPr txBox="1"/>
      </xdr:nvSpPr>
      <xdr:spPr>
        <a:xfrm>
          <a:off x="10092270" y="407619"/>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8</xdr:col>
      <xdr:colOff>403109</xdr:colOff>
      <xdr:row>0</xdr:row>
      <xdr:rowOff>397452</xdr:rowOff>
    </xdr:from>
    <xdr:to>
      <xdr:col>9</xdr:col>
      <xdr:colOff>546362</xdr:colOff>
      <xdr:row>0</xdr:row>
      <xdr:rowOff>710931</xdr:rowOff>
    </xdr:to>
    <xdr:sp macro="" textlink="">
      <xdr:nvSpPr>
        <xdr:cNvPr id="10" name="ZoneTexte 9">
          <a:hlinkClick xmlns:r="http://schemas.openxmlformats.org/officeDocument/2006/relationships" r:id="rId9"/>
          <a:extLst>
            <a:ext uri="{FF2B5EF4-FFF2-40B4-BE49-F238E27FC236}">
              <a16:creationId xmlns:a16="http://schemas.microsoft.com/office/drawing/2014/main" id="{00000000-0008-0000-2400-00000A000000}"/>
            </a:ext>
          </a:extLst>
        </xdr:cNvPr>
        <xdr:cNvSpPr txBox="1"/>
      </xdr:nvSpPr>
      <xdr:spPr>
        <a:xfrm>
          <a:off x="9398519" y="401262"/>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12</xdr:col>
      <xdr:colOff>432215</xdr:colOff>
      <xdr:row>0</xdr:row>
      <xdr:rowOff>398730</xdr:rowOff>
    </xdr:from>
    <xdr:to>
      <xdr:col>13</xdr:col>
      <xdr:colOff>289491</xdr:colOff>
      <xdr:row>0</xdr:row>
      <xdr:rowOff>741630</xdr:rowOff>
    </xdr:to>
    <xdr:sp macro="" textlink="">
      <xdr:nvSpPr>
        <xdr:cNvPr id="11" name="ZoneTexte 10">
          <a:hlinkClick xmlns:r="http://schemas.openxmlformats.org/officeDocument/2006/relationships" r:id="rId10"/>
          <a:extLst>
            <a:ext uri="{FF2B5EF4-FFF2-40B4-BE49-F238E27FC236}">
              <a16:creationId xmlns:a16="http://schemas.microsoft.com/office/drawing/2014/main" id="{00000000-0008-0000-2400-00000B000000}"/>
            </a:ext>
          </a:extLst>
        </xdr:cNvPr>
        <xdr:cNvSpPr txBox="1"/>
      </xdr:nvSpPr>
      <xdr:spPr>
        <a:xfrm>
          <a:off x="12237500" y="402540"/>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13</xdr:col>
      <xdr:colOff>865424</xdr:colOff>
      <xdr:row>0</xdr:row>
      <xdr:rowOff>402961</xdr:rowOff>
    </xdr:from>
    <xdr:to>
      <xdr:col>14</xdr:col>
      <xdr:colOff>403806</xdr:colOff>
      <xdr:row>0</xdr:row>
      <xdr:rowOff>702249</xdr:rowOff>
    </xdr:to>
    <xdr:sp macro="" textlink="">
      <xdr:nvSpPr>
        <xdr:cNvPr id="12" name="ZoneTexte 11">
          <a:hlinkClick xmlns:r="http://schemas.openxmlformats.org/officeDocument/2006/relationships" r:id="rId11"/>
          <a:extLst>
            <a:ext uri="{FF2B5EF4-FFF2-40B4-BE49-F238E27FC236}">
              <a16:creationId xmlns:a16="http://schemas.microsoft.com/office/drawing/2014/main" id="{00000000-0008-0000-2400-00000C000000}"/>
            </a:ext>
          </a:extLst>
        </xdr:cNvPr>
        <xdr:cNvSpPr txBox="1"/>
      </xdr:nvSpPr>
      <xdr:spPr>
        <a:xfrm>
          <a:off x="13694510" y="399151"/>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11</xdr:col>
      <xdr:colOff>582801</xdr:colOff>
      <xdr:row>0</xdr:row>
      <xdr:rowOff>402960</xdr:rowOff>
    </xdr:from>
    <xdr:to>
      <xdr:col>12</xdr:col>
      <xdr:colOff>698927</xdr:colOff>
      <xdr:row>0</xdr:row>
      <xdr:rowOff>705009</xdr:rowOff>
    </xdr:to>
    <xdr:sp macro="" textlink="">
      <xdr:nvSpPr>
        <xdr:cNvPr id="13" name="ZoneTexte 12">
          <a:hlinkClick xmlns:r="http://schemas.openxmlformats.org/officeDocument/2006/relationships" r:id="rId12"/>
          <a:extLst>
            <a:ext uri="{FF2B5EF4-FFF2-40B4-BE49-F238E27FC236}">
              <a16:creationId xmlns:a16="http://schemas.microsoft.com/office/drawing/2014/main" id="{00000000-0008-0000-2400-00000D000000}"/>
            </a:ext>
          </a:extLst>
        </xdr:cNvPr>
        <xdr:cNvSpPr txBox="1"/>
      </xdr:nvSpPr>
      <xdr:spPr>
        <a:xfrm>
          <a:off x="11539000" y="399150"/>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1</xdr:col>
      <xdr:colOff>470329</xdr:colOff>
      <xdr:row>0</xdr:row>
      <xdr:rowOff>363582</xdr:rowOff>
    </xdr:from>
    <xdr:to>
      <xdr:col>1</xdr:col>
      <xdr:colOff>1352133</xdr:colOff>
      <xdr:row>0</xdr:row>
      <xdr:rowOff>710928</xdr:rowOff>
    </xdr:to>
    <xdr:sp macro="" textlink="">
      <xdr:nvSpPr>
        <xdr:cNvPr id="14" name="ZoneTexte 13">
          <a:hlinkClick xmlns:r="http://schemas.openxmlformats.org/officeDocument/2006/relationships" r:id="rId13"/>
          <a:extLst>
            <a:ext uri="{FF2B5EF4-FFF2-40B4-BE49-F238E27FC236}">
              <a16:creationId xmlns:a16="http://schemas.microsoft.com/office/drawing/2014/main" id="{00000000-0008-0000-2400-00000E000000}"/>
            </a:ext>
          </a:extLst>
        </xdr:cNvPr>
        <xdr:cNvSpPr txBox="1"/>
      </xdr:nvSpPr>
      <xdr:spPr>
        <a:xfrm>
          <a:off x="693214" y="367392"/>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125457</xdr:rowOff>
    </xdr:from>
    <xdr:to>
      <xdr:col>1</xdr:col>
      <xdr:colOff>438785</xdr:colOff>
      <xdr:row>0</xdr:row>
      <xdr:rowOff>742730</xdr:rowOff>
    </xdr:to>
    <xdr:pic>
      <xdr:nvPicPr>
        <xdr:cNvPr id="15" name="Image 9">
          <a:extLst>
            <a:ext uri="{FF2B5EF4-FFF2-40B4-BE49-F238E27FC236}">
              <a16:creationId xmlns:a16="http://schemas.microsoft.com/office/drawing/2014/main" id="{00000000-0008-0000-2400-00000F000000}"/>
            </a:ext>
          </a:extLst>
        </xdr:cNvPr>
        <xdr:cNvPicPr>
          <a:picLocks noChangeAspect="1"/>
        </xdr:cNvPicPr>
      </xdr:nvPicPr>
      <xdr:blipFill>
        <a:blip xmlns:r="http://schemas.openxmlformats.org/officeDocument/2006/relationships" r:embed="rId14">
          <a:duotone>
            <a:schemeClr val="accent5">
              <a:shade val="45000"/>
              <a:satMod val="135000"/>
            </a:schemeClr>
            <a:prstClr val="white"/>
          </a:duotone>
        </a:blip>
        <a:srcRect/>
        <a:stretch>
          <a:fillRect/>
        </a:stretch>
      </xdr:blipFill>
      <xdr:spPr bwMode="auto">
        <a:xfrm>
          <a:off x="0" y="119742"/>
          <a:ext cx="663575" cy="626798"/>
        </a:xfrm>
        <a:prstGeom prst="rect">
          <a:avLst/>
        </a:prstGeom>
        <a:noFill/>
        <a:ln>
          <a:noFill/>
        </a:ln>
      </xdr:spPr>
    </xdr:pic>
    <xdr:clientData fPrintsWithSheet="0"/>
  </xdr:twoCellAnchor>
  <xdr:twoCellAnchor editAs="absolute">
    <xdr:from>
      <xdr:col>14</xdr:col>
      <xdr:colOff>249171</xdr:colOff>
      <xdr:row>0</xdr:row>
      <xdr:rowOff>402961</xdr:rowOff>
    </xdr:from>
    <xdr:to>
      <xdr:col>16</xdr:col>
      <xdr:colOff>39726</xdr:colOff>
      <xdr:row>0</xdr:row>
      <xdr:rowOff>702249</xdr:rowOff>
    </xdr:to>
    <xdr:sp macro="" textlink="">
      <xdr:nvSpPr>
        <xdr:cNvPr id="16" name="ZoneTexte 15">
          <a:hlinkClick xmlns:r="http://schemas.openxmlformats.org/officeDocument/2006/relationships" r:id="rId15"/>
          <a:extLst>
            <a:ext uri="{FF2B5EF4-FFF2-40B4-BE49-F238E27FC236}">
              <a16:creationId xmlns:a16="http://schemas.microsoft.com/office/drawing/2014/main" id="{00000000-0008-0000-2400-000010000000}"/>
            </a:ext>
          </a:extLst>
        </xdr:cNvPr>
        <xdr:cNvSpPr txBox="1"/>
      </xdr:nvSpPr>
      <xdr:spPr>
        <a:xfrm>
          <a:off x="14216903" y="399151"/>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8</xdr:col>
      <xdr:colOff>363540</xdr:colOff>
      <xdr:row>0</xdr:row>
      <xdr:rowOff>132865</xdr:rowOff>
    </xdr:from>
    <xdr:to>
      <xdr:col>13</xdr:col>
      <xdr:colOff>250119</xdr:colOff>
      <xdr:row>0</xdr:row>
      <xdr:rowOff>430257</xdr:rowOff>
    </xdr:to>
    <xdr:sp macro="" textlink="">
      <xdr:nvSpPr>
        <xdr:cNvPr id="17" name="Flèche : pentagone 16">
          <a:hlinkClick xmlns:r="http://schemas.openxmlformats.org/officeDocument/2006/relationships" r:id="rId9"/>
          <a:extLst>
            <a:ext uri="{FF2B5EF4-FFF2-40B4-BE49-F238E27FC236}">
              <a16:creationId xmlns:a16="http://schemas.microsoft.com/office/drawing/2014/main" id="{00000000-0008-0000-2400-000011000000}"/>
            </a:ext>
          </a:extLst>
        </xdr:cNvPr>
        <xdr:cNvSpPr/>
      </xdr:nvSpPr>
      <xdr:spPr>
        <a:xfrm>
          <a:off x="9345615" y="136675"/>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4</xdr:col>
      <xdr:colOff>476147</xdr:colOff>
      <xdr:row>0</xdr:row>
      <xdr:rowOff>129693</xdr:rowOff>
    </xdr:from>
    <xdr:to>
      <xdr:col>8</xdr:col>
      <xdr:colOff>417516</xdr:colOff>
      <xdr:row>0</xdr:row>
      <xdr:rowOff>430257</xdr:rowOff>
    </xdr:to>
    <xdr:sp macro="" textlink="">
      <xdr:nvSpPr>
        <xdr:cNvPr id="18" name="Flèche : pentagone 17">
          <a:hlinkClick xmlns:r="http://schemas.openxmlformats.org/officeDocument/2006/relationships" r:id="rId5"/>
          <a:extLst>
            <a:ext uri="{FF2B5EF4-FFF2-40B4-BE49-F238E27FC236}">
              <a16:creationId xmlns:a16="http://schemas.microsoft.com/office/drawing/2014/main" id="{00000000-0008-0000-2400-000012000000}"/>
            </a:ext>
          </a:extLst>
        </xdr:cNvPr>
        <xdr:cNvSpPr/>
      </xdr:nvSpPr>
      <xdr:spPr>
        <a:xfrm>
          <a:off x="5432957" y="133503"/>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1</xdr:col>
      <xdr:colOff>1295404</xdr:colOff>
      <xdr:row>0</xdr:row>
      <xdr:rowOff>129694</xdr:rowOff>
    </xdr:from>
    <xdr:to>
      <xdr:col>4</xdr:col>
      <xdr:colOff>740731</xdr:colOff>
      <xdr:row>0</xdr:row>
      <xdr:rowOff>435890</xdr:rowOff>
    </xdr:to>
    <xdr:sp macro="" textlink="">
      <xdr:nvSpPr>
        <xdr:cNvPr id="19" name="Flèche : pentagone 18">
          <a:hlinkClick xmlns:r="http://schemas.openxmlformats.org/officeDocument/2006/relationships" r:id="rId2"/>
          <a:extLst>
            <a:ext uri="{FF2B5EF4-FFF2-40B4-BE49-F238E27FC236}">
              <a16:creationId xmlns:a16="http://schemas.microsoft.com/office/drawing/2014/main" id="{00000000-0008-0000-2400-000013000000}"/>
            </a:ext>
          </a:extLst>
        </xdr:cNvPr>
        <xdr:cNvSpPr/>
      </xdr:nvSpPr>
      <xdr:spPr>
        <a:xfrm>
          <a:off x="1524004" y="133504"/>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7</xdr:col>
      <xdr:colOff>22080</xdr:colOff>
      <xdr:row>0</xdr:row>
      <xdr:rowOff>403807</xdr:rowOff>
    </xdr:from>
    <xdr:to>
      <xdr:col>8</xdr:col>
      <xdr:colOff>228600</xdr:colOff>
      <xdr:row>0</xdr:row>
      <xdr:rowOff>706490</xdr:rowOff>
    </xdr:to>
    <xdr:sp macro="" textlink="">
      <xdr:nvSpPr>
        <xdr:cNvPr id="20" name="ZoneTexte 19">
          <a:hlinkClick xmlns:r="http://schemas.openxmlformats.org/officeDocument/2006/relationships" r:id="rId7"/>
          <a:extLst>
            <a:ext uri="{FF2B5EF4-FFF2-40B4-BE49-F238E27FC236}">
              <a16:creationId xmlns:a16="http://schemas.microsoft.com/office/drawing/2014/main" id="{00000000-0008-0000-2400-000014000000}"/>
            </a:ext>
          </a:extLst>
        </xdr:cNvPr>
        <xdr:cNvSpPr txBox="1"/>
      </xdr:nvSpPr>
      <xdr:spPr>
        <a:xfrm>
          <a:off x="8008929" y="407617"/>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1</xdr:col>
      <xdr:colOff>498478</xdr:colOff>
      <xdr:row>0</xdr:row>
      <xdr:rowOff>125457</xdr:rowOff>
    </xdr:from>
    <xdr:to>
      <xdr:col>1</xdr:col>
      <xdr:colOff>1426214</xdr:colOff>
      <xdr:row>0</xdr:row>
      <xdr:rowOff>428693</xdr:rowOff>
    </xdr:to>
    <xdr:sp macro="" textlink="">
      <xdr:nvSpPr>
        <xdr:cNvPr id="21" name="Flèche : pentagone 20">
          <a:extLst>
            <a:ext uri="{FF2B5EF4-FFF2-40B4-BE49-F238E27FC236}">
              <a16:creationId xmlns:a16="http://schemas.microsoft.com/office/drawing/2014/main" id="{00000000-0008-0000-2400-000015000000}"/>
            </a:ext>
          </a:extLst>
        </xdr:cNvPr>
        <xdr:cNvSpPr/>
      </xdr:nvSpPr>
      <xdr:spPr>
        <a:xfrm>
          <a:off x="727078" y="119742"/>
          <a:ext cx="923926" cy="30323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13</xdr:col>
      <xdr:colOff>231059</xdr:colOff>
      <xdr:row>0</xdr:row>
      <xdr:rowOff>402961</xdr:rowOff>
    </xdr:from>
    <xdr:to>
      <xdr:col>13</xdr:col>
      <xdr:colOff>1083129</xdr:colOff>
      <xdr:row>0</xdr:row>
      <xdr:rowOff>702249</xdr:rowOff>
    </xdr:to>
    <xdr:sp macro="" textlink="">
      <xdr:nvSpPr>
        <xdr:cNvPr id="23" name="ZoneTexte 22">
          <a:hlinkClick xmlns:r="http://schemas.openxmlformats.org/officeDocument/2006/relationships" r:id="rId16"/>
          <a:extLst>
            <a:ext uri="{FF2B5EF4-FFF2-40B4-BE49-F238E27FC236}">
              <a16:creationId xmlns:a16="http://schemas.microsoft.com/office/drawing/2014/main" id="{00000000-0008-0000-2400-000017000000}"/>
            </a:ext>
          </a:extLst>
        </xdr:cNvPr>
        <xdr:cNvSpPr txBox="1"/>
      </xdr:nvSpPr>
      <xdr:spPr>
        <a:xfrm>
          <a:off x="13054430" y="399151"/>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13</xdr:col>
      <xdr:colOff>50803</xdr:colOff>
      <xdr:row>0</xdr:row>
      <xdr:rowOff>142875</xdr:rowOff>
    </xdr:from>
    <xdr:to>
      <xdr:col>15</xdr:col>
      <xdr:colOff>733425</xdr:colOff>
      <xdr:row>0</xdr:row>
      <xdr:rowOff>439761</xdr:rowOff>
    </xdr:to>
    <xdr:sp macro="" textlink="">
      <xdr:nvSpPr>
        <xdr:cNvPr id="22" name="Flèche : pentagone 21">
          <a:hlinkClick xmlns:r="http://schemas.openxmlformats.org/officeDocument/2006/relationships" r:id="rId1"/>
          <a:extLst>
            <a:ext uri="{FF2B5EF4-FFF2-40B4-BE49-F238E27FC236}">
              <a16:creationId xmlns:a16="http://schemas.microsoft.com/office/drawing/2014/main" id="{00000000-0008-0000-2500-000016000000}"/>
            </a:ext>
          </a:extLst>
        </xdr:cNvPr>
        <xdr:cNvSpPr/>
      </xdr:nvSpPr>
      <xdr:spPr>
        <a:xfrm>
          <a:off x="12900028" y="142875"/>
          <a:ext cx="2673347" cy="29688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1</xdr:col>
      <xdr:colOff>1358902</xdr:colOff>
      <xdr:row>0</xdr:row>
      <xdr:rowOff>433918</xdr:rowOff>
    </xdr:from>
    <xdr:to>
      <xdr:col>2</xdr:col>
      <xdr:colOff>687918</xdr:colOff>
      <xdr:row>0</xdr:row>
      <xdr:rowOff>687916</xdr:rowOff>
    </xdr:to>
    <xdr:sp macro="" textlink="">
      <xdr:nvSpPr>
        <xdr:cNvPr id="23" name="ZoneTexte 22">
          <a:hlinkClick xmlns:r="http://schemas.openxmlformats.org/officeDocument/2006/relationships" r:id="rId2"/>
          <a:extLst>
            <a:ext uri="{FF2B5EF4-FFF2-40B4-BE49-F238E27FC236}">
              <a16:creationId xmlns:a16="http://schemas.microsoft.com/office/drawing/2014/main" id="{00000000-0008-0000-2500-000017000000}"/>
            </a:ext>
          </a:extLst>
        </xdr:cNvPr>
        <xdr:cNvSpPr txBox="1"/>
      </xdr:nvSpPr>
      <xdr:spPr>
        <a:xfrm>
          <a:off x="1587502" y="433918"/>
          <a:ext cx="15578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twoCellAnchor editAs="absolute">
    <xdr:from>
      <xdr:col>2</xdr:col>
      <xdr:colOff>550863</xdr:colOff>
      <xdr:row>0</xdr:row>
      <xdr:rowOff>431803</xdr:rowOff>
    </xdr:from>
    <xdr:to>
      <xdr:col>3</xdr:col>
      <xdr:colOff>691095</xdr:colOff>
      <xdr:row>0</xdr:row>
      <xdr:rowOff>740836</xdr:rowOff>
    </xdr:to>
    <xdr:sp macro="" textlink="">
      <xdr:nvSpPr>
        <xdr:cNvPr id="24" name="ZoneTexte 23">
          <a:hlinkClick xmlns:r="http://schemas.openxmlformats.org/officeDocument/2006/relationships" r:id="rId3"/>
          <a:extLst>
            <a:ext uri="{FF2B5EF4-FFF2-40B4-BE49-F238E27FC236}">
              <a16:creationId xmlns:a16="http://schemas.microsoft.com/office/drawing/2014/main" id="{00000000-0008-0000-2500-000018000000}"/>
            </a:ext>
          </a:extLst>
        </xdr:cNvPr>
        <xdr:cNvSpPr txBox="1"/>
      </xdr:nvSpPr>
      <xdr:spPr>
        <a:xfrm>
          <a:off x="3008313" y="431803"/>
          <a:ext cx="1407057"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3</xdr:col>
      <xdr:colOff>642937</xdr:colOff>
      <xdr:row>0</xdr:row>
      <xdr:rowOff>433075</xdr:rowOff>
    </xdr:from>
    <xdr:to>
      <xdr:col>4</xdr:col>
      <xdr:colOff>712780</xdr:colOff>
      <xdr:row>0</xdr:row>
      <xdr:rowOff>748459</xdr:rowOff>
    </xdr:to>
    <xdr:sp macro="" textlink="">
      <xdr:nvSpPr>
        <xdr:cNvPr id="25" name="ZoneTexte 24">
          <a:hlinkClick xmlns:r="http://schemas.openxmlformats.org/officeDocument/2006/relationships" r:id="rId4"/>
          <a:extLst>
            <a:ext uri="{FF2B5EF4-FFF2-40B4-BE49-F238E27FC236}">
              <a16:creationId xmlns:a16="http://schemas.microsoft.com/office/drawing/2014/main" id="{00000000-0008-0000-2500-000019000000}"/>
            </a:ext>
          </a:extLst>
        </xdr:cNvPr>
        <xdr:cNvSpPr txBox="1"/>
      </xdr:nvSpPr>
      <xdr:spPr>
        <a:xfrm>
          <a:off x="4367212" y="433075"/>
          <a:ext cx="1298568"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4</xdr:col>
      <xdr:colOff>772050</xdr:colOff>
      <xdr:row>0</xdr:row>
      <xdr:rowOff>426727</xdr:rowOff>
    </xdr:from>
    <xdr:to>
      <xdr:col>5</xdr:col>
      <xdr:colOff>874716</xdr:colOff>
      <xdr:row>0</xdr:row>
      <xdr:rowOff>716710</xdr:rowOff>
    </xdr:to>
    <xdr:sp macro="" textlink="">
      <xdr:nvSpPr>
        <xdr:cNvPr id="26" name="ZoneTexte 25">
          <a:hlinkClick xmlns:r="http://schemas.openxmlformats.org/officeDocument/2006/relationships" r:id="rId5"/>
          <a:extLst>
            <a:ext uri="{FF2B5EF4-FFF2-40B4-BE49-F238E27FC236}">
              <a16:creationId xmlns:a16="http://schemas.microsoft.com/office/drawing/2014/main" id="{00000000-0008-0000-2500-00001A000000}"/>
            </a:ext>
          </a:extLst>
        </xdr:cNvPr>
        <xdr:cNvSpPr txBox="1"/>
      </xdr:nvSpPr>
      <xdr:spPr>
        <a:xfrm>
          <a:off x="5725050" y="426727"/>
          <a:ext cx="1150416"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5</xdr:col>
      <xdr:colOff>730783</xdr:colOff>
      <xdr:row>0</xdr:row>
      <xdr:rowOff>430961</xdr:rowOff>
    </xdr:from>
    <xdr:to>
      <xdr:col>6</xdr:col>
      <xdr:colOff>194207</xdr:colOff>
      <xdr:row>0</xdr:row>
      <xdr:rowOff>759044</xdr:rowOff>
    </xdr:to>
    <xdr:sp macro="" textlink="">
      <xdr:nvSpPr>
        <xdr:cNvPr id="27" name="ZoneTexte 26">
          <a:hlinkClick xmlns:r="http://schemas.openxmlformats.org/officeDocument/2006/relationships" r:id="rId6"/>
          <a:extLst>
            <a:ext uri="{FF2B5EF4-FFF2-40B4-BE49-F238E27FC236}">
              <a16:creationId xmlns:a16="http://schemas.microsoft.com/office/drawing/2014/main" id="{00000000-0008-0000-2500-00001B000000}"/>
            </a:ext>
          </a:extLst>
        </xdr:cNvPr>
        <xdr:cNvSpPr txBox="1"/>
      </xdr:nvSpPr>
      <xdr:spPr>
        <a:xfrm>
          <a:off x="6731533" y="430961"/>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6</xdr:col>
      <xdr:colOff>88362</xdr:colOff>
      <xdr:row>0</xdr:row>
      <xdr:rowOff>424611</xdr:rowOff>
    </xdr:from>
    <xdr:to>
      <xdr:col>7</xdr:col>
      <xdr:colOff>182568</xdr:colOff>
      <xdr:row>0</xdr:row>
      <xdr:rowOff>727294</xdr:rowOff>
    </xdr:to>
    <xdr:sp macro="" textlink="">
      <xdr:nvSpPr>
        <xdr:cNvPr id="28" name="ZoneTexte 27">
          <a:hlinkClick xmlns:r="http://schemas.openxmlformats.org/officeDocument/2006/relationships" r:id="rId7"/>
          <a:extLst>
            <a:ext uri="{FF2B5EF4-FFF2-40B4-BE49-F238E27FC236}">
              <a16:creationId xmlns:a16="http://schemas.microsoft.com/office/drawing/2014/main" id="{00000000-0008-0000-2500-00001C000000}"/>
            </a:ext>
          </a:extLst>
        </xdr:cNvPr>
        <xdr:cNvSpPr txBox="1"/>
      </xdr:nvSpPr>
      <xdr:spPr>
        <a:xfrm>
          <a:off x="7298787" y="424611"/>
          <a:ext cx="87525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9</xdr:col>
      <xdr:colOff>433920</xdr:colOff>
      <xdr:row>0</xdr:row>
      <xdr:rowOff>421227</xdr:rowOff>
    </xdr:from>
    <xdr:to>
      <xdr:col>11</xdr:col>
      <xdr:colOff>800104</xdr:colOff>
      <xdr:row>0</xdr:row>
      <xdr:rowOff>762011</xdr:rowOff>
    </xdr:to>
    <xdr:sp macro="" textlink="">
      <xdr:nvSpPr>
        <xdr:cNvPr id="29" name="ZoneTexte 28">
          <a:hlinkClick xmlns:r="http://schemas.openxmlformats.org/officeDocument/2006/relationships" r:id="rId8"/>
          <a:extLst>
            <a:ext uri="{FF2B5EF4-FFF2-40B4-BE49-F238E27FC236}">
              <a16:creationId xmlns:a16="http://schemas.microsoft.com/office/drawing/2014/main" id="{00000000-0008-0000-2500-00001D000000}"/>
            </a:ext>
          </a:extLst>
        </xdr:cNvPr>
        <xdr:cNvSpPr txBox="1"/>
      </xdr:nvSpPr>
      <xdr:spPr>
        <a:xfrm>
          <a:off x="10092270" y="421227"/>
          <a:ext cx="1690159"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8</xdr:col>
      <xdr:colOff>397394</xdr:colOff>
      <xdr:row>0</xdr:row>
      <xdr:rowOff>414870</xdr:rowOff>
    </xdr:from>
    <xdr:to>
      <xdr:col>9</xdr:col>
      <xdr:colOff>527040</xdr:colOff>
      <xdr:row>0</xdr:row>
      <xdr:rowOff>730254</xdr:rowOff>
    </xdr:to>
    <xdr:sp macro="" textlink="">
      <xdr:nvSpPr>
        <xdr:cNvPr id="30" name="ZoneTexte 29">
          <a:hlinkClick xmlns:r="http://schemas.openxmlformats.org/officeDocument/2006/relationships" r:id="rId9"/>
          <a:extLst>
            <a:ext uri="{FF2B5EF4-FFF2-40B4-BE49-F238E27FC236}">
              <a16:creationId xmlns:a16="http://schemas.microsoft.com/office/drawing/2014/main" id="{00000000-0008-0000-2500-00001E000000}"/>
            </a:ext>
          </a:extLst>
        </xdr:cNvPr>
        <xdr:cNvSpPr txBox="1"/>
      </xdr:nvSpPr>
      <xdr:spPr>
        <a:xfrm>
          <a:off x="9398519" y="414870"/>
          <a:ext cx="786871"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12</xdr:col>
      <xdr:colOff>397925</xdr:colOff>
      <xdr:row>0</xdr:row>
      <xdr:rowOff>416148</xdr:rowOff>
    </xdr:from>
    <xdr:to>
      <xdr:col>13</xdr:col>
      <xdr:colOff>259827</xdr:colOff>
      <xdr:row>0</xdr:row>
      <xdr:rowOff>759048</xdr:rowOff>
    </xdr:to>
    <xdr:sp macro="" textlink="">
      <xdr:nvSpPr>
        <xdr:cNvPr id="31" name="ZoneTexte 30">
          <a:hlinkClick xmlns:r="http://schemas.openxmlformats.org/officeDocument/2006/relationships" r:id="rId10"/>
          <a:extLst>
            <a:ext uri="{FF2B5EF4-FFF2-40B4-BE49-F238E27FC236}">
              <a16:creationId xmlns:a16="http://schemas.microsoft.com/office/drawing/2014/main" id="{00000000-0008-0000-2500-00001F000000}"/>
            </a:ext>
          </a:extLst>
        </xdr:cNvPr>
        <xdr:cNvSpPr txBox="1"/>
      </xdr:nvSpPr>
      <xdr:spPr>
        <a:xfrm>
          <a:off x="12237500" y="416148"/>
          <a:ext cx="87155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13</xdr:col>
      <xdr:colOff>845285</xdr:colOff>
      <xdr:row>0</xdr:row>
      <xdr:rowOff>412759</xdr:rowOff>
    </xdr:from>
    <xdr:to>
      <xdr:col>14</xdr:col>
      <xdr:colOff>365978</xdr:colOff>
      <xdr:row>0</xdr:row>
      <xdr:rowOff>719667</xdr:rowOff>
    </xdr:to>
    <xdr:sp macro="" textlink="">
      <xdr:nvSpPr>
        <xdr:cNvPr id="32" name="ZoneTexte 31">
          <a:hlinkClick xmlns:r="http://schemas.openxmlformats.org/officeDocument/2006/relationships" r:id="rId11"/>
          <a:extLst>
            <a:ext uri="{FF2B5EF4-FFF2-40B4-BE49-F238E27FC236}">
              <a16:creationId xmlns:a16="http://schemas.microsoft.com/office/drawing/2014/main" id="{00000000-0008-0000-2500-000020000000}"/>
            </a:ext>
          </a:extLst>
        </xdr:cNvPr>
        <xdr:cNvSpPr txBox="1"/>
      </xdr:nvSpPr>
      <xdr:spPr>
        <a:xfrm>
          <a:off x="13694510" y="412759"/>
          <a:ext cx="68274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11</xdr:col>
      <xdr:colOff>556675</xdr:colOff>
      <xdr:row>0</xdr:row>
      <xdr:rowOff>412758</xdr:rowOff>
    </xdr:from>
    <xdr:to>
      <xdr:col>12</xdr:col>
      <xdr:colOff>664637</xdr:colOff>
      <xdr:row>0</xdr:row>
      <xdr:rowOff>709092</xdr:rowOff>
    </xdr:to>
    <xdr:sp macro="" textlink="">
      <xdr:nvSpPr>
        <xdr:cNvPr id="33" name="ZoneTexte 32">
          <a:hlinkClick xmlns:r="http://schemas.openxmlformats.org/officeDocument/2006/relationships" r:id="rId12"/>
          <a:extLst>
            <a:ext uri="{FF2B5EF4-FFF2-40B4-BE49-F238E27FC236}">
              <a16:creationId xmlns:a16="http://schemas.microsoft.com/office/drawing/2014/main" id="{00000000-0008-0000-2500-000021000000}"/>
            </a:ext>
          </a:extLst>
        </xdr:cNvPr>
        <xdr:cNvSpPr txBox="1"/>
      </xdr:nvSpPr>
      <xdr:spPr>
        <a:xfrm>
          <a:off x="11539000" y="412758"/>
          <a:ext cx="96521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1</xdr:col>
      <xdr:colOff>464614</xdr:colOff>
      <xdr:row>0</xdr:row>
      <xdr:rowOff>381000</xdr:rowOff>
    </xdr:from>
    <xdr:to>
      <xdr:col>1</xdr:col>
      <xdr:colOff>1348323</xdr:colOff>
      <xdr:row>0</xdr:row>
      <xdr:rowOff>730251</xdr:rowOff>
    </xdr:to>
    <xdr:sp macro="" textlink="">
      <xdr:nvSpPr>
        <xdr:cNvPr id="34" name="ZoneTexte 33">
          <a:hlinkClick xmlns:r="http://schemas.openxmlformats.org/officeDocument/2006/relationships" r:id="rId13"/>
          <a:extLst>
            <a:ext uri="{FF2B5EF4-FFF2-40B4-BE49-F238E27FC236}">
              <a16:creationId xmlns:a16="http://schemas.microsoft.com/office/drawing/2014/main" id="{00000000-0008-0000-2500-000022000000}"/>
            </a:ext>
          </a:extLst>
        </xdr:cNvPr>
        <xdr:cNvSpPr txBox="1"/>
      </xdr:nvSpPr>
      <xdr:spPr>
        <a:xfrm>
          <a:off x="693214" y="381000"/>
          <a:ext cx="883709"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0</xdr:colOff>
      <xdr:row>0</xdr:row>
      <xdr:rowOff>133350</xdr:rowOff>
    </xdr:from>
    <xdr:to>
      <xdr:col>1</xdr:col>
      <xdr:colOff>434975</xdr:colOff>
      <xdr:row>0</xdr:row>
      <xdr:rowOff>760148</xdr:rowOff>
    </xdr:to>
    <xdr:pic>
      <xdr:nvPicPr>
        <xdr:cNvPr id="35" name="Image 9">
          <a:extLst>
            <a:ext uri="{FF2B5EF4-FFF2-40B4-BE49-F238E27FC236}">
              <a16:creationId xmlns:a16="http://schemas.microsoft.com/office/drawing/2014/main" id="{00000000-0008-0000-2500-000023000000}"/>
            </a:ext>
          </a:extLst>
        </xdr:cNvPr>
        <xdr:cNvPicPr>
          <a:picLocks noChangeAspect="1"/>
        </xdr:cNvPicPr>
      </xdr:nvPicPr>
      <xdr:blipFill>
        <a:blip xmlns:r="http://schemas.openxmlformats.org/officeDocument/2006/relationships" r:embed="rId14">
          <a:duotone>
            <a:schemeClr val="accent5">
              <a:shade val="45000"/>
              <a:satMod val="135000"/>
            </a:schemeClr>
            <a:prstClr val="white"/>
          </a:duotone>
        </a:blip>
        <a:srcRect/>
        <a:stretch>
          <a:fillRect/>
        </a:stretch>
      </xdr:blipFill>
      <xdr:spPr bwMode="auto">
        <a:xfrm>
          <a:off x="0" y="133350"/>
          <a:ext cx="663575" cy="626798"/>
        </a:xfrm>
        <a:prstGeom prst="rect">
          <a:avLst/>
        </a:prstGeom>
        <a:noFill/>
        <a:ln>
          <a:noFill/>
        </a:ln>
      </xdr:spPr>
    </xdr:pic>
    <xdr:clientData fPrintsWithSheet="0"/>
  </xdr:twoCellAnchor>
  <xdr:twoCellAnchor editAs="absolute">
    <xdr:from>
      <xdr:col>14</xdr:col>
      <xdr:colOff>205628</xdr:colOff>
      <xdr:row>0</xdr:row>
      <xdr:rowOff>412759</xdr:rowOff>
    </xdr:from>
    <xdr:to>
      <xdr:col>16</xdr:col>
      <xdr:colOff>5708</xdr:colOff>
      <xdr:row>0</xdr:row>
      <xdr:rowOff>719667</xdr:rowOff>
    </xdr:to>
    <xdr:sp macro="" textlink="">
      <xdr:nvSpPr>
        <xdr:cNvPr id="36" name="ZoneTexte 35">
          <a:hlinkClick xmlns:r="http://schemas.openxmlformats.org/officeDocument/2006/relationships" r:id="rId15"/>
          <a:extLst>
            <a:ext uri="{FF2B5EF4-FFF2-40B4-BE49-F238E27FC236}">
              <a16:creationId xmlns:a16="http://schemas.microsoft.com/office/drawing/2014/main" id="{00000000-0008-0000-2500-000024000000}"/>
            </a:ext>
          </a:extLst>
        </xdr:cNvPr>
        <xdr:cNvSpPr txBox="1"/>
      </xdr:nvSpPr>
      <xdr:spPr>
        <a:xfrm>
          <a:off x="14216903" y="412759"/>
          <a:ext cx="140028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8</xdr:col>
      <xdr:colOff>344490</xdr:colOff>
      <xdr:row>0</xdr:row>
      <xdr:rowOff>150283</xdr:rowOff>
    </xdr:from>
    <xdr:to>
      <xdr:col>13</xdr:col>
      <xdr:colOff>228075</xdr:colOff>
      <xdr:row>0</xdr:row>
      <xdr:rowOff>438150</xdr:rowOff>
    </xdr:to>
    <xdr:sp macro="" textlink="">
      <xdr:nvSpPr>
        <xdr:cNvPr id="37" name="Flèche : pentagone 36">
          <a:hlinkClick xmlns:r="http://schemas.openxmlformats.org/officeDocument/2006/relationships" r:id="rId9"/>
          <a:extLst>
            <a:ext uri="{FF2B5EF4-FFF2-40B4-BE49-F238E27FC236}">
              <a16:creationId xmlns:a16="http://schemas.microsoft.com/office/drawing/2014/main" id="{00000000-0008-0000-2500-000025000000}"/>
            </a:ext>
          </a:extLst>
        </xdr:cNvPr>
        <xdr:cNvSpPr/>
      </xdr:nvSpPr>
      <xdr:spPr>
        <a:xfrm>
          <a:off x="9345615" y="150283"/>
          <a:ext cx="3731685" cy="28786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4</xdr:col>
      <xdr:colOff>479957</xdr:colOff>
      <xdr:row>0</xdr:row>
      <xdr:rowOff>147111</xdr:rowOff>
    </xdr:from>
    <xdr:to>
      <xdr:col>8</xdr:col>
      <xdr:colOff>407991</xdr:colOff>
      <xdr:row>0</xdr:row>
      <xdr:rowOff>438150</xdr:rowOff>
    </xdr:to>
    <xdr:sp macro="" textlink="">
      <xdr:nvSpPr>
        <xdr:cNvPr id="38" name="Flèche : pentagone 37">
          <a:hlinkClick xmlns:r="http://schemas.openxmlformats.org/officeDocument/2006/relationships" r:id="rId5"/>
          <a:extLst>
            <a:ext uri="{FF2B5EF4-FFF2-40B4-BE49-F238E27FC236}">
              <a16:creationId xmlns:a16="http://schemas.microsoft.com/office/drawing/2014/main" id="{00000000-0008-0000-2500-000026000000}"/>
            </a:ext>
          </a:extLst>
        </xdr:cNvPr>
        <xdr:cNvSpPr/>
      </xdr:nvSpPr>
      <xdr:spPr>
        <a:xfrm>
          <a:off x="5432957" y="147111"/>
          <a:ext cx="3976159"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1</xdr:col>
      <xdr:colOff>1295404</xdr:colOff>
      <xdr:row>0</xdr:row>
      <xdr:rowOff>147112</xdr:rowOff>
    </xdr:from>
    <xdr:to>
      <xdr:col>4</xdr:col>
      <xdr:colOff>744541</xdr:colOff>
      <xdr:row>0</xdr:row>
      <xdr:rowOff>441878</xdr:rowOff>
    </xdr:to>
    <xdr:sp macro="" textlink="">
      <xdr:nvSpPr>
        <xdr:cNvPr id="39" name="Flèche : pentagone 38">
          <a:hlinkClick xmlns:r="http://schemas.openxmlformats.org/officeDocument/2006/relationships" r:id="rId2"/>
          <a:extLst>
            <a:ext uri="{FF2B5EF4-FFF2-40B4-BE49-F238E27FC236}">
              <a16:creationId xmlns:a16="http://schemas.microsoft.com/office/drawing/2014/main" id="{00000000-0008-0000-2500-000027000000}"/>
            </a:ext>
          </a:extLst>
        </xdr:cNvPr>
        <xdr:cNvSpPr/>
      </xdr:nvSpPr>
      <xdr:spPr>
        <a:xfrm>
          <a:off x="1524004" y="147112"/>
          <a:ext cx="4173537"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7</xdr:col>
      <xdr:colOff>17454</xdr:colOff>
      <xdr:row>0</xdr:row>
      <xdr:rowOff>421225</xdr:rowOff>
    </xdr:from>
    <xdr:to>
      <xdr:col>8</xdr:col>
      <xdr:colOff>219075</xdr:colOff>
      <xdr:row>0</xdr:row>
      <xdr:rowOff>723908</xdr:rowOff>
    </xdr:to>
    <xdr:sp macro="" textlink="">
      <xdr:nvSpPr>
        <xdr:cNvPr id="40" name="ZoneTexte 39">
          <a:hlinkClick xmlns:r="http://schemas.openxmlformats.org/officeDocument/2006/relationships" r:id="rId7"/>
          <a:extLst>
            <a:ext uri="{FF2B5EF4-FFF2-40B4-BE49-F238E27FC236}">
              <a16:creationId xmlns:a16="http://schemas.microsoft.com/office/drawing/2014/main" id="{00000000-0008-0000-2500-000028000000}"/>
            </a:ext>
          </a:extLst>
        </xdr:cNvPr>
        <xdr:cNvSpPr txBox="1"/>
      </xdr:nvSpPr>
      <xdr:spPr>
        <a:xfrm>
          <a:off x="8008929" y="421225"/>
          <a:ext cx="121127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1</xdr:col>
      <xdr:colOff>498478</xdr:colOff>
      <xdr:row>0</xdr:row>
      <xdr:rowOff>133350</xdr:rowOff>
    </xdr:from>
    <xdr:to>
      <xdr:col>1</xdr:col>
      <xdr:colOff>1422404</xdr:colOff>
      <xdr:row>0</xdr:row>
      <xdr:rowOff>436586</xdr:rowOff>
    </xdr:to>
    <xdr:sp macro="" textlink="">
      <xdr:nvSpPr>
        <xdr:cNvPr id="41" name="Flèche : pentagone 40">
          <a:extLst>
            <a:ext uri="{FF2B5EF4-FFF2-40B4-BE49-F238E27FC236}">
              <a16:creationId xmlns:a16="http://schemas.microsoft.com/office/drawing/2014/main" id="{00000000-0008-0000-2500-000029000000}"/>
            </a:ext>
          </a:extLst>
        </xdr:cNvPr>
        <xdr:cNvSpPr/>
      </xdr:nvSpPr>
      <xdr:spPr>
        <a:xfrm>
          <a:off x="727078" y="133350"/>
          <a:ext cx="923926" cy="30323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absolute">
    <xdr:from>
      <xdr:col>13</xdr:col>
      <xdr:colOff>205205</xdr:colOff>
      <xdr:row>0</xdr:row>
      <xdr:rowOff>412759</xdr:rowOff>
    </xdr:from>
    <xdr:to>
      <xdr:col>13</xdr:col>
      <xdr:colOff>1053465</xdr:colOff>
      <xdr:row>0</xdr:row>
      <xdr:rowOff>719667</xdr:rowOff>
    </xdr:to>
    <xdr:sp macro="" textlink="">
      <xdr:nvSpPr>
        <xdr:cNvPr id="42" name="ZoneTexte 41">
          <a:hlinkClick xmlns:r="http://schemas.openxmlformats.org/officeDocument/2006/relationships" r:id="rId16"/>
          <a:extLst>
            <a:ext uri="{FF2B5EF4-FFF2-40B4-BE49-F238E27FC236}">
              <a16:creationId xmlns:a16="http://schemas.microsoft.com/office/drawing/2014/main" id="{00000000-0008-0000-2500-00002A000000}"/>
            </a:ext>
          </a:extLst>
        </xdr:cNvPr>
        <xdr:cNvSpPr txBox="1"/>
      </xdr:nvSpPr>
      <xdr:spPr>
        <a:xfrm>
          <a:off x="13054430" y="412759"/>
          <a:ext cx="848260"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a:t>
          </a:r>
          <a:r>
            <a:rPr lang="fr-BE" sz="1200" b="0" baseline="0">
              <a:solidFill>
                <a:schemeClr val="tx1">
                  <a:lumMod val="50000"/>
                  <a:lumOff val="50000"/>
                </a:schemeClr>
              </a:solidFill>
            </a:rPr>
            <a:t> </a:t>
          </a:r>
          <a:r>
            <a:rPr lang="fr-BE" sz="1200" b="0" u="sng" baseline="0">
              <a:solidFill>
                <a:schemeClr val="tx1">
                  <a:lumMod val="50000"/>
                  <a:lumOff val="50000"/>
                </a:schemeClr>
              </a:solidFill>
            </a:rPr>
            <a:t>POLLEC</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577340" cy="7373620"/>
    <xdr:pic>
      <xdr:nvPicPr>
        <xdr:cNvPr id="2" name="Image 1">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77340" cy="7373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15240</xdr:colOff>
      <xdr:row>25</xdr:row>
      <xdr:rowOff>574035</xdr:rowOff>
    </xdr:from>
    <xdr:ext cx="1562100" cy="6957906"/>
    <xdr:pic>
      <xdr:nvPicPr>
        <xdr:cNvPr id="3" name="Image 2">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4757415"/>
          <a:ext cx="1562100" cy="69579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7620</xdr:colOff>
      <xdr:row>0</xdr:row>
      <xdr:rowOff>7620</xdr:rowOff>
    </xdr:from>
    <xdr:ext cx="12887960" cy="1546860"/>
    <xdr:pic>
      <xdr:nvPicPr>
        <xdr:cNvPr id="4" name="Image 3">
          <a:extLst>
            <a:ext uri="{FF2B5EF4-FFF2-40B4-BE49-F238E27FC236}">
              <a16:creationId xmlns:a16="http://schemas.microsoft.com/office/drawing/2014/main" id="{00000000-0008-0000-2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7620"/>
          <a:ext cx="12887960" cy="15468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18</xdr:row>
      <xdr:rowOff>170180</xdr:rowOff>
    </xdr:to>
    <xdr:pic>
      <xdr:nvPicPr>
        <xdr:cNvPr id="2" name="Image 1">
          <a:extLst>
            <a:ext uri="{FF2B5EF4-FFF2-40B4-BE49-F238E27FC236}">
              <a16:creationId xmlns:a16="http://schemas.microsoft.com/office/drawing/2014/main" id="{00000000-0008-0000-2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5960" cy="6812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0</xdr:colOff>
      <xdr:row>0</xdr:row>
      <xdr:rowOff>0</xdr:rowOff>
    </xdr:from>
    <xdr:to>
      <xdr:col>20</xdr:col>
      <xdr:colOff>247227</xdr:colOff>
      <xdr:row>1</xdr:row>
      <xdr:rowOff>0</xdr:rowOff>
    </xdr:to>
    <xdr:pic>
      <xdr:nvPicPr>
        <xdr:cNvPr id="3" name="Image 2">
          <a:extLst>
            <a:ext uri="{FF2B5EF4-FFF2-40B4-BE49-F238E27FC236}">
              <a16:creationId xmlns:a16="http://schemas.microsoft.com/office/drawing/2014/main" id="{00000000-0008-0000-2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5960" y="0"/>
          <a:ext cx="12428220" cy="1973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xdr:colOff>
      <xdr:row>19</xdr:row>
      <xdr:rowOff>129540</xdr:rowOff>
    </xdr:from>
    <xdr:to>
      <xdr:col>1</xdr:col>
      <xdr:colOff>15663</xdr:colOff>
      <xdr:row>50</xdr:row>
      <xdr:rowOff>36618</xdr:rowOff>
    </xdr:to>
    <xdr:pic>
      <xdr:nvPicPr>
        <xdr:cNvPr id="4" name="Image 3">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 y="6545580"/>
          <a:ext cx="1943100" cy="704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213360</xdr:rowOff>
    </xdr:from>
    <xdr:to>
      <xdr:col>1</xdr:col>
      <xdr:colOff>15663</xdr:colOff>
      <xdr:row>73</xdr:row>
      <xdr:rowOff>7622</xdr:rowOff>
    </xdr:to>
    <xdr:pic>
      <xdr:nvPicPr>
        <xdr:cNvPr id="5" name="Image 4">
          <a:extLst>
            <a:ext uri="{FF2B5EF4-FFF2-40B4-BE49-F238E27FC236}">
              <a16:creationId xmlns:a16="http://schemas.microsoft.com/office/drawing/2014/main" id="{00000000-0008-0000-2B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3708380"/>
          <a:ext cx="1958340" cy="60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23</xdr:row>
      <xdr:rowOff>16299</xdr:rowOff>
    </xdr:to>
    <xdr:pic>
      <xdr:nvPicPr>
        <xdr:cNvPr id="2" name="Image 1">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5960" cy="6766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84666</xdr:rowOff>
    </xdr:from>
    <xdr:to>
      <xdr:col>1</xdr:col>
      <xdr:colOff>0</xdr:colOff>
      <xdr:row>52</xdr:row>
      <xdr:rowOff>173143</xdr:rowOff>
    </xdr:to>
    <xdr:pic>
      <xdr:nvPicPr>
        <xdr:cNvPr id="4" name="Image 3">
          <a:extLst>
            <a:ext uri="{FF2B5EF4-FFF2-40B4-BE49-F238E27FC236}">
              <a16:creationId xmlns:a16="http://schemas.microsoft.com/office/drawing/2014/main" id="{00000000-0008-0000-2C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02399"/>
          <a:ext cx="1943100" cy="7070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177800</xdr:rowOff>
    </xdr:from>
    <xdr:to>
      <xdr:col>1</xdr:col>
      <xdr:colOff>15663</xdr:colOff>
      <xdr:row>62</xdr:row>
      <xdr:rowOff>57574</xdr:rowOff>
    </xdr:to>
    <xdr:pic>
      <xdr:nvPicPr>
        <xdr:cNvPr id="5" name="Image 4">
          <a:extLst>
            <a:ext uri="{FF2B5EF4-FFF2-40B4-BE49-F238E27FC236}">
              <a16:creationId xmlns:a16="http://schemas.microsoft.com/office/drawing/2014/main" id="{00000000-0008-0000-2C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948333"/>
          <a:ext cx="1958340" cy="6204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16933</xdr:rowOff>
    </xdr:from>
    <xdr:to>
      <xdr:col>11</xdr:col>
      <xdr:colOff>742950</xdr:colOff>
      <xdr:row>0</xdr:row>
      <xdr:rowOff>664633</xdr:rowOff>
    </xdr:to>
    <xdr:pic>
      <xdr:nvPicPr>
        <xdr:cNvPr id="6" name="Image 5">
          <a:extLst>
            <a:ext uri="{FF2B5EF4-FFF2-40B4-BE49-F238E27FC236}">
              <a16:creationId xmlns:a16="http://schemas.microsoft.com/office/drawing/2014/main" id="{00000000-0008-0000-2C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4267" y="16933"/>
          <a:ext cx="9977120" cy="655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423333</xdr:colOff>
      <xdr:row>0</xdr:row>
      <xdr:rowOff>846667</xdr:rowOff>
    </xdr:from>
    <xdr:to>
      <xdr:col>2</xdr:col>
      <xdr:colOff>1733550</xdr:colOff>
      <xdr:row>0</xdr:row>
      <xdr:rowOff>1355302</xdr:rowOff>
    </xdr:to>
    <xdr:pic>
      <xdr:nvPicPr>
        <xdr:cNvPr id="7" name="Image 6">
          <a:extLst>
            <a:ext uri="{FF2B5EF4-FFF2-40B4-BE49-F238E27FC236}">
              <a16:creationId xmlns:a16="http://schemas.microsoft.com/office/drawing/2014/main" id="{00000000-0008-0000-2C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7600" y="846667"/>
          <a:ext cx="17983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169333</xdr:rowOff>
    </xdr:from>
    <xdr:to>
      <xdr:col>3</xdr:col>
      <xdr:colOff>245533</xdr:colOff>
      <xdr:row>13</xdr:row>
      <xdr:rowOff>194734</xdr:rowOff>
    </xdr:to>
    <xdr:sp macro="" textlink="">
      <xdr:nvSpPr>
        <xdr:cNvPr id="8" name="Étoile : 5 branches 7">
          <a:extLst>
            <a:ext uri="{FF2B5EF4-FFF2-40B4-BE49-F238E27FC236}">
              <a16:creationId xmlns:a16="http://schemas.microsoft.com/office/drawing/2014/main" id="{00000000-0008-0000-2C00-000008000000}"/>
            </a:ext>
          </a:extLst>
        </xdr:cNvPr>
        <xdr:cNvSpPr/>
      </xdr:nvSpPr>
      <xdr:spPr>
        <a:xfrm>
          <a:off x="4495800" y="4292600"/>
          <a:ext cx="245533" cy="211667"/>
        </a:xfrm>
        <a:prstGeom prst="star5">
          <a:avLst>
            <a:gd name="adj" fmla="val 25798"/>
            <a:gd name="hf" fmla="val 105146"/>
            <a:gd name="vf" fmla="val 11055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2</xdr:col>
      <xdr:colOff>1888067</xdr:colOff>
      <xdr:row>34</xdr:row>
      <xdr:rowOff>59266</xdr:rowOff>
    </xdr:from>
    <xdr:to>
      <xdr:col>5</xdr:col>
      <xdr:colOff>378460</xdr:colOff>
      <xdr:row>40</xdr:row>
      <xdr:rowOff>135678</xdr:rowOff>
    </xdr:to>
    <xdr:pic>
      <xdr:nvPicPr>
        <xdr:cNvPr id="9" name="Image 8">
          <a:extLst>
            <a:ext uri="{FF2B5EF4-FFF2-40B4-BE49-F238E27FC236}">
              <a16:creationId xmlns:a16="http://schemas.microsoft.com/office/drawing/2014/main" id="{00000000-0008-0000-2C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51867" y="9237133"/>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482600</xdr:colOff>
      <xdr:row>85</xdr:row>
      <xdr:rowOff>177800</xdr:rowOff>
    </xdr:from>
    <xdr:to>
      <xdr:col>2</xdr:col>
      <xdr:colOff>1503257</xdr:colOff>
      <xdr:row>88</xdr:row>
      <xdr:rowOff>171450</xdr:rowOff>
    </xdr:to>
    <xdr:pic>
      <xdr:nvPicPr>
        <xdr:cNvPr id="12" name="Image 11">
          <a:extLst>
            <a:ext uri="{FF2B5EF4-FFF2-40B4-BE49-F238E27FC236}">
              <a16:creationId xmlns:a16="http://schemas.microsoft.com/office/drawing/2014/main" id="{00000000-0008-0000-2C00-00000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6867" y="24646467"/>
          <a:ext cx="1531620" cy="54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22</xdr:row>
      <xdr:rowOff>171239</xdr:rowOff>
    </xdr:to>
    <xdr:pic>
      <xdr:nvPicPr>
        <xdr:cNvPr id="2" name="Image 1">
          <a:extLst>
            <a:ext uri="{FF2B5EF4-FFF2-40B4-BE49-F238E27FC236}">
              <a16:creationId xmlns:a16="http://schemas.microsoft.com/office/drawing/2014/main" id="{00000000-0008-0000-2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2150" cy="6697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84666</xdr:rowOff>
    </xdr:from>
    <xdr:to>
      <xdr:col>1</xdr:col>
      <xdr:colOff>0</xdr:colOff>
      <xdr:row>52</xdr:row>
      <xdr:rowOff>172085</xdr:rowOff>
    </xdr:to>
    <xdr:pic>
      <xdr:nvPicPr>
        <xdr:cNvPr id="3" name="Image 2">
          <a:extLst>
            <a:ext uri="{FF2B5EF4-FFF2-40B4-BE49-F238E27FC236}">
              <a16:creationId xmlns:a16="http://schemas.microsoft.com/office/drawing/2014/main" id="{00000000-0008-0000-2D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25546"/>
          <a:ext cx="1943100" cy="686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177800</xdr:rowOff>
    </xdr:from>
    <xdr:to>
      <xdr:col>1</xdr:col>
      <xdr:colOff>19473</xdr:colOff>
      <xdr:row>62</xdr:row>
      <xdr:rowOff>54611</xdr:rowOff>
    </xdr:to>
    <xdr:pic>
      <xdr:nvPicPr>
        <xdr:cNvPr id="4" name="Image 3">
          <a:extLst>
            <a:ext uri="{FF2B5EF4-FFF2-40B4-BE49-F238E27FC236}">
              <a16:creationId xmlns:a16="http://schemas.microsoft.com/office/drawing/2014/main" id="{00000000-0008-0000-2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270615"/>
          <a:ext cx="1981623" cy="6042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16933</xdr:rowOff>
    </xdr:from>
    <xdr:to>
      <xdr:col>11</xdr:col>
      <xdr:colOff>739140</xdr:colOff>
      <xdr:row>0</xdr:row>
      <xdr:rowOff>668443</xdr:rowOff>
    </xdr:to>
    <xdr:pic>
      <xdr:nvPicPr>
        <xdr:cNvPr id="5" name="Image 4">
          <a:extLst>
            <a:ext uri="{FF2B5EF4-FFF2-40B4-BE49-F238E27FC236}">
              <a16:creationId xmlns:a16="http://schemas.microsoft.com/office/drawing/2014/main" id="{00000000-0008-0000-2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0743"/>
          <a:ext cx="997839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423333</xdr:colOff>
      <xdr:row>0</xdr:row>
      <xdr:rowOff>846667</xdr:rowOff>
    </xdr:from>
    <xdr:to>
      <xdr:col>2</xdr:col>
      <xdr:colOff>1729740</xdr:colOff>
      <xdr:row>0</xdr:row>
      <xdr:rowOff>1351492</xdr:rowOff>
    </xdr:to>
    <xdr:pic>
      <xdr:nvPicPr>
        <xdr:cNvPr id="6" name="Image 5">
          <a:extLst>
            <a:ext uri="{FF2B5EF4-FFF2-40B4-BE49-F238E27FC236}">
              <a16:creationId xmlns:a16="http://schemas.microsoft.com/office/drawing/2014/main" id="{00000000-0008-0000-2D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7388" y="848572"/>
          <a:ext cx="1799802" cy="50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169333</xdr:rowOff>
    </xdr:from>
    <xdr:to>
      <xdr:col>3</xdr:col>
      <xdr:colOff>245533</xdr:colOff>
      <xdr:row>13</xdr:row>
      <xdr:rowOff>194734</xdr:rowOff>
    </xdr:to>
    <xdr:sp macro="" textlink="">
      <xdr:nvSpPr>
        <xdr:cNvPr id="7" name="Étoile : 5 branches 6">
          <a:extLst>
            <a:ext uri="{FF2B5EF4-FFF2-40B4-BE49-F238E27FC236}">
              <a16:creationId xmlns:a16="http://schemas.microsoft.com/office/drawing/2014/main" id="{00000000-0008-0000-2D00-000007000000}"/>
            </a:ext>
          </a:extLst>
        </xdr:cNvPr>
        <xdr:cNvSpPr/>
      </xdr:nvSpPr>
      <xdr:spPr>
        <a:xfrm>
          <a:off x="4495800" y="4297468"/>
          <a:ext cx="249343" cy="204471"/>
        </a:xfrm>
        <a:prstGeom prst="star5">
          <a:avLst>
            <a:gd name="adj" fmla="val 25798"/>
            <a:gd name="hf" fmla="val 105146"/>
            <a:gd name="vf" fmla="val 11055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2</xdr:col>
      <xdr:colOff>1888067</xdr:colOff>
      <xdr:row>34</xdr:row>
      <xdr:rowOff>59266</xdr:rowOff>
    </xdr:from>
    <xdr:to>
      <xdr:col>5</xdr:col>
      <xdr:colOff>378460</xdr:colOff>
      <xdr:row>40</xdr:row>
      <xdr:rowOff>134620</xdr:rowOff>
    </xdr:to>
    <xdr:pic>
      <xdr:nvPicPr>
        <xdr:cNvPr id="8" name="Image 7">
          <a:extLst>
            <a:ext uri="{FF2B5EF4-FFF2-40B4-BE49-F238E27FC236}">
              <a16:creationId xmlns:a16="http://schemas.microsoft.com/office/drawing/2014/main" id="{00000000-0008-0000-2D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1707" y="9123256"/>
          <a:ext cx="1256453" cy="1190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482600</xdr:colOff>
      <xdr:row>85</xdr:row>
      <xdr:rowOff>177800</xdr:rowOff>
    </xdr:from>
    <xdr:to>
      <xdr:col>2</xdr:col>
      <xdr:colOff>1507067</xdr:colOff>
      <xdr:row>88</xdr:row>
      <xdr:rowOff>167640</xdr:rowOff>
    </xdr:to>
    <xdr:pic>
      <xdr:nvPicPr>
        <xdr:cNvPr id="9" name="Image 8">
          <a:extLst>
            <a:ext uri="{FF2B5EF4-FFF2-40B4-BE49-F238E27FC236}">
              <a16:creationId xmlns:a16="http://schemas.microsoft.com/office/drawing/2014/main" id="{00000000-0008-0000-2D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0940" y="24310340"/>
          <a:ext cx="1523577" cy="53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22</xdr:row>
      <xdr:rowOff>175049</xdr:rowOff>
    </xdr:to>
    <xdr:pic>
      <xdr:nvPicPr>
        <xdr:cNvPr id="2" name="Image 1">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2150" cy="670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84666</xdr:rowOff>
    </xdr:from>
    <xdr:to>
      <xdr:col>1</xdr:col>
      <xdr:colOff>0</xdr:colOff>
      <xdr:row>52</xdr:row>
      <xdr:rowOff>168275</xdr:rowOff>
    </xdr:to>
    <xdr:pic>
      <xdr:nvPicPr>
        <xdr:cNvPr id="3" name="Image 2">
          <a:extLst>
            <a:ext uri="{FF2B5EF4-FFF2-40B4-BE49-F238E27FC236}">
              <a16:creationId xmlns:a16="http://schemas.microsoft.com/office/drawing/2014/main" id="{00000000-0008-0000-2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63646"/>
          <a:ext cx="1943100" cy="6892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177800</xdr:rowOff>
    </xdr:from>
    <xdr:to>
      <xdr:col>1</xdr:col>
      <xdr:colOff>15663</xdr:colOff>
      <xdr:row>62</xdr:row>
      <xdr:rowOff>58421</xdr:rowOff>
    </xdr:to>
    <xdr:pic>
      <xdr:nvPicPr>
        <xdr:cNvPr id="4" name="Image 3">
          <a:extLst>
            <a:ext uri="{FF2B5EF4-FFF2-40B4-BE49-F238E27FC236}">
              <a16:creationId xmlns:a16="http://schemas.microsoft.com/office/drawing/2014/main" id="{00000000-0008-0000-2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27765"/>
          <a:ext cx="1977813" cy="6066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16933</xdr:rowOff>
    </xdr:from>
    <xdr:to>
      <xdr:col>11</xdr:col>
      <xdr:colOff>742950</xdr:colOff>
      <xdr:row>0</xdr:row>
      <xdr:rowOff>664633</xdr:rowOff>
    </xdr:to>
    <xdr:pic>
      <xdr:nvPicPr>
        <xdr:cNvPr id="5" name="Image 4">
          <a:extLst>
            <a:ext uri="{FF2B5EF4-FFF2-40B4-BE49-F238E27FC236}">
              <a16:creationId xmlns:a16="http://schemas.microsoft.com/office/drawing/2014/main" id="{00000000-0008-0000-2E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0743"/>
          <a:ext cx="9982200" cy="643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423333</xdr:colOff>
      <xdr:row>0</xdr:row>
      <xdr:rowOff>846667</xdr:rowOff>
    </xdr:from>
    <xdr:to>
      <xdr:col>2</xdr:col>
      <xdr:colOff>1733550</xdr:colOff>
      <xdr:row>0</xdr:row>
      <xdr:rowOff>1355302</xdr:rowOff>
    </xdr:to>
    <xdr:pic>
      <xdr:nvPicPr>
        <xdr:cNvPr id="6" name="Image 5">
          <a:extLst>
            <a:ext uri="{FF2B5EF4-FFF2-40B4-BE49-F238E27FC236}">
              <a16:creationId xmlns:a16="http://schemas.microsoft.com/office/drawing/2014/main" id="{00000000-0008-0000-2E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7388" y="848572"/>
          <a:ext cx="1803612" cy="506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169333</xdr:rowOff>
    </xdr:from>
    <xdr:to>
      <xdr:col>3</xdr:col>
      <xdr:colOff>245533</xdr:colOff>
      <xdr:row>13</xdr:row>
      <xdr:rowOff>194734</xdr:rowOff>
    </xdr:to>
    <xdr:sp macro="" textlink="">
      <xdr:nvSpPr>
        <xdr:cNvPr id="7" name="Étoile : 5 branches 6">
          <a:extLst>
            <a:ext uri="{FF2B5EF4-FFF2-40B4-BE49-F238E27FC236}">
              <a16:creationId xmlns:a16="http://schemas.microsoft.com/office/drawing/2014/main" id="{00000000-0008-0000-2E00-000007000000}"/>
            </a:ext>
          </a:extLst>
        </xdr:cNvPr>
        <xdr:cNvSpPr/>
      </xdr:nvSpPr>
      <xdr:spPr>
        <a:xfrm>
          <a:off x="4495800" y="4306993"/>
          <a:ext cx="249343" cy="204471"/>
        </a:xfrm>
        <a:prstGeom prst="star5">
          <a:avLst>
            <a:gd name="adj" fmla="val 25798"/>
            <a:gd name="hf" fmla="val 105146"/>
            <a:gd name="vf" fmla="val 11055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2</xdr:col>
      <xdr:colOff>1888067</xdr:colOff>
      <xdr:row>34</xdr:row>
      <xdr:rowOff>59266</xdr:rowOff>
    </xdr:from>
    <xdr:to>
      <xdr:col>5</xdr:col>
      <xdr:colOff>378460</xdr:colOff>
      <xdr:row>40</xdr:row>
      <xdr:rowOff>130810</xdr:rowOff>
    </xdr:to>
    <xdr:pic>
      <xdr:nvPicPr>
        <xdr:cNvPr id="8" name="Image 7">
          <a:extLst>
            <a:ext uri="{FF2B5EF4-FFF2-40B4-BE49-F238E27FC236}">
              <a16:creationId xmlns:a16="http://schemas.microsoft.com/office/drawing/2014/main" id="{00000000-0008-0000-2E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1707" y="9161356"/>
          <a:ext cx="1256453" cy="1199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482600</xdr:colOff>
      <xdr:row>85</xdr:row>
      <xdr:rowOff>177800</xdr:rowOff>
    </xdr:from>
    <xdr:to>
      <xdr:col>2</xdr:col>
      <xdr:colOff>1503257</xdr:colOff>
      <xdr:row>88</xdr:row>
      <xdr:rowOff>171450</xdr:rowOff>
    </xdr:to>
    <xdr:pic>
      <xdr:nvPicPr>
        <xdr:cNvPr id="9" name="Image 8">
          <a:extLst>
            <a:ext uri="{FF2B5EF4-FFF2-40B4-BE49-F238E27FC236}">
              <a16:creationId xmlns:a16="http://schemas.microsoft.com/office/drawing/2014/main" id="{00000000-0008-0000-2E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0940" y="24405590"/>
          <a:ext cx="1519767" cy="540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22</xdr:row>
      <xdr:rowOff>171239</xdr:rowOff>
    </xdr:to>
    <xdr:pic>
      <xdr:nvPicPr>
        <xdr:cNvPr id="2" name="Image 1">
          <a:extLst>
            <a:ext uri="{FF2B5EF4-FFF2-40B4-BE49-F238E27FC236}">
              <a16:creationId xmlns:a16="http://schemas.microsoft.com/office/drawing/2014/main" id="{00000000-0008-0000-2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2150" cy="6705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84666</xdr:rowOff>
    </xdr:from>
    <xdr:to>
      <xdr:col>1</xdr:col>
      <xdr:colOff>0</xdr:colOff>
      <xdr:row>52</xdr:row>
      <xdr:rowOff>172085</xdr:rowOff>
    </xdr:to>
    <xdr:pic>
      <xdr:nvPicPr>
        <xdr:cNvPr id="3" name="Image 2">
          <a:extLst>
            <a:ext uri="{FF2B5EF4-FFF2-40B4-BE49-F238E27FC236}">
              <a16:creationId xmlns:a16="http://schemas.microsoft.com/office/drawing/2014/main" id="{00000000-0008-0000-2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63646"/>
          <a:ext cx="1943100" cy="6895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177800</xdr:rowOff>
    </xdr:from>
    <xdr:to>
      <xdr:col>1</xdr:col>
      <xdr:colOff>19473</xdr:colOff>
      <xdr:row>62</xdr:row>
      <xdr:rowOff>54611</xdr:rowOff>
    </xdr:to>
    <xdr:pic>
      <xdr:nvPicPr>
        <xdr:cNvPr id="4" name="Image 3">
          <a:extLst>
            <a:ext uri="{FF2B5EF4-FFF2-40B4-BE49-F238E27FC236}">
              <a16:creationId xmlns:a16="http://schemas.microsoft.com/office/drawing/2014/main" id="{00000000-0008-0000-2F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27765"/>
          <a:ext cx="1981623" cy="6062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16933</xdr:rowOff>
    </xdr:from>
    <xdr:to>
      <xdr:col>11</xdr:col>
      <xdr:colOff>739140</xdr:colOff>
      <xdr:row>0</xdr:row>
      <xdr:rowOff>668443</xdr:rowOff>
    </xdr:to>
    <xdr:pic>
      <xdr:nvPicPr>
        <xdr:cNvPr id="5" name="Image 4">
          <a:extLst>
            <a:ext uri="{FF2B5EF4-FFF2-40B4-BE49-F238E27FC236}">
              <a16:creationId xmlns:a16="http://schemas.microsoft.com/office/drawing/2014/main" id="{00000000-0008-0000-2F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0743"/>
          <a:ext cx="997839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423333</xdr:colOff>
      <xdr:row>0</xdr:row>
      <xdr:rowOff>846667</xdr:rowOff>
    </xdr:from>
    <xdr:to>
      <xdr:col>2</xdr:col>
      <xdr:colOff>1729740</xdr:colOff>
      <xdr:row>0</xdr:row>
      <xdr:rowOff>1351492</xdr:rowOff>
    </xdr:to>
    <xdr:pic>
      <xdr:nvPicPr>
        <xdr:cNvPr id="6" name="Image 5">
          <a:extLst>
            <a:ext uri="{FF2B5EF4-FFF2-40B4-BE49-F238E27FC236}">
              <a16:creationId xmlns:a16="http://schemas.microsoft.com/office/drawing/2014/main" id="{00000000-0008-0000-2F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7388" y="848572"/>
          <a:ext cx="1799802" cy="50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169333</xdr:rowOff>
    </xdr:from>
    <xdr:to>
      <xdr:col>3</xdr:col>
      <xdr:colOff>245533</xdr:colOff>
      <xdr:row>13</xdr:row>
      <xdr:rowOff>194734</xdr:rowOff>
    </xdr:to>
    <xdr:sp macro="" textlink="">
      <xdr:nvSpPr>
        <xdr:cNvPr id="7" name="Étoile : 5 branches 6">
          <a:extLst>
            <a:ext uri="{FF2B5EF4-FFF2-40B4-BE49-F238E27FC236}">
              <a16:creationId xmlns:a16="http://schemas.microsoft.com/office/drawing/2014/main" id="{00000000-0008-0000-2F00-000007000000}"/>
            </a:ext>
          </a:extLst>
        </xdr:cNvPr>
        <xdr:cNvSpPr/>
      </xdr:nvSpPr>
      <xdr:spPr>
        <a:xfrm>
          <a:off x="4495800" y="4306993"/>
          <a:ext cx="249343" cy="204471"/>
        </a:xfrm>
        <a:prstGeom prst="star5">
          <a:avLst>
            <a:gd name="adj" fmla="val 25798"/>
            <a:gd name="hf" fmla="val 105146"/>
            <a:gd name="vf" fmla="val 11055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2</xdr:col>
      <xdr:colOff>1888067</xdr:colOff>
      <xdr:row>34</xdr:row>
      <xdr:rowOff>59266</xdr:rowOff>
    </xdr:from>
    <xdr:to>
      <xdr:col>5</xdr:col>
      <xdr:colOff>378460</xdr:colOff>
      <xdr:row>40</xdr:row>
      <xdr:rowOff>134620</xdr:rowOff>
    </xdr:to>
    <xdr:pic>
      <xdr:nvPicPr>
        <xdr:cNvPr id="8" name="Image 7">
          <a:extLst>
            <a:ext uri="{FF2B5EF4-FFF2-40B4-BE49-F238E27FC236}">
              <a16:creationId xmlns:a16="http://schemas.microsoft.com/office/drawing/2014/main" id="{00000000-0008-0000-2F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1707" y="9161356"/>
          <a:ext cx="1256453" cy="1203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482600</xdr:colOff>
      <xdr:row>85</xdr:row>
      <xdr:rowOff>177800</xdr:rowOff>
    </xdr:from>
    <xdr:to>
      <xdr:col>2</xdr:col>
      <xdr:colOff>1507067</xdr:colOff>
      <xdr:row>88</xdr:row>
      <xdr:rowOff>167640</xdr:rowOff>
    </xdr:to>
    <xdr:pic>
      <xdr:nvPicPr>
        <xdr:cNvPr id="9" name="Image 8">
          <a:extLst>
            <a:ext uri="{FF2B5EF4-FFF2-40B4-BE49-F238E27FC236}">
              <a16:creationId xmlns:a16="http://schemas.microsoft.com/office/drawing/2014/main" id="{00000000-0008-0000-2F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0940" y="24405590"/>
          <a:ext cx="1523577" cy="53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22</xdr:row>
      <xdr:rowOff>171239</xdr:rowOff>
    </xdr:to>
    <xdr:pic>
      <xdr:nvPicPr>
        <xdr:cNvPr id="2" name="Image 1">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2150" cy="670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84666</xdr:rowOff>
    </xdr:from>
    <xdr:to>
      <xdr:col>1</xdr:col>
      <xdr:colOff>0</xdr:colOff>
      <xdr:row>52</xdr:row>
      <xdr:rowOff>172085</xdr:rowOff>
    </xdr:to>
    <xdr:pic>
      <xdr:nvPicPr>
        <xdr:cNvPr id="3" name="Image 2">
          <a:extLst>
            <a:ext uri="{FF2B5EF4-FFF2-40B4-BE49-F238E27FC236}">
              <a16:creationId xmlns:a16="http://schemas.microsoft.com/office/drawing/2014/main" id="{00000000-0008-0000-3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63646"/>
          <a:ext cx="1943100" cy="6892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177800</xdr:rowOff>
    </xdr:from>
    <xdr:to>
      <xdr:col>1</xdr:col>
      <xdr:colOff>19473</xdr:colOff>
      <xdr:row>62</xdr:row>
      <xdr:rowOff>54611</xdr:rowOff>
    </xdr:to>
    <xdr:pic>
      <xdr:nvPicPr>
        <xdr:cNvPr id="4" name="Image 3">
          <a:extLst>
            <a:ext uri="{FF2B5EF4-FFF2-40B4-BE49-F238E27FC236}">
              <a16:creationId xmlns:a16="http://schemas.microsoft.com/office/drawing/2014/main" id="{00000000-0008-0000-3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27765"/>
          <a:ext cx="1977813" cy="6066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16933</xdr:rowOff>
    </xdr:from>
    <xdr:to>
      <xdr:col>11</xdr:col>
      <xdr:colOff>739140</xdr:colOff>
      <xdr:row>0</xdr:row>
      <xdr:rowOff>668443</xdr:rowOff>
    </xdr:to>
    <xdr:pic>
      <xdr:nvPicPr>
        <xdr:cNvPr id="5" name="Image 4">
          <a:extLst>
            <a:ext uri="{FF2B5EF4-FFF2-40B4-BE49-F238E27FC236}">
              <a16:creationId xmlns:a16="http://schemas.microsoft.com/office/drawing/2014/main" id="{00000000-0008-0000-3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0743"/>
          <a:ext cx="9982200" cy="643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423333</xdr:colOff>
      <xdr:row>0</xdr:row>
      <xdr:rowOff>846667</xdr:rowOff>
    </xdr:from>
    <xdr:to>
      <xdr:col>2</xdr:col>
      <xdr:colOff>1729740</xdr:colOff>
      <xdr:row>0</xdr:row>
      <xdr:rowOff>1351492</xdr:rowOff>
    </xdr:to>
    <xdr:pic>
      <xdr:nvPicPr>
        <xdr:cNvPr id="6" name="Image 5">
          <a:extLst>
            <a:ext uri="{FF2B5EF4-FFF2-40B4-BE49-F238E27FC236}">
              <a16:creationId xmlns:a16="http://schemas.microsoft.com/office/drawing/2014/main" id="{00000000-0008-0000-3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7388" y="848572"/>
          <a:ext cx="1803612" cy="506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169333</xdr:rowOff>
    </xdr:from>
    <xdr:to>
      <xdr:col>3</xdr:col>
      <xdr:colOff>245533</xdr:colOff>
      <xdr:row>13</xdr:row>
      <xdr:rowOff>194734</xdr:rowOff>
    </xdr:to>
    <xdr:sp macro="" textlink="">
      <xdr:nvSpPr>
        <xdr:cNvPr id="7" name="Étoile : 5 branches 6">
          <a:extLst>
            <a:ext uri="{FF2B5EF4-FFF2-40B4-BE49-F238E27FC236}">
              <a16:creationId xmlns:a16="http://schemas.microsoft.com/office/drawing/2014/main" id="{00000000-0008-0000-3000-000007000000}"/>
            </a:ext>
          </a:extLst>
        </xdr:cNvPr>
        <xdr:cNvSpPr/>
      </xdr:nvSpPr>
      <xdr:spPr>
        <a:xfrm>
          <a:off x="4495800" y="4306993"/>
          <a:ext cx="249343" cy="204471"/>
        </a:xfrm>
        <a:prstGeom prst="star5">
          <a:avLst>
            <a:gd name="adj" fmla="val 25798"/>
            <a:gd name="hf" fmla="val 105146"/>
            <a:gd name="vf" fmla="val 11055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2</xdr:col>
      <xdr:colOff>1888067</xdr:colOff>
      <xdr:row>34</xdr:row>
      <xdr:rowOff>59266</xdr:rowOff>
    </xdr:from>
    <xdr:to>
      <xdr:col>5</xdr:col>
      <xdr:colOff>378460</xdr:colOff>
      <xdr:row>40</xdr:row>
      <xdr:rowOff>134620</xdr:rowOff>
    </xdr:to>
    <xdr:pic>
      <xdr:nvPicPr>
        <xdr:cNvPr id="8" name="Image 7">
          <a:extLst>
            <a:ext uri="{FF2B5EF4-FFF2-40B4-BE49-F238E27FC236}">
              <a16:creationId xmlns:a16="http://schemas.microsoft.com/office/drawing/2014/main" id="{00000000-0008-0000-30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1707" y="9161356"/>
          <a:ext cx="1256453" cy="1199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482600</xdr:colOff>
      <xdr:row>85</xdr:row>
      <xdr:rowOff>177800</xdr:rowOff>
    </xdr:from>
    <xdr:to>
      <xdr:col>2</xdr:col>
      <xdr:colOff>1507067</xdr:colOff>
      <xdr:row>88</xdr:row>
      <xdr:rowOff>167640</xdr:rowOff>
    </xdr:to>
    <xdr:pic>
      <xdr:nvPicPr>
        <xdr:cNvPr id="9" name="Image 8">
          <a:extLst>
            <a:ext uri="{FF2B5EF4-FFF2-40B4-BE49-F238E27FC236}">
              <a16:creationId xmlns:a16="http://schemas.microsoft.com/office/drawing/2014/main" id="{00000000-0008-0000-30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0940" y="24405590"/>
          <a:ext cx="1519767" cy="540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22</xdr:row>
      <xdr:rowOff>175049</xdr:rowOff>
    </xdr:to>
    <xdr:pic>
      <xdr:nvPicPr>
        <xdr:cNvPr id="2" name="Image 1">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2150" cy="6705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84666</xdr:rowOff>
    </xdr:from>
    <xdr:to>
      <xdr:col>1</xdr:col>
      <xdr:colOff>0</xdr:colOff>
      <xdr:row>52</xdr:row>
      <xdr:rowOff>168275</xdr:rowOff>
    </xdr:to>
    <xdr:pic>
      <xdr:nvPicPr>
        <xdr:cNvPr id="3" name="Image 2">
          <a:extLst>
            <a:ext uri="{FF2B5EF4-FFF2-40B4-BE49-F238E27FC236}">
              <a16:creationId xmlns:a16="http://schemas.microsoft.com/office/drawing/2014/main" id="{00000000-0008-0000-3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63646"/>
          <a:ext cx="1943100" cy="6895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177800</xdr:rowOff>
    </xdr:from>
    <xdr:to>
      <xdr:col>1</xdr:col>
      <xdr:colOff>15663</xdr:colOff>
      <xdr:row>62</xdr:row>
      <xdr:rowOff>58421</xdr:rowOff>
    </xdr:to>
    <xdr:pic>
      <xdr:nvPicPr>
        <xdr:cNvPr id="4" name="Image 3">
          <a:extLst>
            <a:ext uri="{FF2B5EF4-FFF2-40B4-BE49-F238E27FC236}">
              <a16:creationId xmlns:a16="http://schemas.microsoft.com/office/drawing/2014/main" id="{00000000-0008-0000-3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27765"/>
          <a:ext cx="1981623" cy="6062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16933</xdr:rowOff>
    </xdr:from>
    <xdr:to>
      <xdr:col>11</xdr:col>
      <xdr:colOff>742950</xdr:colOff>
      <xdr:row>0</xdr:row>
      <xdr:rowOff>664633</xdr:rowOff>
    </xdr:to>
    <xdr:pic>
      <xdr:nvPicPr>
        <xdr:cNvPr id="5" name="Image 4">
          <a:extLst>
            <a:ext uri="{FF2B5EF4-FFF2-40B4-BE49-F238E27FC236}">
              <a16:creationId xmlns:a16="http://schemas.microsoft.com/office/drawing/2014/main" id="{00000000-0008-0000-3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0743"/>
          <a:ext cx="997839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423333</xdr:colOff>
      <xdr:row>0</xdr:row>
      <xdr:rowOff>846667</xdr:rowOff>
    </xdr:from>
    <xdr:to>
      <xdr:col>2</xdr:col>
      <xdr:colOff>1733550</xdr:colOff>
      <xdr:row>0</xdr:row>
      <xdr:rowOff>1355302</xdr:rowOff>
    </xdr:to>
    <xdr:pic>
      <xdr:nvPicPr>
        <xdr:cNvPr id="6" name="Image 5">
          <a:extLst>
            <a:ext uri="{FF2B5EF4-FFF2-40B4-BE49-F238E27FC236}">
              <a16:creationId xmlns:a16="http://schemas.microsoft.com/office/drawing/2014/main" id="{00000000-0008-0000-31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7388" y="848572"/>
          <a:ext cx="1799802" cy="50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169333</xdr:rowOff>
    </xdr:from>
    <xdr:to>
      <xdr:col>3</xdr:col>
      <xdr:colOff>245533</xdr:colOff>
      <xdr:row>13</xdr:row>
      <xdr:rowOff>194734</xdr:rowOff>
    </xdr:to>
    <xdr:sp macro="" textlink="">
      <xdr:nvSpPr>
        <xdr:cNvPr id="7" name="Étoile : 5 branches 6">
          <a:extLst>
            <a:ext uri="{FF2B5EF4-FFF2-40B4-BE49-F238E27FC236}">
              <a16:creationId xmlns:a16="http://schemas.microsoft.com/office/drawing/2014/main" id="{00000000-0008-0000-3100-000007000000}"/>
            </a:ext>
          </a:extLst>
        </xdr:cNvPr>
        <xdr:cNvSpPr/>
      </xdr:nvSpPr>
      <xdr:spPr>
        <a:xfrm>
          <a:off x="4495800" y="4306993"/>
          <a:ext cx="249343" cy="204471"/>
        </a:xfrm>
        <a:prstGeom prst="star5">
          <a:avLst>
            <a:gd name="adj" fmla="val 25798"/>
            <a:gd name="hf" fmla="val 105146"/>
            <a:gd name="vf" fmla="val 11055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2</xdr:col>
      <xdr:colOff>1888067</xdr:colOff>
      <xdr:row>34</xdr:row>
      <xdr:rowOff>59266</xdr:rowOff>
    </xdr:from>
    <xdr:to>
      <xdr:col>5</xdr:col>
      <xdr:colOff>378460</xdr:colOff>
      <xdr:row>40</xdr:row>
      <xdr:rowOff>130810</xdr:rowOff>
    </xdr:to>
    <xdr:pic>
      <xdr:nvPicPr>
        <xdr:cNvPr id="8" name="Image 7">
          <a:extLst>
            <a:ext uri="{FF2B5EF4-FFF2-40B4-BE49-F238E27FC236}">
              <a16:creationId xmlns:a16="http://schemas.microsoft.com/office/drawing/2014/main" id="{00000000-0008-0000-31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1707" y="9161356"/>
          <a:ext cx="1256453" cy="1203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482600</xdr:colOff>
      <xdr:row>85</xdr:row>
      <xdr:rowOff>177800</xdr:rowOff>
    </xdr:from>
    <xdr:to>
      <xdr:col>2</xdr:col>
      <xdr:colOff>1503257</xdr:colOff>
      <xdr:row>88</xdr:row>
      <xdr:rowOff>171450</xdr:rowOff>
    </xdr:to>
    <xdr:pic>
      <xdr:nvPicPr>
        <xdr:cNvPr id="9" name="Image 8">
          <a:extLst>
            <a:ext uri="{FF2B5EF4-FFF2-40B4-BE49-F238E27FC236}">
              <a16:creationId xmlns:a16="http://schemas.microsoft.com/office/drawing/2014/main" id="{00000000-0008-0000-31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0940" y="24405590"/>
          <a:ext cx="1523577" cy="53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22</xdr:row>
      <xdr:rowOff>175049</xdr:rowOff>
    </xdr:to>
    <xdr:pic>
      <xdr:nvPicPr>
        <xdr:cNvPr id="2" name="Image 1">
          <a:extLst>
            <a:ext uri="{FF2B5EF4-FFF2-40B4-BE49-F238E27FC236}">
              <a16:creationId xmlns:a16="http://schemas.microsoft.com/office/drawing/2014/main" id="{00000000-0008-0000-3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2150" cy="670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84666</xdr:rowOff>
    </xdr:from>
    <xdr:to>
      <xdr:col>1</xdr:col>
      <xdr:colOff>0</xdr:colOff>
      <xdr:row>52</xdr:row>
      <xdr:rowOff>168275</xdr:rowOff>
    </xdr:to>
    <xdr:pic>
      <xdr:nvPicPr>
        <xdr:cNvPr id="3" name="Image 2">
          <a:extLst>
            <a:ext uri="{FF2B5EF4-FFF2-40B4-BE49-F238E27FC236}">
              <a16:creationId xmlns:a16="http://schemas.microsoft.com/office/drawing/2014/main" id="{00000000-0008-0000-3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63646"/>
          <a:ext cx="1943100" cy="6892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177800</xdr:rowOff>
    </xdr:from>
    <xdr:to>
      <xdr:col>1</xdr:col>
      <xdr:colOff>15663</xdr:colOff>
      <xdr:row>62</xdr:row>
      <xdr:rowOff>58421</xdr:rowOff>
    </xdr:to>
    <xdr:pic>
      <xdr:nvPicPr>
        <xdr:cNvPr id="4" name="Image 3">
          <a:extLst>
            <a:ext uri="{FF2B5EF4-FFF2-40B4-BE49-F238E27FC236}">
              <a16:creationId xmlns:a16="http://schemas.microsoft.com/office/drawing/2014/main" id="{00000000-0008-0000-3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27765"/>
          <a:ext cx="1977813" cy="6066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16933</xdr:rowOff>
    </xdr:from>
    <xdr:to>
      <xdr:col>11</xdr:col>
      <xdr:colOff>742950</xdr:colOff>
      <xdr:row>0</xdr:row>
      <xdr:rowOff>664633</xdr:rowOff>
    </xdr:to>
    <xdr:pic>
      <xdr:nvPicPr>
        <xdr:cNvPr id="5" name="Image 4">
          <a:extLst>
            <a:ext uri="{FF2B5EF4-FFF2-40B4-BE49-F238E27FC236}">
              <a16:creationId xmlns:a16="http://schemas.microsoft.com/office/drawing/2014/main" id="{00000000-0008-0000-3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0743"/>
          <a:ext cx="9982200" cy="643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423333</xdr:colOff>
      <xdr:row>0</xdr:row>
      <xdr:rowOff>846667</xdr:rowOff>
    </xdr:from>
    <xdr:to>
      <xdr:col>2</xdr:col>
      <xdr:colOff>1733550</xdr:colOff>
      <xdr:row>0</xdr:row>
      <xdr:rowOff>1355302</xdr:rowOff>
    </xdr:to>
    <xdr:pic>
      <xdr:nvPicPr>
        <xdr:cNvPr id="6" name="Image 5">
          <a:extLst>
            <a:ext uri="{FF2B5EF4-FFF2-40B4-BE49-F238E27FC236}">
              <a16:creationId xmlns:a16="http://schemas.microsoft.com/office/drawing/2014/main" id="{00000000-0008-0000-3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7388" y="848572"/>
          <a:ext cx="1803612" cy="506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169333</xdr:rowOff>
    </xdr:from>
    <xdr:to>
      <xdr:col>3</xdr:col>
      <xdr:colOff>245533</xdr:colOff>
      <xdr:row>13</xdr:row>
      <xdr:rowOff>194734</xdr:rowOff>
    </xdr:to>
    <xdr:sp macro="" textlink="">
      <xdr:nvSpPr>
        <xdr:cNvPr id="7" name="Étoile : 5 branches 6">
          <a:extLst>
            <a:ext uri="{FF2B5EF4-FFF2-40B4-BE49-F238E27FC236}">
              <a16:creationId xmlns:a16="http://schemas.microsoft.com/office/drawing/2014/main" id="{00000000-0008-0000-3200-000007000000}"/>
            </a:ext>
          </a:extLst>
        </xdr:cNvPr>
        <xdr:cNvSpPr/>
      </xdr:nvSpPr>
      <xdr:spPr>
        <a:xfrm>
          <a:off x="4495800" y="4306993"/>
          <a:ext cx="249343" cy="204471"/>
        </a:xfrm>
        <a:prstGeom prst="star5">
          <a:avLst>
            <a:gd name="adj" fmla="val 25798"/>
            <a:gd name="hf" fmla="val 105146"/>
            <a:gd name="vf" fmla="val 11055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2</xdr:col>
      <xdr:colOff>1888067</xdr:colOff>
      <xdr:row>34</xdr:row>
      <xdr:rowOff>59266</xdr:rowOff>
    </xdr:from>
    <xdr:to>
      <xdr:col>5</xdr:col>
      <xdr:colOff>378460</xdr:colOff>
      <xdr:row>40</xdr:row>
      <xdr:rowOff>130810</xdr:rowOff>
    </xdr:to>
    <xdr:pic>
      <xdr:nvPicPr>
        <xdr:cNvPr id="8" name="Image 7">
          <a:extLst>
            <a:ext uri="{FF2B5EF4-FFF2-40B4-BE49-F238E27FC236}">
              <a16:creationId xmlns:a16="http://schemas.microsoft.com/office/drawing/2014/main" id="{00000000-0008-0000-32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1707" y="9161356"/>
          <a:ext cx="1256453" cy="1199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482600</xdr:colOff>
      <xdr:row>85</xdr:row>
      <xdr:rowOff>177800</xdr:rowOff>
    </xdr:from>
    <xdr:to>
      <xdr:col>2</xdr:col>
      <xdr:colOff>1503257</xdr:colOff>
      <xdr:row>88</xdr:row>
      <xdr:rowOff>171450</xdr:rowOff>
    </xdr:to>
    <xdr:pic>
      <xdr:nvPicPr>
        <xdr:cNvPr id="9" name="Image 8">
          <a:extLst>
            <a:ext uri="{FF2B5EF4-FFF2-40B4-BE49-F238E27FC236}">
              <a16:creationId xmlns:a16="http://schemas.microsoft.com/office/drawing/2014/main" id="{00000000-0008-0000-32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0940" y="24405590"/>
          <a:ext cx="1519767" cy="540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22</xdr:row>
      <xdr:rowOff>175049</xdr:rowOff>
    </xdr:to>
    <xdr:pic>
      <xdr:nvPicPr>
        <xdr:cNvPr id="2" name="Image 1">
          <a:extLst>
            <a:ext uri="{FF2B5EF4-FFF2-40B4-BE49-F238E27FC236}">
              <a16:creationId xmlns:a16="http://schemas.microsoft.com/office/drawing/2014/main" id="{00000000-0008-0000-3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2150" cy="6705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84666</xdr:rowOff>
    </xdr:from>
    <xdr:to>
      <xdr:col>1</xdr:col>
      <xdr:colOff>0</xdr:colOff>
      <xdr:row>52</xdr:row>
      <xdr:rowOff>168275</xdr:rowOff>
    </xdr:to>
    <xdr:pic>
      <xdr:nvPicPr>
        <xdr:cNvPr id="3" name="Image 2">
          <a:extLst>
            <a:ext uri="{FF2B5EF4-FFF2-40B4-BE49-F238E27FC236}">
              <a16:creationId xmlns:a16="http://schemas.microsoft.com/office/drawing/2014/main" id="{00000000-0008-0000-3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63646"/>
          <a:ext cx="1943100" cy="6895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177800</xdr:rowOff>
    </xdr:from>
    <xdr:to>
      <xdr:col>1</xdr:col>
      <xdr:colOff>15663</xdr:colOff>
      <xdr:row>62</xdr:row>
      <xdr:rowOff>58421</xdr:rowOff>
    </xdr:to>
    <xdr:pic>
      <xdr:nvPicPr>
        <xdr:cNvPr id="4" name="Image 3">
          <a:extLst>
            <a:ext uri="{FF2B5EF4-FFF2-40B4-BE49-F238E27FC236}">
              <a16:creationId xmlns:a16="http://schemas.microsoft.com/office/drawing/2014/main" id="{00000000-0008-0000-3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27765"/>
          <a:ext cx="1981623" cy="6062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16933</xdr:rowOff>
    </xdr:from>
    <xdr:to>
      <xdr:col>11</xdr:col>
      <xdr:colOff>742950</xdr:colOff>
      <xdr:row>0</xdr:row>
      <xdr:rowOff>664633</xdr:rowOff>
    </xdr:to>
    <xdr:pic>
      <xdr:nvPicPr>
        <xdr:cNvPr id="5" name="Image 4">
          <a:extLst>
            <a:ext uri="{FF2B5EF4-FFF2-40B4-BE49-F238E27FC236}">
              <a16:creationId xmlns:a16="http://schemas.microsoft.com/office/drawing/2014/main" id="{00000000-0008-0000-3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0743"/>
          <a:ext cx="997839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423333</xdr:colOff>
      <xdr:row>0</xdr:row>
      <xdr:rowOff>846667</xdr:rowOff>
    </xdr:from>
    <xdr:to>
      <xdr:col>2</xdr:col>
      <xdr:colOff>1733550</xdr:colOff>
      <xdr:row>0</xdr:row>
      <xdr:rowOff>1355302</xdr:rowOff>
    </xdr:to>
    <xdr:pic>
      <xdr:nvPicPr>
        <xdr:cNvPr id="6" name="Image 5">
          <a:extLst>
            <a:ext uri="{FF2B5EF4-FFF2-40B4-BE49-F238E27FC236}">
              <a16:creationId xmlns:a16="http://schemas.microsoft.com/office/drawing/2014/main" id="{00000000-0008-0000-33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7388" y="848572"/>
          <a:ext cx="1799802" cy="50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169333</xdr:rowOff>
    </xdr:from>
    <xdr:to>
      <xdr:col>3</xdr:col>
      <xdr:colOff>245533</xdr:colOff>
      <xdr:row>13</xdr:row>
      <xdr:rowOff>194734</xdr:rowOff>
    </xdr:to>
    <xdr:sp macro="" textlink="">
      <xdr:nvSpPr>
        <xdr:cNvPr id="7" name="Étoile : 5 branches 6">
          <a:extLst>
            <a:ext uri="{FF2B5EF4-FFF2-40B4-BE49-F238E27FC236}">
              <a16:creationId xmlns:a16="http://schemas.microsoft.com/office/drawing/2014/main" id="{00000000-0008-0000-3300-000007000000}"/>
            </a:ext>
          </a:extLst>
        </xdr:cNvPr>
        <xdr:cNvSpPr/>
      </xdr:nvSpPr>
      <xdr:spPr>
        <a:xfrm>
          <a:off x="4495800" y="4306993"/>
          <a:ext cx="249343" cy="204471"/>
        </a:xfrm>
        <a:prstGeom prst="star5">
          <a:avLst>
            <a:gd name="adj" fmla="val 25798"/>
            <a:gd name="hf" fmla="val 105146"/>
            <a:gd name="vf" fmla="val 11055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2</xdr:col>
      <xdr:colOff>1888067</xdr:colOff>
      <xdr:row>34</xdr:row>
      <xdr:rowOff>59266</xdr:rowOff>
    </xdr:from>
    <xdr:to>
      <xdr:col>5</xdr:col>
      <xdr:colOff>378460</xdr:colOff>
      <xdr:row>40</xdr:row>
      <xdr:rowOff>130810</xdr:rowOff>
    </xdr:to>
    <xdr:pic>
      <xdr:nvPicPr>
        <xdr:cNvPr id="8" name="Image 7">
          <a:extLst>
            <a:ext uri="{FF2B5EF4-FFF2-40B4-BE49-F238E27FC236}">
              <a16:creationId xmlns:a16="http://schemas.microsoft.com/office/drawing/2014/main" id="{00000000-0008-0000-33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1707" y="9161356"/>
          <a:ext cx="1256453" cy="1203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482600</xdr:colOff>
      <xdr:row>85</xdr:row>
      <xdr:rowOff>177800</xdr:rowOff>
    </xdr:from>
    <xdr:to>
      <xdr:col>2</xdr:col>
      <xdr:colOff>1503257</xdr:colOff>
      <xdr:row>88</xdr:row>
      <xdr:rowOff>171450</xdr:rowOff>
    </xdr:to>
    <xdr:pic>
      <xdr:nvPicPr>
        <xdr:cNvPr id="9" name="Image 8">
          <a:extLst>
            <a:ext uri="{FF2B5EF4-FFF2-40B4-BE49-F238E27FC236}">
              <a16:creationId xmlns:a16="http://schemas.microsoft.com/office/drawing/2014/main" id="{00000000-0008-0000-33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0940" y="24405590"/>
          <a:ext cx="1523577" cy="53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22</xdr:row>
      <xdr:rowOff>171239</xdr:rowOff>
    </xdr:to>
    <xdr:pic>
      <xdr:nvPicPr>
        <xdr:cNvPr id="2" name="Image 1">
          <a:extLst>
            <a:ext uri="{FF2B5EF4-FFF2-40B4-BE49-F238E27FC236}">
              <a16:creationId xmlns:a16="http://schemas.microsoft.com/office/drawing/2014/main" id="{00000000-0008-0000-3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2150" cy="670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84666</xdr:rowOff>
    </xdr:from>
    <xdr:to>
      <xdr:col>1</xdr:col>
      <xdr:colOff>0</xdr:colOff>
      <xdr:row>52</xdr:row>
      <xdr:rowOff>172085</xdr:rowOff>
    </xdr:to>
    <xdr:pic>
      <xdr:nvPicPr>
        <xdr:cNvPr id="3" name="Image 2">
          <a:extLst>
            <a:ext uri="{FF2B5EF4-FFF2-40B4-BE49-F238E27FC236}">
              <a16:creationId xmlns:a16="http://schemas.microsoft.com/office/drawing/2014/main" id="{00000000-0008-0000-3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63646"/>
          <a:ext cx="1943100" cy="6892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177800</xdr:rowOff>
    </xdr:from>
    <xdr:to>
      <xdr:col>1</xdr:col>
      <xdr:colOff>19473</xdr:colOff>
      <xdr:row>62</xdr:row>
      <xdr:rowOff>54611</xdr:rowOff>
    </xdr:to>
    <xdr:pic>
      <xdr:nvPicPr>
        <xdr:cNvPr id="4" name="Image 3">
          <a:extLst>
            <a:ext uri="{FF2B5EF4-FFF2-40B4-BE49-F238E27FC236}">
              <a16:creationId xmlns:a16="http://schemas.microsoft.com/office/drawing/2014/main" id="{00000000-0008-0000-3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27765"/>
          <a:ext cx="1977813" cy="6066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16933</xdr:rowOff>
    </xdr:from>
    <xdr:to>
      <xdr:col>11</xdr:col>
      <xdr:colOff>739140</xdr:colOff>
      <xdr:row>0</xdr:row>
      <xdr:rowOff>668443</xdr:rowOff>
    </xdr:to>
    <xdr:pic>
      <xdr:nvPicPr>
        <xdr:cNvPr id="5" name="Image 4">
          <a:extLst>
            <a:ext uri="{FF2B5EF4-FFF2-40B4-BE49-F238E27FC236}">
              <a16:creationId xmlns:a16="http://schemas.microsoft.com/office/drawing/2014/main" id="{00000000-0008-0000-34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0743"/>
          <a:ext cx="9982200" cy="643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423333</xdr:colOff>
      <xdr:row>0</xdr:row>
      <xdr:rowOff>846667</xdr:rowOff>
    </xdr:from>
    <xdr:to>
      <xdr:col>2</xdr:col>
      <xdr:colOff>1729740</xdr:colOff>
      <xdr:row>0</xdr:row>
      <xdr:rowOff>1351492</xdr:rowOff>
    </xdr:to>
    <xdr:pic>
      <xdr:nvPicPr>
        <xdr:cNvPr id="6" name="Image 5">
          <a:extLst>
            <a:ext uri="{FF2B5EF4-FFF2-40B4-BE49-F238E27FC236}">
              <a16:creationId xmlns:a16="http://schemas.microsoft.com/office/drawing/2014/main" id="{00000000-0008-0000-3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7388" y="848572"/>
          <a:ext cx="1803612" cy="506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169333</xdr:rowOff>
    </xdr:from>
    <xdr:to>
      <xdr:col>3</xdr:col>
      <xdr:colOff>245533</xdr:colOff>
      <xdr:row>13</xdr:row>
      <xdr:rowOff>194734</xdr:rowOff>
    </xdr:to>
    <xdr:sp macro="" textlink="">
      <xdr:nvSpPr>
        <xdr:cNvPr id="7" name="Étoile : 5 branches 6">
          <a:extLst>
            <a:ext uri="{FF2B5EF4-FFF2-40B4-BE49-F238E27FC236}">
              <a16:creationId xmlns:a16="http://schemas.microsoft.com/office/drawing/2014/main" id="{00000000-0008-0000-3400-000007000000}"/>
            </a:ext>
          </a:extLst>
        </xdr:cNvPr>
        <xdr:cNvSpPr/>
      </xdr:nvSpPr>
      <xdr:spPr>
        <a:xfrm>
          <a:off x="4495800" y="4306993"/>
          <a:ext cx="249343" cy="204471"/>
        </a:xfrm>
        <a:prstGeom prst="star5">
          <a:avLst>
            <a:gd name="adj" fmla="val 25798"/>
            <a:gd name="hf" fmla="val 105146"/>
            <a:gd name="vf" fmla="val 11055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2</xdr:col>
      <xdr:colOff>1888067</xdr:colOff>
      <xdr:row>34</xdr:row>
      <xdr:rowOff>59266</xdr:rowOff>
    </xdr:from>
    <xdr:to>
      <xdr:col>5</xdr:col>
      <xdr:colOff>378460</xdr:colOff>
      <xdr:row>40</xdr:row>
      <xdr:rowOff>134620</xdr:rowOff>
    </xdr:to>
    <xdr:pic>
      <xdr:nvPicPr>
        <xdr:cNvPr id="8" name="Image 7">
          <a:extLst>
            <a:ext uri="{FF2B5EF4-FFF2-40B4-BE49-F238E27FC236}">
              <a16:creationId xmlns:a16="http://schemas.microsoft.com/office/drawing/2014/main" id="{00000000-0008-0000-34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1707" y="9161356"/>
          <a:ext cx="1256453" cy="1199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482600</xdr:colOff>
      <xdr:row>85</xdr:row>
      <xdr:rowOff>177800</xdr:rowOff>
    </xdr:from>
    <xdr:to>
      <xdr:col>2</xdr:col>
      <xdr:colOff>1507067</xdr:colOff>
      <xdr:row>88</xdr:row>
      <xdr:rowOff>167640</xdr:rowOff>
    </xdr:to>
    <xdr:pic>
      <xdr:nvPicPr>
        <xdr:cNvPr id="9" name="Image 8">
          <a:extLst>
            <a:ext uri="{FF2B5EF4-FFF2-40B4-BE49-F238E27FC236}">
              <a16:creationId xmlns:a16="http://schemas.microsoft.com/office/drawing/2014/main" id="{00000000-0008-0000-34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0940" y="24405590"/>
          <a:ext cx="1519767" cy="540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22</xdr:row>
      <xdr:rowOff>175049</xdr:rowOff>
    </xdr:to>
    <xdr:pic>
      <xdr:nvPicPr>
        <xdr:cNvPr id="2" name="Image 1">
          <a:extLst>
            <a:ext uri="{FF2B5EF4-FFF2-40B4-BE49-F238E27FC236}">
              <a16:creationId xmlns:a16="http://schemas.microsoft.com/office/drawing/2014/main" id="{00000000-0008-0000-3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2150" cy="6705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84666</xdr:rowOff>
    </xdr:from>
    <xdr:to>
      <xdr:col>1</xdr:col>
      <xdr:colOff>0</xdr:colOff>
      <xdr:row>52</xdr:row>
      <xdr:rowOff>168275</xdr:rowOff>
    </xdr:to>
    <xdr:pic>
      <xdr:nvPicPr>
        <xdr:cNvPr id="3" name="Image 2">
          <a:extLst>
            <a:ext uri="{FF2B5EF4-FFF2-40B4-BE49-F238E27FC236}">
              <a16:creationId xmlns:a16="http://schemas.microsoft.com/office/drawing/2014/main" id="{00000000-0008-0000-3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63646"/>
          <a:ext cx="1943100" cy="6895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177800</xdr:rowOff>
    </xdr:from>
    <xdr:to>
      <xdr:col>1</xdr:col>
      <xdr:colOff>15663</xdr:colOff>
      <xdr:row>62</xdr:row>
      <xdr:rowOff>58421</xdr:rowOff>
    </xdr:to>
    <xdr:pic>
      <xdr:nvPicPr>
        <xdr:cNvPr id="4" name="Image 3">
          <a:extLst>
            <a:ext uri="{FF2B5EF4-FFF2-40B4-BE49-F238E27FC236}">
              <a16:creationId xmlns:a16="http://schemas.microsoft.com/office/drawing/2014/main" id="{00000000-0008-0000-3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27765"/>
          <a:ext cx="1981623" cy="6062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16933</xdr:rowOff>
    </xdr:from>
    <xdr:to>
      <xdr:col>11</xdr:col>
      <xdr:colOff>742950</xdr:colOff>
      <xdr:row>0</xdr:row>
      <xdr:rowOff>664633</xdr:rowOff>
    </xdr:to>
    <xdr:pic>
      <xdr:nvPicPr>
        <xdr:cNvPr id="5" name="Image 4">
          <a:extLst>
            <a:ext uri="{FF2B5EF4-FFF2-40B4-BE49-F238E27FC236}">
              <a16:creationId xmlns:a16="http://schemas.microsoft.com/office/drawing/2014/main" id="{00000000-0008-0000-3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0743"/>
          <a:ext cx="997839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423333</xdr:colOff>
      <xdr:row>0</xdr:row>
      <xdr:rowOff>846667</xdr:rowOff>
    </xdr:from>
    <xdr:to>
      <xdr:col>2</xdr:col>
      <xdr:colOff>1733550</xdr:colOff>
      <xdr:row>0</xdr:row>
      <xdr:rowOff>1355302</xdr:rowOff>
    </xdr:to>
    <xdr:pic>
      <xdr:nvPicPr>
        <xdr:cNvPr id="6" name="Image 5">
          <a:extLst>
            <a:ext uri="{FF2B5EF4-FFF2-40B4-BE49-F238E27FC236}">
              <a16:creationId xmlns:a16="http://schemas.microsoft.com/office/drawing/2014/main" id="{00000000-0008-0000-35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7388" y="848572"/>
          <a:ext cx="1799802" cy="50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169333</xdr:rowOff>
    </xdr:from>
    <xdr:to>
      <xdr:col>3</xdr:col>
      <xdr:colOff>245533</xdr:colOff>
      <xdr:row>13</xdr:row>
      <xdr:rowOff>194734</xdr:rowOff>
    </xdr:to>
    <xdr:sp macro="" textlink="">
      <xdr:nvSpPr>
        <xdr:cNvPr id="7" name="Étoile : 5 branches 6">
          <a:extLst>
            <a:ext uri="{FF2B5EF4-FFF2-40B4-BE49-F238E27FC236}">
              <a16:creationId xmlns:a16="http://schemas.microsoft.com/office/drawing/2014/main" id="{00000000-0008-0000-3500-000007000000}"/>
            </a:ext>
          </a:extLst>
        </xdr:cNvPr>
        <xdr:cNvSpPr/>
      </xdr:nvSpPr>
      <xdr:spPr>
        <a:xfrm>
          <a:off x="4495800" y="4306993"/>
          <a:ext cx="249343" cy="204471"/>
        </a:xfrm>
        <a:prstGeom prst="star5">
          <a:avLst>
            <a:gd name="adj" fmla="val 25798"/>
            <a:gd name="hf" fmla="val 105146"/>
            <a:gd name="vf" fmla="val 11055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2</xdr:col>
      <xdr:colOff>1888067</xdr:colOff>
      <xdr:row>34</xdr:row>
      <xdr:rowOff>59266</xdr:rowOff>
    </xdr:from>
    <xdr:to>
      <xdr:col>5</xdr:col>
      <xdr:colOff>378460</xdr:colOff>
      <xdr:row>40</xdr:row>
      <xdr:rowOff>130810</xdr:rowOff>
    </xdr:to>
    <xdr:pic>
      <xdr:nvPicPr>
        <xdr:cNvPr id="8" name="Image 7">
          <a:extLst>
            <a:ext uri="{FF2B5EF4-FFF2-40B4-BE49-F238E27FC236}">
              <a16:creationId xmlns:a16="http://schemas.microsoft.com/office/drawing/2014/main" id="{00000000-0008-0000-35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1707" y="9161356"/>
          <a:ext cx="1256453" cy="1203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482600</xdr:colOff>
      <xdr:row>85</xdr:row>
      <xdr:rowOff>177800</xdr:rowOff>
    </xdr:from>
    <xdr:to>
      <xdr:col>2</xdr:col>
      <xdr:colOff>1503257</xdr:colOff>
      <xdr:row>88</xdr:row>
      <xdr:rowOff>171450</xdr:rowOff>
    </xdr:to>
    <xdr:pic>
      <xdr:nvPicPr>
        <xdr:cNvPr id="9" name="Image 8">
          <a:extLst>
            <a:ext uri="{FF2B5EF4-FFF2-40B4-BE49-F238E27FC236}">
              <a16:creationId xmlns:a16="http://schemas.microsoft.com/office/drawing/2014/main" id="{00000000-0008-0000-35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0940" y="24405590"/>
          <a:ext cx="1523577" cy="53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22</xdr:row>
      <xdr:rowOff>171239</xdr:rowOff>
    </xdr:to>
    <xdr:pic>
      <xdr:nvPicPr>
        <xdr:cNvPr id="2" name="Image 1">
          <a:extLst>
            <a:ext uri="{FF2B5EF4-FFF2-40B4-BE49-F238E27FC236}">
              <a16:creationId xmlns:a16="http://schemas.microsoft.com/office/drawing/2014/main" id="{00000000-0008-0000-3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2150" cy="670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84666</xdr:rowOff>
    </xdr:from>
    <xdr:to>
      <xdr:col>1</xdr:col>
      <xdr:colOff>0</xdr:colOff>
      <xdr:row>52</xdr:row>
      <xdr:rowOff>172085</xdr:rowOff>
    </xdr:to>
    <xdr:pic>
      <xdr:nvPicPr>
        <xdr:cNvPr id="3" name="Image 2">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63646"/>
          <a:ext cx="1943100" cy="6892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177800</xdr:rowOff>
    </xdr:from>
    <xdr:to>
      <xdr:col>1</xdr:col>
      <xdr:colOff>19473</xdr:colOff>
      <xdr:row>62</xdr:row>
      <xdr:rowOff>54611</xdr:rowOff>
    </xdr:to>
    <xdr:pic>
      <xdr:nvPicPr>
        <xdr:cNvPr id="4" name="Image 3">
          <a:extLst>
            <a:ext uri="{FF2B5EF4-FFF2-40B4-BE49-F238E27FC236}">
              <a16:creationId xmlns:a16="http://schemas.microsoft.com/office/drawing/2014/main" id="{00000000-0008-0000-3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27765"/>
          <a:ext cx="1977813" cy="6066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16933</xdr:rowOff>
    </xdr:from>
    <xdr:to>
      <xdr:col>11</xdr:col>
      <xdr:colOff>739140</xdr:colOff>
      <xdr:row>0</xdr:row>
      <xdr:rowOff>668443</xdr:rowOff>
    </xdr:to>
    <xdr:pic>
      <xdr:nvPicPr>
        <xdr:cNvPr id="5" name="Image 4">
          <a:extLst>
            <a:ext uri="{FF2B5EF4-FFF2-40B4-BE49-F238E27FC236}">
              <a16:creationId xmlns:a16="http://schemas.microsoft.com/office/drawing/2014/main" id="{00000000-0008-0000-36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0743"/>
          <a:ext cx="9982200" cy="643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423333</xdr:colOff>
      <xdr:row>0</xdr:row>
      <xdr:rowOff>846667</xdr:rowOff>
    </xdr:from>
    <xdr:to>
      <xdr:col>2</xdr:col>
      <xdr:colOff>1729740</xdr:colOff>
      <xdr:row>0</xdr:row>
      <xdr:rowOff>1351492</xdr:rowOff>
    </xdr:to>
    <xdr:pic>
      <xdr:nvPicPr>
        <xdr:cNvPr id="6" name="Image 5">
          <a:extLst>
            <a:ext uri="{FF2B5EF4-FFF2-40B4-BE49-F238E27FC236}">
              <a16:creationId xmlns:a16="http://schemas.microsoft.com/office/drawing/2014/main" id="{00000000-0008-0000-36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7388" y="848572"/>
          <a:ext cx="1803612" cy="506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169333</xdr:rowOff>
    </xdr:from>
    <xdr:to>
      <xdr:col>3</xdr:col>
      <xdr:colOff>245533</xdr:colOff>
      <xdr:row>13</xdr:row>
      <xdr:rowOff>194734</xdr:rowOff>
    </xdr:to>
    <xdr:sp macro="" textlink="">
      <xdr:nvSpPr>
        <xdr:cNvPr id="7" name="Étoile : 5 branches 6">
          <a:extLst>
            <a:ext uri="{FF2B5EF4-FFF2-40B4-BE49-F238E27FC236}">
              <a16:creationId xmlns:a16="http://schemas.microsoft.com/office/drawing/2014/main" id="{00000000-0008-0000-3600-000007000000}"/>
            </a:ext>
          </a:extLst>
        </xdr:cNvPr>
        <xdr:cNvSpPr/>
      </xdr:nvSpPr>
      <xdr:spPr>
        <a:xfrm>
          <a:off x="4495800" y="4306993"/>
          <a:ext cx="249343" cy="204471"/>
        </a:xfrm>
        <a:prstGeom prst="star5">
          <a:avLst>
            <a:gd name="adj" fmla="val 25798"/>
            <a:gd name="hf" fmla="val 105146"/>
            <a:gd name="vf" fmla="val 11055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2</xdr:col>
      <xdr:colOff>1888067</xdr:colOff>
      <xdr:row>34</xdr:row>
      <xdr:rowOff>59266</xdr:rowOff>
    </xdr:from>
    <xdr:to>
      <xdr:col>5</xdr:col>
      <xdr:colOff>378460</xdr:colOff>
      <xdr:row>40</xdr:row>
      <xdr:rowOff>134620</xdr:rowOff>
    </xdr:to>
    <xdr:pic>
      <xdr:nvPicPr>
        <xdr:cNvPr id="8" name="Image 7">
          <a:extLst>
            <a:ext uri="{FF2B5EF4-FFF2-40B4-BE49-F238E27FC236}">
              <a16:creationId xmlns:a16="http://schemas.microsoft.com/office/drawing/2014/main" id="{00000000-0008-0000-36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1707" y="9161356"/>
          <a:ext cx="1256453" cy="1199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482600</xdr:colOff>
      <xdr:row>85</xdr:row>
      <xdr:rowOff>177800</xdr:rowOff>
    </xdr:from>
    <xdr:to>
      <xdr:col>2</xdr:col>
      <xdr:colOff>1507067</xdr:colOff>
      <xdr:row>88</xdr:row>
      <xdr:rowOff>167640</xdr:rowOff>
    </xdr:to>
    <xdr:pic>
      <xdr:nvPicPr>
        <xdr:cNvPr id="9" name="Image 8">
          <a:extLst>
            <a:ext uri="{FF2B5EF4-FFF2-40B4-BE49-F238E27FC236}">
              <a16:creationId xmlns:a16="http://schemas.microsoft.com/office/drawing/2014/main" id="{00000000-0008-0000-36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0940" y="24405590"/>
          <a:ext cx="1519767" cy="540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22</xdr:row>
      <xdr:rowOff>175049</xdr:rowOff>
    </xdr:to>
    <xdr:pic>
      <xdr:nvPicPr>
        <xdr:cNvPr id="2" name="Image 1">
          <a:extLst>
            <a:ext uri="{FF2B5EF4-FFF2-40B4-BE49-F238E27FC236}">
              <a16:creationId xmlns:a16="http://schemas.microsoft.com/office/drawing/2014/main" id="{00000000-0008-0000-3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2150" cy="6705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84666</xdr:rowOff>
    </xdr:from>
    <xdr:to>
      <xdr:col>1</xdr:col>
      <xdr:colOff>0</xdr:colOff>
      <xdr:row>52</xdr:row>
      <xdr:rowOff>168275</xdr:rowOff>
    </xdr:to>
    <xdr:pic>
      <xdr:nvPicPr>
        <xdr:cNvPr id="3" name="Image 2">
          <a:extLst>
            <a:ext uri="{FF2B5EF4-FFF2-40B4-BE49-F238E27FC236}">
              <a16:creationId xmlns:a16="http://schemas.microsoft.com/office/drawing/2014/main" id="{00000000-0008-0000-3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63646"/>
          <a:ext cx="1943100" cy="6895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177800</xdr:rowOff>
    </xdr:from>
    <xdr:to>
      <xdr:col>1</xdr:col>
      <xdr:colOff>15663</xdr:colOff>
      <xdr:row>62</xdr:row>
      <xdr:rowOff>58421</xdr:rowOff>
    </xdr:to>
    <xdr:pic>
      <xdr:nvPicPr>
        <xdr:cNvPr id="4" name="Image 3">
          <a:extLst>
            <a:ext uri="{FF2B5EF4-FFF2-40B4-BE49-F238E27FC236}">
              <a16:creationId xmlns:a16="http://schemas.microsoft.com/office/drawing/2014/main" id="{00000000-0008-0000-3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27765"/>
          <a:ext cx="1981623" cy="6062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16933</xdr:rowOff>
    </xdr:from>
    <xdr:to>
      <xdr:col>11</xdr:col>
      <xdr:colOff>742950</xdr:colOff>
      <xdr:row>0</xdr:row>
      <xdr:rowOff>664633</xdr:rowOff>
    </xdr:to>
    <xdr:pic>
      <xdr:nvPicPr>
        <xdr:cNvPr id="5" name="Image 4">
          <a:extLst>
            <a:ext uri="{FF2B5EF4-FFF2-40B4-BE49-F238E27FC236}">
              <a16:creationId xmlns:a16="http://schemas.microsoft.com/office/drawing/2014/main" id="{00000000-0008-0000-3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0743"/>
          <a:ext cx="997839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423333</xdr:colOff>
      <xdr:row>0</xdr:row>
      <xdr:rowOff>846667</xdr:rowOff>
    </xdr:from>
    <xdr:to>
      <xdr:col>2</xdr:col>
      <xdr:colOff>1733550</xdr:colOff>
      <xdr:row>0</xdr:row>
      <xdr:rowOff>1355302</xdr:rowOff>
    </xdr:to>
    <xdr:pic>
      <xdr:nvPicPr>
        <xdr:cNvPr id="6" name="Image 5">
          <a:extLst>
            <a:ext uri="{FF2B5EF4-FFF2-40B4-BE49-F238E27FC236}">
              <a16:creationId xmlns:a16="http://schemas.microsoft.com/office/drawing/2014/main" id="{00000000-0008-0000-37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7388" y="848572"/>
          <a:ext cx="1799802" cy="50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169333</xdr:rowOff>
    </xdr:from>
    <xdr:to>
      <xdr:col>3</xdr:col>
      <xdr:colOff>245533</xdr:colOff>
      <xdr:row>13</xdr:row>
      <xdr:rowOff>194734</xdr:rowOff>
    </xdr:to>
    <xdr:sp macro="" textlink="">
      <xdr:nvSpPr>
        <xdr:cNvPr id="7" name="Étoile : 5 branches 6">
          <a:extLst>
            <a:ext uri="{FF2B5EF4-FFF2-40B4-BE49-F238E27FC236}">
              <a16:creationId xmlns:a16="http://schemas.microsoft.com/office/drawing/2014/main" id="{00000000-0008-0000-3700-000007000000}"/>
            </a:ext>
          </a:extLst>
        </xdr:cNvPr>
        <xdr:cNvSpPr/>
      </xdr:nvSpPr>
      <xdr:spPr>
        <a:xfrm>
          <a:off x="4495800" y="4306993"/>
          <a:ext cx="249343" cy="204471"/>
        </a:xfrm>
        <a:prstGeom prst="star5">
          <a:avLst>
            <a:gd name="adj" fmla="val 25798"/>
            <a:gd name="hf" fmla="val 105146"/>
            <a:gd name="vf" fmla="val 11055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2</xdr:col>
      <xdr:colOff>1888067</xdr:colOff>
      <xdr:row>34</xdr:row>
      <xdr:rowOff>59266</xdr:rowOff>
    </xdr:from>
    <xdr:to>
      <xdr:col>5</xdr:col>
      <xdr:colOff>378460</xdr:colOff>
      <xdr:row>40</xdr:row>
      <xdr:rowOff>130810</xdr:rowOff>
    </xdr:to>
    <xdr:pic>
      <xdr:nvPicPr>
        <xdr:cNvPr id="8" name="Image 7">
          <a:extLst>
            <a:ext uri="{FF2B5EF4-FFF2-40B4-BE49-F238E27FC236}">
              <a16:creationId xmlns:a16="http://schemas.microsoft.com/office/drawing/2014/main" id="{00000000-0008-0000-37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1707" y="9161356"/>
          <a:ext cx="1256453" cy="1203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482600</xdr:colOff>
      <xdr:row>85</xdr:row>
      <xdr:rowOff>177800</xdr:rowOff>
    </xdr:from>
    <xdr:to>
      <xdr:col>2</xdr:col>
      <xdr:colOff>1503257</xdr:colOff>
      <xdr:row>88</xdr:row>
      <xdr:rowOff>171450</xdr:rowOff>
    </xdr:to>
    <xdr:pic>
      <xdr:nvPicPr>
        <xdr:cNvPr id="9" name="Image 8">
          <a:extLst>
            <a:ext uri="{FF2B5EF4-FFF2-40B4-BE49-F238E27FC236}">
              <a16:creationId xmlns:a16="http://schemas.microsoft.com/office/drawing/2014/main" id="{00000000-0008-0000-37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0940" y="24405590"/>
          <a:ext cx="1523577" cy="53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absolute">
    <xdr:from>
      <xdr:col>12</xdr:col>
      <xdr:colOff>97158</xdr:colOff>
      <xdr:row>0</xdr:row>
      <xdr:rowOff>97370</xdr:rowOff>
    </xdr:from>
    <xdr:to>
      <xdr:col>14</xdr:col>
      <xdr:colOff>644952</xdr:colOff>
      <xdr:row>0</xdr:row>
      <xdr:rowOff>401661</xdr:rowOff>
    </xdr:to>
    <xdr:sp macro="" textlink="">
      <xdr:nvSpPr>
        <xdr:cNvPr id="2" name="Flèche : pentagon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12611103" y="106895"/>
          <a:ext cx="2048934"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solidFill>
                <a:srgbClr val="31869B"/>
              </a:solidFill>
            </a:rPr>
            <a:t>Rapportage</a:t>
          </a:r>
        </a:p>
      </xdr:txBody>
    </xdr:sp>
    <xdr:clientData/>
  </xdr:twoCellAnchor>
  <xdr:twoCellAnchor editAs="absolute">
    <xdr:from>
      <xdr:col>0</xdr:col>
      <xdr:colOff>3009901</xdr:colOff>
      <xdr:row>0</xdr:row>
      <xdr:rowOff>401323</xdr:rowOff>
    </xdr:from>
    <xdr:to>
      <xdr:col>1</xdr:col>
      <xdr:colOff>597750</xdr:colOff>
      <xdr:row>0</xdr:row>
      <xdr:rowOff>702736</xdr:rowOff>
    </xdr:to>
    <xdr:sp macro="" textlink="">
      <xdr:nvSpPr>
        <xdr:cNvPr id="4" name="ZoneTexte 3">
          <a:hlinkClick xmlns:r="http://schemas.openxmlformats.org/officeDocument/2006/relationships" r:id="rId2"/>
          <a:extLst>
            <a:ext uri="{FF2B5EF4-FFF2-40B4-BE49-F238E27FC236}">
              <a16:creationId xmlns:a16="http://schemas.microsoft.com/office/drawing/2014/main" id="{00000000-0008-0000-3800-000004000000}"/>
            </a:ext>
          </a:extLst>
        </xdr:cNvPr>
        <xdr:cNvSpPr txBox="1"/>
      </xdr:nvSpPr>
      <xdr:spPr>
        <a:xfrm>
          <a:off x="3009901" y="393703"/>
          <a:ext cx="1405469" cy="309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patrimonial </a:t>
          </a:r>
        </a:p>
        <a:p>
          <a:endParaRPr lang="fr-BE" sz="1100">
            <a:solidFill>
              <a:srgbClr val="215967"/>
            </a:solidFill>
          </a:endParaRPr>
        </a:p>
      </xdr:txBody>
    </xdr:sp>
    <xdr:clientData fPrintsWithSheet="0"/>
  </xdr:twoCellAnchor>
  <xdr:twoCellAnchor editAs="absolute">
    <xdr:from>
      <xdr:col>1</xdr:col>
      <xdr:colOff>551180</xdr:colOff>
      <xdr:row>0</xdr:row>
      <xdr:rowOff>396880</xdr:rowOff>
    </xdr:from>
    <xdr:to>
      <xdr:col>3</xdr:col>
      <xdr:colOff>114928</xdr:colOff>
      <xdr:row>0</xdr:row>
      <xdr:rowOff>702739</xdr:rowOff>
    </xdr:to>
    <xdr:sp macro="" textlink="">
      <xdr:nvSpPr>
        <xdr:cNvPr id="5" name="ZoneTexte 4">
          <a:hlinkClick xmlns:r="http://schemas.openxmlformats.org/officeDocument/2006/relationships" r:id="rId3"/>
          <a:extLst>
            <a:ext uri="{FF2B5EF4-FFF2-40B4-BE49-F238E27FC236}">
              <a16:creationId xmlns:a16="http://schemas.microsoft.com/office/drawing/2014/main" id="{00000000-0008-0000-3800-000005000000}"/>
            </a:ext>
          </a:extLst>
        </xdr:cNvPr>
        <xdr:cNvSpPr txBox="1"/>
      </xdr:nvSpPr>
      <xdr:spPr>
        <a:xfrm>
          <a:off x="4368800" y="387355"/>
          <a:ext cx="1295393"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215967"/>
              </a:solidFill>
            </a:rPr>
            <a:t>&gt; </a:t>
          </a:r>
          <a:r>
            <a:rPr lang="fr-BE" sz="1200" u="sng">
              <a:solidFill>
                <a:srgbClr val="215967"/>
              </a:solidFill>
            </a:rPr>
            <a:t>Bilan territorial </a:t>
          </a:r>
        </a:p>
        <a:p>
          <a:endParaRPr lang="fr-BE" sz="1100">
            <a:solidFill>
              <a:srgbClr val="215967"/>
            </a:solidFill>
          </a:endParaRPr>
        </a:p>
      </xdr:txBody>
    </xdr:sp>
    <xdr:clientData fPrintsWithSheet="0"/>
  </xdr:twoCellAnchor>
  <xdr:twoCellAnchor editAs="absolute">
    <xdr:from>
      <xdr:col>3</xdr:col>
      <xdr:colOff>136098</xdr:colOff>
      <xdr:row>0</xdr:row>
      <xdr:rowOff>381007</xdr:rowOff>
    </xdr:from>
    <xdr:to>
      <xdr:col>4</xdr:col>
      <xdr:colOff>367669</xdr:colOff>
      <xdr:row>0</xdr:row>
      <xdr:rowOff>663370</xdr:rowOff>
    </xdr:to>
    <xdr:sp macro="" textlink="">
      <xdr:nvSpPr>
        <xdr:cNvPr id="6" name="ZoneTexte 5">
          <a:hlinkClick xmlns:r="http://schemas.openxmlformats.org/officeDocument/2006/relationships" r:id="rId4"/>
          <a:extLst>
            <a:ext uri="{FF2B5EF4-FFF2-40B4-BE49-F238E27FC236}">
              <a16:creationId xmlns:a16="http://schemas.microsoft.com/office/drawing/2014/main" id="{00000000-0008-0000-3800-000006000000}"/>
            </a:ext>
          </a:extLst>
        </xdr:cNvPr>
        <xdr:cNvSpPr txBox="1"/>
      </xdr:nvSpPr>
      <xdr:spPr>
        <a:xfrm>
          <a:off x="5685363" y="381007"/>
          <a:ext cx="1153591" cy="28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 </a:t>
          </a:r>
          <a:r>
            <a:rPr lang="fr-BE" sz="1200" u="sng">
              <a:solidFill>
                <a:srgbClr val="00709E"/>
              </a:solidFill>
            </a:rPr>
            <a:t>Potentiel EnR </a:t>
          </a:r>
        </a:p>
        <a:p>
          <a:endParaRPr lang="fr-BE" sz="1100">
            <a:solidFill>
              <a:srgbClr val="00709E"/>
            </a:solidFill>
          </a:endParaRPr>
        </a:p>
      </xdr:txBody>
    </xdr:sp>
    <xdr:clientData fPrintsWithSheet="0"/>
  </xdr:twoCellAnchor>
  <xdr:twoCellAnchor editAs="absolute">
    <xdr:from>
      <xdr:col>4</xdr:col>
      <xdr:colOff>231356</xdr:colOff>
      <xdr:row>0</xdr:row>
      <xdr:rowOff>392861</xdr:rowOff>
    </xdr:from>
    <xdr:to>
      <xdr:col>5</xdr:col>
      <xdr:colOff>127215</xdr:colOff>
      <xdr:row>0</xdr:row>
      <xdr:rowOff>707609</xdr:rowOff>
    </xdr:to>
    <xdr:sp macro="" textlink="">
      <xdr:nvSpPr>
        <xdr:cNvPr id="7" name="ZoneTexte 6">
          <a:hlinkClick xmlns:r="http://schemas.openxmlformats.org/officeDocument/2006/relationships" r:id="rId5"/>
          <a:extLst>
            <a:ext uri="{FF2B5EF4-FFF2-40B4-BE49-F238E27FC236}">
              <a16:creationId xmlns:a16="http://schemas.microsoft.com/office/drawing/2014/main" id="{00000000-0008-0000-3800-000007000000}"/>
            </a:ext>
          </a:extLst>
        </xdr:cNvPr>
        <xdr:cNvSpPr txBox="1"/>
      </xdr:nvSpPr>
      <xdr:spPr>
        <a:xfrm>
          <a:off x="6695021" y="385241"/>
          <a:ext cx="673099"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rgbClr val="00709E"/>
              </a:solidFill>
            </a:rPr>
            <a:t>&gt;</a:t>
          </a:r>
          <a:r>
            <a:rPr lang="fr-BE" sz="1200" u="none">
              <a:solidFill>
                <a:srgbClr val="00709E"/>
              </a:solidFill>
            </a:rPr>
            <a:t> </a:t>
          </a:r>
          <a:r>
            <a:rPr lang="fr-BE" sz="1200" u="sng">
              <a:solidFill>
                <a:srgbClr val="00709E"/>
              </a:solidFill>
            </a:rPr>
            <a:t>Vision </a:t>
          </a:r>
        </a:p>
        <a:p>
          <a:endParaRPr lang="fr-BE" sz="1100">
            <a:solidFill>
              <a:srgbClr val="00709E"/>
            </a:solidFill>
          </a:endParaRPr>
        </a:p>
      </xdr:txBody>
    </xdr:sp>
    <xdr:clientData fPrintsWithSheet="0"/>
  </xdr:twoCellAnchor>
  <xdr:twoCellAnchor editAs="absolute">
    <xdr:from>
      <xdr:col>5</xdr:col>
      <xdr:colOff>21370</xdr:colOff>
      <xdr:row>0</xdr:row>
      <xdr:rowOff>378891</xdr:rowOff>
    </xdr:from>
    <xdr:to>
      <xdr:col>6</xdr:col>
      <xdr:colOff>153041</xdr:colOff>
      <xdr:row>0</xdr:row>
      <xdr:rowOff>673954</xdr:rowOff>
    </xdr:to>
    <xdr:sp macro="" textlink="">
      <xdr:nvSpPr>
        <xdr:cNvPr id="8" name="ZoneTexte 7">
          <a:hlinkClick xmlns:r="http://schemas.openxmlformats.org/officeDocument/2006/relationships" r:id="rId6"/>
          <a:extLst>
            <a:ext uri="{FF2B5EF4-FFF2-40B4-BE49-F238E27FC236}">
              <a16:creationId xmlns:a16="http://schemas.microsoft.com/office/drawing/2014/main" id="{00000000-0008-0000-3800-000008000000}"/>
            </a:ext>
          </a:extLst>
        </xdr:cNvPr>
        <xdr:cNvSpPr txBox="1"/>
      </xdr:nvSpPr>
      <xdr:spPr>
        <a:xfrm>
          <a:off x="7262275" y="378891"/>
          <a:ext cx="87843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Objectifs </a:t>
          </a:r>
        </a:p>
        <a:p>
          <a:endParaRPr lang="fr-BE" sz="1100" b="0">
            <a:solidFill>
              <a:srgbClr val="00709E"/>
            </a:solidFill>
          </a:endParaRPr>
        </a:p>
      </xdr:txBody>
    </xdr:sp>
    <xdr:clientData fPrintsWithSheet="0"/>
  </xdr:twoCellAnchor>
  <xdr:twoCellAnchor editAs="absolute">
    <xdr:from>
      <xdr:col>8</xdr:col>
      <xdr:colOff>440270</xdr:colOff>
      <xdr:row>0</xdr:row>
      <xdr:rowOff>383127</xdr:rowOff>
    </xdr:from>
    <xdr:to>
      <xdr:col>10</xdr:col>
      <xdr:colOff>570869</xdr:colOff>
      <xdr:row>0</xdr:row>
      <xdr:rowOff>723911</xdr:rowOff>
    </xdr:to>
    <xdr:sp macro="" textlink="">
      <xdr:nvSpPr>
        <xdr:cNvPr id="9" name="ZoneTexte 8">
          <a:hlinkClick xmlns:r="http://schemas.openxmlformats.org/officeDocument/2006/relationships" r:id="rId7"/>
          <a:extLst>
            <a:ext uri="{FF2B5EF4-FFF2-40B4-BE49-F238E27FC236}">
              <a16:creationId xmlns:a16="http://schemas.microsoft.com/office/drawing/2014/main" id="{00000000-0008-0000-3800-000009000000}"/>
            </a:ext>
          </a:extLst>
        </xdr:cNvPr>
        <xdr:cNvSpPr txBox="1"/>
      </xdr:nvSpPr>
      <xdr:spPr>
        <a:xfrm>
          <a:off x="9889070" y="383127"/>
          <a:ext cx="1648884"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 VS Objectifs </a:t>
          </a:r>
        </a:p>
        <a:p>
          <a:endParaRPr lang="fr-BE" sz="1100">
            <a:solidFill>
              <a:schemeClr val="tx1">
                <a:lumMod val="50000"/>
                <a:lumOff val="50000"/>
              </a:schemeClr>
            </a:solidFill>
          </a:endParaRPr>
        </a:p>
      </xdr:txBody>
    </xdr:sp>
    <xdr:clientData fPrintsWithSheet="0"/>
  </xdr:twoCellAnchor>
  <xdr:twoCellAnchor editAs="absolute">
    <xdr:from>
      <xdr:col>7</xdr:col>
      <xdr:colOff>825702</xdr:colOff>
      <xdr:row>0</xdr:row>
      <xdr:rowOff>369150</xdr:rowOff>
    </xdr:from>
    <xdr:to>
      <xdr:col>8</xdr:col>
      <xdr:colOff>546725</xdr:colOff>
      <xdr:row>0</xdr:row>
      <xdr:rowOff>701679</xdr:rowOff>
    </xdr:to>
    <xdr:sp macro="" textlink="">
      <xdr:nvSpPr>
        <xdr:cNvPr id="10" name="ZoneTexte 9">
          <a:hlinkClick xmlns:r="http://schemas.openxmlformats.org/officeDocument/2006/relationships" r:id="rId8"/>
          <a:extLst>
            <a:ext uri="{FF2B5EF4-FFF2-40B4-BE49-F238E27FC236}">
              <a16:creationId xmlns:a16="http://schemas.microsoft.com/office/drawing/2014/main" id="{00000000-0008-0000-3800-00000A000000}"/>
            </a:ext>
          </a:extLst>
        </xdr:cNvPr>
        <xdr:cNvSpPr txBox="1"/>
      </xdr:nvSpPr>
      <xdr:spPr>
        <a:xfrm>
          <a:off x="9209607" y="376770"/>
          <a:ext cx="772583"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Actions</a:t>
          </a:r>
          <a:r>
            <a:rPr lang="fr-BE" sz="1200">
              <a:solidFill>
                <a:schemeClr val="tx1">
                  <a:lumMod val="50000"/>
                  <a:lumOff val="50000"/>
                </a:schemeClr>
              </a:solidFill>
            </a:rPr>
            <a:t> </a:t>
          </a:r>
        </a:p>
        <a:p>
          <a:endParaRPr lang="fr-BE" sz="1100">
            <a:solidFill>
              <a:schemeClr val="tx1">
                <a:lumMod val="50000"/>
                <a:lumOff val="50000"/>
              </a:schemeClr>
            </a:solidFill>
          </a:endParaRPr>
        </a:p>
      </xdr:txBody>
    </xdr:sp>
    <xdr:clientData fPrintsWithSheet="0"/>
  </xdr:twoCellAnchor>
  <xdr:twoCellAnchor editAs="absolute">
    <xdr:from>
      <xdr:col>11</xdr:col>
      <xdr:colOff>248700</xdr:colOff>
      <xdr:row>0</xdr:row>
      <xdr:rowOff>364713</xdr:rowOff>
    </xdr:from>
    <xdr:to>
      <xdr:col>12</xdr:col>
      <xdr:colOff>327454</xdr:colOff>
      <xdr:row>0</xdr:row>
      <xdr:rowOff>707613</xdr:rowOff>
    </xdr:to>
    <xdr:sp macro="" textlink="">
      <xdr:nvSpPr>
        <xdr:cNvPr id="11" name="ZoneTexte 10">
          <a:hlinkClick xmlns:r="http://schemas.openxmlformats.org/officeDocument/2006/relationships" r:id="rId9"/>
          <a:extLst>
            <a:ext uri="{FF2B5EF4-FFF2-40B4-BE49-F238E27FC236}">
              <a16:creationId xmlns:a16="http://schemas.microsoft.com/office/drawing/2014/main" id="{00000000-0008-0000-3800-00000B000000}"/>
            </a:ext>
          </a:extLst>
        </xdr:cNvPr>
        <xdr:cNvSpPr txBox="1"/>
      </xdr:nvSpPr>
      <xdr:spPr>
        <a:xfrm>
          <a:off x="11993025" y="370428"/>
          <a:ext cx="82551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a:solidFill>
                <a:schemeClr val="tx1">
                  <a:lumMod val="50000"/>
                  <a:lumOff val="50000"/>
                </a:schemeClr>
              </a:solidFill>
            </a:rPr>
            <a:t>&gt; </a:t>
          </a:r>
          <a:r>
            <a:rPr lang="fr-BE" sz="1200" u="sng">
              <a:solidFill>
                <a:schemeClr val="tx1">
                  <a:lumMod val="50000"/>
                  <a:lumOff val="50000"/>
                </a:schemeClr>
              </a:solidFill>
            </a:rPr>
            <a:t>Budget</a:t>
          </a:r>
        </a:p>
        <a:p>
          <a:endParaRPr lang="fr-BE" sz="1100">
            <a:solidFill>
              <a:schemeClr val="tx1">
                <a:lumMod val="50000"/>
                <a:lumOff val="50000"/>
              </a:schemeClr>
            </a:solidFill>
          </a:endParaRPr>
        </a:p>
      </xdr:txBody>
    </xdr:sp>
    <xdr:clientData fPrintsWithSheet="0"/>
  </xdr:twoCellAnchor>
  <xdr:twoCellAnchor editAs="absolute">
    <xdr:from>
      <xdr:col>12</xdr:col>
      <xdr:colOff>282357</xdr:colOff>
      <xdr:row>0</xdr:row>
      <xdr:rowOff>365134</xdr:rowOff>
    </xdr:from>
    <xdr:to>
      <xdr:col>13</xdr:col>
      <xdr:colOff>188178</xdr:colOff>
      <xdr:row>0</xdr:row>
      <xdr:rowOff>673947</xdr:rowOff>
    </xdr:to>
    <xdr:sp macro="" textlink="">
      <xdr:nvSpPr>
        <xdr:cNvPr id="12" name="ZoneTexte 11">
          <a:hlinkClick xmlns:r="http://schemas.openxmlformats.org/officeDocument/2006/relationships" r:id="rId10"/>
          <a:extLst>
            <a:ext uri="{FF2B5EF4-FFF2-40B4-BE49-F238E27FC236}">
              <a16:creationId xmlns:a16="http://schemas.microsoft.com/office/drawing/2014/main" id="{00000000-0008-0000-3800-00000C000000}"/>
            </a:ext>
          </a:extLst>
        </xdr:cNvPr>
        <xdr:cNvSpPr txBox="1"/>
      </xdr:nvSpPr>
      <xdr:spPr>
        <a:xfrm>
          <a:off x="12786777" y="374659"/>
          <a:ext cx="677346"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CdM</a:t>
          </a:r>
        </a:p>
        <a:p>
          <a:endParaRPr lang="fr-BE" sz="1100" b="0">
            <a:solidFill>
              <a:schemeClr val="tx1">
                <a:lumMod val="50000"/>
                <a:lumOff val="50000"/>
              </a:schemeClr>
            </a:solidFill>
          </a:endParaRPr>
        </a:p>
      </xdr:txBody>
    </xdr:sp>
    <xdr:clientData fPrintsWithSheet="0"/>
  </xdr:twoCellAnchor>
  <xdr:twoCellAnchor editAs="absolute">
    <xdr:from>
      <xdr:col>10</xdr:col>
      <xdr:colOff>327440</xdr:colOff>
      <xdr:row>0</xdr:row>
      <xdr:rowOff>365133</xdr:rowOff>
    </xdr:from>
    <xdr:to>
      <xdr:col>11</xdr:col>
      <xdr:colOff>474772</xdr:colOff>
      <xdr:row>0</xdr:row>
      <xdr:rowOff>663372</xdr:rowOff>
    </xdr:to>
    <xdr:sp macro="" textlink="">
      <xdr:nvSpPr>
        <xdr:cNvPr id="13" name="ZoneTexte 12">
          <a:hlinkClick xmlns:r="http://schemas.openxmlformats.org/officeDocument/2006/relationships" r:id="rId11"/>
          <a:extLst>
            <a:ext uri="{FF2B5EF4-FFF2-40B4-BE49-F238E27FC236}">
              <a16:creationId xmlns:a16="http://schemas.microsoft.com/office/drawing/2014/main" id="{00000000-0008-0000-3800-00000D000000}"/>
            </a:ext>
          </a:extLst>
        </xdr:cNvPr>
        <xdr:cNvSpPr txBox="1"/>
      </xdr:nvSpPr>
      <xdr:spPr>
        <a:xfrm>
          <a:off x="11294525" y="374658"/>
          <a:ext cx="920762"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Planning </a:t>
          </a:r>
        </a:p>
        <a:p>
          <a:endParaRPr lang="fr-BE" sz="1100" b="0">
            <a:solidFill>
              <a:schemeClr val="tx1">
                <a:lumMod val="50000"/>
                <a:lumOff val="50000"/>
              </a:schemeClr>
            </a:solidFill>
          </a:endParaRPr>
        </a:p>
      </xdr:txBody>
    </xdr:sp>
    <xdr:clientData fPrintsWithSheet="0"/>
  </xdr:twoCellAnchor>
  <xdr:twoCellAnchor editAs="absolute">
    <xdr:from>
      <xdr:col>0</xdr:col>
      <xdr:colOff>740839</xdr:colOff>
      <xdr:row>0</xdr:row>
      <xdr:rowOff>342900</xdr:rowOff>
    </xdr:from>
    <xdr:to>
      <xdr:col>0</xdr:col>
      <xdr:colOff>1583908</xdr:colOff>
      <xdr:row>0</xdr:row>
      <xdr:rowOff>701676</xdr:rowOff>
    </xdr:to>
    <xdr:sp macro="" textlink="">
      <xdr:nvSpPr>
        <xdr:cNvPr id="14" name="ZoneTexte 13">
          <a:hlinkClick xmlns:r="http://schemas.openxmlformats.org/officeDocument/2006/relationships" r:id="rId12"/>
          <a:extLst>
            <a:ext uri="{FF2B5EF4-FFF2-40B4-BE49-F238E27FC236}">
              <a16:creationId xmlns:a16="http://schemas.microsoft.com/office/drawing/2014/main" id="{00000000-0008-0000-3800-00000E000000}"/>
            </a:ext>
          </a:extLst>
        </xdr:cNvPr>
        <xdr:cNvSpPr txBox="1"/>
      </xdr:nvSpPr>
      <xdr:spPr>
        <a:xfrm>
          <a:off x="740839" y="342900"/>
          <a:ext cx="848784"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200">
              <a:solidFill>
                <a:srgbClr val="215967"/>
              </a:solidFill>
            </a:rPr>
            <a:t>&gt; </a:t>
          </a:r>
          <a:r>
            <a:rPr lang="fr-BE" sz="1200" u="sng">
              <a:solidFill>
                <a:srgbClr val="215967"/>
              </a:solidFill>
            </a:rPr>
            <a:t>Accueil </a:t>
          </a:r>
        </a:p>
        <a:p>
          <a:pPr algn="ctr"/>
          <a:endParaRPr lang="fr-BE" sz="1100">
            <a:solidFill>
              <a:srgbClr val="215967"/>
            </a:solidFill>
          </a:endParaRPr>
        </a:p>
      </xdr:txBody>
    </xdr:sp>
    <xdr:clientData fPrintsWithSheet="0"/>
  </xdr:twoCellAnchor>
  <xdr:twoCellAnchor editAs="absolute">
    <xdr:from>
      <xdr:col>0</xdr:col>
      <xdr:colOff>57150</xdr:colOff>
      <xdr:row>0</xdr:row>
      <xdr:rowOff>95250</xdr:rowOff>
    </xdr:from>
    <xdr:to>
      <xdr:col>0</xdr:col>
      <xdr:colOff>703580</xdr:colOff>
      <xdr:row>0</xdr:row>
      <xdr:rowOff>722048</xdr:rowOff>
    </xdr:to>
    <xdr:pic>
      <xdr:nvPicPr>
        <xdr:cNvPr id="15" name="Image 9">
          <a:extLst>
            <a:ext uri="{FF2B5EF4-FFF2-40B4-BE49-F238E27FC236}">
              <a16:creationId xmlns:a16="http://schemas.microsoft.com/office/drawing/2014/main" id="{00000000-0008-0000-3800-00000F000000}"/>
            </a:ext>
          </a:extLst>
        </xdr:cNvPr>
        <xdr:cNvPicPr>
          <a:picLocks noChangeAspect="1"/>
        </xdr:cNvPicPr>
      </xdr:nvPicPr>
      <xdr:blipFill>
        <a:blip xmlns:r="http://schemas.openxmlformats.org/officeDocument/2006/relationships" r:embed="rId13">
          <a:duotone>
            <a:schemeClr val="accent5">
              <a:shade val="45000"/>
              <a:satMod val="135000"/>
            </a:schemeClr>
            <a:prstClr val="white"/>
          </a:duotone>
        </a:blip>
        <a:srcRect/>
        <a:stretch>
          <a:fillRect/>
        </a:stretch>
      </xdr:blipFill>
      <xdr:spPr bwMode="auto">
        <a:xfrm>
          <a:off x="57150" y="95250"/>
          <a:ext cx="654050" cy="626798"/>
        </a:xfrm>
        <a:prstGeom prst="rect">
          <a:avLst/>
        </a:prstGeom>
        <a:noFill/>
        <a:ln>
          <a:noFill/>
        </a:ln>
      </xdr:spPr>
    </xdr:pic>
    <xdr:clientData fPrintsWithSheet="0"/>
  </xdr:twoCellAnchor>
  <xdr:twoCellAnchor editAs="absolute">
    <xdr:from>
      <xdr:col>13</xdr:col>
      <xdr:colOff>17985</xdr:colOff>
      <xdr:row>0</xdr:row>
      <xdr:rowOff>365134</xdr:rowOff>
    </xdr:from>
    <xdr:to>
      <xdr:col>14</xdr:col>
      <xdr:colOff>631183</xdr:colOff>
      <xdr:row>0</xdr:row>
      <xdr:rowOff>673947</xdr:rowOff>
    </xdr:to>
    <xdr:sp macro="" textlink="">
      <xdr:nvSpPr>
        <xdr:cNvPr id="16" name="ZoneTexte 15">
          <a:hlinkClick xmlns:r="http://schemas.openxmlformats.org/officeDocument/2006/relationships" r:id="rId14"/>
          <a:extLst>
            <a:ext uri="{FF2B5EF4-FFF2-40B4-BE49-F238E27FC236}">
              <a16:creationId xmlns:a16="http://schemas.microsoft.com/office/drawing/2014/main" id="{00000000-0008-0000-3800-000010000000}"/>
            </a:ext>
          </a:extLst>
        </xdr:cNvPr>
        <xdr:cNvSpPr txBox="1"/>
      </xdr:nvSpPr>
      <xdr:spPr>
        <a:xfrm>
          <a:off x="13305360" y="374659"/>
          <a:ext cx="1350433" cy="30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chemeClr val="tx1">
                  <a:lumMod val="50000"/>
                  <a:lumOff val="50000"/>
                </a:schemeClr>
              </a:solidFill>
            </a:rPr>
            <a:t>&gt; </a:t>
          </a:r>
          <a:r>
            <a:rPr lang="fr-BE" sz="1200" b="0" u="sng">
              <a:solidFill>
                <a:schemeClr val="tx1">
                  <a:lumMod val="50000"/>
                  <a:lumOff val="50000"/>
                </a:schemeClr>
              </a:solidFill>
            </a:rPr>
            <a:t>Rapport</a:t>
          </a:r>
          <a:r>
            <a:rPr lang="fr-BE" sz="1200" b="0" u="sng" baseline="0">
              <a:solidFill>
                <a:schemeClr val="tx1">
                  <a:lumMod val="50000"/>
                  <a:lumOff val="50000"/>
                </a:schemeClr>
              </a:solidFill>
            </a:rPr>
            <a:t> de suivi</a:t>
          </a:r>
          <a:endParaRPr lang="fr-BE" sz="1200" b="0" u="sng">
            <a:solidFill>
              <a:schemeClr val="tx1">
                <a:lumMod val="50000"/>
                <a:lumOff val="50000"/>
              </a:schemeClr>
            </a:solidFill>
          </a:endParaRPr>
        </a:p>
        <a:p>
          <a:endParaRPr lang="fr-BE" sz="1100" b="0">
            <a:solidFill>
              <a:schemeClr val="tx1">
                <a:lumMod val="50000"/>
                <a:lumOff val="50000"/>
              </a:schemeClr>
            </a:solidFill>
          </a:endParaRPr>
        </a:p>
      </xdr:txBody>
    </xdr:sp>
    <xdr:clientData fPrintsWithSheet="0"/>
  </xdr:twoCellAnchor>
  <xdr:twoCellAnchor editAs="absolute">
    <xdr:from>
      <xdr:col>7</xdr:col>
      <xdr:colOff>780418</xdr:colOff>
      <xdr:row>0</xdr:row>
      <xdr:rowOff>92923</xdr:rowOff>
    </xdr:from>
    <xdr:to>
      <xdr:col>12</xdr:col>
      <xdr:colOff>282367</xdr:colOff>
      <xdr:row>0</xdr:row>
      <xdr:rowOff>400050</xdr:rowOff>
    </xdr:to>
    <xdr:sp macro="" textlink="">
      <xdr:nvSpPr>
        <xdr:cNvPr id="17" name="Flèche : pentagone 16">
          <a:hlinkClick xmlns:r="http://schemas.openxmlformats.org/officeDocument/2006/relationships" r:id="rId8"/>
          <a:extLst>
            <a:ext uri="{FF2B5EF4-FFF2-40B4-BE49-F238E27FC236}">
              <a16:creationId xmlns:a16="http://schemas.microsoft.com/office/drawing/2014/main" id="{00000000-0008-0000-3800-000011000000}"/>
            </a:ext>
          </a:extLst>
        </xdr:cNvPr>
        <xdr:cNvSpPr/>
      </xdr:nvSpPr>
      <xdr:spPr>
        <a:xfrm>
          <a:off x="9156703" y="100543"/>
          <a:ext cx="3630084" cy="299507"/>
        </a:xfrm>
        <a:prstGeom prst="homePlate">
          <a:avLst>
            <a:gd name="adj" fmla="val 23626"/>
          </a:avLst>
        </a:prstGeom>
        <a:solidFill>
          <a:srgbClr val="92CD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Synthèses</a:t>
          </a:r>
        </a:p>
      </xdr:txBody>
    </xdr:sp>
    <xdr:clientData/>
  </xdr:twoCellAnchor>
  <xdr:twoCellAnchor editAs="absolute">
    <xdr:from>
      <xdr:col>2</xdr:col>
      <xdr:colOff>362165</xdr:colOff>
      <xdr:row>0</xdr:row>
      <xdr:rowOff>101391</xdr:rowOff>
    </xdr:from>
    <xdr:to>
      <xdr:col>7</xdr:col>
      <xdr:colOff>853444</xdr:colOff>
      <xdr:row>0</xdr:row>
      <xdr:rowOff>400050</xdr:rowOff>
    </xdr:to>
    <xdr:sp macro="" textlink="">
      <xdr:nvSpPr>
        <xdr:cNvPr id="18" name="Flèche : pentagone 17">
          <a:hlinkClick xmlns:r="http://schemas.openxmlformats.org/officeDocument/2006/relationships" r:id="rId4"/>
          <a:extLst>
            <a:ext uri="{FF2B5EF4-FFF2-40B4-BE49-F238E27FC236}">
              <a16:creationId xmlns:a16="http://schemas.microsoft.com/office/drawing/2014/main" id="{00000000-0008-0000-3800-000012000000}"/>
            </a:ext>
          </a:extLst>
        </xdr:cNvPr>
        <xdr:cNvSpPr/>
      </xdr:nvSpPr>
      <xdr:spPr>
        <a:xfrm>
          <a:off x="5431370" y="109011"/>
          <a:ext cx="3788834" cy="291039"/>
        </a:xfrm>
        <a:prstGeom prst="homePlate">
          <a:avLst>
            <a:gd name="adj" fmla="val 23626"/>
          </a:avLst>
        </a:prstGeom>
        <a:solidFill>
          <a:srgbClr val="31869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Planification/Suivi</a:t>
          </a:r>
        </a:p>
      </xdr:txBody>
    </xdr:sp>
    <xdr:clientData/>
  </xdr:twoCellAnchor>
  <xdr:twoCellAnchor editAs="absolute">
    <xdr:from>
      <xdr:col>0</xdr:col>
      <xdr:colOff>1544324</xdr:colOff>
      <xdr:row>0</xdr:row>
      <xdr:rowOff>101392</xdr:rowOff>
    </xdr:from>
    <xdr:to>
      <xdr:col>3</xdr:col>
      <xdr:colOff>139069</xdr:colOff>
      <xdr:row>0</xdr:row>
      <xdr:rowOff>403778</xdr:rowOff>
    </xdr:to>
    <xdr:sp macro="" textlink="">
      <xdr:nvSpPr>
        <xdr:cNvPr id="19" name="Flèche : pentagone 18">
          <a:hlinkClick xmlns:r="http://schemas.openxmlformats.org/officeDocument/2006/relationships" r:id="rId15"/>
          <a:extLst>
            <a:ext uri="{FF2B5EF4-FFF2-40B4-BE49-F238E27FC236}">
              <a16:creationId xmlns:a16="http://schemas.microsoft.com/office/drawing/2014/main" id="{00000000-0008-0000-3800-000013000000}"/>
            </a:ext>
          </a:extLst>
        </xdr:cNvPr>
        <xdr:cNvSpPr/>
      </xdr:nvSpPr>
      <xdr:spPr>
        <a:xfrm>
          <a:off x="1536704" y="109012"/>
          <a:ext cx="4159250" cy="294766"/>
        </a:xfrm>
        <a:prstGeom prst="homePlate">
          <a:avLst>
            <a:gd name="adj" fmla="val 23626"/>
          </a:avLst>
        </a:prstGeom>
        <a:solidFill>
          <a:srgbClr val="21596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fr-BE" sz="1400" b="1"/>
            <a:t>Diagnostic</a:t>
          </a:r>
        </a:p>
      </xdr:txBody>
    </xdr:sp>
    <xdr:clientData/>
  </xdr:twoCellAnchor>
  <xdr:twoCellAnchor editAs="absolute">
    <xdr:from>
      <xdr:col>6</xdr:col>
      <xdr:colOff>1262</xdr:colOff>
      <xdr:row>0</xdr:row>
      <xdr:rowOff>383125</xdr:rowOff>
    </xdr:from>
    <xdr:to>
      <xdr:col>7</xdr:col>
      <xdr:colOff>779574</xdr:colOff>
      <xdr:row>0</xdr:row>
      <xdr:rowOff>685808</xdr:rowOff>
    </xdr:to>
    <xdr:sp macro="" textlink="">
      <xdr:nvSpPr>
        <xdr:cNvPr id="20" name="ZoneTexte 19">
          <a:hlinkClick xmlns:r="http://schemas.openxmlformats.org/officeDocument/2006/relationships" r:id="rId6"/>
          <a:extLst>
            <a:ext uri="{FF2B5EF4-FFF2-40B4-BE49-F238E27FC236}">
              <a16:creationId xmlns:a16="http://schemas.microsoft.com/office/drawing/2014/main" id="{00000000-0008-0000-3800-000014000000}"/>
            </a:ext>
          </a:extLst>
        </xdr:cNvPr>
        <xdr:cNvSpPr txBox="1"/>
      </xdr:nvSpPr>
      <xdr:spPr>
        <a:xfrm>
          <a:off x="7975592" y="383125"/>
          <a:ext cx="1191697"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00709E"/>
              </a:solidFill>
            </a:rPr>
            <a:t>&gt; </a:t>
          </a:r>
          <a:r>
            <a:rPr lang="fr-BE" sz="1200" b="0" u="sng">
              <a:solidFill>
                <a:srgbClr val="00709E"/>
              </a:solidFill>
            </a:rPr>
            <a:t>Fiches actions </a:t>
          </a:r>
        </a:p>
        <a:p>
          <a:endParaRPr lang="fr-BE" sz="1100" b="0">
            <a:solidFill>
              <a:srgbClr val="00709E"/>
            </a:solidFill>
          </a:endParaRPr>
        </a:p>
      </xdr:txBody>
    </xdr:sp>
    <xdr:clientData fPrintsWithSheet="0"/>
  </xdr:twoCellAnchor>
  <xdr:twoCellAnchor editAs="absolute">
    <xdr:from>
      <xdr:col>0</xdr:col>
      <xdr:colOff>782323</xdr:colOff>
      <xdr:row>0</xdr:row>
      <xdr:rowOff>98005</xdr:rowOff>
    </xdr:from>
    <xdr:to>
      <xdr:col>0</xdr:col>
      <xdr:colOff>1656084</xdr:colOff>
      <xdr:row>0</xdr:row>
      <xdr:rowOff>398486</xdr:rowOff>
    </xdr:to>
    <xdr:sp macro="" textlink="">
      <xdr:nvSpPr>
        <xdr:cNvPr id="21" name="Flèche : pentagone 20">
          <a:extLst>
            <a:ext uri="{FF2B5EF4-FFF2-40B4-BE49-F238E27FC236}">
              <a16:creationId xmlns:a16="http://schemas.microsoft.com/office/drawing/2014/main" id="{00000000-0008-0000-3800-000015000000}"/>
            </a:ext>
          </a:extLst>
        </xdr:cNvPr>
        <xdr:cNvSpPr/>
      </xdr:nvSpPr>
      <xdr:spPr>
        <a:xfrm>
          <a:off x="774703" y="103720"/>
          <a:ext cx="889001" cy="294766"/>
        </a:xfrm>
        <a:prstGeom prst="homePlate">
          <a:avLst>
            <a:gd name="adj" fmla="val 23626"/>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lang="fr-BE" sz="1400" b="1"/>
        </a:p>
      </xdr:txBody>
    </xdr:sp>
    <xdr:clientData/>
  </xdr:twoCellAnchor>
  <xdr:twoCellAnchor editAs="oneCell">
    <xdr:from>
      <xdr:col>0</xdr:col>
      <xdr:colOff>200025</xdr:colOff>
      <xdr:row>30</xdr:row>
      <xdr:rowOff>28575</xdr:rowOff>
    </xdr:from>
    <xdr:to>
      <xdr:col>1</xdr:col>
      <xdr:colOff>819150</xdr:colOff>
      <xdr:row>39</xdr:row>
      <xdr:rowOff>17145</xdr:rowOff>
    </xdr:to>
    <xdr:pic>
      <xdr:nvPicPr>
        <xdr:cNvPr id="50617489" name="Image 22">
          <a:extLst>
            <a:ext uri="{FF2B5EF4-FFF2-40B4-BE49-F238E27FC236}">
              <a16:creationId xmlns:a16="http://schemas.microsoft.com/office/drawing/2014/main" id="{00000000-0008-0000-3800-0000915C0403}"/>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00025" y="6934200"/>
          <a:ext cx="4429125"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41</xdr:row>
      <xdr:rowOff>104775</xdr:rowOff>
    </xdr:from>
    <xdr:to>
      <xdr:col>0</xdr:col>
      <xdr:colOff>1501140</xdr:colOff>
      <xdr:row>43</xdr:row>
      <xdr:rowOff>17145</xdr:rowOff>
    </xdr:to>
    <xdr:pic>
      <xdr:nvPicPr>
        <xdr:cNvPr id="50617490" name="Image 23">
          <a:extLst>
            <a:ext uri="{FF2B5EF4-FFF2-40B4-BE49-F238E27FC236}">
              <a16:creationId xmlns:a16="http://schemas.microsoft.com/office/drawing/2014/main" id="{00000000-0008-0000-3800-0000925C0403}"/>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28600" y="9010650"/>
          <a:ext cx="12668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65</xdr:row>
      <xdr:rowOff>161925</xdr:rowOff>
    </xdr:from>
    <xdr:to>
      <xdr:col>12</xdr:col>
      <xdr:colOff>320040</xdr:colOff>
      <xdr:row>165</xdr:row>
      <xdr:rowOff>57150</xdr:rowOff>
    </xdr:to>
    <xdr:pic>
      <xdr:nvPicPr>
        <xdr:cNvPr id="50617491" name="Image 25">
          <a:extLst>
            <a:ext uri="{FF2B5EF4-FFF2-40B4-BE49-F238E27FC236}">
              <a16:creationId xmlns:a16="http://schemas.microsoft.com/office/drawing/2014/main" id="{00000000-0008-0000-3800-0000935C0403}"/>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14300" y="13668375"/>
          <a:ext cx="12696825" cy="1894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1464945</xdr:colOff>
      <xdr:row>0</xdr:row>
      <xdr:rowOff>400050</xdr:rowOff>
    </xdr:from>
    <xdr:to>
      <xdr:col>0</xdr:col>
      <xdr:colOff>3029161</xdr:colOff>
      <xdr:row>0</xdr:row>
      <xdr:rowOff>663573</xdr:rowOff>
    </xdr:to>
    <xdr:sp macro="" textlink="">
      <xdr:nvSpPr>
        <xdr:cNvPr id="25" name="ZoneTexte 24">
          <a:hlinkClick xmlns:r="http://schemas.openxmlformats.org/officeDocument/2006/relationships" r:id="rId19"/>
          <a:extLst>
            <a:ext uri="{FF2B5EF4-FFF2-40B4-BE49-F238E27FC236}">
              <a16:creationId xmlns:a16="http://schemas.microsoft.com/office/drawing/2014/main" id="{00000000-0008-0000-3800-000019000000}"/>
            </a:ext>
          </a:extLst>
        </xdr:cNvPr>
        <xdr:cNvSpPr txBox="1"/>
      </xdr:nvSpPr>
      <xdr:spPr>
        <a:xfrm>
          <a:off x="1476375" y="400050"/>
          <a:ext cx="1545166"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0">
              <a:solidFill>
                <a:srgbClr val="215967"/>
              </a:solidFill>
            </a:rPr>
            <a:t>&gt; </a:t>
          </a:r>
          <a:r>
            <a:rPr lang="fr-BE" sz="1200" b="0" u="sng">
              <a:solidFill>
                <a:srgbClr val="215967"/>
              </a:solidFill>
            </a:rPr>
            <a:t>Données de bilans </a:t>
          </a:r>
        </a:p>
        <a:p>
          <a:endParaRPr lang="fr-BE" sz="1100" b="0">
            <a:solidFill>
              <a:srgbClr val="215967"/>
            </a:solidFill>
          </a:endParaRPr>
        </a:p>
      </xdr:txBody>
    </xdr:sp>
    <xdr:clientData fPrintsWithSheet="0"/>
  </xdr:twoCellAnchor>
</xdr:wsDr>
</file>

<file path=xl/persons/person.xml><?xml version="1.0" encoding="utf-8"?>
<personList xmlns="http://schemas.microsoft.com/office/spreadsheetml/2018/threadedcomments" xmlns:x="http://schemas.openxmlformats.org/spreadsheetml/2006/main">
  <person displayName="Frederic Praillet - APERe" id="{1F08FE89-33B0-4EF3-9E1D-87120B33E7C0}" userId="S-1-5-21-2178122876-4108241053-885941809-100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os" refreshedDate="45734.488498842591" createdVersion="4" refreshedVersion="8" minRefreshableVersion="3" recordCount="136" xr:uid="{00000000-000A-0000-FFFF-FFFF03000000}">
  <cacheSource type="worksheet">
    <worksheetSource ref="B7:G143" sheet="Actions VS Objectifs"/>
  </cacheSource>
  <cacheFields count="6">
    <cacheField name="N°" numFmtId="0">
      <sharedItems containsBlank="1" containsMixedTypes="1" containsNumber="1" containsInteger="1" minValue="1" maxValue="45"/>
    </cacheField>
    <cacheField name="Action " numFmtId="0">
      <sharedItems containsBlank="1" containsMixedTypes="1" containsNumber="1" containsInteger="1" minValue="0" maxValue="4" count="7">
        <m/>
        <n v="0"/>
        <e v="#REF!"/>
        <n v="2" u="1"/>
        <n v="1" u="1"/>
        <n v="3" u="1"/>
        <n v="4" u="1"/>
      </sharedItems>
    </cacheField>
    <cacheField name="Secteur" numFmtId="0">
      <sharedItems containsBlank="1" containsMixedTypes="1" containsNumber="1" containsInteger="1" minValue="0" maxValue="0"/>
    </cacheField>
    <cacheField name="Objectif" numFmtId="0">
      <sharedItems containsBlank="1" containsMixedTypes="1" containsNumber="1" containsInteger="1" minValue="0" maxValue="0"/>
    </cacheField>
    <cacheField name="Objectif concat" numFmtId="0">
      <sharedItems containsBlank="1" containsMixedTypes="1" containsNumber="1" containsInteger="1" minValue="0" maxValue="0" count="3">
        <m/>
        <n v="0"/>
        <s v="-"/>
      </sharedItems>
    </cacheField>
    <cacheField name="Impact"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m/>
    <x v="0"/>
    <m/>
    <m/>
    <x v="0"/>
    <m/>
  </r>
  <r>
    <n v="1"/>
    <x v="1"/>
    <n v="0"/>
    <n v="0"/>
    <x v="1"/>
    <n v="0"/>
  </r>
  <r>
    <n v="2"/>
    <x v="1"/>
    <n v="0"/>
    <s v="-"/>
    <x v="2"/>
    <e v="#REF!"/>
  </r>
  <r>
    <n v="3"/>
    <x v="1"/>
    <n v="0"/>
    <s v="-"/>
    <x v="2"/>
    <e v="#REF!"/>
  </r>
  <r>
    <n v="4"/>
    <x v="1"/>
    <n v="0"/>
    <s v="-"/>
    <x v="2"/>
    <e v="#REF!"/>
  </r>
  <r>
    <n v="5"/>
    <x v="1"/>
    <n v="0"/>
    <s v="-"/>
    <x v="2"/>
    <e v="#REF!"/>
  </r>
  <r>
    <n v="6"/>
    <x v="1"/>
    <n v="0"/>
    <s v="-"/>
    <x v="2"/>
    <e v="#REF!"/>
  </r>
  <r>
    <n v="7"/>
    <x v="1"/>
    <n v="0"/>
    <s v="-"/>
    <x v="2"/>
    <e v="#REF!"/>
  </r>
  <r>
    <n v="8"/>
    <x v="1"/>
    <n v="0"/>
    <s v="-"/>
    <x v="2"/>
    <e v="#REF!"/>
  </r>
  <r>
    <n v="9"/>
    <x v="1"/>
    <n v="0"/>
    <s v="-"/>
    <x v="2"/>
    <e v="#REF!"/>
  </r>
  <r>
    <n v="10"/>
    <x v="1"/>
    <n v="0"/>
    <s v="-"/>
    <x v="2"/>
    <e v="#REF!"/>
  </r>
  <r>
    <n v="11"/>
    <x v="1"/>
    <n v="0"/>
    <s v="-"/>
    <x v="2"/>
    <e v="#REF!"/>
  </r>
  <r>
    <n v="12"/>
    <x v="1"/>
    <n v="0"/>
    <s v="-"/>
    <x v="2"/>
    <e v="#REF!"/>
  </r>
  <r>
    <n v="13"/>
    <x v="1"/>
    <n v="0"/>
    <s v="-"/>
    <x v="2"/>
    <e v="#REF!"/>
  </r>
  <r>
    <n v="14"/>
    <x v="1"/>
    <n v="0"/>
    <s v="-"/>
    <x v="2"/>
    <e v="#REF!"/>
  </r>
  <r>
    <n v="15"/>
    <x v="1"/>
    <n v="0"/>
    <s v="-"/>
    <x v="2"/>
    <e v="#REF!"/>
  </r>
  <r>
    <n v="16"/>
    <x v="1"/>
    <n v="0"/>
    <s v="-"/>
    <x v="2"/>
    <e v="#REF!"/>
  </r>
  <r>
    <n v="17"/>
    <x v="1"/>
    <n v="0"/>
    <s v="-"/>
    <x v="2"/>
    <e v="#REF!"/>
  </r>
  <r>
    <n v="18"/>
    <x v="1"/>
    <n v="0"/>
    <s v="-"/>
    <x v="2"/>
    <e v="#REF!"/>
  </r>
  <r>
    <n v="19"/>
    <x v="1"/>
    <n v="0"/>
    <s v="-"/>
    <x v="2"/>
    <e v="#REF!"/>
  </r>
  <r>
    <n v="20"/>
    <x v="1"/>
    <n v="0"/>
    <s v="-"/>
    <x v="2"/>
    <e v="#REF!"/>
  </r>
  <r>
    <n v="21"/>
    <x v="1"/>
    <n v="0"/>
    <s v="-"/>
    <x v="2"/>
    <e v="#REF!"/>
  </r>
  <r>
    <n v="22"/>
    <x v="1"/>
    <n v="0"/>
    <s v="-"/>
    <x v="2"/>
    <e v="#REF!"/>
  </r>
  <r>
    <n v="23"/>
    <x v="1"/>
    <n v="0"/>
    <s v="-"/>
    <x v="2"/>
    <e v="#REF!"/>
  </r>
  <r>
    <n v="24"/>
    <x v="1"/>
    <n v="0"/>
    <s v="-"/>
    <x v="2"/>
    <e v="#REF!"/>
  </r>
  <r>
    <n v="25"/>
    <x v="1"/>
    <n v="0"/>
    <s v="-"/>
    <x v="2"/>
    <e v="#REF!"/>
  </r>
  <r>
    <n v="26"/>
    <x v="1"/>
    <n v="0"/>
    <s v="-"/>
    <x v="2"/>
    <e v="#REF!"/>
  </r>
  <r>
    <n v="27"/>
    <x v="1"/>
    <n v="0"/>
    <s v="-"/>
    <x v="2"/>
    <e v="#REF!"/>
  </r>
  <r>
    <n v="28"/>
    <x v="1"/>
    <n v="0"/>
    <s v="-"/>
    <x v="2"/>
    <e v="#REF!"/>
  </r>
  <r>
    <n v="29"/>
    <x v="1"/>
    <n v="0"/>
    <s v="-"/>
    <x v="2"/>
    <e v="#REF!"/>
  </r>
  <r>
    <n v="30"/>
    <x v="1"/>
    <n v="0"/>
    <s v="-"/>
    <x v="2"/>
    <e v="#REF!"/>
  </r>
  <r>
    <n v="31"/>
    <x v="1"/>
    <n v="0"/>
    <s v="-"/>
    <x v="2"/>
    <e v="#REF!"/>
  </r>
  <r>
    <n v="32"/>
    <x v="1"/>
    <n v="0"/>
    <s v="-"/>
    <x v="2"/>
    <e v="#REF!"/>
  </r>
  <r>
    <n v="33"/>
    <x v="1"/>
    <n v="0"/>
    <s v="-"/>
    <x v="2"/>
    <e v="#REF!"/>
  </r>
  <r>
    <n v="34"/>
    <x v="1"/>
    <n v="0"/>
    <s v="-"/>
    <x v="2"/>
    <e v="#REF!"/>
  </r>
  <r>
    <n v="35"/>
    <x v="1"/>
    <n v="0"/>
    <s v="-"/>
    <x v="2"/>
    <e v="#REF!"/>
  </r>
  <r>
    <n v="36"/>
    <x v="1"/>
    <n v="0"/>
    <s v="-"/>
    <x v="2"/>
    <e v="#REF!"/>
  </r>
  <r>
    <m/>
    <x v="0"/>
    <m/>
    <m/>
    <x v="0"/>
    <m/>
  </r>
  <r>
    <n v="37"/>
    <x v="1"/>
    <n v="0"/>
    <s v="-"/>
    <x v="2"/>
    <e v="#REF!"/>
  </r>
  <r>
    <n v="38"/>
    <x v="1"/>
    <n v="0"/>
    <s v="-"/>
    <x v="2"/>
    <e v="#REF!"/>
  </r>
  <r>
    <n v="39"/>
    <x v="1"/>
    <n v="0"/>
    <s v="-"/>
    <x v="2"/>
    <e v="#REF!"/>
  </r>
  <r>
    <n v="40"/>
    <x v="1"/>
    <n v="0"/>
    <s v="-"/>
    <x v="2"/>
    <e v="#REF!"/>
  </r>
  <r>
    <n v="41"/>
    <x v="1"/>
    <n v="0"/>
    <s v="-"/>
    <x v="2"/>
    <e v="#REF!"/>
  </r>
  <r>
    <n v="43"/>
    <x v="1"/>
    <n v="0"/>
    <s v="-"/>
    <x v="2"/>
    <e v="#REF!"/>
  </r>
  <r>
    <n v="44"/>
    <x v="1"/>
    <n v="0"/>
    <s v="-"/>
    <x v="2"/>
    <e v="#REF!"/>
  </r>
  <r>
    <n v="45"/>
    <x v="1"/>
    <n v="0"/>
    <s v="-"/>
    <x v="2"/>
    <e v="#REF!"/>
  </r>
  <r>
    <n v="1"/>
    <x v="1"/>
    <n v="0"/>
    <n v="0"/>
    <x v="1"/>
    <n v="0"/>
  </r>
  <r>
    <n v="2"/>
    <x v="1"/>
    <n v="0"/>
    <s v="-"/>
    <x v="2"/>
    <e v="#REF!"/>
  </r>
  <r>
    <n v="3"/>
    <x v="1"/>
    <n v="0"/>
    <s v="-"/>
    <x v="2"/>
    <e v="#REF!"/>
  </r>
  <r>
    <n v="4"/>
    <x v="1"/>
    <n v="0"/>
    <s v="-"/>
    <x v="2"/>
    <e v="#REF!"/>
  </r>
  <r>
    <n v="5"/>
    <x v="1"/>
    <n v="0"/>
    <s v="-"/>
    <x v="2"/>
    <e v="#REF!"/>
  </r>
  <r>
    <n v="6"/>
    <x v="1"/>
    <n v="0"/>
    <s v="-"/>
    <x v="2"/>
    <e v="#REF!"/>
  </r>
  <r>
    <n v="7"/>
    <x v="1"/>
    <n v="0"/>
    <s v="-"/>
    <x v="2"/>
    <e v="#REF!"/>
  </r>
  <r>
    <n v="8"/>
    <x v="1"/>
    <n v="0"/>
    <s v="-"/>
    <x v="2"/>
    <e v="#REF!"/>
  </r>
  <r>
    <n v="9"/>
    <x v="1"/>
    <n v="0"/>
    <s v="-"/>
    <x v="2"/>
    <e v="#REF!"/>
  </r>
  <r>
    <n v="10"/>
    <x v="1"/>
    <n v="0"/>
    <s v="-"/>
    <x v="2"/>
    <e v="#REF!"/>
  </r>
  <r>
    <n v="11"/>
    <x v="1"/>
    <n v="0"/>
    <s v="-"/>
    <x v="2"/>
    <e v="#REF!"/>
  </r>
  <r>
    <n v="12"/>
    <x v="1"/>
    <n v="0"/>
    <s v="-"/>
    <x v="2"/>
    <e v="#REF!"/>
  </r>
  <r>
    <n v="13"/>
    <x v="1"/>
    <n v="0"/>
    <s v="-"/>
    <x v="2"/>
    <e v="#REF!"/>
  </r>
  <r>
    <n v="14"/>
    <x v="1"/>
    <n v="0"/>
    <s v="-"/>
    <x v="2"/>
    <e v="#REF!"/>
  </r>
  <r>
    <n v="15"/>
    <x v="1"/>
    <n v="0"/>
    <s v="-"/>
    <x v="2"/>
    <e v="#REF!"/>
  </r>
  <r>
    <n v="16"/>
    <x v="1"/>
    <n v="0"/>
    <s v="-"/>
    <x v="2"/>
    <e v="#REF!"/>
  </r>
  <r>
    <n v="17"/>
    <x v="1"/>
    <n v="0"/>
    <s v="-"/>
    <x v="2"/>
    <e v="#REF!"/>
  </r>
  <r>
    <n v="18"/>
    <x v="1"/>
    <n v="0"/>
    <s v="-"/>
    <x v="2"/>
    <e v="#REF!"/>
  </r>
  <r>
    <n v="19"/>
    <x v="1"/>
    <n v="0"/>
    <s v="-"/>
    <x v="2"/>
    <e v="#REF!"/>
  </r>
  <r>
    <n v="20"/>
    <x v="1"/>
    <n v="0"/>
    <s v="-"/>
    <x v="2"/>
    <e v="#REF!"/>
  </r>
  <r>
    <n v="21"/>
    <x v="1"/>
    <n v="0"/>
    <s v="-"/>
    <x v="2"/>
    <e v="#REF!"/>
  </r>
  <r>
    <n v="22"/>
    <x v="1"/>
    <n v="0"/>
    <s v="-"/>
    <x v="2"/>
    <e v="#REF!"/>
  </r>
  <r>
    <n v="23"/>
    <x v="1"/>
    <n v="0"/>
    <s v="-"/>
    <x v="2"/>
    <e v="#REF!"/>
  </r>
  <r>
    <n v="24"/>
    <x v="1"/>
    <n v="0"/>
    <s v="-"/>
    <x v="2"/>
    <e v="#REF!"/>
  </r>
  <r>
    <n v="25"/>
    <x v="1"/>
    <n v="0"/>
    <s v="-"/>
    <x v="2"/>
    <e v="#REF!"/>
  </r>
  <r>
    <n v="26"/>
    <x v="1"/>
    <n v="0"/>
    <s v="-"/>
    <x v="2"/>
    <e v="#REF!"/>
  </r>
  <r>
    <n v="27"/>
    <x v="1"/>
    <n v="0"/>
    <s v="-"/>
    <x v="2"/>
    <e v="#REF!"/>
  </r>
  <r>
    <n v="28"/>
    <x v="1"/>
    <n v="0"/>
    <s v="-"/>
    <x v="2"/>
    <e v="#REF!"/>
  </r>
  <r>
    <n v="29"/>
    <x v="1"/>
    <n v="0"/>
    <s v="-"/>
    <x v="2"/>
    <e v="#REF!"/>
  </r>
  <r>
    <n v="30"/>
    <x v="1"/>
    <n v="0"/>
    <s v="-"/>
    <x v="2"/>
    <e v="#REF!"/>
  </r>
  <r>
    <n v="31"/>
    <x v="1"/>
    <n v="0"/>
    <s v="-"/>
    <x v="2"/>
    <e v="#REF!"/>
  </r>
  <r>
    <n v="32"/>
    <x v="1"/>
    <n v="0"/>
    <s v="-"/>
    <x v="2"/>
    <e v="#REF!"/>
  </r>
  <r>
    <n v="33"/>
    <x v="1"/>
    <n v="0"/>
    <s v="-"/>
    <x v="2"/>
    <e v="#REF!"/>
  </r>
  <r>
    <n v="34"/>
    <x v="1"/>
    <n v="0"/>
    <s v="-"/>
    <x v="2"/>
    <e v="#REF!"/>
  </r>
  <r>
    <n v="35"/>
    <x v="1"/>
    <n v="0"/>
    <s v="-"/>
    <x v="2"/>
    <e v="#REF!"/>
  </r>
  <r>
    <n v="36"/>
    <x v="1"/>
    <n v="0"/>
    <s v="-"/>
    <x v="2"/>
    <e v="#REF!"/>
  </r>
  <r>
    <n v="37"/>
    <x v="1"/>
    <n v="0"/>
    <s v="-"/>
    <x v="2"/>
    <e v="#REF!"/>
  </r>
  <r>
    <n v="38"/>
    <x v="1"/>
    <n v="0"/>
    <s v="-"/>
    <x v="2"/>
    <e v="#REF!"/>
  </r>
  <r>
    <n v="39"/>
    <x v="1"/>
    <n v="0"/>
    <s v="-"/>
    <x v="2"/>
    <e v="#REF!"/>
  </r>
  <r>
    <n v="40"/>
    <x v="1"/>
    <n v="0"/>
    <s v="-"/>
    <x v="2"/>
    <e v="#REF!"/>
  </r>
  <r>
    <n v="41"/>
    <x v="1"/>
    <n v="0"/>
    <s v="-"/>
    <x v="2"/>
    <e v="#REF!"/>
  </r>
  <r>
    <e v="#REF!"/>
    <x v="2"/>
    <e v="#REF!"/>
    <s v="-"/>
    <x v="2"/>
    <e v="#REF!"/>
  </r>
  <r>
    <n v="43"/>
    <x v="1"/>
    <n v="0"/>
    <s v="-"/>
    <x v="2"/>
    <e v="#REF!"/>
  </r>
  <r>
    <n v="44"/>
    <x v="1"/>
    <n v="0"/>
    <s v="-"/>
    <x v="2"/>
    <e v="#REF!"/>
  </r>
  <r>
    <n v="45"/>
    <x v="1"/>
    <n v="0"/>
    <s v="-"/>
    <x v="2"/>
    <e v="#REF!"/>
  </r>
  <r>
    <n v="1"/>
    <x v="1"/>
    <n v="0"/>
    <n v="0"/>
    <x v="1"/>
    <n v="0"/>
  </r>
  <r>
    <n v="2"/>
    <x v="1"/>
    <n v="0"/>
    <s v="-"/>
    <x v="2"/>
    <e v="#REF!"/>
  </r>
  <r>
    <n v="3"/>
    <x v="1"/>
    <n v="0"/>
    <s v="-"/>
    <x v="2"/>
    <e v="#REF!"/>
  </r>
  <r>
    <n v="4"/>
    <x v="1"/>
    <n v="0"/>
    <s v="-"/>
    <x v="2"/>
    <e v="#REF!"/>
  </r>
  <r>
    <n v="5"/>
    <x v="1"/>
    <n v="0"/>
    <s v="-"/>
    <x v="2"/>
    <e v="#REF!"/>
  </r>
  <r>
    <n v="6"/>
    <x v="1"/>
    <n v="0"/>
    <s v="-"/>
    <x v="2"/>
    <e v="#REF!"/>
  </r>
  <r>
    <n v="7"/>
    <x v="1"/>
    <n v="0"/>
    <s v="-"/>
    <x v="2"/>
    <e v="#REF!"/>
  </r>
  <r>
    <n v="8"/>
    <x v="1"/>
    <n v="0"/>
    <s v="-"/>
    <x v="2"/>
    <e v="#REF!"/>
  </r>
  <r>
    <n v="9"/>
    <x v="1"/>
    <n v="0"/>
    <s v="-"/>
    <x v="2"/>
    <e v="#REF!"/>
  </r>
  <r>
    <n v="10"/>
    <x v="1"/>
    <n v="0"/>
    <s v="-"/>
    <x v="2"/>
    <e v="#REF!"/>
  </r>
  <r>
    <n v="11"/>
    <x v="1"/>
    <n v="0"/>
    <s v="-"/>
    <x v="2"/>
    <e v="#REF!"/>
  </r>
  <r>
    <n v="12"/>
    <x v="1"/>
    <n v="0"/>
    <s v="-"/>
    <x v="2"/>
    <e v="#REF!"/>
  </r>
  <r>
    <n v="13"/>
    <x v="1"/>
    <n v="0"/>
    <s v="-"/>
    <x v="2"/>
    <e v="#REF!"/>
  </r>
  <r>
    <n v="14"/>
    <x v="1"/>
    <n v="0"/>
    <s v="-"/>
    <x v="2"/>
    <e v="#REF!"/>
  </r>
  <r>
    <n v="15"/>
    <x v="1"/>
    <n v="0"/>
    <s v="-"/>
    <x v="2"/>
    <e v="#REF!"/>
  </r>
  <r>
    <n v="16"/>
    <x v="1"/>
    <n v="0"/>
    <s v="-"/>
    <x v="2"/>
    <e v="#REF!"/>
  </r>
  <r>
    <n v="17"/>
    <x v="1"/>
    <n v="0"/>
    <s v="-"/>
    <x v="2"/>
    <e v="#REF!"/>
  </r>
  <r>
    <n v="18"/>
    <x v="1"/>
    <n v="0"/>
    <s v="-"/>
    <x v="2"/>
    <e v="#REF!"/>
  </r>
  <r>
    <n v="19"/>
    <x v="1"/>
    <n v="0"/>
    <s v="-"/>
    <x v="2"/>
    <e v="#REF!"/>
  </r>
  <r>
    <n v="20"/>
    <x v="1"/>
    <n v="0"/>
    <s v="-"/>
    <x v="2"/>
    <e v="#REF!"/>
  </r>
  <r>
    <n v="21"/>
    <x v="1"/>
    <n v="0"/>
    <s v="-"/>
    <x v="2"/>
    <e v="#REF!"/>
  </r>
  <r>
    <n v="22"/>
    <x v="1"/>
    <n v="0"/>
    <s v="-"/>
    <x v="2"/>
    <e v="#REF!"/>
  </r>
  <r>
    <n v="23"/>
    <x v="1"/>
    <n v="0"/>
    <s v="-"/>
    <x v="2"/>
    <e v="#REF!"/>
  </r>
  <r>
    <n v="24"/>
    <x v="1"/>
    <n v="0"/>
    <s v="-"/>
    <x v="2"/>
    <e v="#REF!"/>
  </r>
  <r>
    <n v="25"/>
    <x v="1"/>
    <n v="0"/>
    <s v="-"/>
    <x v="2"/>
    <e v="#REF!"/>
  </r>
  <r>
    <n v="26"/>
    <x v="1"/>
    <n v="0"/>
    <s v="-"/>
    <x v="2"/>
    <e v="#REF!"/>
  </r>
  <r>
    <n v="27"/>
    <x v="1"/>
    <n v="0"/>
    <s v="-"/>
    <x v="2"/>
    <e v="#REF!"/>
  </r>
  <r>
    <n v="28"/>
    <x v="1"/>
    <n v="0"/>
    <s v="-"/>
    <x v="2"/>
    <e v="#REF!"/>
  </r>
  <r>
    <n v="29"/>
    <x v="1"/>
    <n v="0"/>
    <s v="-"/>
    <x v="2"/>
    <e v="#REF!"/>
  </r>
  <r>
    <n v="30"/>
    <x v="1"/>
    <n v="0"/>
    <s v="-"/>
    <x v="2"/>
    <e v="#REF!"/>
  </r>
  <r>
    <n v="31"/>
    <x v="1"/>
    <n v="0"/>
    <s v="-"/>
    <x v="2"/>
    <e v="#REF!"/>
  </r>
  <r>
    <n v="32"/>
    <x v="1"/>
    <n v="0"/>
    <s v="-"/>
    <x v="2"/>
    <e v="#REF!"/>
  </r>
  <r>
    <n v="33"/>
    <x v="1"/>
    <n v="0"/>
    <s v="-"/>
    <x v="2"/>
    <e v="#REF!"/>
  </r>
  <r>
    <n v="34"/>
    <x v="1"/>
    <n v="0"/>
    <s v="-"/>
    <x v="2"/>
    <e v="#REF!"/>
  </r>
  <r>
    <n v="35"/>
    <x v="1"/>
    <n v="0"/>
    <s v="-"/>
    <x v="2"/>
    <e v="#REF!"/>
  </r>
  <r>
    <n v="36"/>
    <x v="1"/>
    <n v="0"/>
    <s v="-"/>
    <x v="2"/>
    <e v="#REF!"/>
  </r>
  <r>
    <n v="37"/>
    <x v="1"/>
    <n v="0"/>
    <s v="-"/>
    <x v="2"/>
    <e v="#REF!"/>
  </r>
  <r>
    <n v="38"/>
    <x v="1"/>
    <n v="0"/>
    <s v="-"/>
    <x v="2"/>
    <e v="#REF!"/>
  </r>
  <r>
    <n v="39"/>
    <x v="1"/>
    <n v="0"/>
    <s v="-"/>
    <x v="2"/>
    <e v="#REF!"/>
  </r>
  <r>
    <n v="40"/>
    <x v="1"/>
    <n v="0"/>
    <s v="-"/>
    <x v="2"/>
    <e v="#REF!"/>
  </r>
  <r>
    <n v="41"/>
    <x v="1"/>
    <n v="0"/>
    <s v="-"/>
    <x v="2"/>
    <e v="#REF!"/>
  </r>
  <r>
    <e v="#REF!"/>
    <x v="2"/>
    <e v="#REF!"/>
    <s v="-"/>
    <x v="2"/>
    <e v="#REF!"/>
  </r>
  <r>
    <n v="43"/>
    <x v="1"/>
    <n v="0"/>
    <s v="-"/>
    <x v="2"/>
    <e v="#REF!"/>
  </r>
  <r>
    <n v="44"/>
    <x v="1"/>
    <n v="0"/>
    <s v="-"/>
    <x v="2"/>
    <e v="#REF!"/>
  </r>
  <r>
    <n v="45"/>
    <x v="1"/>
    <n v="0"/>
    <s v="-"/>
    <x v="2"/>
    <e v="#REF!"/>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eau croisé dynamique1" cacheId="0" dataOnRows="1" applyNumberFormats="0" applyBorderFormats="0" applyFontFormats="0" applyPatternFormats="0" applyAlignmentFormats="0" applyWidthHeightFormats="1" dataCaption="Données" updatedVersion="8" minRefreshableVersion="3" showMemberPropertyTips="0" useAutoFormatting="1" itemPrintTitles="1" createdVersion="4" indent="0" compact="0" compactData="0" gridDropZones="1">
  <location ref="B146:F151" firstHeaderRow="1" firstDataRow="2" firstDataCol="1"/>
  <pivotFields count="6">
    <pivotField compact="0" outline="0" subtotalTop="0" showAll="0" includeNewItemsInFilter="1"/>
    <pivotField axis="axisRow" compact="0" outline="0" subtotalTop="0" showAll="0" includeNewItemsInFilter="1">
      <items count="8">
        <item x="1"/>
        <item x="0"/>
        <item x="2"/>
        <item m="1" x="4"/>
        <item m="1" x="3"/>
        <item m="1" x="5"/>
        <item m="1" x="6"/>
        <item t="default"/>
      </items>
    </pivotField>
    <pivotField compact="0" outline="0" subtotalTop="0" showAll="0" includeNewItemsInFilter="1"/>
    <pivotField compact="0" outline="0" subtotalTop="0" showAll="0" includeNewItemsInFilter="1"/>
    <pivotField axis="axisCol" compact="0" outline="0" subtotalTop="0" showAll="0" includeNewItemsInFilter="1">
      <items count="4">
        <item x="1"/>
        <item x="0"/>
        <item x="2"/>
        <item t="default"/>
      </items>
    </pivotField>
    <pivotField dataField="1" compact="0" outline="0" subtotalTop="0" showAll="0" includeNewItemsInFilter="1"/>
  </pivotFields>
  <rowFields count="1">
    <field x="1"/>
  </rowFields>
  <rowItems count="4">
    <i>
      <x/>
    </i>
    <i>
      <x v="1"/>
    </i>
    <i>
      <x v="2"/>
    </i>
    <i t="grand">
      <x/>
    </i>
  </rowItems>
  <colFields count="1">
    <field x="4"/>
  </colFields>
  <colItems count="4">
    <i>
      <x/>
    </i>
    <i>
      <x v="1"/>
    </i>
    <i>
      <x v="2"/>
    </i>
    <i t="grand">
      <x/>
    </i>
  </colItems>
  <dataFields count="1">
    <dataField name="Somme de Impact" fld="5" baseField="3"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BA00F7-D312-4977-9387-F277F85E0376}" name="Liste_bâtiments" displayName="Liste_bâtiments" ref="B4:Z304" totalsRowShown="0" headerRowDxfId="684" dataDxfId="683" tableBorderDxfId="682">
  <autoFilter ref="B4:Z304" xr:uid="{E2BA00F7-D312-4977-9387-F277F85E0376}"/>
  <tableColumns count="25">
    <tableColumn id="1" xr3:uid="{B12D0A4C-8C2D-4FF6-A157-A99F05F186EC}" name="PATR_ID" dataDxfId="681"/>
    <tableColumn id="2" xr3:uid="{4AA02729-0668-4539-8ED8-30F65641FA86}" name="Nom du bâtiment" dataDxfId="680"/>
    <tableColumn id="3" xr3:uid="{6779B6B7-5C5D-4358-948D-489EED891623}" name="COM_INS" dataDxfId="679"/>
    <tableColumn id="4" xr3:uid="{D357A4A7-D300-457A-A561-54181049FC9A}" name="COM_NM" dataDxfId="678"/>
    <tableColumn id="5" xr3:uid="{3BAF3455-E335-443D-98EC-7CC845F810E6}" name="source" dataDxfId="677"/>
    <tableColumn id="6" xr3:uid="{6A9CD4AD-D0F5-4DB4-865B-5CFAF9AB79D3}" name="ADR_ID" dataDxfId="676"/>
    <tableColumn id="7" xr3:uid="{8E56F5EB-C6E9-4B8F-9EC8-8FC88B4BFEBF}" name="Vérif_x000a_Patrimoine_x000a_Unique" dataDxfId="675"/>
    <tableColumn id="8" xr3:uid="{224D8A39-48EF-4A50-A26F-26C128866AB3}" name="Le batiment listé fait-il partie du patrimoine communal ?_x000a_" dataDxfId="674"/>
    <tableColumn id="9" xr3:uid="{B7E038CF-5C9E-42D2-81A4-BE59F8A89514}" name="Rue" dataDxfId="673"/>
    <tableColumn id="10" xr3:uid="{31C7F296-3077-4E84-AE8D-FE1ACDFD456C}" name="Num" dataDxfId="672"/>
    <tableColumn id="11" xr3:uid="{3D5078AF-700F-4222-87E3-D13BAB9BBD6C}" name="Bte" dataDxfId="671"/>
    <tableColumn id="12" xr3:uid="{C7AC0194-ABC9-437B-875E-36C86E51ED03}" name="CP" dataDxfId="670"/>
    <tableColumn id="13" xr3:uid="{F7E0CAE2-2F71-4AB6-B7B4-2A8315153281}" name="Localité" dataDxfId="669"/>
    <tableColumn id="14" xr3:uid="{6CCA2C17-6C9C-4E1E-B92E-89E56E191D8D}" name="Commentaire sur adresse" dataDxfId="668"/>
    <tableColumn id="15" xr3:uid="{20EF2456-65A2-41DB-9815-C3EA9A7330F6}" name="Catégorie" dataDxfId="667"/>
    <tableColumn id="16" xr3:uid="{FED6932F-0D16-47AC-BD73-2F98AD366499}" name="Info_Complementaire_x000a_sur Catégorie (obligatoire si &quot;Autre&quot;)" dataDxfId="666"/>
    <tableColumn id="17" xr3:uid="{F7EE8E21-734B-48FB-991B-F646BDADBD81}" name="Statut  Occupant" dataDxfId="665"/>
    <tableColumn id="18" xr3:uid="{AAF9FC91-9078-4749-9740-F71BEB78C5B8}" name="Superficie chauffée" dataDxfId="664"/>
    <tableColumn id="19" xr3:uid="{6BB2AFE2-4B99-470E-8230-7390EC44CFF3}" name="Nombre de chaudières " dataDxfId="663"/>
    <tableColumn id="20" xr3:uid="{A15C4B1D-46C7-4EB5-A5EB-50151CE33796}" name="Total Puissance Chaudières kW" dataDxfId="662"/>
    <tableColumn id="21" xr3:uid="{53880F8D-9638-492D-9408-E92F25BF0A77}" name="Climatisation" dataDxfId="661"/>
    <tableColumn id="22" xr3:uid="{5EBC08C4-84D5-4B90-833C-0A7F05034CAF}" name="Cogénération" dataDxfId="660"/>
    <tableColumn id="23" xr3:uid="{93D0AD0D-6701-47AE-A641-DB7182A71CE3}" name="PV" dataDxfId="659"/>
    <tableColumn id="24" xr3:uid="{2E35DC6E-FED8-4153-A809-532FC885DE03}" name="Solaire thermique" dataDxfId="658"/>
    <tableColumn id="25" xr3:uid="{953E6826-F304-4DA2-B7D2-EA3628004A67}" name="PAC" dataDxfId="65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54C96F-49C1-4C76-892F-CBEAC8C719A9}" name="RET_projets" displayName="RET_projets" ref="B5:E10" totalsRowShown="0" headerRowDxfId="656" headerRowBorderDxfId="655" tableBorderDxfId="654">
  <autoFilter ref="B5:E10" xr:uid="{BE54C96F-49C1-4C76-892F-CBEAC8C719A9}"/>
  <tableColumns count="4">
    <tableColumn id="1" xr3:uid="{0D8B66F3-BF43-4003-A209-E50331FEED1C}" name="Type" dataDxfId="653"/>
    <tableColumn id="2" xr3:uid="{F88FB5C5-6637-4830-B94D-E9ECA9405F15}" name="Dénomination du projet" dataDxfId="652"/>
    <tableColumn id="3" xr3:uid="{0B813C8D-7A91-45E8-B233-628923C26255}" name="Implication de la commune" dataDxfId="651"/>
    <tableColumn id="4" xr3:uid="{A6E106C7-D511-496A-8A6E-87AEE3D28E52}" name="Statut" dataDxfId="65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C94DF10-4AEF-4AE1-8C89-B7872A4D0449}" name="RET_reflexions" displayName="RET_reflexions" ref="B13:D18" totalsRowShown="0" headerRowDxfId="649" dataDxfId="647" headerRowBorderDxfId="648" tableBorderDxfId="646">
  <autoFilter ref="B13:D18" xr:uid="{0C94DF10-4AEF-4AE1-8C89-B7872A4D0449}"/>
  <tableColumns count="3">
    <tableColumn id="1" xr3:uid="{3CC16876-108A-41E8-A421-CA2029E45AAC}" name="Type " dataDxfId="645"/>
    <tableColumn id="2" xr3:uid="{504FFFB8-AE9D-486C-8ECF-9C5A4569C926}" name="Statut" dataDxfId="644"/>
    <tableColumn id="3" xr3:uid="{BA74DE4F-7AF9-4BAF-BEA4-FC518EC7240C}" name="Partenaire contacté" dataDxfId="64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6F139E9-257B-4D1C-8F06-9E65B2071FA5}" name="RET_Communication" displayName="RET_Communication" ref="C22:D25" totalsRowShown="0" headerRowDxfId="642" headerRowBorderDxfId="641" tableBorderDxfId="640" totalsRowBorderDxfId="639">
  <autoFilter ref="C22:D25" xr:uid="{36F139E9-257B-4D1C-8F06-9E65B2071FA5}"/>
  <tableColumns count="2">
    <tableColumn id="1" xr3:uid="{3458E559-266B-489B-A0F1-3CECA58F077F}" name="2023 (nombre)" dataDxfId="638"/>
    <tableColumn id="2" xr3:uid="{6BEFF857-FECF-4FC6-B156-9A68FFF40FAB}" name="2024 (nombre)" dataDxfId="63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A5FDBF6-3240-41D2-A32A-6414612B8B61}" name="Données_chauffage" displayName="Données_chauffage" ref="A7:AA157" totalsRowShown="0" headerRowDxfId="631" dataDxfId="629" headerRowBorderDxfId="630" tableBorderDxfId="628" totalsRowBorderDxfId="627">
  <autoFilter ref="A7:AA157" xr:uid="{3A5FDBF6-3240-41D2-A32A-6414612B8B61}"/>
  <tableColumns count="27">
    <tableColumn id="1" xr3:uid="{7EC11972-556B-4E2A-BE8A-29F2EC875D84}" name="N°" dataDxfId="626"/>
    <tableColumn id="2" xr3:uid="{02E24F4E-B10E-4032-B92A-43200D5A57D8}" name="Nom du bâtiment dans l'outil POLLEC 2023" dataDxfId="625"/>
    <tableColumn id="3" xr3:uid="{F9D8C49F-4019-405A-97C4-E4E7B8961E8C}" name="Nom correspondant dans la liste du fichier régional" dataDxfId="624"/>
    <tableColumn id="4" xr3:uid="{384A9556-19FC-48E6-A84F-6AFF0354C919}" name="Vecteur" dataDxfId="623"/>
    <tableColumn id="5" xr3:uid="{59F35A22-079D-4ACB-A798-55DFCBD9B63F}" name="Unité" dataDxfId="622"/>
    <tableColumn id="6" xr3:uid="{16C42A02-E35E-4506-844A-2FACB7ACE4C7}" name="2006" dataDxfId="621" dataCellStyle="Milliers"/>
    <tableColumn id="7" xr3:uid="{44C9B1AA-BB26-4253-9A26-51DB03017473}" name="2010" dataDxfId="620" dataCellStyle="Milliers"/>
    <tableColumn id="8" xr3:uid="{457F8D2E-7C1A-4829-B425-35AFC691F28B}" name="2011" dataDxfId="619" dataCellStyle="Milliers"/>
    <tableColumn id="9" xr3:uid="{28272209-C7FE-4AD0-8242-304138F23EB7}" name="2012" dataDxfId="618" dataCellStyle="Milliers"/>
    <tableColumn id="10" xr3:uid="{38651F34-4D96-4222-AA1C-E77C2049A3BF}" name="2013" dataDxfId="617" dataCellStyle="Milliers"/>
    <tableColumn id="11" xr3:uid="{607D305C-A4BB-416F-ACC3-EAB79E9B1B4E}" name="2014" dataDxfId="616" dataCellStyle="Milliers"/>
    <tableColumn id="12" xr3:uid="{8EC270FE-8F35-428A-92CB-ABE6C3E5F21E}" name="2015" dataDxfId="615" dataCellStyle="Milliers"/>
    <tableColumn id="13" xr3:uid="{7EF01B9A-B74B-470A-9DAD-5D7686165023}" name="2016" dataDxfId="614" dataCellStyle="Milliers"/>
    <tableColumn id="14" xr3:uid="{70BA6C97-D550-4C11-BF0E-8F474FDEDEE2}" name="2017" dataDxfId="613" dataCellStyle="Milliers"/>
    <tableColumn id="15" xr3:uid="{C744D380-08EC-4B26-9EC3-8AF59EEF03A7}" name="2018" dataDxfId="612" dataCellStyle="Milliers"/>
    <tableColumn id="16" xr3:uid="{4A226FC1-10DB-4AA5-B753-ABDADF6DFFB2}" name="2019" dataDxfId="611" dataCellStyle="Milliers"/>
    <tableColumn id="17" xr3:uid="{D04D2D31-C693-4C7D-867A-F2CDFFA103C1}" name="2020" dataDxfId="610" dataCellStyle="Milliers"/>
    <tableColumn id="18" xr3:uid="{CC461208-AE42-47F1-963E-D52396CC34FE}" name="2021" dataDxfId="609" dataCellStyle="Milliers"/>
    <tableColumn id="19" xr3:uid="{07F38895-D029-4F55-991E-B7BD23CABD35}" name="2022" dataDxfId="608" dataCellStyle="Milliers"/>
    <tableColumn id="20" xr3:uid="{7E491DD6-F641-429F-BF4E-196E874D238B}" name="2023" dataDxfId="607" dataCellStyle="Milliers"/>
    <tableColumn id="21" xr3:uid="{70560E8F-13A7-427B-BA74-4F8D4CFDD19B}" name="2024" dataDxfId="606" dataCellStyle="Milliers"/>
    <tableColumn id="22" xr3:uid="{8FA96226-D902-42C3-AA53-8688A14C1594}" name="2025" dataDxfId="605" dataCellStyle="Milliers"/>
    <tableColumn id="23" xr3:uid="{7FA9059C-1418-4973-AB1F-CC81E655776D}" name="2026" dataDxfId="604" dataCellStyle="Milliers"/>
    <tableColumn id="24" xr3:uid="{506D0817-9E5F-4FEE-9FB4-6A32A3CDA8E8}" name="2027" dataDxfId="603" dataCellStyle="Milliers"/>
    <tableColumn id="25" xr3:uid="{4B74EA3A-18FA-4221-A11E-282A20BD566D}" name="2028" dataDxfId="602" dataCellStyle="Milliers"/>
    <tableColumn id="26" xr3:uid="{0F3BD225-5C57-4359-B38A-B7F54A2E47CB}" name="2029" dataDxfId="601" dataCellStyle="Milliers"/>
    <tableColumn id="27" xr3:uid="{1D32A7F9-0DDE-457C-9D39-4A3681029F55}" name="2030" dataDxfId="600" dataCellStyle="Milliers"/>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B19DA9C-71A1-423A-B45C-911307CC2F21}" name="Données_production" displayName="Données_production" ref="F364:AB372" totalsRowShown="0" headerRowDxfId="599" tableBorderDxfId="598">
  <autoFilter ref="F364:AB372" xr:uid="{DB19DA9C-71A1-423A-B45C-911307CC2F21}"/>
  <tableColumns count="23">
    <tableColumn id="1" xr3:uid="{8518844A-08D4-43B3-A0A8-E0058D42A55B}" name="2006" dataDxfId="597" dataCellStyle="Milliers"/>
    <tableColumn id="2" xr3:uid="{1A0D2F98-66F6-4017-9A35-584715F87E90}" name="2010" dataDxfId="596" dataCellStyle="Milliers"/>
    <tableColumn id="3" xr3:uid="{0391A5F2-3E19-48D4-932D-5974B886F672}" name="2011" dataDxfId="595" dataCellStyle="Milliers"/>
    <tableColumn id="4" xr3:uid="{B65CECE4-E20B-447E-BB82-CB405C81A6D8}" name="2012" dataDxfId="594" dataCellStyle="Milliers"/>
    <tableColumn id="5" xr3:uid="{EAA35371-43AB-444F-8AD5-9F08AD72B78E}" name="2013" dataDxfId="593" dataCellStyle="Milliers"/>
    <tableColumn id="6" xr3:uid="{CEFA9CE1-FB9E-4EA5-8713-5E6719671D7C}" name="2014" dataDxfId="592" dataCellStyle="Milliers"/>
    <tableColumn id="7" xr3:uid="{9147F392-C96B-42F6-89B6-BDD6E90B1090}" name="2015" dataDxfId="591" dataCellStyle="Milliers"/>
    <tableColumn id="8" xr3:uid="{9CA16F78-03B7-458F-9AC8-77F77C51357D}" name="2016" dataDxfId="590" dataCellStyle="Milliers"/>
    <tableColumn id="9" xr3:uid="{604C580C-03F6-4A1A-A4AA-9A0A190A75F3}" name="2017" dataDxfId="589" dataCellStyle="Milliers"/>
    <tableColumn id="10" xr3:uid="{E7CA0C57-C76B-4822-AA90-38D42A9605DD}" name="2018" dataDxfId="588" dataCellStyle="Milliers"/>
    <tableColumn id="11" xr3:uid="{85555CCA-9E82-4F40-9DFD-C66D1E05E8F4}" name="2019" dataDxfId="587" dataCellStyle="Milliers"/>
    <tableColumn id="12" xr3:uid="{166ECF48-B4B4-4799-BFBA-5D434E8A9CC1}" name="2020" dataDxfId="586" dataCellStyle="Milliers"/>
    <tableColumn id="13" xr3:uid="{5496585A-A51A-49EF-8424-E5A5D4B2570A}" name="2021" dataDxfId="585" dataCellStyle="Milliers"/>
    <tableColumn id="14" xr3:uid="{BB6C74E0-F679-45F8-BD18-905F27AE967F}" name="2022" dataDxfId="584" dataCellStyle="Milliers"/>
    <tableColumn id="15" xr3:uid="{3C616B31-CC95-4D31-8DBB-E59F7FD132B2}" name="2023" dataDxfId="583" dataCellStyle="Milliers"/>
    <tableColumn id="16" xr3:uid="{DC63D293-67E8-4E28-B0A8-9F0614D5B80A}" name="2024" dataDxfId="582" dataCellStyle="Milliers"/>
    <tableColumn id="17" xr3:uid="{C8384FE6-08C1-4F7D-A65E-9AB50A717F22}" name="2025" dataDxfId="581" dataCellStyle="Milliers"/>
    <tableColumn id="18" xr3:uid="{17815BA0-10FC-4DE2-A5C6-E0064191CB90}" name="2026" dataDxfId="580" dataCellStyle="Milliers"/>
    <tableColumn id="19" xr3:uid="{499DD2FB-8E0A-4FCA-AFCB-FF7EDBA68601}" name="2027" dataDxfId="579" dataCellStyle="Milliers"/>
    <tableColumn id="20" xr3:uid="{795528E3-CB46-4FF4-A7B3-0E67EAC12A1C}" name="2028" dataDxfId="578" dataCellStyle="Milliers"/>
    <tableColumn id="21" xr3:uid="{18F2E776-B856-4323-8DFB-A2EADB35B6A8}" name="2029" dataDxfId="577" dataCellStyle="Milliers"/>
    <tableColumn id="22" xr3:uid="{FF65CCB3-BF79-4FB3-A954-58D69291E099}" name="2030" dataDxfId="576" dataCellStyle="Milliers"/>
    <tableColumn id="23" xr3:uid="{680974F6-D15A-413B-BA46-8F5778C816C8}" name="Colonne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2992FD9-F7D5-4026-AFD2-B0842A01FD34}" name="Données_électricité" displayName="Données_électricité" ref="A161:AA311" totalsRowShown="0" headerRowDxfId="575" dataDxfId="574" tableBorderDxfId="573" dataCellStyle="Milliers">
  <autoFilter ref="A161:AA311" xr:uid="{E2992FD9-F7D5-4026-AFD2-B0842A01FD34}"/>
  <tableColumns count="27">
    <tableColumn id="1" xr3:uid="{1C06922D-A3F4-4AD5-A07D-BDEACB7B513A}" name="N°" dataDxfId="572"/>
    <tableColumn id="2" xr3:uid="{9056CF2C-5CE7-4624-9F7A-1DFB5BA9B2B4}" name="Nom du bâtiment dans l'outil POLLEC 2023" dataDxfId="571"/>
    <tableColumn id="3" xr3:uid="{3DDEBF49-F14B-406E-854F-AF90059BF0CB}" name="Nom correspondant dans la liste du fichier régional" dataDxfId="570"/>
    <tableColumn id="4" xr3:uid="{E1A0ABEB-58F2-4BF9-95D4-5646825B1A02}" name="Colonne1" dataDxfId="569"/>
    <tableColumn id="5" xr3:uid="{C9F3888D-A173-442A-B564-B3E8C710760B}" name="Colonne2" dataDxfId="568"/>
    <tableColumn id="6" xr3:uid="{E5EA4F44-801B-4BEB-9958-ED1FCF0DDA28}" name="2006" dataDxfId="567" dataCellStyle="Milliers"/>
    <tableColumn id="7" xr3:uid="{AABF4EC1-3260-4DD3-B541-60009AAE27BB}" name="2010" dataDxfId="566" dataCellStyle="Milliers"/>
    <tableColumn id="8" xr3:uid="{A7DAE77C-093C-41FD-9FF6-8A8A62F78697}" name="2011" dataDxfId="565" dataCellStyle="Milliers"/>
    <tableColumn id="9" xr3:uid="{5EBEF7D5-9CF4-4DA1-8CB1-F7480BBC18EC}" name="2012" dataDxfId="564" dataCellStyle="Milliers"/>
    <tableColumn id="10" xr3:uid="{767E1165-04AA-481C-9336-D69DAC1C2CA0}" name="2013" dataDxfId="563" dataCellStyle="Milliers"/>
    <tableColumn id="11" xr3:uid="{23ACA710-1EA0-47CE-B85F-43258299D2D7}" name="2014" dataDxfId="562" dataCellStyle="Milliers"/>
    <tableColumn id="12" xr3:uid="{20AF8588-5D8E-4691-B7BD-B40FCD617A73}" name="2015" dataDxfId="561" dataCellStyle="Milliers"/>
    <tableColumn id="13" xr3:uid="{9F1FE41C-2FF6-44FE-840F-29DE6901E4B8}" name="2016" dataDxfId="560" dataCellStyle="Milliers"/>
    <tableColumn id="14" xr3:uid="{600B2BDC-CA0F-4FFC-9B3A-C263730D0ACE}" name="2017" dataDxfId="559" dataCellStyle="Milliers"/>
    <tableColumn id="15" xr3:uid="{7557DA67-2E1F-4F7F-91FB-743CE652997F}" name="2018" dataDxfId="558" dataCellStyle="Milliers"/>
    <tableColumn id="16" xr3:uid="{B872AB81-0F9A-4F3F-956D-E1E1348774BF}" name="2019" dataDxfId="557" dataCellStyle="Milliers"/>
    <tableColumn id="17" xr3:uid="{84286F65-E337-4E71-BE70-EFC7633A88B6}" name="2020" dataDxfId="556" dataCellStyle="Milliers"/>
    <tableColumn id="18" xr3:uid="{BEA2DD90-EA4E-4332-84AC-8BB96012AE5D}" name="2021" dataDxfId="555" dataCellStyle="Milliers"/>
    <tableColumn id="19" xr3:uid="{B58A0AA0-6AD6-44EE-A860-FF466B2D6ECA}" name="2022" dataDxfId="554" dataCellStyle="Milliers"/>
    <tableColumn id="20" xr3:uid="{65304FC5-8483-4A88-B331-95B23CC36270}" name="2023" dataDxfId="553" dataCellStyle="Milliers"/>
    <tableColumn id="21" xr3:uid="{02AB2CCC-E08D-4667-8EA6-6CD8A7042FBF}" name="2024" dataDxfId="552" dataCellStyle="Milliers"/>
    <tableColumn id="22" xr3:uid="{BB057EA1-F500-452E-9FA6-51BBEB4A20A9}" name="2025" dataDxfId="551" dataCellStyle="Milliers"/>
    <tableColumn id="23" xr3:uid="{E395457C-F242-4FDD-9942-D83C9FC0952D}" name="2026" dataDxfId="550" dataCellStyle="Milliers"/>
    <tableColumn id="24" xr3:uid="{FA316C2B-339D-46DE-A3C6-A3290DF7121D}" name="2027" dataDxfId="549" dataCellStyle="Milliers"/>
    <tableColumn id="25" xr3:uid="{849C2364-5A93-493A-83DF-23893882A5F3}" name="2028" dataDxfId="548" dataCellStyle="Milliers"/>
    <tableColumn id="26" xr3:uid="{3FFC56CB-107B-4981-842B-24511B1FF09F}" name="2029" dataDxfId="547" dataCellStyle="Milliers"/>
    <tableColumn id="27" xr3:uid="{72634E3D-14F4-476F-AA57-9F6CB3CBAA33}" name="2030" dataDxfId="546" dataCellStyle="Milliers"/>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8790F64-DEE1-4734-94EE-2A94DDC1ABBF}" name="Tableau8" displayName="Tableau8" ref="A315:AA345" totalsRowShown="0" headerRowDxfId="545" dataDxfId="543" headerRowBorderDxfId="544" tableBorderDxfId="542" totalsRowBorderDxfId="541" dataCellStyle="Milliers">
  <autoFilter ref="A315:AA345" xr:uid="{E8790F64-DEE1-4734-94EE-2A94DDC1ABBF}"/>
  <tableColumns count="27">
    <tableColumn id="1" xr3:uid="{2752DBE9-65F4-4857-AB41-D319FCFC8814}" name="N°" dataDxfId="540"/>
    <tableColumn id="2" xr3:uid="{0F9F7FD2-646B-4066-9080-4C1D1D9AC219}" name="Nom du site" dataDxfId="539"/>
    <tableColumn id="3" xr3:uid="{5A1EB490-2B4F-469E-97D6-552460E4E728}" name="Colonne1" dataDxfId="538"/>
    <tableColumn id="4" xr3:uid="{6DF1F515-3F35-40F9-A550-49B255A54F37}" name="Colonne2" dataDxfId="537"/>
    <tableColumn id="5" xr3:uid="{2CAAFD14-A5D5-4778-B28F-4FA69311FAD5}" name="Colonne3" dataDxfId="536"/>
    <tableColumn id="6" xr3:uid="{48204FF3-05DA-4043-A23B-FAAF983B5BC1}" name="2006" dataDxfId="535" dataCellStyle="Milliers"/>
    <tableColumn id="7" xr3:uid="{F38342FF-3452-4213-827A-77AB69EC5AFF}" name="2010" dataDxfId="534" dataCellStyle="Milliers"/>
    <tableColumn id="8" xr3:uid="{2902AFC7-C0C6-4645-B132-E21BF9AD6725}" name="2011" dataDxfId="533" dataCellStyle="Milliers"/>
    <tableColumn id="9" xr3:uid="{66E024E3-D216-4D97-B380-BB2EF152BC58}" name="2012" dataDxfId="532" dataCellStyle="Milliers"/>
    <tableColumn id="10" xr3:uid="{98E7C780-840E-4B9E-869F-E649B31FB3D3}" name="2013" dataDxfId="531" dataCellStyle="Milliers"/>
    <tableColumn id="11" xr3:uid="{6D249E5A-3AF4-4263-B3D9-B999DFD65D2A}" name="2014" dataDxfId="530" dataCellStyle="Milliers"/>
    <tableColumn id="12" xr3:uid="{6DF08F6A-ADB5-49A0-A2A3-13558267401B}" name="2015" dataDxfId="529" dataCellStyle="Milliers"/>
    <tableColumn id="13" xr3:uid="{BAB949C9-D643-4897-AA4F-B5DF5361B935}" name="2016" dataDxfId="528" dataCellStyle="Milliers"/>
    <tableColumn id="14" xr3:uid="{74051E5B-867D-42AE-BC39-B53CD123CA2D}" name="2017" dataDxfId="527" dataCellStyle="Milliers"/>
    <tableColumn id="15" xr3:uid="{80BFE28A-675D-40D8-8C89-53E3C5953039}" name="2018" dataDxfId="526" dataCellStyle="Milliers"/>
    <tableColumn id="16" xr3:uid="{0D165CAA-40D7-4735-8CBA-E280DA63A386}" name="2019" dataDxfId="525" dataCellStyle="Milliers"/>
    <tableColumn id="17" xr3:uid="{27A816E1-4B30-4B1D-8AB5-68F4D2AE300A}" name="2020" dataDxfId="524" dataCellStyle="Milliers"/>
    <tableColumn id="18" xr3:uid="{26219781-D706-45A2-AAA4-CDAF8F75999C}" name="2021" dataDxfId="523" dataCellStyle="Milliers"/>
    <tableColumn id="19" xr3:uid="{BEF12494-9F7B-4161-98B3-9E0E7E101DE0}" name="2022" dataDxfId="522" dataCellStyle="Milliers"/>
    <tableColumn id="20" xr3:uid="{9D4B2CED-8374-4742-A61E-834F842F05D9}" name="2023" dataDxfId="521" dataCellStyle="Milliers"/>
    <tableColumn id="21" xr3:uid="{5BCD68BC-A4ED-4485-8A2A-881D7AA7D8B1}" name="2024" dataDxfId="520" dataCellStyle="Milliers"/>
    <tableColumn id="22" xr3:uid="{B261D93C-271D-42E8-8590-AC66564D3869}" name="2025" dataDxfId="519" dataCellStyle="Milliers"/>
    <tableColumn id="23" xr3:uid="{699942BF-1ADE-46EA-A225-3129D9A6CBD3}" name="2026" dataDxfId="518" dataCellStyle="Milliers"/>
    <tableColumn id="24" xr3:uid="{8BB34C4C-535F-4DF7-B345-1F17DE7F4270}" name="2027" dataDxfId="517" dataCellStyle="Milliers"/>
    <tableColumn id="25" xr3:uid="{3E00E4E5-8FE1-4B16-BAE4-B72D6B24F275}" name="2028" dataDxfId="516" dataCellStyle="Milliers"/>
    <tableColumn id="26" xr3:uid="{82F8AE61-1202-4606-8DA7-1FE2F7BEBDCC}" name="2029" dataDxfId="515" dataCellStyle="Milliers"/>
    <tableColumn id="27" xr3:uid="{30FC4253-3541-49E8-87A2-623AED2D0AC6}" name="2030" dataDxfId="514" dataCellStyle="Milliers"/>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2745DB6-AC57-4305-8326-2E31B7785BF2}" name="Données_EP" displayName="Données_EP" ref="F349:AA350" totalsRowShown="0" headerRowDxfId="513" dataDxfId="511" headerRowBorderDxfId="512" tableBorderDxfId="510" totalsRowBorderDxfId="509" dataCellStyle="Milliers">
  <autoFilter ref="F349:AA350" xr:uid="{82745DB6-AC57-4305-8326-2E31B7785BF2}"/>
  <tableColumns count="22">
    <tableColumn id="1" xr3:uid="{2DC45ACD-6265-40A8-B90C-7895BE1BD1EB}" name="2006" dataDxfId="508" dataCellStyle="Milliers"/>
    <tableColumn id="2" xr3:uid="{92A05A6F-A5E4-4D02-96B7-DFEA016E3546}" name="2010" dataDxfId="507" dataCellStyle="Milliers"/>
    <tableColumn id="3" xr3:uid="{3145F8AA-622E-44BE-B788-C5871371BAE2}" name="2011" dataDxfId="506" dataCellStyle="Milliers"/>
    <tableColumn id="4" xr3:uid="{06A857D3-1C02-4EE1-AB28-D7B59D1E62F3}" name="2012" dataDxfId="505" dataCellStyle="Milliers"/>
    <tableColumn id="5" xr3:uid="{8C527E48-014A-40AB-86F4-4B8732461FA3}" name="2013" dataDxfId="504" dataCellStyle="Milliers"/>
    <tableColumn id="6" xr3:uid="{1B1DF072-B320-4F9B-B9B9-68B78692F014}" name="2014" dataDxfId="503" dataCellStyle="Milliers"/>
    <tableColumn id="7" xr3:uid="{636159A6-B5DA-40A6-BDCB-2BA8ABD27564}" name="2015" dataDxfId="502" dataCellStyle="Milliers"/>
    <tableColumn id="8" xr3:uid="{B88D6E17-8A51-49B7-BC71-01DEFA9851FD}" name="2016" dataDxfId="501" dataCellStyle="Milliers"/>
    <tableColumn id="9" xr3:uid="{9ED1D078-C734-4CFD-BB7C-8AF3B912B4E9}" name="2017" dataDxfId="500" dataCellStyle="Milliers"/>
    <tableColumn id="10" xr3:uid="{126A9FBD-265F-43D7-ADBB-D1AB3515E26B}" name="2018" dataDxfId="499" dataCellStyle="Milliers"/>
    <tableColumn id="11" xr3:uid="{475F2ED8-4DFB-4B13-915D-5F5BEEBA72E2}" name="2019" dataDxfId="498" dataCellStyle="Milliers"/>
    <tableColumn id="12" xr3:uid="{19CE0D63-6A6F-4FB2-B280-15885954F42A}" name="2020" dataDxfId="497" dataCellStyle="Milliers"/>
    <tableColumn id="13" xr3:uid="{8A7745B5-CF2D-4953-B807-07EC0773C590}" name="2021" dataDxfId="496" dataCellStyle="Milliers"/>
    <tableColumn id="14" xr3:uid="{E9C809F9-72DE-42C4-9064-EEACFA2FC7A3}" name="2022" dataDxfId="495" dataCellStyle="Milliers"/>
    <tableColumn id="15" xr3:uid="{34E90B79-86D4-4000-8E97-45BC7AB88F0C}" name="2023" dataDxfId="494" dataCellStyle="Milliers"/>
    <tableColumn id="16" xr3:uid="{EC95DE51-BFE3-4282-804F-5830C6975542}" name="2024" dataDxfId="493" dataCellStyle="Milliers"/>
    <tableColumn id="17" xr3:uid="{4FB30E6C-16F5-4388-861B-173A48221E66}" name="2025" dataDxfId="492" dataCellStyle="Milliers"/>
    <tableColumn id="18" xr3:uid="{53BBA657-87CB-4876-B3D4-15A6E9F3FBD9}" name="2026" dataDxfId="491" dataCellStyle="Milliers"/>
    <tableColumn id="19" xr3:uid="{0CDA0C3B-D769-4EF0-B53B-7959CDDD1AA8}" name="2027" dataDxfId="490" dataCellStyle="Milliers"/>
    <tableColumn id="20" xr3:uid="{FDE2D5D8-2E79-4957-A6EB-9B0734EE5E92}" name="2028" dataDxfId="489" dataCellStyle="Milliers"/>
    <tableColumn id="21" xr3:uid="{841219D9-9503-403D-883C-CE96933404E9}" name="2029" dataDxfId="488" dataCellStyle="Milliers"/>
    <tableColumn id="22" xr3:uid="{F6FA7611-4043-4B29-A092-46825D71D458}" name="2030" dataDxfId="487" dataCellStyle="Milliers"/>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1B9AE3-9210-46A2-BD30-D33A9A2595AE}" name="Données_matériel_roulant" displayName="Données_matériel_roulant" ref="F354:AA359" totalsRowShown="0" headerRowDxfId="486" dataDxfId="484" headerRowBorderDxfId="485" tableBorderDxfId="483" totalsRowBorderDxfId="482" dataCellStyle="Milliers">
  <autoFilter ref="F354:AA359" xr:uid="{AB1B9AE3-9210-46A2-BD30-D33A9A2595AE}"/>
  <tableColumns count="22">
    <tableColumn id="1" xr3:uid="{6594621E-136E-48D3-8DF3-D033A69E8A5A}" name="2006" dataDxfId="481" dataCellStyle="Milliers"/>
    <tableColumn id="2" xr3:uid="{815A1055-D6E6-4C61-8BAA-B2E90073B2FF}" name="2010" dataDxfId="480" dataCellStyle="Milliers"/>
    <tableColumn id="3" xr3:uid="{BC0C58F5-3984-4B5D-9154-EF0A10AFC03D}" name="2011" dataDxfId="479" dataCellStyle="Milliers"/>
    <tableColumn id="4" xr3:uid="{3F83D93C-0EC1-4CDD-B129-C8007B010E25}" name="2012" dataDxfId="478" dataCellStyle="Milliers"/>
    <tableColumn id="5" xr3:uid="{9894F1C8-2DA0-4735-91DE-02B9CCBF0A0C}" name="2013" dataDxfId="477" dataCellStyle="Milliers"/>
    <tableColumn id="6" xr3:uid="{959B234F-B283-4CEC-A6AF-62660B7685EF}" name="2014" dataDxfId="476" dataCellStyle="Milliers"/>
    <tableColumn id="7" xr3:uid="{02954319-8A25-4667-8C0F-FB222AE705C4}" name="2015" dataDxfId="475" dataCellStyle="Milliers"/>
    <tableColumn id="8" xr3:uid="{7013A95E-70B6-4851-B85E-BB832908969E}" name="2016" dataDxfId="474" dataCellStyle="Milliers"/>
    <tableColumn id="9" xr3:uid="{352CCCB9-F261-4AFE-BF03-6522DA3F7994}" name="2017" dataDxfId="473" dataCellStyle="Milliers"/>
    <tableColumn id="10" xr3:uid="{4A7858BE-3054-4162-9ACD-DBE4E64DD686}" name="2018" dataDxfId="472" dataCellStyle="Milliers"/>
    <tableColumn id="11" xr3:uid="{0ECB4255-F0B3-4FAB-B33A-E70FF342434B}" name="2019" dataDxfId="471" dataCellStyle="Milliers"/>
    <tableColumn id="12" xr3:uid="{D680F76A-2CEF-411E-B62B-970C66F6E144}" name="2020" dataDxfId="470" dataCellStyle="Milliers"/>
    <tableColumn id="13" xr3:uid="{CC3CB876-94C2-4CD6-BF8F-BD5C07E6EDF0}" name="2021" dataDxfId="469" dataCellStyle="Milliers"/>
    <tableColumn id="14" xr3:uid="{874FFBC3-E7A8-4CCA-B1AA-6FB91851E040}" name="2022" dataDxfId="468" dataCellStyle="Milliers"/>
    <tableColumn id="15" xr3:uid="{F865B2BB-7BC3-4D6B-8A51-B454DB0FD363}" name="2023" dataDxfId="467" dataCellStyle="Milliers"/>
    <tableColumn id="16" xr3:uid="{122F2B55-700B-45AF-B38C-0C644CF428DA}" name="2024" dataDxfId="466" dataCellStyle="Milliers"/>
    <tableColumn id="17" xr3:uid="{814EF7D1-D270-468E-8D0F-E0B9A20891C7}" name="2025" dataDxfId="465" dataCellStyle="Milliers"/>
    <tableColumn id="18" xr3:uid="{51087B22-DA20-47E6-BE26-64505B986D28}" name="2026" dataDxfId="464" dataCellStyle="Milliers"/>
    <tableColumn id="19" xr3:uid="{EDDDC9DF-B8AE-422B-BE84-CFCAE0452CCF}" name="2027" dataDxfId="463" dataCellStyle="Milliers"/>
    <tableColumn id="20" xr3:uid="{967B7231-BD83-4370-8BFC-5F1C28D23CFA}" name="2028" dataDxfId="462" dataCellStyle="Milliers"/>
    <tableColumn id="21" xr3:uid="{C941A91F-16E3-4D11-8CC6-BA4B4A6CB575}" name="2029" dataDxfId="461" dataCellStyle="Milliers"/>
    <tableColumn id="22" xr3:uid="{4E55C232-BE60-413A-A066-782A1D66BB77}" name="2030" dataDxfId="460" dataCellStyle="Milliers"/>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00000000}" name="TabINPUT" displayName="TabINPUT" ref="A12:AF173" totalsRowShown="0" headerRowDxfId="459" dataDxfId="458" dataCellStyle="Pourcentage 2">
  <autoFilter ref="A12:AF173" xr:uid="{00000000-0009-0000-0100-0000D1000000}"/>
  <tableColumns count="32">
    <tableColumn id="1" xr3:uid="{00000000-0010-0000-0000-000001000000}" name="SECTEUR1" dataDxfId="457"/>
    <tableColumn id="2" xr3:uid="{00000000-0010-0000-0000-000002000000}" name="SECTEUR2" dataDxfId="456"/>
    <tableColumn id="3" xr3:uid="{00000000-0010-0000-0000-000003000000}" name="SECTEUR3" dataDxfId="455"/>
    <tableColumn id="4" xr3:uid="{00000000-0010-0000-0000-000004000000}" name="USAGE" dataDxfId="454"/>
    <tableColumn id="5" xr3:uid="{00000000-0010-0000-0000-000005000000}" name="VECTEUR" dataDxfId="453"/>
    <tableColumn id="6" xr3:uid="{00000000-0010-0000-0000-000006000000}" name="UNITE" dataDxfId="452"/>
    <tableColumn id="20" xr3:uid="{00000000-0010-0000-0000-000014000000}" name="1990" dataDxfId="451" dataCellStyle="Pourcentage 2"/>
    <tableColumn id="21" xr3:uid="{00000000-0010-0000-0000-000015000000}" name="1995" dataDxfId="450" dataCellStyle="Pourcentage 2"/>
    <tableColumn id="22" xr3:uid="{00000000-0010-0000-0000-000016000000}" name="2000" dataDxfId="449" dataCellStyle="Pourcentage 2"/>
    <tableColumn id="19" xr3:uid="{00000000-0010-0000-0000-000013000000}" name="2005" dataDxfId="448" dataCellStyle="Pourcentage 2"/>
    <tableColumn id="7" xr3:uid="{00000000-0010-0000-0000-000007000000}" name="2006" dataDxfId="447" dataCellStyle="Pourcentage 2 2">
      <calculatedColumnFormula>'Données patrimoniales'!AH223</calculatedColumnFormula>
    </tableColumn>
    <tableColumn id="8" xr3:uid="{00000000-0010-0000-0000-000008000000}" name="2010" dataDxfId="446" dataCellStyle="Pourcentage 2 2"/>
    <tableColumn id="9" xr3:uid="{00000000-0010-0000-0000-000009000000}" name="2011" dataDxfId="445" dataCellStyle="Pourcentage 2 2"/>
    <tableColumn id="10" xr3:uid="{00000000-0010-0000-0000-00000A000000}" name="2012" dataDxfId="444" dataCellStyle="Pourcentage 2 2"/>
    <tableColumn id="11" xr3:uid="{00000000-0010-0000-0000-00000B000000}" name="2013" dataDxfId="443" dataCellStyle="Pourcentage 2 2"/>
    <tableColumn id="12" xr3:uid="{00000000-0010-0000-0000-00000C000000}" name="2014" dataDxfId="442" dataCellStyle="Pourcentage 2 2"/>
    <tableColumn id="13" xr3:uid="{00000000-0010-0000-0000-00000D000000}" name="2015" dataDxfId="441" dataCellStyle="Pourcentage 2 2"/>
    <tableColumn id="14" xr3:uid="{00000000-0010-0000-0000-00000E000000}" name="2016" dataDxfId="440" dataCellStyle="Pourcentage 2 2"/>
    <tableColumn id="15" xr3:uid="{00000000-0010-0000-0000-00000F000000}" name="2017" dataDxfId="439" dataCellStyle="Pourcentage 2 2"/>
    <tableColumn id="16" xr3:uid="{00000000-0010-0000-0000-000010000000}" name="2018" dataDxfId="438" dataCellStyle="Pourcentage 2 2"/>
    <tableColumn id="17" xr3:uid="{00000000-0010-0000-0000-000011000000}" name="2019" dataDxfId="437" dataCellStyle="Milliers"/>
    <tableColumn id="18" xr3:uid="{00000000-0010-0000-0000-000012000000}" name="2020" dataDxfId="436" dataCellStyle="Milliers"/>
    <tableColumn id="23" xr3:uid="{00000000-0010-0000-0000-000017000000}" name="2021" dataDxfId="435" dataCellStyle="Milliers"/>
    <tableColumn id="24" xr3:uid="{00000000-0010-0000-0000-000018000000}" name="2022" dataDxfId="434" dataCellStyle="Milliers"/>
    <tableColumn id="25" xr3:uid="{00000000-0010-0000-0000-000019000000}" name="2023" dataDxfId="433" dataCellStyle="Milliers"/>
    <tableColumn id="26" xr3:uid="{00000000-0010-0000-0000-00001A000000}" name="2024" dataDxfId="432" dataCellStyle="Milliers"/>
    <tableColumn id="27" xr3:uid="{00000000-0010-0000-0000-00001B000000}" name="2025" dataDxfId="431" dataCellStyle="Milliers"/>
    <tableColumn id="28" xr3:uid="{00000000-0010-0000-0000-00001C000000}" name="2026" dataDxfId="430" dataCellStyle="Milliers"/>
    <tableColumn id="29" xr3:uid="{00000000-0010-0000-0000-00001D000000}" name="2027" dataDxfId="429" dataCellStyle="Milliers"/>
    <tableColumn id="30" xr3:uid="{00000000-0010-0000-0000-00001E000000}" name="2028" dataDxfId="428" dataCellStyle="Milliers"/>
    <tableColumn id="31" xr3:uid="{00000000-0010-0000-0000-00001F000000}" name="2029" dataDxfId="427" dataCellStyle="Milliers"/>
    <tableColumn id="32" xr3:uid="{00000000-0010-0000-0000-000020000000}" name="2030" dataDxfId="426" dataCellStyle="Milliers"/>
  </tableColumns>
  <tableStyleInfo name="TableStyleLight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3434897-BF7B-4613-BE5A-DC50C2BC765D}" name="Actions_bat_com" displayName="Actions_bat_com" ref="A3:P27" totalsRowShown="0" headerRowDxfId="334" headerRowBorderDxfId="333" tableBorderDxfId="332" totalsRowBorderDxfId="331">
  <autoFilter ref="A3:P27" xr:uid="{A3434897-BF7B-4613-BE5A-DC50C2BC765D}"/>
  <tableColumns count="16">
    <tableColumn id="1" xr3:uid="{7608EDE5-CC43-461D-AFA8-610F4BF3FCF4}" name="Bâtiment" dataDxfId="330"/>
    <tableColumn id="2" xr3:uid="{57F887D7-B5DA-4FB9-A0F2-24897D5480FE}" name="Titre de l'action" dataDxfId="329"/>
    <tableColumn id="3" xr3:uid="{AA05A64B-9097-4594-8B18-4BF1E05AC29C}" name="Domaine d'intervention" dataDxfId="328"/>
    <tableColumn id="4" xr3:uid="{9EA0A726-F8AA-43D7-A856-857590CF3501}" name="Moyen utilisé" dataDxfId="327"/>
    <tableColumn id="5" xr3:uid="{0B3D1DC7-0AA1-4EEF-B9CE-D6DE90F59179}" name="Description" dataDxfId="326"/>
    <tableColumn id="6" xr3:uid="{9AE887DE-5D6F-4A9B-9ABE-F34D917A9B2D}" name="Coût" dataDxfId="325"/>
    <tableColumn id="7" xr3:uid="{8CC03593-6DA7-4A1F-9F7E-BABD6CC4E521}" name="Subside" dataDxfId="324"/>
    <tableColumn id="8" xr3:uid="{75DFC295-7BDF-4B07-B8B2-1665FEF646FF}" name="Nom du programme (subside)" dataDxfId="323"/>
    <tableColumn id="9" xr3:uid="{1D208B8F-FE20-4A51-AB9A-222A401FDAC3}" name="Type de programme" dataDxfId="322"/>
    <tableColumn id="10" xr3:uid="{8BB81870-8E65-4A84-B255-E3B0BA414738}" name="Economie d'énergie (kWh/an)" dataDxfId="321" dataCellStyle="Milliers"/>
    <tableColumn id="11" xr3:uid="{C34E66C3-8669-4C7C-81B0-3295FF80A30E}" name="Gain financier annuel" dataDxfId="320"/>
    <tableColumn id="12" xr3:uid="{4801F0AC-9E12-4FD3-818E-1558428AE371}" name="TR sans subside " dataDxfId="319" dataCellStyle="Milliers">
      <calculatedColumnFormula>IF(K4=0,"-",F4/K4)</calculatedColumnFormula>
    </tableColumn>
    <tableColumn id="13" xr3:uid="{B03BE577-DE29-4A71-AEBD-AE4E709CD6DA}" name="TR avec subside " dataDxfId="318" dataCellStyle="Milliers">
      <calculatedColumnFormula>IF(K4=0,"-",(F4-G4)/K4)</calculatedColumnFormula>
    </tableColumn>
    <tableColumn id="14" xr3:uid="{DF207A4E-911F-4FB8-A2F9-3C233EE72AA8}" name="Réduction des émissions de (tCO2/an)" dataDxfId="317" dataCellStyle="Milliers"/>
    <tableColumn id="15" xr3:uid="{3FA2BFA2-358F-4E17-938C-62FB6CBAE24C}" name="Etat d'avancement" dataDxfId="316"/>
    <tableColumn id="16" xr3:uid="{0E8108FC-3096-4B4D-BD79-8180E04F2144}" name="Échéance" dataDxfId="31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573F4E1-2BFC-43AD-B9B1-364F42BCF1D9}" name="Actions" displayName="Actions" ref="A1:AJ70" totalsRowShown="0" headerRowDxfId="288" tableBorderDxfId="287" headerRowCellStyle="Normal 2">
  <autoFilter ref="A1:AJ70" xr:uid="{9573F4E1-2BFC-43AD-B9B1-364F42BCF1D9}"/>
  <tableColumns count="36">
    <tableColumn id="1" xr3:uid="{D7098C7D-E13F-4351-A2C7-5EFC610C0726}" name="Colonne1" dataDxfId="286"/>
    <tableColumn id="2" xr3:uid="{8480BB7B-4999-45B8-8EFC-C47E2880BABF}" name="POLLEC" dataDxfId="285" dataCellStyle="Normal 2"/>
    <tableColumn id="3" xr3:uid="{BD756D94-4DD7-4BF4-8266-D6C84FCB5BE7}" name="CdM" dataDxfId="284" dataCellStyle="Normal 2"/>
    <tableColumn id="4" xr3:uid="{6D79C1E9-7BA3-4B30-A5DE-EDB2AC6AFB43}" name="Adaptation / Atténuation" dataDxfId="283" dataCellStyle="Normal 2">
      <calculatedColumnFormula>IF(G2=0,"","Atténuation")</calculatedColumnFormula>
    </tableColumn>
    <tableColumn id="5" xr3:uid="{7914E3FA-D2EC-4C5F-B623-ED39A3540CE7}" name="Précarité" dataDxfId="282" dataCellStyle="Normal 2"/>
    <tableColumn id="6" xr3:uid="{AC488E1E-5A3B-46DB-BAD0-98DADEBDC95E}" name="N°" dataDxfId="281" dataCellStyle="Normal 2"/>
    <tableColumn id="7" xr3:uid="{166A9902-014F-4CA9-9650-9CEE758ED313}" name="Action" dataDxfId="280" dataCellStyle="Normal 2"/>
    <tableColumn id="8" xr3:uid="{C8F2CC41-73B0-49DC-BAD1-B9D5C4DBC971}" name="Secteur" dataDxfId="279" dataCellStyle="Normal 2">
      <calculatedColumnFormula>IF(G2=0,,Categories!$Z$5)</calculatedColumnFormula>
    </tableColumn>
    <tableColumn id="9" xr3:uid="{FE76C247-95BF-4406-B6E9-55DA7D6BE406}" name="Objectif ciblé 1" dataDxfId="278" dataCellStyle="Normal 2">
      <calculatedColumnFormula>Objectifs!$C$11</calculatedColumnFormula>
    </tableColumn>
    <tableColumn id="10" xr3:uid="{D949FEEB-F3A8-44F1-AFA6-191C28FD91D1}" name="Participation à l'objectif 1" dataDxfId="277" dataCellStyle="Normal 2"/>
    <tableColumn id="11" xr3:uid="{39CF3366-6217-4AF4-9025-386247EC1E00}" name="Objectif ciblé 2" dataDxfId="276" dataCellStyle="Normal 2"/>
    <tableColumn id="12" xr3:uid="{A6221E30-42E4-4225-8967-31BC2306502B}" name="Participation à l'objectif 2" dataDxfId="275" dataCellStyle="Normal 2"/>
    <tableColumn id="13" xr3:uid="{816E2F62-BE7B-49BB-83ED-EE2CF8D75AED}" name="Objectif ciblé 3" dataDxfId="274" dataCellStyle="Normal 2"/>
    <tableColumn id="14" xr3:uid="{7B7E0249-B5B2-4BE8-AE82-7EA3C94563EA}" name="Participation à l'objectif 3" dataDxfId="273" dataCellStyle="Normal 2"/>
    <tableColumn id="15" xr3:uid="{144D0CCD-C811-4F20-B462-CC7E881D5AB2}" name="Domaine d'intervention (ou risque climatique ciblé)" dataDxfId="272" dataCellStyle="Normal 2"/>
    <tableColumn id="16" xr3:uid="{873A5D98-6732-4028-8D6E-C35F0E7FFC12}" name="Moyen utilisé" dataDxfId="271" dataCellStyle="Normal 2"/>
    <tableColumn id="17" xr3:uid="{3EF1AB9A-5B8B-4C5D-8508-656611203D17}" name="Public cible 1" dataDxfId="270" dataCellStyle="Normal 2"/>
    <tableColumn id="18" xr3:uid="{6AC4D14F-FB5C-41B3-B08B-2ABBFCD01B95}" name="Public cible 2" dataDxfId="269" dataCellStyle="Normal 2"/>
    <tableColumn id="19" xr3:uid="{0F2AA61B-3903-4D42-8156-5C0D71EF70BA}" name="Public cible 3" dataDxfId="268" dataCellStyle="Normal 2"/>
    <tableColumn id="20" xr3:uid="{4E0031A2-9880-4730-BABF-02C833399D0E}" name="Public cible 4" dataDxfId="267" dataCellStyle="Normal 2"/>
    <tableColumn id="21" xr3:uid="{61F0EF9F-B25A-4217-80A3-3963DA610944}" name="Public cible 5" dataDxfId="266" dataCellStyle="Normal 2"/>
    <tableColumn id="22" xr3:uid="{30CDF724-8F0E-4486-A855-514433F772D9}" name="Origine de l'action" dataDxfId="265" dataCellStyle="Normal 2">
      <calculatedColumnFormula>Categories!$Q$11</calculatedColumnFormula>
    </tableColumn>
    <tableColumn id="23" xr3:uid="{F4989E3D-C212-451F-A6BD-3FAAC6BD8A85}" name="Partenaire à l'initiative de l'action" dataDxfId="264" dataCellStyle="Normal 2"/>
    <tableColumn id="24" xr3:uid="{9C1E1710-26E8-4FF1-B5ED-05ADE0B14AA2}" name="Service responsable" dataDxfId="263" dataCellStyle="Normal 2"/>
    <tableColumn id="25" xr3:uid="{2E13B7F5-4A79-48A9-A2C4-4048EA8201B9}" name="Début" dataDxfId="262" dataCellStyle="Normal 2">
      <calculatedColumnFormula>Z2</calculatedColumnFormula>
    </tableColumn>
    <tableColumn id="26" xr3:uid="{097AD55B-1C62-4268-BD72-EC22E49401CA}" name="Fin" dataDxfId="261" dataCellStyle="Normal 2"/>
    <tableColumn id="27" xr3:uid="{41AB5946-2C32-4F5E-9269-A4B02516A627}" name="Etat d'avancement" dataDxfId="260" dataCellStyle="Normal 2"/>
    <tableColumn id="28" xr3:uid="{10FA28CC-97DC-4263-A788-151890DD1033}" name="Dépensé à ce jour" dataDxfId="259" dataCellStyle="Normal 2"/>
    <tableColumn id="29" xr3:uid="{297D41CB-8A37-4C45-B960-BA429AD42E0E}" name="Coût estimé" dataDxfId="258" dataCellStyle="Normal 2"/>
    <tableColumn id="30" xr3:uid="{D94EA15F-2BB9-4ED5-A220-34A80409374C}" name="Type de dépense" dataDxfId="257" dataCellStyle="Normal 2"/>
    <tableColumn id="31" xr3:uid="{B58FDF6B-055F-44FB-9DAA-150F6EA3C2E6}" name="Subside" dataDxfId="256" dataCellStyle="Normal 2"/>
    <tableColumn id="32" xr3:uid="{8B8130BB-672E-4C17-B5A6-27D1AB254F42}" name="Type" dataDxfId="255" dataCellStyle="Normal 2"/>
    <tableColumn id="33" xr3:uid="{BE1F0B2D-A148-4DAA-8D7F-62455C35E634}" name="Economies d'énergie (MWh/an)" dataDxfId="254" dataCellStyle="Milliers"/>
    <tableColumn id="34" xr3:uid="{A9AA418A-634D-4B7E-B48D-FF127560F8B8}" name="Production d'énergie renouvelable (MWh/an)" dataDxfId="253" dataCellStyle="Normal 2"/>
    <tableColumn id="35" xr3:uid="{F53399FA-A07D-4EBD-AAFD-ADE65038B05C}" name="Réduction des émissions (tCO2/an)" dataDxfId="252" dataCellStyle="Milliers"/>
    <tableColumn id="36" xr3:uid="{4060EE96-029B-421D-B8D5-7A55590C2E94}" name="Gain financier annuel" dataDxfId="251" dataCellStyle="Milliers"/>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E93189-550F-4CC1-8358-FD0BE75A4D40}" name="Tableau1" displayName="Tableau1" ref="A28:C67" totalsRowShown="0" headerRowDxfId="230" dataDxfId="228" headerRowBorderDxfId="229" tableBorderDxfId="227">
  <autoFilter ref="A28:C67" xr:uid="{00000000-0009-0000-0100-000001000000}">
    <filterColumn colId="0" hiddenButton="1"/>
    <filterColumn colId="1" hiddenButton="1">
      <customFilters>
        <customFilter operator="notEqual" val="0"/>
      </customFilters>
    </filterColumn>
    <filterColumn colId="2" hiddenButton="1"/>
  </autoFilter>
  <tableColumns count="3">
    <tableColumn id="1" xr3:uid="{1EDA8E7F-10F9-4120-9CF0-991C994D96A8}" name="Secteur/Filière" dataDxfId="226"/>
    <tableColumn id="2" xr3:uid="{3BDB8A21-282E-4751-9B57-05D8EA4118D9}" name="Objectif" dataDxfId="225"/>
    <tableColumn id="3" xr3:uid="{0233CF94-B48F-4C49-AF3D-A5AE137D8CCC}" name="Etat d'avancement" dataDxfId="224" dataCellStyle="Procent 11 2"/>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1EE643-3546-44E8-9016-82198F652666}" name="Tableau2" displayName="Tableau2" ref="A71:G140" totalsRowShown="0" headerRowDxfId="223" dataDxfId="222" tableBorderDxfId="221">
  <autoFilter ref="A71:G140" xr:uid="{00000000-0009-0000-0100-000002000000}">
    <filterColumn colId="0" hiddenButton="1"/>
    <filterColumn colId="1" hiddenButton="1">
      <customFilters>
        <customFilter operator="notEqual" val="0"/>
      </customFilters>
    </filterColumn>
    <filterColumn colId="2" hiddenButton="1"/>
    <filterColumn colId="3" hiddenButton="1"/>
    <filterColumn colId="4" hiddenButton="1"/>
    <filterColumn colId="5" hiddenButton="1"/>
    <filterColumn colId="6" hiddenButton="1"/>
  </autoFilter>
  <tableColumns count="7">
    <tableColumn id="1" xr3:uid="{BEDA6C53-005B-497C-8CC7-D4425EA9428B}" name="N° " dataDxfId="220"/>
    <tableColumn id="2" xr3:uid="{D8ECBA30-9CC7-4726-BB83-8A8077963BC0}" name="Titre" dataDxfId="219"/>
    <tableColumn id="3" xr3:uid="{E56D58AA-0A8E-4D3B-BCBA-267317BF1199}" name="Coût estimé" dataDxfId="218"/>
    <tableColumn id="4" xr3:uid="{3A1A96A3-BDA1-495D-92A8-453EF6FA0E97}" name="Dépensé à ce jour" dataDxfId="217"/>
    <tableColumn id="5" xr3:uid="{460365C8-D9C3-4FB5-AD0D-7A2170E90C85}" name="Lancement" dataDxfId="216" dataCellStyle="Milliers 4 4"/>
    <tableColumn id="6" xr3:uid="{F1E44A3D-749F-465A-82DC-EEFB326E8553}" name="Échéance" dataDxfId="215"/>
    <tableColumn id="7" xr3:uid="{6D914C11-79E8-4D4A-9A27-B1DC6F3E042B}" name="Etat d'avancement" dataDxfId="214"/>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8" dT="2020-07-10T07:22:09.13" personId="{1F08FE89-33B0-4EF3-9E1D-87120B33E7C0}" id="{8D196241-05E7-44F2-9565-2E8CC7EAF6C8}">
    <text>Moyenne propane (0,2354), butane (0,2390)</text>
  </threadedComment>
</ThreadedComment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innergies.be" TargetMode="External"/><Relationship Id="rId1" Type="http://schemas.openxmlformats.org/officeDocument/2006/relationships/hyperlink" Target="http://www.innergies.be/"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hyperlink" Target="http://lampspw.wallonie.be/dgo4/conventiondesmaires/outils" TargetMode="External"/><Relationship Id="rId2" Type="http://schemas.openxmlformats.org/officeDocument/2006/relationships/hyperlink" Target="http://www.innergies.be/" TargetMode="External"/><Relationship Id="rId1" Type="http://schemas.openxmlformats.org/officeDocument/2006/relationships/hyperlink" Target="mailto:info@innergies.b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ctrlProp" Target="../ctrlProps/ctrlProp3.xml"/><Relationship Id="rId7" Type="http://schemas.openxmlformats.org/officeDocument/2006/relationships/table" Target="../tables/table8.xml"/><Relationship Id="rId2" Type="http://schemas.openxmlformats.org/officeDocument/2006/relationships/vmlDrawing" Target="../drawings/vmlDrawing3.vml"/><Relationship Id="rId1" Type="http://schemas.openxmlformats.org/officeDocument/2006/relationships/drawing" Target="../drawings/drawing4.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table" Target="../tables/table11.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9.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15.xml"/><Relationship Id="rId16" Type="http://schemas.openxmlformats.org/officeDocument/2006/relationships/ctrlProp" Target="../ctrlProps/ctrlProp20.xml"/><Relationship Id="rId1" Type="http://schemas.openxmlformats.org/officeDocument/2006/relationships/printerSettings" Target="../printerSettings/printerSettings11.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3.bin"/><Relationship Id="rId5" Type="http://schemas.openxmlformats.org/officeDocument/2006/relationships/table" Target="../tables/table1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11.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17.xml"/><Relationship Id="rId16" Type="http://schemas.openxmlformats.org/officeDocument/2006/relationships/ctrlProp" Target="../ctrlProps/ctrlProp34.xml"/><Relationship Id="rId1" Type="http://schemas.openxmlformats.org/officeDocument/2006/relationships/printerSettings" Target="../printerSettings/printerSettings14.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pivotTable" Target="../pivotTables/pivotTable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16.bin"/><Relationship Id="rId4" Type="http://schemas.openxmlformats.org/officeDocument/2006/relationships/ctrlProp" Target="../ctrlProps/ctrlProp3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18.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ctrlProp" Target="../ctrlProps/ctrlProp3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ctrlProp" Target="../ctrlProps/ctrlProp37.x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vmlDrawing" Target="../drawings/vmlDrawing14.vml"/><Relationship Id="rId1" Type="http://schemas.openxmlformats.org/officeDocument/2006/relationships/drawing" Target="../drawings/drawing25.xml"/><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ctrlProp" Target="../ctrlProps/ctrlProp50.x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vmlDrawing" Target="../drawings/vmlDrawing15.vml"/><Relationship Id="rId1" Type="http://schemas.openxmlformats.org/officeDocument/2006/relationships/drawing" Target="../drawings/drawing26.xml"/><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ctrlProp" Target="../ctrlProps/ctrlProp63.x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vmlDrawing" Target="../drawings/vmlDrawing16.vml"/><Relationship Id="rId1" Type="http://schemas.openxmlformats.org/officeDocument/2006/relationships/drawing" Target="../drawings/drawing27.xml"/><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3" Type="http://schemas.openxmlformats.org/officeDocument/2006/relationships/ctrlProp" Target="../ctrlProps/ctrlProp76.xml"/><Relationship Id="rId7" Type="http://schemas.openxmlformats.org/officeDocument/2006/relationships/ctrlProp" Target="../ctrlProps/ctrlProp80.xml"/><Relationship Id="rId12" Type="http://schemas.openxmlformats.org/officeDocument/2006/relationships/ctrlProp" Target="../ctrlProps/ctrlProp85.xml"/><Relationship Id="rId2" Type="http://schemas.openxmlformats.org/officeDocument/2006/relationships/vmlDrawing" Target="../drawings/vmlDrawing17.vml"/><Relationship Id="rId1" Type="http://schemas.openxmlformats.org/officeDocument/2006/relationships/drawing" Target="../drawings/drawing28.xml"/><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3" Type="http://schemas.openxmlformats.org/officeDocument/2006/relationships/ctrlProp" Target="../ctrlProps/ctrlProp89.xml"/><Relationship Id="rId7" Type="http://schemas.openxmlformats.org/officeDocument/2006/relationships/ctrlProp" Target="../ctrlProps/ctrlProp93.xml"/><Relationship Id="rId12" Type="http://schemas.openxmlformats.org/officeDocument/2006/relationships/ctrlProp" Target="../ctrlProps/ctrlProp98.xml"/><Relationship Id="rId2" Type="http://schemas.openxmlformats.org/officeDocument/2006/relationships/vmlDrawing" Target="../drawings/vmlDrawing18.vml"/><Relationship Id="rId1" Type="http://schemas.openxmlformats.org/officeDocument/2006/relationships/drawing" Target="../drawings/drawing29.xml"/><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10" Type="http://schemas.openxmlformats.org/officeDocument/2006/relationships/ctrlProp" Target="../ctrlProps/ctrlProp96.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3" Type="http://schemas.openxmlformats.org/officeDocument/2006/relationships/ctrlProp" Target="../ctrlProps/ctrlProp102.xml"/><Relationship Id="rId7" Type="http://schemas.openxmlformats.org/officeDocument/2006/relationships/ctrlProp" Target="../ctrlProps/ctrlProp106.xml"/><Relationship Id="rId12" Type="http://schemas.openxmlformats.org/officeDocument/2006/relationships/ctrlProp" Target="../ctrlProps/ctrlProp111.xml"/><Relationship Id="rId2" Type="http://schemas.openxmlformats.org/officeDocument/2006/relationships/vmlDrawing" Target="../drawings/vmlDrawing19.vml"/><Relationship Id="rId1" Type="http://schemas.openxmlformats.org/officeDocument/2006/relationships/drawing" Target="../drawings/drawing30.xml"/><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5" Type="http://schemas.openxmlformats.org/officeDocument/2006/relationships/ctrlProp" Target="../ctrlProps/ctrlProp114.xml"/><Relationship Id="rId10" Type="http://schemas.openxmlformats.org/officeDocument/2006/relationships/ctrlProp" Target="../ctrlProps/ctrlProp109.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20.vml"/><Relationship Id="rId1" Type="http://schemas.openxmlformats.org/officeDocument/2006/relationships/printerSettings" Target="../printerSettings/printerSettings22.bin"/><Relationship Id="rId4" Type="http://schemas.microsoft.com/office/2017/10/relationships/threadedComment" Target="../threadedComments/threadedComment1.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ADD58-733F-44C6-B530-A42DC549DF77}">
  <sheetPr codeName="Feuil33">
    <tabColor theme="8" tint="0.79998168889431442"/>
  </sheetPr>
  <dimension ref="A1:C264"/>
  <sheetViews>
    <sheetView topLeftCell="A239" workbookViewId="0">
      <selection activeCell="A2" sqref="A2:A264"/>
    </sheetView>
  </sheetViews>
  <sheetFormatPr baseColWidth="10" defaultRowHeight="14.4"/>
  <cols>
    <col min="1" max="1" width="22.33203125" bestFit="1" customWidth="1"/>
    <col min="2" max="2" width="11.5546875" style="1688"/>
  </cols>
  <sheetData>
    <row r="1" spans="1:3">
      <c r="A1" t="s">
        <v>2219</v>
      </c>
      <c r="B1" s="1688" t="s">
        <v>2220</v>
      </c>
      <c r="C1" t="s">
        <v>2482</v>
      </c>
    </row>
    <row r="3" spans="1:3">
      <c r="A3" s="1689" t="s">
        <v>2221</v>
      </c>
      <c r="B3" s="1688">
        <v>52074</v>
      </c>
      <c r="C3" t="s">
        <v>2521</v>
      </c>
    </row>
    <row r="4" spans="1:3">
      <c r="A4" s="1689" t="s">
        <v>2222</v>
      </c>
      <c r="B4" s="1688">
        <v>61003</v>
      </c>
      <c r="C4" t="s">
        <v>2522</v>
      </c>
    </row>
    <row r="5" spans="1:3">
      <c r="A5" s="1689" t="s">
        <v>2223</v>
      </c>
      <c r="B5" s="1688">
        <v>63001</v>
      </c>
      <c r="C5" t="s">
        <v>2523</v>
      </c>
    </row>
    <row r="6" spans="1:3">
      <c r="A6" s="1689" t="s">
        <v>2224</v>
      </c>
      <c r="B6" s="1688">
        <v>92003</v>
      </c>
      <c r="C6" t="s">
        <v>2524</v>
      </c>
    </row>
    <row r="7" spans="1:3">
      <c r="A7" s="1689" t="s">
        <v>2225</v>
      </c>
      <c r="B7" s="1688">
        <v>56001</v>
      </c>
      <c r="C7" t="s">
        <v>2525</v>
      </c>
    </row>
    <row r="8" spans="1:3">
      <c r="A8" s="1689" t="s">
        <v>2226</v>
      </c>
      <c r="B8" s="1688">
        <v>91005</v>
      </c>
      <c r="C8" t="s">
        <v>2526</v>
      </c>
    </row>
    <row r="9" spans="1:3">
      <c r="A9" s="1689" t="s">
        <v>2227</v>
      </c>
      <c r="B9" s="1688">
        <v>62003</v>
      </c>
      <c r="C9" t="s">
        <v>2527</v>
      </c>
    </row>
    <row r="10" spans="1:3">
      <c r="A10" s="1689" t="s">
        <v>2228</v>
      </c>
      <c r="B10" s="1688">
        <v>61079</v>
      </c>
      <c r="C10" t="s">
        <v>2528</v>
      </c>
    </row>
    <row r="11" spans="1:3">
      <c r="A11" s="1689" t="s">
        <v>2229</v>
      </c>
      <c r="B11" s="1688">
        <v>57003</v>
      </c>
      <c r="C11" t="s">
        <v>2529</v>
      </c>
    </row>
    <row r="12" spans="1:3">
      <c r="A12" s="1689" t="s">
        <v>2230</v>
      </c>
      <c r="B12" s="1688">
        <v>81001</v>
      </c>
      <c r="C12" t="s">
        <v>2530</v>
      </c>
    </row>
    <row r="13" spans="1:3">
      <c r="A13" s="1689" t="s">
        <v>2231</v>
      </c>
      <c r="B13" s="1688">
        <v>92006</v>
      </c>
      <c r="C13" t="s">
        <v>2531</v>
      </c>
    </row>
    <row r="14" spans="1:3">
      <c r="A14" s="1689" t="s">
        <v>2232</v>
      </c>
      <c r="B14" s="1688">
        <v>51004</v>
      </c>
      <c r="C14" t="s">
        <v>2532</v>
      </c>
    </row>
    <row r="15" spans="1:3">
      <c r="A15" s="1689" t="s">
        <v>2233</v>
      </c>
      <c r="B15" s="1688">
        <v>81003</v>
      </c>
      <c r="C15" t="s">
        <v>2533</v>
      </c>
    </row>
    <row r="16" spans="1:3">
      <c r="A16" s="1689" t="s">
        <v>2234</v>
      </c>
      <c r="B16" s="1688">
        <v>81004</v>
      </c>
      <c r="C16" t="s">
        <v>2534</v>
      </c>
    </row>
    <row r="17" spans="1:3">
      <c r="A17" s="1689" t="s">
        <v>2235</v>
      </c>
      <c r="B17" s="1688">
        <v>63003</v>
      </c>
      <c r="C17" t="s">
        <v>2535</v>
      </c>
    </row>
    <row r="18" spans="1:3">
      <c r="A18" s="1689" t="s">
        <v>2236</v>
      </c>
      <c r="B18" s="1688">
        <v>62006</v>
      </c>
      <c r="C18" t="s">
        <v>2536</v>
      </c>
    </row>
    <row r="19" spans="1:3">
      <c r="A19" s="1689" t="s">
        <v>2237</v>
      </c>
      <c r="B19" s="1688">
        <v>62009</v>
      </c>
      <c r="C19" t="s">
        <v>2538</v>
      </c>
    </row>
    <row r="20" spans="1:3">
      <c r="A20" s="1689" t="s">
        <v>2238</v>
      </c>
      <c r="B20" s="1688">
        <v>63004</v>
      </c>
      <c r="C20" t="s">
        <v>2537</v>
      </c>
    </row>
    <row r="21" spans="1:3">
      <c r="A21" s="1689" t="s">
        <v>2239</v>
      </c>
      <c r="B21" s="1688">
        <v>62011</v>
      </c>
      <c r="C21" t="s">
        <v>2540</v>
      </c>
    </row>
    <row r="22" spans="1:3">
      <c r="A22" s="1689" t="s">
        <v>2240</v>
      </c>
      <c r="B22" s="1688">
        <v>82003</v>
      </c>
      <c r="C22" t="s">
        <v>2541</v>
      </c>
    </row>
    <row r="23" spans="1:3">
      <c r="A23" s="1689" t="s">
        <v>2241</v>
      </c>
      <c r="B23" s="1688">
        <v>56005</v>
      </c>
      <c r="C23" t="s">
        <v>2542</v>
      </c>
    </row>
    <row r="24" spans="1:3">
      <c r="A24" s="1689" t="s">
        <v>2242</v>
      </c>
      <c r="B24" s="1688">
        <v>91013</v>
      </c>
      <c r="C24" t="s">
        <v>2543</v>
      </c>
    </row>
    <row r="25" spans="1:3">
      <c r="A25" s="1689" t="s">
        <v>2243</v>
      </c>
      <c r="B25" s="1688">
        <v>25005</v>
      </c>
      <c r="C25" t="s">
        <v>2544</v>
      </c>
    </row>
    <row r="26" spans="1:3">
      <c r="A26" s="1689" t="s">
        <v>2244</v>
      </c>
      <c r="B26" s="1688">
        <v>51008</v>
      </c>
      <c r="C26" t="s">
        <v>2545</v>
      </c>
    </row>
    <row r="27" spans="1:3">
      <c r="A27" s="1689" t="s">
        <v>2245</v>
      </c>
      <c r="B27" s="1688">
        <v>64008</v>
      </c>
      <c r="C27" t="s">
        <v>2546</v>
      </c>
    </row>
    <row r="28" spans="1:3">
      <c r="A28" s="1689" t="s">
        <v>2246</v>
      </c>
      <c r="B28" s="1688">
        <v>51009</v>
      </c>
      <c r="C28" t="s">
        <v>2547</v>
      </c>
    </row>
    <row r="29" spans="1:3">
      <c r="A29" s="1689" t="s">
        <v>2247</v>
      </c>
      <c r="B29" s="1688">
        <v>82005</v>
      </c>
      <c r="C29" t="s">
        <v>2548</v>
      </c>
    </row>
    <row r="30" spans="1:3">
      <c r="A30" s="1689" t="s">
        <v>2248</v>
      </c>
      <c r="B30" s="1688">
        <v>84009</v>
      </c>
      <c r="C30" t="s">
        <v>2549</v>
      </c>
    </row>
    <row r="31" spans="1:3">
      <c r="A31" s="1689" t="s">
        <v>2249</v>
      </c>
      <c r="B31" s="1688">
        <v>62015</v>
      </c>
      <c r="C31" t="s">
        <v>2539</v>
      </c>
    </row>
    <row r="32" spans="1:3">
      <c r="A32" s="1689" t="s">
        <v>2250</v>
      </c>
      <c r="B32" s="1688">
        <v>91015</v>
      </c>
      <c r="C32" t="s">
        <v>2550</v>
      </c>
    </row>
    <row r="33" spans="1:3">
      <c r="A33" s="1689" t="s">
        <v>2251</v>
      </c>
      <c r="B33" s="1688">
        <v>58002</v>
      </c>
      <c r="C33" t="s">
        <v>2551</v>
      </c>
    </row>
    <row r="34" spans="1:3">
      <c r="A34" s="1689" t="s">
        <v>2252</v>
      </c>
      <c r="B34" s="1688">
        <v>62119</v>
      </c>
      <c r="C34" t="s">
        <v>2552</v>
      </c>
    </row>
    <row r="35" spans="1:3">
      <c r="A35" s="1689" t="s">
        <v>2253</v>
      </c>
      <c r="B35" s="1688">
        <v>84010</v>
      </c>
      <c r="C35" t="s">
        <v>2554</v>
      </c>
    </row>
    <row r="36" spans="1:3">
      <c r="A36" s="1689" t="s">
        <v>2254</v>
      </c>
      <c r="B36" s="1688">
        <v>53014</v>
      </c>
      <c r="C36" t="s">
        <v>2555</v>
      </c>
    </row>
    <row r="37" spans="1:3">
      <c r="A37" t="s">
        <v>2255</v>
      </c>
      <c r="B37" s="1688">
        <v>25014</v>
      </c>
      <c r="C37" t="s">
        <v>2556</v>
      </c>
    </row>
    <row r="38" spans="1:3">
      <c r="A38" s="1689" t="s">
        <v>2256</v>
      </c>
      <c r="B38" s="1688">
        <v>25015</v>
      </c>
      <c r="C38" t="s">
        <v>2557</v>
      </c>
    </row>
    <row r="39" spans="1:3">
      <c r="A39" s="1689" t="s">
        <v>2257</v>
      </c>
      <c r="B39" s="1688">
        <v>55004</v>
      </c>
      <c r="C39" t="s">
        <v>2553</v>
      </c>
    </row>
    <row r="40" spans="1:3">
      <c r="A40" s="1689" t="s">
        <v>2258</v>
      </c>
      <c r="B40" s="1688">
        <v>64015</v>
      </c>
      <c r="C40" t="s">
        <v>2559</v>
      </c>
    </row>
    <row r="41" spans="1:3">
      <c r="A41" s="1689" t="s">
        <v>2259</v>
      </c>
      <c r="B41" s="1688">
        <v>51012</v>
      </c>
      <c r="C41" t="s">
        <v>2558</v>
      </c>
    </row>
    <row r="42" spans="1:3">
      <c r="A42" s="1689" t="s">
        <v>2260</v>
      </c>
      <c r="B42" s="1688">
        <v>57093</v>
      </c>
      <c r="C42" t="s">
        <v>2561</v>
      </c>
    </row>
    <row r="43" spans="1:3">
      <c r="A43" s="1689" t="s">
        <v>2261</v>
      </c>
      <c r="B43" s="1688">
        <v>63012</v>
      </c>
      <c r="C43" t="s">
        <v>2562</v>
      </c>
    </row>
    <row r="44" spans="1:3">
      <c r="A44" s="1689" t="s">
        <v>2262</v>
      </c>
      <c r="B44" s="1688">
        <v>61010</v>
      </c>
      <c r="C44" t="s">
        <v>2563</v>
      </c>
    </row>
    <row r="45" spans="1:3">
      <c r="A45" s="1689" t="s">
        <v>2263</v>
      </c>
      <c r="B45" s="1688">
        <v>63087</v>
      </c>
      <c r="C45" t="s">
        <v>2564</v>
      </c>
    </row>
    <row r="46" spans="1:3">
      <c r="A46" s="1689" t="s">
        <v>2264</v>
      </c>
      <c r="B46" s="1688">
        <v>63013</v>
      </c>
      <c r="C46" t="s">
        <v>2565</v>
      </c>
    </row>
    <row r="47" spans="1:3">
      <c r="A47" s="1689" t="s">
        <v>2265</v>
      </c>
      <c r="B47" s="1688">
        <v>57018</v>
      </c>
      <c r="C47" t="s">
        <v>2566</v>
      </c>
    </row>
    <row r="48" spans="1:3">
      <c r="A48" s="1689" t="s">
        <v>2266</v>
      </c>
      <c r="B48" s="1688">
        <v>93010</v>
      </c>
      <c r="C48" t="s">
        <v>2560</v>
      </c>
    </row>
    <row r="49" spans="1:3">
      <c r="A49" s="1689" t="s">
        <v>2267</v>
      </c>
      <c r="B49" s="1688">
        <v>52010</v>
      </c>
      <c r="C49" t="s">
        <v>2568</v>
      </c>
    </row>
    <row r="50" spans="1:3">
      <c r="A50" s="1689" t="s">
        <v>2268</v>
      </c>
      <c r="B50" s="1688">
        <v>52011</v>
      </c>
      <c r="C50" t="s">
        <v>2569</v>
      </c>
    </row>
    <row r="51" spans="1:3">
      <c r="A51" s="1689" t="s">
        <v>2269</v>
      </c>
      <c r="B51" s="1688">
        <v>25117</v>
      </c>
      <c r="C51" t="s">
        <v>2567</v>
      </c>
    </row>
    <row r="52" spans="1:3">
      <c r="A52" s="1689" t="s">
        <v>2270</v>
      </c>
      <c r="B52" s="1688">
        <v>52012</v>
      </c>
      <c r="C52" t="s">
        <v>2571</v>
      </c>
    </row>
    <row r="53" spans="1:3">
      <c r="A53" s="1689" t="s">
        <v>2271</v>
      </c>
      <c r="B53" s="1688">
        <v>62022</v>
      </c>
      <c r="C53" t="s">
        <v>2572</v>
      </c>
    </row>
    <row r="54" spans="1:3">
      <c r="A54" s="1689" t="s">
        <v>2272</v>
      </c>
      <c r="B54" s="1688">
        <v>25018</v>
      </c>
      <c r="C54" t="s">
        <v>2573</v>
      </c>
    </row>
    <row r="55" spans="1:3">
      <c r="A55" s="1689" t="s">
        <v>2273</v>
      </c>
      <c r="B55" s="1688">
        <v>51014</v>
      </c>
      <c r="C55" t="s">
        <v>2574</v>
      </c>
    </row>
    <row r="56" spans="1:3">
      <c r="A56" s="1689" t="s">
        <v>2274</v>
      </c>
      <c r="B56" s="1688">
        <v>56016</v>
      </c>
      <c r="C56" t="s">
        <v>2575</v>
      </c>
    </row>
    <row r="57" spans="1:3">
      <c r="A57" s="1689" t="s">
        <v>2275</v>
      </c>
      <c r="B57" s="1688">
        <v>85007</v>
      </c>
      <c r="C57" t="s">
        <v>2576</v>
      </c>
    </row>
    <row r="58" spans="1:3">
      <c r="A58" s="1689" t="s">
        <v>2276</v>
      </c>
      <c r="B58" s="1688">
        <v>91030</v>
      </c>
      <c r="C58" t="s">
        <v>2577</v>
      </c>
    </row>
    <row r="59" spans="1:3">
      <c r="A59" s="1689" t="s">
        <v>2277</v>
      </c>
      <c r="B59" s="1688">
        <v>61012</v>
      </c>
      <c r="C59" t="s">
        <v>2578</v>
      </c>
    </row>
    <row r="60" spans="1:3">
      <c r="A60" s="1689" t="s">
        <v>2278</v>
      </c>
      <c r="B60" s="1688">
        <v>53082</v>
      </c>
      <c r="C60" t="s">
        <v>2570</v>
      </c>
    </row>
    <row r="61" spans="1:3">
      <c r="A61" s="1689" t="s">
        <v>2279</v>
      </c>
      <c r="B61" s="1688">
        <v>62026</v>
      </c>
      <c r="C61" t="s">
        <v>2579</v>
      </c>
    </row>
    <row r="62" spans="1:3">
      <c r="A62" s="1689" t="s">
        <v>2280</v>
      </c>
      <c r="B62" s="1688">
        <v>57097</v>
      </c>
      <c r="C62" t="s">
        <v>2581</v>
      </c>
    </row>
    <row r="63" spans="1:3">
      <c r="A63" s="1689" t="s">
        <v>2281</v>
      </c>
      <c r="B63" s="1688">
        <v>52015</v>
      </c>
      <c r="C63" t="s">
        <v>2583</v>
      </c>
    </row>
    <row r="64" spans="1:3">
      <c r="A64" s="1689" t="s">
        <v>2282</v>
      </c>
      <c r="B64" s="1688">
        <v>25023</v>
      </c>
      <c r="C64" t="s">
        <v>2584</v>
      </c>
    </row>
    <row r="65" spans="1:3">
      <c r="A65" s="1689" t="s">
        <v>2283</v>
      </c>
      <c r="B65" s="1688">
        <v>93014</v>
      </c>
      <c r="C65" t="s">
        <v>2585</v>
      </c>
    </row>
    <row r="66" spans="1:3">
      <c r="A66" s="1689" t="s">
        <v>2284</v>
      </c>
      <c r="B66" s="1688">
        <v>64021</v>
      </c>
      <c r="C66" t="s">
        <v>2580</v>
      </c>
    </row>
    <row r="67" spans="1:3">
      <c r="A67" s="1689" t="s">
        <v>2285</v>
      </c>
      <c r="B67" s="1688">
        <v>62027</v>
      </c>
      <c r="C67" t="s">
        <v>2588</v>
      </c>
    </row>
    <row r="68" spans="1:3">
      <c r="A68" s="1689" t="s">
        <v>2286</v>
      </c>
      <c r="B68" s="1688">
        <v>84016</v>
      </c>
      <c r="C68" t="s">
        <v>2582</v>
      </c>
    </row>
    <row r="69" spans="1:3">
      <c r="A69" s="1689" t="s">
        <v>2287</v>
      </c>
      <c r="B69" s="1688">
        <v>91034</v>
      </c>
      <c r="C69" t="s">
        <v>2590</v>
      </c>
    </row>
    <row r="70" spans="1:3">
      <c r="A70" s="1689" t="s">
        <v>2288</v>
      </c>
      <c r="B70" s="1688">
        <v>63020</v>
      </c>
      <c r="C70" t="s">
        <v>2591</v>
      </c>
    </row>
    <row r="71" spans="1:3">
      <c r="A71" s="1689" t="s">
        <v>2289</v>
      </c>
      <c r="B71" s="1688">
        <v>93018</v>
      </c>
      <c r="C71" t="s">
        <v>2586</v>
      </c>
    </row>
    <row r="72" spans="1:3">
      <c r="A72" s="1689" t="s">
        <v>2290</v>
      </c>
      <c r="B72" s="1688">
        <v>64023</v>
      </c>
      <c r="C72" t="s">
        <v>2593</v>
      </c>
    </row>
    <row r="73" spans="1:3">
      <c r="A73" s="1689" t="s">
        <v>2291</v>
      </c>
      <c r="B73" s="1688">
        <v>53020</v>
      </c>
      <c r="C73" t="s">
        <v>2594</v>
      </c>
    </row>
    <row r="74" spans="1:3">
      <c r="A74" s="1689" t="s">
        <v>2292</v>
      </c>
      <c r="B74" s="1688">
        <v>83012</v>
      </c>
      <c r="C74" t="s">
        <v>2595</v>
      </c>
    </row>
    <row r="75" spans="1:3">
      <c r="A75" s="1689" t="s">
        <v>2293</v>
      </c>
      <c r="B75" s="1688">
        <v>55050</v>
      </c>
      <c r="C75" t="s">
        <v>2596</v>
      </c>
    </row>
    <row r="76" spans="1:3">
      <c r="A76" s="1689" t="s">
        <v>2294</v>
      </c>
      <c r="B76" s="1688">
        <v>92035</v>
      </c>
      <c r="C76" t="s">
        <v>2597</v>
      </c>
    </row>
    <row r="77" spans="1:3">
      <c r="A77" s="1689" t="s">
        <v>2295</v>
      </c>
      <c r="B77" s="1688">
        <v>51017</v>
      </c>
      <c r="C77" t="s">
        <v>2587</v>
      </c>
    </row>
    <row r="78" spans="1:3">
      <c r="A78" s="1689" t="s">
        <v>2296</v>
      </c>
      <c r="B78" s="1688">
        <v>51067</v>
      </c>
      <c r="C78" t="s">
        <v>2599</v>
      </c>
    </row>
    <row r="79" spans="1:3">
      <c r="A79" s="1689" t="s">
        <v>2297</v>
      </c>
      <c r="B79" s="1688">
        <v>61080</v>
      </c>
      <c r="C79" t="s">
        <v>2600</v>
      </c>
    </row>
    <row r="80" spans="1:3">
      <c r="A80" s="1689" t="s">
        <v>2298</v>
      </c>
      <c r="B80" s="1688">
        <v>83013</v>
      </c>
      <c r="C80" t="s">
        <v>2601</v>
      </c>
    </row>
    <row r="81" spans="1:3">
      <c r="A81" s="1689" t="s">
        <v>2299</v>
      </c>
      <c r="B81" s="1688">
        <v>56022</v>
      </c>
      <c r="C81" t="s">
        <v>2589</v>
      </c>
    </row>
    <row r="82" spans="1:3">
      <c r="A82" s="1689" t="s">
        <v>2300</v>
      </c>
      <c r="B82" s="1688">
        <v>62032</v>
      </c>
      <c r="C82" t="s">
        <v>2603</v>
      </c>
    </row>
    <row r="83" spans="1:3">
      <c r="A83" s="1689" t="s">
        <v>2301</v>
      </c>
      <c r="B83" s="1688">
        <v>57027</v>
      </c>
      <c r="C83" t="s">
        <v>2604</v>
      </c>
    </row>
    <row r="84" spans="1:3">
      <c r="A84" s="1689" t="s">
        <v>2302</v>
      </c>
      <c r="B84" s="1688">
        <v>58003</v>
      </c>
      <c r="C84" t="s">
        <v>2592</v>
      </c>
    </row>
    <row r="85" spans="1:3">
      <c r="A85" s="1689" t="s">
        <v>2303</v>
      </c>
      <c r="B85" s="1688">
        <v>85009</v>
      </c>
      <c r="C85" t="s">
        <v>2606</v>
      </c>
    </row>
    <row r="86" spans="1:3">
      <c r="A86" s="1689" t="s">
        <v>2304</v>
      </c>
      <c r="B86" s="1688">
        <v>63023</v>
      </c>
      <c r="C86" t="s">
        <v>2607</v>
      </c>
    </row>
    <row r="87" spans="1:3">
      <c r="A87" s="1689" t="s">
        <v>2305</v>
      </c>
      <c r="B87" s="1688">
        <v>64076</v>
      </c>
      <c r="C87" t="s">
        <v>2608</v>
      </c>
    </row>
    <row r="88" spans="1:3">
      <c r="A88" s="1689" t="s">
        <v>2306</v>
      </c>
      <c r="B88" s="1688">
        <v>52018</v>
      </c>
      <c r="C88" t="s">
        <v>2598</v>
      </c>
    </row>
    <row r="89" spans="1:3">
      <c r="A89" s="1689" t="s">
        <v>2307</v>
      </c>
      <c r="B89" s="1688">
        <v>82009</v>
      </c>
      <c r="C89" t="s">
        <v>2610</v>
      </c>
    </row>
    <row r="90" spans="1:3">
      <c r="A90" s="1689" t="s">
        <v>2308</v>
      </c>
      <c r="B90" s="1688">
        <v>92138</v>
      </c>
      <c r="C90" t="s">
        <v>2611</v>
      </c>
    </row>
    <row r="91" spans="1:3">
      <c r="A91" s="1689" t="s">
        <v>2309</v>
      </c>
      <c r="B91" s="1688">
        <v>61019</v>
      </c>
      <c r="C91" t="s">
        <v>2612</v>
      </c>
    </row>
    <row r="92" spans="1:3">
      <c r="A92" s="1689" t="s">
        <v>2310</v>
      </c>
      <c r="B92" s="1688">
        <v>64025</v>
      </c>
      <c r="C92" t="s">
        <v>2613</v>
      </c>
    </row>
    <row r="93" spans="1:3">
      <c r="A93" s="1689" t="s">
        <v>2311</v>
      </c>
      <c r="B93" s="1688">
        <v>62120</v>
      </c>
      <c r="C93" t="s">
        <v>2614</v>
      </c>
    </row>
    <row r="94" spans="1:3">
      <c r="A94" s="1689" t="s">
        <v>2312</v>
      </c>
      <c r="B94" s="1688">
        <v>62038</v>
      </c>
      <c r="C94" t="s">
        <v>2602</v>
      </c>
    </row>
    <row r="95" spans="1:3">
      <c r="A95" s="1689" t="s">
        <v>2313</v>
      </c>
      <c r="B95" s="1688">
        <v>52021</v>
      </c>
      <c r="C95" t="s">
        <v>2616</v>
      </c>
    </row>
    <row r="96" spans="1:3">
      <c r="A96" s="1689" t="s">
        <v>2314</v>
      </c>
      <c r="B96" s="1688">
        <v>51019</v>
      </c>
      <c r="C96" t="s">
        <v>2617</v>
      </c>
    </row>
    <row r="97" spans="1:3">
      <c r="A97" s="1689" t="s">
        <v>2315</v>
      </c>
      <c r="B97" s="1688">
        <v>92045</v>
      </c>
      <c r="C97" t="s">
        <v>2618</v>
      </c>
    </row>
    <row r="98" spans="1:3">
      <c r="A98" s="1689" t="s">
        <v>2316</v>
      </c>
      <c r="B98" s="1688">
        <v>93022</v>
      </c>
      <c r="C98" t="s">
        <v>2619</v>
      </c>
    </row>
    <row r="99" spans="1:3">
      <c r="A99" s="1689" t="s">
        <v>2317</v>
      </c>
      <c r="B99" s="1688">
        <v>85011</v>
      </c>
      <c r="C99" t="s">
        <v>2620</v>
      </c>
    </row>
    <row r="100" spans="1:3">
      <c r="A100" t="s">
        <v>2621</v>
      </c>
      <c r="B100" s="1688">
        <v>52022</v>
      </c>
      <c r="C100" t="s">
        <v>2622</v>
      </c>
    </row>
    <row r="101" spans="1:3">
      <c r="A101" s="1689" t="s">
        <v>2318</v>
      </c>
      <c r="B101" s="1688">
        <v>92048</v>
      </c>
      <c r="C101" t="s">
        <v>2623</v>
      </c>
    </row>
    <row r="102" spans="1:3">
      <c r="A102" s="1689" t="s">
        <v>2319</v>
      </c>
      <c r="B102" s="1688">
        <v>53028</v>
      </c>
      <c r="C102" t="s">
        <v>2624</v>
      </c>
    </row>
    <row r="103" spans="1:3">
      <c r="A103" s="1689" t="s">
        <v>2320</v>
      </c>
      <c r="B103" s="1688">
        <v>51065</v>
      </c>
      <c r="C103" t="s">
        <v>2625</v>
      </c>
    </row>
    <row r="104" spans="1:3">
      <c r="A104" s="1689" t="s">
        <v>2321</v>
      </c>
      <c r="B104" s="1688">
        <v>56029</v>
      </c>
      <c r="C104" t="s">
        <v>2626</v>
      </c>
    </row>
    <row r="105" spans="1:3">
      <c r="A105" s="1689" t="s">
        <v>2322</v>
      </c>
      <c r="B105" s="1688">
        <v>91054</v>
      </c>
      <c r="C105" t="s">
        <v>2605</v>
      </c>
    </row>
    <row r="106" spans="1:3">
      <c r="A106" s="1689" t="s">
        <v>2323</v>
      </c>
      <c r="B106" s="1688">
        <v>64029</v>
      </c>
      <c r="C106" t="s">
        <v>2628</v>
      </c>
    </row>
    <row r="107" spans="1:3">
      <c r="A107" s="1689" t="s">
        <v>2324</v>
      </c>
      <c r="B107" s="1688">
        <v>92142</v>
      </c>
      <c r="C107" t="s">
        <v>2629</v>
      </c>
    </row>
    <row r="108" spans="1:3">
      <c r="A108" s="1689" t="s">
        <v>2325</v>
      </c>
      <c r="B108" s="1688">
        <v>25031</v>
      </c>
      <c r="C108" t="s">
        <v>2630</v>
      </c>
    </row>
    <row r="109" spans="1:3">
      <c r="A109" s="1689" t="s">
        <v>2326</v>
      </c>
      <c r="B109" s="1688">
        <v>52025</v>
      </c>
      <c r="C109" t="s">
        <v>2631</v>
      </c>
    </row>
    <row r="110" spans="1:3">
      <c r="A110" s="1689" t="s">
        <v>2327</v>
      </c>
      <c r="B110" s="1688">
        <v>92054</v>
      </c>
      <c r="C110" t="s">
        <v>2632</v>
      </c>
    </row>
    <row r="111" spans="1:3">
      <c r="A111" s="1689" t="s">
        <v>2328</v>
      </c>
      <c r="B111" s="1688">
        <v>82037</v>
      </c>
      <c r="C111" t="s">
        <v>2633</v>
      </c>
    </row>
    <row r="112" spans="1:3">
      <c r="A112" s="1689" t="s">
        <v>2329</v>
      </c>
      <c r="B112" s="1688">
        <v>62118</v>
      </c>
      <c r="C112" t="s">
        <v>2634</v>
      </c>
    </row>
    <row r="113" spans="1:3">
      <c r="A113" s="1689" t="s">
        <v>2330</v>
      </c>
      <c r="B113" s="1688">
        <v>25037</v>
      </c>
      <c r="C113" t="s">
        <v>2635</v>
      </c>
    </row>
    <row r="114" spans="1:3">
      <c r="A114" s="1689" t="s">
        <v>2331</v>
      </c>
      <c r="B114" s="1688">
        <v>85046</v>
      </c>
      <c r="C114" t="s">
        <v>2636</v>
      </c>
    </row>
    <row r="115" spans="1:3">
      <c r="A115" s="1689" t="s">
        <v>2332</v>
      </c>
      <c r="B115" s="1688">
        <v>61024</v>
      </c>
      <c r="C115" t="s">
        <v>2637</v>
      </c>
    </row>
    <row r="116" spans="1:3">
      <c r="A116" s="1689" t="s">
        <v>2333</v>
      </c>
      <c r="B116" s="1688">
        <v>91059</v>
      </c>
      <c r="C116" t="s">
        <v>2609</v>
      </c>
    </row>
    <row r="117" spans="1:3">
      <c r="A117" s="1689" t="s">
        <v>2334</v>
      </c>
      <c r="B117" s="1688">
        <v>56086</v>
      </c>
      <c r="C117" t="s">
        <v>2615</v>
      </c>
    </row>
    <row r="118" spans="1:3">
      <c r="A118" s="1689" t="s">
        <v>2335</v>
      </c>
      <c r="B118" s="1688">
        <v>64034</v>
      </c>
      <c r="C118" t="s">
        <v>2640</v>
      </c>
    </row>
    <row r="119" spans="1:3">
      <c r="A119" s="1689" t="s">
        <v>2336</v>
      </c>
      <c r="B119" s="1688">
        <v>91142</v>
      </c>
      <c r="C119" t="s">
        <v>2641</v>
      </c>
    </row>
    <row r="120" spans="1:3">
      <c r="A120" s="1689" t="s">
        <v>2337</v>
      </c>
      <c r="B120" s="1688">
        <v>91064</v>
      </c>
      <c r="C120" t="s">
        <v>2642</v>
      </c>
    </row>
    <row r="121" spans="1:3">
      <c r="A121" s="1689" t="s">
        <v>2338</v>
      </c>
      <c r="B121" s="1688">
        <v>25118</v>
      </c>
      <c r="C121" t="s">
        <v>2643</v>
      </c>
    </row>
    <row r="122" spans="1:3">
      <c r="A122" s="1689" t="s">
        <v>2339</v>
      </c>
      <c r="B122" s="1688">
        <v>53039</v>
      </c>
      <c r="C122" t="s">
        <v>2644</v>
      </c>
    </row>
    <row r="123" spans="1:3">
      <c r="A123" s="1689" t="s">
        <v>2340</v>
      </c>
      <c r="B123" s="1688">
        <v>84029</v>
      </c>
      <c r="C123" t="s">
        <v>2645</v>
      </c>
    </row>
    <row r="124" spans="1:3">
      <c r="A124" s="1689" t="s">
        <v>2341</v>
      </c>
      <c r="B124" s="1688">
        <v>61028</v>
      </c>
      <c r="C124" t="s">
        <v>2646</v>
      </c>
    </row>
    <row r="125" spans="1:3">
      <c r="A125" s="1689" t="s">
        <v>2342</v>
      </c>
      <c r="B125" s="1688">
        <v>62051</v>
      </c>
      <c r="C125" t="s">
        <v>2627</v>
      </c>
    </row>
    <row r="126" spans="1:3">
      <c r="A126" s="1689" t="s">
        <v>2343</v>
      </c>
      <c r="B126" s="1688">
        <v>63035</v>
      </c>
      <c r="C126" t="s">
        <v>2648</v>
      </c>
    </row>
    <row r="127" spans="1:3">
      <c r="A127" s="1689" t="s">
        <v>2344</v>
      </c>
      <c r="B127" s="1688">
        <v>53083</v>
      </c>
      <c r="C127" t="s">
        <v>2638</v>
      </c>
    </row>
    <row r="128" spans="1:3">
      <c r="A128" s="1689" t="s">
        <v>2345</v>
      </c>
      <c r="B128" s="1688">
        <v>83028</v>
      </c>
      <c r="C128" t="s">
        <v>2650</v>
      </c>
    </row>
    <row r="129" spans="1:3">
      <c r="A129" s="1689" t="s">
        <v>2346</v>
      </c>
      <c r="B129" s="1688">
        <v>82014</v>
      </c>
      <c r="C129" t="s">
        <v>2651</v>
      </c>
    </row>
    <row r="130" spans="1:3">
      <c r="A130" s="1689" t="s">
        <v>2347</v>
      </c>
      <c r="B130" s="1688">
        <v>91072</v>
      </c>
      <c r="C130" t="s">
        <v>2652</v>
      </c>
    </row>
    <row r="131" spans="1:3">
      <c r="A131" s="1689" t="s">
        <v>2348</v>
      </c>
      <c r="B131" s="1688">
        <v>61031</v>
      </c>
      <c r="C131" t="s">
        <v>2653</v>
      </c>
    </row>
    <row r="132" spans="1:3">
      <c r="A132" s="1689" t="s">
        <v>2349</v>
      </c>
      <c r="B132" s="1688">
        <v>25043</v>
      </c>
      <c r="C132" t="s">
        <v>2654</v>
      </c>
    </row>
    <row r="133" spans="1:3">
      <c r="A133" s="1689" t="s">
        <v>2350</v>
      </c>
      <c r="B133" s="1688">
        <v>25044</v>
      </c>
      <c r="C133" t="s">
        <v>2655</v>
      </c>
    </row>
    <row r="134" spans="1:3">
      <c r="A134" s="1689" t="s">
        <v>2351</v>
      </c>
      <c r="B134" s="1688">
        <v>63038</v>
      </c>
      <c r="C134" t="s">
        <v>2656</v>
      </c>
    </row>
    <row r="135" spans="1:3">
      <c r="A135" s="1689" t="s">
        <v>2352</v>
      </c>
      <c r="B135" s="1688">
        <v>92140</v>
      </c>
      <c r="C135" t="s">
        <v>2657</v>
      </c>
    </row>
    <row r="136" spans="1:3">
      <c r="A136" s="1689" t="s">
        <v>2353</v>
      </c>
      <c r="B136" s="1688">
        <v>25048</v>
      </c>
      <c r="C136" t="s">
        <v>2658</v>
      </c>
    </row>
    <row r="137" spans="1:3">
      <c r="A137" s="1689" t="s">
        <v>2354</v>
      </c>
      <c r="B137" s="1688">
        <v>62060</v>
      </c>
      <c r="C137" t="s">
        <v>2639</v>
      </c>
    </row>
    <row r="138" spans="1:3">
      <c r="A138" s="1689" t="s">
        <v>2355</v>
      </c>
      <c r="B138" s="1688">
        <v>53044</v>
      </c>
      <c r="C138" t="s">
        <v>2647</v>
      </c>
    </row>
    <row r="139" spans="1:3">
      <c r="A139" s="1689" t="s">
        <v>2356</v>
      </c>
      <c r="B139" s="1688">
        <v>92141</v>
      </c>
      <c r="C139" t="s">
        <v>2662</v>
      </c>
    </row>
    <row r="140" spans="1:3">
      <c r="A140" s="1689" t="s">
        <v>2357</v>
      </c>
      <c r="B140" s="1688">
        <v>63040</v>
      </c>
      <c r="C140" t="s">
        <v>2661</v>
      </c>
    </row>
    <row r="141" spans="1:3">
      <c r="A141" s="1689" t="s">
        <v>2358</v>
      </c>
      <c r="B141" s="1688">
        <v>25050</v>
      </c>
      <c r="C141" t="s">
        <v>2663</v>
      </c>
    </row>
    <row r="142" spans="1:3">
      <c r="A142" s="1689" t="s">
        <v>2359</v>
      </c>
      <c r="B142" s="1688">
        <v>58001</v>
      </c>
      <c r="C142" t="s">
        <v>2664</v>
      </c>
    </row>
    <row r="143" spans="1:3">
      <c r="A143" s="1689" t="s">
        <v>2360</v>
      </c>
      <c r="B143" s="1688">
        <v>83031</v>
      </c>
      <c r="C143" t="s">
        <v>2665</v>
      </c>
    </row>
    <row r="144" spans="1:3">
      <c r="A144" s="1689" t="s">
        <v>2361</v>
      </c>
      <c r="B144" s="1688">
        <v>25119</v>
      </c>
      <c r="C144" t="s">
        <v>2666</v>
      </c>
    </row>
    <row r="145" spans="1:3">
      <c r="A145" s="1689" t="s">
        <v>2362</v>
      </c>
      <c r="B145" s="1688">
        <v>55035</v>
      </c>
      <c r="C145" t="s">
        <v>2667</v>
      </c>
    </row>
    <row r="146" spans="1:3">
      <c r="A146" s="1689" t="s">
        <v>2363</v>
      </c>
      <c r="B146" s="1688">
        <v>84033</v>
      </c>
      <c r="C146" t="s">
        <v>2668</v>
      </c>
    </row>
    <row r="147" spans="1:3">
      <c r="A147" s="1689" t="s">
        <v>2364</v>
      </c>
      <c r="B147" s="1688">
        <v>53046</v>
      </c>
      <c r="C147" t="s">
        <v>2669</v>
      </c>
    </row>
    <row r="148" spans="1:3">
      <c r="A148" s="1689" t="s">
        <v>2365</v>
      </c>
      <c r="B148" s="1688">
        <v>52075</v>
      </c>
      <c r="C148" t="s">
        <v>2670</v>
      </c>
    </row>
    <row r="149" spans="1:3">
      <c r="A149" s="1689" t="s">
        <v>2366</v>
      </c>
      <c r="B149" s="1688">
        <v>51069</v>
      </c>
      <c r="C149" t="s">
        <v>2671</v>
      </c>
    </row>
    <row r="150" spans="1:3">
      <c r="A150" s="1689" t="s">
        <v>2367</v>
      </c>
      <c r="B150" s="1688">
        <v>57094</v>
      </c>
      <c r="C150" t="s">
        <v>2672</v>
      </c>
    </row>
    <row r="151" spans="1:3">
      <c r="A151" s="1689" t="s">
        <v>2368</v>
      </c>
      <c r="B151" s="1688">
        <v>84035</v>
      </c>
      <c r="C151" t="s">
        <v>2673</v>
      </c>
    </row>
    <row r="152" spans="1:3">
      <c r="A152" s="1689" t="s">
        <v>2369</v>
      </c>
      <c r="B152" s="1688">
        <v>84077</v>
      </c>
      <c r="C152" t="s">
        <v>2674</v>
      </c>
    </row>
    <row r="153" spans="1:3">
      <c r="A153" s="1689" t="s">
        <v>2370</v>
      </c>
      <c r="B153" s="1688">
        <v>62063</v>
      </c>
      <c r="C153" t="s">
        <v>2675</v>
      </c>
    </row>
    <row r="154" spans="1:3">
      <c r="A154" s="1689" t="s">
        <v>2371</v>
      </c>
      <c r="B154" s="1688">
        <v>63045</v>
      </c>
      <c r="C154" t="s">
        <v>2649</v>
      </c>
    </row>
    <row r="155" spans="1:3">
      <c r="A155" s="1689" t="s">
        <v>2372</v>
      </c>
      <c r="B155" s="1688">
        <v>63046</v>
      </c>
      <c r="C155" t="s">
        <v>2677</v>
      </c>
    </row>
    <row r="156" spans="1:3">
      <c r="A156" s="1689" t="s">
        <v>2373</v>
      </c>
      <c r="B156" s="1688">
        <v>64047</v>
      </c>
      <c r="C156" t="s">
        <v>2659</v>
      </c>
    </row>
    <row r="157" spans="1:3">
      <c r="A157" s="1689" t="s">
        <v>2374</v>
      </c>
      <c r="B157" s="1688">
        <v>56044</v>
      </c>
      <c r="C157" t="s">
        <v>2679</v>
      </c>
    </row>
    <row r="158" spans="1:3">
      <c r="A158" s="1689" t="s">
        <v>2375</v>
      </c>
      <c r="B158" s="1688">
        <v>63048</v>
      </c>
      <c r="C158" t="s">
        <v>2680</v>
      </c>
    </row>
    <row r="159" spans="1:3">
      <c r="A159" s="1689" t="s">
        <v>2376</v>
      </c>
      <c r="B159" s="1688">
        <v>63049</v>
      </c>
      <c r="C159" t="s">
        <v>2681</v>
      </c>
    </row>
    <row r="160" spans="1:3">
      <c r="A160" s="1689" t="s">
        <v>2377</v>
      </c>
      <c r="B160" s="1688">
        <v>55086</v>
      </c>
      <c r="C160" t="s">
        <v>2660</v>
      </c>
    </row>
    <row r="161" spans="1:3">
      <c r="A161" s="1689" t="s">
        <v>2378</v>
      </c>
      <c r="B161" s="1688">
        <v>83055</v>
      </c>
      <c r="C161" t="s">
        <v>2683</v>
      </c>
    </row>
    <row r="162" spans="1:3">
      <c r="A162" s="1689" t="s">
        <v>2379</v>
      </c>
      <c r="B162" s="1688">
        <v>83034</v>
      </c>
      <c r="C162" t="s">
        <v>2684</v>
      </c>
    </row>
    <row r="163" spans="1:3">
      <c r="A163" s="1689" t="s">
        <v>2380</v>
      </c>
      <c r="B163" s="1688">
        <v>61039</v>
      </c>
      <c r="C163" t="s">
        <v>2685</v>
      </c>
    </row>
    <row r="164" spans="1:3">
      <c r="A164" s="1689" t="s">
        <v>2381</v>
      </c>
      <c r="B164" s="1688">
        <v>81013</v>
      </c>
      <c r="C164" t="s">
        <v>2686</v>
      </c>
    </row>
    <row r="165" spans="1:3">
      <c r="A165" s="1689" t="s">
        <v>2382</v>
      </c>
      <c r="B165" s="1688">
        <v>85024</v>
      </c>
      <c r="C165" t="s">
        <v>2687</v>
      </c>
    </row>
    <row r="166" spans="1:3">
      <c r="A166" s="1689" t="s">
        <v>2383</v>
      </c>
      <c r="B166" s="1688">
        <v>56049</v>
      </c>
      <c r="C166" t="s">
        <v>2688</v>
      </c>
    </row>
    <row r="167" spans="1:3">
      <c r="A167" s="1689" t="s">
        <v>2384</v>
      </c>
      <c r="B167" s="1688">
        <v>81015</v>
      </c>
      <c r="C167" t="s">
        <v>2676</v>
      </c>
    </row>
    <row r="168" spans="1:3">
      <c r="A168" s="1689" t="s">
        <v>2385</v>
      </c>
      <c r="B168" s="1688">
        <v>92087</v>
      </c>
      <c r="C168" t="s">
        <v>2690</v>
      </c>
    </row>
    <row r="169" spans="1:3">
      <c r="A169" s="1689" t="s">
        <v>2386</v>
      </c>
      <c r="B169" s="1688">
        <v>61041</v>
      </c>
      <c r="C169" t="s">
        <v>2692</v>
      </c>
    </row>
    <row r="170" spans="1:3">
      <c r="A170" s="1689" t="s">
        <v>2387</v>
      </c>
      <c r="B170" s="1688">
        <v>56051</v>
      </c>
      <c r="C170" t="s">
        <v>2693</v>
      </c>
    </row>
    <row r="171" spans="1:3">
      <c r="A171" s="1689" t="s">
        <v>2388</v>
      </c>
      <c r="B171" s="1688">
        <v>53053</v>
      </c>
      <c r="C171" t="s">
        <v>2694</v>
      </c>
    </row>
    <row r="172" spans="1:3">
      <c r="A172" t="s">
        <v>2389</v>
      </c>
      <c r="B172" s="1688">
        <v>57095</v>
      </c>
      <c r="C172" t="s">
        <v>2678</v>
      </c>
    </row>
    <row r="173" spans="1:3">
      <c r="A173" s="1689" t="s">
        <v>2390</v>
      </c>
      <c r="B173" s="1688">
        <v>52048</v>
      </c>
      <c r="C173" t="s">
        <v>2682</v>
      </c>
    </row>
    <row r="174" spans="1:3">
      <c r="A174" s="1689" t="s">
        <v>2391</v>
      </c>
      <c r="B174" s="1688">
        <v>25068</v>
      </c>
      <c r="C174" t="s">
        <v>2697</v>
      </c>
    </row>
    <row r="175" spans="1:3">
      <c r="A175" s="1689" t="s">
        <v>2392</v>
      </c>
      <c r="B175" s="1688">
        <v>58004</v>
      </c>
      <c r="C175" t="s">
        <v>2689</v>
      </c>
    </row>
    <row r="176" spans="1:3">
      <c r="A176" s="1689" t="s">
        <v>2393</v>
      </c>
      <c r="B176" s="1688">
        <v>57096</v>
      </c>
      <c r="C176" t="s">
        <v>2699</v>
      </c>
    </row>
    <row r="177" spans="1:3">
      <c r="A177" s="1689" t="s">
        <v>2394</v>
      </c>
      <c r="B177" s="1688">
        <v>85026</v>
      </c>
      <c r="C177" t="s">
        <v>2700</v>
      </c>
    </row>
    <row r="178" spans="1:3">
      <c r="A178" s="1689" t="s">
        <v>2395</v>
      </c>
      <c r="B178" s="1688">
        <v>92094</v>
      </c>
      <c r="C178" t="s">
        <v>2701</v>
      </c>
    </row>
    <row r="179" spans="1:3">
      <c r="A179" s="1689" t="s">
        <v>2396</v>
      </c>
      <c r="B179" s="1688">
        <v>61043</v>
      </c>
      <c r="C179" t="s">
        <v>2702</v>
      </c>
    </row>
    <row r="180" spans="1:3">
      <c r="A180" s="1689" t="s">
        <v>2397</v>
      </c>
      <c r="B180" s="1688">
        <v>83040</v>
      </c>
      <c r="C180" t="s">
        <v>2703</v>
      </c>
    </row>
    <row r="181" spans="1:3">
      <c r="A181" s="1689" t="s">
        <v>2398</v>
      </c>
      <c r="B181" s="1688">
        <v>84043</v>
      </c>
      <c r="C181" t="s">
        <v>2704</v>
      </c>
    </row>
    <row r="182" spans="1:3">
      <c r="A182" s="1689" t="s">
        <v>2399</v>
      </c>
      <c r="B182" s="1688">
        <v>62121</v>
      </c>
      <c r="C182" t="s">
        <v>2705</v>
      </c>
    </row>
    <row r="183" spans="1:3">
      <c r="A183" s="1689" t="s">
        <v>2400</v>
      </c>
      <c r="B183" s="1688">
        <v>25072</v>
      </c>
      <c r="C183" t="s">
        <v>2706</v>
      </c>
    </row>
    <row r="184" spans="1:3">
      <c r="A184" s="1689" t="s">
        <v>2401</v>
      </c>
      <c r="B184" s="1688">
        <v>92097</v>
      </c>
      <c r="C184" t="s">
        <v>2707</v>
      </c>
    </row>
    <row r="185" spans="1:3">
      <c r="A185" s="1689" t="s">
        <v>2402</v>
      </c>
      <c r="B185" s="1688">
        <v>63057</v>
      </c>
      <c r="C185" t="s">
        <v>2691</v>
      </c>
    </row>
    <row r="186" spans="1:3">
      <c r="A186" s="1689" t="s">
        <v>2403</v>
      </c>
      <c r="B186" s="1688">
        <v>91103</v>
      </c>
      <c r="C186" t="s">
        <v>2709</v>
      </c>
    </row>
    <row r="187" spans="1:3">
      <c r="A187" s="1689" t="s">
        <v>2404</v>
      </c>
      <c r="B187" s="1688">
        <v>64056</v>
      </c>
      <c r="C187" t="s">
        <v>2695</v>
      </c>
    </row>
    <row r="188" spans="1:3">
      <c r="A188" s="1689" t="s">
        <v>2405</v>
      </c>
      <c r="B188" s="1688">
        <v>25120</v>
      </c>
      <c r="C188" t="s">
        <v>2711</v>
      </c>
    </row>
    <row r="189" spans="1:3">
      <c r="A189" s="1689" t="s">
        <v>2406</v>
      </c>
      <c r="B189" s="1688">
        <v>25121</v>
      </c>
      <c r="C189" t="s">
        <v>2712</v>
      </c>
    </row>
    <row r="190" spans="1:3">
      <c r="A190" s="1689" t="s">
        <v>2407</v>
      </c>
      <c r="B190" s="1688">
        <v>61048</v>
      </c>
      <c r="C190" t="s">
        <v>2713</v>
      </c>
    </row>
    <row r="191" spans="1:3">
      <c r="A191" s="1689" t="s">
        <v>2408</v>
      </c>
      <c r="B191" s="1688">
        <v>62079</v>
      </c>
      <c r="C191" t="s">
        <v>2714</v>
      </c>
    </row>
    <row r="192" spans="1:3">
      <c r="A192" s="1689" t="s">
        <v>2409</v>
      </c>
      <c r="B192" s="1688">
        <v>84050</v>
      </c>
      <c r="C192" t="s">
        <v>2715</v>
      </c>
    </row>
    <row r="193" spans="1:3">
      <c r="A193" s="1689" t="s">
        <v>2410</v>
      </c>
      <c r="B193" s="1688">
        <v>57062</v>
      </c>
      <c r="C193" t="s">
        <v>2717</v>
      </c>
    </row>
    <row r="194" spans="1:3">
      <c r="A194" s="1689" t="s">
        <v>2411</v>
      </c>
      <c r="B194" s="1688">
        <v>63058</v>
      </c>
      <c r="C194" t="s">
        <v>2696</v>
      </c>
    </row>
    <row r="195" spans="1:3">
      <c r="A195" s="1689" t="s">
        <v>2412</v>
      </c>
      <c r="B195" s="1688">
        <v>57064</v>
      </c>
      <c r="C195" t="s">
        <v>2719</v>
      </c>
    </row>
    <row r="196" spans="1:3">
      <c r="A196" s="1689" t="s">
        <v>2413</v>
      </c>
      <c r="B196" s="1688">
        <v>25084</v>
      </c>
      <c r="C196" t="s">
        <v>2720</v>
      </c>
    </row>
    <row r="197" spans="1:3">
      <c r="A197" s="1689" t="s">
        <v>2414</v>
      </c>
      <c r="B197" s="1688">
        <v>93056</v>
      </c>
      <c r="C197" t="s">
        <v>2721</v>
      </c>
    </row>
    <row r="198" spans="1:3">
      <c r="A198" s="1689" t="s">
        <v>2415</v>
      </c>
      <c r="B198" s="1688">
        <v>63088</v>
      </c>
      <c r="C198" t="s">
        <v>2722</v>
      </c>
    </row>
    <row r="199" spans="1:3">
      <c r="A199" s="1689" t="s">
        <v>2416</v>
      </c>
      <c r="B199" s="1688">
        <v>52055</v>
      </c>
      <c r="C199" t="s">
        <v>2723</v>
      </c>
    </row>
    <row r="200" spans="1:3">
      <c r="A200" s="1689" t="s">
        <v>2417</v>
      </c>
      <c r="B200" s="1688">
        <v>92101</v>
      </c>
      <c r="C200" t="s">
        <v>2724</v>
      </c>
    </row>
    <row r="201" spans="1:3">
      <c r="A201" s="1689" t="s">
        <v>2418</v>
      </c>
      <c r="B201" s="1688">
        <v>53065</v>
      </c>
      <c r="C201" t="s">
        <v>2725</v>
      </c>
    </row>
    <row r="202" spans="1:3">
      <c r="A202" s="1689" t="s">
        <v>2419</v>
      </c>
      <c r="B202" s="1688">
        <v>53084</v>
      </c>
      <c r="C202" t="s">
        <v>2726</v>
      </c>
    </row>
    <row r="203" spans="1:3">
      <c r="A203" s="1689" t="s">
        <v>2420</v>
      </c>
      <c r="B203" s="1688">
        <v>53068</v>
      </c>
      <c r="C203" t="s">
        <v>2698</v>
      </c>
    </row>
    <row r="204" spans="1:3">
      <c r="A204" s="1689" t="s">
        <v>2421</v>
      </c>
      <c r="B204" s="1688">
        <v>63061</v>
      </c>
      <c r="C204" t="s">
        <v>2727</v>
      </c>
    </row>
    <row r="205" spans="1:3">
      <c r="A205" s="1689" t="s">
        <v>2422</v>
      </c>
      <c r="B205" s="1688">
        <v>25122</v>
      </c>
      <c r="C205" t="s">
        <v>2728</v>
      </c>
    </row>
    <row r="206" spans="1:3">
      <c r="A206" s="1689" t="s">
        <v>2423</v>
      </c>
      <c r="B206" s="1688">
        <v>25123</v>
      </c>
      <c r="C206" t="s">
        <v>2708</v>
      </c>
    </row>
    <row r="207" spans="1:3">
      <c r="A207" s="1689" t="s">
        <v>2424</v>
      </c>
      <c r="B207" s="1688">
        <v>64063</v>
      </c>
      <c r="C207" t="s">
        <v>2710</v>
      </c>
    </row>
    <row r="208" spans="1:3">
      <c r="A208" s="1689" t="s">
        <v>2425</v>
      </c>
      <c r="B208" s="1688">
        <v>83044</v>
      </c>
      <c r="C208" t="s">
        <v>2729</v>
      </c>
    </row>
    <row r="209" spans="1:3">
      <c r="A209" s="1689" t="s">
        <v>2426</v>
      </c>
      <c r="B209" s="1688">
        <v>25091</v>
      </c>
      <c r="C209" t="s">
        <v>2730</v>
      </c>
    </row>
    <row r="210" spans="1:3">
      <c r="A210" s="1689" t="s">
        <v>2427</v>
      </c>
      <c r="B210" s="1688">
        <v>91114</v>
      </c>
      <c r="C210" t="s">
        <v>2731</v>
      </c>
    </row>
    <row r="211" spans="1:3">
      <c r="A211" s="1689" t="s">
        <v>2428</v>
      </c>
      <c r="B211" s="1688">
        <v>85047</v>
      </c>
      <c r="C211" t="s">
        <v>2732</v>
      </c>
    </row>
    <row r="212" spans="1:3">
      <c r="A212" s="1689" t="s">
        <v>2429</v>
      </c>
      <c r="B212" s="1688">
        <v>57072</v>
      </c>
      <c r="C212" t="s">
        <v>2733</v>
      </c>
    </row>
    <row r="213" spans="1:3">
      <c r="A213" s="1689" t="s">
        <v>2430</v>
      </c>
      <c r="B213" s="1688">
        <v>82038</v>
      </c>
      <c r="C213" t="s">
        <v>2734</v>
      </c>
    </row>
    <row r="214" spans="1:3">
      <c r="A214" s="1689" t="s">
        <v>2431</v>
      </c>
      <c r="B214" s="1688">
        <v>64065</v>
      </c>
      <c r="C214" t="s">
        <v>2735</v>
      </c>
    </row>
    <row r="215" spans="1:3">
      <c r="A215" s="1689" t="s">
        <v>2432</v>
      </c>
      <c r="B215" s="1688">
        <v>53070</v>
      </c>
      <c r="C215" t="s">
        <v>2736</v>
      </c>
    </row>
    <row r="216" spans="1:3">
      <c r="A216" s="1689" t="s">
        <v>2433</v>
      </c>
      <c r="B216" s="1688">
        <v>84059</v>
      </c>
      <c r="C216" t="s">
        <v>2737</v>
      </c>
    </row>
    <row r="217" spans="1:3">
      <c r="A217" s="1689" t="s">
        <v>2434</v>
      </c>
      <c r="B217" s="1688">
        <v>85034</v>
      </c>
      <c r="C217" t="s">
        <v>2738</v>
      </c>
    </row>
    <row r="218" spans="1:3">
      <c r="A218" s="1689" t="s">
        <v>2435</v>
      </c>
      <c r="B218" s="1688">
        <v>62093</v>
      </c>
      <c r="C218" t="s">
        <v>2739</v>
      </c>
    </row>
    <row r="219" spans="1:3">
      <c r="A219" s="1689" t="s">
        <v>2436</v>
      </c>
      <c r="B219" s="1688">
        <v>63067</v>
      </c>
      <c r="C219" t="s">
        <v>2741</v>
      </c>
    </row>
    <row r="220" spans="1:3">
      <c r="A220" s="1689" t="s">
        <v>2437</v>
      </c>
      <c r="B220" s="1688">
        <v>92137</v>
      </c>
      <c r="C220" t="s">
        <v>2740</v>
      </c>
    </row>
    <row r="221" spans="1:3">
      <c r="A221" s="1689" t="s">
        <v>2438</v>
      </c>
      <c r="B221" s="1688">
        <v>55085</v>
      </c>
      <c r="C221" t="s">
        <v>2742</v>
      </c>
    </row>
    <row r="222" spans="1:3">
      <c r="A222" s="1689" t="s">
        <v>2439</v>
      </c>
      <c r="B222" s="1688">
        <v>62096</v>
      </c>
      <c r="C222" t="s">
        <v>2743</v>
      </c>
    </row>
    <row r="223" spans="1:3">
      <c r="A223" s="1689" t="s">
        <v>2440</v>
      </c>
      <c r="B223" s="1688">
        <v>51068</v>
      </c>
      <c r="C223" t="s">
        <v>2744</v>
      </c>
    </row>
    <row r="224" spans="1:3">
      <c r="A224" s="1689" t="s">
        <v>2441</v>
      </c>
      <c r="B224" s="1688">
        <v>56088</v>
      </c>
      <c r="C224" t="s">
        <v>2745</v>
      </c>
    </row>
    <row r="225" spans="1:3">
      <c r="A225" s="1689" t="s">
        <v>2442</v>
      </c>
      <c r="B225" s="1688">
        <v>55040</v>
      </c>
      <c r="C225" t="s">
        <v>2746</v>
      </c>
    </row>
    <row r="226" spans="1:3">
      <c r="A226" s="1689" t="s">
        <v>2443</v>
      </c>
      <c r="B226" s="1688">
        <v>92114</v>
      </c>
      <c r="C226" t="s">
        <v>2747</v>
      </c>
    </row>
    <row r="227" spans="1:3">
      <c r="A227" s="1689" t="s">
        <v>2444</v>
      </c>
      <c r="B227" s="1688">
        <v>91120</v>
      </c>
      <c r="C227" t="s">
        <v>2748</v>
      </c>
    </row>
    <row r="228" spans="1:3">
      <c r="A228" s="1689" t="s">
        <v>2445</v>
      </c>
      <c r="B228" s="1688">
        <v>62099</v>
      </c>
      <c r="C228" t="s">
        <v>2749</v>
      </c>
    </row>
    <row r="229" spans="1:3">
      <c r="A229" s="1689" t="s">
        <v>2446</v>
      </c>
      <c r="B229" s="1688">
        <v>63072</v>
      </c>
      <c r="C229" t="s">
        <v>2750</v>
      </c>
    </row>
    <row r="230" spans="1:3">
      <c r="A230" s="1689" t="s">
        <v>2447</v>
      </c>
      <c r="B230" s="1688">
        <v>62100</v>
      </c>
      <c r="C230" t="s">
        <v>2751</v>
      </c>
    </row>
    <row r="231" spans="1:3">
      <c r="A231" s="1689" t="s">
        <v>2448</v>
      </c>
      <c r="B231" s="1688">
        <v>63073</v>
      </c>
      <c r="C231" t="s">
        <v>2752</v>
      </c>
    </row>
    <row r="232" spans="1:3">
      <c r="A232" s="1689" t="s">
        <v>2449</v>
      </c>
      <c r="B232" s="1688">
        <v>63075</v>
      </c>
      <c r="C232" t="s">
        <v>2753</v>
      </c>
    </row>
    <row r="233" spans="1:3">
      <c r="A233" s="1689" t="s">
        <v>2450</v>
      </c>
      <c r="B233" s="1688">
        <v>84068</v>
      </c>
      <c r="C233" t="s">
        <v>2754</v>
      </c>
    </row>
    <row r="234" spans="1:3">
      <c r="A234" s="1689" t="s">
        <v>2451</v>
      </c>
      <c r="B234" s="1688">
        <v>83049</v>
      </c>
      <c r="C234" t="s">
        <v>2755</v>
      </c>
    </row>
    <row r="235" spans="1:3">
      <c r="A235" s="1689" t="s">
        <v>2452</v>
      </c>
      <c r="B235" s="1688">
        <v>63076</v>
      </c>
      <c r="C235" t="s">
        <v>2756</v>
      </c>
    </row>
    <row r="236" spans="1:3">
      <c r="A236" s="1689" t="s">
        <v>2453</v>
      </c>
      <c r="B236" s="1688">
        <v>63089</v>
      </c>
      <c r="C236" t="s">
        <v>2757</v>
      </c>
    </row>
    <row r="237" spans="1:3">
      <c r="A237" s="1689" t="s">
        <v>2454</v>
      </c>
      <c r="B237" s="1688">
        <v>56078</v>
      </c>
      <c r="C237" t="s">
        <v>2758</v>
      </c>
    </row>
    <row r="238" spans="1:3">
      <c r="A238" s="1689" t="s">
        <v>2455</v>
      </c>
      <c r="B238" s="1688">
        <v>61081</v>
      </c>
      <c r="C238" t="s">
        <v>2759</v>
      </c>
    </row>
    <row r="239" spans="1:3">
      <c r="A239" s="1689" t="s">
        <v>2456</v>
      </c>
      <c r="B239" s="1688">
        <v>85039</v>
      </c>
      <c r="C239" t="s">
        <v>2760</v>
      </c>
    </row>
    <row r="240" spans="1:3">
      <c r="A240" s="1689" t="s">
        <v>2457</v>
      </c>
      <c r="B240" s="1688">
        <v>57081</v>
      </c>
      <c r="C240" t="s">
        <v>2761</v>
      </c>
    </row>
    <row r="241" spans="1:3">
      <c r="A241" s="1689" t="s">
        <v>2458</v>
      </c>
      <c r="B241" s="1688">
        <v>63086</v>
      </c>
      <c r="C241" t="s">
        <v>2716</v>
      </c>
    </row>
    <row r="242" spans="1:3">
      <c r="A242" s="1689" t="s">
        <v>2459</v>
      </c>
      <c r="B242" s="1688">
        <v>62122</v>
      </c>
      <c r="C242" t="s">
        <v>2718</v>
      </c>
    </row>
    <row r="243" spans="1:3">
      <c r="A243" s="1689" t="s">
        <v>2460</v>
      </c>
      <c r="B243" s="1688">
        <v>25105</v>
      </c>
      <c r="C243" t="s">
        <v>2762</v>
      </c>
    </row>
    <row r="244" spans="1:3">
      <c r="A244" s="1689" t="s">
        <v>2461</v>
      </c>
      <c r="B244" s="1688">
        <v>82036</v>
      </c>
      <c r="C244" t="s">
        <v>2763</v>
      </c>
    </row>
    <row r="245" spans="1:3">
      <c r="A245" s="1689" t="s">
        <v>2462</v>
      </c>
      <c r="B245" s="1688">
        <v>61063</v>
      </c>
      <c r="C245" t="s">
        <v>2764</v>
      </c>
    </row>
    <row r="246" spans="1:3">
      <c r="A246" s="1689" t="s">
        <v>2463</v>
      </c>
      <c r="B246" s="1688">
        <v>63079</v>
      </c>
      <c r="C246" t="s">
        <v>2765</v>
      </c>
    </row>
    <row r="247" spans="1:3">
      <c r="A247" s="1689" t="s">
        <v>2464</v>
      </c>
      <c r="B247" s="1688">
        <v>82032</v>
      </c>
      <c r="C247" t="s">
        <v>2766</v>
      </c>
    </row>
    <row r="248" spans="1:3">
      <c r="A248" s="1689" t="s">
        <v>2465</v>
      </c>
      <c r="B248" s="1688">
        <v>25107</v>
      </c>
      <c r="C248" t="s">
        <v>2767</v>
      </c>
    </row>
    <row r="249" spans="1:3">
      <c r="A249" s="1689" t="s">
        <v>2466</v>
      </c>
      <c r="B249" s="1688">
        <v>61068</v>
      </c>
      <c r="C249" t="s">
        <v>2768</v>
      </c>
    </row>
    <row r="250" spans="1:3">
      <c r="A250" s="1689" t="s">
        <v>2467</v>
      </c>
      <c r="B250" s="1688">
        <v>93090</v>
      </c>
      <c r="C250" t="s">
        <v>2769</v>
      </c>
    </row>
    <row r="251" spans="1:3">
      <c r="A251" s="1689" t="s">
        <v>2468</v>
      </c>
      <c r="B251" s="1688">
        <v>85045</v>
      </c>
      <c r="C251" t="s">
        <v>2770</v>
      </c>
    </row>
    <row r="252" spans="1:3">
      <c r="A252" s="1689" t="s">
        <v>2469</v>
      </c>
      <c r="B252" s="1688">
        <v>62108</v>
      </c>
      <c r="C252" t="s">
        <v>2771</v>
      </c>
    </row>
    <row r="253" spans="1:3">
      <c r="A253" s="1689" t="s">
        <v>2470</v>
      </c>
      <c r="B253" s="1688">
        <v>91143</v>
      </c>
      <c r="C253" t="s">
        <v>2772</v>
      </c>
    </row>
    <row r="254" spans="1:3">
      <c r="A254" s="1689" t="s">
        <v>2471</v>
      </c>
      <c r="B254" s="1688">
        <v>63080</v>
      </c>
      <c r="C254" t="s">
        <v>2773</v>
      </c>
    </row>
    <row r="255" spans="1:3">
      <c r="A255" s="1689" t="s">
        <v>2472</v>
      </c>
      <c r="B255" s="1688">
        <v>93088</v>
      </c>
      <c r="C255" t="s">
        <v>2774</v>
      </c>
    </row>
    <row r="256" spans="1:3">
      <c r="A256" s="1689" t="s">
        <v>2473</v>
      </c>
      <c r="B256" s="1688">
        <v>25124</v>
      </c>
      <c r="C256" t="s">
        <v>2775</v>
      </c>
    </row>
    <row r="257" spans="1:3">
      <c r="A257" s="1689" t="s">
        <v>2474</v>
      </c>
      <c r="B257" s="1688">
        <v>61072</v>
      </c>
      <c r="C257" t="s">
        <v>2776</v>
      </c>
    </row>
    <row r="258" spans="1:3">
      <c r="A258" s="1689" t="s">
        <v>2475</v>
      </c>
      <c r="B258" s="1688">
        <v>64074</v>
      </c>
      <c r="C258" t="s">
        <v>2777</v>
      </c>
    </row>
    <row r="259" spans="1:3">
      <c r="A259" s="1689" t="s">
        <v>2476</v>
      </c>
      <c r="B259" s="1688">
        <v>64075</v>
      </c>
      <c r="C259" t="s">
        <v>2778</v>
      </c>
    </row>
    <row r="260" spans="1:3">
      <c r="A260" s="1689" t="s">
        <v>2477</v>
      </c>
      <c r="B260" s="1688">
        <v>25110</v>
      </c>
      <c r="C260" t="s">
        <v>2779</v>
      </c>
    </row>
    <row r="261" spans="1:3">
      <c r="A261" s="1689" t="s">
        <v>2478</v>
      </c>
      <c r="B261" s="1688">
        <v>25112</v>
      </c>
      <c r="C261" t="s">
        <v>2780</v>
      </c>
    </row>
    <row r="262" spans="1:3">
      <c r="A262" s="1689" t="s">
        <v>2479</v>
      </c>
      <c r="B262" s="1688">
        <v>63084</v>
      </c>
      <c r="C262" t="s">
        <v>2781</v>
      </c>
    </row>
    <row r="263" spans="1:3">
      <c r="A263" s="1689" t="s">
        <v>2480</v>
      </c>
      <c r="B263" s="1688">
        <v>84075</v>
      </c>
      <c r="C263" t="s">
        <v>2782</v>
      </c>
    </row>
    <row r="264" spans="1:3">
      <c r="A264" s="1689" t="s">
        <v>2481</v>
      </c>
      <c r="B264" s="1688">
        <v>91141</v>
      </c>
      <c r="C264" t="s">
        <v>2783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11"/>
  <dimension ref="A1:N265"/>
  <sheetViews>
    <sheetView workbookViewId="0">
      <selection activeCell="H10" sqref="H10"/>
    </sheetView>
  </sheetViews>
  <sheetFormatPr baseColWidth="10" defaultColWidth="9.109375" defaultRowHeight="14.4"/>
  <cols>
    <col min="1" max="1" width="21.5546875" bestFit="1" customWidth="1"/>
    <col min="2" max="11" width="9.109375" customWidth="1"/>
  </cols>
  <sheetData>
    <row r="1" spans="1:14" ht="27.6">
      <c r="A1" s="225" t="s">
        <v>3</v>
      </c>
      <c r="B1" s="225" t="s">
        <v>1961</v>
      </c>
      <c r="C1" s="225">
        <v>2006</v>
      </c>
      <c r="D1" s="225">
        <v>2014</v>
      </c>
      <c r="E1">
        <v>2015</v>
      </c>
      <c r="F1">
        <v>2016</v>
      </c>
      <c r="G1" s="225">
        <v>2017</v>
      </c>
      <c r="H1">
        <v>2018</v>
      </c>
      <c r="I1">
        <v>2019</v>
      </c>
      <c r="J1">
        <v>2020</v>
      </c>
      <c r="K1">
        <v>2021</v>
      </c>
      <c r="N1" t="s">
        <v>1962</v>
      </c>
    </row>
    <row r="2" spans="1:14">
      <c r="A2" s="225">
        <v>1</v>
      </c>
      <c r="B2" s="225">
        <v>2</v>
      </c>
      <c r="C2" s="225">
        <v>3</v>
      </c>
      <c r="D2" s="225">
        <v>4</v>
      </c>
      <c r="E2" s="225">
        <v>5</v>
      </c>
      <c r="F2" s="225">
        <v>6</v>
      </c>
      <c r="G2" s="225">
        <v>7</v>
      </c>
      <c r="H2" s="225">
        <v>8</v>
      </c>
      <c r="I2" s="225">
        <v>9</v>
      </c>
      <c r="J2" s="225">
        <v>10</v>
      </c>
      <c r="K2" s="225">
        <v>11</v>
      </c>
    </row>
    <row r="3" spans="1:14">
      <c r="A3" s="226" t="s">
        <v>2221</v>
      </c>
      <c r="B3" s="226">
        <v>52074</v>
      </c>
      <c r="C3" s="226">
        <v>4491</v>
      </c>
      <c r="D3" s="226">
        <v>4735</v>
      </c>
      <c r="E3" s="226">
        <v>4735</v>
      </c>
      <c r="F3" s="226">
        <v>4758</v>
      </c>
      <c r="G3" s="226">
        <v>4792</v>
      </c>
      <c r="H3" s="226">
        <v>4807</v>
      </c>
      <c r="I3">
        <v>4822</v>
      </c>
      <c r="J3">
        <v>4836</v>
      </c>
      <c r="K3">
        <v>4851</v>
      </c>
      <c r="L3" s="1689"/>
    </row>
    <row r="4" spans="1:14">
      <c r="A4" s="226" t="s">
        <v>2222</v>
      </c>
      <c r="B4" s="226">
        <v>61003</v>
      </c>
      <c r="C4" s="226">
        <v>5571</v>
      </c>
      <c r="D4" s="226">
        <v>6184</v>
      </c>
      <c r="E4" s="226">
        <v>6184</v>
      </c>
      <c r="F4" s="226">
        <v>6233</v>
      </c>
      <c r="G4" s="226">
        <v>6285</v>
      </c>
      <c r="H4" s="226">
        <v>6339</v>
      </c>
      <c r="I4">
        <v>6404</v>
      </c>
      <c r="J4">
        <v>6466</v>
      </c>
      <c r="K4">
        <v>6514</v>
      </c>
      <c r="L4" s="1689"/>
    </row>
    <row r="5" spans="1:14">
      <c r="A5" s="226" t="s">
        <v>2223</v>
      </c>
      <c r="B5" s="226">
        <v>63001</v>
      </c>
      <c r="C5" s="226">
        <v>2084</v>
      </c>
      <c r="D5" s="226">
        <v>2394</v>
      </c>
      <c r="E5" s="226">
        <v>2394</v>
      </c>
      <c r="F5" s="226">
        <v>2439</v>
      </c>
      <c r="G5" s="226">
        <v>2469</v>
      </c>
      <c r="H5" s="226">
        <v>2479</v>
      </c>
      <c r="I5">
        <v>2530</v>
      </c>
      <c r="J5">
        <v>2550</v>
      </c>
      <c r="K5">
        <v>2576</v>
      </c>
      <c r="L5" s="1689"/>
    </row>
    <row r="6" spans="1:14">
      <c r="A6" s="226" t="s">
        <v>2224</v>
      </c>
      <c r="B6" s="226">
        <v>92003</v>
      </c>
      <c r="C6" s="226">
        <v>9927</v>
      </c>
      <c r="D6" s="226">
        <v>11216</v>
      </c>
      <c r="E6" s="226">
        <v>11216</v>
      </c>
      <c r="F6" s="226">
        <v>11360</v>
      </c>
      <c r="G6" s="226">
        <v>11548</v>
      </c>
      <c r="H6" s="226">
        <v>11825</v>
      </c>
      <c r="I6">
        <v>12146</v>
      </c>
      <c r="J6">
        <v>12387</v>
      </c>
      <c r="K6">
        <v>12562</v>
      </c>
      <c r="L6" s="1689"/>
    </row>
    <row r="7" spans="1:14">
      <c r="A7" s="226" t="s">
        <v>2225</v>
      </c>
      <c r="B7" s="226">
        <v>56001</v>
      </c>
      <c r="C7" s="226">
        <v>5010</v>
      </c>
      <c r="D7" s="226">
        <v>5409</v>
      </c>
      <c r="E7" s="226">
        <v>5409</v>
      </c>
      <c r="F7" s="226">
        <v>5457</v>
      </c>
      <c r="G7" s="226">
        <v>5502</v>
      </c>
      <c r="H7" s="226">
        <v>5548</v>
      </c>
      <c r="I7">
        <v>5583</v>
      </c>
      <c r="J7">
        <v>5622</v>
      </c>
      <c r="K7">
        <v>5656</v>
      </c>
      <c r="L7" s="1689"/>
    </row>
    <row r="8" spans="1:14">
      <c r="A8" s="226" t="s">
        <v>2226</v>
      </c>
      <c r="B8" s="226">
        <v>91005</v>
      </c>
      <c r="C8" s="226">
        <v>2918</v>
      </c>
      <c r="D8" s="226">
        <v>3167</v>
      </c>
      <c r="E8" s="226">
        <v>3167</v>
      </c>
      <c r="F8" s="226">
        <v>3193</v>
      </c>
      <c r="G8" s="226">
        <v>3210</v>
      </c>
      <c r="H8" s="226">
        <v>3244</v>
      </c>
      <c r="I8">
        <v>3256</v>
      </c>
      <c r="J8">
        <v>3280</v>
      </c>
      <c r="K8">
        <v>3307</v>
      </c>
      <c r="L8" s="1689"/>
    </row>
    <row r="9" spans="1:14">
      <c r="A9" s="226" t="s">
        <v>2227</v>
      </c>
      <c r="B9" s="226">
        <v>62003</v>
      </c>
      <c r="C9" s="226">
        <v>12386</v>
      </c>
      <c r="D9" s="226">
        <v>13000</v>
      </c>
      <c r="E9" s="226">
        <v>13000</v>
      </c>
      <c r="F9" s="226">
        <v>13036</v>
      </c>
      <c r="G9" s="226">
        <v>13093</v>
      </c>
      <c r="H9" s="226">
        <v>13117</v>
      </c>
      <c r="I9">
        <v>13153</v>
      </c>
      <c r="J9">
        <v>13194</v>
      </c>
      <c r="K9">
        <v>13230</v>
      </c>
      <c r="L9" s="1689"/>
    </row>
    <row r="10" spans="1:14">
      <c r="A10" s="226" t="s">
        <v>2228</v>
      </c>
      <c r="B10" s="226">
        <v>61079</v>
      </c>
      <c r="C10" s="226">
        <v>1683</v>
      </c>
      <c r="D10" s="226">
        <v>1810</v>
      </c>
      <c r="E10" s="226">
        <v>1810</v>
      </c>
      <c r="F10" s="226">
        <v>1837</v>
      </c>
      <c r="G10" s="226">
        <v>1846</v>
      </c>
      <c r="H10" s="226">
        <v>1860</v>
      </c>
      <c r="I10">
        <v>1878</v>
      </c>
      <c r="J10">
        <v>1895</v>
      </c>
      <c r="K10">
        <v>1903</v>
      </c>
      <c r="L10" s="1689"/>
    </row>
    <row r="11" spans="1:14">
      <c r="A11" s="226" t="s">
        <v>2229</v>
      </c>
      <c r="B11" s="226">
        <v>57003</v>
      </c>
      <c r="C11" s="226">
        <v>3330</v>
      </c>
      <c r="D11" s="226">
        <v>3542</v>
      </c>
      <c r="E11" s="226">
        <v>3542</v>
      </c>
      <c r="F11" s="226">
        <v>3560</v>
      </c>
      <c r="G11" s="226">
        <v>3559</v>
      </c>
      <c r="H11" s="226">
        <v>3576</v>
      </c>
      <c r="I11">
        <v>3604</v>
      </c>
      <c r="J11">
        <v>3608</v>
      </c>
      <c r="K11">
        <v>3626</v>
      </c>
      <c r="L11" s="1689"/>
    </row>
    <row r="12" spans="1:14">
      <c r="A12" s="226" t="s">
        <v>2230</v>
      </c>
      <c r="B12" s="226">
        <v>81001</v>
      </c>
      <c r="C12" s="226">
        <v>11845</v>
      </c>
      <c r="D12" s="226">
        <v>14003</v>
      </c>
      <c r="E12" s="226">
        <v>14003</v>
      </c>
      <c r="F12" s="226">
        <v>14180</v>
      </c>
      <c r="G12" s="226">
        <v>14389</v>
      </c>
      <c r="H12" s="226">
        <v>14509</v>
      </c>
      <c r="I12">
        <v>14901</v>
      </c>
      <c r="J12">
        <v>15084</v>
      </c>
      <c r="K12">
        <v>15276</v>
      </c>
      <c r="L12" s="1689"/>
    </row>
    <row r="13" spans="1:14">
      <c r="A13" s="226" t="s">
        <v>2231</v>
      </c>
      <c r="B13" s="226">
        <v>92006</v>
      </c>
      <c r="C13" s="226">
        <v>2410</v>
      </c>
      <c r="D13" s="226">
        <v>2737</v>
      </c>
      <c r="E13" s="226">
        <v>2737</v>
      </c>
      <c r="F13" s="226">
        <v>2760</v>
      </c>
      <c r="G13" s="226">
        <v>2778</v>
      </c>
      <c r="H13" s="226">
        <v>2808</v>
      </c>
      <c r="I13">
        <v>2853</v>
      </c>
      <c r="J13">
        <v>2909</v>
      </c>
      <c r="K13">
        <v>2949</v>
      </c>
      <c r="L13" s="1689"/>
    </row>
    <row r="14" spans="1:14">
      <c r="A14" s="226" t="s">
        <v>2232</v>
      </c>
      <c r="B14" s="226">
        <v>51004</v>
      </c>
      <c r="C14" s="226">
        <v>11933</v>
      </c>
      <c r="D14" s="226">
        <v>13533</v>
      </c>
      <c r="E14" s="226">
        <v>13533</v>
      </c>
      <c r="F14" s="226">
        <v>13749</v>
      </c>
      <c r="G14" s="226">
        <v>13755</v>
      </c>
      <c r="H14" s="226">
        <v>13832</v>
      </c>
      <c r="I14">
        <v>14032</v>
      </c>
      <c r="J14">
        <v>14222</v>
      </c>
      <c r="K14">
        <v>14357</v>
      </c>
      <c r="L14" s="1689"/>
    </row>
    <row r="15" spans="1:14">
      <c r="A15" s="226" t="s">
        <v>2233</v>
      </c>
      <c r="B15" s="226">
        <v>81003</v>
      </c>
      <c r="C15" s="226">
        <v>1704</v>
      </c>
      <c r="D15" s="226">
        <v>2034</v>
      </c>
      <c r="E15" s="226">
        <v>2034</v>
      </c>
      <c r="F15" s="226">
        <v>2054</v>
      </c>
      <c r="G15" s="226">
        <v>2092</v>
      </c>
      <c r="H15" s="226">
        <v>2127</v>
      </c>
      <c r="I15">
        <v>2176</v>
      </c>
      <c r="J15">
        <v>2198</v>
      </c>
      <c r="K15">
        <v>2230</v>
      </c>
      <c r="L15" s="1689"/>
    </row>
    <row r="16" spans="1:14">
      <c r="A16" s="226" t="s">
        <v>2234</v>
      </c>
      <c r="B16" s="226">
        <v>81004</v>
      </c>
      <c r="C16" s="226">
        <v>6658</v>
      </c>
      <c r="D16" s="226">
        <v>7489</v>
      </c>
      <c r="E16" s="226">
        <v>7489</v>
      </c>
      <c r="F16" s="226">
        <v>7547</v>
      </c>
      <c r="G16" s="226">
        <v>7595</v>
      </c>
      <c r="H16" s="226">
        <v>7669</v>
      </c>
      <c r="I16">
        <v>7772</v>
      </c>
      <c r="J16">
        <v>7880</v>
      </c>
      <c r="K16">
        <v>7955</v>
      </c>
      <c r="L16" s="1689"/>
    </row>
    <row r="17" spans="1:12">
      <c r="A17" s="226" t="s">
        <v>2235</v>
      </c>
      <c r="B17" s="226">
        <v>63003</v>
      </c>
      <c r="C17" s="226">
        <v>1601</v>
      </c>
      <c r="D17" s="226">
        <v>1806</v>
      </c>
      <c r="E17" s="226">
        <v>1806</v>
      </c>
      <c r="F17" s="226">
        <v>1832</v>
      </c>
      <c r="G17" s="226">
        <v>1840</v>
      </c>
      <c r="H17" s="226">
        <v>1858</v>
      </c>
      <c r="I17">
        <v>1876</v>
      </c>
      <c r="J17">
        <v>1938</v>
      </c>
      <c r="K17">
        <v>1954</v>
      </c>
      <c r="L17" s="1689"/>
    </row>
    <row r="18" spans="1:12">
      <c r="A18" s="226" t="s">
        <v>2236</v>
      </c>
      <c r="B18" s="226">
        <v>62006</v>
      </c>
      <c r="C18" s="226">
        <v>3417</v>
      </c>
      <c r="D18" s="226">
        <v>3804</v>
      </c>
      <c r="E18" s="226">
        <v>3804</v>
      </c>
      <c r="F18" s="226">
        <v>3855</v>
      </c>
      <c r="G18" s="226">
        <v>3890</v>
      </c>
      <c r="H18" s="226">
        <v>3919</v>
      </c>
      <c r="I18">
        <v>3973</v>
      </c>
      <c r="J18">
        <v>4014</v>
      </c>
      <c r="K18">
        <v>4057</v>
      </c>
      <c r="L18" s="1689"/>
    </row>
    <row r="19" spans="1:12">
      <c r="A19" s="226" t="s">
        <v>2237</v>
      </c>
      <c r="B19" s="226">
        <v>62009</v>
      </c>
      <c r="C19" s="226">
        <v>4933</v>
      </c>
      <c r="D19" s="226">
        <v>5631</v>
      </c>
      <c r="E19" s="226">
        <v>5631</v>
      </c>
      <c r="F19" s="226">
        <v>5721</v>
      </c>
      <c r="G19" s="226">
        <v>5753</v>
      </c>
      <c r="H19" s="226">
        <v>5829</v>
      </c>
      <c r="I19">
        <v>5952</v>
      </c>
      <c r="J19">
        <v>6026</v>
      </c>
      <c r="K19">
        <v>6166</v>
      </c>
      <c r="L19" s="1689"/>
    </row>
    <row r="20" spans="1:12">
      <c r="A20" s="226" t="s">
        <v>2238</v>
      </c>
      <c r="B20" s="226">
        <v>63004</v>
      </c>
      <c r="C20" s="226">
        <v>1562</v>
      </c>
      <c r="D20" s="226">
        <v>1781</v>
      </c>
      <c r="E20" s="226">
        <v>1781</v>
      </c>
      <c r="F20" s="226">
        <v>1803</v>
      </c>
      <c r="G20" s="226">
        <v>1822</v>
      </c>
      <c r="H20" s="226">
        <v>1870</v>
      </c>
      <c r="I20">
        <v>1926</v>
      </c>
      <c r="J20">
        <v>1976</v>
      </c>
      <c r="K20">
        <v>1993</v>
      </c>
      <c r="L20" s="1689"/>
    </row>
    <row r="21" spans="1:12">
      <c r="A21" s="226" t="s">
        <v>2239</v>
      </c>
      <c r="B21" s="226">
        <v>62011</v>
      </c>
      <c r="C21" s="226">
        <v>3499</v>
      </c>
      <c r="D21" s="226">
        <v>3922</v>
      </c>
      <c r="E21" s="226">
        <v>3922</v>
      </c>
      <c r="F21" s="226">
        <v>3974</v>
      </c>
      <c r="G21" s="226">
        <v>3995</v>
      </c>
      <c r="H21" s="226">
        <v>4030</v>
      </c>
      <c r="I21">
        <v>4047</v>
      </c>
      <c r="J21">
        <v>4102</v>
      </c>
      <c r="K21">
        <v>4136</v>
      </c>
      <c r="L21" s="1689"/>
    </row>
    <row r="22" spans="1:12">
      <c r="A22" s="226" t="s">
        <v>2240</v>
      </c>
      <c r="B22" s="226">
        <v>82003</v>
      </c>
      <c r="C22" s="226">
        <v>5859</v>
      </c>
      <c r="D22" s="226">
        <v>6914</v>
      </c>
      <c r="E22" s="226">
        <v>6914</v>
      </c>
      <c r="F22" s="226">
        <v>7016</v>
      </c>
      <c r="G22" s="226">
        <v>7121</v>
      </c>
      <c r="H22" s="226">
        <v>7243</v>
      </c>
      <c r="I22">
        <v>7379</v>
      </c>
      <c r="J22">
        <v>7560</v>
      </c>
      <c r="K22">
        <v>7666</v>
      </c>
      <c r="L22" s="1689"/>
    </row>
    <row r="23" spans="1:12">
      <c r="A23" s="226" t="s">
        <v>2241</v>
      </c>
      <c r="B23" s="226">
        <v>56005</v>
      </c>
      <c r="C23" s="226">
        <v>2976</v>
      </c>
      <c r="D23" s="226">
        <v>3201</v>
      </c>
      <c r="E23" s="226">
        <v>3201</v>
      </c>
      <c r="F23" s="226">
        <v>3214</v>
      </c>
      <c r="G23" s="226">
        <v>3238</v>
      </c>
      <c r="H23" s="226">
        <v>3286</v>
      </c>
      <c r="I23">
        <v>3319</v>
      </c>
      <c r="J23">
        <v>3336</v>
      </c>
      <c r="K23">
        <v>3356</v>
      </c>
      <c r="L23" s="1689"/>
    </row>
    <row r="24" spans="1:12">
      <c r="A24" s="226" t="s">
        <v>2242</v>
      </c>
      <c r="B24" s="226">
        <v>91013</v>
      </c>
      <c r="C24" s="226">
        <v>3886</v>
      </c>
      <c r="D24" s="226">
        <v>4412</v>
      </c>
      <c r="E24" s="226">
        <v>4412</v>
      </c>
      <c r="F24" s="226">
        <v>4464</v>
      </c>
      <c r="G24" s="226">
        <v>4521</v>
      </c>
      <c r="H24" s="226">
        <v>4595</v>
      </c>
      <c r="I24">
        <v>4651</v>
      </c>
      <c r="J24">
        <v>4683</v>
      </c>
      <c r="K24">
        <v>4711</v>
      </c>
      <c r="L24" s="1689"/>
    </row>
    <row r="25" spans="1:12">
      <c r="A25" s="226" t="s">
        <v>2243</v>
      </c>
      <c r="B25" s="226">
        <v>25005</v>
      </c>
      <c r="C25" s="226">
        <v>2480</v>
      </c>
      <c r="D25" s="226">
        <v>2774</v>
      </c>
      <c r="E25" s="226">
        <v>2774</v>
      </c>
      <c r="F25" s="226">
        <v>2806</v>
      </c>
      <c r="G25" s="226">
        <v>2844</v>
      </c>
      <c r="H25" s="226">
        <v>2864</v>
      </c>
      <c r="I25">
        <v>2887</v>
      </c>
      <c r="J25">
        <v>2933</v>
      </c>
      <c r="K25">
        <v>2952</v>
      </c>
      <c r="L25" s="1689"/>
    </row>
    <row r="26" spans="1:12">
      <c r="A26" s="226" t="s">
        <v>2244</v>
      </c>
      <c r="B26" s="226">
        <v>51008</v>
      </c>
      <c r="C26" s="226">
        <v>5934</v>
      </c>
      <c r="D26" s="226">
        <v>6329</v>
      </c>
      <c r="E26" s="226">
        <v>6329</v>
      </c>
      <c r="F26" s="226">
        <v>6400</v>
      </c>
      <c r="G26" s="226">
        <v>6424</v>
      </c>
      <c r="H26" s="226">
        <v>6463</v>
      </c>
      <c r="I26">
        <v>6535</v>
      </c>
      <c r="J26">
        <v>6578</v>
      </c>
      <c r="K26">
        <v>6604</v>
      </c>
      <c r="L26" s="1689"/>
    </row>
    <row r="27" spans="1:12">
      <c r="A27" s="226" t="s">
        <v>2245</v>
      </c>
      <c r="B27" s="226">
        <v>64008</v>
      </c>
      <c r="C27" s="226">
        <v>1117</v>
      </c>
      <c r="D27" s="226">
        <v>1258</v>
      </c>
      <c r="E27" s="226">
        <v>1258</v>
      </c>
      <c r="F27" s="226">
        <v>1266</v>
      </c>
      <c r="G27" s="226">
        <v>1289</v>
      </c>
      <c r="H27" s="226">
        <v>1300</v>
      </c>
      <c r="I27">
        <v>1312</v>
      </c>
      <c r="J27">
        <v>1326</v>
      </c>
      <c r="K27">
        <v>1345</v>
      </c>
      <c r="L27" s="1689"/>
    </row>
    <row r="28" spans="1:12">
      <c r="A28" s="226" t="s">
        <v>2246</v>
      </c>
      <c r="B28" s="226">
        <v>51009</v>
      </c>
      <c r="C28" s="226">
        <v>4935</v>
      </c>
      <c r="D28" s="226">
        <v>5290</v>
      </c>
      <c r="E28" s="226">
        <v>5290</v>
      </c>
      <c r="F28" s="226">
        <v>5349</v>
      </c>
      <c r="G28" s="226">
        <v>5357</v>
      </c>
      <c r="H28" s="226">
        <v>5377</v>
      </c>
      <c r="I28">
        <v>5433</v>
      </c>
      <c r="J28">
        <v>5459</v>
      </c>
      <c r="K28">
        <v>5486</v>
      </c>
      <c r="L28" s="1689"/>
    </row>
    <row r="29" spans="1:12">
      <c r="A29" s="226" t="s">
        <v>2247</v>
      </c>
      <c r="B29" s="226">
        <v>82005</v>
      </c>
      <c r="C29" s="226">
        <v>1242</v>
      </c>
      <c r="D29" s="226">
        <v>1518</v>
      </c>
      <c r="E29" s="226">
        <v>1518</v>
      </c>
      <c r="F29" s="226">
        <v>1543</v>
      </c>
      <c r="G29" s="226">
        <v>1561</v>
      </c>
      <c r="H29" s="226">
        <v>1582</v>
      </c>
      <c r="I29">
        <v>1601</v>
      </c>
      <c r="J29">
        <v>1640</v>
      </c>
      <c r="K29">
        <v>1660</v>
      </c>
      <c r="L29" s="1689"/>
    </row>
    <row r="30" spans="1:12">
      <c r="A30" s="226" t="s">
        <v>2248</v>
      </c>
      <c r="B30" s="226">
        <v>84009</v>
      </c>
      <c r="C30" s="226">
        <v>3604</v>
      </c>
      <c r="D30" s="226">
        <v>4051</v>
      </c>
      <c r="E30" s="226">
        <v>4051</v>
      </c>
      <c r="F30" s="226">
        <v>4108</v>
      </c>
      <c r="G30" s="226">
        <v>4156</v>
      </c>
      <c r="H30" s="226">
        <v>4207</v>
      </c>
      <c r="I30">
        <v>4258</v>
      </c>
      <c r="J30">
        <v>4331</v>
      </c>
      <c r="K30">
        <v>4397</v>
      </c>
      <c r="L30" s="1689"/>
    </row>
    <row r="31" spans="1:12">
      <c r="A31" s="226" t="s">
        <v>2249</v>
      </c>
      <c r="B31" s="226">
        <v>62015</v>
      </c>
      <c r="C31" s="226">
        <v>5038</v>
      </c>
      <c r="D31" s="226">
        <v>5365</v>
      </c>
      <c r="E31" s="226">
        <v>5365</v>
      </c>
      <c r="F31" s="226">
        <v>5386</v>
      </c>
      <c r="G31" s="226">
        <v>5401</v>
      </c>
      <c r="H31" s="226">
        <v>5423</v>
      </c>
      <c r="I31">
        <v>5423</v>
      </c>
      <c r="J31">
        <v>5433</v>
      </c>
      <c r="K31">
        <v>5451</v>
      </c>
      <c r="L31" s="1689"/>
    </row>
    <row r="32" spans="1:12">
      <c r="A32" s="226" t="s">
        <v>2250</v>
      </c>
      <c r="B32" s="226">
        <v>91015</v>
      </c>
      <c r="C32" s="226">
        <v>1728</v>
      </c>
      <c r="D32" s="226">
        <v>1866</v>
      </c>
      <c r="E32" s="226">
        <v>1866</v>
      </c>
      <c r="F32" s="226">
        <v>1894</v>
      </c>
      <c r="G32" s="226">
        <v>1908</v>
      </c>
      <c r="H32" s="226">
        <v>1932</v>
      </c>
      <c r="I32">
        <v>1957</v>
      </c>
      <c r="J32">
        <v>1965</v>
      </c>
      <c r="K32">
        <v>1981</v>
      </c>
      <c r="L32" s="1689"/>
    </row>
    <row r="33" spans="1:12">
      <c r="A33" s="226" t="s">
        <v>2251</v>
      </c>
      <c r="B33" s="226">
        <v>56011</v>
      </c>
      <c r="C33" s="226">
        <v>14842</v>
      </c>
      <c r="D33" s="226">
        <v>15779</v>
      </c>
      <c r="E33" s="226">
        <v>15779</v>
      </c>
      <c r="F33" s="226">
        <v>15880</v>
      </c>
      <c r="G33" s="226">
        <v>15971</v>
      </c>
      <c r="H33" s="226">
        <v>16055</v>
      </c>
      <c r="I33">
        <v>16108</v>
      </c>
      <c r="J33">
        <v>16191</v>
      </c>
      <c r="K33">
        <v>16320</v>
      </c>
      <c r="L33" s="1689"/>
    </row>
    <row r="34" spans="1:12">
      <c r="A34" s="226" t="s">
        <v>2252</v>
      </c>
      <c r="B34" s="226">
        <v>62119</v>
      </c>
      <c r="C34" s="226">
        <v>4983</v>
      </c>
      <c r="D34" s="226">
        <v>5466</v>
      </c>
      <c r="E34" s="226">
        <v>5466</v>
      </c>
      <c r="F34" s="226">
        <v>5533</v>
      </c>
      <c r="G34" s="226">
        <v>5567</v>
      </c>
      <c r="H34" s="226">
        <v>5631</v>
      </c>
      <c r="I34">
        <v>5695</v>
      </c>
      <c r="J34">
        <v>5740</v>
      </c>
      <c r="K34">
        <v>5789</v>
      </c>
      <c r="L34" s="1689"/>
    </row>
    <row r="35" spans="1:12">
      <c r="A35" s="226" t="s">
        <v>2253</v>
      </c>
      <c r="B35" s="226">
        <v>84010</v>
      </c>
      <c r="C35" s="226">
        <v>3412</v>
      </c>
      <c r="D35" s="226">
        <v>3677</v>
      </c>
      <c r="E35" s="226">
        <v>3677</v>
      </c>
      <c r="F35" s="226">
        <v>3708</v>
      </c>
      <c r="G35" s="226">
        <v>3728</v>
      </c>
      <c r="H35" s="226">
        <v>3737</v>
      </c>
      <c r="I35">
        <v>3756</v>
      </c>
      <c r="J35">
        <v>3798</v>
      </c>
      <c r="K35">
        <v>3815</v>
      </c>
      <c r="L35" s="1689"/>
    </row>
    <row r="36" spans="1:12">
      <c r="A36" s="226" t="s">
        <v>2254</v>
      </c>
      <c r="B36" s="226">
        <v>53014</v>
      </c>
      <c r="C36" s="226">
        <v>9053</v>
      </c>
      <c r="D36" s="226">
        <v>9289</v>
      </c>
      <c r="E36" s="226">
        <v>9289</v>
      </c>
      <c r="F36" s="226">
        <v>9330</v>
      </c>
      <c r="G36" s="226">
        <v>9381</v>
      </c>
      <c r="H36" s="226">
        <v>9420</v>
      </c>
      <c r="I36">
        <v>9479</v>
      </c>
      <c r="J36">
        <v>9617</v>
      </c>
      <c r="K36">
        <v>9665</v>
      </c>
      <c r="L36" s="1689"/>
    </row>
    <row r="37" spans="1:12">
      <c r="A37" s="226" t="s">
        <v>2255</v>
      </c>
      <c r="B37" s="226">
        <v>25014</v>
      </c>
      <c r="C37" s="226">
        <v>15045</v>
      </c>
      <c r="D37" s="226">
        <v>16765</v>
      </c>
      <c r="E37" s="226">
        <v>16765</v>
      </c>
      <c r="F37" s="226">
        <v>16838</v>
      </c>
      <c r="G37" s="226">
        <v>16928</v>
      </c>
      <c r="H37" s="226">
        <v>17009</v>
      </c>
      <c r="I37">
        <v>17099</v>
      </c>
      <c r="J37">
        <v>17184</v>
      </c>
      <c r="K37">
        <v>17282</v>
      </c>
    </row>
    <row r="38" spans="1:12">
      <c r="A38" s="226" t="s">
        <v>2256</v>
      </c>
      <c r="B38" s="226">
        <v>25015</v>
      </c>
      <c r="C38" s="226">
        <v>3736</v>
      </c>
      <c r="D38" s="226">
        <v>4167</v>
      </c>
      <c r="E38" s="226">
        <v>4167</v>
      </c>
      <c r="F38" s="226">
        <v>4211</v>
      </c>
      <c r="G38" s="226">
        <v>4246</v>
      </c>
      <c r="H38" s="226">
        <v>4282</v>
      </c>
      <c r="I38">
        <v>4311</v>
      </c>
      <c r="J38">
        <v>4335</v>
      </c>
      <c r="K38">
        <v>4375</v>
      </c>
      <c r="L38" s="1689"/>
    </row>
    <row r="39" spans="1:12">
      <c r="A39" s="226" t="s">
        <v>2257</v>
      </c>
      <c r="B39" s="226">
        <v>55004</v>
      </c>
      <c r="C39" s="226">
        <v>8232</v>
      </c>
      <c r="D39" s="226">
        <v>8866</v>
      </c>
      <c r="E39" s="226">
        <v>8866</v>
      </c>
      <c r="F39" s="226">
        <v>8934</v>
      </c>
      <c r="G39" s="226">
        <v>8988</v>
      </c>
      <c r="H39" s="226">
        <v>9132</v>
      </c>
      <c r="I39">
        <v>9250</v>
      </c>
      <c r="J39">
        <v>9392</v>
      </c>
      <c r="K39">
        <v>9512</v>
      </c>
      <c r="L39" s="1689"/>
    </row>
    <row r="40" spans="1:12">
      <c r="A40" s="226" t="s">
        <v>2258</v>
      </c>
      <c r="B40" s="226">
        <v>64015</v>
      </c>
      <c r="C40" s="226">
        <v>2267</v>
      </c>
      <c r="D40" s="226">
        <v>2538</v>
      </c>
      <c r="E40" s="226">
        <v>2538</v>
      </c>
      <c r="F40" s="226">
        <v>2557</v>
      </c>
      <c r="G40" s="226">
        <v>2578</v>
      </c>
      <c r="H40" s="226">
        <v>2631</v>
      </c>
      <c r="I40">
        <v>2662</v>
      </c>
      <c r="J40">
        <v>2693</v>
      </c>
      <c r="K40">
        <v>2715</v>
      </c>
      <c r="L40" s="1689"/>
    </row>
    <row r="41" spans="1:12">
      <c r="A41" s="226" t="s">
        <v>2259</v>
      </c>
      <c r="B41" s="226">
        <v>51012</v>
      </c>
      <c r="C41" s="226">
        <v>1385</v>
      </c>
      <c r="D41" s="226">
        <v>1544</v>
      </c>
      <c r="E41" s="226">
        <v>1544</v>
      </c>
      <c r="F41" s="226">
        <v>1560</v>
      </c>
      <c r="G41" s="226">
        <v>1595</v>
      </c>
      <c r="H41" s="226">
        <v>1613</v>
      </c>
      <c r="I41">
        <v>1630</v>
      </c>
      <c r="J41">
        <v>1661</v>
      </c>
      <c r="K41">
        <v>1684</v>
      </c>
      <c r="L41" s="1689"/>
    </row>
    <row r="42" spans="1:12">
      <c r="A42" s="226" t="s">
        <v>2260</v>
      </c>
      <c r="B42" s="226">
        <v>57093</v>
      </c>
      <c r="C42" s="226">
        <v>3146</v>
      </c>
      <c r="D42" s="226">
        <v>3402</v>
      </c>
      <c r="E42" s="226">
        <v>3402</v>
      </c>
      <c r="F42" s="226">
        <v>3440</v>
      </c>
      <c r="G42" s="226">
        <v>3452</v>
      </c>
      <c r="H42" s="226">
        <v>3471</v>
      </c>
      <c r="I42">
        <v>3511</v>
      </c>
      <c r="J42">
        <v>3542</v>
      </c>
      <c r="K42">
        <v>3563</v>
      </c>
      <c r="L42" s="1689"/>
    </row>
    <row r="43" spans="1:12">
      <c r="A43" s="226" t="s">
        <v>2261</v>
      </c>
      <c r="B43" s="226">
        <v>63012</v>
      </c>
      <c r="C43" s="226">
        <v>2275</v>
      </c>
      <c r="D43" s="226">
        <v>2594</v>
      </c>
      <c r="E43" s="226">
        <v>2594</v>
      </c>
      <c r="F43" s="226">
        <v>2627</v>
      </c>
      <c r="G43" s="226">
        <v>2648</v>
      </c>
      <c r="H43" s="226">
        <v>2672</v>
      </c>
      <c r="I43">
        <v>2717</v>
      </c>
      <c r="J43">
        <v>2731</v>
      </c>
      <c r="K43">
        <v>2754</v>
      </c>
      <c r="L43" s="1689"/>
    </row>
    <row r="44" spans="1:12">
      <c r="A44" s="226" t="s">
        <v>2262</v>
      </c>
      <c r="B44" s="226">
        <v>61010</v>
      </c>
      <c r="C44" s="226">
        <v>1202</v>
      </c>
      <c r="D44" s="226">
        <v>1356</v>
      </c>
      <c r="E44" s="226">
        <v>1356</v>
      </c>
      <c r="F44" s="226">
        <v>1378</v>
      </c>
      <c r="G44" s="226">
        <v>1387</v>
      </c>
      <c r="H44" s="226">
        <v>1409</v>
      </c>
      <c r="I44">
        <v>1427</v>
      </c>
      <c r="J44">
        <v>1444</v>
      </c>
      <c r="K44">
        <v>1461</v>
      </c>
      <c r="L44" s="1689"/>
    </row>
    <row r="45" spans="1:12">
      <c r="A45" s="226" t="s">
        <v>2263</v>
      </c>
      <c r="B45" s="226">
        <v>63087</v>
      </c>
      <c r="C45" s="226">
        <v>1893</v>
      </c>
      <c r="D45" s="226">
        <v>2075</v>
      </c>
      <c r="E45" s="226">
        <v>2075</v>
      </c>
      <c r="F45" s="226">
        <v>2107</v>
      </c>
      <c r="G45" s="226">
        <v>2116</v>
      </c>
      <c r="H45" s="226">
        <v>2133</v>
      </c>
      <c r="I45">
        <v>2162</v>
      </c>
      <c r="J45">
        <v>2177</v>
      </c>
      <c r="K45">
        <v>2190</v>
      </c>
      <c r="L45" s="1689"/>
    </row>
    <row r="46" spans="1:12">
      <c r="A46" s="226" t="s">
        <v>2264</v>
      </c>
      <c r="B46" s="226">
        <v>63013</v>
      </c>
      <c r="C46" s="226">
        <v>2303</v>
      </c>
      <c r="D46" s="226">
        <v>2601</v>
      </c>
      <c r="E46" s="226">
        <v>2601</v>
      </c>
      <c r="F46" s="226">
        <v>2655</v>
      </c>
      <c r="G46" s="226">
        <v>2681</v>
      </c>
      <c r="H46" s="226">
        <v>2712</v>
      </c>
      <c r="I46">
        <v>2748</v>
      </c>
      <c r="J46">
        <v>2768</v>
      </c>
      <c r="K46">
        <v>2770</v>
      </c>
      <c r="L46" s="1689"/>
    </row>
    <row r="47" spans="1:12">
      <c r="A47" s="226" t="s">
        <v>2265</v>
      </c>
      <c r="B47" s="226">
        <v>57018</v>
      </c>
      <c r="C47" s="226">
        <v>2207</v>
      </c>
      <c r="D47" s="226">
        <v>2378</v>
      </c>
      <c r="E47" s="226">
        <v>2378</v>
      </c>
      <c r="F47" s="226">
        <v>2420</v>
      </c>
      <c r="G47" s="226">
        <v>2453</v>
      </c>
      <c r="H47" s="226">
        <v>2467</v>
      </c>
      <c r="I47">
        <v>2491</v>
      </c>
      <c r="J47">
        <v>2617</v>
      </c>
      <c r="K47">
        <v>2634</v>
      </c>
      <c r="L47" s="1689"/>
    </row>
    <row r="48" spans="1:12">
      <c r="A48" s="226" t="s">
        <v>2266</v>
      </c>
      <c r="B48" s="226">
        <v>93010</v>
      </c>
      <c r="C48" s="226">
        <v>2972</v>
      </c>
      <c r="D48" s="226">
        <v>2454</v>
      </c>
      <c r="E48" s="226">
        <v>2454</v>
      </c>
      <c r="F48" s="226">
        <v>2511</v>
      </c>
      <c r="G48" s="226">
        <v>2539</v>
      </c>
      <c r="H48" s="226">
        <v>2560</v>
      </c>
      <c r="I48">
        <v>2576</v>
      </c>
      <c r="J48">
        <v>2626</v>
      </c>
      <c r="K48">
        <v>2643</v>
      </c>
      <c r="L48" s="1689"/>
    </row>
    <row r="49" spans="1:12">
      <c r="A49" s="226" t="s">
        <v>2267</v>
      </c>
      <c r="B49" s="226">
        <v>52010</v>
      </c>
      <c r="C49" s="226">
        <v>6039</v>
      </c>
      <c r="D49" s="226">
        <v>6672</v>
      </c>
      <c r="E49" s="226">
        <v>6672</v>
      </c>
      <c r="F49" s="226">
        <v>6723</v>
      </c>
      <c r="G49" s="226">
        <v>6791</v>
      </c>
      <c r="H49" s="226">
        <v>6878</v>
      </c>
      <c r="I49">
        <v>6925</v>
      </c>
      <c r="J49">
        <v>6964</v>
      </c>
      <c r="K49">
        <v>7005</v>
      </c>
      <c r="L49" s="1689"/>
    </row>
    <row r="50" spans="1:12">
      <c r="A50" s="226" t="s">
        <v>2268</v>
      </c>
      <c r="B50" s="226">
        <v>52011</v>
      </c>
      <c r="C50" s="226">
        <v>91945</v>
      </c>
      <c r="D50" s="226">
        <v>99562</v>
      </c>
      <c r="E50" s="226">
        <v>99562</v>
      </c>
      <c r="F50" s="226">
        <v>100732</v>
      </c>
      <c r="G50" s="226">
        <v>100598</v>
      </c>
      <c r="H50" s="226">
        <v>101178</v>
      </c>
      <c r="I50">
        <v>101612</v>
      </c>
      <c r="J50">
        <v>102144</v>
      </c>
      <c r="K50">
        <v>102878</v>
      </c>
      <c r="L50" s="1689"/>
    </row>
    <row r="51" spans="1:12">
      <c r="A51" s="226" t="s">
        <v>2269</v>
      </c>
      <c r="B51" s="226">
        <v>25117</v>
      </c>
      <c r="C51" s="226">
        <v>2430</v>
      </c>
      <c r="D51" s="226">
        <v>2815</v>
      </c>
      <c r="E51" s="226">
        <v>2815</v>
      </c>
      <c r="F51" s="226">
        <v>2846</v>
      </c>
      <c r="G51" s="226">
        <v>2884</v>
      </c>
      <c r="H51" s="226">
        <v>2948</v>
      </c>
      <c r="I51">
        <v>2967</v>
      </c>
      <c r="J51">
        <v>3023</v>
      </c>
      <c r="K51">
        <v>3056</v>
      </c>
      <c r="L51" s="1689"/>
    </row>
    <row r="52" spans="1:12">
      <c r="A52" s="226" t="s">
        <v>2270</v>
      </c>
      <c r="B52" s="226">
        <v>52012</v>
      </c>
      <c r="C52" s="226">
        <v>15901</v>
      </c>
      <c r="D52" s="226">
        <v>16669</v>
      </c>
      <c r="E52" s="226">
        <v>16669</v>
      </c>
      <c r="F52" s="226">
        <v>16711</v>
      </c>
      <c r="G52" s="226">
        <v>16746</v>
      </c>
      <c r="H52" s="226">
        <v>16840</v>
      </c>
      <c r="I52">
        <v>16872</v>
      </c>
      <c r="J52">
        <v>16918</v>
      </c>
      <c r="K52">
        <v>16955</v>
      </c>
      <c r="L52" s="1689"/>
    </row>
    <row r="53" spans="1:12">
      <c r="A53" s="226" t="s">
        <v>2271</v>
      </c>
      <c r="B53" s="226">
        <v>62022</v>
      </c>
      <c r="C53" s="226">
        <v>9028</v>
      </c>
      <c r="D53" s="226">
        <v>9636</v>
      </c>
      <c r="E53" s="226">
        <v>9636</v>
      </c>
      <c r="F53" s="226">
        <v>9714</v>
      </c>
      <c r="G53" s="226">
        <v>9729</v>
      </c>
      <c r="H53" s="226">
        <v>9794</v>
      </c>
      <c r="I53">
        <v>9897</v>
      </c>
      <c r="J53">
        <v>9965</v>
      </c>
      <c r="K53">
        <v>10047</v>
      </c>
      <c r="L53" s="1689"/>
    </row>
    <row r="54" spans="1:12">
      <c r="A54" s="226" t="s">
        <v>2272</v>
      </c>
      <c r="B54" s="226">
        <v>25018</v>
      </c>
      <c r="C54" s="226">
        <v>4068</v>
      </c>
      <c r="D54" s="226">
        <v>4683</v>
      </c>
      <c r="E54" s="226">
        <v>4683</v>
      </c>
      <c r="F54" s="226">
        <v>4700</v>
      </c>
      <c r="G54" s="226">
        <v>4741</v>
      </c>
      <c r="H54" s="226">
        <v>4775</v>
      </c>
      <c r="I54">
        <v>4829</v>
      </c>
      <c r="J54">
        <v>4852</v>
      </c>
      <c r="K54">
        <v>4879</v>
      </c>
      <c r="L54" s="1689"/>
    </row>
    <row r="55" spans="1:12">
      <c r="A55" s="226" t="s">
        <v>2273</v>
      </c>
      <c r="B55" s="226">
        <v>51014</v>
      </c>
      <c r="C55" s="226">
        <v>2600</v>
      </c>
      <c r="D55" s="226">
        <v>2872</v>
      </c>
      <c r="E55" s="226">
        <v>2872</v>
      </c>
      <c r="F55" s="226">
        <v>2896</v>
      </c>
      <c r="G55" s="226">
        <v>2918</v>
      </c>
      <c r="H55" s="226">
        <v>2945</v>
      </c>
      <c r="I55">
        <v>2968</v>
      </c>
      <c r="J55">
        <v>2983</v>
      </c>
      <c r="K55">
        <v>3006</v>
      </c>
      <c r="L55" s="1689"/>
    </row>
    <row r="56" spans="1:12">
      <c r="A56" s="226" t="s">
        <v>2274</v>
      </c>
      <c r="B56" s="226">
        <v>56016</v>
      </c>
      <c r="C56" s="226">
        <v>4852</v>
      </c>
      <c r="D56" s="226">
        <v>5152</v>
      </c>
      <c r="E56" s="226">
        <v>5152</v>
      </c>
      <c r="F56" s="226">
        <v>5163</v>
      </c>
      <c r="G56" s="226">
        <v>5213</v>
      </c>
      <c r="H56" s="226">
        <v>5243</v>
      </c>
      <c r="I56">
        <v>5260</v>
      </c>
      <c r="J56">
        <v>5283</v>
      </c>
      <c r="K56">
        <v>5286</v>
      </c>
      <c r="L56" s="1689"/>
    </row>
    <row r="57" spans="1:12">
      <c r="A57" s="226" t="s">
        <v>2275</v>
      </c>
      <c r="B57" s="226">
        <v>85007</v>
      </c>
      <c r="C57" s="226">
        <v>2407</v>
      </c>
      <c r="D57" s="226">
        <v>2557</v>
      </c>
      <c r="E57" s="226">
        <v>2557</v>
      </c>
      <c r="F57" s="226">
        <v>2568</v>
      </c>
      <c r="G57" s="226">
        <v>2579</v>
      </c>
      <c r="H57" s="226">
        <v>2598</v>
      </c>
      <c r="I57">
        <v>2616</v>
      </c>
      <c r="J57">
        <v>2624</v>
      </c>
      <c r="K57">
        <v>2646</v>
      </c>
      <c r="L57" s="1689"/>
    </row>
    <row r="58" spans="1:12">
      <c r="A58" s="226" t="s">
        <v>2276</v>
      </c>
      <c r="B58" s="226">
        <v>91030</v>
      </c>
      <c r="C58" s="226">
        <v>6356</v>
      </c>
      <c r="D58" s="226">
        <v>7435</v>
      </c>
      <c r="E58" s="226">
        <v>7435</v>
      </c>
      <c r="F58" s="226">
        <v>7503</v>
      </c>
      <c r="G58" s="226">
        <v>7603</v>
      </c>
      <c r="H58" s="226">
        <v>7746</v>
      </c>
      <c r="I58">
        <v>7845</v>
      </c>
      <c r="J58">
        <v>7921</v>
      </c>
      <c r="K58">
        <v>8033</v>
      </c>
      <c r="L58" s="1689"/>
    </row>
    <row r="59" spans="1:12">
      <c r="A59" s="226" t="s">
        <v>2277</v>
      </c>
      <c r="B59" s="226">
        <v>61012</v>
      </c>
      <c r="C59" s="226">
        <v>1727</v>
      </c>
      <c r="D59" s="226">
        <v>1884</v>
      </c>
      <c r="E59" s="226">
        <v>1884</v>
      </c>
      <c r="F59" s="226">
        <v>1917</v>
      </c>
      <c r="G59" s="226">
        <v>1935</v>
      </c>
      <c r="H59" s="226">
        <v>1962</v>
      </c>
      <c r="I59">
        <v>1987</v>
      </c>
      <c r="J59">
        <v>2015</v>
      </c>
      <c r="K59">
        <v>2053</v>
      </c>
      <c r="L59" s="1689"/>
    </row>
    <row r="60" spans="1:12">
      <c r="A60" s="226" t="s">
        <v>2278</v>
      </c>
      <c r="B60" s="226">
        <v>53082</v>
      </c>
      <c r="C60" s="226">
        <v>9166</v>
      </c>
      <c r="D60" s="226">
        <v>9366</v>
      </c>
      <c r="E60" s="226">
        <v>9366</v>
      </c>
      <c r="F60" s="226">
        <v>9512</v>
      </c>
      <c r="G60" s="226">
        <v>9566</v>
      </c>
      <c r="H60" s="226">
        <v>9606</v>
      </c>
      <c r="I60">
        <v>9652</v>
      </c>
      <c r="J60">
        <v>9673</v>
      </c>
      <c r="K60">
        <v>9717</v>
      </c>
      <c r="L60" s="1689"/>
    </row>
    <row r="61" spans="1:12">
      <c r="A61" s="226" t="s">
        <v>2279</v>
      </c>
      <c r="B61" s="226">
        <v>62026</v>
      </c>
      <c r="C61" s="226">
        <v>2325</v>
      </c>
      <c r="D61" s="226">
        <v>2434</v>
      </c>
      <c r="E61" s="226">
        <v>2434</v>
      </c>
      <c r="F61" s="226">
        <v>2451</v>
      </c>
      <c r="G61" s="226">
        <v>2459</v>
      </c>
      <c r="H61" s="226">
        <v>2473</v>
      </c>
      <c r="I61">
        <v>2488</v>
      </c>
      <c r="J61">
        <v>2502</v>
      </c>
      <c r="K61">
        <v>2517</v>
      </c>
      <c r="L61" s="1689"/>
    </row>
    <row r="62" spans="1:12">
      <c r="A62" s="226" t="s">
        <v>2280</v>
      </c>
      <c r="B62" s="226">
        <v>54010</v>
      </c>
      <c r="C62" s="226">
        <v>7794</v>
      </c>
      <c r="D62" s="226">
        <v>8232</v>
      </c>
      <c r="E62" s="226">
        <v>8232</v>
      </c>
      <c r="F62" s="226">
        <v>8271</v>
      </c>
      <c r="G62" s="226">
        <v>8310</v>
      </c>
      <c r="H62" s="226">
        <v>8379</v>
      </c>
      <c r="I62">
        <v>8442</v>
      </c>
      <c r="J62">
        <v>8491</v>
      </c>
      <c r="K62">
        <v>8577</v>
      </c>
      <c r="L62" s="1689"/>
    </row>
    <row r="63" spans="1:12">
      <c r="A63" s="226" t="s">
        <v>2281</v>
      </c>
      <c r="B63" s="226">
        <v>52015</v>
      </c>
      <c r="C63" s="226">
        <v>12793</v>
      </c>
      <c r="D63" s="226">
        <v>13936</v>
      </c>
      <c r="E63" s="226">
        <v>13936</v>
      </c>
      <c r="F63" s="226">
        <v>14086</v>
      </c>
      <c r="G63" s="226">
        <v>14150</v>
      </c>
      <c r="H63" s="226">
        <v>14247</v>
      </c>
      <c r="I63">
        <v>14352</v>
      </c>
      <c r="J63">
        <v>14444</v>
      </c>
      <c r="K63">
        <v>14511</v>
      </c>
      <c r="L63" s="1689"/>
    </row>
    <row r="64" spans="1:12">
      <c r="A64" s="226" t="s">
        <v>2282</v>
      </c>
      <c r="B64" s="226">
        <v>25023</v>
      </c>
      <c r="C64" s="226">
        <v>3534</v>
      </c>
      <c r="D64" s="226">
        <v>4014</v>
      </c>
      <c r="E64" s="226">
        <v>4014</v>
      </c>
      <c r="F64" s="226">
        <v>4084</v>
      </c>
      <c r="G64" s="226">
        <v>4115</v>
      </c>
      <c r="H64" s="226">
        <v>4163</v>
      </c>
      <c r="I64">
        <v>4295</v>
      </c>
      <c r="J64">
        <v>4338</v>
      </c>
      <c r="K64">
        <v>4354</v>
      </c>
      <c r="L64" s="1689"/>
    </row>
    <row r="65" spans="1:12">
      <c r="A65" s="226" t="s">
        <v>2283</v>
      </c>
      <c r="B65" s="226">
        <v>93014</v>
      </c>
      <c r="C65" s="226">
        <v>6497</v>
      </c>
      <c r="D65" s="226">
        <v>7026</v>
      </c>
      <c r="E65" s="226">
        <v>7026</v>
      </c>
      <c r="F65" s="226">
        <v>7098</v>
      </c>
      <c r="G65" s="226">
        <v>7140</v>
      </c>
      <c r="H65" s="226">
        <v>7187</v>
      </c>
      <c r="I65">
        <v>7220</v>
      </c>
      <c r="J65">
        <v>7272</v>
      </c>
      <c r="K65">
        <v>7356</v>
      </c>
      <c r="L65" s="1689"/>
    </row>
    <row r="66" spans="1:12">
      <c r="A66" s="226" t="s">
        <v>2284</v>
      </c>
      <c r="B66" s="226">
        <v>64021</v>
      </c>
      <c r="C66" s="226">
        <v>1099</v>
      </c>
      <c r="D66" s="226">
        <v>1324</v>
      </c>
      <c r="E66" s="226">
        <v>1324</v>
      </c>
      <c r="F66" s="226">
        <v>1350</v>
      </c>
      <c r="G66" s="226">
        <v>1374</v>
      </c>
      <c r="H66" s="226">
        <v>1396</v>
      </c>
      <c r="I66">
        <v>1415</v>
      </c>
      <c r="J66">
        <v>1433</v>
      </c>
      <c r="K66">
        <v>1448</v>
      </c>
      <c r="L66" s="1689"/>
    </row>
    <row r="67" spans="1:12">
      <c r="A67" s="226" t="s">
        <v>2285</v>
      </c>
      <c r="B67" s="226">
        <v>62027</v>
      </c>
      <c r="C67" s="226">
        <v>2553</v>
      </c>
      <c r="D67" s="226">
        <v>3083</v>
      </c>
      <c r="E67" s="226">
        <v>3083</v>
      </c>
      <c r="F67" s="226">
        <v>3212</v>
      </c>
      <c r="G67" s="226">
        <v>3234</v>
      </c>
      <c r="H67" s="226">
        <v>3275</v>
      </c>
      <c r="I67">
        <v>3300</v>
      </c>
      <c r="J67">
        <v>3343</v>
      </c>
      <c r="K67">
        <v>3394</v>
      </c>
      <c r="L67" s="1689"/>
    </row>
    <row r="68" spans="1:12">
      <c r="A68" s="226" t="s">
        <v>2286</v>
      </c>
      <c r="B68" s="226">
        <v>84016</v>
      </c>
      <c r="C68" s="226">
        <v>793</v>
      </c>
      <c r="D68" s="226">
        <v>873</v>
      </c>
      <c r="E68" s="226">
        <v>873</v>
      </c>
      <c r="F68" s="226">
        <v>884</v>
      </c>
      <c r="G68" s="226">
        <v>889</v>
      </c>
      <c r="H68" s="226">
        <v>894</v>
      </c>
      <c r="I68">
        <v>899</v>
      </c>
      <c r="J68">
        <v>911</v>
      </c>
      <c r="K68">
        <v>916</v>
      </c>
      <c r="L68" s="1689"/>
    </row>
    <row r="69" spans="1:12">
      <c r="A69" s="226" t="s">
        <v>2287</v>
      </c>
      <c r="B69" s="226">
        <v>91034</v>
      </c>
      <c r="C69" s="226">
        <v>6246</v>
      </c>
      <c r="D69" s="226">
        <v>6915</v>
      </c>
      <c r="E69" s="226">
        <v>6915</v>
      </c>
      <c r="F69" s="226">
        <v>6962</v>
      </c>
      <c r="G69" s="226">
        <v>6994</v>
      </c>
      <c r="H69" s="226">
        <v>7075</v>
      </c>
      <c r="I69">
        <v>7119</v>
      </c>
      <c r="J69">
        <v>7142</v>
      </c>
      <c r="K69">
        <v>7168</v>
      </c>
      <c r="L69" s="1689"/>
    </row>
    <row r="70" spans="1:12">
      <c r="A70" s="226" t="s">
        <v>2288</v>
      </c>
      <c r="B70" s="226">
        <v>63020</v>
      </c>
      <c r="C70" s="226">
        <v>6099</v>
      </c>
      <c r="D70" s="226">
        <v>6519</v>
      </c>
      <c r="E70" s="226">
        <v>6519</v>
      </c>
      <c r="F70" s="226">
        <v>6561</v>
      </c>
      <c r="G70" s="226">
        <v>6575</v>
      </c>
      <c r="H70" s="226">
        <v>6658</v>
      </c>
      <c r="I70">
        <v>6797</v>
      </c>
      <c r="J70">
        <v>6847</v>
      </c>
      <c r="K70">
        <v>6870</v>
      </c>
      <c r="L70" s="1689"/>
    </row>
    <row r="71" spans="1:12">
      <c r="A71" s="226" t="s">
        <v>2289</v>
      </c>
      <c r="B71" s="226">
        <v>93018</v>
      </c>
      <c r="C71" s="226">
        <v>1352</v>
      </c>
      <c r="D71" s="226">
        <v>1453</v>
      </c>
      <c r="E71" s="226">
        <v>1453</v>
      </c>
      <c r="F71" s="226">
        <v>1479</v>
      </c>
      <c r="G71" s="226">
        <v>1482</v>
      </c>
      <c r="H71" s="226">
        <v>1496</v>
      </c>
      <c r="I71">
        <v>1504</v>
      </c>
      <c r="J71">
        <v>1514</v>
      </c>
      <c r="K71">
        <v>1524</v>
      </c>
      <c r="L71" s="1689"/>
    </row>
    <row r="72" spans="1:12">
      <c r="A72" s="226" t="s">
        <v>2290</v>
      </c>
      <c r="B72" s="226">
        <v>64023</v>
      </c>
      <c r="C72" s="226">
        <v>1048</v>
      </c>
      <c r="D72" s="226">
        <v>1211</v>
      </c>
      <c r="E72" s="226">
        <v>1211</v>
      </c>
      <c r="F72" s="226">
        <v>1227</v>
      </c>
      <c r="G72" s="226">
        <v>1257</v>
      </c>
      <c r="H72" s="226">
        <v>1274</v>
      </c>
      <c r="I72">
        <v>1296</v>
      </c>
      <c r="J72">
        <v>1322</v>
      </c>
      <c r="K72">
        <v>1353</v>
      </c>
      <c r="L72" s="1689"/>
    </row>
    <row r="73" spans="1:12">
      <c r="A73" s="226" t="s">
        <v>2291</v>
      </c>
      <c r="B73" s="226">
        <v>53020</v>
      </c>
      <c r="C73" s="226">
        <v>7450</v>
      </c>
      <c r="D73" s="226">
        <v>7710</v>
      </c>
      <c r="E73" s="226">
        <v>7710</v>
      </c>
      <c r="F73" s="226">
        <v>7786</v>
      </c>
      <c r="G73" s="226">
        <v>7812</v>
      </c>
      <c r="H73" s="226">
        <v>7828</v>
      </c>
      <c r="I73">
        <v>7833</v>
      </c>
      <c r="J73">
        <v>7870</v>
      </c>
      <c r="K73">
        <v>7892</v>
      </c>
      <c r="L73" s="1689"/>
    </row>
    <row r="74" spans="1:12">
      <c r="A74" s="226" t="s">
        <v>2292</v>
      </c>
      <c r="B74" s="226">
        <v>83012</v>
      </c>
      <c r="C74" s="226">
        <v>7052</v>
      </c>
      <c r="D74" s="226">
        <v>7713</v>
      </c>
      <c r="E74" s="226">
        <v>7713</v>
      </c>
      <c r="F74" s="226">
        <v>7852</v>
      </c>
      <c r="G74" s="226">
        <v>7835</v>
      </c>
      <c r="H74" s="226">
        <v>7904</v>
      </c>
      <c r="I74">
        <v>7927</v>
      </c>
      <c r="J74">
        <v>7954</v>
      </c>
      <c r="K74">
        <v>7980</v>
      </c>
      <c r="L74" s="1689"/>
    </row>
    <row r="75" spans="1:12">
      <c r="A75" s="226" t="s">
        <v>2293</v>
      </c>
      <c r="B75" s="226">
        <v>55050</v>
      </c>
      <c r="C75" s="226">
        <v>4201</v>
      </c>
      <c r="D75" s="226">
        <v>4643</v>
      </c>
      <c r="E75" s="226">
        <v>4643</v>
      </c>
      <c r="F75" s="226">
        <v>4697</v>
      </c>
      <c r="G75" s="226">
        <v>4733</v>
      </c>
      <c r="H75" s="226">
        <v>4773</v>
      </c>
      <c r="I75">
        <v>4829</v>
      </c>
      <c r="J75">
        <v>4870</v>
      </c>
      <c r="K75">
        <v>4946</v>
      </c>
      <c r="L75" s="1689"/>
    </row>
    <row r="76" spans="1:12">
      <c r="A76" s="226" t="s">
        <v>2294</v>
      </c>
      <c r="B76" s="226">
        <v>92035</v>
      </c>
      <c r="C76" s="226">
        <v>5377</v>
      </c>
      <c r="D76" s="226">
        <v>6278</v>
      </c>
      <c r="E76" s="226">
        <v>6278</v>
      </c>
      <c r="F76" s="226">
        <v>6262</v>
      </c>
      <c r="G76" s="226">
        <v>6343</v>
      </c>
      <c r="H76" s="226">
        <v>6421</v>
      </c>
      <c r="I76">
        <v>6505</v>
      </c>
      <c r="J76">
        <v>6569</v>
      </c>
      <c r="K76">
        <v>6666</v>
      </c>
      <c r="L76" s="1689"/>
    </row>
    <row r="77" spans="1:12">
      <c r="A77" s="226" t="s">
        <v>2295</v>
      </c>
      <c r="B77" s="226">
        <v>51017</v>
      </c>
      <c r="C77" s="226">
        <v>2460</v>
      </c>
      <c r="D77" s="226">
        <v>2655</v>
      </c>
      <c r="E77" s="226">
        <v>2655</v>
      </c>
      <c r="F77" s="226">
        <v>2687</v>
      </c>
      <c r="G77" s="226">
        <v>2705</v>
      </c>
      <c r="H77" s="226">
        <v>2733</v>
      </c>
      <c r="I77">
        <v>2750</v>
      </c>
      <c r="J77">
        <v>2773</v>
      </c>
      <c r="K77">
        <v>2790</v>
      </c>
      <c r="L77" s="1689"/>
    </row>
    <row r="78" spans="1:12">
      <c r="A78" s="226" t="s">
        <v>2296</v>
      </c>
      <c r="B78" s="226">
        <v>55010</v>
      </c>
      <c r="C78" s="226">
        <v>5149</v>
      </c>
      <c r="D78" s="226">
        <v>5910</v>
      </c>
      <c r="E78" s="226">
        <v>5910</v>
      </c>
      <c r="F78" s="226">
        <v>5945</v>
      </c>
      <c r="G78" s="226">
        <v>6031</v>
      </c>
      <c r="H78" s="226">
        <v>6114</v>
      </c>
      <c r="I78">
        <v>6163</v>
      </c>
      <c r="J78">
        <v>6273</v>
      </c>
      <c r="K78">
        <v>6342</v>
      </c>
      <c r="L78" s="1689"/>
    </row>
    <row r="79" spans="1:12">
      <c r="A79" s="226" t="s">
        <v>2297</v>
      </c>
      <c r="B79" s="226">
        <v>61080</v>
      </c>
      <c r="C79" s="226">
        <v>2489</v>
      </c>
      <c r="D79" s="226">
        <v>2664</v>
      </c>
      <c r="E79" s="226">
        <v>2664</v>
      </c>
      <c r="F79" s="226">
        <v>2697</v>
      </c>
      <c r="G79" s="226">
        <v>2730</v>
      </c>
      <c r="H79" s="226">
        <v>2758</v>
      </c>
      <c r="I79">
        <v>2789</v>
      </c>
      <c r="J79">
        <v>2832</v>
      </c>
      <c r="K79">
        <v>2873</v>
      </c>
      <c r="L79" s="1689"/>
    </row>
    <row r="80" spans="1:12">
      <c r="A80" s="226" t="s">
        <v>2298</v>
      </c>
      <c r="B80" s="226">
        <v>83013</v>
      </c>
      <c r="C80" s="226">
        <v>1970</v>
      </c>
      <c r="D80" s="226">
        <v>2139</v>
      </c>
      <c r="E80" s="226">
        <v>2139</v>
      </c>
      <c r="F80" s="226">
        <v>2149</v>
      </c>
      <c r="G80" s="226">
        <v>2172</v>
      </c>
      <c r="H80" s="226">
        <v>2193</v>
      </c>
      <c r="I80">
        <v>2198</v>
      </c>
      <c r="J80">
        <v>2215</v>
      </c>
      <c r="K80">
        <v>2241</v>
      </c>
      <c r="L80" s="1689"/>
    </row>
    <row r="81" spans="1:12">
      <c r="A81" s="226" t="s">
        <v>2299</v>
      </c>
      <c r="B81" s="226">
        <v>56022</v>
      </c>
      <c r="C81" s="226">
        <v>4230</v>
      </c>
      <c r="D81" s="226">
        <v>4456</v>
      </c>
      <c r="E81" s="226">
        <v>4456</v>
      </c>
      <c r="F81" s="226">
        <v>4483</v>
      </c>
      <c r="G81" s="226">
        <v>4528</v>
      </c>
      <c r="H81" s="226">
        <v>4659</v>
      </c>
      <c r="I81">
        <v>4668</v>
      </c>
      <c r="J81">
        <v>4706</v>
      </c>
      <c r="K81">
        <v>4720</v>
      </c>
      <c r="L81" s="1689"/>
    </row>
    <row r="82" spans="1:12">
      <c r="A82" s="226" t="s">
        <v>2300</v>
      </c>
      <c r="B82" s="226">
        <v>62032</v>
      </c>
      <c r="C82" s="226">
        <v>6323</v>
      </c>
      <c r="D82" s="226">
        <v>6696</v>
      </c>
      <c r="E82" s="226">
        <v>6696</v>
      </c>
      <c r="F82" s="226">
        <v>6767</v>
      </c>
      <c r="G82" s="226">
        <v>6757</v>
      </c>
      <c r="H82" s="226">
        <v>6829</v>
      </c>
      <c r="I82">
        <v>6913</v>
      </c>
      <c r="J82">
        <v>6971</v>
      </c>
      <c r="K82">
        <v>7049</v>
      </c>
      <c r="L82" s="1689"/>
    </row>
    <row r="83" spans="1:12">
      <c r="A83" s="226" t="s">
        <v>2301</v>
      </c>
      <c r="B83" s="226">
        <v>57027</v>
      </c>
      <c r="C83" s="226">
        <v>4256</v>
      </c>
      <c r="D83" s="226">
        <v>4498</v>
      </c>
      <c r="E83" s="226">
        <v>4498</v>
      </c>
      <c r="F83" s="226">
        <v>4526</v>
      </c>
      <c r="G83" s="226">
        <v>4572</v>
      </c>
      <c r="H83" s="226">
        <v>4596</v>
      </c>
      <c r="I83">
        <v>4634</v>
      </c>
      <c r="J83">
        <v>4663</v>
      </c>
      <c r="K83">
        <v>4717</v>
      </c>
      <c r="L83" s="1689"/>
    </row>
    <row r="84" spans="1:12">
      <c r="A84" s="226" t="s">
        <v>2302</v>
      </c>
      <c r="B84" s="226">
        <v>56085</v>
      </c>
      <c r="C84" s="226">
        <v>3169</v>
      </c>
      <c r="D84" s="226">
        <v>3375</v>
      </c>
      <c r="E84" s="226">
        <v>3375</v>
      </c>
      <c r="F84" s="226">
        <v>3410</v>
      </c>
      <c r="G84" s="226">
        <v>3432</v>
      </c>
      <c r="H84" s="226">
        <v>3460</v>
      </c>
      <c r="I84">
        <v>3474</v>
      </c>
      <c r="J84">
        <v>3459</v>
      </c>
      <c r="K84">
        <v>3466</v>
      </c>
      <c r="L84" s="1689"/>
    </row>
    <row r="85" spans="1:12">
      <c r="A85" s="226" t="s">
        <v>2303</v>
      </c>
      <c r="B85" s="226">
        <v>85009</v>
      </c>
      <c r="C85" s="226">
        <v>1997</v>
      </c>
      <c r="D85" s="226">
        <v>2280</v>
      </c>
      <c r="E85" s="226">
        <v>2280</v>
      </c>
      <c r="F85" s="226">
        <v>2310</v>
      </c>
      <c r="G85" s="226">
        <v>2335</v>
      </c>
      <c r="H85" s="226">
        <v>2372</v>
      </c>
      <c r="I85">
        <v>2408</v>
      </c>
      <c r="J85">
        <v>2447</v>
      </c>
      <c r="K85">
        <v>2503</v>
      </c>
      <c r="L85" s="1689"/>
    </row>
    <row r="86" spans="1:12">
      <c r="A86" s="226" t="s">
        <v>2304</v>
      </c>
      <c r="B86" s="226">
        <v>63023</v>
      </c>
      <c r="C86" s="226">
        <v>8280</v>
      </c>
      <c r="D86" s="226">
        <v>8944</v>
      </c>
      <c r="E86" s="226">
        <v>8944</v>
      </c>
      <c r="F86" s="226">
        <v>9083</v>
      </c>
      <c r="G86" s="226">
        <v>9210</v>
      </c>
      <c r="H86" s="226">
        <v>9335</v>
      </c>
      <c r="I86">
        <v>9428</v>
      </c>
      <c r="J86">
        <v>9525</v>
      </c>
      <c r="K86">
        <v>9650</v>
      </c>
      <c r="L86" s="1689"/>
    </row>
    <row r="87" spans="1:12">
      <c r="A87" s="226" t="s">
        <v>2305</v>
      </c>
      <c r="B87" s="226">
        <v>64076</v>
      </c>
      <c r="C87" s="226">
        <v>1315</v>
      </c>
      <c r="D87" s="226">
        <v>1480</v>
      </c>
      <c r="E87" s="226">
        <v>1480</v>
      </c>
      <c r="F87" s="226">
        <v>1502</v>
      </c>
      <c r="G87" s="226">
        <v>1523</v>
      </c>
      <c r="H87" s="226">
        <v>1558</v>
      </c>
      <c r="I87">
        <v>1567</v>
      </c>
      <c r="J87">
        <v>1581</v>
      </c>
      <c r="K87">
        <v>1609</v>
      </c>
      <c r="L87" s="1689"/>
    </row>
    <row r="88" spans="1:12">
      <c r="A88" s="226" t="s">
        <v>2306</v>
      </c>
      <c r="B88" s="226">
        <v>52018</v>
      </c>
      <c r="C88" s="226">
        <v>4578</v>
      </c>
      <c r="D88" s="226">
        <v>4712</v>
      </c>
      <c r="E88" s="226">
        <v>4712</v>
      </c>
      <c r="F88" s="226">
        <v>4725</v>
      </c>
      <c r="G88" s="226">
        <v>4737</v>
      </c>
      <c r="H88" s="226">
        <v>4746</v>
      </c>
      <c r="I88">
        <v>4759</v>
      </c>
      <c r="J88">
        <v>4782</v>
      </c>
      <c r="K88">
        <v>4819</v>
      </c>
      <c r="L88" s="1689"/>
    </row>
    <row r="89" spans="1:12">
      <c r="A89" s="226" t="s">
        <v>2307</v>
      </c>
      <c r="B89" s="226">
        <v>82009</v>
      </c>
      <c r="C89" s="226">
        <v>858</v>
      </c>
      <c r="D89" s="226">
        <v>1005</v>
      </c>
      <c r="E89" s="226">
        <v>1005</v>
      </c>
      <c r="F89" s="226">
        <v>1010</v>
      </c>
      <c r="G89" s="226">
        <v>1018</v>
      </c>
      <c r="H89" s="226">
        <v>1037</v>
      </c>
      <c r="I89">
        <v>1056</v>
      </c>
      <c r="J89">
        <v>1072</v>
      </c>
      <c r="K89">
        <v>1090</v>
      </c>
      <c r="L89" s="1689"/>
    </row>
    <row r="90" spans="1:12">
      <c r="A90" s="226" t="s">
        <v>2308</v>
      </c>
      <c r="B90" s="226">
        <v>92138</v>
      </c>
      <c r="C90" s="226">
        <v>2495</v>
      </c>
      <c r="D90" s="226">
        <v>2924</v>
      </c>
      <c r="E90" s="226">
        <v>2924</v>
      </c>
      <c r="F90" s="226">
        <v>2991</v>
      </c>
      <c r="G90" s="226">
        <v>3022</v>
      </c>
      <c r="H90" s="226">
        <v>3090</v>
      </c>
      <c r="I90">
        <v>3157</v>
      </c>
      <c r="J90">
        <v>3196</v>
      </c>
      <c r="K90">
        <v>3262</v>
      </c>
      <c r="L90" s="1689"/>
    </row>
    <row r="91" spans="1:12">
      <c r="A91" s="226" t="s">
        <v>2309</v>
      </c>
      <c r="B91" s="226">
        <v>61019</v>
      </c>
      <c r="C91" s="226">
        <v>2063</v>
      </c>
      <c r="D91" s="226">
        <v>2278</v>
      </c>
      <c r="E91" s="226">
        <v>2278</v>
      </c>
      <c r="F91" s="226">
        <v>2313</v>
      </c>
      <c r="G91" s="226">
        <v>2333</v>
      </c>
      <c r="H91" s="226">
        <v>2354</v>
      </c>
      <c r="I91">
        <v>2385</v>
      </c>
      <c r="J91">
        <v>2412</v>
      </c>
      <c r="K91">
        <v>2445</v>
      </c>
      <c r="L91" s="1689"/>
    </row>
    <row r="92" spans="1:12">
      <c r="A92" s="226" t="s">
        <v>2310</v>
      </c>
      <c r="B92" s="226">
        <v>64025</v>
      </c>
      <c r="C92" s="226">
        <v>1175</v>
      </c>
      <c r="D92" s="226">
        <v>1317</v>
      </c>
      <c r="E92" s="226">
        <v>1317</v>
      </c>
      <c r="F92" s="226">
        <v>1332</v>
      </c>
      <c r="G92" s="226">
        <v>1354</v>
      </c>
      <c r="H92" s="226">
        <v>1369</v>
      </c>
      <c r="I92">
        <v>1384</v>
      </c>
      <c r="J92">
        <v>1399</v>
      </c>
      <c r="K92">
        <v>1425</v>
      </c>
      <c r="L92" s="1689"/>
    </row>
    <row r="93" spans="1:12">
      <c r="A93" s="226" t="s">
        <v>2311</v>
      </c>
      <c r="B93" s="226">
        <v>62120</v>
      </c>
      <c r="C93" s="226">
        <v>11822</v>
      </c>
      <c r="D93" s="226">
        <v>12181</v>
      </c>
      <c r="E93" s="226">
        <v>12181</v>
      </c>
      <c r="F93" s="226">
        <v>12226</v>
      </c>
      <c r="G93" s="226">
        <v>12172</v>
      </c>
      <c r="H93" s="226">
        <v>12135</v>
      </c>
      <c r="I93">
        <v>12224</v>
      </c>
      <c r="J93">
        <v>12361</v>
      </c>
      <c r="K93">
        <v>12437</v>
      </c>
      <c r="L93" s="1689"/>
    </row>
    <row r="94" spans="1:12">
      <c r="A94" s="226" t="s">
        <v>2312</v>
      </c>
      <c r="B94" s="226">
        <v>62038</v>
      </c>
      <c r="C94" s="226">
        <v>6976</v>
      </c>
      <c r="D94" s="226">
        <v>7489</v>
      </c>
      <c r="E94" s="226">
        <v>7489</v>
      </c>
      <c r="F94" s="226">
        <v>7554</v>
      </c>
      <c r="G94" s="226">
        <v>7598</v>
      </c>
      <c r="H94" s="226">
        <v>7652</v>
      </c>
      <c r="I94">
        <v>7687</v>
      </c>
      <c r="J94">
        <v>7737</v>
      </c>
      <c r="K94">
        <v>7789</v>
      </c>
      <c r="L94" s="1689"/>
    </row>
    <row r="95" spans="1:12">
      <c r="A95" s="226" t="s">
        <v>2313</v>
      </c>
      <c r="B95" s="226">
        <v>52021</v>
      </c>
      <c r="C95" s="226">
        <v>9440</v>
      </c>
      <c r="D95" s="226">
        <v>10072</v>
      </c>
      <c r="E95" s="226">
        <v>10072</v>
      </c>
      <c r="F95" s="226">
        <v>10127</v>
      </c>
      <c r="G95" s="226">
        <v>10224</v>
      </c>
      <c r="H95" s="226">
        <v>10245</v>
      </c>
      <c r="I95">
        <v>10362</v>
      </c>
      <c r="J95">
        <v>10416</v>
      </c>
      <c r="K95">
        <v>10459</v>
      </c>
      <c r="L95" s="1689"/>
    </row>
    <row r="96" spans="1:12">
      <c r="A96" s="226" t="s">
        <v>2314</v>
      </c>
      <c r="B96" s="226">
        <v>51019</v>
      </c>
      <c r="C96" s="226">
        <v>1418</v>
      </c>
      <c r="D96" s="226">
        <v>1585</v>
      </c>
      <c r="E96" s="226">
        <v>1585</v>
      </c>
      <c r="F96" s="226">
        <v>1608</v>
      </c>
      <c r="G96" s="226">
        <v>1609</v>
      </c>
      <c r="H96" s="226">
        <v>1622</v>
      </c>
      <c r="I96">
        <v>1640</v>
      </c>
      <c r="J96">
        <v>1649</v>
      </c>
      <c r="K96">
        <v>1653</v>
      </c>
      <c r="L96" s="1689"/>
    </row>
    <row r="97" spans="1:12">
      <c r="A97" s="226" t="s">
        <v>2315</v>
      </c>
      <c r="B97" s="226">
        <v>92045</v>
      </c>
      <c r="C97" s="226">
        <v>2807</v>
      </c>
      <c r="D97" s="226">
        <v>3135</v>
      </c>
      <c r="E97" s="226">
        <v>3135</v>
      </c>
      <c r="F97" s="226">
        <v>3202</v>
      </c>
      <c r="G97" s="226">
        <v>3219</v>
      </c>
      <c r="H97" s="226">
        <v>3286</v>
      </c>
      <c r="I97">
        <v>3335</v>
      </c>
      <c r="J97">
        <v>3374</v>
      </c>
      <c r="K97">
        <v>3398</v>
      </c>
      <c r="L97" s="1689"/>
    </row>
    <row r="98" spans="1:12">
      <c r="A98" s="226" t="s">
        <v>2316</v>
      </c>
      <c r="B98" s="226">
        <v>93022</v>
      </c>
      <c r="C98" s="226">
        <v>4509</v>
      </c>
      <c r="D98" s="226">
        <v>5053</v>
      </c>
      <c r="E98" s="226">
        <v>5053</v>
      </c>
      <c r="F98" s="226">
        <v>5114</v>
      </c>
      <c r="G98" s="226">
        <v>5122</v>
      </c>
      <c r="H98" s="226">
        <v>5170</v>
      </c>
      <c r="I98">
        <v>5192</v>
      </c>
      <c r="J98">
        <v>5214</v>
      </c>
      <c r="K98">
        <v>5263</v>
      </c>
      <c r="L98" s="1689"/>
    </row>
    <row r="99" spans="1:12">
      <c r="A99" s="226" t="s">
        <v>2317</v>
      </c>
      <c r="B99" s="226">
        <v>85011</v>
      </c>
      <c r="C99" s="226">
        <v>2800</v>
      </c>
      <c r="D99" s="226">
        <v>3017</v>
      </c>
      <c r="E99" s="226">
        <v>3017</v>
      </c>
      <c r="F99" s="226">
        <v>3055</v>
      </c>
      <c r="G99" s="226">
        <v>3062</v>
      </c>
      <c r="H99" s="226">
        <v>3105</v>
      </c>
      <c r="I99">
        <v>3137</v>
      </c>
      <c r="J99">
        <v>3250</v>
      </c>
      <c r="K99">
        <v>3288</v>
      </c>
      <c r="L99" s="1689"/>
    </row>
    <row r="100" spans="1:12">
      <c r="A100" s="226" t="s">
        <v>2621</v>
      </c>
      <c r="B100" s="226">
        <v>52022</v>
      </c>
      <c r="C100" s="226">
        <v>7332</v>
      </c>
      <c r="D100" s="226">
        <v>7976</v>
      </c>
      <c r="E100" s="226">
        <v>7976</v>
      </c>
      <c r="F100" s="226">
        <v>8055</v>
      </c>
      <c r="G100" s="226">
        <v>8116</v>
      </c>
      <c r="H100" s="226">
        <v>8205</v>
      </c>
      <c r="I100">
        <v>8302</v>
      </c>
      <c r="J100">
        <v>8357</v>
      </c>
      <c r="K100">
        <v>8391</v>
      </c>
    </row>
    <row r="101" spans="1:12">
      <c r="A101" s="226" t="s">
        <v>2318</v>
      </c>
      <c r="B101" s="226">
        <v>92048</v>
      </c>
      <c r="C101" s="226">
        <v>3522</v>
      </c>
      <c r="D101" s="226">
        <v>4120</v>
      </c>
      <c r="E101" s="226">
        <v>4120</v>
      </c>
      <c r="F101" s="226">
        <v>4163</v>
      </c>
      <c r="G101" s="226">
        <v>4218</v>
      </c>
      <c r="H101" s="226">
        <v>4289</v>
      </c>
      <c r="I101">
        <v>4332</v>
      </c>
      <c r="J101">
        <v>4373</v>
      </c>
      <c r="K101">
        <v>4433</v>
      </c>
      <c r="L101" s="1689"/>
    </row>
    <row r="102" spans="1:12">
      <c r="A102" s="226" t="s">
        <v>2319</v>
      </c>
      <c r="B102" s="226">
        <v>53028</v>
      </c>
      <c r="C102" s="226">
        <v>9518</v>
      </c>
      <c r="D102" s="226">
        <v>9995</v>
      </c>
      <c r="E102" s="226">
        <v>9995</v>
      </c>
      <c r="F102" s="226">
        <v>10015</v>
      </c>
      <c r="G102" s="226">
        <v>10094</v>
      </c>
      <c r="H102" s="226">
        <v>10166</v>
      </c>
      <c r="I102">
        <v>10222</v>
      </c>
      <c r="J102">
        <v>10279</v>
      </c>
      <c r="K102">
        <v>10313</v>
      </c>
      <c r="L102" s="1689"/>
    </row>
    <row r="103" spans="1:12">
      <c r="A103" s="226" t="s">
        <v>2320</v>
      </c>
      <c r="B103" s="226">
        <v>51065</v>
      </c>
      <c r="C103" s="226">
        <v>4749</v>
      </c>
      <c r="D103" s="226">
        <v>5161</v>
      </c>
      <c r="E103" s="226">
        <v>5161</v>
      </c>
      <c r="F103" s="226">
        <v>5218</v>
      </c>
      <c r="G103" s="226">
        <v>5247</v>
      </c>
      <c r="H103" s="226">
        <v>5279</v>
      </c>
      <c r="I103">
        <v>5311</v>
      </c>
      <c r="J103">
        <v>5433</v>
      </c>
      <c r="K103">
        <v>5498</v>
      </c>
      <c r="L103" s="1689"/>
    </row>
    <row r="104" spans="1:12">
      <c r="A104" s="226" t="s">
        <v>2321</v>
      </c>
      <c r="B104" s="226">
        <v>56029</v>
      </c>
      <c r="C104" s="226">
        <v>2143</v>
      </c>
      <c r="D104" s="226">
        <v>2535</v>
      </c>
      <c r="E104" s="226">
        <v>2535</v>
      </c>
      <c r="F104" s="226">
        <v>2566</v>
      </c>
      <c r="G104" s="226">
        <v>2589</v>
      </c>
      <c r="H104" s="226">
        <v>2631</v>
      </c>
      <c r="I104">
        <v>2670</v>
      </c>
      <c r="J104">
        <v>2676</v>
      </c>
      <c r="K104">
        <v>2695</v>
      </c>
      <c r="L104" s="1689"/>
    </row>
    <row r="105" spans="1:12">
      <c r="A105" s="226" t="s">
        <v>2322</v>
      </c>
      <c r="B105" s="226">
        <v>91054</v>
      </c>
      <c r="C105" s="226">
        <v>2509</v>
      </c>
      <c r="D105" s="226">
        <v>2708</v>
      </c>
      <c r="E105" s="226">
        <v>2708</v>
      </c>
      <c r="F105" s="226">
        <v>2730</v>
      </c>
      <c r="G105" s="226">
        <v>2756</v>
      </c>
      <c r="H105" s="226">
        <v>2793</v>
      </c>
      <c r="I105">
        <v>2802</v>
      </c>
      <c r="J105">
        <v>2826</v>
      </c>
      <c r="K105">
        <v>2846</v>
      </c>
      <c r="L105" s="1689"/>
    </row>
    <row r="106" spans="1:12">
      <c r="A106" s="226" t="s">
        <v>2323</v>
      </c>
      <c r="B106" s="226">
        <v>64029</v>
      </c>
      <c r="C106" s="226">
        <v>1071</v>
      </c>
      <c r="D106" s="226">
        <v>1274</v>
      </c>
      <c r="E106" s="226">
        <v>1274</v>
      </c>
      <c r="F106" s="226">
        <v>1318</v>
      </c>
      <c r="G106" s="226">
        <v>1338</v>
      </c>
      <c r="H106" s="226">
        <v>1357</v>
      </c>
      <c r="I106">
        <v>1368</v>
      </c>
      <c r="J106">
        <v>1390</v>
      </c>
      <c r="K106">
        <v>1408</v>
      </c>
      <c r="L106" s="1689"/>
    </row>
    <row r="107" spans="1:12">
      <c r="A107" s="226" t="s">
        <v>2324</v>
      </c>
      <c r="B107" s="226">
        <v>92142</v>
      </c>
      <c r="C107" s="226">
        <v>8985</v>
      </c>
      <c r="D107" s="226">
        <v>10835</v>
      </c>
      <c r="E107" s="226">
        <v>10835</v>
      </c>
      <c r="F107" s="226">
        <v>11109</v>
      </c>
      <c r="G107" s="226">
        <v>11267</v>
      </c>
      <c r="H107" s="226">
        <v>11366</v>
      </c>
      <c r="I107">
        <v>11609</v>
      </c>
      <c r="J107">
        <v>11734</v>
      </c>
      <c r="K107">
        <v>11909</v>
      </c>
      <c r="L107" s="1689"/>
    </row>
    <row r="108" spans="1:12">
      <c r="A108" s="226" t="s">
        <v>2325</v>
      </c>
      <c r="B108" s="226">
        <v>25031</v>
      </c>
      <c r="C108" s="226">
        <v>5682</v>
      </c>
      <c r="D108" s="226">
        <v>6364</v>
      </c>
      <c r="E108" s="226">
        <v>6364</v>
      </c>
      <c r="F108" s="226">
        <v>6415</v>
      </c>
      <c r="G108" s="226">
        <v>6433</v>
      </c>
      <c r="H108" s="226">
        <v>6430</v>
      </c>
      <c r="I108">
        <v>6466</v>
      </c>
      <c r="J108">
        <v>6548</v>
      </c>
      <c r="K108">
        <v>6632</v>
      </c>
      <c r="L108" s="1689"/>
    </row>
    <row r="109" spans="1:12">
      <c r="A109" s="226" t="s">
        <v>2326</v>
      </c>
      <c r="B109" s="226">
        <v>52025</v>
      </c>
      <c r="C109" s="226">
        <v>5064</v>
      </c>
      <c r="D109" s="226">
        <v>5581</v>
      </c>
      <c r="E109" s="226">
        <v>5581</v>
      </c>
      <c r="F109" s="226">
        <v>5613</v>
      </c>
      <c r="G109" s="226">
        <v>5685</v>
      </c>
      <c r="H109" s="226">
        <v>5740</v>
      </c>
      <c r="I109">
        <v>5798</v>
      </c>
      <c r="J109">
        <v>5940</v>
      </c>
      <c r="K109">
        <v>5978</v>
      </c>
      <c r="L109" s="1689"/>
    </row>
    <row r="110" spans="1:12">
      <c r="A110" s="226" t="s">
        <v>2327</v>
      </c>
      <c r="B110" s="226">
        <v>92054</v>
      </c>
      <c r="C110" s="226">
        <v>2506</v>
      </c>
      <c r="D110" s="226">
        <v>2881</v>
      </c>
      <c r="E110" s="226">
        <v>2881</v>
      </c>
      <c r="F110" s="226">
        <v>2912</v>
      </c>
      <c r="G110" s="226">
        <v>2925</v>
      </c>
      <c r="H110" s="226">
        <v>2972</v>
      </c>
      <c r="I110">
        <v>3011</v>
      </c>
      <c r="J110">
        <v>3041</v>
      </c>
      <c r="K110">
        <v>3081</v>
      </c>
      <c r="L110" s="1689"/>
    </row>
    <row r="111" spans="1:12">
      <c r="A111" s="226" t="s">
        <v>2328</v>
      </c>
      <c r="B111" s="226">
        <v>82037</v>
      </c>
      <c r="C111" s="226">
        <v>2266</v>
      </c>
      <c r="D111" s="226">
        <v>2541</v>
      </c>
      <c r="E111" s="226">
        <v>2541</v>
      </c>
      <c r="F111" s="226">
        <v>2579</v>
      </c>
      <c r="G111" s="226">
        <v>2601</v>
      </c>
      <c r="H111" s="226">
        <v>2653</v>
      </c>
      <c r="I111">
        <v>2680</v>
      </c>
      <c r="J111">
        <v>2721</v>
      </c>
      <c r="K111">
        <v>2741</v>
      </c>
      <c r="L111" s="1689"/>
    </row>
    <row r="112" spans="1:12">
      <c r="A112" s="226" t="s">
        <v>2329</v>
      </c>
      <c r="B112" s="226">
        <v>62118</v>
      </c>
      <c r="C112" s="226">
        <v>9508</v>
      </c>
      <c r="D112" s="226">
        <v>9822</v>
      </c>
      <c r="E112" s="226">
        <v>9822</v>
      </c>
      <c r="F112" s="226">
        <v>9868</v>
      </c>
      <c r="G112" s="226">
        <v>9942</v>
      </c>
      <c r="H112" s="226">
        <v>10011</v>
      </c>
      <c r="I112">
        <v>10114</v>
      </c>
      <c r="J112">
        <v>10181</v>
      </c>
      <c r="K112">
        <v>10223</v>
      </c>
      <c r="L112" s="1689"/>
    </row>
    <row r="113" spans="1:12">
      <c r="A113" s="226" t="s">
        <v>2330</v>
      </c>
      <c r="B113" s="226">
        <v>25037</v>
      </c>
      <c r="C113" s="226">
        <v>4802</v>
      </c>
      <c r="D113" s="226">
        <v>5318</v>
      </c>
      <c r="E113" s="226">
        <v>5318</v>
      </c>
      <c r="F113" s="226">
        <v>5382</v>
      </c>
      <c r="G113" s="226">
        <v>5417</v>
      </c>
      <c r="H113" s="226">
        <v>5456</v>
      </c>
      <c r="I113">
        <v>5568</v>
      </c>
      <c r="J113">
        <v>5703</v>
      </c>
      <c r="K113">
        <v>5752</v>
      </c>
      <c r="L113" s="1689"/>
    </row>
    <row r="114" spans="1:12">
      <c r="A114" s="226" t="s">
        <v>2331</v>
      </c>
      <c r="B114" s="226">
        <v>85046</v>
      </c>
      <c r="C114" s="226">
        <v>3087</v>
      </c>
      <c r="D114" s="226">
        <v>3461</v>
      </c>
      <c r="E114" s="226">
        <v>3461</v>
      </c>
      <c r="F114" s="226">
        <v>3484</v>
      </c>
      <c r="G114" s="226">
        <v>3503</v>
      </c>
      <c r="H114" s="226">
        <v>3532</v>
      </c>
      <c r="I114">
        <v>3568</v>
      </c>
      <c r="J114">
        <v>3608</v>
      </c>
      <c r="K114">
        <v>3659</v>
      </c>
      <c r="L114" s="1689"/>
    </row>
    <row r="115" spans="1:12">
      <c r="A115" s="226" t="s">
        <v>2332</v>
      </c>
      <c r="B115" s="226">
        <v>56086</v>
      </c>
      <c r="C115" s="226">
        <v>5611</v>
      </c>
      <c r="D115" s="226">
        <v>6090</v>
      </c>
      <c r="E115" s="226">
        <v>6090</v>
      </c>
      <c r="F115" s="226">
        <v>6252</v>
      </c>
      <c r="G115" s="226">
        <v>6283</v>
      </c>
      <c r="H115" s="226">
        <v>6338</v>
      </c>
      <c r="I115">
        <v>6366</v>
      </c>
      <c r="J115">
        <v>6392</v>
      </c>
      <c r="K115">
        <v>6415</v>
      </c>
      <c r="L115" s="1689"/>
    </row>
    <row r="116" spans="1:12">
      <c r="A116" s="226" t="s">
        <v>2333</v>
      </c>
      <c r="B116" s="226">
        <v>61024</v>
      </c>
      <c r="C116" s="226">
        <v>1684</v>
      </c>
      <c r="D116" s="226">
        <v>1860</v>
      </c>
      <c r="E116" s="226">
        <v>1860</v>
      </c>
      <c r="F116" s="226">
        <v>1862</v>
      </c>
      <c r="G116" s="226">
        <v>1869</v>
      </c>
      <c r="H116" s="226">
        <v>1882</v>
      </c>
      <c r="I116">
        <v>1893</v>
      </c>
      <c r="J116">
        <v>1900</v>
      </c>
      <c r="K116">
        <v>1929</v>
      </c>
      <c r="L116" s="1689"/>
    </row>
    <row r="117" spans="1:12">
      <c r="A117" s="226" t="s">
        <v>2334</v>
      </c>
      <c r="B117" s="226">
        <v>91059</v>
      </c>
      <c r="C117" s="226">
        <v>2536</v>
      </c>
      <c r="D117" s="226">
        <v>2892</v>
      </c>
      <c r="E117" s="226">
        <v>2892</v>
      </c>
      <c r="F117" s="226">
        <v>2925</v>
      </c>
      <c r="G117" s="226">
        <v>2952</v>
      </c>
      <c r="H117" s="226">
        <v>2983</v>
      </c>
      <c r="I117">
        <v>3013</v>
      </c>
      <c r="J117">
        <v>3030</v>
      </c>
      <c r="K117">
        <v>3052</v>
      </c>
      <c r="L117" s="1689"/>
    </row>
    <row r="118" spans="1:12">
      <c r="A118" s="226" t="s">
        <v>2335</v>
      </c>
      <c r="B118" s="226">
        <v>64034</v>
      </c>
      <c r="C118" s="226">
        <v>5741</v>
      </c>
      <c r="D118" s="226">
        <v>6747</v>
      </c>
      <c r="E118" s="226">
        <v>6747</v>
      </c>
      <c r="F118" s="226">
        <v>6838</v>
      </c>
      <c r="G118" s="226">
        <v>6922</v>
      </c>
      <c r="H118" s="226">
        <v>7083</v>
      </c>
      <c r="I118">
        <v>7223</v>
      </c>
      <c r="J118">
        <v>7371</v>
      </c>
      <c r="K118">
        <v>7485</v>
      </c>
      <c r="L118" s="1689"/>
    </row>
    <row r="119" spans="1:12">
      <c r="A119" s="226" t="s">
        <v>2336</v>
      </c>
      <c r="B119" s="226">
        <v>91142</v>
      </c>
      <c r="C119" s="226">
        <v>4471</v>
      </c>
      <c r="D119" s="226">
        <v>4586</v>
      </c>
      <c r="E119" s="226">
        <v>4586</v>
      </c>
      <c r="F119" s="226">
        <v>4597</v>
      </c>
      <c r="G119" s="226">
        <v>4615</v>
      </c>
      <c r="H119" s="226">
        <v>4643</v>
      </c>
      <c r="I119">
        <v>4658</v>
      </c>
      <c r="J119">
        <v>4680</v>
      </c>
      <c r="K119">
        <v>4688</v>
      </c>
      <c r="L119" s="1689"/>
    </row>
    <row r="120" spans="1:12">
      <c r="A120" s="226" t="s">
        <v>2337</v>
      </c>
      <c r="B120" s="226">
        <v>91064</v>
      </c>
      <c r="C120" s="226">
        <v>1961</v>
      </c>
      <c r="D120" s="226">
        <v>2127</v>
      </c>
      <c r="E120" s="226">
        <v>2127</v>
      </c>
      <c r="F120" s="226">
        <v>2154</v>
      </c>
      <c r="G120" s="226">
        <v>2195</v>
      </c>
      <c r="H120" s="226">
        <v>2223</v>
      </c>
      <c r="I120">
        <v>2256</v>
      </c>
      <c r="J120">
        <v>2281</v>
      </c>
      <c r="K120">
        <v>2311</v>
      </c>
      <c r="L120" s="1689"/>
    </row>
    <row r="121" spans="1:12">
      <c r="A121" s="226" t="s">
        <v>2338</v>
      </c>
      <c r="B121" s="226">
        <v>25118</v>
      </c>
      <c r="C121" s="226">
        <v>1242</v>
      </c>
      <c r="D121" s="226">
        <v>1375</v>
      </c>
      <c r="E121" s="226">
        <v>1375</v>
      </c>
      <c r="F121" s="226">
        <v>1383</v>
      </c>
      <c r="G121" s="226">
        <v>1403</v>
      </c>
      <c r="H121" s="226">
        <v>1446</v>
      </c>
      <c r="I121">
        <v>1466</v>
      </c>
      <c r="J121">
        <v>1483</v>
      </c>
      <c r="K121">
        <v>1504</v>
      </c>
      <c r="L121" s="1689"/>
    </row>
    <row r="122" spans="1:12">
      <c r="A122" s="226" t="s">
        <v>2339</v>
      </c>
      <c r="B122" s="226">
        <v>53039</v>
      </c>
      <c r="C122" s="226">
        <v>2876</v>
      </c>
      <c r="D122" s="226">
        <v>3063</v>
      </c>
      <c r="E122" s="226">
        <v>3063</v>
      </c>
      <c r="F122" s="226">
        <v>3082</v>
      </c>
      <c r="G122" s="226">
        <v>3095</v>
      </c>
      <c r="H122" s="226">
        <v>3121</v>
      </c>
      <c r="I122">
        <v>3134</v>
      </c>
      <c r="J122">
        <v>3160</v>
      </c>
      <c r="K122">
        <v>3175</v>
      </c>
      <c r="L122" s="1689"/>
    </row>
    <row r="123" spans="1:12">
      <c r="A123" s="226" t="s">
        <v>2340</v>
      </c>
      <c r="B123" s="226">
        <v>84029</v>
      </c>
      <c r="C123" s="226">
        <v>907</v>
      </c>
      <c r="D123" s="226">
        <v>974</v>
      </c>
      <c r="E123" s="226">
        <v>974</v>
      </c>
      <c r="F123" s="226">
        <v>980</v>
      </c>
      <c r="G123" s="226">
        <v>993</v>
      </c>
      <c r="H123" s="226">
        <v>999</v>
      </c>
      <c r="I123">
        <v>1010</v>
      </c>
      <c r="J123">
        <v>1019</v>
      </c>
      <c r="K123">
        <v>1028</v>
      </c>
      <c r="L123" s="1689"/>
    </row>
    <row r="124" spans="1:12">
      <c r="A124" s="226" t="s">
        <v>2341</v>
      </c>
      <c r="B124" s="226">
        <v>61028</v>
      </c>
      <c r="C124" s="226">
        <v>1758</v>
      </c>
      <c r="D124" s="226">
        <v>2038</v>
      </c>
      <c r="E124" s="226">
        <v>2038</v>
      </c>
      <c r="F124" s="226">
        <v>2078</v>
      </c>
      <c r="G124" s="226">
        <v>2105</v>
      </c>
      <c r="H124" s="226">
        <v>2139</v>
      </c>
      <c r="I124">
        <v>2181</v>
      </c>
      <c r="J124">
        <v>2222</v>
      </c>
      <c r="K124">
        <v>2244</v>
      </c>
      <c r="L124" s="1689"/>
    </row>
    <row r="125" spans="1:12">
      <c r="A125" s="226" t="s">
        <v>2342</v>
      </c>
      <c r="B125" s="226">
        <v>62051</v>
      </c>
      <c r="C125" s="226">
        <v>16233</v>
      </c>
      <c r="D125" s="226">
        <v>17253</v>
      </c>
      <c r="E125" s="226">
        <v>17253</v>
      </c>
      <c r="F125" s="226">
        <v>17339</v>
      </c>
      <c r="G125" s="226">
        <v>17409</v>
      </c>
      <c r="H125" s="226">
        <v>17536</v>
      </c>
      <c r="I125">
        <v>17639</v>
      </c>
      <c r="J125">
        <v>17704</v>
      </c>
      <c r="K125">
        <v>17783</v>
      </c>
      <c r="L125" s="1689"/>
    </row>
    <row r="126" spans="1:12">
      <c r="A126" s="226" t="s">
        <v>2343</v>
      </c>
      <c r="B126" s="226">
        <v>63035</v>
      </c>
      <c r="C126" s="226">
        <v>6530</v>
      </c>
      <c r="D126" s="226">
        <v>7233</v>
      </c>
      <c r="E126" s="226">
        <v>7233</v>
      </c>
      <c r="F126" s="226">
        <v>7374</v>
      </c>
      <c r="G126" s="226">
        <v>7456</v>
      </c>
      <c r="H126" s="226">
        <v>7517</v>
      </c>
      <c r="I126">
        <v>7643</v>
      </c>
      <c r="J126">
        <v>7711</v>
      </c>
      <c r="K126">
        <v>7773</v>
      </c>
      <c r="L126" s="1689"/>
    </row>
    <row r="127" spans="1:12">
      <c r="A127" s="226" t="s">
        <v>2344</v>
      </c>
      <c r="B127" s="226">
        <v>53083</v>
      </c>
      <c r="C127" s="226">
        <v>2276</v>
      </c>
      <c r="D127" s="226">
        <v>2424</v>
      </c>
      <c r="E127" s="226">
        <v>2424</v>
      </c>
      <c r="F127" s="226">
        <v>2429</v>
      </c>
      <c r="G127" s="226">
        <v>2441</v>
      </c>
      <c r="H127" s="226">
        <v>2456</v>
      </c>
      <c r="I127">
        <v>2467</v>
      </c>
      <c r="J127">
        <v>2485</v>
      </c>
      <c r="K127">
        <v>2497</v>
      </c>
      <c r="L127" s="1689"/>
    </row>
    <row r="128" spans="1:12">
      <c r="A128" s="226" t="s">
        <v>2345</v>
      </c>
      <c r="B128" s="226">
        <v>83028</v>
      </c>
      <c r="C128" s="226">
        <v>2187</v>
      </c>
      <c r="D128" s="226">
        <v>2513</v>
      </c>
      <c r="E128" s="226">
        <v>2513</v>
      </c>
      <c r="F128" s="226">
        <v>2721</v>
      </c>
      <c r="G128" s="226">
        <v>2658</v>
      </c>
      <c r="H128" s="226">
        <v>2716</v>
      </c>
      <c r="I128">
        <v>2758</v>
      </c>
      <c r="J128">
        <v>2808</v>
      </c>
      <c r="K128">
        <v>2851</v>
      </c>
      <c r="L128" s="1689"/>
    </row>
    <row r="129" spans="1:12">
      <c r="A129" s="226" t="s">
        <v>2346</v>
      </c>
      <c r="B129" s="226">
        <v>82014</v>
      </c>
      <c r="C129" s="226">
        <v>2679</v>
      </c>
      <c r="D129" s="226">
        <v>3082</v>
      </c>
      <c r="E129" s="226">
        <v>3082</v>
      </c>
      <c r="F129" s="226">
        <v>3113</v>
      </c>
      <c r="G129" s="226">
        <v>3155</v>
      </c>
      <c r="H129" s="226">
        <v>3187</v>
      </c>
      <c r="I129">
        <v>3230</v>
      </c>
      <c r="J129">
        <v>3282</v>
      </c>
      <c r="K129">
        <v>3306</v>
      </c>
      <c r="L129" s="1689"/>
    </row>
    <row r="130" spans="1:12">
      <c r="A130" s="226" t="s">
        <v>2347</v>
      </c>
      <c r="B130" s="226">
        <v>91072</v>
      </c>
      <c r="C130" s="226">
        <v>2229</v>
      </c>
      <c r="D130" s="226">
        <v>2453</v>
      </c>
      <c r="E130" s="226">
        <v>2453</v>
      </c>
      <c r="F130" s="226">
        <v>2477</v>
      </c>
      <c r="G130" s="226">
        <v>2505</v>
      </c>
      <c r="H130" s="226">
        <v>2555</v>
      </c>
      <c r="I130">
        <v>2588</v>
      </c>
      <c r="J130">
        <v>2620</v>
      </c>
      <c r="K130">
        <v>2644</v>
      </c>
      <c r="L130" s="1689"/>
    </row>
    <row r="131" spans="1:12">
      <c r="A131" s="226" t="s">
        <v>2348</v>
      </c>
      <c r="B131" s="226">
        <v>61031</v>
      </c>
      <c r="C131" s="226">
        <v>8935</v>
      </c>
      <c r="D131" s="226">
        <v>9923</v>
      </c>
      <c r="E131" s="226">
        <v>9923</v>
      </c>
      <c r="F131" s="226">
        <v>10069</v>
      </c>
      <c r="G131" s="226">
        <v>10187</v>
      </c>
      <c r="H131" s="226">
        <v>10333</v>
      </c>
      <c r="I131">
        <v>10452</v>
      </c>
      <c r="J131">
        <v>10579</v>
      </c>
      <c r="K131">
        <v>10815</v>
      </c>
      <c r="L131" s="1689"/>
    </row>
    <row r="132" spans="1:12">
      <c r="A132" s="226" t="s">
        <v>2349</v>
      </c>
      <c r="B132" s="226">
        <v>25043</v>
      </c>
      <c r="C132" s="226">
        <v>1810</v>
      </c>
      <c r="D132" s="226">
        <v>2078</v>
      </c>
      <c r="E132" s="226">
        <v>2078</v>
      </c>
      <c r="F132" s="226">
        <v>2111</v>
      </c>
      <c r="G132" s="226">
        <v>2157</v>
      </c>
      <c r="H132" s="226">
        <v>2190</v>
      </c>
      <c r="I132">
        <v>2215</v>
      </c>
      <c r="J132">
        <v>2265</v>
      </c>
      <c r="K132">
        <v>2287</v>
      </c>
      <c r="L132" s="1689"/>
    </row>
    <row r="133" spans="1:12">
      <c r="A133" s="226" t="s">
        <v>2350</v>
      </c>
      <c r="B133" s="226">
        <v>25044</v>
      </c>
      <c r="C133" s="226">
        <v>2414</v>
      </c>
      <c r="D133" s="226">
        <v>2747</v>
      </c>
      <c r="E133" s="226">
        <v>2747</v>
      </c>
      <c r="F133" s="226">
        <v>2798</v>
      </c>
      <c r="G133" s="226">
        <v>2807</v>
      </c>
      <c r="H133" s="226">
        <v>2828</v>
      </c>
      <c r="I133">
        <v>2837</v>
      </c>
      <c r="J133">
        <v>2868</v>
      </c>
      <c r="K133">
        <v>2899</v>
      </c>
      <c r="L133" s="1689"/>
    </row>
    <row r="134" spans="1:12">
      <c r="A134" s="226" t="s">
        <v>2351</v>
      </c>
      <c r="B134" s="226">
        <v>63038</v>
      </c>
      <c r="C134" s="226">
        <v>3130</v>
      </c>
      <c r="D134" s="226">
        <v>3632</v>
      </c>
      <c r="E134" s="226">
        <v>3632</v>
      </c>
      <c r="F134" s="226">
        <v>3658</v>
      </c>
      <c r="G134" s="226">
        <v>3684</v>
      </c>
      <c r="H134" s="226">
        <v>3725</v>
      </c>
      <c r="I134">
        <v>3761</v>
      </c>
      <c r="J134">
        <v>3828</v>
      </c>
      <c r="K134">
        <v>3891</v>
      </c>
      <c r="L134" s="1689"/>
    </row>
    <row r="135" spans="1:12">
      <c r="A135" s="226" t="s">
        <v>2352</v>
      </c>
      <c r="B135" s="226">
        <v>92140</v>
      </c>
      <c r="C135" s="226">
        <v>7121</v>
      </c>
      <c r="D135" s="226">
        <v>7734</v>
      </c>
      <c r="E135" s="226">
        <v>7734</v>
      </c>
      <c r="F135" s="226">
        <v>7809</v>
      </c>
      <c r="G135" s="226">
        <v>7861</v>
      </c>
      <c r="H135" s="226">
        <v>7958</v>
      </c>
      <c r="I135">
        <v>8047</v>
      </c>
      <c r="J135">
        <v>8116</v>
      </c>
      <c r="K135">
        <v>8193</v>
      </c>
      <c r="L135" s="1689"/>
    </row>
    <row r="136" spans="1:12">
      <c r="A136" s="226" t="s">
        <v>2353</v>
      </c>
      <c r="B136" s="226">
        <v>25048</v>
      </c>
      <c r="C136" s="226">
        <v>4956</v>
      </c>
      <c r="D136" s="226">
        <v>5771</v>
      </c>
      <c r="E136" s="226">
        <v>5771</v>
      </c>
      <c r="F136" s="226">
        <v>5822</v>
      </c>
      <c r="G136" s="226">
        <v>5897</v>
      </c>
      <c r="H136" s="226">
        <v>5914</v>
      </c>
      <c r="I136">
        <v>5995</v>
      </c>
      <c r="J136">
        <v>6086</v>
      </c>
      <c r="K136">
        <v>6128</v>
      </c>
      <c r="L136" s="1689"/>
    </row>
    <row r="137" spans="1:12">
      <c r="A137" s="226" t="s">
        <v>2354</v>
      </c>
      <c r="B137" s="226">
        <v>62060</v>
      </c>
      <c r="C137" s="226">
        <v>3261</v>
      </c>
      <c r="D137" s="226">
        <v>3713</v>
      </c>
      <c r="E137" s="226">
        <v>3713</v>
      </c>
      <c r="F137" s="226">
        <v>3787</v>
      </c>
      <c r="G137" s="226">
        <v>3840</v>
      </c>
      <c r="H137" s="226">
        <v>3891</v>
      </c>
      <c r="I137">
        <v>3932</v>
      </c>
      <c r="J137">
        <v>3989</v>
      </c>
      <c r="K137">
        <v>4098</v>
      </c>
      <c r="L137" s="1689"/>
    </row>
    <row r="138" spans="1:12">
      <c r="A138" s="226" t="s">
        <v>2355</v>
      </c>
      <c r="B138" s="226">
        <v>53044</v>
      </c>
      <c r="C138" s="226">
        <v>3928</v>
      </c>
      <c r="D138" s="226">
        <v>4386</v>
      </c>
      <c r="E138" s="226">
        <v>4386</v>
      </c>
      <c r="F138" s="226">
        <v>4411</v>
      </c>
      <c r="G138" s="226">
        <v>4506</v>
      </c>
      <c r="H138" s="226">
        <v>4567</v>
      </c>
      <c r="I138">
        <v>4607</v>
      </c>
      <c r="J138">
        <v>4649</v>
      </c>
      <c r="K138">
        <v>4692</v>
      </c>
      <c r="L138" s="1689"/>
    </row>
    <row r="139" spans="1:12">
      <c r="A139" s="226" t="s">
        <v>2356</v>
      </c>
      <c r="B139" s="226">
        <v>92141</v>
      </c>
      <c r="C139" s="226">
        <v>2975</v>
      </c>
      <c r="D139" s="226">
        <v>3384</v>
      </c>
      <c r="E139" s="226">
        <v>3384</v>
      </c>
      <c r="F139" s="226">
        <v>3422</v>
      </c>
      <c r="G139" s="226">
        <v>3467</v>
      </c>
      <c r="H139" s="226">
        <v>3516</v>
      </c>
      <c r="I139">
        <v>3553</v>
      </c>
      <c r="J139">
        <v>3572</v>
      </c>
      <c r="K139">
        <v>3605</v>
      </c>
      <c r="L139" s="1689"/>
    </row>
    <row r="140" spans="1:12">
      <c r="A140" s="226" t="s">
        <v>2357</v>
      </c>
      <c r="B140" s="226">
        <v>63040</v>
      </c>
      <c r="C140" s="226">
        <v>4660</v>
      </c>
      <c r="D140" s="226">
        <v>5096</v>
      </c>
      <c r="E140" s="226">
        <v>5096</v>
      </c>
      <c r="F140" s="226">
        <v>5130</v>
      </c>
      <c r="G140" s="226">
        <v>5180</v>
      </c>
      <c r="H140" s="226">
        <v>5234</v>
      </c>
      <c r="I140">
        <v>5294</v>
      </c>
      <c r="J140">
        <v>5333</v>
      </c>
      <c r="K140">
        <v>5359</v>
      </c>
      <c r="L140" s="1689"/>
    </row>
    <row r="141" spans="1:12">
      <c r="A141" s="226" t="s">
        <v>2358</v>
      </c>
      <c r="B141" s="226">
        <v>25050</v>
      </c>
      <c r="C141" s="226">
        <v>2830</v>
      </c>
      <c r="D141" s="226">
        <v>3016</v>
      </c>
      <c r="E141" s="226">
        <v>3016</v>
      </c>
      <c r="F141" s="226">
        <v>3034</v>
      </c>
      <c r="G141" s="226">
        <v>3053</v>
      </c>
      <c r="H141" s="226">
        <v>3090</v>
      </c>
      <c r="I141">
        <v>3128</v>
      </c>
      <c r="J141">
        <v>3181</v>
      </c>
      <c r="K141">
        <v>3197</v>
      </c>
      <c r="L141" s="1689"/>
    </row>
    <row r="142" spans="1:12">
      <c r="A142" s="226" t="s">
        <v>2359</v>
      </c>
      <c r="B142" s="226">
        <v>55022</v>
      </c>
      <c r="C142" s="226">
        <v>34401</v>
      </c>
      <c r="D142" s="226">
        <v>36128</v>
      </c>
      <c r="E142" s="226">
        <v>36128</v>
      </c>
      <c r="F142" s="226">
        <v>36262</v>
      </c>
      <c r="G142" s="226">
        <v>36311</v>
      </c>
      <c r="H142" s="226">
        <v>36419</v>
      </c>
      <c r="I142">
        <v>36563</v>
      </c>
      <c r="J142">
        <v>36845</v>
      </c>
      <c r="K142">
        <v>36998</v>
      </c>
      <c r="L142" s="1689"/>
    </row>
    <row r="143" spans="1:12">
      <c r="A143" s="226" t="s">
        <v>2360</v>
      </c>
      <c r="B143" s="226">
        <v>83031</v>
      </c>
      <c r="C143" s="226">
        <v>2824</v>
      </c>
      <c r="D143" s="226">
        <v>2986</v>
      </c>
      <c r="E143" s="226">
        <v>2986</v>
      </c>
      <c r="F143" s="226">
        <v>3040</v>
      </c>
      <c r="G143" s="226">
        <v>3057</v>
      </c>
      <c r="H143" s="226">
        <v>3078</v>
      </c>
      <c r="I143">
        <v>3096</v>
      </c>
      <c r="J143">
        <v>3124</v>
      </c>
      <c r="K143">
        <v>3154</v>
      </c>
      <c r="L143" s="1689"/>
    </row>
    <row r="144" spans="1:12">
      <c r="A144" s="226" t="s">
        <v>2361</v>
      </c>
      <c r="B144" s="226">
        <v>25119</v>
      </c>
      <c r="C144" s="226">
        <v>5344</v>
      </c>
      <c r="D144" s="226">
        <v>5678</v>
      </c>
      <c r="E144" s="226">
        <v>5678</v>
      </c>
      <c r="F144" s="226">
        <v>5698</v>
      </c>
      <c r="G144" s="226">
        <v>5732</v>
      </c>
      <c r="H144" s="226">
        <v>5773</v>
      </c>
      <c r="I144">
        <v>5833</v>
      </c>
      <c r="J144">
        <v>5905</v>
      </c>
      <c r="K144">
        <v>5937</v>
      </c>
      <c r="L144" s="1689"/>
    </row>
    <row r="145" spans="1:12">
      <c r="A145" s="226" t="s">
        <v>2362</v>
      </c>
      <c r="B145" s="226">
        <v>55035</v>
      </c>
      <c r="C145" s="226">
        <v>3398</v>
      </c>
      <c r="D145" s="226">
        <v>3721</v>
      </c>
      <c r="E145" s="226">
        <v>3721</v>
      </c>
      <c r="F145" s="226">
        <v>3753</v>
      </c>
      <c r="G145" s="226">
        <v>3773</v>
      </c>
      <c r="H145" s="226">
        <v>3793</v>
      </c>
      <c r="I145">
        <v>3843</v>
      </c>
      <c r="J145">
        <v>3872</v>
      </c>
      <c r="K145">
        <v>3920</v>
      </c>
      <c r="L145" s="1689"/>
    </row>
    <row r="146" spans="1:12">
      <c r="A146" s="226" t="s">
        <v>2363</v>
      </c>
      <c r="B146" s="226">
        <v>84033</v>
      </c>
      <c r="C146" s="226">
        <v>1650</v>
      </c>
      <c r="D146" s="226">
        <v>2092</v>
      </c>
      <c r="E146" s="226">
        <v>2092</v>
      </c>
      <c r="F146" s="226">
        <v>2111</v>
      </c>
      <c r="G146" s="226">
        <v>2155</v>
      </c>
      <c r="H146" s="226">
        <v>2204</v>
      </c>
      <c r="I146">
        <v>2253</v>
      </c>
      <c r="J146">
        <v>2292</v>
      </c>
      <c r="K146">
        <v>2329</v>
      </c>
      <c r="L146" s="1689"/>
    </row>
    <row r="147" spans="1:12">
      <c r="A147" s="226" t="s">
        <v>2364</v>
      </c>
      <c r="B147" s="226">
        <v>53046</v>
      </c>
      <c r="C147" s="226">
        <v>1742</v>
      </c>
      <c r="D147" s="226">
        <v>1924</v>
      </c>
      <c r="E147" s="226">
        <v>1924</v>
      </c>
      <c r="F147" s="226">
        <v>1936</v>
      </c>
      <c r="G147" s="226">
        <v>1955</v>
      </c>
      <c r="H147" s="226">
        <v>1984</v>
      </c>
      <c r="I147">
        <v>2004</v>
      </c>
      <c r="J147">
        <v>2007</v>
      </c>
      <c r="K147">
        <v>2021</v>
      </c>
      <c r="L147" s="1689"/>
    </row>
    <row r="148" spans="1:12">
      <c r="A148" s="226" t="s">
        <v>2365</v>
      </c>
      <c r="B148" s="226">
        <v>52075</v>
      </c>
      <c r="C148" s="226">
        <v>3509</v>
      </c>
      <c r="D148" s="226">
        <v>3903</v>
      </c>
      <c r="E148" s="226">
        <v>3903</v>
      </c>
      <c r="F148" s="226">
        <v>3949</v>
      </c>
      <c r="G148" s="226">
        <v>3992</v>
      </c>
      <c r="H148" s="226">
        <v>4046</v>
      </c>
      <c r="I148">
        <v>4074</v>
      </c>
      <c r="J148">
        <v>4129</v>
      </c>
      <c r="K148">
        <v>4163</v>
      </c>
      <c r="L148" s="1689"/>
    </row>
    <row r="149" spans="1:12">
      <c r="A149" s="226" t="s">
        <v>2366</v>
      </c>
      <c r="B149" s="226">
        <v>55023</v>
      </c>
      <c r="C149" s="226">
        <v>8774</v>
      </c>
      <c r="D149" s="226">
        <v>8348</v>
      </c>
      <c r="E149" s="226">
        <v>8348</v>
      </c>
      <c r="F149" s="226">
        <v>8427</v>
      </c>
      <c r="G149" s="226">
        <v>8482</v>
      </c>
      <c r="H149" s="226">
        <v>8511</v>
      </c>
      <c r="I149">
        <v>8583</v>
      </c>
      <c r="J149">
        <v>8638</v>
      </c>
      <c r="K149">
        <v>8717</v>
      </c>
      <c r="L149" s="1689"/>
    </row>
    <row r="150" spans="1:12">
      <c r="A150" s="226" t="s">
        <v>2367</v>
      </c>
      <c r="B150" s="226">
        <v>57094</v>
      </c>
      <c r="C150" s="226">
        <v>5843</v>
      </c>
      <c r="D150" s="226">
        <v>6305</v>
      </c>
      <c r="E150" s="226">
        <v>6305</v>
      </c>
      <c r="F150" s="226">
        <v>6355</v>
      </c>
      <c r="G150" s="226">
        <v>6411</v>
      </c>
      <c r="H150" s="226">
        <v>6452</v>
      </c>
      <c r="I150">
        <v>6520</v>
      </c>
      <c r="J150">
        <v>6598</v>
      </c>
      <c r="K150">
        <v>6635</v>
      </c>
      <c r="L150" s="1689"/>
    </row>
    <row r="151" spans="1:12">
      <c r="A151" s="226" t="s">
        <v>2368</v>
      </c>
      <c r="B151" s="226">
        <v>84035</v>
      </c>
      <c r="C151" s="226">
        <v>2147</v>
      </c>
      <c r="D151" s="226">
        <v>2460</v>
      </c>
      <c r="E151" s="226">
        <v>2460</v>
      </c>
      <c r="F151" s="226">
        <v>2481</v>
      </c>
      <c r="G151" s="226">
        <v>2512</v>
      </c>
      <c r="H151" s="226">
        <v>2549</v>
      </c>
      <c r="I151">
        <v>2631</v>
      </c>
      <c r="J151">
        <v>2662</v>
      </c>
      <c r="K151">
        <v>2707</v>
      </c>
      <c r="L151" s="1689"/>
    </row>
    <row r="152" spans="1:12">
      <c r="A152" s="226" t="s">
        <v>2369</v>
      </c>
      <c r="B152" s="226">
        <v>84077</v>
      </c>
      <c r="C152" s="226">
        <v>4077</v>
      </c>
      <c r="D152" s="226">
        <v>4903</v>
      </c>
      <c r="E152" s="226">
        <v>4903</v>
      </c>
      <c r="F152" s="226">
        <v>4966</v>
      </c>
      <c r="G152" s="226">
        <v>5028</v>
      </c>
      <c r="H152" s="226">
        <v>5125</v>
      </c>
      <c r="I152">
        <v>5256</v>
      </c>
      <c r="J152">
        <v>5367</v>
      </c>
      <c r="K152">
        <v>5462</v>
      </c>
      <c r="L152" s="1689"/>
    </row>
    <row r="153" spans="1:12">
      <c r="A153" s="226" t="s">
        <v>2370</v>
      </c>
      <c r="B153" s="226">
        <v>62063</v>
      </c>
      <c r="C153" s="226">
        <v>102872</v>
      </c>
      <c r="D153" s="226">
        <v>106840</v>
      </c>
      <c r="E153" s="226">
        <v>106840</v>
      </c>
      <c r="F153" s="226">
        <v>107242</v>
      </c>
      <c r="G153" s="226">
        <v>107499</v>
      </c>
      <c r="H153" s="226">
        <v>112256</v>
      </c>
      <c r="I153">
        <v>108957</v>
      </c>
      <c r="J153">
        <v>109609</v>
      </c>
      <c r="K153">
        <v>110090</v>
      </c>
      <c r="L153" s="1689"/>
    </row>
    <row r="154" spans="1:12">
      <c r="A154" s="226" t="s">
        <v>2371</v>
      </c>
      <c r="B154" s="226">
        <v>63045</v>
      </c>
      <c r="C154" s="226">
        <v>1589</v>
      </c>
      <c r="D154" s="226">
        <v>1756</v>
      </c>
      <c r="E154" s="226">
        <v>1756</v>
      </c>
      <c r="F154" s="226">
        <v>1775</v>
      </c>
      <c r="G154" s="226">
        <v>1785</v>
      </c>
      <c r="H154" s="226">
        <v>1811</v>
      </c>
      <c r="I154">
        <v>1835</v>
      </c>
      <c r="J154">
        <v>1850</v>
      </c>
      <c r="K154">
        <v>1871</v>
      </c>
      <c r="L154" s="1689"/>
    </row>
    <row r="155" spans="1:12">
      <c r="A155" s="226" t="s">
        <v>2372</v>
      </c>
      <c r="B155" s="226">
        <v>63046</v>
      </c>
      <c r="C155" s="226">
        <v>2319</v>
      </c>
      <c r="D155" s="226">
        <v>2502</v>
      </c>
      <c r="E155" s="226">
        <v>2502</v>
      </c>
      <c r="F155" s="226">
        <v>2520</v>
      </c>
      <c r="G155" s="226">
        <v>2545</v>
      </c>
      <c r="H155" s="226">
        <v>2605</v>
      </c>
      <c r="I155">
        <v>2673</v>
      </c>
      <c r="J155">
        <v>2701</v>
      </c>
      <c r="K155">
        <v>2712</v>
      </c>
      <c r="L155" s="1689"/>
    </row>
    <row r="156" spans="1:12">
      <c r="A156" s="226" t="s">
        <v>2373</v>
      </c>
      <c r="B156" s="226">
        <v>64047</v>
      </c>
      <c r="C156" s="226">
        <v>1170</v>
      </c>
      <c r="D156" s="226">
        <v>1300</v>
      </c>
      <c r="E156" s="226">
        <v>1300</v>
      </c>
      <c r="F156" s="226">
        <v>1315</v>
      </c>
      <c r="G156" s="226">
        <v>1332</v>
      </c>
      <c r="H156" s="226">
        <v>1348</v>
      </c>
      <c r="I156">
        <v>1360</v>
      </c>
      <c r="J156">
        <v>1379</v>
      </c>
      <c r="K156">
        <v>1392</v>
      </c>
      <c r="L156" s="1689"/>
    </row>
    <row r="157" spans="1:12">
      <c r="A157" s="226" t="s">
        <v>2374</v>
      </c>
      <c r="B157" s="226">
        <v>56044</v>
      </c>
      <c r="C157" s="226">
        <v>2338</v>
      </c>
      <c r="D157" s="226">
        <v>2545</v>
      </c>
      <c r="E157" s="226">
        <v>2545</v>
      </c>
      <c r="F157" s="226">
        <v>2577</v>
      </c>
      <c r="G157" s="226">
        <v>2605</v>
      </c>
      <c r="H157" s="226">
        <v>2624</v>
      </c>
      <c r="I157">
        <v>2647</v>
      </c>
      <c r="J157">
        <v>2666</v>
      </c>
      <c r="K157">
        <v>2686</v>
      </c>
      <c r="L157" s="1689"/>
    </row>
    <row r="158" spans="1:12">
      <c r="A158" s="226" t="s">
        <v>2375</v>
      </c>
      <c r="B158" s="226">
        <v>63048</v>
      </c>
      <c r="C158" s="226">
        <v>2069</v>
      </c>
      <c r="D158" s="226">
        <v>2342</v>
      </c>
      <c r="E158" s="226">
        <v>2342</v>
      </c>
      <c r="F158" s="226">
        <v>2362</v>
      </c>
      <c r="G158" s="226">
        <v>2404</v>
      </c>
      <c r="H158" s="226">
        <v>2440</v>
      </c>
      <c r="I158">
        <v>2473</v>
      </c>
      <c r="J158">
        <v>2495</v>
      </c>
      <c r="K158">
        <v>2531</v>
      </c>
      <c r="L158" s="1689"/>
    </row>
    <row r="159" spans="1:12">
      <c r="A159" s="226" t="s">
        <v>2376</v>
      </c>
      <c r="B159" s="226">
        <v>63049</v>
      </c>
      <c r="C159" s="226">
        <v>5425</v>
      </c>
      <c r="D159" s="226">
        <v>6093</v>
      </c>
      <c r="E159" s="226">
        <v>6093</v>
      </c>
      <c r="F159" s="226">
        <v>6133</v>
      </c>
      <c r="G159" s="226">
        <v>6191</v>
      </c>
      <c r="H159" s="226">
        <v>6257</v>
      </c>
      <c r="I159">
        <v>6347</v>
      </c>
      <c r="J159">
        <v>6482</v>
      </c>
      <c r="K159">
        <v>6561</v>
      </c>
      <c r="L159" s="1689"/>
    </row>
    <row r="160" spans="1:12">
      <c r="A160" s="226" t="s">
        <v>2377</v>
      </c>
      <c r="B160" s="226">
        <v>52043</v>
      </c>
      <c r="C160" s="226">
        <v>9476</v>
      </c>
      <c r="D160" s="226">
        <v>9905</v>
      </c>
      <c r="E160" s="226">
        <v>9905</v>
      </c>
      <c r="F160" s="226">
        <v>9946</v>
      </c>
      <c r="G160" s="226">
        <v>9947</v>
      </c>
      <c r="H160" s="226">
        <v>10160</v>
      </c>
      <c r="I160">
        <v>10234</v>
      </c>
      <c r="J160">
        <v>10292</v>
      </c>
      <c r="K160">
        <v>10346</v>
      </c>
      <c r="L160" s="1689"/>
    </row>
    <row r="161" spans="1:12">
      <c r="A161" s="226" t="s">
        <v>2378</v>
      </c>
      <c r="B161" s="226">
        <v>83055</v>
      </c>
      <c r="C161" s="226">
        <v>1699</v>
      </c>
      <c r="D161" s="226">
        <v>1945</v>
      </c>
      <c r="E161" s="226">
        <v>1945</v>
      </c>
      <c r="F161" s="226">
        <v>1978</v>
      </c>
      <c r="G161" s="226">
        <v>1994</v>
      </c>
      <c r="H161" s="226">
        <v>2029</v>
      </c>
      <c r="I161">
        <v>2064</v>
      </c>
      <c r="J161">
        <v>2088</v>
      </c>
      <c r="K161">
        <v>2119</v>
      </c>
      <c r="L161" s="1689"/>
    </row>
    <row r="162" spans="1:12">
      <c r="A162" s="226" t="s">
        <v>2379</v>
      </c>
      <c r="B162" s="226">
        <v>83034</v>
      </c>
      <c r="C162" s="226">
        <v>6911</v>
      </c>
      <c r="D162" s="226">
        <v>7637</v>
      </c>
      <c r="E162" s="226">
        <v>7637</v>
      </c>
      <c r="F162" s="226">
        <v>7809</v>
      </c>
      <c r="G162" s="226">
        <v>7841</v>
      </c>
      <c r="H162" s="226">
        <v>7968</v>
      </c>
      <c r="I162">
        <v>8039</v>
      </c>
      <c r="J162">
        <v>8219</v>
      </c>
      <c r="K162">
        <v>8297</v>
      </c>
      <c r="L162" s="1689"/>
    </row>
    <row r="163" spans="1:12">
      <c r="A163" s="226" t="s">
        <v>2380</v>
      </c>
      <c r="B163" s="226">
        <v>61039</v>
      </c>
      <c r="C163" s="226">
        <v>2135</v>
      </c>
      <c r="D163" s="226">
        <v>2311</v>
      </c>
      <c r="E163" s="226">
        <v>2311</v>
      </c>
      <c r="F163" s="226">
        <v>2348</v>
      </c>
      <c r="G163" s="226">
        <v>2370</v>
      </c>
      <c r="H163" s="226">
        <v>2394</v>
      </c>
      <c r="I163">
        <v>2427</v>
      </c>
      <c r="J163">
        <v>2445</v>
      </c>
      <c r="K163">
        <v>2482</v>
      </c>
      <c r="L163" s="1689"/>
    </row>
    <row r="164" spans="1:12">
      <c r="A164" s="226" t="s">
        <v>2381</v>
      </c>
      <c r="B164" s="226">
        <v>81013</v>
      </c>
      <c r="C164" s="226">
        <v>740</v>
      </c>
      <c r="D164" s="226">
        <v>859</v>
      </c>
      <c r="E164" s="226">
        <v>859</v>
      </c>
      <c r="F164" s="226">
        <v>863</v>
      </c>
      <c r="G164" s="226">
        <v>868</v>
      </c>
      <c r="H164" s="226">
        <v>886</v>
      </c>
      <c r="I164">
        <v>904</v>
      </c>
      <c r="J164">
        <v>922</v>
      </c>
      <c r="K164">
        <v>928</v>
      </c>
      <c r="L164" s="1689"/>
    </row>
    <row r="165" spans="1:12">
      <c r="A165" s="226" t="s">
        <v>2382</v>
      </c>
      <c r="B165" s="226">
        <v>85024</v>
      </c>
      <c r="C165" s="226">
        <v>1185</v>
      </c>
      <c r="D165" s="226">
        <v>1306</v>
      </c>
      <c r="E165" s="226">
        <v>1306</v>
      </c>
      <c r="F165" s="226">
        <v>1313</v>
      </c>
      <c r="G165" s="226">
        <v>1319</v>
      </c>
      <c r="H165" s="226">
        <v>1330</v>
      </c>
      <c r="I165">
        <v>1333</v>
      </c>
      <c r="J165">
        <v>1339</v>
      </c>
      <c r="K165">
        <v>1350</v>
      </c>
      <c r="L165" s="1689"/>
    </row>
    <row r="166" spans="1:12">
      <c r="A166" s="226" t="s">
        <v>2383</v>
      </c>
      <c r="B166" s="226">
        <v>56049</v>
      </c>
      <c r="C166" s="226">
        <v>1746</v>
      </c>
      <c r="D166" s="226">
        <v>1863</v>
      </c>
      <c r="E166" s="226">
        <v>1863</v>
      </c>
      <c r="F166" s="226">
        <v>1878</v>
      </c>
      <c r="G166" s="226">
        <v>1887</v>
      </c>
      <c r="H166" s="226">
        <v>1891</v>
      </c>
      <c r="I166">
        <v>1896</v>
      </c>
      <c r="J166">
        <v>1914</v>
      </c>
      <c r="K166">
        <v>1917</v>
      </c>
      <c r="L166" s="1689"/>
    </row>
    <row r="167" spans="1:12">
      <c r="A167" s="226" t="s">
        <v>2384</v>
      </c>
      <c r="B167" s="226">
        <v>81015</v>
      </c>
      <c r="C167" s="226">
        <v>3018</v>
      </c>
      <c r="D167" s="226">
        <v>3507</v>
      </c>
      <c r="E167" s="226">
        <v>3507</v>
      </c>
      <c r="F167" s="226">
        <v>3531</v>
      </c>
      <c r="G167" s="226">
        <v>3563</v>
      </c>
      <c r="H167" s="226">
        <v>3594</v>
      </c>
      <c r="I167">
        <v>3639</v>
      </c>
      <c r="J167">
        <v>3689</v>
      </c>
      <c r="K167">
        <v>3729</v>
      </c>
      <c r="L167" s="1689"/>
    </row>
    <row r="168" spans="1:12">
      <c r="A168" s="226" t="s">
        <v>2385</v>
      </c>
      <c r="B168" s="226">
        <v>92087</v>
      </c>
      <c r="C168" s="226">
        <v>4730</v>
      </c>
      <c r="D168" s="226">
        <v>5390</v>
      </c>
      <c r="E168" s="226">
        <v>5390</v>
      </c>
      <c r="F168" s="226">
        <v>5423</v>
      </c>
      <c r="G168" s="226">
        <v>5499</v>
      </c>
      <c r="H168" s="226">
        <v>5552</v>
      </c>
      <c r="I168">
        <v>5687</v>
      </c>
      <c r="J168">
        <v>5733</v>
      </c>
      <c r="K168">
        <v>5811</v>
      </c>
      <c r="L168" s="1689"/>
    </row>
    <row r="169" spans="1:12">
      <c r="A169" s="226" t="s">
        <v>2386</v>
      </c>
      <c r="B169" s="226">
        <v>61041</v>
      </c>
      <c r="C169" s="226">
        <v>1544</v>
      </c>
      <c r="D169" s="226">
        <v>1754</v>
      </c>
      <c r="E169" s="226">
        <v>1754</v>
      </c>
      <c r="F169" s="226">
        <v>1779</v>
      </c>
      <c r="G169" s="226">
        <v>1794</v>
      </c>
      <c r="H169" s="226">
        <v>1808</v>
      </c>
      <c r="I169">
        <v>1828</v>
      </c>
      <c r="J169">
        <v>1842</v>
      </c>
      <c r="K169">
        <v>1860</v>
      </c>
      <c r="L169" s="1689"/>
    </row>
    <row r="170" spans="1:12">
      <c r="A170" s="226" t="s">
        <v>2387</v>
      </c>
      <c r="B170" s="226">
        <v>56051</v>
      </c>
      <c r="C170" s="226">
        <v>2314</v>
      </c>
      <c r="D170" s="226">
        <v>2542</v>
      </c>
      <c r="E170" s="226">
        <v>2542</v>
      </c>
      <c r="F170" s="226">
        <v>2551</v>
      </c>
      <c r="G170" s="226">
        <v>2567</v>
      </c>
      <c r="H170" s="226">
        <v>2583</v>
      </c>
      <c r="I170">
        <v>2601</v>
      </c>
      <c r="J170">
        <v>2613</v>
      </c>
      <c r="K170">
        <v>2627</v>
      </c>
      <c r="L170" s="1689"/>
    </row>
    <row r="171" spans="1:12">
      <c r="A171" s="226" t="s">
        <v>2388</v>
      </c>
      <c r="B171" s="226">
        <v>53053</v>
      </c>
      <c r="C171" s="226">
        <v>45329</v>
      </c>
      <c r="D171" s="226">
        <v>49014</v>
      </c>
      <c r="E171" s="226">
        <v>49014</v>
      </c>
      <c r="F171" s="226">
        <v>49644</v>
      </c>
      <c r="G171" s="226">
        <v>50071</v>
      </c>
      <c r="H171" s="226">
        <v>50479</v>
      </c>
      <c r="I171">
        <v>51083</v>
      </c>
      <c r="J171">
        <v>51459</v>
      </c>
      <c r="K171">
        <v>51912</v>
      </c>
      <c r="L171" s="1689"/>
    </row>
    <row r="172" spans="1:12">
      <c r="A172" s="226" t="s">
        <v>2389</v>
      </c>
      <c r="B172" s="226">
        <v>57095</v>
      </c>
      <c r="C172" s="226">
        <v>1489</v>
      </c>
      <c r="D172" s="226">
        <v>1611</v>
      </c>
      <c r="E172" s="226">
        <v>1611</v>
      </c>
      <c r="F172" s="226">
        <v>1639</v>
      </c>
      <c r="G172" s="226">
        <v>1638</v>
      </c>
      <c r="H172" s="226">
        <v>1661</v>
      </c>
      <c r="I172">
        <v>1664</v>
      </c>
      <c r="J172">
        <v>1679</v>
      </c>
      <c r="K172">
        <v>1684</v>
      </c>
    </row>
    <row r="173" spans="1:12">
      <c r="A173" s="226" t="s">
        <v>2390</v>
      </c>
      <c r="B173" s="226">
        <v>25068</v>
      </c>
      <c r="C173" s="226">
        <v>2521</v>
      </c>
      <c r="D173" s="226">
        <v>3036</v>
      </c>
      <c r="E173" s="226">
        <v>3036</v>
      </c>
      <c r="F173" s="226">
        <v>3061</v>
      </c>
      <c r="G173" s="226">
        <v>3073</v>
      </c>
      <c r="H173" s="226">
        <v>3216</v>
      </c>
      <c r="I173">
        <v>3252</v>
      </c>
      <c r="J173">
        <v>3406</v>
      </c>
      <c r="K173">
        <v>3502</v>
      </c>
      <c r="L173" s="1689"/>
    </row>
    <row r="174" spans="1:12">
      <c r="A174" s="226" t="s">
        <v>2391</v>
      </c>
      <c r="B174" s="226">
        <v>52048</v>
      </c>
      <c r="C174" s="226">
        <v>4564</v>
      </c>
      <c r="D174" s="226">
        <v>4825</v>
      </c>
      <c r="E174" s="226">
        <v>4825</v>
      </c>
      <c r="F174" s="226">
        <v>4861</v>
      </c>
      <c r="G174" s="226">
        <v>4872</v>
      </c>
      <c r="H174" s="226">
        <v>4882</v>
      </c>
      <c r="I174">
        <v>4898</v>
      </c>
      <c r="J174">
        <v>4913</v>
      </c>
      <c r="K174">
        <v>4936</v>
      </c>
      <c r="L174" s="1689"/>
    </row>
    <row r="175" spans="1:12">
      <c r="A175" s="226" t="s">
        <v>2392</v>
      </c>
      <c r="B175" s="226">
        <v>56087</v>
      </c>
      <c r="C175" s="226">
        <v>7848</v>
      </c>
      <c r="D175" s="226">
        <v>8408</v>
      </c>
      <c r="E175" s="226">
        <v>8408</v>
      </c>
      <c r="F175" s="226">
        <v>8515</v>
      </c>
      <c r="G175" s="226">
        <v>8659</v>
      </c>
      <c r="H175" s="226">
        <v>8715</v>
      </c>
      <c r="I175">
        <v>8742</v>
      </c>
      <c r="J175">
        <v>8778</v>
      </c>
      <c r="K175">
        <v>8819</v>
      </c>
      <c r="L175" s="1689"/>
    </row>
    <row r="176" spans="1:12">
      <c r="A176" s="226" t="s">
        <v>2393</v>
      </c>
      <c r="B176" s="226">
        <v>54007</v>
      </c>
      <c r="C176" s="226">
        <v>24274</v>
      </c>
      <c r="D176" s="226">
        <v>26007</v>
      </c>
      <c r="E176" s="226">
        <v>26007</v>
      </c>
      <c r="F176" s="226">
        <v>26161</v>
      </c>
      <c r="G176" s="226">
        <v>26966</v>
      </c>
      <c r="H176" s="226">
        <v>27175</v>
      </c>
      <c r="I176">
        <v>26891</v>
      </c>
      <c r="J176">
        <v>27056</v>
      </c>
      <c r="K176">
        <v>27270</v>
      </c>
      <c r="L176" s="1689"/>
    </row>
    <row r="177" spans="1:12">
      <c r="A177" s="226" t="s">
        <v>2394</v>
      </c>
      <c r="B177" s="226">
        <v>85026</v>
      </c>
      <c r="C177" s="226">
        <v>1673</v>
      </c>
      <c r="D177" s="226">
        <v>1869</v>
      </c>
      <c r="E177" s="226">
        <v>1869</v>
      </c>
      <c r="F177" s="226">
        <v>1878</v>
      </c>
      <c r="G177" s="226">
        <v>1906</v>
      </c>
      <c r="H177" s="226">
        <v>1936</v>
      </c>
      <c r="I177">
        <v>1966</v>
      </c>
      <c r="J177">
        <v>1996</v>
      </c>
      <c r="K177">
        <v>2023</v>
      </c>
      <c r="L177" s="1689"/>
    </row>
    <row r="178" spans="1:12">
      <c r="A178" s="226" t="s">
        <v>2395</v>
      </c>
      <c r="B178" s="226">
        <v>92094</v>
      </c>
      <c r="C178" s="226">
        <v>47425</v>
      </c>
      <c r="D178" s="226">
        <v>51805</v>
      </c>
      <c r="E178" s="226">
        <v>51805</v>
      </c>
      <c r="F178" s="226">
        <v>52167</v>
      </c>
      <c r="G178" s="226">
        <v>52668</v>
      </c>
      <c r="H178" s="226">
        <v>53317</v>
      </c>
      <c r="I178">
        <v>53942</v>
      </c>
      <c r="J178">
        <v>54456</v>
      </c>
      <c r="K178">
        <v>55097</v>
      </c>
      <c r="L178" s="1689"/>
    </row>
    <row r="179" spans="1:12">
      <c r="A179" s="226" t="s">
        <v>2396</v>
      </c>
      <c r="B179" s="226">
        <v>61043</v>
      </c>
      <c r="C179" s="226">
        <v>2114</v>
      </c>
      <c r="D179" s="226">
        <v>2344</v>
      </c>
      <c r="E179" s="226">
        <v>2344</v>
      </c>
      <c r="F179" s="226">
        <v>2358</v>
      </c>
      <c r="G179" s="226">
        <v>2366</v>
      </c>
      <c r="H179" s="226">
        <v>2381</v>
      </c>
      <c r="I179">
        <v>2402</v>
      </c>
      <c r="J179">
        <v>2417</v>
      </c>
      <c r="K179">
        <v>2432</v>
      </c>
      <c r="L179" s="1689"/>
    </row>
    <row r="180" spans="1:12">
      <c r="A180" s="226" t="s">
        <v>2397</v>
      </c>
      <c r="B180" s="226">
        <v>83040</v>
      </c>
      <c r="C180" s="226">
        <v>2328</v>
      </c>
      <c r="D180" s="226">
        <v>2561</v>
      </c>
      <c r="E180" s="226">
        <v>2561</v>
      </c>
      <c r="F180" s="226">
        <v>2653</v>
      </c>
      <c r="G180" s="226">
        <v>2638</v>
      </c>
      <c r="H180" s="226">
        <v>2666</v>
      </c>
      <c r="I180">
        <v>2686</v>
      </c>
      <c r="J180">
        <v>2696</v>
      </c>
      <c r="K180">
        <v>2711</v>
      </c>
      <c r="L180" s="1689"/>
    </row>
    <row r="181" spans="1:12">
      <c r="A181" s="226" t="s">
        <v>2398</v>
      </c>
      <c r="B181" s="226">
        <v>84043</v>
      </c>
      <c r="C181" s="226">
        <v>2749</v>
      </c>
      <c r="D181" s="226">
        <v>3226</v>
      </c>
      <c r="E181" s="226">
        <v>3226</v>
      </c>
      <c r="F181" s="226">
        <v>3269</v>
      </c>
      <c r="G181" s="226">
        <v>3319</v>
      </c>
      <c r="H181" s="226">
        <v>3370</v>
      </c>
      <c r="I181">
        <v>3435</v>
      </c>
      <c r="J181">
        <v>3485</v>
      </c>
      <c r="K181">
        <v>3546</v>
      </c>
      <c r="L181" s="1689"/>
    </row>
    <row r="182" spans="1:12">
      <c r="A182" s="226" t="s">
        <v>2399</v>
      </c>
      <c r="B182" s="226">
        <v>62121</v>
      </c>
      <c r="C182" s="226">
        <v>3973</v>
      </c>
      <c r="D182" s="226">
        <v>4261</v>
      </c>
      <c r="E182" s="226">
        <v>4261</v>
      </c>
      <c r="F182" s="226">
        <v>4299</v>
      </c>
      <c r="G182" s="226">
        <v>4342</v>
      </c>
      <c r="H182" s="226">
        <v>4364</v>
      </c>
      <c r="I182">
        <v>4394</v>
      </c>
      <c r="J182">
        <v>4435</v>
      </c>
      <c r="K182">
        <v>4466</v>
      </c>
      <c r="L182" s="1689"/>
    </row>
    <row r="183" spans="1:12">
      <c r="A183" s="226" t="s">
        <v>2400</v>
      </c>
      <c r="B183" s="226">
        <v>25072</v>
      </c>
      <c r="C183" s="226">
        <v>11013</v>
      </c>
      <c r="D183" s="226">
        <v>12852</v>
      </c>
      <c r="E183" s="226">
        <v>12852</v>
      </c>
      <c r="F183" s="226">
        <v>13067</v>
      </c>
      <c r="G183" s="226">
        <v>13166</v>
      </c>
      <c r="H183" s="226">
        <v>13274</v>
      </c>
      <c r="I183">
        <v>13420</v>
      </c>
      <c r="J183">
        <v>13710</v>
      </c>
      <c r="K183">
        <v>13934</v>
      </c>
      <c r="L183" s="1689"/>
    </row>
    <row r="184" spans="1:12">
      <c r="A184" s="226" t="s">
        <v>2401</v>
      </c>
      <c r="B184" s="226">
        <v>92097</v>
      </c>
      <c r="C184" s="226">
        <v>1717</v>
      </c>
      <c r="D184" s="226">
        <v>2034</v>
      </c>
      <c r="E184" s="226">
        <v>2034</v>
      </c>
      <c r="F184" s="226">
        <v>2072</v>
      </c>
      <c r="G184" s="226">
        <v>2092</v>
      </c>
      <c r="H184" s="226">
        <v>2119</v>
      </c>
      <c r="I184">
        <v>2158</v>
      </c>
      <c r="J184">
        <v>2208</v>
      </c>
      <c r="K184">
        <v>2232</v>
      </c>
      <c r="L184" s="1689"/>
    </row>
    <row r="185" spans="1:12">
      <c r="A185" s="226" t="s">
        <v>2402</v>
      </c>
      <c r="B185" s="226">
        <v>63057</v>
      </c>
      <c r="C185" s="226">
        <v>1486</v>
      </c>
      <c r="D185" s="226">
        <v>1627</v>
      </c>
      <c r="E185" s="226">
        <v>1627</v>
      </c>
      <c r="F185" s="226">
        <v>1647</v>
      </c>
      <c r="G185" s="226">
        <v>1669</v>
      </c>
      <c r="H185" s="226">
        <v>1711</v>
      </c>
      <c r="I185">
        <v>1745</v>
      </c>
      <c r="J185">
        <v>1767</v>
      </c>
      <c r="K185">
        <v>1781</v>
      </c>
      <c r="L185" s="1689"/>
    </row>
    <row r="186" spans="1:12">
      <c r="A186" s="226" t="s">
        <v>2403</v>
      </c>
      <c r="B186" s="226">
        <v>91103</v>
      </c>
      <c r="C186" s="226">
        <v>1434</v>
      </c>
      <c r="D186" s="226">
        <v>1529</v>
      </c>
      <c r="E186" s="226">
        <v>1529</v>
      </c>
      <c r="F186" s="226">
        <v>1529</v>
      </c>
      <c r="G186" s="226">
        <v>1551</v>
      </c>
      <c r="H186" s="226">
        <v>1569</v>
      </c>
      <c r="I186">
        <v>1570</v>
      </c>
      <c r="J186">
        <v>1582</v>
      </c>
      <c r="K186">
        <v>1612</v>
      </c>
      <c r="L186" s="1689"/>
    </row>
    <row r="187" spans="1:12">
      <c r="A187" s="226" t="s">
        <v>2404</v>
      </c>
      <c r="B187" s="226">
        <v>64056</v>
      </c>
      <c r="C187" s="226">
        <v>1381</v>
      </c>
      <c r="D187" s="226">
        <v>1593</v>
      </c>
      <c r="E187" s="226">
        <v>1593</v>
      </c>
      <c r="F187" s="226">
        <v>1623</v>
      </c>
      <c r="G187" s="226">
        <v>1653</v>
      </c>
      <c r="H187" s="226">
        <v>1684</v>
      </c>
      <c r="I187">
        <v>1704</v>
      </c>
      <c r="J187">
        <v>1728</v>
      </c>
      <c r="K187">
        <v>1737</v>
      </c>
      <c r="L187" s="1689"/>
    </row>
    <row r="188" spans="1:12">
      <c r="A188" s="226" t="s">
        <v>2405</v>
      </c>
      <c r="B188" s="226">
        <v>25120</v>
      </c>
      <c r="C188" s="226">
        <v>3048</v>
      </c>
      <c r="D188" s="226">
        <v>3471</v>
      </c>
      <c r="E188" s="226">
        <v>3471</v>
      </c>
      <c r="F188" s="226">
        <v>3483</v>
      </c>
      <c r="G188" s="226">
        <v>3519</v>
      </c>
      <c r="H188" s="226">
        <v>3540</v>
      </c>
      <c r="I188">
        <v>3564</v>
      </c>
      <c r="J188">
        <v>3594</v>
      </c>
      <c r="K188">
        <v>3624</v>
      </c>
      <c r="L188" s="1689"/>
    </row>
    <row r="189" spans="1:12">
      <c r="A189" s="226" t="s">
        <v>2406</v>
      </c>
      <c r="B189" s="226">
        <v>25121</v>
      </c>
      <c r="C189" s="226">
        <v>18904</v>
      </c>
      <c r="D189" s="226">
        <v>21359</v>
      </c>
      <c r="E189" s="226">
        <v>21359</v>
      </c>
      <c r="F189" s="226">
        <v>21635</v>
      </c>
      <c r="G189" s="226">
        <v>21842</v>
      </c>
      <c r="H189" s="226">
        <v>21913</v>
      </c>
      <c r="I189">
        <v>22028</v>
      </c>
      <c r="J189">
        <v>22106</v>
      </c>
      <c r="K189">
        <v>22228</v>
      </c>
      <c r="L189" s="1689"/>
    </row>
    <row r="190" spans="1:12">
      <c r="A190" s="226" t="s">
        <v>2407</v>
      </c>
      <c r="B190" s="226">
        <v>61048</v>
      </c>
      <c r="C190" s="226">
        <v>1055</v>
      </c>
      <c r="D190" s="226">
        <v>1222</v>
      </c>
      <c r="E190" s="226">
        <v>1222</v>
      </c>
      <c r="F190" s="226">
        <v>1238</v>
      </c>
      <c r="G190" s="226">
        <v>1243</v>
      </c>
      <c r="H190" s="226">
        <v>1263</v>
      </c>
      <c r="I190">
        <v>1271</v>
      </c>
      <c r="J190">
        <v>1281</v>
      </c>
      <c r="K190">
        <v>1300</v>
      </c>
      <c r="L190" s="1689"/>
    </row>
    <row r="191" spans="1:12">
      <c r="A191" s="226" t="s">
        <v>2408</v>
      </c>
      <c r="B191" s="226">
        <v>62079</v>
      </c>
      <c r="C191" s="226">
        <v>10077</v>
      </c>
      <c r="D191" s="226">
        <v>10985</v>
      </c>
      <c r="E191" s="226">
        <v>10985</v>
      </c>
      <c r="F191" s="226">
        <v>11098</v>
      </c>
      <c r="G191" s="226">
        <v>11171</v>
      </c>
      <c r="H191" s="226">
        <v>11265</v>
      </c>
      <c r="I191">
        <v>11332</v>
      </c>
      <c r="J191">
        <v>11429</v>
      </c>
      <c r="K191">
        <v>11545</v>
      </c>
      <c r="L191" s="1689"/>
    </row>
    <row r="192" spans="1:12">
      <c r="A192" s="226" t="s">
        <v>2409</v>
      </c>
      <c r="B192" s="226">
        <v>84050</v>
      </c>
      <c r="C192" s="226">
        <v>2269</v>
      </c>
      <c r="D192" s="226">
        <v>2519</v>
      </c>
      <c r="E192" s="226">
        <v>2519</v>
      </c>
      <c r="F192" s="226">
        <v>2551</v>
      </c>
      <c r="G192" s="226">
        <v>2585</v>
      </c>
      <c r="H192" s="226">
        <v>2618</v>
      </c>
      <c r="I192">
        <v>2649</v>
      </c>
      <c r="J192">
        <v>2676</v>
      </c>
      <c r="K192">
        <v>2715</v>
      </c>
      <c r="L192" s="1689"/>
    </row>
    <row r="193" spans="1:12">
      <c r="A193" s="226" t="s">
        <v>2410</v>
      </c>
      <c r="B193" s="226">
        <v>57062</v>
      </c>
      <c r="C193" s="226">
        <v>2262</v>
      </c>
      <c r="D193" s="226">
        <v>2450</v>
      </c>
      <c r="E193" s="226">
        <v>2450</v>
      </c>
      <c r="F193" s="226">
        <v>2458</v>
      </c>
      <c r="G193" s="226">
        <v>2472</v>
      </c>
      <c r="H193" s="226">
        <v>2489</v>
      </c>
      <c r="I193">
        <v>2515</v>
      </c>
      <c r="J193">
        <v>2569</v>
      </c>
      <c r="K193">
        <v>2634</v>
      </c>
      <c r="L193" s="1689"/>
    </row>
    <row r="194" spans="1:12">
      <c r="A194" s="226" t="s">
        <v>2411</v>
      </c>
      <c r="B194" s="226">
        <v>63058</v>
      </c>
      <c r="C194" s="226">
        <v>3781</v>
      </c>
      <c r="D194" s="226">
        <v>4139</v>
      </c>
      <c r="E194" s="226">
        <v>4139</v>
      </c>
      <c r="F194" s="226">
        <v>4147</v>
      </c>
      <c r="G194" s="226">
        <v>4170</v>
      </c>
      <c r="H194" s="226">
        <v>4197</v>
      </c>
      <c r="I194">
        <v>4218</v>
      </c>
      <c r="J194">
        <v>4229</v>
      </c>
      <c r="K194">
        <v>4257</v>
      </c>
      <c r="L194" s="1689"/>
    </row>
    <row r="195" spans="1:12">
      <c r="A195" s="226" t="s">
        <v>2412</v>
      </c>
      <c r="B195" s="226">
        <v>57064</v>
      </c>
      <c r="C195" s="226">
        <v>7376</v>
      </c>
      <c r="D195" s="226">
        <v>7972</v>
      </c>
      <c r="E195" s="226">
        <v>7972</v>
      </c>
      <c r="F195" s="226">
        <v>8105</v>
      </c>
      <c r="G195" s="226">
        <v>8123</v>
      </c>
      <c r="H195" s="226">
        <v>8191</v>
      </c>
      <c r="I195">
        <v>8247</v>
      </c>
      <c r="J195">
        <v>8317</v>
      </c>
      <c r="K195">
        <v>8343</v>
      </c>
      <c r="L195" s="1689"/>
    </row>
    <row r="196" spans="1:12">
      <c r="A196" s="226" t="s">
        <v>2413</v>
      </c>
      <c r="B196" s="226">
        <v>25084</v>
      </c>
      <c r="C196" s="226">
        <v>2853</v>
      </c>
      <c r="D196" s="226">
        <v>3505</v>
      </c>
      <c r="E196" s="226">
        <v>3505</v>
      </c>
      <c r="F196" s="226">
        <v>3633</v>
      </c>
      <c r="G196" s="226">
        <v>3678</v>
      </c>
      <c r="H196" s="226">
        <v>3770</v>
      </c>
      <c r="I196">
        <v>3825</v>
      </c>
      <c r="J196">
        <v>3951</v>
      </c>
      <c r="K196">
        <v>4068</v>
      </c>
      <c r="L196" s="1689"/>
    </row>
    <row r="197" spans="1:12">
      <c r="A197" s="226" t="s">
        <v>2414</v>
      </c>
      <c r="B197" s="226">
        <v>93056</v>
      </c>
      <c r="C197" s="226">
        <v>4180</v>
      </c>
      <c r="D197" s="226">
        <v>4613</v>
      </c>
      <c r="E197" s="226">
        <v>4613</v>
      </c>
      <c r="F197" s="226">
        <v>4651</v>
      </c>
      <c r="G197" s="226">
        <v>4694</v>
      </c>
      <c r="H197" s="226">
        <v>4728</v>
      </c>
      <c r="I197">
        <v>4773</v>
      </c>
      <c r="J197">
        <v>4833</v>
      </c>
      <c r="K197">
        <v>4872</v>
      </c>
      <c r="L197" s="1689"/>
    </row>
    <row r="198" spans="1:12">
      <c r="A198" s="226" t="s">
        <v>2415</v>
      </c>
      <c r="B198" s="226">
        <v>63088</v>
      </c>
      <c r="C198" s="226">
        <v>4152</v>
      </c>
      <c r="D198" s="226">
        <v>4577</v>
      </c>
      <c r="E198" s="226">
        <v>4577</v>
      </c>
      <c r="F198" s="226">
        <v>4624</v>
      </c>
      <c r="G198" s="226">
        <v>4692</v>
      </c>
      <c r="H198" s="226">
        <v>4756</v>
      </c>
      <c r="I198">
        <v>4833</v>
      </c>
      <c r="J198">
        <v>4908</v>
      </c>
      <c r="K198">
        <v>4954</v>
      </c>
      <c r="L198" s="1689"/>
    </row>
    <row r="199" spans="1:12">
      <c r="A199" s="226" t="s">
        <v>2416</v>
      </c>
      <c r="B199" s="226">
        <v>52055</v>
      </c>
      <c r="C199" s="226">
        <v>6586</v>
      </c>
      <c r="D199" s="226">
        <v>7170</v>
      </c>
      <c r="E199" s="226">
        <v>7170</v>
      </c>
      <c r="F199" s="226">
        <v>7211</v>
      </c>
      <c r="G199" s="226">
        <v>7240</v>
      </c>
      <c r="H199" s="226">
        <v>7307</v>
      </c>
      <c r="I199">
        <v>7371</v>
      </c>
      <c r="J199">
        <v>7399</v>
      </c>
      <c r="K199">
        <v>7442</v>
      </c>
      <c r="L199" s="1689"/>
    </row>
    <row r="200" spans="1:12">
      <c r="A200" s="226" t="s">
        <v>2417</v>
      </c>
      <c r="B200" s="226">
        <v>92101</v>
      </c>
      <c r="C200" s="226">
        <v>4526</v>
      </c>
      <c r="D200" s="226">
        <v>5123</v>
      </c>
      <c r="E200" s="226">
        <v>5123</v>
      </c>
      <c r="F200" s="226">
        <v>5163</v>
      </c>
      <c r="G200" s="226">
        <v>5195</v>
      </c>
      <c r="H200" s="226">
        <v>5252</v>
      </c>
      <c r="I200">
        <v>5352</v>
      </c>
      <c r="J200">
        <v>5407</v>
      </c>
      <c r="K200">
        <v>5467</v>
      </c>
      <c r="L200" s="1689"/>
    </row>
    <row r="201" spans="1:12">
      <c r="A201" s="226" t="s">
        <v>2418</v>
      </c>
      <c r="B201" s="226">
        <v>53065</v>
      </c>
      <c r="C201" s="226">
        <v>8354</v>
      </c>
      <c r="D201" s="226">
        <v>8632</v>
      </c>
      <c r="E201" s="226">
        <v>8632</v>
      </c>
      <c r="F201" s="226">
        <v>8671</v>
      </c>
      <c r="G201" s="226">
        <v>8716</v>
      </c>
      <c r="H201" s="226">
        <v>8759</v>
      </c>
      <c r="I201">
        <v>8785</v>
      </c>
      <c r="J201">
        <v>8830</v>
      </c>
      <c r="K201">
        <v>8853</v>
      </c>
      <c r="L201" s="1689"/>
    </row>
    <row r="202" spans="1:12">
      <c r="A202" s="226" t="s">
        <v>2419</v>
      </c>
      <c r="B202" s="226">
        <v>53084</v>
      </c>
      <c r="C202" s="226">
        <v>3298</v>
      </c>
      <c r="D202" s="226">
        <v>3545</v>
      </c>
      <c r="E202" s="226">
        <v>3545</v>
      </c>
      <c r="F202" s="226">
        <v>3556</v>
      </c>
      <c r="G202" s="226">
        <v>3571</v>
      </c>
      <c r="H202" s="226">
        <v>3604</v>
      </c>
      <c r="I202">
        <v>3621</v>
      </c>
      <c r="J202">
        <v>3644</v>
      </c>
      <c r="K202">
        <v>3666</v>
      </c>
      <c r="L202" s="1689"/>
    </row>
    <row r="203" spans="1:12">
      <c r="A203" s="226" t="s">
        <v>2420</v>
      </c>
      <c r="B203" s="226">
        <v>53068</v>
      </c>
      <c r="C203" s="226">
        <v>3021</v>
      </c>
      <c r="D203" s="226">
        <v>3204</v>
      </c>
      <c r="E203" s="226">
        <v>3204</v>
      </c>
      <c r="F203" s="226">
        <v>3216</v>
      </c>
      <c r="G203" s="226">
        <v>3228</v>
      </c>
      <c r="H203" s="226">
        <v>3266</v>
      </c>
      <c r="I203">
        <v>3274</v>
      </c>
      <c r="J203">
        <v>3304</v>
      </c>
      <c r="K203">
        <v>3321</v>
      </c>
      <c r="L203" s="1689"/>
    </row>
    <row r="204" spans="1:12">
      <c r="A204" s="226" t="s">
        <v>2421</v>
      </c>
      <c r="B204" s="226">
        <v>63061</v>
      </c>
      <c r="C204" s="226">
        <v>4326</v>
      </c>
      <c r="D204" s="226">
        <v>4691</v>
      </c>
      <c r="E204" s="226">
        <v>4691</v>
      </c>
      <c r="F204" s="226">
        <v>4756</v>
      </c>
      <c r="G204" s="226">
        <v>4799</v>
      </c>
      <c r="H204" s="226">
        <v>4858</v>
      </c>
      <c r="I204">
        <v>4894</v>
      </c>
      <c r="J204">
        <v>4931</v>
      </c>
      <c r="K204">
        <v>4969</v>
      </c>
      <c r="L204" s="1689"/>
    </row>
    <row r="205" spans="1:12">
      <c r="A205" s="226" t="s">
        <v>2422</v>
      </c>
      <c r="B205" s="226">
        <v>25122</v>
      </c>
      <c r="C205" s="226">
        <v>2326</v>
      </c>
      <c r="D205" s="226">
        <v>2459</v>
      </c>
      <c r="E205" s="226">
        <v>2459</v>
      </c>
      <c r="F205" s="226">
        <v>2482</v>
      </c>
      <c r="G205" s="226">
        <v>2521</v>
      </c>
      <c r="H205" s="226">
        <v>2535</v>
      </c>
      <c r="I205">
        <v>2554</v>
      </c>
      <c r="J205">
        <v>2578</v>
      </c>
      <c r="K205">
        <v>2609</v>
      </c>
      <c r="L205" s="1689"/>
    </row>
    <row r="206" spans="1:12">
      <c r="A206" s="226" t="s">
        <v>2423</v>
      </c>
      <c r="B206" s="226">
        <v>25123</v>
      </c>
      <c r="C206" s="226">
        <v>4067</v>
      </c>
      <c r="D206" s="226">
        <v>4394</v>
      </c>
      <c r="E206" s="226">
        <v>4394</v>
      </c>
      <c r="F206" s="226">
        <v>4423</v>
      </c>
      <c r="G206" s="226">
        <v>4430</v>
      </c>
      <c r="H206" s="226">
        <v>4491</v>
      </c>
      <c r="I206">
        <v>4522</v>
      </c>
      <c r="J206">
        <v>4542</v>
      </c>
      <c r="K206">
        <v>4570</v>
      </c>
      <c r="L206" s="1689"/>
    </row>
    <row r="207" spans="1:12">
      <c r="A207" s="226" t="s">
        <v>2424</v>
      </c>
      <c r="B207" s="226">
        <v>64063</v>
      </c>
      <c r="C207" s="226">
        <v>1976</v>
      </c>
      <c r="D207" s="226">
        <v>2349</v>
      </c>
      <c r="E207" s="226">
        <v>2349</v>
      </c>
      <c r="F207" s="226">
        <v>2388</v>
      </c>
      <c r="G207" s="226">
        <v>2409</v>
      </c>
      <c r="H207" s="226">
        <v>2422</v>
      </c>
      <c r="I207">
        <v>2443</v>
      </c>
      <c r="J207">
        <v>2485</v>
      </c>
      <c r="K207">
        <v>2532</v>
      </c>
      <c r="L207" s="1689"/>
    </row>
    <row r="208" spans="1:12">
      <c r="A208" s="226" t="s">
        <v>2425</v>
      </c>
      <c r="B208" s="226">
        <v>83044</v>
      </c>
      <c r="C208" s="226">
        <v>1913</v>
      </c>
      <c r="D208" s="226">
        <v>2050</v>
      </c>
      <c r="E208" s="226">
        <v>2050</v>
      </c>
      <c r="F208" s="226">
        <v>2095</v>
      </c>
      <c r="G208" s="226">
        <v>2085</v>
      </c>
      <c r="H208" s="226">
        <v>2095</v>
      </c>
      <c r="I208">
        <v>2110</v>
      </c>
      <c r="J208">
        <v>2113</v>
      </c>
      <c r="K208">
        <v>2122</v>
      </c>
      <c r="L208" s="1689"/>
    </row>
    <row r="209" spans="1:12">
      <c r="A209" s="226" t="s">
        <v>2426</v>
      </c>
      <c r="B209" s="226">
        <v>25091</v>
      </c>
      <c r="C209" s="226">
        <v>8588</v>
      </c>
      <c r="D209" s="226">
        <v>9118</v>
      </c>
      <c r="E209" s="226">
        <v>9118</v>
      </c>
      <c r="F209" s="226">
        <v>9213</v>
      </c>
      <c r="G209" s="226">
        <v>9279</v>
      </c>
      <c r="H209" s="226">
        <v>9352</v>
      </c>
      <c r="I209">
        <v>9402</v>
      </c>
      <c r="J209">
        <v>9575</v>
      </c>
      <c r="K209">
        <v>9666</v>
      </c>
      <c r="L209" s="1689"/>
    </row>
    <row r="210" spans="1:12">
      <c r="A210" s="226" t="s">
        <v>2427</v>
      </c>
      <c r="B210" s="226">
        <v>91114</v>
      </c>
      <c r="C210" s="226">
        <v>5432</v>
      </c>
      <c r="D210" s="226">
        <v>6044</v>
      </c>
      <c r="E210" s="226">
        <v>6044</v>
      </c>
      <c r="F210" s="226">
        <v>6091</v>
      </c>
      <c r="G210" s="226">
        <v>6125</v>
      </c>
      <c r="H210" s="226">
        <v>6202</v>
      </c>
      <c r="I210">
        <v>6237</v>
      </c>
      <c r="J210">
        <v>6296</v>
      </c>
      <c r="K210">
        <v>6340</v>
      </c>
      <c r="L210" s="1689"/>
    </row>
    <row r="211" spans="1:12">
      <c r="A211" s="226" t="s">
        <v>2428</v>
      </c>
      <c r="B211" s="226">
        <v>85047</v>
      </c>
      <c r="C211" s="226">
        <v>836</v>
      </c>
      <c r="D211" s="226">
        <v>938</v>
      </c>
      <c r="E211" s="226">
        <v>938</v>
      </c>
      <c r="F211" s="226">
        <v>943</v>
      </c>
      <c r="G211" s="226">
        <v>943</v>
      </c>
      <c r="H211" s="226">
        <v>948</v>
      </c>
      <c r="I211">
        <v>950</v>
      </c>
      <c r="J211">
        <v>956</v>
      </c>
      <c r="K211">
        <v>959</v>
      </c>
      <c r="L211" s="1689"/>
    </row>
    <row r="212" spans="1:12">
      <c r="A212" s="226" t="s">
        <v>2429</v>
      </c>
      <c r="B212" s="226">
        <v>57072</v>
      </c>
      <c r="C212" s="226">
        <v>2144</v>
      </c>
      <c r="D212" s="226">
        <v>2335</v>
      </c>
      <c r="E212" s="226">
        <v>2335</v>
      </c>
      <c r="F212" s="226">
        <v>2340</v>
      </c>
      <c r="G212" s="226">
        <v>2363</v>
      </c>
      <c r="H212" s="226">
        <v>2371</v>
      </c>
      <c r="I212">
        <v>2384</v>
      </c>
      <c r="J212">
        <v>2397</v>
      </c>
      <c r="K212">
        <v>2402</v>
      </c>
      <c r="L212" s="1689"/>
    </row>
    <row r="213" spans="1:12">
      <c r="A213" s="226" t="s">
        <v>2431</v>
      </c>
      <c r="B213" s="226">
        <v>64065</v>
      </c>
      <c r="C213" s="226">
        <v>2886</v>
      </c>
      <c r="D213" s="226">
        <v>3117</v>
      </c>
      <c r="E213" s="226">
        <v>3117</v>
      </c>
      <c r="F213" s="226">
        <v>3135</v>
      </c>
      <c r="G213" s="226">
        <v>3063</v>
      </c>
      <c r="H213" s="226">
        <v>3077</v>
      </c>
      <c r="I213">
        <v>3096</v>
      </c>
      <c r="J213">
        <v>3147</v>
      </c>
      <c r="K213">
        <v>3203</v>
      </c>
      <c r="L213" s="1689"/>
    </row>
    <row r="214" spans="1:12">
      <c r="A214" s="226" t="s">
        <v>2432</v>
      </c>
      <c r="B214" s="226">
        <v>53070</v>
      </c>
      <c r="C214" s="226">
        <v>9827</v>
      </c>
      <c r="D214" s="226">
        <v>10578</v>
      </c>
      <c r="E214" s="226">
        <v>10578</v>
      </c>
      <c r="F214" s="226">
        <v>10715</v>
      </c>
      <c r="G214" s="226">
        <v>10820</v>
      </c>
      <c r="H214" s="226">
        <v>11020</v>
      </c>
      <c r="I214">
        <v>11131</v>
      </c>
      <c r="J214">
        <v>11242</v>
      </c>
      <c r="K214">
        <v>11326</v>
      </c>
      <c r="L214" s="1689"/>
    </row>
    <row r="215" spans="1:12">
      <c r="A215" s="226" t="s">
        <v>2433</v>
      </c>
      <c r="B215" s="226">
        <v>84059</v>
      </c>
      <c r="C215" s="226">
        <v>2671</v>
      </c>
      <c r="D215" s="226">
        <v>2872</v>
      </c>
      <c r="E215" s="226">
        <v>2872</v>
      </c>
      <c r="F215" s="226">
        <v>2893</v>
      </c>
      <c r="G215" s="226">
        <v>2905</v>
      </c>
      <c r="H215" s="226">
        <v>2927</v>
      </c>
      <c r="I215">
        <v>2948</v>
      </c>
      <c r="J215">
        <v>2963</v>
      </c>
      <c r="K215">
        <v>2977</v>
      </c>
      <c r="L215" s="1689"/>
    </row>
    <row r="216" spans="1:12">
      <c r="A216" s="226" t="s">
        <v>2434</v>
      </c>
      <c r="B216" s="226">
        <v>85034</v>
      </c>
      <c r="C216" s="226">
        <v>1297</v>
      </c>
      <c r="D216" s="226">
        <v>1475</v>
      </c>
      <c r="E216" s="226">
        <v>1475</v>
      </c>
      <c r="F216" s="226">
        <v>1488</v>
      </c>
      <c r="G216" s="226">
        <v>1511</v>
      </c>
      <c r="H216" s="226">
        <v>1534</v>
      </c>
      <c r="I216">
        <v>1550</v>
      </c>
      <c r="J216">
        <v>1570</v>
      </c>
      <c r="K216">
        <v>1598</v>
      </c>
      <c r="L216" s="1689"/>
    </row>
    <row r="217" spans="1:12">
      <c r="A217" s="226" t="s">
        <v>2435</v>
      </c>
      <c r="B217" s="226">
        <v>62093</v>
      </c>
      <c r="C217" s="226">
        <v>10045</v>
      </c>
      <c r="D217" s="226">
        <v>10532</v>
      </c>
      <c r="E217" s="226">
        <v>10532</v>
      </c>
      <c r="F217" s="226">
        <v>10565</v>
      </c>
      <c r="G217" s="226">
        <v>10614</v>
      </c>
      <c r="H217" s="226">
        <v>10660</v>
      </c>
      <c r="I217">
        <v>10778</v>
      </c>
      <c r="J217">
        <v>10854</v>
      </c>
      <c r="K217">
        <v>10902</v>
      </c>
      <c r="L217" s="1689"/>
    </row>
    <row r="218" spans="1:12">
      <c r="A218" s="226" t="s">
        <v>2436</v>
      </c>
      <c r="B218" s="226">
        <v>63067</v>
      </c>
      <c r="C218" s="226">
        <v>3867</v>
      </c>
      <c r="D218" s="226">
        <v>4570</v>
      </c>
      <c r="E218" s="226">
        <v>4570</v>
      </c>
      <c r="F218" s="226">
        <v>4681</v>
      </c>
      <c r="G218" s="226">
        <v>4734</v>
      </c>
      <c r="H218" s="226">
        <v>4787</v>
      </c>
      <c r="I218">
        <v>4852</v>
      </c>
      <c r="J218">
        <v>4926</v>
      </c>
      <c r="K218">
        <v>4976</v>
      </c>
      <c r="L218" s="1689"/>
    </row>
    <row r="219" spans="1:12">
      <c r="A219" s="226" t="s">
        <v>2430</v>
      </c>
      <c r="B219" s="226">
        <v>82038</v>
      </c>
      <c r="C219" s="226">
        <v>1035</v>
      </c>
      <c r="D219" s="226">
        <v>1170</v>
      </c>
      <c r="E219" s="226">
        <v>1170</v>
      </c>
      <c r="F219" s="226">
        <v>1182</v>
      </c>
      <c r="G219" s="226">
        <v>1193</v>
      </c>
      <c r="H219" s="226">
        <v>1206</v>
      </c>
      <c r="I219">
        <v>1211</v>
      </c>
      <c r="J219">
        <v>1224</v>
      </c>
      <c r="K219">
        <v>1240</v>
      </c>
      <c r="L219" s="1689"/>
    </row>
    <row r="220" spans="1:12">
      <c r="A220" s="226" t="s">
        <v>2437</v>
      </c>
      <c r="B220" s="226">
        <v>92137</v>
      </c>
      <c r="C220" s="226">
        <v>11444</v>
      </c>
      <c r="D220" s="226">
        <v>12270</v>
      </c>
      <c r="E220" s="226">
        <v>12270</v>
      </c>
      <c r="F220" s="226">
        <v>12352</v>
      </c>
      <c r="G220" s="226">
        <v>12420</v>
      </c>
      <c r="H220" s="226">
        <v>12477</v>
      </c>
      <c r="I220">
        <v>12627</v>
      </c>
      <c r="J220">
        <v>12764</v>
      </c>
      <c r="K220">
        <v>12839</v>
      </c>
      <c r="L220" s="1689"/>
    </row>
    <row r="221" spans="1:12">
      <c r="A221" s="226" t="s">
        <v>2438</v>
      </c>
      <c r="B221" s="226">
        <v>52063</v>
      </c>
      <c r="C221" s="226">
        <v>4461</v>
      </c>
      <c r="D221" s="226">
        <v>4811</v>
      </c>
      <c r="E221" s="226">
        <v>4811</v>
      </c>
      <c r="F221" s="226">
        <v>4833</v>
      </c>
      <c r="G221" s="226">
        <v>4888</v>
      </c>
      <c r="H221" s="226">
        <v>4978</v>
      </c>
      <c r="I221">
        <v>5114</v>
      </c>
      <c r="J221">
        <v>5191</v>
      </c>
      <c r="K221">
        <v>5219</v>
      </c>
      <c r="L221" s="1689"/>
    </row>
    <row r="222" spans="1:12">
      <c r="A222" s="226" t="s">
        <v>2439</v>
      </c>
      <c r="B222" s="226">
        <v>62096</v>
      </c>
      <c r="C222" s="226">
        <v>29167</v>
      </c>
      <c r="D222" s="226">
        <v>30424</v>
      </c>
      <c r="E222" s="226">
        <v>30424</v>
      </c>
      <c r="F222" s="226">
        <v>30479</v>
      </c>
      <c r="G222" s="226">
        <v>30548</v>
      </c>
      <c r="H222" s="226">
        <v>30679</v>
      </c>
      <c r="I222">
        <v>30778</v>
      </c>
      <c r="J222">
        <v>30945</v>
      </c>
      <c r="K222">
        <v>31081</v>
      </c>
      <c r="L222" s="1689"/>
    </row>
    <row r="223" spans="1:12">
      <c r="A223" s="226" t="s">
        <v>2440</v>
      </c>
      <c r="B223" s="226">
        <v>55039</v>
      </c>
      <c r="C223" s="226">
        <v>3110</v>
      </c>
      <c r="D223" s="226">
        <v>3336</v>
      </c>
      <c r="E223" s="226">
        <v>3336</v>
      </c>
      <c r="F223" s="226">
        <v>3359</v>
      </c>
      <c r="G223" s="226">
        <v>3387</v>
      </c>
      <c r="H223" s="226">
        <v>3413</v>
      </c>
      <c r="I223">
        <v>3425</v>
      </c>
      <c r="J223">
        <v>3440</v>
      </c>
      <c r="K223">
        <v>3468</v>
      </c>
      <c r="L223" s="1689"/>
    </row>
    <row r="224" spans="1:12">
      <c r="A224" s="226" t="s">
        <v>2441</v>
      </c>
      <c r="B224" s="226">
        <v>56088</v>
      </c>
      <c r="C224" s="226">
        <v>2212</v>
      </c>
      <c r="D224" s="226">
        <v>2429</v>
      </c>
      <c r="E224" s="226">
        <v>2429</v>
      </c>
      <c r="F224" s="226">
        <v>2479</v>
      </c>
      <c r="G224" s="226">
        <v>2498</v>
      </c>
      <c r="H224" s="226">
        <v>2514</v>
      </c>
      <c r="I224">
        <v>2541</v>
      </c>
      <c r="J224">
        <v>2537</v>
      </c>
      <c r="K224">
        <v>2549</v>
      </c>
      <c r="L224" s="1689"/>
    </row>
    <row r="225" spans="1:12">
      <c r="A225" s="226" t="s">
        <v>2442</v>
      </c>
      <c r="B225" s="226">
        <v>55040</v>
      </c>
      <c r="C225" s="226">
        <v>10515</v>
      </c>
      <c r="D225" s="226">
        <v>11462</v>
      </c>
      <c r="E225" s="226">
        <v>11462</v>
      </c>
      <c r="F225" s="226">
        <v>11618</v>
      </c>
      <c r="G225" s="226">
        <v>11689</v>
      </c>
      <c r="H225" s="226">
        <v>11766</v>
      </c>
      <c r="I225">
        <v>11932</v>
      </c>
      <c r="J225">
        <v>12058</v>
      </c>
      <c r="K225">
        <v>12216</v>
      </c>
      <c r="L225" s="1689"/>
    </row>
    <row r="226" spans="1:12">
      <c r="A226" s="226" t="s">
        <v>2443</v>
      </c>
      <c r="B226" s="226">
        <v>92114</v>
      </c>
      <c r="C226" s="226">
        <v>2967</v>
      </c>
      <c r="D226" s="226">
        <v>3260</v>
      </c>
      <c r="E226" s="226">
        <v>3260</v>
      </c>
      <c r="F226" s="226">
        <v>3279</v>
      </c>
      <c r="G226" s="226">
        <v>3304</v>
      </c>
      <c r="H226" s="226">
        <v>3317</v>
      </c>
      <c r="I226">
        <v>3369</v>
      </c>
      <c r="J226">
        <v>3403</v>
      </c>
      <c r="K226">
        <v>3435</v>
      </c>
      <c r="L226" s="1689"/>
    </row>
    <row r="227" spans="1:12">
      <c r="A227" s="226" t="s">
        <v>2444</v>
      </c>
      <c r="B227" s="226">
        <v>91120</v>
      </c>
      <c r="C227" s="226">
        <v>2831</v>
      </c>
      <c r="D227" s="226">
        <v>3074</v>
      </c>
      <c r="E227" s="226">
        <v>3074</v>
      </c>
      <c r="F227" s="226">
        <v>3111</v>
      </c>
      <c r="G227" s="226">
        <v>3139</v>
      </c>
      <c r="H227" s="226">
        <v>3250</v>
      </c>
      <c r="I227">
        <v>3268</v>
      </c>
      <c r="J227">
        <v>3294</v>
      </c>
      <c r="K227">
        <v>3333</v>
      </c>
      <c r="L227" s="1689"/>
    </row>
    <row r="228" spans="1:12">
      <c r="A228" s="226" t="s">
        <v>2445</v>
      </c>
      <c r="B228" s="226">
        <v>62099</v>
      </c>
      <c r="C228" s="226">
        <v>6095</v>
      </c>
      <c r="D228" s="226">
        <v>6892</v>
      </c>
      <c r="E228" s="226">
        <v>6892</v>
      </c>
      <c r="F228" s="226">
        <v>6971</v>
      </c>
      <c r="G228" s="226">
        <v>7046</v>
      </c>
      <c r="H228" s="226">
        <v>7127</v>
      </c>
      <c r="I228">
        <v>7231</v>
      </c>
      <c r="J228">
        <v>7346</v>
      </c>
      <c r="K228">
        <v>7421</v>
      </c>
      <c r="L228" s="1689"/>
    </row>
    <row r="229" spans="1:12">
      <c r="A229" s="226" t="s">
        <v>2446</v>
      </c>
      <c r="B229" s="226">
        <v>63072</v>
      </c>
      <c r="C229" s="226">
        <v>5046</v>
      </c>
      <c r="D229" s="226">
        <v>5416</v>
      </c>
      <c r="E229" s="226">
        <v>5416</v>
      </c>
      <c r="F229" s="226">
        <v>5426</v>
      </c>
      <c r="G229" s="226">
        <v>5476</v>
      </c>
      <c r="H229" s="226">
        <v>5560</v>
      </c>
      <c r="I229">
        <v>5582</v>
      </c>
      <c r="J229">
        <v>5596</v>
      </c>
      <c r="K229">
        <v>5615</v>
      </c>
      <c r="L229" s="1689"/>
    </row>
    <row r="230" spans="1:12">
      <c r="A230" s="226" t="s">
        <v>2447</v>
      </c>
      <c r="B230" s="226">
        <v>62100</v>
      </c>
      <c r="C230" s="226">
        <v>5149</v>
      </c>
      <c r="D230" s="226">
        <v>6129</v>
      </c>
      <c r="E230" s="226">
        <v>6129</v>
      </c>
      <c r="F230" s="226">
        <v>6211</v>
      </c>
      <c r="G230" s="226">
        <v>6242</v>
      </c>
      <c r="H230" s="226">
        <v>6347</v>
      </c>
      <c r="I230">
        <v>6439</v>
      </c>
      <c r="J230">
        <v>6511</v>
      </c>
      <c r="K230">
        <v>6694</v>
      </c>
      <c r="L230" s="1689"/>
    </row>
    <row r="231" spans="1:12">
      <c r="A231" s="226" t="s">
        <v>2448</v>
      </c>
      <c r="B231" s="226">
        <v>63073</v>
      </c>
      <c r="C231" s="226">
        <v>3362</v>
      </c>
      <c r="D231" s="226">
        <v>3676</v>
      </c>
      <c r="E231" s="226">
        <v>3676</v>
      </c>
      <c r="F231" s="226">
        <v>3724</v>
      </c>
      <c r="G231" s="226">
        <v>3710</v>
      </c>
      <c r="H231" s="226">
        <v>3736</v>
      </c>
      <c r="I231">
        <v>3777</v>
      </c>
      <c r="J231">
        <v>3809</v>
      </c>
      <c r="K231">
        <v>3861</v>
      </c>
      <c r="L231" s="1689"/>
    </row>
    <row r="232" spans="1:12">
      <c r="A232" s="226" t="s">
        <v>2449</v>
      </c>
      <c r="B232" s="226">
        <v>63075</v>
      </c>
      <c r="C232" s="226">
        <v>1710</v>
      </c>
      <c r="D232" s="226">
        <v>1859</v>
      </c>
      <c r="E232" s="226">
        <v>1859</v>
      </c>
      <c r="F232" s="226">
        <v>1877</v>
      </c>
      <c r="G232" s="226">
        <v>1897</v>
      </c>
      <c r="H232" s="226">
        <v>1907</v>
      </c>
      <c r="I232">
        <v>1928</v>
      </c>
      <c r="J232">
        <v>1943</v>
      </c>
      <c r="K232">
        <v>1973</v>
      </c>
      <c r="L232" s="1689"/>
    </row>
    <row r="233" spans="1:12">
      <c r="A233" s="226" t="s">
        <v>2450</v>
      </c>
      <c r="B233" s="226">
        <v>84068</v>
      </c>
      <c r="C233" s="226">
        <v>1250</v>
      </c>
      <c r="D233" s="226">
        <v>1347</v>
      </c>
      <c r="E233" s="226">
        <v>1347</v>
      </c>
      <c r="F233" s="226">
        <v>1353</v>
      </c>
      <c r="G233" s="226">
        <v>1360</v>
      </c>
      <c r="H233" s="226">
        <v>1364</v>
      </c>
      <c r="I233">
        <v>1378</v>
      </c>
      <c r="J233">
        <v>1391</v>
      </c>
      <c r="K233">
        <v>1402</v>
      </c>
      <c r="L233" s="1689"/>
    </row>
    <row r="234" spans="1:12">
      <c r="A234" s="226" t="s">
        <v>2451</v>
      </c>
      <c r="B234" s="226">
        <v>83049</v>
      </c>
      <c r="C234" s="226">
        <v>1184</v>
      </c>
      <c r="D234" s="226">
        <v>1353</v>
      </c>
      <c r="E234" s="226">
        <v>1353</v>
      </c>
      <c r="F234" s="226">
        <v>1399</v>
      </c>
      <c r="G234" s="226">
        <v>1421</v>
      </c>
      <c r="H234" s="226">
        <v>1441</v>
      </c>
      <c r="I234">
        <v>1458</v>
      </c>
      <c r="J234">
        <v>1470</v>
      </c>
      <c r="K234">
        <v>1486</v>
      </c>
      <c r="L234" s="1689"/>
    </row>
    <row r="235" spans="1:12">
      <c r="A235" s="226" t="s">
        <v>2452</v>
      </c>
      <c r="B235" s="226">
        <v>63076</v>
      </c>
      <c r="C235" s="226">
        <v>4561</v>
      </c>
      <c r="D235" s="226">
        <v>5156</v>
      </c>
      <c r="E235" s="226">
        <v>5156</v>
      </c>
      <c r="F235" s="226">
        <v>5199</v>
      </c>
      <c r="G235" s="226">
        <v>5256</v>
      </c>
      <c r="H235" s="226">
        <v>5302</v>
      </c>
      <c r="I235">
        <v>5344</v>
      </c>
      <c r="J235">
        <v>5397</v>
      </c>
      <c r="K235">
        <v>5466</v>
      </c>
      <c r="L235" s="1689"/>
    </row>
    <row r="236" spans="1:12">
      <c r="A236" s="226" t="s">
        <v>2453</v>
      </c>
      <c r="B236" s="226">
        <v>63089</v>
      </c>
      <c r="C236" s="226">
        <v>1816</v>
      </c>
      <c r="D236" s="226">
        <v>2144</v>
      </c>
      <c r="E236" s="226">
        <v>2144</v>
      </c>
      <c r="F236" s="226">
        <v>2179</v>
      </c>
      <c r="G236" s="226">
        <v>2209</v>
      </c>
      <c r="H236" s="226">
        <v>2227</v>
      </c>
      <c r="I236">
        <v>2259</v>
      </c>
      <c r="J236">
        <v>2283</v>
      </c>
      <c r="K236">
        <v>2305</v>
      </c>
      <c r="L236" s="1689"/>
    </row>
    <row r="237" spans="1:12">
      <c r="A237" s="226" t="s">
        <v>2454</v>
      </c>
      <c r="B237" s="226">
        <v>56078</v>
      </c>
      <c r="C237" s="226">
        <v>6402</v>
      </c>
      <c r="D237" s="226">
        <v>6836</v>
      </c>
      <c r="E237" s="226">
        <v>6836</v>
      </c>
      <c r="F237" s="226">
        <v>6874</v>
      </c>
      <c r="G237" s="226">
        <v>6970</v>
      </c>
      <c r="H237" s="226">
        <v>7037</v>
      </c>
      <c r="I237">
        <v>7081</v>
      </c>
      <c r="J237">
        <v>7143</v>
      </c>
      <c r="K237">
        <v>7202</v>
      </c>
      <c r="L237" s="1689"/>
    </row>
    <row r="238" spans="1:12">
      <c r="A238" s="226" t="s">
        <v>2455</v>
      </c>
      <c r="B238" s="226">
        <v>61081</v>
      </c>
      <c r="C238" s="226">
        <v>887</v>
      </c>
      <c r="D238" s="226">
        <v>1023</v>
      </c>
      <c r="E238" s="226">
        <v>1023</v>
      </c>
      <c r="F238" s="226">
        <v>1031</v>
      </c>
      <c r="G238" s="226">
        <v>1043</v>
      </c>
      <c r="H238" s="226">
        <v>1053</v>
      </c>
      <c r="I238">
        <v>1064</v>
      </c>
      <c r="J238">
        <v>1086</v>
      </c>
      <c r="K238">
        <v>1123</v>
      </c>
      <c r="L238" s="1689"/>
    </row>
    <row r="239" spans="1:12">
      <c r="A239" s="226" t="s">
        <v>2456</v>
      </c>
      <c r="B239" s="226">
        <v>85039</v>
      </c>
      <c r="C239" s="226">
        <v>1513</v>
      </c>
      <c r="D239" s="226">
        <v>1730</v>
      </c>
      <c r="E239" s="226">
        <v>1730</v>
      </c>
      <c r="F239" s="226">
        <v>1771</v>
      </c>
      <c r="G239" s="226">
        <v>1787</v>
      </c>
      <c r="H239" s="226">
        <v>1805</v>
      </c>
      <c r="I239">
        <v>1823</v>
      </c>
      <c r="J239">
        <v>1850</v>
      </c>
      <c r="K239">
        <v>1865</v>
      </c>
      <c r="L239" s="1689"/>
    </row>
    <row r="240" spans="1:12">
      <c r="A240" s="226" t="s">
        <v>2457</v>
      </c>
      <c r="B240" s="226">
        <v>57081</v>
      </c>
      <c r="C240" s="226">
        <v>30665</v>
      </c>
      <c r="D240" s="226">
        <v>35661</v>
      </c>
      <c r="E240" s="226">
        <v>35661</v>
      </c>
      <c r="F240" s="226">
        <v>35913</v>
      </c>
      <c r="G240" s="226">
        <v>36037</v>
      </c>
      <c r="H240" s="226">
        <v>36157</v>
      </c>
      <c r="I240">
        <v>36563</v>
      </c>
      <c r="J240">
        <v>36869</v>
      </c>
      <c r="K240">
        <v>37065</v>
      </c>
      <c r="L240" s="1689"/>
    </row>
    <row r="241" spans="1:12">
      <c r="A241" s="226" t="s">
        <v>2458</v>
      </c>
      <c r="B241" s="226">
        <v>63086</v>
      </c>
      <c r="C241" s="226">
        <v>1554</v>
      </c>
      <c r="D241" s="226">
        <v>1596</v>
      </c>
      <c r="E241" s="226">
        <v>1596</v>
      </c>
      <c r="F241" s="226">
        <v>1609</v>
      </c>
      <c r="G241" s="226">
        <v>1621</v>
      </c>
      <c r="H241" s="226">
        <v>1634</v>
      </c>
      <c r="I241">
        <v>1670</v>
      </c>
      <c r="J241">
        <v>1679</v>
      </c>
      <c r="K241">
        <v>1693</v>
      </c>
      <c r="L241" s="1689"/>
    </row>
    <row r="242" spans="1:12">
      <c r="A242" s="226" t="s">
        <v>2459</v>
      </c>
      <c r="B242" s="226">
        <v>62122</v>
      </c>
      <c r="C242" s="226">
        <v>3361</v>
      </c>
      <c r="D242" s="226">
        <v>3693</v>
      </c>
      <c r="E242" s="226">
        <v>3693</v>
      </c>
      <c r="F242" s="226">
        <v>3736</v>
      </c>
      <c r="G242" s="226">
        <v>3734</v>
      </c>
      <c r="H242" s="226">
        <v>3771</v>
      </c>
      <c r="I242">
        <v>3809</v>
      </c>
      <c r="J242">
        <v>3841</v>
      </c>
      <c r="K242">
        <v>3879</v>
      </c>
      <c r="L242" s="1689"/>
    </row>
    <row r="243" spans="1:12">
      <c r="A243" s="226" t="s">
        <v>2460</v>
      </c>
      <c r="B243" s="226">
        <v>25105</v>
      </c>
      <c r="C243" s="226">
        <v>9400</v>
      </c>
      <c r="D243" s="226">
        <v>10537</v>
      </c>
      <c r="E243" s="226">
        <v>10537</v>
      </c>
      <c r="F243" s="226">
        <v>10641</v>
      </c>
      <c r="G243" s="226">
        <v>10914</v>
      </c>
      <c r="H243" s="226">
        <v>10854</v>
      </c>
      <c r="I243">
        <v>10941</v>
      </c>
      <c r="J243">
        <v>11186</v>
      </c>
      <c r="K243">
        <v>11519</v>
      </c>
      <c r="L243" s="1689"/>
    </row>
    <row r="244" spans="1:12">
      <c r="A244" s="226" t="s">
        <v>2461</v>
      </c>
      <c r="B244" s="226">
        <v>82036</v>
      </c>
      <c r="C244" s="226">
        <v>1756</v>
      </c>
      <c r="D244" s="226">
        <v>2172</v>
      </c>
      <c r="E244" s="226">
        <v>2172</v>
      </c>
      <c r="F244" s="226">
        <v>2206</v>
      </c>
      <c r="G244" s="226">
        <v>2238</v>
      </c>
      <c r="H244" s="226">
        <v>2265</v>
      </c>
      <c r="I244">
        <v>2296</v>
      </c>
      <c r="J244">
        <v>2357</v>
      </c>
      <c r="K244">
        <v>2418</v>
      </c>
      <c r="L244" s="1689"/>
    </row>
    <row r="245" spans="1:12">
      <c r="A245" s="226" t="s">
        <v>2462</v>
      </c>
      <c r="B245" s="226">
        <v>61063</v>
      </c>
      <c r="C245" s="226">
        <v>1291</v>
      </c>
      <c r="D245" s="226">
        <v>1586</v>
      </c>
      <c r="E245" s="226">
        <v>1586</v>
      </c>
      <c r="F245" s="226">
        <v>1603</v>
      </c>
      <c r="G245" s="226">
        <v>1627</v>
      </c>
      <c r="H245" s="226">
        <v>1646</v>
      </c>
      <c r="I245">
        <v>1682</v>
      </c>
      <c r="J245">
        <v>1715</v>
      </c>
      <c r="K245">
        <v>1729</v>
      </c>
      <c r="L245" s="1689"/>
    </row>
    <row r="246" spans="1:12">
      <c r="A246" s="226" t="s">
        <v>2463</v>
      </c>
      <c r="B246" s="226">
        <v>63079</v>
      </c>
      <c r="C246" s="226">
        <v>25158</v>
      </c>
      <c r="D246" s="226">
        <v>26437</v>
      </c>
      <c r="E246" s="226">
        <v>26437</v>
      </c>
      <c r="F246" s="226">
        <v>26488</v>
      </c>
      <c r="G246" s="226">
        <v>26571</v>
      </c>
      <c r="H246" s="226">
        <v>26635</v>
      </c>
      <c r="I246">
        <v>26782</v>
      </c>
      <c r="J246">
        <v>26866</v>
      </c>
      <c r="K246">
        <v>26987</v>
      </c>
      <c r="L246" s="1689"/>
    </row>
    <row r="247" spans="1:12">
      <c r="A247" s="226" t="s">
        <v>2464</v>
      </c>
      <c r="B247" s="226">
        <v>82032</v>
      </c>
      <c r="C247" s="226">
        <v>3991</v>
      </c>
      <c r="D247" s="226">
        <v>4439</v>
      </c>
      <c r="E247" s="226">
        <v>4439</v>
      </c>
      <c r="F247" s="226">
        <v>4507</v>
      </c>
      <c r="G247" s="226">
        <v>4528</v>
      </c>
      <c r="H247" s="226">
        <v>4601</v>
      </c>
      <c r="I247">
        <v>4640</v>
      </c>
      <c r="J247">
        <v>4653</v>
      </c>
      <c r="K247">
        <v>4685</v>
      </c>
      <c r="L247" s="1689"/>
    </row>
    <row r="248" spans="1:12">
      <c r="A248" s="226" t="s">
        <v>2465</v>
      </c>
      <c r="B248" s="226">
        <v>25107</v>
      </c>
      <c r="C248" s="226">
        <v>3647</v>
      </c>
      <c r="D248" s="226">
        <v>4183</v>
      </c>
      <c r="E248" s="226">
        <v>4183</v>
      </c>
      <c r="F248" s="226">
        <v>4223</v>
      </c>
      <c r="G248" s="226">
        <v>4258</v>
      </c>
      <c r="H248" s="226">
        <v>4306</v>
      </c>
      <c r="I248">
        <v>4318</v>
      </c>
      <c r="J248">
        <v>4366</v>
      </c>
      <c r="K248">
        <v>4419</v>
      </c>
      <c r="L248" s="1689"/>
    </row>
    <row r="249" spans="1:12">
      <c r="A249" s="226" t="s">
        <v>2466</v>
      </c>
      <c r="B249" s="226">
        <v>61068</v>
      </c>
      <c r="C249" s="226">
        <v>2300</v>
      </c>
      <c r="D249" s="226">
        <v>2588</v>
      </c>
      <c r="E249" s="226">
        <v>2588</v>
      </c>
      <c r="F249" s="226">
        <v>2630</v>
      </c>
      <c r="G249" s="226">
        <v>2649</v>
      </c>
      <c r="H249" s="226">
        <v>2671</v>
      </c>
      <c r="I249">
        <v>2697</v>
      </c>
      <c r="J249">
        <v>2730</v>
      </c>
      <c r="K249">
        <v>2790</v>
      </c>
      <c r="L249" s="1689"/>
    </row>
    <row r="250" spans="1:12">
      <c r="A250" s="226" t="s">
        <v>2467</v>
      </c>
      <c r="B250" s="226">
        <v>93090</v>
      </c>
      <c r="C250" s="226">
        <v>3675</v>
      </c>
      <c r="D250" s="226">
        <v>3750</v>
      </c>
      <c r="E250" s="226">
        <v>3750</v>
      </c>
      <c r="F250" s="226">
        <v>3768</v>
      </c>
      <c r="G250" s="226">
        <v>3792</v>
      </c>
      <c r="H250" s="226">
        <v>3815</v>
      </c>
      <c r="I250">
        <v>3816</v>
      </c>
      <c r="J250">
        <v>3832</v>
      </c>
      <c r="K250">
        <v>3868</v>
      </c>
      <c r="L250" s="1689"/>
    </row>
    <row r="251" spans="1:12">
      <c r="A251" s="226" t="s">
        <v>2468</v>
      </c>
      <c r="B251" s="226">
        <v>85045</v>
      </c>
      <c r="C251" s="226">
        <v>5047</v>
      </c>
      <c r="D251" s="226">
        <v>5506</v>
      </c>
      <c r="E251" s="226">
        <v>5506</v>
      </c>
      <c r="F251" s="226">
        <v>5541</v>
      </c>
      <c r="G251" s="226">
        <v>5555</v>
      </c>
      <c r="H251" s="226">
        <v>5602</v>
      </c>
      <c r="I251">
        <v>5626</v>
      </c>
      <c r="J251">
        <v>5660</v>
      </c>
      <c r="K251">
        <v>5676</v>
      </c>
      <c r="L251" s="1689"/>
    </row>
    <row r="252" spans="1:12">
      <c r="A252" s="226" t="s">
        <v>2469</v>
      </c>
      <c r="B252" s="226">
        <v>62108</v>
      </c>
      <c r="C252" s="226">
        <v>7108</v>
      </c>
      <c r="D252" s="226">
        <v>7812</v>
      </c>
      <c r="E252" s="226">
        <v>7812</v>
      </c>
      <c r="F252" s="226">
        <v>7902</v>
      </c>
      <c r="G252" s="226">
        <v>7983</v>
      </c>
      <c r="H252" s="226">
        <v>8061</v>
      </c>
      <c r="I252">
        <v>8090</v>
      </c>
      <c r="J252">
        <v>8150</v>
      </c>
      <c r="K252">
        <v>8223</v>
      </c>
      <c r="L252" s="1689"/>
    </row>
    <row r="253" spans="1:12">
      <c r="A253" s="226" t="s">
        <v>2470</v>
      </c>
      <c r="B253" s="226">
        <v>91143</v>
      </c>
      <c r="C253" s="226">
        <v>2515</v>
      </c>
      <c r="D253" s="226">
        <v>2527</v>
      </c>
      <c r="E253" s="226">
        <v>2527</v>
      </c>
      <c r="F253" s="226">
        <v>2537</v>
      </c>
      <c r="G253" s="226">
        <v>2601</v>
      </c>
      <c r="H253" s="226">
        <v>2607</v>
      </c>
      <c r="I253">
        <v>2621</v>
      </c>
      <c r="J253">
        <v>2635</v>
      </c>
      <c r="K253">
        <v>2646</v>
      </c>
      <c r="L253" s="1689"/>
    </row>
    <row r="254" spans="1:12">
      <c r="A254" s="226" t="s">
        <v>2471</v>
      </c>
      <c r="B254" s="226">
        <v>63080</v>
      </c>
      <c r="C254" s="226">
        <v>2949</v>
      </c>
      <c r="D254" s="226">
        <v>3413</v>
      </c>
      <c r="E254" s="226">
        <v>3413</v>
      </c>
      <c r="F254" s="226">
        <v>3463</v>
      </c>
      <c r="G254" s="226">
        <v>3509</v>
      </c>
      <c r="H254" s="226">
        <v>3564</v>
      </c>
      <c r="I254">
        <v>3599</v>
      </c>
      <c r="J254">
        <v>3643</v>
      </c>
      <c r="K254">
        <v>3691</v>
      </c>
      <c r="L254" s="1689"/>
    </row>
    <row r="255" spans="1:12">
      <c r="A255" s="226" t="s">
        <v>2472</v>
      </c>
      <c r="B255" s="226">
        <v>93088</v>
      </c>
      <c r="C255" s="226">
        <v>7320</v>
      </c>
      <c r="D255" s="226">
        <v>7982</v>
      </c>
      <c r="E255" s="226">
        <v>7982</v>
      </c>
      <c r="F255" s="226">
        <v>8051</v>
      </c>
      <c r="G255" s="226">
        <v>8096</v>
      </c>
      <c r="H255" s="226">
        <v>8179</v>
      </c>
      <c r="I255">
        <v>8257</v>
      </c>
      <c r="J255">
        <v>8350</v>
      </c>
      <c r="K255">
        <v>8422</v>
      </c>
      <c r="L255" s="1689"/>
    </row>
    <row r="256" spans="1:12">
      <c r="A256" s="226" t="s">
        <v>2473</v>
      </c>
      <c r="B256" s="226">
        <v>25124</v>
      </c>
      <c r="C256" s="226">
        <v>2210</v>
      </c>
      <c r="D256" s="226">
        <v>2585</v>
      </c>
      <c r="E256" s="226">
        <v>2585</v>
      </c>
      <c r="F256" s="226">
        <v>2656</v>
      </c>
      <c r="G256" s="226">
        <v>2693</v>
      </c>
      <c r="H256" s="226">
        <v>2742</v>
      </c>
      <c r="I256">
        <v>2793</v>
      </c>
      <c r="J256">
        <v>2802</v>
      </c>
      <c r="K256">
        <v>2846</v>
      </c>
      <c r="L256" s="1689"/>
    </row>
    <row r="257" spans="1:12">
      <c r="A257" s="226" t="s">
        <v>2474</v>
      </c>
      <c r="B257" s="226">
        <v>61072</v>
      </c>
      <c r="C257" s="226">
        <v>5270</v>
      </c>
      <c r="D257" s="226">
        <v>5805</v>
      </c>
      <c r="E257" s="226">
        <v>5805</v>
      </c>
      <c r="F257" s="226">
        <v>5917</v>
      </c>
      <c r="G257" s="226">
        <v>5929</v>
      </c>
      <c r="H257" s="226">
        <v>5981</v>
      </c>
      <c r="I257">
        <v>6038</v>
      </c>
      <c r="J257">
        <v>6118</v>
      </c>
      <c r="K257">
        <v>6213</v>
      </c>
      <c r="L257" s="1689"/>
    </row>
    <row r="258" spans="1:12">
      <c r="A258" s="226" t="s">
        <v>2475</v>
      </c>
      <c r="B258" s="226">
        <v>64074</v>
      </c>
      <c r="C258" s="226">
        <v>6159</v>
      </c>
      <c r="D258" s="226">
        <v>6915</v>
      </c>
      <c r="E258" s="226">
        <v>6915</v>
      </c>
      <c r="F258" s="226">
        <v>7028</v>
      </c>
      <c r="G258" s="226">
        <v>7072</v>
      </c>
      <c r="H258" s="226">
        <v>7121</v>
      </c>
      <c r="I258">
        <v>7218</v>
      </c>
      <c r="J258">
        <v>7337</v>
      </c>
      <c r="K258">
        <v>7395</v>
      </c>
      <c r="L258" s="1689"/>
    </row>
    <row r="259" spans="1:12">
      <c r="A259" s="226" t="s">
        <v>2476</v>
      </c>
      <c r="B259" s="226">
        <v>64075</v>
      </c>
      <c r="C259" s="226">
        <v>1005</v>
      </c>
      <c r="D259" s="226">
        <v>1135</v>
      </c>
      <c r="E259" s="226">
        <v>1135</v>
      </c>
      <c r="F259" s="226">
        <v>1160</v>
      </c>
      <c r="G259" s="226">
        <v>1170</v>
      </c>
      <c r="H259" s="226">
        <v>1189</v>
      </c>
      <c r="I259">
        <v>1203</v>
      </c>
      <c r="J259">
        <v>1219</v>
      </c>
      <c r="K259">
        <v>1237</v>
      </c>
      <c r="L259" s="1689"/>
    </row>
    <row r="260" spans="1:12">
      <c r="A260" s="226" t="s">
        <v>2477</v>
      </c>
      <c r="B260" s="226">
        <v>25110</v>
      </c>
      <c r="C260" s="226">
        <v>11830</v>
      </c>
      <c r="D260" s="226">
        <v>12550</v>
      </c>
      <c r="E260" s="226">
        <v>12550</v>
      </c>
      <c r="F260" s="226">
        <v>12685</v>
      </c>
      <c r="G260" s="226">
        <v>12739</v>
      </c>
      <c r="H260" s="226">
        <v>12862</v>
      </c>
      <c r="I260">
        <v>13048</v>
      </c>
      <c r="J260">
        <v>13249</v>
      </c>
      <c r="K260">
        <v>13359</v>
      </c>
      <c r="L260" s="1689"/>
    </row>
    <row r="261" spans="1:12">
      <c r="A261" s="226" t="s">
        <v>2478</v>
      </c>
      <c r="B261" s="226">
        <v>25112</v>
      </c>
      <c r="C261" s="226">
        <v>13739</v>
      </c>
      <c r="D261" s="226">
        <v>14898</v>
      </c>
      <c r="E261" s="226">
        <v>14898</v>
      </c>
      <c r="F261" s="226">
        <v>14979</v>
      </c>
      <c r="G261" s="226">
        <v>15058</v>
      </c>
      <c r="H261" s="226">
        <v>15220</v>
      </c>
      <c r="I261">
        <v>15362</v>
      </c>
      <c r="J261">
        <v>15540</v>
      </c>
      <c r="K261">
        <v>15615</v>
      </c>
      <c r="L261" s="1689"/>
    </row>
    <row r="262" spans="1:12">
      <c r="A262" s="226" t="s">
        <v>2479</v>
      </c>
      <c r="B262" s="226">
        <v>63084</v>
      </c>
      <c r="C262" s="226">
        <v>3585</v>
      </c>
      <c r="D262" s="226">
        <v>4103</v>
      </c>
      <c r="E262" s="226">
        <v>4103</v>
      </c>
      <c r="F262" s="226">
        <v>4156</v>
      </c>
      <c r="G262" s="226">
        <v>4197</v>
      </c>
      <c r="H262" s="226">
        <v>4242</v>
      </c>
      <c r="I262">
        <v>4357</v>
      </c>
      <c r="J262">
        <v>4490</v>
      </c>
      <c r="K262">
        <v>4540</v>
      </c>
      <c r="L262" s="1689"/>
    </row>
    <row r="263" spans="1:12">
      <c r="A263" s="226" t="s">
        <v>2480</v>
      </c>
      <c r="B263" s="226">
        <v>84075</v>
      </c>
      <c r="C263" s="226">
        <v>1292</v>
      </c>
      <c r="D263" s="226">
        <v>1435</v>
      </c>
      <c r="E263" s="226">
        <v>1435</v>
      </c>
      <c r="F263" s="226">
        <v>1440</v>
      </c>
      <c r="G263" s="226">
        <v>1449</v>
      </c>
      <c r="H263" s="226">
        <v>1468</v>
      </c>
      <c r="I263">
        <v>1493</v>
      </c>
      <c r="J263">
        <v>1521</v>
      </c>
      <c r="K263">
        <v>1540</v>
      </c>
      <c r="L263" s="1689"/>
    </row>
    <row r="264" spans="1:12">
      <c r="A264" s="226" t="s">
        <v>2481</v>
      </c>
      <c r="B264" s="226">
        <v>91141</v>
      </c>
      <c r="C264" s="226">
        <v>3753</v>
      </c>
      <c r="D264" s="226">
        <v>4122</v>
      </c>
      <c r="E264" s="226">
        <v>4122</v>
      </c>
      <c r="F264" s="226">
        <v>4150</v>
      </c>
      <c r="G264" s="226">
        <v>4178</v>
      </c>
      <c r="H264" s="226">
        <v>4225</v>
      </c>
      <c r="I264">
        <v>4261</v>
      </c>
      <c r="J264">
        <v>4307</v>
      </c>
      <c r="K264">
        <v>4337</v>
      </c>
      <c r="L264" s="1689"/>
    </row>
    <row r="265" spans="1:12">
      <c r="L265" s="1689"/>
    </row>
  </sheetData>
  <sheetProtection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DE1E-8A98-4E26-90D4-C5FE3A97B3A3}">
  <sheetPr codeName="Feuil23">
    <tabColor rgb="FFFFC000"/>
  </sheetPr>
  <dimension ref="A1:F3855"/>
  <sheetViews>
    <sheetView workbookViewId="0">
      <pane ySplit="1" topLeftCell="A109" activePane="bottomLeft" state="frozen"/>
      <selection pane="bottomLeft" activeCell="G132" sqref="G132"/>
    </sheetView>
  </sheetViews>
  <sheetFormatPr baseColWidth="10" defaultRowHeight="14.4"/>
  <cols>
    <col min="1" max="1" width="27.44140625" bestFit="1" customWidth="1"/>
    <col min="2" max="2" width="19" bestFit="1" customWidth="1"/>
    <col min="3" max="3" width="33.109375" bestFit="1" customWidth="1"/>
    <col min="5" max="5" width="15.77734375" bestFit="1" customWidth="1"/>
    <col min="6" max="6" width="11.5546875" style="898"/>
  </cols>
  <sheetData>
    <row r="1" spans="1:6" s="77" customFormat="1">
      <c r="A1" s="77" t="s">
        <v>2160</v>
      </c>
      <c r="B1" s="77" t="s">
        <v>2167</v>
      </c>
      <c r="C1" s="77" t="s">
        <v>2161</v>
      </c>
      <c r="D1" s="77" t="s">
        <v>2162</v>
      </c>
      <c r="E1" s="77" t="s">
        <v>2169</v>
      </c>
      <c r="F1" s="1758" t="s">
        <v>2163</v>
      </c>
    </row>
    <row r="2" spans="1:6">
      <c r="A2" t="s">
        <v>2164</v>
      </c>
      <c r="B2" t="s">
        <v>3</v>
      </c>
      <c r="F2" s="898">
        <f>Accueil!E27</f>
        <v>0</v>
      </c>
    </row>
    <row r="3" spans="1:6">
      <c r="A3" t="s">
        <v>2164</v>
      </c>
      <c r="B3" t="s">
        <v>5</v>
      </c>
      <c r="F3" s="898">
        <f>Accueil!E29</f>
        <v>0</v>
      </c>
    </row>
    <row r="4" spans="1:6">
      <c r="A4" t="s">
        <v>2164</v>
      </c>
      <c r="B4" t="s">
        <v>6</v>
      </c>
      <c r="F4" s="898">
        <f>Accueil!E30</f>
        <v>0</v>
      </c>
    </row>
    <row r="5" spans="1:6">
      <c r="A5" t="s">
        <v>2164</v>
      </c>
      <c r="B5" t="s">
        <v>8</v>
      </c>
      <c r="F5" s="898">
        <f>Accueil!E31</f>
        <v>0</v>
      </c>
    </row>
    <row r="6" spans="1:6">
      <c r="A6" t="s">
        <v>3118</v>
      </c>
      <c r="B6" t="s">
        <v>1259</v>
      </c>
      <c r="C6" t="s">
        <v>104</v>
      </c>
      <c r="D6">
        <v>2006</v>
      </c>
      <c r="F6" s="898">
        <f>'Données territoriales'!K6</f>
        <v>0</v>
      </c>
    </row>
    <row r="7" spans="1:6">
      <c r="A7" t="s">
        <v>3118</v>
      </c>
      <c r="B7" t="s">
        <v>1259</v>
      </c>
      <c r="C7" t="s">
        <v>105</v>
      </c>
      <c r="D7">
        <v>2006</v>
      </c>
      <c r="F7" s="898">
        <f>'Données territoriales'!K7</f>
        <v>0</v>
      </c>
    </row>
    <row r="8" spans="1:6">
      <c r="A8" t="s">
        <v>3118</v>
      </c>
      <c r="B8" t="s">
        <v>1259</v>
      </c>
      <c r="C8" t="s">
        <v>106</v>
      </c>
      <c r="D8">
        <v>2006</v>
      </c>
      <c r="F8" s="898">
        <f>'Données territoriales'!K8</f>
        <v>0</v>
      </c>
    </row>
    <row r="9" spans="1:6">
      <c r="A9" t="s">
        <v>3118</v>
      </c>
      <c r="B9" t="s">
        <v>1259</v>
      </c>
      <c r="C9" t="s">
        <v>104</v>
      </c>
      <c r="D9">
        <v>2010</v>
      </c>
      <c r="F9" s="898">
        <f>'Données territoriales'!L6</f>
        <v>0</v>
      </c>
    </row>
    <row r="10" spans="1:6">
      <c r="A10" t="s">
        <v>3118</v>
      </c>
      <c r="B10" t="s">
        <v>1259</v>
      </c>
      <c r="C10" t="s">
        <v>105</v>
      </c>
      <c r="D10">
        <v>2010</v>
      </c>
      <c r="F10" s="898">
        <f>'Données territoriales'!L7</f>
        <v>0</v>
      </c>
    </row>
    <row r="11" spans="1:6">
      <c r="A11" t="s">
        <v>3118</v>
      </c>
      <c r="B11" t="s">
        <v>1259</v>
      </c>
      <c r="C11" t="s">
        <v>106</v>
      </c>
      <c r="D11">
        <v>2010</v>
      </c>
      <c r="F11" s="898">
        <f>'Données territoriales'!L8</f>
        <v>0</v>
      </c>
    </row>
    <row r="12" spans="1:6">
      <c r="A12" t="s">
        <v>3118</v>
      </c>
      <c r="B12" t="s">
        <v>1259</v>
      </c>
      <c r="C12" t="s">
        <v>104</v>
      </c>
      <c r="D12">
        <v>2011</v>
      </c>
      <c r="F12" s="898">
        <f>'Données territoriales'!M6</f>
        <v>0</v>
      </c>
    </row>
    <row r="13" spans="1:6">
      <c r="A13" t="s">
        <v>3118</v>
      </c>
      <c r="B13" t="s">
        <v>1259</v>
      </c>
      <c r="C13" t="s">
        <v>105</v>
      </c>
      <c r="D13">
        <v>2011</v>
      </c>
      <c r="F13" s="898">
        <f>'Données territoriales'!M7</f>
        <v>0</v>
      </c>
    </row>
    <row r="14" spans="1:6">
      <c r="A14" t="s">
        <v>3118</v>
      </c>
      <c r="B14" t="s">
        <v>1259</v>
      </c>
      <c r="C14" t="s">
        <v>106</v>
      </c>
      <c r="D14">
        <v>2011</v>
      </c>
      <c r="F14" s="898">
        <f>'Données territoriales'!M8</f>
        <v>0</v>
      </c>
    </row>
    <row r="15" spans="1:6">
      <c r="A15" t="s">
        <v>3118</v>
      </c>
      <c r="B15" t="s">
        <v>1259</v>
      </c>
      <c r="C15" t="s">
        <v>104</v>
      </c>
      <c r="D15">
        <v>2012</v>
      </c>
      <c r="F15" s="898">
        <f>'Données territoriales'!N6</f>
        <v>0</v>
      </c>
    </row>
    <row r="16" spans="1:6">
      <c r="A16" t="s">
        <v>3118</v>
      </c>
      <c r="B16" t="s">
        <v>1259</v>
      </c>
      <c r="C16" t="s">
        <v>105</v>
      </c>
      <c r="D16">
        <v>2012</v>
      </c>
      <c r="F16" s="898">
        <f>'Données territoriales'!N7</f>
        <v>0</v>
      </c>
    </row>
    <row r="17" spans="1:6">
      <c r="A17" t="s">
        <v>3118</v>
      </c>
      <c r="B17" t="s">
        <v>1259</v>
      </c>
      <c r="C17" t="s">
        <v>106</v>
      </c>
      <c r="D17">
        <v>2012</v>
      </c>
      <c r="F17" s="898">
        <f>'Données territoriales'!N8</f>
        <v>0</v>
      </c>
    </row>
    <row r="18" spans="1:6">
      <c r="A18" t="s">
        <v>3118</v>
      </c>
      <c r="B18" t="s">
        <v>1259</v>
      </c>
      <c r="C18" t="s">
        <v>104</v>
      </c>
      <c r="D18">
        <v>2013</v>
      </c>
      <c r="F18" s="898">
        <f>'Données territoriales'!O6</f>
        <v>0</v>
      </c>
    </row>
    <row r="19" spans="1:6">
      <c r="A19" t="s">
        <v>3118</v>
      </c>
      <c r="B19" t="s">
        <v>1259</v>
      </c>
      <c r="C19" t="s">
        <v>105</v>
      </c>
      <c r="D19">
        <v>2013</v>
      </c>
      <c r="F19" s="898">
        <f>'Données territoriales'!O7</f>
        <v>0</v>
      </c>
    </row>
    <row r="20" spans="1:6">
      <c r="A20" t="s">
        <v>3118</v>
      </c>
      <c r="B20" t="s">
        <v>1259</v>
      </c>
      <c r="C20" t="s">
        <v>106</v>
      </c>
      <c r="D20">
        <v>2013</v>
      </c>
      <c r="F20" s="898">
        <f>'Données territoriales'!O8</f>
        <v>0</v>
      </c>
    </row>
    <row r="21" spans="1:6">
      <c r="A21" t="s">
        <v>3118</v>
      </c>
      <c r="B21" t="s">
        <v>1259</v>
      </c>
      <c r="C21" t="s">
        <v>104</v>
      </c>
      <c r="D21">
        <v>2014</v>
      </c>
      <c r="F21" s="898">
        <f>'Données territoriales'!P6</f>
        <v>0</v>
      </c>
    </row>
    <row r="22" spans="1:6">
      <c r="A22" t="s">
        <v>3118</v>
      </c>
      <c r="B22" t="s">
        <v>1259</v>
      </c>
      <c r="C22" t="s">
        <v>105</v>
      </c>
      <c r="D22">
        <v>2014</v>
      </c>
      <c r="F22" s="898">
        <f>'Données territoriales'!P7</f>
        <v>0</v>
      </c>
    </row>
    <row r="23" spans="1:6">
      <c r="A23" t="s">
        <v>3118</v>
      </c>
      <c r="B23" t="s">
        <v>1259</v>
      </c>
      <c r="C23" t="s">
        <v>106</v>
      </c>
      <c r="D23">
        <v>2014</v>
      </c>
      <c r="F23" s="898">
        <f>'Données territoriales'!P8</f>
        <v>0</v>
      </c>
    </row>
    <row r="24" spans="1:6">
      <c r="A24" t="s">
        <v>3118</v>
      </c>
      <c r="B24" t="s">
        <v>1259</v>
      </c>
      <c r="C24" t="s">
        <v>104</v>
      </c>
      <c r="D24">
        <v>2015</v>
      </c>
      <c r="F24" s="898">
        <f>'Données territoriales'!Q6</f>
        <v>0</v>
      </c>
    </row>
    <row r="25" spans="1:6">
      <c r="A25" t="s">
        <v>3118</v>
      </c>
      <c r="B25" t="s">
        <v>1259</v>
      </c>
      <c r="C25" t="s">
        <v>105</v>
      </c>
      <c r="D25">
        <v>2015</v>
      </c>
      <c r="F25" s="898">
        <f>'Données territoriales'!Q7</f>
        <v>0</v>
      </c>
    </row>
    <row r="26" spans="1:6">
      <c r="A26" t="s">
        <v>3118</v>
      </c>
      <c r="B26" t="s">
        <v>1259</v>
      </c>
      <c r="C26" t="s">
        <v>106</v>
      </c>
      <c r="D26">
        <v>2015</v>
      </c>
      <c r="F26" s="898">
        <f>'Données territoriales'!Q8</f>
        <v>0</v>
      </c>
    </row>
    <row r="27" spans="1:6">
      <c r="A27" t="s">
        <v>3118</v>
      </c>
      <c r="B27" t="s">
        <v>1259</v>
      </c>
      <c r="C27" t="s">
        <v>104</v>
      </c>
      <c r="D27">
        <v>2016</v>
      </c>
      <c r="F27" s="898">
        <f>'Données territoriales'!R6</f>
        <v>0</v>
      </c>
    </row>
    <row r="28" spans="1:6">
      <c r="A28" t="s">
        <v>3118</v>
      </c>
      <c r="B28" t="s">
        <v>1259</v>
      </c>
      <c r="C28" t="s">
        <v>105</v>
      </c>
      <c r="D28">
        <v>2016</v>
      </c>
      <c r="F28" s="898">
        <f>'Données territoriales'!R7</f>
        <v>0</v>
      </c>
    </row>
    <row r="29" spans="1:6">
      <c r="A29" t="s">
        <v>3118</v>
      </c>
      <c r="B29" t="s">
        <v>1259</v>
      </c>
      <c r="C29" t="s">
        <v>106</v>
      </c>
      <c r="D29">
        <v>2016</v>
      </c>
      <c r="F29" s="898">
        <f>'Données territoriales'!R8</f>
        <v>0</v>
      </c>
    </row>
    <row r="30" spans="1:6">
      <c r="A30" t="s">
        <v>3118</v>
      </c>
      <c r="B30" t="s">
        <v>1259</v>
      </c>
      <c r="C30" t="s">
        <v>104</v>
      </c>
      <c r="D30">
        <v>2017</v>
      </c>
      <c r="F30" s="898">
        <f>'Données territoriales'!S6</f>
        <v>0</v>
      </c>
    </row>
    <row r="31" spans="1:6">
      <c r="A31" t="s">
        <v>3118</v>
      </c>
      <c r="B31" t="s">
        <v>1259</v>
      </c>
      <c r="C31" t="s">
        <v>105</v>
      </c>
      <c r="D31">
        <v>2017</v>
      </c>
      <c r="F31" s="898">
        <f>'Données territoriales'!S7</f>
        <v>0</v>
      </c>
    </row>
    <row r="32" spans="1:6">
      <c r="A32" t="s">
        <v>3118</v>
      </c>
      <c r="B32" t="s">
        <v>1259</v>
      </c>
      <c r="C32" t="s">
        <v>106</v>
      </c>
      <c r="D32">
        <v>2017</v>
      </c>
      <c r="F32" s="898">
        <f>'Données territoriales'!S8</f>
        <v>0</v>
      </c>
    </row>
    <row r="33" spans="1:6">
      <c r="A33" t="s">
        <v>3118</v>
      </c>
      <c r="B33" t="s">
        <v>1259</v>
      </c>
      <c r="C33" t="s">
        <v>104</v>
      </c>
      <c r="D33">
        <v>2018</v>
      </c>
      <c r="F33" s="898">
        <f>'Données territoriales'!T6</f>
        <v>0</v>
      </c>
    </row>
    <row r="34" spans="1:6">
      <c r="A34" t="s">
        <v>3118</v>
      </c>
      <c r="B34" t="s">
        <v>1259</v>
      </c>
      <c r="C34" t="s">
        <v>105</v>
      </c>
      <c r="D34">
        <v>2018</v>
      </c>
      <c r="F34" s="898">
        <f>'Données territoriales'!T7</f>
        <v>0</v>
      </c>
    </row>
    <row r="35" spans="1:6">
      <c r="A35" t="s">
        <v>3118</v>
      </c>
      <c r="B35" t="s">
        <v>1259</v>
      </c>
      <c r="C35" t="s">
        <v>106</v>
      </c>
      <c r="D35">
        <v>2018</v>
      </c>
      <c r="F35" s="898">
        <f>'Données territoriales'!T8</f>
        <v>0</v>
      </c>
    </row>
    <row r="36" spans="1:6">
      <c r="A36" t="s">
        <v>3118</v>
      </c>
      <c r="B36" t="s">
        <v>1259</v>
      </c>
      <c r="C36" t="s">
        <v>104</v>
      </c>
      <c r="D36">
        <v>2019</v>
      </c>
      <c r="F36" s="898">
        <f>'Données territoriales'!U6</f>
        <v>0</v>
      </c>
    </row>
    <row r="37" spans="1:6">
      <c r="A37" t="s">
        <v>3118</v>
      </c>
      <c r="B37" t="s">
        <v>1259</v>
      </c>
      <c r="C37" t="s">
        <v>105</v>
      </c>
      <c r="D37">
        <v>2019</v>
      </c>
      <c r="F37" s="898">
        <f>'Données territoriales'!U7</f>
        <v>0</v>
      </c>
    </row>
    <row r="38" spans="1:6">
      <c r="A38" t="s">
        <v>3118</v>
      </c>
      <c r="B38" t="s">
        <v>1259</v>
      </c>
      <c r="C38" t="s">
        <v>106</v>
      </c>
      <c r="D38">
        <v>2019</v>
      </c>
      <c r="F38" s="898">
        <f>'Données territoriales'!U8</f>
        <v>0</v>
      </c>
    </row>
    <row r="39" spans="1:6">
      <c r="A39" t="s">
        <v>3118</v>
      </c>
      <c r="B39" t="s">
        <v>1259</v>
      </c>
      <c r="C39" t="s">
        <v>104</v>
      </c>
      <c r="D39">
        <v>2020</v>
      </c>
      <c r="F39" s="898">
        <f>'Données territoriales'!V6</f>
        <v>0</v>
      </c>
    </row>
    <row r="40" spans="1:6">
      <c r="A40" t="s">
        <v>3118</v>
      </c>
      <c r="B40" t="s">
        <v>1259</v>
      </c>
      <c r="C40" t="s">
        <v>105</v>
      </c>
      <c r="D40">
        <v>2020</v>
      </c>
      <c r="F40" s="898">
        <f>'Données territoriales'!V7</f>
        <v>0</v>
      </c>
    </row>
    <row r="41" spans="1:6">
      <c r="A41" t="s">
        <v>3118</v>
      </c>
      <c r="B41" t="s">
        <v>1259</v>
      </c>
      <c r="C41" t="s">
        <v>106</v>
      </c>
      <c r="D41">
        <v>2020</v>
      </c>
      <c r="F41" s="898">
        <f>'Données territoriales'!V8</f>
        <v>0</v>
      </c>
    </row>
    <row r="42" spans="1:6">
      <c r="A42" t="s">
        <v>3118</v>
      </c>
      <c r="B42" t="s">
        <v>1259</v>
      </c>
      <c r="C42" t="s">
        <v>104</v>
      </c>
      <c r="D42">
        <v>2021</v>
      </c>
      <c r="F42" s="898">
        <f>'Données territoriales'!W6</f>
        <v>0</v>
      </c>
    </row>
    <row r="43" spans="1:6">
      <c r="A43" t="s">
        <v>3118</v>
      </c>
      <c r="B43" t="s">
        <v>1259</v>
      </c>
      <c r="C43" t="s">
        <v>105</v>
      </c>
      <c r="D43">
        <v>2021</v>
      </c>
      <c r="F43" s="898">
        <f>'Données territoriales'!W7</f>
        <v>0</v>
      </c>
    </row>
    <row r="44" spans="1:6">
      <c r="A44" t="s">
        <v>3118</v>
      </c>
      <c r="B44" t="s">
        <v>1259</v>
      </c>
      <c r="C44" t="s">
        <v>106</v>
      </c>
      <c r="D44">
        <v>2021</v>
      </c>
      <c r="F44" s="898">
        <f>'Données territoriales'!W8</f>
        <v>0</v>
      </c>
    </row>
    <row r="45" spans="1:6">
      <c r="A45" t="s">
        <v>3118</v>
      </c>
      <c r="B45" t="s">
        <v>1259</v>
      </c>
      <c r="C45" t="s">
        <v>104</v>
      </c>
      <c r="D45">
        <v>2022</v>
      </c>
      <c r="F45" s="898">
        <f>'Données territoriales'!X6</f>
        <v>0</v>
      </c>
    </row>
    <row r="46" spans="1:6">
      <c r="A46" t="s">
        <v>3118</v>
      </c>
      <c r="B46" t="s">
        <v>1259</v>
      </c>
      <c r="C46" t="s">
        <v>105</v>
      </c>
      <c r="D46">
        <v>2022</v>
      </c>
      <c r="F46" s="898">
        <f>'Données territoriales'!X7</f>
        <v>0</v>
      </c>
    </row>
    <row r="47" spans="1:6">
      <c r="A47" t="s">
        <v>3118</v>
      </c>
      <c r="B47" t="s">
        <v>1259</v>
      </c>
      <c r="C47" t="s">
        <v>106</v>
      </c>
      <c r="D47">
        <v>2022</v>
      </c>
      <c r="F47" s="898">
        <f>'Données territoriales'!X8</f>
        <v>0</v>
      </c>
    </row>
    <row r="48" spans="1:6">
      <c r="A48" t="s">
        <v>3118</v>
      </c>
      <c r="B48" t="s">
        <v>1259</v>
      </c>
      <c r="C48" t="s">
        <v>104</v>
      </c>
      <c r="D48">
        <v>2023</v>
      </c>
      <c r="F48" s="898">
        <f>'Données territoriales'!Y6</f>
        <v>0</v>
      </c>
    </row>
    <row r="49" spans="1:6">
      <c r="A49" t="s">
        <v>3118</v>
      </c>
      <c r="B49" t="s">
        <v>1259</v>
      </c>
      <c r="C49" t="s">
        <v>105</v>
      </c>
      <c r="D49">
        <v>2023</v>
      </c>
      <c r="F49" s="898">
        <f>'Données territoriales'!Y7</f>
        <v>0</v>
      </c>
    </row>
    <row r="50" spans="1:6">
      <c r="A50" t="s">
        <v>3118</v>
      </c>
      <c r="B50" t="s">
        <v>1259</v>
      </c>
      <c r="C50" t="s">
        <v>106</v>
      </c>
      <c r="D50">
        <v>2023</v>
      </c>
      <c r="F50" s="898">
        <f>'Données territoriales'!Y8</f>
        <v>0</v>
      </c>
    </row>
    <row r="51" spans="1:6">
      <c r="A51" t="s">
        <v>3118</v>
      </c>
      <c r="B51" t="s">
        <v>1259</v>
      </c>
      <c r="C51" t="s">
        <v>104</v>
      </c>
      <c r="D51">
        <v>2024</v>
      </c>
      <c r="F51" s="898">
        <f>'Données territoriales'!Z6</f>
        <v>0</v>
      </c>
    </row>
    <row r="52" spans="1:6">
      <c r="A52" t="s">
        <v>3118</v>
      </c>
      <c r="B52" t="s">
        <v>1259</v>
      </c>
      <c r="C52" t="s">
        <v>105</v>
      </c>
      <c r="D52">
        <v>2024</v>
      </c>
      <c r="F52" s="898">
        <f>'Données territoriales'!Z7</f>
        <v>0</v>
      </c>
    </row>
    <row r="53" spans="1:6">
      <c r="A53" t="s">
        <v>3118</v>
      </c>
      <c r="B53" t="s">
        <v>1259</v>
      </c>
      <c r="C53" t="s">
        <v>106</v>
      </c>
      <c r="D53">
        <v>2024</v>
      </c>
      <c r="F53" s="898">
        <f>'Données territoriales'!Z8</f>
        <v>0</v>
      </c>
    </row>
    <row r="54" spans="1:6">
      <c r="A54" t="s">
        <v>3118</v>
      </c>
      <c r="B54" t="s">
        <v>1259</v>
      </c>
      <c r="C54" t="s">
        <v>104</v>
      </c>
      <c r="D54">
        <v>2025</v>
      </c>
      <c r="F54" s="898">
        <f>'Données territoriales'!AA6</f>
        <v>0</v>
      </c>
    </row>
    <row r="55" spans="1:6">
      <c r="A55" t="s">
        <v>3118</v>
      </c>
      <c r="B55" t="s">
        <v>1259</v>
      </c>
      <c r="C55" t="s">
        <v>105</v>
      </c>
      <c r="D55">
        <v>2025</v>
      </c>
      <c r="F55" s="898">
        <f>'Données territoriales'!AA7</f>
        <v>0</v>
      </c>
    </row>
    <row r="56" spans="1:6">
      <c r="A56" t="s">
        <v>3118</v>
      </c>
      <c r="B56" t="s">
        <v>1259</v>
      </c>
      <c r="C56" t="s">
        <v>106</v>
      </c>
      <c r="D56">
        <v>2025</v>
      </c>
      <c r="F56" s="898">
        <f>'Données territoriales'!AA8</f>
        <v>0</v>
      </c>
    </row>
    <row r="57" spans="1:6">
      <c r="A57" t="s">
        <v>3118</v>
      </c>
      <c r="B57" t="s">
        <v>1259</v>
      </c>
      <c r="C57" t="s">
        <v>104</v>
      </c>
      <c r="D57">
        <v>2026</v>
      </c>
      <c r="F57" s="898">
        <f>'Données territoriales'!AB6</f>
        <v>0</v>
      </c>
    </row>
    <row r="58" spans="1:6">
      <c r="A58" t="s">
        <v>3118</v>
      </c>
      <c r="B58" t="s">
        <v>1259</v>
      </c>
      <c r="C58" t="s">
        <v>105</v>
      </c>
      <c r="D58">
        <v>2026</v>
      </c>
      <c r="F58" s="898">
        <f>'Données territoriales'!AB7</f>
        <v>0</v>
      </c>
    </row>
    <row r="59" spans="1:6">
      <c r="A59" t="s">
        <v>3118</v>
      </c>
      <c r="B59" t="s">
        <v>1259</v>
      </c>
      <c r="C59" t="s">
        <v>106</v>
      </c>
      <c r="D59">
        <v>2026</v>
      </c>
      <c r="F59" s="898">
        <f>'Données territoriales'!AB8</f>
        <v>0</v>
      </c>
    </row>
    <row r="60" spans="1:6">
      <c r="A60" t="s">
        <v>3118</v>
      </c>
      <c r="B60" t="s">
        <v>1259</v>
      </c>
      <c r="C60" t="s">
        <v>104</v>
      </c>
      <c r="D60">
        <v>2027</v>
      </c>
      <c r="F60" s="898">
        <f>'Données territoriales'!AC6</f>
        <v>0</v>
      </c>
    </row>
    <row r="61" spans="1:6">
      <c r="A61" t="s">
        <v>3118</v>
      </c>
      <c r="B61" t="s">
        <v>1259</v>
      </c>
      <c r="C61" t="s">
        <v>105</v>
      </c>
      <c r="D61">
        <v>2027</v>
      </c>
      <c r="F61" s="898">
        <f>'Données territoriales'!AC7</f>
        <v>0</v>
      </c>
    </row>
    <row r="62" spans="1:6">
      <c r="A62" t="s">
        <v>3118</v>
      </c>
      <c r="B62" t="s">
        <v>1259</v>
      </c>
      <c r="C62" t="s">
        <v>106</v>
      </c>
      <c r="D62">
        <v>2027</v>
      </c>
      <c r="F62" s="898">
        <f>'Données territoriales'!AC8</f>
        <v>0</v>
      </c>
    </row>
    <row r="63" spans="1:6">
      <c r="A63" t="s">
        <v>3118</v>
      </c>
      <c r="B63" t="s">
        <v>1259</v>
      </c>
      <c r="C63" t="s">
        <v>104</v>
      </c>
      <c r="D63">
        <v>2028</v>
      </c>
      <c r="F63" s="898">
        <f>'Données territoriales'!AD6</f>
        <v>0</v>
      </c>
    </row>
    <row r="64" spans="1:6">
      <c r="A64" t="s">
        <v>3118</v>
      </c>
      <c r="B64" t="s">
        <v>1259</v>
      </c>
      <c r="C64" t="s">
        <v>105</v>
      </c>
      <c r="D64">
        <v>2028</v>
      </c>
      <c r="F64" s="898">
        <f>'Données territoriales'!AD7</f>
        <v>0</v>
      </c>
    </row>
    <row r="65" spans="1:6">
      <c r="A65" t="s">
        <v>3118</v>
      </c>
      <c r="B65" t="s">
        <v>1259</v>
      </c>
      <c r="C65" t="s">
        <v>106</v>
      </c>
      <c r="D65">
        <v>2028</v>
      </c>
      <c r="F65" s="898">
        <f>'Données territoriales'!AD8</f>
        <v>0</v>
      </c>
    </row>
    <row r="66" spans="1:6">
      <c r="A66" t="s">
        <v>3118</v>
      </c>
      <c r="B66" t="s">
        <v>1259</v>
      </c>
      <c r="C66" t="s">
        <v>104</v>
      </c>
      <c r="D66">
        <v>2029</v>
      </c>
      <c r="F66" s="898">
        <f>'Données territoriales'!AE6</f>
        <v>0</v>
      </c>
    </row>
    <row r="67" spans="1:6">
      <c r="A67" t="s">
        <v>3118</v>
      </c>
      <c r="B67" t="s">
        <v>1259</v>
      </c>
      <c r="C67" t="s">
        <v>105</v>
      </c>
      <c r="D67">
        <v>2029</v>
      </c>
      <c r="F67" s="898">
        <f>'Données territoriales'!AE7</f>
        <v>0</v>
      </c>
    </row>
    <row r="68" spans="1:6">
      <c r="A68" t="s">
        <v>3118</v>
      </c>
      <c r="B68" t="s">
        <v>1259</v>
      </c>
      <c r="C68" t="s">
        <v>106</v>
      </c>
      <c r="D68">
        <v>2029</v>
      </c>
      <c r="F68" s="898">
        <f>'Données territoriales'!AE8</f>
        <v>0</v>
      </c>
    </row>
    <row r="69" spans="1:6">
      <c r="A69" t="s">
        <v>3118</v>
      </c>
      <c r="B69" t="s">
        <v>1259</v>
      </c>
      <c r="C69" t="s">
        <v>104</v>
      </c>
      <c r="D69">
        <v>2030</v>
      </c>
      <c r="F69" s="898">
        <f>'Données territoriales'!AF6</f>
        <v>0</v>
      </c>
    </row>
    <row r="70" spans="1:6">
      <c r="A70" t="s">
        <v>3118</v>
      </c>
      <c r="B70" t="s">
        <v>1259</v>
      </c>
      <c r="C70" t="s">
        <v>105</v>
      </c>
      <c r="D70">
        <v>2030</v>
      </c>
      <c r="F70" s="898">
        <f>'Données territoriales'!AF7</f>
        <v>0</v>
      </c>
    </row>
    <row r="71" spans="1:6">
      <c r="A71" t="s">
        <v>3118</v>
      </c>
      <c r="B71" t="s">
        <v>1259</v>
      </c>
      <c r="C71" t="s">
        <v>106</v>
      </c>
      <c r="D71">
        <v>2030</v>
      </c>
      <c r="F71" s="898">
        <f>'Données territoriales'!AF8</f>
        <v>0</v>
      </c>
    </row>
    <row r="72" spans="1:6">
      <c r="A72" t="s">
        <v>2165</v>
      </c>
      <c r="B72" t="s">
        <v>2166</v>
      </c>
      <c r="C72" t="s">
        <v>149</v>
      </c>
      <c r="D72" t="s">
        <v>93</v>
      </c>
      <c r="E72" t="s">
        <v>1087</v>
      </c>
      <c r="F72" s="898" t="e">
        <f ca="1">'Bilan patrimonial'!I8</f>
        <v>#REF!</v>
      </c>
    </row>
    <row r="73" spans="1:6">
      <c r="A73" t="s">
        <v>2165</v>
      </c>
      <c r="B73" t="s">
        <v>2166</v>
      </c>
      <c r="C73" t="s">
        <v>147</v>
      </c>
      <c r="D73" t="s">
        <v>93</v>
      </c>
      <c r="E73" t="s">
        <v>1087</v>
      </c>
      <c r="F73" s="898" t="e">
        <f ca="1">'Bilan patrimonial'!I9</f>
        <v>#REF!</v>
      </c>
    </row>
    <row r="74" spans="1:6">
      <c r="A74" t="s">
        <v>2165</v>
      </c>
      <c r="B74" t="s">
        <v>2166</v>
      </c>
      <c r="C74" t="s">
        <v>148</v>
      </c>
      <c r="D74" t="s">
        <v>93</v>
      </c>
      <c r="E74" t="s">
        <v>1087</v>
      </c>
      <c r="F74" s="898" t="e">
        <f ca="1">'Bilan patrimonial'!I10</f>
        <v>#REF!</v>
      </c>
    </row>
    <row r="75" spans="1:6">
      <c r="A75" t="s">
        <v>2165</v>
      </c>
      <c r="B75" t="s">
        <v>2166</v>
      </c>
      <c r="C75" t="s">
        <v>160</v>
      </c>
      <c r="D75" t="s">
        <v>93</v>
      </c>
      <c r="E75" t="s">
        <v>1087</v>
      </c>
      <c r="F75" s="898" t="e">
        <f ca="1">'Bilan patrimonial'!I11</f>
        <v>#REF!</v>
      </c>
    </row>
    <row r="76" spans="1:6">
      <c r="A76" t="s">
        <v>2165</v>
      </c>
      <c r="B76" t="s">
        <v>2166</v>
      </c>
      <c r="C76" t="s">
        <v>92</v>
      </c>
      <c r="D76" t="s">
        <v>93</v>
      </c>
      <c r="E76" t="s">
        <v>1087</v>
      </c>
      <c r="F76" s="898" t="e">
        <f ca="1">'Bilan patrimonial'!I12</f>
        <v>#REF!</v>
      </c>
    </row>
    <row r="77" spans="1:6">
      <c r="A77" t="s">
        <v>2165</v>
      </c>
      <c r="B77" t="s">
        <v>2166</v>
      </c>
      <c r="C77" t="s">
        <v>149</v>
      </c>
      <c r="D77" t="s">
        <v>98</v>
      </c>
      <c r="E77" t="s">
        <v>1087</v>
      </c>
      <c r="F77" s="898" t="e">
        <f ca="1">'Bilan patrimonial'!J8</f>
        <v>#REF!</v>
      </c>
    </row>
    <row r="78" spans="1:6">
      <c r="A78" t="s">
        <v>2165</v>
      </c>
      <c r="B78" t="s">
        <v>2166</v>
      </c>
      <c r="C78" t="s">
        <v>147</v>
      </c>
      <c r="D78" t="s">
        <v>98</v>
      </c>
      <c r="E78" t="s">
        <v>1087</v>
      </c>
      <c r="F78" s="898">
        <f>'Bilan patrimonial'!J9</f>
        <v>0</v>
      </c>
    </row>
    <row r="79" spans="1:6">
      <c r="A79" t="s">
        <v>2165</v>
      </c>
      <c r="B79" t="s">
        <v>2166</v>
      </c>
      <c r="C79" t="s">
        <v>148</v>
      </c>
      <c r="D79" t="s">
        <v>98</v>
      </c>
      <c r="E79" t="s">
        <v>1087</v>
      </c>
      <c r="F79" s="898">
        <f>'Bilan patrimonial'!J10</f>
        <v>0</v>
      </c>
    </row>
    <row r="80" spans="1:6">
      <c r="A80" t="s">
        <v>2165</v>
      </c>
      <c r="B80" t="s">
        <v>2166</v>
      </c>
      <c r="C80" t="s">
        <v>160</v>
      </c>
      <c r="D80" t="s">
        <v>98</v>
      </c>
      <c r="E80" t="s">
        <v>1087</v>
      </c>
      <c r="F80" s="898">
        <f>'Bilan patrimonial'!J11</f>
        <v>0</v>
      </c>
    </row>
    <row r="81" spans="1:6">
      <c r="A81" t="s">
        <v>2165</v>
      </c>
      <c r="B81" t="s">
        <v>2166</v>
      </c>
      <c r="C81" t="s">
        <v>92</v>
      </c>
      <c r="D81" t="s">
        <v>98</v>
      </c>
      <c r="E81" t="s">
        <v>1087</v>
      </c>
      <c r="F81" s="898" t="e">
        <f ca="1">'Bilan patrimonial'!J12</f>
        <v>#REF!</v>
      </c>
    </row>
    <row r="82" spans="1:6">
      <c r="A82" t="s">
        <v>2165</v>
      </c>
      <c r="B82" t="s">
        <v>2166</v>
      </c>
      <c r="C82" t="s">
        <v>149</v>
      </c>
      <c r="D82" t="s">
        <v>144</v>
      </c>
      <c r="E82" t="s">
        <v>1087</v>
      </c>
      <c r="F82" s="898" t="e">
        <f ca="1">'Bilan patrimonial'!K8</f>
        <v>#REF!</v>
      </c>
    </row>
    <row r="83" spans="1:6">
      <c r="A83" t="s">
        <v>2165</v>
      </c>
      <c r="B83" t="s">
        <v>2166</v>
      </c>
      <c r="C83" t="s">
        <v>147</v>
      </c>
      <c r="D83" t="s">
        <v>144</v>
      </c>
      <c r="E83" t="s">
        <v>1087</v>
      </c>
      <c r="F83" s="898">
        <f>'Bilan patrimonial'!K9</f>
        <v>0</v>
      </c>
    </row>
    <row r="84" spans="1:6">
      <c r="A84" t="s">
        <v>2165</v>
      </c>
      <c r="B84" t="s">
        <v>2166</v>
      </c>
      <c r="C84" t="s">
        <v>148</v>
      </c>
      <c r="D84" t="s">
        <v>144</v>
      </c>
      <c r="E84" t="s">
        <v>1087</v>
      </c>
      <c r="F84" s="898">
        <f>'Bilan patrimonial'!K10</f>
        <v>0</v>
      </c>
    </row>
    <row r="85" spans="1:6">
      <c r="A85" t="s">
        <v>2165</v>
      </c>
      <c r="B85" t="s">
        <v>2166</v>
      </c>
      <c r="C85" t="s">
        <v>160</v>
      </c>
      <c r="D85" t="s">
        <v>144</v>
      </c>
      <c r="E85" t="s">
        <v>1087</v>
      </c>
      <c r="F85" s="898">
        <f>'Bilan patrimonial'!K11</f>
        <v>0</v>
      </c>
    </row>
    <row r="86" spans="1:6">
      <c r="A86" t="s">
        <v>2165</v>
      </c>
      <c r="B86" t="s">
        <v>2166</v>
      </c>
      <c r="C86" t="s">
        <v>92</v>
      </c>
      <c r="D86" t="s">
        <v>144</v>
      </c>
      <c r="E86" t="s">
        <v>1087</v>
      </c>
      <c r="F86" s="898" t="e">
        <f ca="1">'Bilan patrimonial'!K12</f>
        <v>#REF!</v>
      </c>
    </row>
    <row r="87" spans="1:6">
      <c r="A87" t="s">
        <v>2165</v>
      </c>
      <c r="B87" t="s">
        <v>2166</v>
      </c>
      <c r="C87" t="s">
        <v>149</v>
      </c>
      <c r="D87" t="s">
        <v>158</v>
      </c>
      <c r="E87" t="s">
        <v>1087</v>
      </c>
      <c r="F87" s="898" t="e">
        <f ca="1">'Bilan patrimonial'!L8</f>
        <v>#REF!</v>
      </c>
    </row>
    <row r="88" spans="1:6">
      <c r="A88" t="s">
        <v>2165</v>
      </c>
      <c r="B88" t="s">
        <v>2166</v>
      </c>
      <c r="C88" t="s">
        <v>147</v>
      </c>
      <c r="D88" t="s">
        <v>158</v>
      </c>
      <c r="E88" t="s">
        <v>1087</v>
      </c>
      <c r="F88" s="898">
        <f>'Bilan patrimonial'!L9</f>
        <v>0</v>
      </c>
    </row>
    <row r="89" spans="1:6">
      <c r="A89" t="s">
        <v>2165</v>
      </c>
      <c r="B89" t="s">
        <v>2166</v>
      </c>
      <c r="C89" t="s">
        <v>148</v>
      </c>
      <c r="D89" t="s">
        <v>158</v>
      </c>
      <c r="E89" t="s">
        <v>1087</v>
      </c>
      <c r="F89" s="898">
        <f>'Bilan patrimonial'!L10</f>
        <v>0</v>
      </c>
    </row>
    <row r="90" spans="1:6">
      <c r="A90" t="s">
        <v>2165</v>
      </c>
      <c r="B90" t="s">
        <v>2166</v>
      </c>
      <c r="C90" t="s">
        <v>160</v>
      </c>
      <c r="D90" t="s">
        <v>158</v>
      </c>
      <c r="E90" t="s">
        <v>1087</v>
      </c>
      <c r="F90" s="898">
        <f>'Bilan patrimonial'!L11</f>
        <v>0</v>
      </c>
    </row>
    <row r="91" spans="1:6">
      <c r="A91" t="s">
        <v>2165</v>
      </c>
      <c r="B91" t="s">
        <v>2166</v>
      </c>
      <c r="C91" t="s">
        <v>92</v>
      </c>
      <c r="D91" t="s">
        <v>158</v>
      </c>
      <c r="E91" t="s">
        <v>1087</v>
      </c>
      <c r="F91" s="898" t="e">
        <f ca="1">'Bilan patrimonial'!L12</f>
        <v>#REF!</v>
      </c>
    </row>
    <row r="92" spans="1:6">
      <c r="A92" t="s">
        <v>2165</v>
      </c>
      <c r="B92" t="s">
        <v>612</v>
      </c>
      <c r="C92" t="s">
        <v>2111</v>
      </c>
      <c r="E92" t="s">
        <v>1087</v>
      </c>
      <c r="F92" s="898" t="e">
        <f>'Bilan patrimonial'!I40</f>
        <v>#N/A</v>
      </c>
    </row>
    <row r="93" spans="1:6">
      <c r="A93" t="s">
        <v>2165</v>
      </c>
      <c r="B93" t="s">
        <v>612</v>
      </c>
      <c r="C93" t="s">
        <v>2108</v>
      </c>
      <c r="E93" t="s">
        <v>1087</v>
      </c>
      <c r="F93" s="898" t="e">
        <f>'Bilan patrimonial'!I41</f>
        <v>#N/A</v>
      </c>
    </row>
    <row r="94" spans="1:6">
      <c r="A94" t="s">
        <v>2165</v>
      </c>
      <c r="B94" t="s">
        <v>612</v>
      </c>
      <c r="C94" t="s">
        <v>323</v>
      </c>
      <c r="E94" t="s">
        <v>1087</v>
      </c>
      <c r="F94" s="898" t="e">
        <f>'Bilan patrimonial'!I42</f>
        <v>#N/A</v>
      </c>
    </row>
    <row r="95" spans="1:6">
      <c r="A95" t="s">
        <v>2165</v>
      </c>
      <c r="B95" t="s">
        <v>184</v>
      </c>
      <c r="C95" t="s">
        <v>2170</v>
      </c>
      <c r="E95" t="s">
        <v>1087</v>
      </c>
      <c r="F95" s="898" t="e">
        <f ca="1">'Bilan patrimonial'!L45</f>
        <v>#REF!</v>
      </c>
    </row>
    <row r="96" spans="1:6">
      <c r="A96" t="s">
        <v>2165</v>
      </c>
      <c r="B96" t="s">
        <v>2166</v>
      </c>
      <c r="C96" t="s">
        <v>149</v>
      </c>
      <c r="D96" t="s">
        <v>93</v>
      </c>
      <c r="E96" t="s">
        <v>2168</v>
      </c>
      <c r="F96" s="898">
        <f ca="1">'Bilan patrimonial'!B8</f>
        <v>0</v>
      </c>
    </row>
    <row r="97" spans="1:6">
      <c r="A97" t="s">
        <v>2165</v>
      </c>
      <c r="B97" t="s">
        <v>2166</v>
      </c>
      <c r="C97" t="s">
        <v>147</v>
      </c>
      <c r="D97" t="s">
        <v>93</v>
      </c>
      <c r="E97" t="s">
        <v>2168</v>
      </c>
      <c r="F97" s="898">
        <f ca="1">'Bilan patrimonial'!B9</f>
        <v>0</v>
      </c>
    </row>
    <row r="98" spans="1:6">
      <c r="A98" t="s">
        <v>2165</v>
      </c>
      <c r="B98" t="s">
        <v>2166</v>
      </c>
      <c r="C98" t="s">
        <v>148</v>
      </c>
      <c r="D98" t="s">
        <v>93</v>
      </c>
      <c r="E98" t="s">
        <v>2168</v>
      </c>
      <c r="F98" s="898">
        <f ca="1">'Bilan patrimonial'!B10</f>
        <v>0</v>
      </c>
    </row>
    <row r="99" spans="1:6">
      <c r="A99" t="s">
        <v>2165</v>
      </c>
      <c r="B99" t="s">
        <v>2166</v>
      </c>
      <c r="C99" t="s">
        <v>160</v>
      </c>
      <c r="D99" t="s">
        <v>93</v>
      </c>
      <c r="E99" t="s">
        <v>2168</v>
      </c>
      <c r="F99" s="898">
        <f ca="1">'Bilan patrimonial'!B11</f>
        <v>0</v>
      </c>
    </row>
    <row r="100" spans="1:6">
      <c r="A100" t="s">
        <v>2165</v>
      </c>
      <c r="B100" t="s">
        <v>2166</v>
      </c>
      <c r="C100" t="s">
        <v>92</v>
      </c>
      <c r="D100" t="s">
        <v>93</v>
      </c>
      <c r="E100" t="s">
        <v>2168</v>
      </c>
      <c r="F100" s="898">
        <f ca="1">'Bilan patrimonial'!B12</f>
        <v>0</v>
      </c>
    </row>
    <row r="101" spans="1:6">
      <c r="A101" t="s">
        <v>2165</v>
      </c>
      <c r="B101" t="s">
        <v>2166</v>
      </c>
      <c r="C101" t="s">
        <v>149</v>
      </c>
      <c r="D101" t="s">
        <v>98</v>
      </c>
      <c r="E101" t="s">
        <v>2168</v>
      </c>
      <c r="F101" s="898">
        <f ca="1">'Bilan patrimonial'!C8</f>
        <v>0</v>
      </c>
    </row>
    <row r="102" spans="1:6">
      <c r="A102" t="s">
        <v>2165</v>
      </c>
      <c r="B102" t="s">
        <v>2166</v>
      </c>
      <c r="C102" t="s">
        <v>147</v>
      </c>
      <c r="D102" t="s">
        <v>98</v>
      </c>
      <c r="E102" t="s">
        <v>2168</v>
      </c>
      <c r="F102" s="898">
        <f>'Bilan patrimonial'!C9</f>
        <v>0</v>
      </c>
    </row>
    <row r="103" spans="1:6">
      <c r="A103" t="s">
        <v>2165</v>
      </c>
      <c r="B103" t="s">
        <v>2166</v>
      </c>
      <c r="C103" t="s">
        <v>148</v>
      </c>
      <c r="D103" t="s">
        <v>98</v>
      </c>
      <c r="E103" t="s">
        <v>2168</v>
      </c>
      <c r="F103" s="898">
        <f>'Bilan patrimonial'!C10</f>
        <v>0</v>
      </c>
    </row>
    <row r="104" spans="1:6">
      <c r="A104" t="s">
        <v>2165</v>
      </c>
      <c r="B104" t="s">
        <v>2166</v>
      </c>
      <c r="C104" t="s">
        <v>160</v>
      </c>
      <c r="D104" t="s">
        <v>98</v>
      </c>
      <c r="E104" t="s">
        <v>2168</v>
      </c>
      <c r="F104" s="898">
        <f>'Bilan patrimonial'!C11</f>
        <v>0</v>
      </c>
    </row>
    <row r="105" spans="1:6">
      <c r="A105" t="s">
        <v>2165</v>
      </c>
      <c r="B105" t="s">
        <v>2166</v>
      </c>
      <c r="C105" t="s">
        <v>92</v>
      </c>
      <c r="D105" t="s">
        <v>98</v>
      </c>
      <c r="E105" t="s">
        <v>2168</v>
      </c>
      <c r="F105" s="898">
        <f ca="1">'Bilan patrimonial'!C12</f>
        <v>0</v>
      </c>
    </row>
    <row r="106" spans="1:6">
      <c r="A106" t="s">
        <v>2165</v>
      </c>
      <c r="B106" t="s">
        <v>2166</v>
      </c>
      <c r="C106" t="s">
        <v>149</v>
      </c>
      <c r="D106" t="s">
        <v>144</v>
      </c>
      <c r="E106" t="s">
        <v>2168</v>
      </c>
      <c r="F106" s="898">
        <f ca="1">'Bilan patrimonial'!D8</f>
        <v>0</v>
      </c>
    </row>
    <row r="107" spans="1:6">
      <c r="A107" t="s">
        <v>2165</v>
      </c>
      <c r="B107" t="s">
        <v>2166</v>
      </c>
      <c r="C107" t="s">
        <v>147</v>
      </c>
      <c r="D107" t="s">
        <v>144</v>
      </c>
      <c r="E107" t="s">
        <v>2168</v>
      </c>
      <c r="F107" s="898">
        <f>'Bilan patrimonial'!D9</f>
        <v>0</v>
      </c>
    </row>
    <row r="108" spans="1:6">
      <c r="A108" t="s">
        <v>2165</v>
      </c>
      <c r="B108" t="s">
        <v>2166</v>
      </c>
      <c r="C108" t="s">
        <v>148</v>
      </c>
      <c r="D108" t="s">
        <v>144</v>
      </c>
      <c r="E108" t="s">
        <v>2168</v>
      </c>
      <c r="F108" s="898">
        <f>'Bilan patrimonial'!D10</f>
        <v>0</v>
      </c>
    </row>
    <row r="109" spans="1:6">
      <c r="A109" t="s">
        <v>2165</v>
      </c>
      <c r="B109" t="s">
        <v>2166</v>
      </c>
      <c r="C109" t="s">
        <v>160</v>
      </c>
      <c r="D109" t="s">
        <v>144</v>
      </c>
      <c r="E109" t="s">
        <v>2168</v>
      </c>
      <c r="F109" s="898">
        <f>'Bilan patrimonial'!D11</f>
        <v>0</v>
      </c>
    </row>
    <row r="110" spans="1:6">
      <c r="A110" t="s">
        <v>2165</v>
      </c>
      <c r="B110" t="s">
        <v>2166</v>
      </c>
      <c r="C110" t="s">
        <v>92</v>
      </c>
      <c r="D110" t="s">
        <v>144</v>
      </c>
      <c r="E110" t="s">
        <v>2168</v>
      </c>
      <c r="F110" s="898">
        <f ca="1">'Bilan patrimonial'!D12</f>
        <v>0</v>
      </c>
    </row>
    <row r="111" spans="1:6">
      <c r="A111" t="s">
        <v>2165</v>
      </c>
      <c r="B111" t="s">
        <v>2166</v>
      </c>
      <c r="C111" t="s">
        <v>149</v>
      </c>
      <c r="D111" t="s">
        <v>158</v>
      </c>
      <c r="E111" t="s">
        <v>2168</v>
      </c>
      <c r="F111" s="898">
        <f ca="1">'Bilan patrimonial'!E8</f>
        <v>0</v>
      </c>
    </row>
    <row r="112" spans="1:6">
      <c r="A112" t="s">
        <v>2165</v>
      </c>
      <c r="B112" t="s">
        <v>2166</v>
      </c>
      <c r="C112" t="s">
        <v>147</v>
      </c>
      <c r="D112" t="s">
        <v>158</v>
      </c>
      <c r="E112" t="s">
        <v>2168</v>
      </c>
      <c r="F112" s="898">
        <f>'Bilan patrimonial'!E9</f>
        <v>0</v>
      </c>
    </row>
    <row r="113" spans="1:6">
      <c r="A113" t="s">
        <v>2165</v>
      </c>
      <c r="B113" t="s">
        <v>2166</v>
      </c>
      <c r="C113" t="s">
        <v>148</v>
      </c>
      <c r="D113" t="s">
        <v>158</v>
      </c>
      <c r="E113" t="s">
        <v>2168</v>
      </c>
      <c r="F113" s="898">
        <f>'Bilan patrimonial'!E10</f>
        <v>0</v>
      </c>
    </row>
    <row r="114" spans="1:6">
      <c r="A114" t="s">
        <v>2165</v>
      </c>
      <c r="B114" t="s">
        <v>2166</v>
      </c>
      <c r="C114" t="s">
        <v>160</v>
      </c>
      <c r="D114" t="s">
        <v>158</v>
      </c>
      <c r="E114" t="s">
        <v>2168</v>
      </c>
      <c r="F114" s="898">
        <f>'Bilan patrimonial'!E11</f>
        <v>0</v>
      </c>
    </row>
    <row r="115" spans="1:6">
      <c r="A115" t="s">
        <v>2165</v>
      </c>
      <c r="B115" t="s">
        <v>2166</v>
      </c>
      <c r="C115" t="s">
        <v>92</v>
      </c>
      <c r="D115" t="s">
        <v>158</v>
      </c>
      <c r="E115" t="s">
        <v>2168</v>
      </c>
      <c r="F115" s="898">
        <f ca="1">'Bilan patrimonial'!E12</f>
        <v>0</v>
      </c>
    </row>
    <row r="116" spans="1:6">
      <c r="A116" t="s">
        <v>2165</v>
      </c>
      <c r="B116" t="s">
        <v>612</v>
      </c>
      <c r="C116" t="s">
        <v>2111</v>
      </c>
      <c r="E116" t="s">
        <v>2168</v>
      </c>
      <c r="F116" s="898">
        <f>'Bilan patrimonial'!B40</f>
        <v>0</v>
      </c>
    </row>
    <row r="117" spans="1:6">
      <c r="A117" t="s">
        <v>2165</v>
      </c>
      <c r="B117" t="s">
        <v>612</v>
      </c>
      <c r="C117" t="s">
        <v>2108</v>
      </c>
      <c r="E117" t="s">
        <v>2168</v>
      </c>
      <c r="F117" s="898">
        <f>'Bilan patrimonial'!B41</f>
        <v>0</v>
      </c>
    </row>
    <row r="118" spans="1:6">
      <c r="A118" t="s">
        <v>2165</v>
      </c>
      <c r="B118" t="s">
        <v>612</v>
      </c>
      <c r="C118" t="s">
        <v>323</v>
      </c>
      <c r="E118" t="s">
        <v>2168</v>
      </c>
      <c r="F118" s="898">
        <f>'Bilan patrimonial'!B42</f>
        <v>0</v>
      </c>
    </row>
    <row r="119" spans="1:6">
      <c r="A119" t="s">
        <v>2165</v>
      </c>
      <c r="B119" t="s">
        <v>184</v>
      </c>
      <c r="C119" t="s">
        <v>2170</v>
      </c>
      <c r="E119" t="s">
        <v>2168</v>
      </c>
      <c r="F119" s="898">
        <f ca="1">'Bilan patrimonial'!E45</f>
        <v>0</v>
      </c>
    </row>
    <row r="120" spans="1:6">
      <c r="A120" t="s">
        <v>2171</v>
      </c>
      <c r="B120" t="s">
        <v>3119</v>
      </c>
      <c r="F120" s="898" t="str">
        <f>'Bilan territorial'!B4</f>
        <v>Réel</v>
      </c>
    </row>
    <row r="121" spans="1:6">
      <c r="A121" t="s">
        <v>2171</v>
      </c>
      <c r="B121" t="s">
        <v>3120</v>
      </c>
      <c r="F121" s="898" t="str">
        <f>'Bilan territorial'!B5</f>
        <v>OUI</v>
      </c>
    </row>
    <row r="122" spans="1:6">
      <c r="A122" t="s">
        <v>2171</v>
      </c>
      <c r="B122" t="s">
        <v>3121</v>
      </c>
      <c r="F122" s="898">
        <f>'Bilan territorial'!B6</f>
        <v>1</v>
      </c>
    </row>
    <row r="123" spans="1:6">
      <c r="A123" t="s">
        <v>2171</v>
      </c>
      <c r="B123" t="s">
        <v>3122</v>
      </c>
      <c r="F123" s="898">
        <f>'Bilan territorial'!B7</f>
        <v>1</v>
      </c>
    </row>
    <row r="124" spans="1:6">
      <c r="A124" t="s">
        <v>2171</v>
      </c>
      <c r="B124" t="s">
        <v>184</v>
      </c>
      <c r="C124" t="s">
        <v>2170</v>
      </c>
      <c r="E124">
        <v>2030</v>
      </c>
      <c r="F124" s="898" t="e">
        <f ca="1">'Bilan territorial'!AO61</f>
        <v>#REF!</v>
      </c>
    </row>
    <row r="125" spans="1:6">
      <c r="A125" t="s">
        <v>2171</v>
      </c>
      <c r="B125" t="s">
        <v>612</v>
      </c>
      <c r="C125" t="s">
        <v>213</v>
      </c>
      <c r="D125" t="s">
        <v>93</v>
      </c>
      <c r="E125">
        <v>2030</v>
      </c>
      <c r="F125" s="898" t="e">
        <f ca="1">'Bilan territorial'!AM49</f>
        <v>#REF!</v>
      </c>
    </row>
    <row r="126" spans="1:6">
      <c r="A126" t="s">
        <v>2171</v>
      </c>
      <c r="B126" t="s">
        <v>612</v>
      </c>
      <c r="C126" t="s">
        <v>214</v>
      </c>
      <c r="D126" t="s">
        <v>93</v>
      </c>
      <c r="E126">
        <v>2030</v>
      </c>
      <c r="F126" s="898" t="e">
        <f ca="1">'Bilan territorial'!AM50</f>
        <v>#REF!</v>
      </c>
    </row>
    <row r="127" spans="1:6">
      <c r="A127" t="s">
        <v>2171</v>
      </c>
      <c r="B127" t="s">
        <v>612</v>
      </c>
      <c r="C127" t="s">
        <v>215</v>
      </c>
      <c r="D127" t="s">
        <v>93</v>
      </c>
      <c r="E127">
        <v>2030</v>
      </c>
      <c r="F127" s="898" t="e">
        <f ca="1">'Bilan territorial'!AM51</f>
        <v>#REF!</v>
      </c>
    </row>
    <row r="128" spans="1:6">
      <c r="A128" t="s">
        <v>2171</v>
      </c>
      <c r="B128" t="s">
        <v>612</v>
      </c>
      <c r="C128" t="s">
        <v>154</v>
      </c>
      <c r="D128" t="s">
        <v>93</v>
      </c>
      <c r="E128">
        <v>2030</v>
      </c>
      <c r="F128" s="898">
        <f>'Bilan territorial'!AM52</f>
        <v>0</v>
      </c>
    </row>
    <row r="129" spans="1:6">
      <c r="A129" t="s">
        <v>2171</v>
      </c>
      <c r="B129" t="s">
        <v>612</v>
      </c>
      <c r="C129" t="s">
        <v>155</v>
      </c>
      <c r="D129" t="s">
        <v>93</v>
      </c>
      <c r="E129">
        <v>2030</v>
      </c>
      <c r="F129" s="898">
        <f>'Bilan territorial'!AM53</f>
        <v>0</v>
      </c>
    </row>
    <row r="130" spans="1:6">
      <c r="A130" t="s">
        <v>2171</v>
      </c>
      <c r="B130" t="s">
        <v>612</v>
      </c>
      <c r="C130" t="s">
        <v>216</v>
      </c>
      <c r="D130" t="s">
        <v>93</v>
      </c>
      <c r="E130">
        <v>2030</v>
      </c>
      <c r="F130" s="898">
        <f>'Bilan territorial'!AM54</f>
        <v>0</v>
      </c>
    </row>
    <row r="131" spans="1:6">
      <c r="A131" t="s">
        <v>2171</v>
      </c>
      <c r="B131" t="s">
        <v>612</v>
      </c>
      <c r="C131" t="s">
        <v>218</v>
      </c>
      <c r="D131" t="s">
        <v>93</v>
      </c>
      <c r="E131">
        <v>2030</v>
      </c>
      <c r="F131" s="898" t="e">
        <f ca="1">'Bilan territorial'!AM55</f>
        <v>#REF!</v>
      </c>
    </row>
    <row r="132" spans="1:6">
      <c r="A132" t="s">
        <v>2171</v>
      </c>
      <c r="B132" t="s">
        <v>612</v>
      </c>
      <c r="C132" t="s">
        <v>213</v>
      </c>
      <c r="D132" t="s">
        <v>236</v>
      </c>
      <c r="E132">
        <v>2030</v>
      </c>
      <c r="F132" s="898">
        <f>'Bilan territorial'!AN49</f>
        <v>0</v>
      </c>
    </row>
    <row r="133" spans="1:6">
      <c r="A133" t="s">
        <v>2171</v>
      </c>
      <c r="B133" t="s">
        <v>612</v>
      </c>
      <c r="C133" t="s">
        <v>214</v>
      </c>
      <c r="D133" t="s">
        <v>236</v>
      </c>
      <c r="E133">
        <v>2030</v>
      </c>
      <c r="F133" s="898">
        <f>'Bilan territorial'!AN50</f>
        <v>0</v>
      </c>
    </row>
    <row r="134" spans="1:6">
      <c r="A134" t="s">
        <v>2171</v>
      </c>
      <c r="B134" t="s">
        <v>612</v>
      </c>
      <c r="C134" t="s">
        <v>215</v>
      </c>
      <c r="D134" t="s">
        <v>236</v>
      </c>
      <c r="E134">
        <v>2030</v>
      </c>
      <c r="F134" s="898">
        <f>'Bilan territorial'!AN51</f>
        <v>0</v>
      </c>
    </row>
    <row r="135" spans="1:6">
      <c r="A135" t="s">
        <v>2171</v>
      </c>
      <c r="B135" t="s">
        <v>612</v>
      </c>
      <c r="C135" t="s">
        <v>154</v>
      </c>
      <c r="D135" t="s">
        <v>236</v>
      </c>
      <c r="E135">
        <v>2030</v>
      </c>
      <c r="F135" s="898" t="e">
        <f ca="1">'Bilan territorial'!AN52</f>
        <v>#REF!</v>
      </c>
    </row>
    <row r="136" spans="1:6">
      <c r="A136" t="s">
        <v>2171</v>
      </c>
      <c r="B136" t="s">
        <v>612</v>
      </c>
      <c r="C136" t="s">
        <v>155</v>
      </c>
      <c r="D136" t="s">
        <v>236</v>
      </c>
      <c r="E136">
        <v>2030</v>
      </c>
      <c r="F136" s="898" t="e">
        <f ca="1">'Bilan territorial'!AN53</f>
        <v>#REF!</v>
      </c>
    </row>
    <row r="137" spans="1:6">
      <c r="A137" t="s">
        <v>2171</v>
      </c>
      <c r="B137" t="s">
        <v>612</v>
      </c>
      <c r="C137" t="s">
        <v>216</v>
      </c>
      <c r="D137" t="s">
        <v>236</v>
      </c>
      <c r="E137">
        <v>2030</v>
      </c>
      <c r="F137" s="898" t="e">
        <f ca="1">'Bilan territorial'!AN54</f>
        <v>#REF!</v>
      </c>
    </row>
    <row r="138" spans="1:6">
      <c r="A138" t="s">
        <v>2171</v>
      </c>
      <c r="B138" t="s">
        <v>612</v>
      </c>
      <c r="C138" t="s">
        <v>218</v>
      </c>
      <c r="D138" t="s">
        <v>236</v>
      </c>
      <c r="E138">
        <v>2030</v>
      </c>
      <c r="F138" s="898" t="e">
        <f ca="1">'Bilan territorial'!AN55</f>
        <v>#REF!</v>
      </c>
    </row>
    <row r="139" spans="1:6">
      <c r="A139" t="s">
        <v>2171</v>
      </c>
      <c r="B139" t="s">
        <v>2166</v>
      </c>
      <c r="C139" t="s">
        <v>198</v>
      </c>
      <c r="D139" t="s">
        <v>93</v>
      </c>
      <c r="E139">
        <v>2030</v>
      </c>
      <c r="F139" s="898" t="e">
        <f ca="1">'Bilan territorial'!AM11</f>
        <v>#REF!</v>
      </c>
    </row>
    <row r="140" spans="1:6">
      <c r="A140" t="s">
        <v>2171</v>
      </c>
      <c r="B140" t="s">
        <v>2166</v>
      </c>
      <c r="C140" t="s">
        <v>199</v>
      </c>
      <c r="D140" t="s">
        <v>93</v>
      </c>
      <c r="E140">
        <v>2030</v>
      </c>
      <c r="F140" s="898" t="e">
        <f ca="1">'Bilan territorial'!AM12</f>
        <v>#REF!</v>
      </c>
    </row>
    <row r="141" spans="1:6">
      <c r="A141" t="s">
        <v>2171</v>
      </c>
      <c r="B141" t="s">
        <v>2166</v>
      </c>
      <c r="C141" t="s">
        <v>201</v>
      </c>
      <c r="D141" t="s">
        <v>93</v>
      </c>
      <c r="E141">
        <v>2030</v>
      </c>
      <c r="F141" s="898" t="e">
        <f ca="1">'Bilan territorial'!AM15</f>
        <v>#REF!</v>
      </c>
    </row>
    <row r="142" spans="1:6">
      <c r="A142" t="s">
        <v>2171</v>
      </c>
      <c r="B142" t="s">
        <v>2166</v>
      </c>
      <c r="C142" t="s">
        <v>202</v>
      </c>
      <c r="D142" t="s">
        <v>93</v>
      </c>
      <c r="E142">
        <v>2030</v>
      </c>
      <c r="F142" s="898" t="e">
        <f ca="1">'Bilan territorial'!AM16</f>
        <v>#REF!</v>
      </c>
    </row>
    <row r="143" spans="1:6">
      <c r="A143" t="s">
        <v>2171</v>
      </c>
      <c r="B143" t="s">
        <v>2166</v>
      </c>
      <c r="C143" t="s">
        <v>203</v>
      </c>
      <c r="D143" t="s">
        <v>93</v>
      </c>
      <c r="E143">
        <v>2030</v>
      </c>
      <c r="F143" s="898" t="e">
        <f ca="1">'Bilan territorial'!AM17</f>
        <v>#REF!</v>
      </c>
    </row>
    <row r="144" spans="1:6">
      <c r="A144" t="s">
        <v>2171</v>
      </c>
      <c r="B144" t="s">
        <v>2166</v>
      </c>
      <c r="C144" t="s">
        <v>198</v>
      </c>
      <c r="D144" t="s">
        <v>98</v>
      </c>
      <c r="E144">
        <v>2030</v>
      </c>
      <c r="F144" s="898" t="e">
        <f ca="1">'Bilan territorial'!AN11</f>
        <v>#REF!</v>
      </c>
    </row>
    <row r="145" spans="1:6">
      <c r="A145" t="s">
        <v>2171</v>
      </c>
      <c r="B145" t="s">
        <v>2166</v>
      </c>
      <c r="C145" t="s">
        <v>199</v>
      </c>
      <c r="D145" t="s">
        <v>98</v>
      </c>
      <c r="E145">
        <v>2030</v>
      </c>
      <c r="F145" s="898" t="e">
        <f ca="1">'Bilan territorial'!AN12</f>
        <v>#REF!</v>
      </c>
    </row>
    <row r="146" spans="1:6">
      <c r="A146" t="s">
        <v>2171</v>
      </c>
      <c r="B146" t="s">
        <v>2166</v>
      </c>
      <c r="C146" t="s">
        <v>201</v>
      </c>
      <c r="D146" t="s">
        <v>98</v>
      </c>
      <c r="E146">
        <v>2030</v>
      </c>
      <c r="F146" s="898" t="e">
        <f ca="1">'Bilan territorial'!AN15</f>
        <v>#REF!</v>
      </c>
    </row>
    <row r="147" spans="1:6">
      <c r="A147" t="s">
        <v>2171</v>
      </c>
      <c r="B147" t="s">
        <v>2166</v>
      </c>
      <c r="C147" t="s">
        <v>202</v>
      </c>
      <c r="D147" t="s">
        <v>98</v>
      </c>
      <c r="E147">
        <v>2030</v>
      </c>
      <c r="F147" s="898" t="e">
        <f ca="1">'Bilan territorial'!AN16</f>
        <v>#REF!</v>
      </c>
    </row>
    <row r="148" spans="1:6">
      <c r="A148" t="s">
        <v>2171</v>
      </c>
      <c r="B148" t="s">
        <v>2166</v>
      </c>
      <c r="C148" t="s">
        <v>203</v>
      </c>
      <c r="D148" t="s">
        <v>98</v>
      </c>
      <c r="E148">
        <v>2030</v>
      </c>
      <c r="F148" s="898" t="e">
        <f ca="1">'Bilan territorial'!AN17</f>
        <v>#REF!</v>
      </c>
    </row>
    <row r="149" spans="1:6">
      <c r="A149" t="s">
        <v>2171</v>
      </c>
      <c r="B149" t="s">
        <v>2166</v>
      </c>
      <c r="C149" t="s">
        <v>198</v>
      </c>
      <c r="D149" t="s">
        <v>144</v>
      </c>
      <c r="E149">
        <v>2030</v>
      </c>
      <c r="F149" s="898" t="e">
        <f ca="1">'Bilan territorial'!AO11</f>
        <v>#REF!</v>
      </c>
    </row>
    <row r="150" spans="1:6">
      <c r="A150" t="s">
        <v>2171</v>
      </c>
      <c r="B150" t="s">
        <v>2166</v>
      </c>
      <c r="C150" t="s">
        <v>199</v>
      </c>
      <c r="D150" t="s">
        <v>144</v>
      </c>
      <c r="E150">
        <v>2030</v>
      </c>
      <c r="F150" s="898" t="e">
        <f ca="1">'Bilan territorial'!AO12</f>
        <v>#REF!</v>
      </c>
    </row>
    <row r="151" spans="1:6">
      <c r="A151" t="s">
        <v>2171</v>
      </c>
      <c r="B151" t="s">
        <v>2166</v>
      </c>
      <c r="C151" t="s">
        <v>201</v>
      </c>
      <c r="D151" t="s">
        <v>144</v>
      </c>
      <c r="E151">
        <v>2030</v>
      </c>
      <c r="F151" s="898" t="e">
        <f ca="1">'Bilan territorial'!AO15</f>
        <v>#REF!</v>
      </c>
    </row>
    <row r="152" spans="1:6">
      <c r="A152" t="s">
        <v>2171</v>
      </c>
      <c r="B152" t="s">
        <v>2166</v>
      </c>
      <c r="C152" t="s">
        <v>202</v>
      </c>
      <c r="D152" t="s">
        <v>144</v>
      </c>
      <c r="E152">
        <v>2030</v>
      </c>
      <c r="F152" s="898" t="e">
        <f ca="1">'Bilan territorial'!AO16</f>
        <v>#REF!</v>
      </c>
    </row>
    <row r="153" spans="1:6">
      <c r="A153" t="s">
        <v>2171</v>
      </c>
      <c r="B153" t="s">
        <v>2166</v>
      </c>
      <c r="C153" t="s">
        <v>203</v>
      </c>
      <c r="D153" t="s">
        <v>144</v>
      </c>
      <c r="E153">
        <v>2030</v>
      </c>
      <c r="F153" s="898" t="e">
        <f ca="1">'Bilan territorial'!AO17</f>
        <v>#REF!</v>
      </c>
    </row>
    <row r="154" spans="1:6">
      <c r="A154" t="s">
        <v>2171</v>
      </c>
      <c r="B154" t="s">
        <v>2166</v>
      </c>
      <c r="C154" t="s">
        <v>198</v>
      </c>
      <c r="D154" t="s">
        <v>158</v>
      </c>
      <c r="E154">
        <v>2030</v>
      </c>
      <c r="F154" s="898" t="e">
        <f ca="1">'Bilan territorial'!AP11</f>
        <v>#REF!</v>
      </c>
    </row>
    <row r="155" spans="1:6">
      <c r="A155" t="s">
        <v>2171</v>
      </c>
      <c r="B155" t="s">
        <v>2166</v>
      </c>
      <c r="C155" t="s">
        <v>199</v>
      </c>
      <c r="D155" t="s">
        <v>158</v>
      </c>
      <c r="E155">
        <v>2030</v>
      </c>
      <c r="F155" s="898" t="e">
        <f ca="1">'Bilan territorial'!AP12</f>
        <v>#REF!</v>
      </c>
    </row>
    <row r="156" spans="1:6">
      <c r="A156" t="s">
        <v>2171</v>
      </c>
      <c r="B156" t="s">
        <v>2166</v>
      </c>
      <c r="C156" t="s">
        <v>201</v>
      </c>
      <c r="D156" t="s">
        <v>158</v>
      </c>
      <c r="E156">
        <v>2030</v>
      </c>
      <c r="F156" s="898" t="e">
        <f ca="1">'Bilan territorial'!AP15</f>
        <v>#REF!</v>
      </c>
    </row>
    <row r="157" spans="1:6">
      <c r="A157" t="s">
        <v>2171</v>
      </c>
      <c r="B157" t="s">
        <v>2166</v>
      </c>
      <c r="C157" t="s">
        <v>202</v>
      </c>
      <c r="D157" t="s">
        <v>158</v>
      </c>
      <c r="E157">
        <v>2030</v>
      </c>
      <c r="F157" s="898" t="e">
        <f ca="1">'Bilan territorial'!AP16</f>
        <v>#REF!</v>
      </c>
    </row>
    <row r="158" spans="1:6">
      <c r="A158" t="s">
        <v>2171</v>
      </c>
      <c r="B158" t="s">
        <v>2166</v>
      </c>
      <c r="C158" t="s">
        <v>203</v>
      </c>
      <c r="D158" t="s">
        <v>158</v>
      </c>
      <c r="E158">
        <v>2030</v>
      </c>
      <c r="F158" s="898" t="e">
        <f ca="1">'Bilan territorial'!AP17</f>
        <v>#REF!</v>
      </c>
    </row>
    <row r="159" spans="1:6">
      <c r="A159" t="s">
        <v>2171</v>
      </c>
      <c r="B159" t="s">
        <v>2166</v>
      </c>
      <c r="C159" t="s">
        <v>198</v>
      </c>
      <c r="D159" t="s">
        <v>93</v>
      </c>
      <c r="E159" t="s">
        <v>1087</v>
      </c>
      <c r="F159" s="898" t="e">
        <f ca="1">'Bilan territorial'!I11</f>
        <v>#REF!</v>
      </c>
    </row>
    <row r="160" spans="1:6">
      <c r="A160" t="s">
        <v>2171</v>
      </c>
      <c r="B160" t="s">
        <v>2166</v>
      </c>
      <c r="C160" t="s">
        <v>199</v>
      </c>
      <c r="D160" t="s">
        <v>93</v>
      </c>
      <c r="E160" t="s">
        <v>1087</v>
      </c>
      <c r="F160" s="898" t="e">
        <f ca="1">'Bilan territorial'!I12</f>
        <v>#REF!</v>
      </c>
    </row>
    <row r="161" spans="1:6">
      <c r="A161" t="s">
        <v>2171</v>
      </c>
      <c r="B161" t="s">
        <v>2166</v>
      </c>
      <c r="C161" t="s">
        <v>201</v>
      </c>
      <c r="D161" t="s">
        <v>93</v>
      </c>
      <c r="E161" t="s">
        <v>1087</v>
      </c>
      <c r="F161" s="898" t="e">
        <f ca="1">'Bilan territorial'!I15</f>
        <v>#REF!</v>
      </c>
    </row>
    <row r="162" spans="1:6">
      <c r="A162" t="s">
        <v>2171</v>
      </c>
      <c r="B162" t="s">
        <v>2166</v>
      </c>
      <c r="C162" t="s">
        <v>202</v>
      </c>
      <c r="D162" t="s">
        <v>93</v>
      </c>
      <c r="E162" t="s">
        <v>1087</v>
      </c>
      <c r="F162" s="898" t="e">
        <f ca="1">'Bilan territorial'!I16</f>
        <v>#REF!</v>
      </c>
    </row>
    <row r="163" spans="1:6">
      <c r="A163" t="s">
        <v>2171</v>
      </c>
      <c r="B163" t="s">
        <v>2166</v>
      </c>
      <c r="C163" t="s">
        <v>203</v>
      </c>
      <c r="D163" t="s">
        <v>93</v>
      </c>
      <c r="E163" t="s">
        <v>1087</v>
      </c>
      <c r="F163" s="898" t="e">
        <f ca="1">'Bilan territorial'!I17</f>
        <v>#REF!</v>
      </c>
    </row>
    <row r="164" spans="1:6">
      <c r="A164" t="s">
        <v>2171</v>
      </c>
      <c r="B164" t="s">
        <v>2166</v>
      </c>
      <c r="C164" t="s">
        <v>198</v>
      </c>
      <c r="D164" t="s">
        <v>98</v>
      </c>
      <c r="E164" t="s">
        <v>1087</v>
      </c>
      <c r="F164" s="898" t="e">
        <f ca="1">'Bilan territorial'!J11</f>
        <v>#REF!</v>
      </c>
    </row>
    <row r="165" spans="1:6">
      <c r="A165" t="s">
        <v>2171</v>
      </c>
      <c r="B165" t="s">
        <v>2166</v>
      </c>
      <c r="C165" t="s">
        <v>199</v>
      </c>
      <c r="D165" t="s">
        <v>98</v>
      </c>
      <c r="E165" t="s">
        <v>1087</v>
      </c>
      <c r="F165" s="898" t="e">
        <f ca="1">'Bilan territorial'!J12</f>
        <v>#REF!</v>
      </c>
    </row>
    <row r="166" spans="1:6">
      <c r="A166" t="s">
        <v>2171</v>
      </c>
      <c r="B166" t="s">
        <v>2166</v>
      </c>
      <c r="C166" t="s">
        <v>201</v>
      </c>
      <c r="D166" t="s">
        <v>98</v>
      </c>
      <c r="E166" t="s">
        <v>1087</v>
      </c>
      <c r="F166" s="898" t="e">
        <f ca="1">'Bilan territorial'!J15</f>
        <v>#REF!</v>
      </c>
    </row>
    <row r="167" spans="1:6">
      <c r="A167" t="s">
        <v>2171</v>
      </c>
      <c r="B167" t="s">
        <v>2166</v>
      </c>
      <c r="C167" t="s">
        <v>202</v>
      </c>
      <c r="D167" t="s">
        <v>98</v>
      </c>
      <c r="E167" t="s">
        <v>1087</v>
      </c>
      <c r="F167" s="898" t="e">
        <f ca="1">'Bilan territorial'!J16</f>
        <v>#REF!</v>
      </c>
    </row>
    <row r="168" spans="1:6">
      <c r="A168" t="s">
        <v>2171</v>
      </c>
      <c r="B168" t="s">
        <v>2166</v>
      </c>
      <c r="C168" t="s">
        <v>203</v>
      </c>
      <c r="D168" t="s">
        <v>98</v>
      </c>
      <c r="E168" t="s">
        <v>1087</v>
      </c>
      <c r="F168" s="898" t="e">
        <f ca="1">'Bilan territorial'!J17</f>
        <v>#REF!</v>
      </c>
    </row>
    <row r="169" spans="1:6">
      <c r="A169" t="s">
        <v>2171</v>
      </c>
      <c r="B169" t="s">
        <v>2166</v>
      </c>
      <c r="C169" t="s">
        <v>198</v>
      </c>
      <c r="D169" t="s">
        <v>144</v>
      </c>
      <c r="E169" t="s">
        <v>1087</v>
      </c>
      <c r="F169" s="898" t="e">
        <f ca="1">'Bilan territorial'!K11</f>
        <v>#REF!</v>
      </c>
    </row>
    <row r="170" spans="1:6">
      <c r="A170" t="s">
        <v>2171</v>
      </c>
      <c r="B170" t="s">
        <v>2166</v>
      </c>
      <c r="C170" t="s">
        <v>199</v>
      </c>
      <c r="D170" t="s">
        <v>144</v>
      </c>
      <c r="E170" t="s">
        <v>1087</v>
      </c>
      <c r="F170" s="898" t="e">
        <f ca="1">'Bilan territorial'!K12</f>
        <v>#REF!</v>
      </c>
    </row>
    <row r="171" spans="1:6">
      <c r="A171" t="s">
        <v>2171</v>
      </c>
      <c r="B171" t="s">
        <v>2166</v>
      </c>
      <c r="C171" t="s">
        <v>201</v>
      </c>
      <c r="D171" t="s">
        <v>144</v>
      </c>
      <c r="E171" t="s">
        <v>1087</v>
      </c>
      <c r="F171" s="898" t="e">
        <f ca="1">'Bilan territorial'!K15</f>
        <v>#REF!</v>
      </c>
    </row>
    <row r="172" spans="1:6">
      <c r="A172" t="s">
        <v>2171</v>
      </c>
      <c r="B172" t="s">
        <v>2166</v>
      </c>
      <c r="C172" t="s">
        <v>202</v>
      </c>
      <c r="D172" t="s">
        <v>144</v>
      </c>
      <c r="E172" t="s">
        <v>1087</v>
      </c>
      <c r="F172" s="898" t="e">
        <f ca="1">'Bilan territorial'!K16</f>
        <v>#REF!</v>
      </c>
    </row>
    <row r="173" spans="1:6">
      <c r="A173" t="s">
        <v>2171</v>
      </c>
      <c r="B173" t="s">
        <v>2166</v>
      </c>
      <c r="C173" t="s">
        <v>203</v>
      </c>
      <c r="D173" t="s">
        <v>144</v>
      </c>
      <c r="E173" t="s">
        <v>1087</v>
      </c>
      <c r="F173" s="898" t="e">
        <f ca="1">'Bilan territorial'!K17</f>
        <v>#REF!</v>
      </c>
    </row>
    <row r="174" spans="1:6">
      <c r="A174" t="s">
        <v>2171</v>
      </c>
      <c r="B174" t="s">
        <v>2166</v>
      </c>
      <c r="C174" t="s">
        <v>198</v>
      </c>
      <c r="D174" t="s">
        <v>158</v>
      </c>
      <c r="E174" t="s">
        <v>1087</v>
      </c>
      <c r="F174" s="898" t="e">
        <f ca="1">'Bilan territorial'!L11</f>
        <v>#REF!</v>
      </c>
    </row>
    <row r="175" spans="1:6">
      <c r="A175" t="s">
        <v>2171</v>
      </c>
      <c r="B175" t="s">
        <v>2166</v>
      </c>
      <c r="C175" t="s">
        <v>199</v>
      </c>
      <c r="D175" t="s">
        <v>158</v>
      </c>
      <c r="E175" t="s">
        <v>1087</v>
      </c>
      <c r="F175" s="898" t="e">
        <f ca="1">'Bilan territorial'!L12</f>
        <v>#REF!</v>
      </c>
    </row>
    <row r="176" spans="1:6">
      <c r="A176" t="s">
        <v>2171</v>
      </c>
      <c r="B176" t="s">
        <v>2166</v>
      </c>
      <c r="C176" t="s">
        <v>201</v>
      </c>
      <c r="D176" t="s">
        <v>158</v>
      </c>
      <c r="E176" t="s">
        <v>1087</v>
      </c>
      <c r="F176" s="898" t="e">
        <f ca="1">'Bilan territorial'!L15</f>
        <v>#REF!</v>
      </c>
    </row>
    <row r="177" spans="1:6">
      <c r="A177" t="s">
        <v>2171</v>
      </c>
      <c r="B177" t="s">
        <v>2166</v>
      </c>
      <c r="C177" t="s">
        <v>202</v>
      </c>
      <c r="D177" t="s">
        <v>158</v>
      </c>
      <c r="E177" t="s">
        <v>1087</v>
      </c>
      <c r="F177" s="898" t="e">
        <f ca="1">'Bilan territorial'!L16</f>
        <v>#REF!</v>
      </c>
    </row>
    <row r="178" spans="1:6">
      <c r="A178" t="s">
        <v>2171</v>
      </c>
      <c r="B178" t="s">
        <v>2166</v>
      </c>
      <c r="C178" t="s">
        <v>203</v>
      </c>
      <c r="D178" t="s">
        <v>158</v>
      </c>
      <c r="E178" t="s">
        <v>1087</v>
      </c>
      <c r="F178" s="898" t="e">
        <f ca="1">'Bilan territorial'!L17</f>
        <v>#REF!</v>
      </c>
    </row>
    <row r="179" spans="1:6">
      <c r="A179" t="s">
        <v>2171</v>
      </c>
      <c r="B179" t="s">
        <v>184</v>
      </c>
      <c r="C179" t="s">
        <v>2170</v>
      </c>
      <c r="E179" t="s">
        <v>1087</v>
      </c>
      <c r="F179" s="898" t="e">
        <f ca="1">'Bilan territorial'!K61</f>
        <v>#REF!</v>
      </c>
    </row>
    <row r="180" spans="1:6">
      <c r="A180" t="s">
        <v>2171</v>
      </c>
      <c r="B180" t="s">
        <v>612</v>
      </c>
      <c r="C180" t="s">
        <v>213</v>
      </c>
      <c r="D180" t="s">
        <v>93</v>
      </c>
      <c r="E180" t="s">
        <v>1087</v>
      </c>
      <c r="F180" s="898" t="e">
        <f ca="1">'Bilan territorial'!I49</f>
        <v>#REF!</v>
      </c>
    </row>
    <row r="181" spans="1:6">
      <c r="A181" t="s">
        <v>2171</v>
      </c>
      <c r="B181" t="s">
        <v>612</v>
      </c>
      <c r="C181" t="s">
        <v>214</v>
      </c>
      <c r="D181" t="s">
        <v>93</v>
      </c>
      <c r="E181" t="s">
        <v>1087</v>
      </c>
      <c r="F181" s="898" t="e">
        <f ca="1">'Bilan territorial'!I50</f>
        <v>#REF!</v>
      </c>
    </row>
    <row r="182" spans="1:6">
      <c r="A182" t="s">
        <v>2171</v>
      </c>
      <c r="B182" t="s">
        <v>612</v>
      </c>
      <c r="C182" t="s">
        <v>215</v>
      </c>
      <c r="D182" t="s">
        <v>93</v>
      </c>
      <c r="E182" t="s">
        <v>1087</v>
      </c>
      <c r="F182" s="898" t="e">
        <f ca="1">'Bilan territorial'!I51</f>
        <v>#REF!</v>
      </c>
    </row>
    <row r="183" spans="1:6">
      <c r="A183" t="s">
        <v>2171</v>
      </c>
      <c r="B183" t="s">
        <v>612</v>
      </c>
      <c r="C183" t="s">
        <v>154</v>
      </c>
      <c r="D183" t="s">
        <v>93</v>
      </c>
      <c r="E183" t="s">
        <v>1087</v>
      </c>
      <c r="F183" s="898">
        <f>'Bilan territorial'!I52</f>
        <v>0</v>
      </c>
    </row>
    <row r="184" spans="1:6">
      <c r="A184" t="s">
        <v>2171</v>
      </c>
      <c r="B184" t="s">
        <v>612</v>
      </c>
      <c r="C184" t="s">
        <v>155</v>
      </c>
      <c r="D184" t="s">
        <v>93</v>
      </c>
      <c r="E184" t="s">
        <v>1087</v>
      </c>
      <c r="F184" s="898">
        <f>'Bilan territorial'!I53</f>
        <v>0</v>
      </c>
    </row>
    <row r="185" spans="1:6">
      <c r="A185" t="s">
        <v>2171</v>
      </c>
      <c r="B185" t="s">
        <v>612</v>
      </c>
      <c r="C185" t="s">
        <v>216</v>
      </c>
      <c r="D185" t="s">
        <v>93</v>
      </c>
      <c r="E185" t="s">
        <v>1087</v>
      </c>
      <c r="F185" s="898">
        <f>'Bilan territorial'!I54</f>
        <v>0</v>
      </c>
    </row>
    <row r="186" spans="1:6">
      <c r="A186" t="s">
        <v>2171</v>
      </c>
      <c r="B186" t="s">
        <v>612</v>
      </c>
      <c r="C186" t="s">
        <v>218</v>
      </c>
      <c r="D186" t="s">
        <v>93</v>
      </c>
      <c r="E186" t="s">
        <v>1087</v>
      </c>
      <c r="F186" s="898" t="e">
        <f ca="1">'Bilan territorial'!I55</f>
        <v>#REF!</v>
      </c>
    </row>
    <row r="187" spans="1:6">
      <c r="A187" t="s">
        <v>2171</v>
      </c>
      <c r="B187" t="s">
        <v>612</v>
      </c>
      <c r="C187" t="s">
        <v>213</v>
      </c>
      <c r="D187" t="s">
        <v>236</v>
      </c>
      <c r="E187" t="s">
        <v>1087</v>
      </c>
      <c r="F187" s="898">
        <f>'Bilan territorial'!J49</f>
        <v>0</v>
      </c>
    </row>
    <row r="188" spans="1:6">
      <c r="A188" t="s">
        <v>2171</v>
      </c>
      <c r="B188" t="s">
        <v>612</v>
      </c>
      <c r="C188" t="s">
        <v>214</v>
      </c>
      <c r="D188" t="s">
        <v>236</v>
      </c>
      <c r="E188" t="s">
        <v>1087</v>
      </c>
      <c r="F188" s="898">
        <f>'Bilan territorial'!J50</f>
        <v>0</v>
      </c>
    </row>
    <row r="189" spans="1:6">
      <c r="A189" t="s">
        <v>2171</v>
      </c>
      <c r="B189" t="s">
        <v>612</v>
      </c>
      <c r="C189" t="s">
        <v>215</v>
      </c>
      <c r="D189" t="s">
        <v>236</v>
      </c>
      <c r="E189" t="s">
        <v>1087</v>
      </c>
      <c r="F189" s="898">
        <f>'Bilan territorial'!J51</f>
        <v>0</v>
      </c>
    </row>
    <row r="190" spans="1:6">
      <c r="A190" t="s">
        <v>2171</v>
      </c>
      <c r="B190" t="s">
        <v>612</v>
      </c>
      <c r="C190" t="s">
        <v>154</v>
      </c>
      <c r="D190" t="s">
        <v>236</v>
      </c>
      <c r="E190" t="s">
        <v>1087</v>
      </c>
      <c r="F190" s="898" t="e">
        <f ca="1">'Bilan territorial'!J52</f>
        <v>#REF!</v>
      </c>
    </row>
    <row r="191" spans="1:6">
      <c r="A191" t="s">
        <v>2171</v>
      </c>
      <c r="B191" t="s">
        <v>612</v>
      </c>
      <c r="C191" t="s">
        <v>155</v>
      </c>
      <c r="D191" t="s">
        <v>236</v>
      </c>
      <c r="E191" t="s">
        <v>1087</v>
      </c>
      <c r="F191" s="898" t="e">
        <f ca="1">'Bilan territorial'!J53</f>
        <v>#REF!</v>
      </c>
    </row>
    <row r="192" spans="1:6">
      <c r="A192" t="s">
        <v>2171</v>
      </c>
      <c r="B192" t="s">
        <v>612</v>
      </c>
      <c r="C192" t="s">
        <v>216</v>
      </c>
      <c r="D192" t="s">
        <v>236</v>
      </c>
      <c r="E192" t="s">
        <v>1087</v>
      </c>
      <c r="F192" s="898" t="e">
        <f ca="1">'Bilan territorial'!J54</f>
        <v>#REF!</v>
      </c>
    </row>
    <row r="193" spans="1:6">
      <c r="A193" t="s">
        <v>2171</v>
      </c>
      <c r="B193" t="s">
        <v>612</v>
      </c>
      <c r="C193" t="s">
        <v>218</v>
      </c>
      <c r="D193" t="s">
        <v>236</v>
      </c>
      <c r="E193" t="s">
        <v>1087</v>
      </c>
      <c r="F193" s="898" t="e">
        <f ca="1">'Bilan territorial'!J55</f>
        <v>#REF!</v>
      </c>
    </row>
    <row r="194" spans="1:6">
      <c r="A194" t="s">
        <v>2171</v>
      </c>
      <c r="B194" t="s">
        <v>2166</v>
      </c>
      <c r="C194" t="s">
        <v>198</v>
      </c>
      <c r="D194" t="s">
        <v>93</v>
      </c>
      <c r="E194" t="s">
        <v>2168</v>
      </c>
      <c r="F194" s="898">
        <f ca="1">'Bilan territorial'!B11</f>
        <v>0</v>
      </c>
    </row>
    <row r="195" spans="1:6">
      <c r="A195" t="s">
        <v>2171</v>
      </c>
      <c r="B195" t="s">
        <v>2166</v>
      </c>
      <c r="C195" t="s">
        <v>199</v>
      </c>
      <c r="D195" t="s">
        <v>93</v>
      </c>
      <c r="E195" t="s">
        <v>2168</v>
      </c>
      <c r="F195" s="898">
        <f ca="1">'Bilan territorial'!B12</f>
        <v>0</v>
      </c>
    </row>
    <row r="196" spans="1:6">
      <c r="A196" t="s">
        <v>2171</v>
      </c>
      <c r="B196" t="s">
        <v>2166</v>
      </c>
      <c r="C196" t="s">
        <v>201</v>
      </c>
      <c r="D196" t="s">
        <v>93</v>
      </c>
      <c r="E196" t="s">
        <v>2168</v>
      </c>
      <c r="F196" s="898">
        <f ca="1">'Bilan territorial'!B15</f>
        <v>0</v>
      </c>
    </row>
    <row r="197" spans="1:6">
      <c r="A197" t="s">
        <v>2171</v>
      </c>
      <c r="B197" t="s">
        <v>2166</v>
      </c>
      <c r="C197" t="s">
        <v>202</v>
      </c>
      <c r="D197" t="s">
        <v>93</v>
      </c>
      <c r="E197" t="s">
        <v>2168</v>
      </c>
      <c r="F197" s="898">
        <f ca="1">'Bilan territorial'!B16</f>
        <v>0</v>
      </c>
    </row>
    <row r="198" spans="1:6">
      <c r="A198" t="s">
        <v>2171</v>
      </c>
      <c r="B198" t="s">
        <v>2166</v>
      </c>
      <c r="C198" t="s">
        <v>203</v>
      </c>
      <c r="D198" t="s">
        <v>93</v>
      </c>
      <c r="E198" t="s">
        <v>2168</v>
      </c>
      <c r="F198" s="898">
        <f ca="1">'Bilan territorial'!B17</f>
        <v>0</v>
      </c>
    </row>
    <row r="199" spans="1:6">
      <c r="A199" t="s">
        <v>2171</v>
      </c>
      <c r="B199" t="s">
        <v>2166</v>
      </c>
      <c r="C199" t="s">
        <v>198</v>
      </c>
      <c r="D199" t="s">
        <v>98</v>
      </c>
      <c r="E199" t="s">
        <v>2168</v>
      </c>
      <c r="F199" s="898">
        <f ca="1">'Bilan territorial'!C11</f>
        <v>0</v>
      </c>
    </row>
    <row r="200" spans="1:6">
      <c r="A200" t="s">
        <v>2171</v>
      </c>
      <c r="B200" t="s">
        <v>2166</v>
      </c>
      <c r="C200" t="s">
        <v>199</v>
      </c>
      <c r="D200" t="s">
        <v>98</v>
      </c>
      <c r="E200" t="s">
        <v>2168</v>
      </c>
      <c r="F200" s="898">
        <f ca="1">'Bilan territorial'!C12</f>
        <v>0</v>
      </c>
    </row>
    <row r="201" spans="1:6">
      <c r="A201" t="s">
        <v>2171</v>
      </c>
      <c r="B201" t="s">
        <v>2166</v>
      </c>
      <c r="C201" t="s">
        <v>201</v>
      </c>
      <c r="D201" t="s">
        <v>98</v>
      </c>
      <c r="E201" t="s">
        <v>2168</v>
      </c>
      <c r="F201" s="898">
        <f ca="1">'Bilan territorial'!C15</f>
        <v>0</v>
      </c>
    </row>
    <row r="202" spans="1:6">
      <c r="A202" t="s">
        <v>2171</v>
      </c>
      <c r="B202" t="s">
        <v>2166</v>
      </c>
      <c r="C202" t="s">
        <v>202</v>
      </c>
      <c r="D202" t="s">
        <v>98</v>
      </c>
      <c r="E202" t="s">
        <v>2168</v>
      </c>
      <c r="F202" s="898">
        <f ca="1">'Bilan territorial'!C16</f>
        <v>0</v>
      </c>
    </row>
    <row r="203" spans="1:6">
      <c r="A203" t="s">
        <v>2171</v>
      </c>
      <c r="B203" t="s">
        <v>2166</v>
      </c>
      <c r="C203" t="s">
        <v>203</v>
      </c>
      <c r="D203" t="s">
        <v>98</v>
      </c>
      <c r="E203" t="s">
        <v>2168</v>
      </c>
      <c r="F203" s="898">
        <f ca="1">'Bilan territorial'!C17</f>
        <v>0</v>
      </c>
    </row>
    <row r="204" spans="1:6">
      <c r="A204" t="s">
        <v>2171</v>
      </c>
      <c r="B204" t="s">
        <v>2166</v>
      </c>
      <c r="C204" t="s">
        <v>198</v>
      </c>
      <c r="D204" t="s">
        <v>144</v>
      </c>
      <c r="E204" t="s">
        <v>2168</v>
      </c>
      <c r="F204" s="898">
        <f ca="1">'Bilan territorial'!D11</f>
        <v>0</v>
      </c>
    </row>
    <row r="205" spans="1:6">
      <c r="A205" t="s">
        <v>2171</v>
      </c>
      <c r="B205" t="s">
        <v>2166</v>
      </c>
      <c r="C205" t="s">
        <v>199</v>
      </c>
      <c r="D205" t="s">
        <v>144</v>
      </c>
      <c r="E205" t="s">
        <v>2168</v>
      </c>
      <c r="F205" s="898">
        <f ca="1">'Bilan territorial'!D12</f>
        <v>0</v>
      </c>
    </row>
    <row r="206" spans="1:6">
      <c r="A206" t="s">
        <v>2171</v>
      </c>
      <c r="B206" t="s">
        <v>2166</v>
      </c>
      <c r="C206" t="s">
        <v>201</v>
      </c>
      <c r="D206" t="s">
        <v>144</v>
      </c>
      <c r="E206" t="s">
        <v>2168</v>
      </c>
      <c r="F206" s="898">
        <f ca="1">'Bilan territorial'!D15</f>
        <v>0</v>
      </c>
    </row>
    <row r="207" spans="1:6">
      <c r="A207" t="s">
        <v>2171</v>
      </c>
      <c r="B207" t="s">
        <v>2166</v>
      </c>
      <c r="C207" t="s">
        <v>202</v>
      </c>
      <c r="D207" t="s">
        <v>144</v>
      </c>
      <c r="E207" t="s">
        <v>2168</v>
      </c>
      <c r="F207" s="898">
        <f ca="1">'Bilan territorial'!D16</f>
        <v>0</v>
      </c>
    </row>
    <row r="208" spans="1:6">
      <c r="A208" t="s">
        <v>2171</v>
      </c>
      <c r="B208" t="s">
        <v>2166</v>
      </c>
      <c r="C208" t="s">
        <v>203</v>
      </c>
      <c r="D208" t="s">
        <v>144</v>
      </c>
      <c r="E208" t="s">
        <v>2168</v>
      </c>
      <c r="F208" s="898">
        <f ca="1">'Bilan territorial'!D17</f>
        <v>0</v>
      </c>
    </row>
    <row r="209" spans="1:6">
      <c r="A209" t="s">
        <v>2171</v>
      </c>
      <c r="B209" t="s">
        <v>2166</v>
      </c>
      <c r="C209" t="s">
        <v>198</v>
      </c>
      <c r="D209" t="s">
        <v>158</v>
      </c>
      <c r="E209" t="s">
        <v>2168</v>
      </c>
      <c r="F209" s="898">
        <f ca="1">'Bilan territorial'!E11</f>
        <v>0</v>
      </c>
    </row>
    <row r="210" spans="1:6">
      <c r="A210" t="s">
        <v>2171</v>
      </c>
      <c r="B210" t="s">
        <v>2166</v>
      </c>
      <c r="C210" t="s">
        <v>199</v>
      </c>
      <c r="D210" t="s">
        <v>158</v>
      </c>
      <c r="E210" t="s">
        <v>2168</v>
      </c>
      <c r="F210" s="898">
        <f ca="1">'Bilan territorial'!E12</f>
        <v>0</v>
      </c>
    </row>
    <row r="211" spans="1:6">
      <c r="A211" t="s">
        <v>2171</v>
      </c>
      <c r="B211" t="s">
        <v>2166</v>
      </c>
      <c r="C211" t="s">
        <v>201</v>
      </c>
      <c r="D211" t="s">
        <v>158</v>
      </c>
      <c r="E211" t="s">
        <v>2168</v>
      </c>
      <c r="F211" s="898">
        <f ca="1">'Bilan territorial'!E15</f>
        <v>0</v>
      </c>
    </row>
    <row r="212" spans="1:6">
      <c r="A212" t="s">
        <v>2171</v>
      </c>
      <c r="B212" t="s">
        <v>2166</v>
      </c>
      <c r="C212" t="s">
        <v>202</v>
      </c>
      <c r="D212" t="s">
        <v>158</v>
      </c>
      <c r="E212" t="s">
        <v>2168</v>
      </c>
      <c r="F212" s="898">
        <f ca="1">'Bilan territorial'!E16</f>
        <v>0</v>
      </c>
    </row>
    <row r="213" spans="1:6">
      <c r="A213" t="s">
        <v>2171</v>
      </c>
      <c r="B213" t="s">
        <v>2166</v>
      </c>
      <c r="C213" t="s">
        <v>203</v>
      </c>
      <c r="D213" t="s">
        <v>158</v>
      </c>
      <c r="E213" t="s">
        <v>2168</v>
      </c>
      <c r="F213" s="898">
        <f ca="1">'Bilan territorial'!E17</f>
        <v>0</v>
      </c>
    </row>
    <row r="214" spans="1:6">
      <c r="A214" t="s">
        <v>2171</v>
      </c>
      <c r="B214" t="s">
        <v>184</v>
      </c>
      <c r="C214" t="s">
        <v>2170</v>
      </c>
      <c r="E214" t="s">
        <v>2168</v>
      </c>
      <c r="F214" s="898" t="e">
        <f ca="1">'Bilan territorial'!D61</f>
        <v>#DIV/0!</v>
      </c>
    </row>
    <row r="215" spans="1:6">
      <c r="A215" t="s">
        <v>2171</v>
      </c>
      <c r="B215" t="s">
        <v>612</v>
      </c>
      <c r="C215" t="s">
        <v>213</v>
      </c>
      <c r="D215" t="s">
        <v>93</v>
      </c>
      <c r="E215" t="s">
        <v>2168</v>
      </c>
      <c r="F215" s="898">
        <f ca="1">'Bilan territorial'!B49</f>
        <v>0</v>
      </c>
    </row>
    <row r="216" spans="1:6">
      <c r="A216" t="s">
        <v>2171</v>
      </c>
      <c r="B216" t="s">
        <v>612</v>
      </c>
      <c r="C216" t="s">
        <v>214</v>
      </c>
      <c r="D216" t="s">
        <v>93</v>
      </c>
      <c r="E216" t="s">
        <v>2168</v>
      </c>
      <c r="F216" s="898">
        <f ca="1">'Bilan territorial'!B50</f>
        <v>0</v>
      </c>
    </row>
    <row r="217" spans="1:6">
      <c r="A217" t="s">
        <v>2171</v>
      </c>
      <c r="B217" t="s">
        <v>612</v>
      </c>
      <c r="C217" t="s">
        <v>215</v>
      </c>
      <c r="D217" t="s">
        <v>93</v>
      </c>
      <c r="E217" t="s">
        <v>2168</v>
      </c>
      <c r="F217" s="898">
        <f ca="1">'Bilan territorial'!B51</f>
        <v>0</v>
      </c>
    </row>
    <row r="218" spans="1:6">
      <c r="A218" t="s">
        <v>2171</v>
      </c>
      <c r="B218" t="s">
        <v>612</v>
      </c>
      <c r="C218" t="s">
        <v>154</v>
      </c>
      <c r="D218" t="s">
        <v>93</v>
      </c>
      <c r="E218" t="s">
        <v>2168</v>
      </c>
      <c r="F218" s="898">
        <f>'Bilan territorial'!B52</f>
        <v>0</v>
      </c>
    </row>
    <row r="219" spans="1:6">
      <c r="A219" t="s">
        <v>2171</v>
      </c>
      <c r="B219" t="s">
        <v>612</v>
      </c>
      <c r="C219" t="s">
        <v>155</v>
      </c>
      <c r="D219" t="s">
        <v>93</v>
      </c>
      <c r="E219" t="s">
        <v>2168</v>
      </c>
      <c r="F219" s="898">
        <f>'Bilan territorial'!B53</f>
        <v>0</v>
      </c>
    </row>
    <row r="220" spans="1:6">
      <c r="A220" t="s">
        <v>2171</v>
      </c>
      <c r="B220" t="s">
        <v>612</v>
      </c>
      <c r="C220" t="s">
        <v>216</v>
      </c>
      <c r="D220" t="s">
        <v>93</v>
      </c>
      <c r="E220" t="s">
        <v>2168</v>
      </c>
      <c r="F220" s="898">
        <f>'Bilan territorial'!B54</f>
        <v>0</v>
      </c>
    </row>
    <row r="221" spans="1:6">
      <c r="A221" t="s">
        <v>2171</v>
      </c>
      <c r="B221" t="s">
        <v>612</v>
      </c>
      <c r="C221" t="s">
        <v>218</v>
      </c>
      <c r="D221" t="s">
        <v>93</v>
      </c>
      <c r="E221" t="s">
        <v>2168</v>
      </c>
      <c r="F221" s="898">
        <f ca="1">'Bilan territorial'!B55</f>
        <v>0</v>
      </c>
    </row>
    <row r="222" spans="1:6">
      <c r="A222" t="s">
        <v>2171</v>
      </c>
      <c r="B222" t="s">
        <v>612</v>
      </c>
      <c r="C222" t="s">
        <v>213</v>
      </c>
      <c r="D222" t="s">
        <v>236</v>
      </c>
      <c r="E222" t="s">
        <v>2168</v>
      </c>
      <c r="F222" s="898">
        <f>'Bilan territorial'!C49</f>
        <v>0</v>
      </c>
    </row>
    <row r="223" spans="1:6">
      <c r="A223" t="s">
        <v>2171</v>
      </c>
      <c r="B223" t="s">
        <v>612</v>
      </c>
      <c r="C223" t="s">
        <v>214</v>
      </c>
      <c r="D223" t="s">
        <v>236</v>
      </c>
      <c r="E223" t="s">
        <v>2168</v>
      </c>
      <c r="F223" s="898">
        <f>'Bilan territorial'!C50</f>
        <v>0</v>
      </c>
    </row>
    <row r="224" spans="1:6">
      <c r="A224" t="s">
        <v>2171</v>
      </c>
      <c r="B224" t="s">
        <v>612</v>
      </c>
      <c r="C224" t="s">
        <v>215</v>
      </c>
      <c r="D224" t="s">
        <v>236</v>
      </c>
      <c r="E224" t="s">
        <v>2168</v>
      </c>
      <c r="F224" s="898">
        <f>'Bilan territorial'!C51</f>
        <v>0</v>
      </c>
    </row>
    <row r="225" spans="1:6">
      <c r="A225" t="s">
        <v>2171</v>
      </c>
      <c r="B225" t="s">
        <v>612</v>
      </c>
      <c r="C225" t="s">
        <v>154</v>
      </c>
      <c r="D225" t="s">
        <v>236</v>
      </c>
      <c r="E225" t="s">
        <v>2168</v>
      </c>
      <c r="F225" s="898">
        <f ca="1">'Bilan territorial'!C52</f>
        <v>0</v>
      </c>
    </row>
    <row r="226" spans="1:6">
      <c r="A226" t="s">
        <v>2171</v>
      </c>
      <c r="B226" t="s">
        <v>612</v>
      </c>
      <c r="C226" t="s">
        <v>155</v>
      </c>
      <c r="D226" t="s">
        <v>236</v>
      </c>
      <c r="E226" t="s">
        <v>2168</v>
      </c>
      <c r="F226" s="898">
        <f ca="1">'Bilan territorial'!C53</f>
        <v>0</v>
      </c>
    </row>
    <row r="227" spans="1:6">
      <c r="A227" t="s">
        <v>2171</v>
      </c>
      <c r="B227" t="s">
        <v>612</v>
      </c>
      <c r="C227" t="s">
        <v>216</v>
      </c>
      <c r="D227" t="s">
        <v>236</v>
      </c>
      <c r="E227" t="s">
        <v>2168</v>
      </c>
      <c r="F227" s="898">
        <f ca="1">'Bilan territorial'!C54</f>
        <v>0</v>
      </c>
    </row>
    <row r="228" spans="1:6">
      <c r="A228" t="s">
        <v>2171</v>
      </c>
      <c r="B228" t="s">
        <v>612</v>
      </c>
      <c r="C228" t="s">
        <v>218</v>
      </c>
      <c r="D228" t="s">
        <v>236</v>
      </c>
      <c r="E228" t="s">
        <v>2168</v>
      </c>
      <c r="F228" s="898">
        <f ca="1">'Bilan territorial'!C55</f>
        <v>0</v>
      </c>
    </row>
    <row r="229" spans="1:6">
      <c r="A229" t="s">
        <v>2171</v>
      </c>
      <c r="B229" t="s">
        <v>2172</v>
      </c>
      <c r="C229" t="s">
        <v>2173</v>
      </c>
      <c r="F229" s="898" t="str">
        <f>'Bilan territorial'!B4</f>
        <v>Réel</v>
      </c>
    </row>
    <row r="230" spans="1:6">
      <c r="A230" t="s">
        <v>2171</v>
      </c>
      <c r="B230" t="s">
        <v>2172</v>
      </c>
      <c r="C230" t="s">
        <v>2174</v>
      </c>
      <c r="F230" s="898" t="str">
        <f>'Bilan territorial'!B5</f>
        <v>OUI</v>
      </c>
    </row>
    <row r="231" spans="1:6">
      <c r="A231" t="s">
        <v>2171</v>
      </c>
      <c r="B231" t="s">
        <v>2172</v>
      </c>
      <c r="C231" t="s">
        <v>2175</v>
      </c>
      <c r="F231" s="898">
        <f>'Bilan territorial'!B6</f>
        <v>1</v>
      </c>
    </row>
    <row r="232" spans="1:6">
      <c r="A232" t="s">
        <v>2171</v>
      </c>
      <c r="B232" t="s">
        <v>2172</v>
      </c>
      <c r="C232" t="s">
        <v>2089</v>
      </c>
      <c r="F232" s="898">
        <f>'Bilan territorial'!B7</f>
        <v>1</v>
      </c>
    </row>
    <row r="233" spans="1:6">
      <c r="A233" t="s">
        <v>0</v>
      </c>
      <c r="B233" t="s">
        <v>3113</v>
      </c>
      <c r="C233" t="s">
        <v>3114</v>
      </c>
      <c r="F233" s="898" t="e">
        <f ca="1">Objectifs!F4</f>
        <v>#DIV/0!</v>
      </c>
    </row>
    <row r="234" spans="1:6">
      <c r="A234" t="s">
        <v>0</v>
      </c>
      <c r="B234" t="s">
        <v>3113</v>
      </c>
      <c r="C234" t="s">
        <v>1863</v>
      </c>
      <c r="F234" s="898" t="e">
        <f ca="1">Objectifs!F5</f>
        <v>#DIV/0!</v>
      </c>
    </row>
    <row r="235" spans="1:6">
      <c r="A235" t="s">
        <v>0</v>
      </c>
      <c r="B235" t="s">
        <v>3115</v>
      </c>
      <c r="C235" t="s">
        <v>3114</v>
      </c>
      <c r="F235" s="898" t="e">
        <f ca="1">Objectifs!G4</f>
        <v>#REF!</v>
      </c>
    </row>
    <row r="236" spans="1:6">
      <c r="A236" t="s">
        <v>0</v>
      </c>
      <c r="B236" t="s">
        <v>3115</v>
      </c>
      <c r="C236" t="s">
        <v>1863</v>
      </c>
      <c r="F236" s="898" t="e">
        <f ca="1">Objectifs!G5</f>
        <v>#REF!</v>
      </c>
    </row>
    <row r="237" spans="1:6">
      <c r="A237" t="s">
        <v>0</v>
      </c>
      <c r="B237" t="s">
        <v>3115</v>
      </c>
      <c r="C237" t="s">
        <v>3116</v>
      </c>
      <c r="F237" s="898">
        <f ca="1">Objectifs!G7</f>
        <v>0</v>
      </c>
    </row>
    <row r="238" spans="1:6">
      <c r="A238" t="s">
        <v>0</v>
      </c>
      <c r="B238" t="s">
        <v>3115</v>
      </c>
      <c r="C238" t="s">
        <v>3117</v>
      </c>
      <c r="F238" s="898" t="e">
        <f ca="1">Objectifs!G8</f>
        <v>#REF!</v>
      </c>
    </row>
    <row r="239" spans="1:6">
      <c r="A239" t="s">
        <v>0</v>
      </c>
      <c r="B239" t="s">
        <v>1087</v>
      </c>
      <c r="C239" t="s">
        <v>3114</v>
      </c>
      <c r="F239" s="898" t="e">
        <f ca="1">Objectifs!H4</f>
        <v>#DIV/0!</v>
      </c>
    </row>
    <row r="240" spans="1:6">
      <c r="A240" t="s">
        <v>0</v>
      </c>
      <c r="B240" t="s">
        <v>1087</v>
      </c>
      <c r="C240" t="s">
        <v>1863</v>
      </c>
      <c r="F240" s="898" t="e">
        <f ca="1">Objectifs!H5</f>
        <v>#DIV/0!</v>
      </c>
    </row>
    <row r="241" spans="1:6">
      <c r="A241" t="s">
        <v>0</v>
      </c>
      <c r="B241" t="s">
        <v>1087</v>
      </c>
      <c r="C241" t="s">
        <v>3116</v>
      </c>
      <c r="F241" s="898">
        <f ca="1">Objectifs!H7</f>
        <v>0</v>
      </c>
    </row>
    <row r="242" spans="1:6">
      <c r="A242" t="s">
        <v>0</v>
      </c>
      <c r="B242" t="s">
        <v>1087</v>
      </c>
      <c r="C242" t="s">
        <v>3117</v>
      </c>
      <c r="F242" s="898" t="e">
        <f ca="1">Objectifs!H8</f>
        <v>#REF!</v>
      </c>
    </row>
    <row r="243" spans="1:6">
      <c r="A243" t="s">
        <v>0</v>
      </c>
      <c r="B243" t="s">
        <v>675</v>
      </c>
      <c r="C243" t="s">
        <v>3114</v>
      </c>
      <c r="F243" s="898" t="e">
        <f ca="1">Objectifs!I4</f>
        <v>#REF!</v>
      </c>
    </row>
    <row r="244" spans="1:6">
      <c r="A244" t="s">
        <v>0</v>
      </c>
      <c r="B244" t="s">
        <v>675</v>
      </c>
      <c r="C244" t="s">
        <v>1863</v>
      </c>
      <c r="F244" s="898" t="e">
        <f ca="1">Objectifs!I5</f>
        <v>#REF!</v>
      </c>
    </row>
    <row r="245" spans="1:6">
      <c r="A245" t="s">
        <v>0</v>
      </c>
      <c r="B245" t="s">
        <v>675</v>
      </c>
      <c r="C245" t="s">
        <v>3116</v>
      </c>
      <c r="F245" s="898" t="e">
        <f ca="1">Objectifs!I7</f>
        <v>#REF!</v>
      </c>
    </row>
    <row r="246" spans="1:6">
      <c r="A246" t="s">
        <v>0</v>
      </c>
      <c r="B246" t="s">
        <v>675</v>
      </c>
      <c r="C246" t="s">
        <v>3117</v>
      </c>
      <c r="F246" s="898" t="e">
        <f ca="1">Objectifs!I8</f>
        <v>#REF!</v>
      </c>
    </row>
    <row r="247" spans="1:6">
      <c r="A247" t="s">
        <v>0</v>
      </c>
      <c r="B247" t="s">
        <v>2154</v>
      </c>
      <c r="C247" t="s">
        <v>3114</v>
      </c>
      <c r="F247" s="898" t="e">
        <f ca="1">Objectifs!J4</f>
        <v>#REF!</v>
      </c>
    </row>
    <row r="248" spans="1:6">
      <c r="A248" t="s">
        <v>0</v>
      </c>
      <c r="B248" t="s">
        <v>2154</v>
      </c>
      <c r="C248" t="s">
        <v>1863</v>
      </c>
      <c r="F248" s="898" t="e">
        <f ca="1">Objectifs!J5</f>
        <v>#REF!</v>
      </c>
    </row>
    <row r="249" spans="1:6">
      <c r="A249" t="s">
        <v>0</v>
      </c>
      <c r="B249" t="s">
        <v>2154</v>
      </c>
      <c r="C249" t="s">
        <v>3116</v>
      </c>
      <c r="F249" s="898" t="e">
        <f ca="1">Objectifs!J7</f>
        <v>#DIV/0!</v>
      </c>
    </row>
    <row r="250" spans="1:6">
      <c r="A250" t="s">
        <v>0</v>
      </c>
      <c r="B250" t="s">
        <v>2154</v>
      </c>
      <c r="C250" t="s">
        <v>3117</v>
      </c>
      <c r="F250" s="898" t="str">
        <f ca="1">Objectifs!J8</f>
        <v>+ 0 GWh/an</v>
      </c>
    </row>
    <row r="251" spans="1:6">
      <c r="A251" t="s">
        <v>0</v>
      </c>
      <c r="B251" t="s">
        <v>2166</v>
      </c>
      <c r="C251" t="s">
        <v>294</v>
      </c>
      <c r="F251" s="898">
        <f>Objectifs!C12</f>
        <v>0</v>
      </c>
    </row>
    <row r="252" spans="1:6">
      <c r="A252" t="s">
        <v>0</v>
      </c>
      <c r="B252" t="s">
        <v>2166</v>
      </c>
      <c r="C252" t="s">
        <v>160</v>
      </c>
      <c r="F252" s="898">
        <f>Objectifs!C13</f>
        <v>0</v>
      </c>
    </row>
    <row r="253" spans="1:6">
      <c r="A253" t="s">
        <v>0</v>
      </c>
      <c r="B253" t="s">
        <v>2166</v>
      </c>
      <c r="C253" t="s">
        <v>297</v>
      </c>
      <c r="F253" s="898">
        <f>Objectifs!C14</f>
        <v>0</v>
      </c>
    </row>
    <row r="254" spans="1:6">
      <c r="A254" t="s">
        <v>0</v>
      </c>
      <c r="B254" t="s">
        <v>2166</v>
      </c>
      <c r="C254" t="s">
        <v>198</v>
      </c>
      <c r="F254" s="898">
        <f>Objectifs!C15</f>
        <v>0</v>
      </c>
    </row>
    <row r="255" spans="1:6">
      <c r="A255" t="s">
        <v>0</v>
      </c>
      <c r="B255" t="s">
        <v>2166</v>
      </c>
      <c r="C255" t="s">
        <v>299</v>
      </c>
      <c r="F255" s="898">
        <f>Objectifs!C16</f>
        <v>0</v>
      </c>
    </row>
    <row r="256" spans="1:6">
      <c r="A256" t="s">
        <v>0</v>
      </c>
      <c r="B256" t="s">
        <v>2166</v>
      </c>
      <c r="C256" t="s">
        <v>201</v>
      </c>
      <c r="F256" s="898">
        <f>Objectifs!C17</f>
        <v>0</v>
      </c>
    </row>
    <row r="257" spans="1:6">
      <c r="A257" t="s">
        <v>0</v>
      </c>
      <c r="B257" t="s">
        <v>2166</v>
      </c>
      <c r="C257" t="s">
        <v>202</v>
      </c>
      <c r="F257" s="898">
        <f>Objectifs!C18</f>
        <v>0</v>
      </c>
    </row>
    <row r="258" spans="1:6">
      <c r="A258" t="s">
        <v>0</v>
      </c>
      <c r="B258" t="s">
        <v>2166</v>
      </c>
      <c r="C258" t="s">
        <v>300</v>
      </c>
      <c r="F258" s="898">
        <f>Objectifs!C19</f>
        <v>0</v>
      </c>
    </row>
    <row r="259" spans="1:6">
      <c r="A259" t="s">
        <v>0</v>
      </c>
      <c r="B259" t="s">
        <v>2179</v>
      </c>
      <c r="C259" t="s">
        <v>305</v>
      </c>
      <c r="D259" t="s">
        <v>93</v>
      </c>
      <c r="F259" s="898">
        <f>Objectifs!C24</f>
        <v>0</v>
      </c>
    </row>
    <row r="260" spans="1:6">
      <c r="A260" t="s">
        <v>0</v>
      </c>
      <c r="B260" t="s">
        <v>2179</v>
      </c>
      <c r="C260" t="s">
        <v>297</v>
      </c>
      <c r="D260" t="s">
        <v>93</v>
      </c>
      <c r="F260" s="898">
        <f>Objectifs!C25</f>
        <v>0</v>
      </c>
    </row>
    <row r="261" spans="1:6">
      <c r="A261" t="s">
        <v>0</v>
      </c>
      <c r="B261" t="s">
        <v>2179</v>
      </c>
      <c r="C261" t="s">
        <v>306</v>
      </c>
      <c r="D261" t="s">
        <v>93</v>
      </c>
      <c r="F261" s="898">
        <f>Objectifs!C26</f>
        <v>0</v>
      </c>
    </row>
    <row r="262" spans="1:6">
      <c r="A262" t="s">
        <v>0</v>
      </c>
      <c r="B262" t="s">
        <v>2179</v>
      </c>
      <c r="C262" t="s">
        <v>307</v>
      </c>
      <c r="D262" t="s">
        <v>93</v>
      </c>
      <c r="F262" s="898">
        <f>Objectifs!C27</f>
        <v>0</v>
      </c>
    </row>
    <row r="263" spans="1:6">
      <c r="A263" t="s">
        <v>0</v>
      </c>
      <c r="B263" t="s">
        <v>2179</v>
      </c>
      <c r="C263" t="s">
        <v>308</v>
      </c>
      <c r="D263" t="s">
        <v>93</v>
      </c>
      <c r="F263" s="898">
        <f>Objectifs!C28</f>
        <v>0</v>
      </c>
    </row>
    <row r="264" spans="1:6">
      <c r="A264" t="s">
        <v>0</v>
      </c>
      <c r="B264" t="s">
        <v>2179</v>
      </c>
      <c r="C264" t="s">
        <v>300</v>
      </c>
      <c r="D264" t="s">
        <v>93</v>
      </c>
      <c r="F264" s="898">
        <f>Objectifs!C29</f>
        <v>0</v>
      </c>
    </row>
    <row r="265" spans="1:6">
      <c r="A265" t="s">
        <v>0</v>
      </c>
      <c r="B265" t="s">
        <v>2179</v>
      </c>
      <c r="C265" t="s">
        <v>305</v>
      </c>
      <c r="D265" t="s">
        <v>189</v>
      </c>
      <c r="F265" s="898">
        <f>Objectifs!C31</f>
        <v>0</v>
      </c>
    </row>
    <row r="266" spans="1:6">
      <c r="A266" t="s">
        <v>0</v>
      </c>
      <c r="B266" t="s">
        <v>2179</v>
      </c>
      <c r="C266" t="s">
        <v>307</v>
      </c>
      <c r="D266" t="s">
        <v>189</v>
      </c>
      <c r="F266" s="898">
        <f>Objectifs!C32</f>
        <v>0</v>
      </c>
    </row>
    <row r="267" spans="1:6">
      <c r="A267" t="s">
        <v>0</v>
      </c>
      <c r="B267" t="s">
        <v>2179</v>
      </c>
      <c r="C267" t="s">
        <v>308</v>
      </c>
      <c r="D267" t="s">
        <v>189</v>
      </c>
      <c r="F267" s="898">
        <f>Objectifs!C33</f>
        <v>0</v>
      </c>
    </row>
    <row r="268" spans="1:6">
      <c r="A268" t="s">
        <v>0</v>
      </c>
      <c r="B268" t="s">
        <v>2179</v>
      </c>
      <c r="C268" t="s">
        <v>305</v>
      </c>
      <c r="D268" t="s">
        <v>98</v>
      </c>
      <c r="F268" s="898">
        <f>Objectifs!C39</f>
        <v>0</v>
      </c>
    </row>
    <row r="269" spans="1:6">
      <c r="A269" t="s">
        <v>0</v>
      </c>
      <c r="B269" t="s">
        <v>2179</v>
      </c>
      <c r="C269" t="s">
        <v>297</v>
      </c>
      <c r="D269" t="s">
        <v>98</v>
      </c>
      <c r="F269" s="898">
        <f>Objectifs!C40</f>
        <v>0</v>
      </c>
    </row>
    <row r="270" spans="1:6">
      <c r="A270" t="s">
        <v>0</v>
      </c>
      <c r="B270" t="s">
        <v>2179</v>
      </c>
      <c r="C270" t="s">
        <v>306</v>
      </c>
      <c r="D270" t="s">
        <v>98</v>
      </c>
      <c r="F270" s="898">
        <f>Objectifs!C41</f>
        <v>0</v>
      </c>
    </row>
    <row r="271" spans="1:6">
      <c r="A271" t="s">
        <v>0</v>
      </c>
      <c r="B271" t="s">
        <v>2179</v>
      </c>
      <c r="C271" t="s">
        <v>307</v>
      </c>
      <c r="D271" t="s">
        <v>98</v>
      </c>
      <c r="F271" s="898">
        <f>Objectifs!C42</f>
        <v>0</v>
      </c>
    </row>
    <row r="272" spans="1:6">
      <c r="A272" t="s">
        <v>0</v>
      </c>
      <c r="B272" t="s">
        <v>2179</v>
      </c>
      <c r="C272" t="s">
        <v>308</v>
      </c>
      <c r="D272" t="s">
        <v>98</v>
      </c>
      <c r="F272" s="898">
        <f>Objectifs!C43</f>
        <v>0</v>
      </c>
    </row>
    <row r="273" spans="1:6">
      <c r="A273" t="s">
        <v>0</v>
      </c>
      <c r="B273" t="s">
        <v>2179</v>
      </c>
      <c r="C273" t="s">
        <v>300</v>
      </c>
      <c r="D273" t="s">
        <v>98</v>
      </c>
      <c r="F273" s="898">
        <f>Objectifs!C44</f>
        <v>0</v>
      </c>
    </row>
    <row r="274" spans="1:6">
      <c r="A274" t="s">
        <v>0</v>
      </c>
      <c r="B274" t="s">
        <v>612</v>
      </c>
      <c r="C274" t="s">
        <v>213</v>
      </c>
      <c r="F274" s="898">
        <f>Objectifs!D48</f>
        <v>0</v>
      </c>
    </row>
    <row r="275" spans="1:6">
      <c r="A275" t="s">
        <v>0</v>
      </c>
      <c r="B275" t="s">
        <v>612</v>
      </c>
      <c r="C275" t="s">
        <v>316</v>
      </c>
      <c r="F275" s="898">
        <f>Objectifs!D49</f>
        <v>0</v>
      </c>
    </row>
    <row r="276" spans="1:6">
      <c r="A276" t="s">
        <v>0</v>
      </c>
      <c r="B276" t="s">
        <v>612</v>
      </c>
      <c r="C276" t="s">
        <v>154</v>
      </c>
      <c r="F276" s="898">
        <f>Objectifs!D50</f>
        <v>0</v>
      </c>
    </row>
    <row r="277" spans="1:6">
      <c r="A277" t="s">
        <v>0</v>
      </c>
      <c r="B277" t="s">
        <v>612</v>
      </c>
      <c r="C277" t="s">
        <v>319</v>
      </c>
      <c r="D277" t="s">
        <v>2180</v>
      </c>
      <c r="F277" s="898">
        <f>Objectifs!D51</f>
        <v>0</v>
      </c>
    </row>
    <row r="278" spans="1:6">
      <c r="A278" t="s">
        <v>0</v>
      </c>
      <c r="B278" t="s">
        <v>612</v>
      </c>
      <c r="C278" t="s">
        <v>319</v>
      </c>
      <c r="D278" t="s">
        <v>2081</v>
      </c>
      <c r="F278" s="898">
        <f>Objectifs!D52</f>
        <v>0</v>
      </c>
    </row>
    <row r="279" spans="1:6">
      <c r="A279" t="s">
        <v>0</v>
      </c>
      <c r="B279" t="s">
        <v>612</v>
      </c>
      <c r="C279" t="s">
        <v>321</v>
      </c>
      <c r="F279" s="898">
        <f>Objectifs!D53</f>
        <v>0</v>
      </c>
    </row>
    <row r="280" spans="1:6">
      <c r="A280" t="s">
        <v>0</v>
      </c>
      <c r="B280" t="s">
        <v>612</v>
      </c>
      <c r="C280" t="s">
        <v>323</v>
      </c>
      <c r="F280" s="898">
        <f>Objectifs!D54</f>
        <v>0</v>
      </c>
    </row>
    <row r="281" spans="1:6">
      <c r="A281" t="s">
        <v>0</v>
      </c>
      <c r="B281" t="s">
        <v>2181</v>
      </c>
      <c r="C281" t="s">
        <v>104</v>
      </c>
      <c r="F281" s="898">
        <f>Objectifs!C58</f>
        <v>0</v>
      </c>
    </row>
    <row r="282" spans="1:6">
      <c r="A282" t="s">
        <v>0</v>
      </c>
      <c r="B282" t="s">
        <v>2181</v>
      </c>
      <c r="C282" t="s">
        <v>105</v>
      </c>
      <c r="F282" s="898">
        <f>Objectifs!C59</f>
        <v>0</v>
      </c>
    </row>
    <row r="283" spans="1:6">
      <c r="A283" t="s">
        <v>0</v>
      </c>
      <c r="B283" t="s">
        <v>2181</v>
      </c>
      <c r="C283" t="s">
        <v>106</v>
      </c>
      <c r="F283" s="898">
        <f>Objectifs!C60</f>
        <v>0</v>
      </c>
    </row>
    <row r="284" spans="1:6">
      <c r="A284" t="s">
        <v>0</v>
      </c>
      <c r="B284" t="s">
        <v>327</v>
      </c>
      <c r="C284" t="s">
        <v>2182</v>
      </c>
      <c r="F284" s="898">
        <f>Objectifs!B65</f>
        <v>0</v>
      </c>
    </row>
    <row r="285" spans="1:6">
      <c r="A285" t="s">
        <v>0</v>
      </c>
      <c r="B285" t="s">
        <v>327</v>
      </c>
      <c r="C285" t="s">
        <v>2183</v>
      </c>
      <c r="F285" s="898">
        <f>Objectifs!B66</f>
        <v>0</v>
      </c>
    </row>
    <row r="286" spans="1:6">
      <c r="A286" t="s">
        <v>0</v>
      </c>
      <c r="B286" t="s">
        <v>327</v>
      </c>
      <c r="C286" t="s">
        <v>2184</v>
      </c>
      <c r="F286" s="898">
        <f>Objectifs!B67</f>
        <v>0</v>
      </c>
    </row>
    <row r="287" spans="1:6">
      <c r="A287" t="s">
        <v>0</v>
      </c>
      <c r="B287" t="s">
        <v>327</v>
      </c>
      <c r="C287" t="s">
        <v>2185</v>
      </c>
      <c r="F287" s="898">
        <f>Objectifs!B68</f>
        <v>0</v>
      </c>
    </row>
    <row r="288" spans="1:6">
      <c r="A288" t="s">
        <v>0</v>
      </c>
      <c r="B288" t="s">
        <v>327</v>
      </c>
      <c r="C288" t="s">
        <v>2186</v>
      </c>
      <c r="F288" s="898">
        <f>Objectifs!B69</f>
        <v>0</v>
      </c>
    </row>
    <row r="289" spans="1:6">
      <c r="A289" t="s">
        <v>0</v>
      </c>
      <c r="B289" t="s">
        <v>327</v>
      </c>
      <c r="C289" t="s">
        <v>2187</v>
      </c>
      <c r="F289" s="898">
        <f>Objectifs!B70</f>
        <v>0</v>
      </c>
    </row>
    <row r="290" spans="1:6">
      <c r="A290" t="s">
        <v>0</v>
      </c>
      <c r="B290" t="s">
        <v>327</v>
      </c>
      <c r="C290" t="s">
        <v>2188</v>
      </c>
      <c r="F290" s="898">
        <f>Objectifs!B71</f>
        <v>0</v>
      </c>
    </row>
    <row r="291" spans="1:6">
      <c r="A291" t="s">
        <v>0</v>
      </c>
      <c r="B291" t="s">
        <v>327</v>
      </c>
      <c r="C291" t="s">
        <v>2189</v>
      </c>
      <c r="F291" s="898">
        <f>Objectifs!B72</f>
        <v>0</v>
      </c>
    </row>
    <row r="292" spans="1:6">
      <c r="A292" t="s">
        <v>0</v>
      </c>
      <c r="B292" t="s">
        <v>327</v>
      </c>
      <c r="C292" t="s">
        <v>2190</v>
      </c>
      <c r="F292" s="898">
        <f>Objectifs!B73</f>
        <v>0</v>
      </c>
    </row>
    <row r="293" spans="1:6">
      <c r="A293" t="s">
        <v>0</v>
      </c>
      <c r="B293" t="s">
        <v>327</v>
      </c>
      <c r="C293" t="s">
        <v>2191</v>
      </c>
      <c r="F293" s="898">
        <f>Objectifs!B74</f>
        <v>0</v>
      </c>
    </row>
    <row r="294" spans="1:6">
      <c r="A294" t="s">
        <v>0</v>
      </c>
      <c r="B294" t="s">
        <v>327</v>
      </c>
      <c r="C294" t="s">
        <v>2192</v>
      </c>
      <c r="F294" s="898">
        <f>Objectifs!C65</f>
        <v>0</v>
      </c>
    </row>
    <row r="295" spans="1:6">
      <c r="A295" t="s">
        <v>0</v>
      </c>
      <c r="B295" t="s">
        <v>327</v>
      </c>
      <c r="C295" t="s">
        <v>2193</v>
      </c>
      <c r="F295" s="898">
        <f>Objectifs!C66</f>
        <v>0</v>
      </c>
    </row>
    <row r="296" spans="1:6">
      <c r="A296" t="s">
        <v>0</v>
      </c>
      <c r="B296" t="s">
        <v>327</v>
      </c>
      <c r="C296" t="s">
        <v>2194</v>
      </c>
      <c r="F296" s="898">
        <f>Objectifs!C67</f>
        <v>0</v>
      </c>
    </row>
    <row r="297" spans="1:6">
      <c r="A297" t="s">
        <v>0</v>
      </c>
      <c r="B297" t="s">
        <v>327</v>
      </c>
      <c r="C297" t="s">
        <v>2195</v>
      </c>
      <c r="F297" s="898">
        <f>Objectifs!C68</f>
        <v>0</v>
      </c>
    </row>
    <row r="298" spans="1:6">
      <c r="A298" t="s">
        <v>0</v>
      </c>
      <c r="B298" t="s">
        <v>327</v>
      </c>
      <c r="C298" t="s">
        <v>2196</v>
      </c>
      <c r="F298" s="898">
        <f>Objectifs!C69</f>
        <v>0</v>
      </c>
    </row>
    <row r="299" spans="1:6">
      <c r="A299" t="s">
        <v>0</v>
      </c>
      <c r="B299" t="s">
        <v>327</v>
      </c>
      <c r="C299" t="s">
        <v>2197</v>
      </c>
      <c r="F299" s="898">
        <f>Objectifs!C70</f>
        <v>0</v>
      </c>
    </row>
    <row r="300" spans="1:6">
      <c r="A300" t="s">
        <v>0</v>
      </c>
      <c r="B300" t="s">
        <v>327</v>
      </c>
      <c r="C300" t="s">
        <v>2198</v>
      </c>
      <c r="F300" s="898">
        <f>Objectifs!C71</f>
        <v>0</v>
      </c>
    </row>
    <row r="301" spans="1:6">
      <c r="A301" t="s">
        <v>0</v>
      </c>
      <c r="B301" t="s">
        <v>327</v>
      </c>
      <c r="C301" t="s">
        <v>2199</v>
      </c>
      <c r="F301" s="898">
        <f>Objectifs!C72</f>
        <v>0</v>
      </c>
    </row>
    <row r="302" spans="1:6">
      <c r="A302" t="s">
        <v>0</v>
      </c>
      <c r="B302" t="s">
        <v>327</v>
      </c>
      <c r="C302" t="s">
        <v>2200</v>
      </c>
      <c r="F302" s="898">
        <f>Objectifs!C73</f>
        <v>0</v>
      </c>
    </row>
    <row r="303" spans="1:6">
      <c r="A303" t="s">
        <v>0</v>
      </c>
      <c r="B303" t="s">
        <v>327</v>
      </c>
      <c r="C303" t="s">
        <v>2201</v>
      </c>
      <c r="F303" s="898">
        <f>Objectifs!C74</f>
        <v>0</v>
      </c>
    </row>
    <row r="304" spans="1:6">
      <c r="A304" t="s">
        <v>2176</v>
      </c>
      <c r="B304" t="s">
        <v>2177</v>
      </c>
      <c r="C304" t="s">
        <v>213</v>
      </c>
      <c r="D304" t="s">
        <v>93</v>
      </c>
      <c r="F304" s="898">
        <f>'Potentiel EnR'!C16</f>
        <v>0</v>
      </c>
    </row>
    <row r="305" spans="1:6">
      <c r="A305" t="s">
        <v>2176</v>
      </c>
      <c r="B305" t="s">
        <v>2177</v>
      </c>
      <c r="C305" t="s">
        <v>214</v>
      </c>
      <c r="D305" t="s">
        <v>93</v>
      </c>
      <c r="F305" s="898">
        <f>'Potentiel EnR'!C17</f>
        <v>0</v>
      </c>
    </row>
    <row r="306" spans="1:6">
      <c r="A306" t="s">
        <v>2176</v>
      </c>
      <c r="B306" t="s">
        <v>2177</v>
      </c>
      <c r="C306" t="s">
        <v>189</v>
      </c>
      <c r="D306" t="s">
        <v>93</v>
      </c>
      <c r="F306" s="898">
        <f>'Potentiel EnR'!C18</f>
        <v>0</v>
      </c>
    </row>
    <row r="307" spans="1:6">
      <c r="A307" t="s">
        <v>2176</v>
      </c>
      <c r="B307" t="s">
        <v>2177</v>
      </c>
      <c r="C307" t="s">
        <v>259</v>
      </c>
      <c r="D307" t="s">
        <v>93</v>
      </c>
      <c r="F307" s="898">
        <f>'Potentiel EnR'!C19</f>
        <v>0</v>
      </c>
    </row>
    <row r="308" spans="1:6">
      <c r="A308" t="s">
        <v>2176</v>
      </c>
      <c r="B308" t="s">
        <v>2177</v>
      </c>
      <c r="C308" t="s">
        <v>260</v>
      </c>
      <c r="D308" t="s">
        <v>93</v>
      </c>
      <c r="F308" s="898">
        <f>'Potentiel EnR'!C20</f>
        <v>0</v>
      </c>
    </row>
    <row r="309" spans="1:6">
      <c r="A309" t="s">
        <v>2176</v>
      </c>
      <c r="B309" t="s">
        <v>2177</v>
      </c>
      <c r="C309" t="s">
        <v>154</v>
      </c>
      <c r="D309" t="s">
        <v>93</v>
      </c>
      <c r="F309" s="898">
        <f>'Potentiel EnR'!C21</f>
        <v>0</v>
      </c>
    </row>
    <row r="310" spans="1:6">
      <c r="A310" t="s">
        <v>2176</v>
      </c>
      <c r="B310" t="s">
        <v>2177</v>
      </c>
      <c r="C310" t="s">
        <v>261</v>
      </c>
      <c r="D310" t="s">
        <v>93</v>
      </c>
      <c r="F310" s="898">
        <f>'Potentiel EnR'!C22</f>
        <v>0</v>
      </c>
    </row>
    <row r="311" spans="1:6">
      <c r="A311" t="s">
        <v>2176</v>
      </c>
      <c r="B311" t="s">
        <v>2177</v>
      </c>
      <c r="C311" t="s">
        <v>2178</v>
      </c>
      <c r="D311" t="s">
        <v>93</v>
      </c>
      <c r="F311" s="898">
        <f>'Potentiel EnR'!C23</f>
        <v>0</v>
      </c>
    </row>
    <row r="312" spans="1:6">
      <c r="A312" t="s">
        <v>2176</v>
      </c>
      <c r="B312" t="s">
        <v>2177</v>
      </c>
      <c r="C312" t="s">
        <v>213</v>
      </c>
      <c r="D312" t="s">
        <v>236</v>
      </c>
      <c r="F312" s="898">
        <f>'Potentiel EnR'!D16</f>
        <v>0</v>
      </c>
    </row>
    <row r="313" spans="1:6">
      <c r="A313" t="s">
        <v>2176</v>
      </c>
      <c r="B313" t="s">
        <v>2177</v>
      </c>
      <c r="C313" t="s">
        <v>214</v>
      </c>
      <c r="D313" t="s">
        <v>236</v>
      </c>
      <c r="F313" s="898">
        <f>'Potentiel EnR'!D17</f>
        <v>0</v>
      </c>
    </row>
    <row r="314" spans="1:6">
      <c r="A314" t="s">
        <v>2176</v>
      </c>
      <c r="B314" t="s">
        <v>2177</v>
      </c>
      <c r="C314" t="s">
        <v>189</v>
      </c>
      <c r="D314" t="s">
        <v>236</v>
      </c>
      <c r="F314" s="898">
        <f>'Potentiel EnR'!D18</f>
        <v>0</v>
      </c>
    </row>
    <row r="315" spans="1:6">
      <c r="A315" t="s">
        <v>2176</v>
      </c>
      <c r="B315" t="s">
        <v>2177</v>
      </c>
      <c r="C315" t="s">
        <v>259</v>
      </c>
      <c r="D315" t="s">
        <v>236</v>
      </c>
      <c r="F315" s="898">
        <f>'Potentiel EnR'!D19</f>
        <v>0</v>
      </c>
    </row>
    <row r="316" spans="1:6">
      <c r="A316" t="s">
        <v>2176</v>
      </c>
      <c r="B316" t="s">
        <v>2177</v>
      </c>
      <c r="C316" t="s">
        <v>260</v>
      </c>
      <c r="D316" t="s">
        <v>236</v>
      </c>
      <c r="F316" s="898">
        <f>'Potentiel EnR'!D20</f>
        <v>0</v>
      </c>
    </row>
    <row r="317" spans="1:6">
      <c r="A317" t="s">
        <v>2176</v>
      </c>
      <c r="B317" t="s">
        <v>2177</v>
      </c>
      <c r="C317" t="s">
        <v>154</v>
      </c>
      <c r="D317" t="s">
        <v>236</v>
      </c>
      <c r="F317" s="898">
        <f>'Potentiel EnR'!D21</f>
        <v>0</v>
      </c>
    </row>
    <row r="318" spans="1:6">
      <c r="A318" t="s">
        <v>2176</v>
      </c>
      <c r="B318" t="s">
        <v>2177</v>
      </c>
      <c r="C318" t="s">
        <v>261</v>
      </c>
      <c r="D318" t="s">
        <v>236</v>
      </c>
      <c r="F318" s="898">
        <f>'Potentiel EnR'!D22</f>
        <v>0</v>
      </c>
    </row>
    <row r="319" spans="1:6">
      <c r="A319" t="s">
        <v>2176</v>
      </c>
      <c r="B319" t="s">
        <v>2177</v>
      </c>
      <c r="C319" t="s">
        <v>2178</v>
      </c>
      <c r="D319" t="s">
        <v>236</v>
      </c>
      <c r="F319" s="898">
        <f>'Potentiel EnR'!D23</f>
        <v>0</v>
      </c>
    </row>
    <row r="320" spans="1:6">
      <c r="A320" t="s">
        <v>2807</v>
      </c>
      <c r="B320" t="s">
        <v>2791</v>
      </c>
      <c r="C320">
        <v>1</v>
      </c>
      <c r="F320" s="898">
        <f>'Actions bâtiments communaux'!A4</f>
        <v>0</v>
      </c>
    </row>
    <row r="321" spans="1:6">
      <c r="A321" t="s">
        <v>2807</v>
      </c>
      <c r="B321" t="s">
        <v>2791</v>
      </c>
      <c r="C321">
        <v>2</v>
      </c>
      <c r="F321" s="898">
        <f>'Actions bâtiments communaux'!A5</f>
        <v>0</v>
      </c>
    </row>
    <row r="322" spans="1:6">
      <c r="A322" t="s">
        <v>2807</v>
      </c>
      <c r="B322" t="s">
        <v>2791</v>
      </c>
      <c r="C322">
        <v>3</v>
      </c>
      <c r="F322" s="898">
        <f>'Actions bâtiments communaux'!A6</f>
        <v>0</v>
      </c>
    </row>
    <row r="323" spans="1:6">
      <c r="A323" t="s">
        <v>2807</v>
      </c>
      <c r="B323" t="s">
        <v>2791</v>
      </c>
      <c r="C323">
        <v>4</v>
      </c>
      <c r="F323" s="898">
        <f>'Actions bâtiments communaux'!A7</f>
        <v>0</v>
      </c>
    </row>
    <row r="324" spans="1:6">
      <c r="A324" t="s">
        <v>2807</v>
      </c>
      <c r="B324" t="s">
        <v>2791</v>
      </c>
      <c r="C324">
        <v>5</v>
      </c>
      <c r="F324" s="898">
        <f>'Actions bâtiments communaux'!A8</f>
        <v>0</v>
      </c>
    </row>
    <row r="325" spans="1:6">
      <c r="A325" t="s">
        <v>2807</v>
      </c>
      <c r="B325" t="s">
        <v>2791</v>
      </c>
      <c r="C325">
        <v>6</v>
      </c>
      <c r="F325" s="898">
        <f>'Actions bâtiments communaux'!A9</f>
        <v>0</v>
      </c>
    </row>
    <row r="326" spans="1:6">
      <c r="A326" t="s">
        <v>2807</v>
      </c>
      <c r="B326" t="s">
        <v>2791</v>
      </c>
      <c r="C326">
        <v>7</v>
      </c>
      <c r="F326" s="898">
        <f>'Actions bâtiments communaux'!A10</f>
        <v>0</v>
      </c>
    </row>
    <row r="327" spans="1:6">
      <c r="A327" t="s">
        <v>2807</v>
      </c>
      <c r="B327" t="s">
        <v>2791</v>
      </c>
      <c r="C327">
        <v>8</v>
      </c>
      <c r="F327" s="898">
        <f>'Actions bâtiments communaux'!A11</f>
        <v>0</v>
      </c>
    </row>
    <row r="328" spans="1:6">
      <c r="A328" t="s">
        <v>2807</v>
      </c>
      <c r="B328" t="s">
        <v>2791</v>
      </c>
      <c r="C328">
        <v>9</v>
      </c>
      <c r="F328" s="898">
        <f>'Actions bâtiments communaux'!A12</f>
        <v>0</v>
      </c>
    </row>
    <row r="329" spans="1:6">
      <c r="A329" t="s">
        <v>2807</v>
      </c>
      <c r="B329" t="s">
        <v>2791</v>
      </c>
      <c r="C329">
        <v>10</v>
      </c>
      <c r="F329" s="898">
        <f>'Actions bâtiments communaux'!A13</f>
        <v>0</v>
      </c>
    </row>
    <row r="330" spans="1:6">
      <c r="A330" t="s">
        <v>2807</v>
      </c>
      <c r="B330" t="s">
        <v>2791</v>
      </c>
      <c r="C330">
        <v>11</v>
      </c>
      <c r="F330" s="898">
        <f>'Actions bâtiments communaux'!A14</f>
        <v>0</v>
      </c>
    </row>
    <row r="331" spans="1:6">
      <c r="A331" t="s">
        <v>2807</v>
      </c>
      <c r="B331" t="s">
        <v>2791</v>
      </c>
      <c r="C331">
        <v>12</v>
      </c>
      <c r="F331" s="898">
        <f>'Actions bâtiments communaux'!A15</f>
        <v>0</v>
      </c>
    </row>
    <row r="332" spans="1:6">
      <c r="A332" t="s">
        <v>2807</v>
      </c>
      <c r="B332" t="s">
        <v>2791</v>
      </c>
      <c r="C332">
        <v>13</v>
      </c>
      <c r="F332" s="898">
        <f>'Actions bâtiments communaux'!A16</f>
        <v>0</v>
      </c>
    </row>
    <row r="333" spans="1:6">
      <c r="A333" t="s">
        <v>2807</v>
      </c>
      <c r="B333" t="s">
        <v>2791</v>
      </c>
      <c r="C333">
        <v>14</v>
      </c>
      <c r="F333" s="898">
        <f>'Actions bâtiments communaux'!A17</f>
        <v>0</v>
      </c>
    </row>
    <row r="334" spans="1:6">
      <c r="A334" t="s">
        <v>2807</v>
      </c>
      <c r="B334" t="s">
        <v>2791</v>
      </c>
      <c r="C334">
        <v>15</v>
      </c>
      <c r="F334" s="898">
        <f>'Actions bâtiments communaux'!A18</f>
        <v>0</v>
      </c>
    </row>
    <row r="335" spans="1:6">
      <c r="A335" t="s">
        <v>2807</v>
      </c>
      <c r="B335" t="s">
        <v>2791</v>
      </c>
      <c r="C335">
        <v>16</v>
      </c>
      <c r="F335" s="898">
        <f>'Actions bâtiments communaux'!A19</f>
        <v>0</v>
      </c>
    </row>
    <row r="336" spans="1:6">
      <c r="A336" t="s">
        <v>2807</v>
      </c>
      <c r="B336" t="s">
        <v>2791</v>
      </c>
      <c r="C336">
        <v>17</v>
      </c>
      <c r="F336" s="898">
        <f>'Actions bâtiments communaux'!A20</f>
        <v>0</v>
      </c>
    </row>
    <row r="337" spans="1:6">
      <c r="A337" t="s">
        <v>2807</v>
      </c>
      <c r="B337" t="s">
        <v>2791</v>
      </c>
      <c r="C337">
        <v>18</v>
      </c>
      <c r="F337" s="898">
        <f>'Actions bâtiments communaux'!A21</f>
        <v>0</v>
      </c>
    </row>
    <row r="338" spans="1:6">
      <c r="A338" t="s">
        <v>2807</v>
      </c>
      <c r="B338" t="s">
        <v>2791</v>
      </c>
      <c r="C338">
        <v>19</v>
      </c>
      <c r="F338" s="898">
        <f>'Actions bâtiments communaux'!A22</f>
        <v>0</v>
      </c>
    </row>
    <row r="339" spans="1:6">
      <c r="A339" t="s">
        <v>2807</v>
      </c>
      <c r="B339" t="s">
        <v>2791</v>
      </c>
      <c r="C339">
        <v>20</v>
      </c>
      <c r="F339" s="898">
        <f>'Actions bâtiments communaux'!A23</f>
        <v>0</v>
      </c>
    </row>
    <row r="340" spans="1:6">
      <c r="A340" t="s">
        <v>2807</v>
      </c>
      <c r="B340" t="s">
        <v>2791</v>
      </c>
      <c r="C340">
        <v>21</v>
      </c>
      <c r="F340" s="898">
        <f>'Actions bâtiments communaux'!A24</f>
        <v>0</v>
      </c>
    </row>
    <row r="341" spans="1:6">
      <c r="A341" t="s">
        <v>2807</v>
      </c>
      <c r="B341" t="s">
        <v>2791</v>
      </c>
      <c r="C341">
        <v>22</v>
      </c>
      <c r="F341" s="898">
        <f>'Actions bâtiments communaux'!A25</f>
        <v>0</v>
      </c>
    </row>
    <row r="342" spans="1:6">
      <c r="A342" t="s">
        <v>2807</v>
      </c>
      <c r="B342" t="s">
        <v>2791</v>
      </c>
      <c r="C342">
        <v>23</v>
      </c>
      <c r="F342" s="898">
        <f>'Actions bâtiments communaux'!A26</f>
        <v>0</v>
      </c>
    </row>
    <row r="343" spans="1:6">
      <c r="A343" t="s">
        <v>2807</v>
      </c>
      <c r="B343" t="s">
        <v>2791</v>
      </c>
      <c r="C343">
        <v>24</v>
      </c>
      <c r="F343" s="898">
        <f>'Actions bâtiments communaux'!A27</f>
        <v>0</v>
      </c>
    </row>
    <row r="344" spans="1:6">
      <c r="A344" t="s">
        <v>2807</v>
      </c>
      <c r="B344" t="s">
        <v>1177</v>
      </c>
      <c r="C344">
        <v>1</v>
      </c>
      <c r="F344" s="898">
        <f>'Actions bâtiments communaux'!B4</f>
        <v>0</v>
      </c>
    </row>
    <row r="345" spans="1:6">
      <c r="A345" t="s">
        <v>2807</v>
      </c>
      <c r="B345" t="s">
        <v>1177</v>
      </c>
      <c r="C345">
        <v>2</v>
      </c>
      <c r="F345" s="898">
        <f>'Actions bâtiments communaux'!B5</f>
        <v>0</v>
      </c>
    </row>
    <row r="346" spans="1:6">
      <c r="A346" t="s">
        <v>2807</v>
      </c>
      <c r="B346" t="s">
        <v>1177</v>
      </c>
      <c r="C346">
        <v>3</v>
      </c>
      <c r="F346" s="898">
        <f>'Actions bâtiments communaux'!B6</f>
        <v>0</v>
      </c>
    </row>
    <row r="347" spans="1:6">
      <c r="A347" t="s">
        <v>2807</v>
      </c>
      <c r="B347" t="s">
        <v>1177</v>
      </c>
      <c r="C347">
        <v>4</v>
      </c>
      <c r="F347" s="898">
        <f>'Actions bâtiments communaux'!B7</f>
        <v>0</v>
      </c>
    </row>
    <row r="348" spans="1:6">
      <c r="A348" t="s">
        <v>2807</v>
      </c>
      <c r="B348" t="s">
        <v>1177</v>
      </c>
      <c r="C348">
        <v>5</v>
      </c>
      <c r="F348" s="898">
        <f>'Actions bâtiments communaux'!B8</f>
        <v>0</v>
      </c>
    </row>
    <row r="349" spans="1:6">
      <c r="A349" t="s">
        <v>2807</v>
      </c>
      <c r="B349" t="s">
        <v>1177</v>
      </c>
      <c r="C349">
        <v>6</v>
      </c>
      <c r="F349" s="898">
        <f>'Actions bâtiments communaux'!B9</f>
        <v>0</v>
      </c>
    </row>
    <row r="350" spans="1:6">
      <c r="A350" t="s">
        <v>2807</v>
      </c>
      <c r="B350" t="s">
        <v>1177</v>
      </c>
      <c r="C350">
        <v>7</v>
      </c>
      <c r="F350" s="898">
        <f>'Actions bâtiments communaux'!B10</f>
        <v>0</v>
      </c>
    </row>
    <row r="351" spans="1:6">
      <c r="A351" t="s">
        <v>2807</v>
      </c>
      <c r="B351" t="s">
        <v>1177</v>
      </c>
      <c r="C351">
        <v>8</v>
      </c>
      <c r="F351" s="898">
        <f>'Actions bâtiments communaux'!B11</f>
        <v>0</v>
      </c>
    </row>
    <row r="352" spans="1:6">
      <c r="A352" t="s">
        <v>2807</v>
      </c>
      <c r="B352" t="s">
        <v>1177</v>
      </c>
      <c r="C352">
        <v>9</v>
      </c>
      <c r="F352" s="898">
        <f>'Actions bâtiments communaux'!B12</f>
        <v>0</v>
      </c>
    </row>
    <row r="353" spans="1:6">
      <c r="A353" t="s">
        <v>2807</v>
      </c>
      <c r="B353" t="s">
        <v>1177</v>
      </c>
      <c r="C353">
        <v>10</v>
      </c>
      <c r="F353" s="898">
        <f>'Actions bâtiments communaux'!B13</f>
        <v>0</v>
      </c>
    </row>
    <row r="354" spans="1:6">
      <c r="A354" t="s">
        <v>2807</v>
      </c>
      <c r="B354" t="s">
        <v>1177</v>
      </c>
      <c r="C354">
        <v>11</v>
      </c>
      <c r="F354" s="898">
        <f>'Actions bâtiments communaux'!B14</f>
        <v>0</v>
      </c>
    </row>
    <row r="355" spans="1:6">
      <c r="A355" t="s">
        <v>2807</v>
      </c>
      <c r="B355" t="s">
        <v>1177</v>
      </c>
      <c r="C355">
        <v>12</v>
      </c>
      <c r="F355" s="898">
        <f>'Actions bâtiments communaux'!B15</f>
        <v>0</v>
      </c>
    </row>
    <row r="356" spans="1:6">
      <c r="A356" t="s">
        <v>2807</v>
      </c>
      <c r="B356" t="s">
        <v>1177</v>
      </c>
      <c r="C356">
        <v>13</v>
      </c>
      <c r="F356" s="898">
        <f>'Actions bâtiments communaux'!B16</f>
        <v>0</v>
      </c>
    </row>
    <row r="357" spans="1:6">
      <c r="A357" t="s">
        <v>2807</v>
      </c>
      <c r="B357" t="s">
        <v>1177</v>
      </c>
      <c r="C357">
        <v>14</v>
      </c>
      <c r="F357" s="898">
        <f>'Actions bâtiments communaux'!B17</f>
        <v>0</v>
      </c>
    </row>
    <row r="358" spans="1:6">
      <c r="A358" t="s">
        <v>2807</v>
      </c>
      <c r="B358" t="s">
        <v>1177</v>
      </c>
      <c r="C358">
        <v>15</v>
      </c>
      <c r="F358" s="898">
        <f>'Actions bâtiments communaux'!B18</f>
        <v>0</v>
      </c>
    </row>
    <row r="359" spans="1:6">
      <c r="A359" t="s">
        <v>2807</v>
      </c>
      <c r="B359" t="s">
        <v>1177</v>
      </c>
      <c r="C359">
        <v>16</v>
      </c>
      <c r="F359" s="898">
        <f>'Actions bâtiments communaux'!B19</f>
        <v>0</v>
      </c>
    </row>
    <row r="360" spans="1:6">
      <c r="A360" t="s">
        <v>2807</v>
      </c>
      <c r="B360" t="s">
        <v>1177</v>
      </c>
      <c r="C360">
        <v>17</v>
      </c>
      <c r="F360" s="898">
        <f>'Actions bâtiments communaux'!B20</f>
        <v>0</v>
      </c>
    </row>
    <row r="361" spans="1:6">
      <c r="A361" t="s">
        <v>2807</v>
      </c>
      <c r="B361" t="s">
        <v>1177</v>
      </c>
      <c r="C361">
        <v>18</v>
      </c>
      <c r="F361" s="898">
        <f>'Actions bâtiments communaux'!B21</f>
        <v>0</v>
      </c>
    </row>
    <row r="362" spans="1:6">
      <c r="A362" t="s">
        <v>2807</v>
      </c>
      <c r="B362" t="s">
        <v>1177</v>
      </c>
      <c r="C362">
        <v>19</v>
      </c>
      <c r="F362" s="898">
        <f>'Actions bâtiments communaux'!B22</f>
        <v>0</v>
      </c>
    </row>
    <row r="363" spans="1:6">
      <c r="A363" t="s">
        <v>2807</v>
      </c>
      <c r="B363" t="s">
        <v>1177</v>
      </c>
      <c r="C363">
        <v>20</v>
      </c>
      <c r="F363" s="898">
        <f>'Actions bâtiments communaux'!B23</f>
        <v>0</v>
      </c>
    </row>
    <row r="364" spans="1:6">
      <c r="A364" t="s">
        <v>2807</v>
      </c>
      <c r="B364" t="s">
        <v>1177</v>
      </c>
      <c r="C364">
        <v>21</v>
      </c>
      <c r="F364" s="898">
        <f>'Actions bâtiments communaux'!B24</f>
        <v>0</v>
      </c>
    </row>
    <row r="365" spans="1:6">
      <c r="A365" t="s">
        <v>2807</v>
      </c>
      <c r="B365" t="s">
        <v>1177</v>
      </c>
      <c r="C365">
        <v>22</v>
      </c>
      <c r="F365" s="898">
        <f>'Actions bâtiments communaux'!B25</f>
        <v>0</v>
      </c>
    </row>
    <row r="366" spans="1:6">
      <c r="A366" t="s">
        <v>2807</v>
      </c>
      <c r="B366" t="s">
        <v>1177</v>
      </c>
      <c r="C366">
        <v>23</v>
      </c>
      <c r="F366" s="898">
        <f>'Actions bâtiments communaux'!B26</f>
        <v>0</v>
      </c>
    </row>
    <row r="367" spans="1:6">
      <c r="A367" t="s">
        <v>2807</v>
      </c>
      <c r="B367" t="s">
        <v>1177</v>
      </c>
      <c r="C367">
        <v>24</v>
      </c>
      <c r="F367" s="898">
        <f>'Actions bâtiments communaux'!B27</f>
        <v>0</v>
      </c>
    </row>
    <row r="368" spans="1:6">
      <c r="A368" t="s">
        <v>2807</v>
      </c>
      <c r="B368" t="s">
        <v>719</v>
      </c>
      <c r="C368">
        <v>1</v>
      </c>
      <c r="F368" s="898">
        <f>'Actions bâtiments communaux'!C4</f>
        <v>0</v>
      </c>
    </row>
    <row r="369" spans="1:6">
      <c r="A369" t="s">
        <v>2807</v>
      </c>
      <c r="B369" t="s">
        <v>719</v>
      </c>
      <c r="C369">
        <v>2</v>
      </c>
      <c r="F369" s="898">
        <f>'Actions bâtiments communaux'!C5</f>
        <v>0</v>
      </c>
    </row>
    <row r="370" spans="1:6">
      <c r="A370" t="s">
        <v>2807</v>
      </c>
      <c r="B370" t="s">
        <v>719</v>
      </c>
      <c r="C370">
        <v>3</v>
      </c>
      <c r="F370" s="898">
        <f>'Actions bâtiments communaux'!C6</f>
        <v>0</v>
      </c>
    </row>
    <row r="371" spans="1:6">
      <c r="A371" t="s">
        <v>2807</v>
      </c>
      <c r="B371" t="s">
        <v>719</v>
      </c>
      <c r="C371">
        <v>4</v>
      </c>
      <c r="F371" s="898">
        <f>'Actions bâtiments communaux'!C7</f>
        <v>0</v>
      </c>
    </row>
    <row r="372" spans="1:6">
      <c r="A372" t="s">
        <v>2807</v>
      </c>
      <c r="B372" t="s">
        <v>719</v>
      </c>
      <c r="C372">
        <v>5</v>
      </c>
      <c r="F372" s="898">
        <f>'Actions bâtiments communaux'!C8</f>
        <v>0</v>
      </c>
    </row>
    <row r="373" spans="1:6">
      <c r="A373" t="s">
        <v>2807</v>
      </c>
      <c r="B373" t="s">
        <v>719</v>
      </c>
      <c r="C373">
        <v>6</v>
      </c>
      <c r="F373" s="898">
        <f>'Actions bâtiments communaux'!C9</f>
        <v>0</v>
      </c>
    </row>
    <row r="374" spans="1:6">
      <c r="A374" t="s">
        <v>2807</v>
      </c>
      <c r="B374" t="s">
        <v>719</v>
      </c>
      <c r="C374">
        <v>7</v>
      </c>
      <c r="F374" s="898">
        <f>'Actions bâtiments communaux'!C10</f>
        <v>0</v>
      </c>
    </row>
    <row r="375" spans="1:6">
      <c r="A375" t="s">
        <v>2807</v>
      </c>
      <c r="B375" t="s">
        <v>719</v>
      </c>
      <c r="C375">
        <v>8</v>
      </c>
      <c r="F375" s="898">
        <f>'Actions bâtiments communaux'!C11</f>
        <v>0</v>
      </c>
    </row>
    <row r="376" spans="1:6">
      <c r="A376" t="s">
        <v>2807</v>
      </c>
      <c r="B376" t="s">
        <v>719</v>
      </c>
      <c r="C376">
        <v>9</v>
      </c>
      <c r="F376" s="898">
        <f>'Actions bâtiments communaux'!C12</f>
        <v>0</v>
      </c>
    </row>
    <row r="377" spans="1:6">
      <c r="A377" t="s">
        <v>2807</v>
      </c>
      <c r="B377" t="s">
        <v>719</v>
      </c>
      <c r="C377">
        <v>10</v>
      </c>
      <c r="F377" s="898">
        <f>'Actions bâtiments communaux'!C13</f>
        <v>0</v>
      </c>
    </row>
    <row r="378" spans="1:6">
      <c r="A378" t="s">
        <v>2807</v>
      </c>
      <c r="B378" t="s">
        <v>719</v>
      </c>
      <c r="C378">
        <v>11</v>
      </c>
      <c r="F378" s="898">
        <f>'Actions bâtiments communaux'!C14</f>
        <v>0</v>
      </c>
    </row>
    <row r="379" spans="1:6">
      <c r="A379" t="s">
        <v>2807</v>
      </c>
      <c r="B379" t="s">
        <v>719</v>
      </c>
      <c r="C379">
        <v>12</v>
      </c>
      <c r="F379" s="898">
        <f>'Actions bâtiments communaux'!C15</f>
        <v>0</v>
      </c>
    </row>
    <row r="380" spans="1:6">
      <c r="A380" t="s">
        <v>2807</v>
      </c>
      <c r="B380" t="s">
        <v>719</v>
      </c>
      <c r="C380">
        <v>13</v>
      </c>
      <c r="F380" s="898">
        <f>'Actions bâtiments communaux'!C16</f>
        <v>0</v>
      </c>
    </row>
    <row r="381" spans="1:6">
      <c r="A381" t="s">
        <v>2807</v>
      </c>
      <c r="B381" t="s">
        <v>719</v>
      </c>
      <c r="C381">
        <v>14</v>
      </c>
      <c r="F381" s="898">
        <f>'Actions bâtiments communaux'!C17</f>
        <v>0</v>
      </c>
    </row>
    <row r="382" spans="1:6">
      <c r="A382" t="s">
        <v>2807</v>
      </c>
      <c r="B382" t="s">
        <v>719</v>
      </c>
      <c r="C382">
        <v>15</v>
      </c>
      <c r="F382" s="898">
        <f>'Actions bâtiments communaux'!C18</f>
        <v>0</v>
      </c>
    </row>
    <row r="383" spans="1:6">
      <c r="A383" t="s">
        <v>2807</v>
      </c>
      <c r="B383" t="s">
        <v>719</v>
      </c>
      <c r="C383">
        <v>16</v>
      </c>
      <c r="F383" s="898">
        <f>'Actions bâtiments communaux'!C19</f>
        <v>0</v>
      </c>
    </row>
    <row r="384" spans="1:6">
      <c r="A384" t="s">
        <v>2807</v>
      </c>
      <c r="B384" t="s">
        <v>719</v>
      </c>
      <c r="C384">
        <v>17</v>
      </c>
      <c r="F384" s="898">
        <f>'Actions bâtiments communaux'!C20</f>
        <v>0</v>
      </c>
    </row>
    <row r="385" spans="1:6">
      <c r="A385" t="s">
        <v>2807</v>
      </c>
      <c r="B385" t="s">
        <v>719</v>
      </c>
      <c r="C385">
        <v>18</v>
      </c>
      <c r="F385" s="898">
        <f>'Actions bâtiments communaux'!C21</f>
        <v>0</v>
      </c>
    </row>
    <row r="386" spans="1:6">
      <c r="A386" t="s">
        <v>2807</v>
      </c>
      <c r="B386" t="s">
        <v>719</v>
      </c>
      <c r="C386">
        <v>19</v>
      </c>
      <c r="F386" s="898">
        <f>'Actions bâtiments communaux'!C22</f>
        <v>0</v>
      </c>
    </row>
    <row r="387" spans="1:6">
      <c r="A387" t="s">
        <v>2807</v>
      </c>
      <c r="B387" t="s">
        <v>719</v>
      </c>
      <c r="C387">
        <v>20</v>
      </c>
      <c r="F387" s="898">
        <f>'Actions bâtiments communaux'!C23</f>
        <v>0</v>
      </c>
    </row>
    <row r="388" spans="1:6">
      <c r="A388" t="s">
        <v>2807</v>
      </c>
      <c r="B388" t="s">
        <v>719</v>
      </c>
      <c r="C388">
        <v>21</v>
      </c>
      <c r="F388" s="898">
        <f>'Actions bâtiments communaux'!C24</f>
        <v>0</v>
      </c>
    </row>
    <row r="389" spans="1:6">
      <c r="A389" t="s">
        <v>2807</v>
      </c>
      <c r="B389" t="s">
        <v>719</v>
      </c>
      <c r="C389">
        <v>22</v>
      </c>
      <c r="F389" s="898">
        <f>'Actions bâtiments communaux'!C25</f>
        <v>0</v>
      </c>
    </row>
    <row r="390" spans="1:6">
      <c r="A390" t="s">
        <v>2807</v>
      </c>
      <c r="B390" t="s">
        <v>719</v>
      </c>
      <c r="C390">
        <v>23</v>
      </c>
      <c r="F390" s="898">
        <f>'Actions bâtiments communaux'!C26</f>
        <v>0</v>
      </c>
    </row>
    <row r="391" spans="1:6">
      <c r="A391" t="s">
        <v>2807</v>
      </c>
      <c r="B391" t="s">
        <v>719</v>
      </c>
      <c r="C391">
        <v>24</v>
      </c>
      <c r="F391" s="898">
        <f>'Actions bâtiments communaux'!C27</f>
        <v>0</v>
      </c>
    </row>
    <row r="392" spans="1:6">
      <c r="A392" t="s">
        <v>2807</v>
      </c>
      <c r="B392" t="s">
        <v>720</v>
      </c>
      <c r="C392">
        <v>1</v>
      </c>
      <c r="F392" s="898">
        <f>'Actions bâtiments communaux'!D4</f>
        <v>0</v>
      </c>
    </row>
    <row r="393" spans="1:6">
      <c r="A393" t="s">
        <v>2807</v>
      </c>
      <c r="B393" t="s">
        <v>720</v>
      </c>
      <c r="C393">
        <v>2</v>
      </c>
      <c r="F393" s="898">
        <f>'Actions bâtiments communaux'!D5</f>
        <v>0</v>
      </c>
    </row>
    <row r="394" spans="1:6">
      <c r="A394" t="s">
        <v>2807</v>
      </c>
      <c r="B394" t="s">
        <v>720</v>
      </c>
      <c r="C394">
        <v>3</v>
      </c>
      <c r="F394" s="898">
        <f>'Actions bâtiments communaux'!D6</f>
        <v>0</v>
      </c>
    </row>
    <row r="395" spans="1:6">
      <c r="A395" t="s">
        <v>2807</v>
      </c>
      <c r="B395" t="s">
        <v>720</v>
      </c>
      <c r="C395">
        <v>4</v>
      </c>
      <c r="F395" s="898">
        <f>'Actions bâtiments communaux'!D7</f>
        <v>0</v>
      </c>
    </row>
    <row r="396" spans="1:6">
      <c r="A396" t="s">
        <v>2807</v>
      </c>
      <c r="B396" t="s">
        <v>720</v>
      </c>
      <c r="C396">
        <v>5</v>
      </c>
      <c r="F396" s="898">
        <f>'Actions bâtiments communaux'!D8</f>
        <v>0</v>
      </c>
    </row>
    <row r="397" spans="1:6">
      <c r="A397" t="s">
        <v>2807</v>
      </c>
      <c r="B397" t="s">
        <v>720</v>
      </c>
      <c r="C397">
        <v>6</v>
      </c>
      <c r="F397" s="898">
        <f>'Actions bâtiments communaux'!D9</f>
        <v>0</v>
      </c>
    </row>
    <row r="398" spans="1:6">
      <c r="A398" t="s">
        <v>2807</v>
      </c>
      <c r="B398" t="s">
        <v>720</v>
      </c>
      <c r="C398">
        <v>7</v>
      </c>
      <c r="F398" s="898">
        <f>'Actions bâtiments communaux'!D10</f>
        <v>0</v>
      </c>
    </row>
    <row r="399" spans="1:6">
      <c r="A399" t="s">
        <v>2807</v>
      </c>
      <c r="B399" t="s">
        <v>720</v>
      </c>
      <c r="C399">
        <v>8</v>
      </c>
      <c r="F399" s="898">
        <f>'Actions bâtiments communaux'!D11</f>
        <v>0</v>
      </c>
    </row>
    <row r="400" spans="1:6">
      <c r="A400" t="s">
        <v>2807</v>
      </c>
      <c r="B400" t="s">
        <v>720</v>
      </c>
      <c r="C400">
        <v>9</v>
      </c>
      <c r="F400" s="898">
        <f>'Actions bâtiments communaux'!D12</f>
        <v>0</v>
      </c>
    </row>
    <row r="401" spans="1:6">
      <c r="A401" t="s">
        <v>2807</v>
      </c>
      <c r="B401" t="s">
        <v>720</v>
      </c>
      <c r="C401">
        <v>10</v>
      </c>
      <c r="F401" s="898">
        <f>'Actions bâtiments communaux'!D13</f>
        <v>0</v>
      </c>
    </row>
    <row r="402" spans="1:6">
      <c r="A402" t="s">
        <v>2807</v>
      </c>
      <c r="B402" t="s">
        <v>720</v>
      </c>
      <c r="C402">
        <v>11</v>
      </c>
      <c r="F402" s="898">
        <f>'Actions bâtiments communaux'!D14</f>
        <v>0</v>
      </c>
    </row>
    <row r="403" spans="1:6">
      <c r="A403" t="s">
        <v>2807</v>
      </c>
      <c r="B403" t="s">
        <v>720</v>
      </c>
      <c r="C403">
        <v>12</v>
      </c>
      <c r="F403" s="898">
        <f>'Actions bâtiments communaux'!D15</f>
        <v>0</v>
      </c>
    </row>
    <row r="404" spans="1:6">
      <c r="A404" t="s">
        <v>2807</v>
      </c>
      <c r="B404" t="s">
        <v>720</v>
      </c>
      <c r="C404">
        <v>13</v>
      </c>
      <c r="F404" s="898">
        <f>'Actions bâtiments communaux'!D16</f>
        <v>0</v>
      </c>
    </row>
    <row r="405" spans="1:6">
      <c r="A405" t="s">
        <v>2807</v>
      </c>
      <c r="B405" t="s">
        <v>720</v>
      </c>
      <c r="C405">
        <v>14</v>
      </c>
      <c r="F405" s="898">
        <f>'Actions bâtiments communaux'!D17</f>
        <v>0</v>
      </c>
    </row>
    <row r="406" spans="1:6">
      <c r="A406" t="s">
        <v>2807</v>
      </c>
      <c r="B406" t="s">
        <v>720</v>
      </c>
      <c r="C406">
        <v>15</v>
      </c>
      <c r="F406" s="898">
        <f>'Actions bâtiments communaux'!D18</f>
        <v>0</v>
      </c>
    </row>
    <row r="407" spans="1:6">
      <c r="A407" t="s">
        <v>2807</v>
      </c>
      <c r="B407" t="s">
        <v>720</v>
      </c>
      <c r="C407">
        <v>16</v>
      </c>
      <c r="F407" s="898">
        <f>'Actions bâtiments communaux'!D19</f>
        <v>0</v>
      </c>
    </row>
    <row r="408" spans="1:6">
      <c r="A408" t="s">
        <v>2807</v>
      </c>
      <c r="B408" t="s">
        <v>720</v>
      </c>
      <c r="C408">
        <v>17</v>
      </c>
      <c r="F408" s="898">
        <f>'Actions bâtiments communaux'!D20</f>
        <v>0</v>
      </c>
    </row>
    <row r="409" spans="1:6">
      <c r="A409" t="s">
        <v>2807</v>
      </c>
      <c r="B409" t="s">
        <v>720</v>
      </c>
      <c r="C409">
        <v>18</v>
      </c>
      <c r="F409" s="898">
        <f>'Actions bâtiments communaux'!D21</f>
        <v>0</v>
      </c>
    </row>
    <row r="410" spans="1:6">
      <c r="A410" t="s">
        <v>2807</v>
      </c>
      <c r="B410" t="s">
        <v>720</v>
      </c>
      <c r="C410">
        <v>19</v>
      </c>
      <c r="F410" s="898">
        <f>'Actions bâtiments communaux'!D22</f>
        <v>0</v>
      </c>
    </row>
    <row r="411" spans="1:6">
      <c r="A411" t="s">
        <v>2807</v>
      </c>
      <c r="B411" t="s">
        <v>720</v>
      </c>
      <c r="C411">
        <v>20</v>
      </c>
      <c r="F411" s="898">
        <f>'Actions bâtiments communaux'!D23</f>
        <v>0</v>
      </c>
    </row>
    <row r="412" spans="1:6">
      <c r="A412" t="s">
        <v>2807</v>
      </c>
      <c r="B412" t="s">
        <v>720</v>
      </c>
      <c r="C412">
        <v>21</v>
      </c>
      <c r="F412" s="898">
        <f>'Actions bâtiments communaux'!D24</f>
        <v>0</v>
      </c>
    </row>
    <row r="413" spans="1:6">
      <c r="A413" t="s">
        <v>2807</v>
      </c>
      <c r="B413" t="s">
        <v>720</v>
      </c>
      <c r="C413">
        <v>22</v>
      </c>
      <c r="F413" s="898">
        <f>'Actions bâtiments communaux'!D25</f>
        <v>0</v>
      </c>
    </row>
    <row r="414" spans="1:6">
      <c r="A414" t="s">
        <v>2807</v>
      </c>
      <c r="B414" t="s">
        <v>720</v>
      </c>
      <c r="C414">
        <v>23</v>
      </c>
      <c r="F414" s="898">
        <f>'Actions bâtiments communaux'!D26</f>
        <v>0</v>
      </c>
    </row>
    <row r="415" spans="1:6">
      <c r="A415" t="s">
        <v>2807</v>
      </c>
      <c r="B415" t="s">
        <v>720</v>
      </c>
      <c r="C415">
        <v>24</v>
      </c>
      <c r="F415" s="898">
        <f>'Actions bâtiments communaux'!D27</f>
        <v>0</v>
      </c>
    </row>
    <row r="416" spans="1:6">
      <c r="A416" t="s">
        <v>2807</v>
      </c>
      <c r="B416" t="s">
        <v>725</v>
      </c>
      <c r="C416">
        <v>1</v>
      </c>
      <c r="F416" s="898">
        <f>'Actions bâtiments communaux'!E4</f>
        <v>0</v>
      </c>
    </row>
    <row r="417" spans="1:6">
      <c r="A417" t="s">
        <v>2807</v>
      </c>
      <c r="B417" t="s">
        <v>725</v>
      </c>
      <c r="C417">
        <v>2</v>
      </c>
      <c r="F417" s="898">
        <f>'Actions bâtiments communaux'!E5</f>
        <v>0</v>
      </c>
    </row>
    <row r="418" spans="1:6">
      <c r="A418" t="s">
        <v>2807</v>
      </c>
      <c r="B418" t="s">
        <v>725</v>
      </c>
      <c r="C418">
        <v>3</v>
      </c>
      <c r="F418" s="898">
        <f>'Actions bâtiments communaux'!E6</f>
        <v>0</v>
      </c>
    </row>
    <row r="419" spans="1:6">
      <c r="A419" t="s">
        <v>2807</v>
      </c>
      <c r="B419" t="s">
        <v>725</v>
      </c>
      <c r="C419">
        <v>4</v>
      </c>
      <c r="F419" s="898">
        <f>'Actions bâtiments communaux'!E7</f>
        <v>0</v>
      </c>
    </row>
    <row r="420" spans="1:6">
      <c r="A420" t="s">
        <v>2807</v>
      </c>
      <c r="B420" t="s">
        <v>725</v>
      </c>
      <c r="C420">
        <v>5</v>
      </c>
      <c r="F420" s="898">
        <f>'Actions bâtiments communaux'!E8</f>
        <v>0</v>
      </c>
    </row>
    <row r="421" spans="1:6">
      <c r="A421" t="s">
        <v>2807</v>
      </c>
      <c r="B421" t="s">
        <v>725</v>
      </c>
      <c r="C421">
        <v>6</v>
      </c>
      <c r="F421" s="898">
        <f>'Actions bâtiments communaux'!E9</f>
        <v>0</v>
      </c>
    </row>
    <row r="422" spans="1:6">
      <c r="A422" t="s">
        <v>2807</v>
      </c>
      <c r="B422" t="s">
        <v>725</v>
      </c>
      <c r="C422">
        <v>7</v>
      </c>
      <c r="F422" s="898">
        <f>'Actions bâtiments communaux'!E10</f>
        <v>0</v>
      </c>
    </row>
    <row r="423" spans="1:6">
      <c r="A423" t="s">
        <v>2807</v>
      </c>
      <c r="B423" t="s">
        <v>725</v>
      </c>
      <c r="C423">
        <v>8</v>
      </c>
      <c r="F423" s="898">
        <f>'Actions bâtiments communaux'!E11</f>
        <v>0</v>
      </c>
    </row>
    <row r="424" spans="1:6">
      <c r="A424" t="s">
        <v>2807</v>
      </c>
      <c r="B424" t="s">
        <v>725</v>
      </c>
      <c r="C424">
        <v>9</v>
      </c>
      <c r="F424" s="898">
        <f>'Actions bâtiments communaux'!E12</f>
        <v>0</v>
      </c>
    </row>
    <row r="425" spans="1:6">
      <c r="A425" t="s">
        <v>2807</v>
      </c>
      <c r="B425" t="s">
        <v>725</v>
      </c>
      <c r="C425">
        <v>10</v>
      </c>
      <c r="F425" s="898">
        <f>'Actions bâtiments communaux'!E13</f>
        <v>0</v>
      </c>
    </row>
    <row r="426" spans="1:6">
      <c r="A426" t="s">
        <v>2807</v>
      </c>
      <c r="B426" t="s">
        <v>725</v>
      </c>
      <c r="C426">
        <v>11</v>
      </c>
      <c r="F426" s="898">
        <f>'Actions bâtiments communaux'!E14</f>
        <v>0</v>
      </c>
    </row>
    <row r="427" spans="1:6">
      <c r="A427" t="s">
        <v>2807</v>
      </c>
      <c r="B427" t="s">
        <v>725</v>
      </c>
      <c r="C427">
        <v>12</v>
      </c>
      <c r="F427" s="898">
        <f>'Actions bâtiments communaux'!E15</f>
        <v>0</v>
      </c>
    </row>
    <row r="428" spans="1:6">
      <c r="A428" t="s">
        <v>2807</v>
      </c>
      <c r="B428" t="s">
        <v>725</v>
      </c>
      <c r="C428">
        <v>13</v>
      </c>
      <c r="F428" s="898">
        <f>'Actions bâtiments communaux'!E16</f>
        <v>0</v>
      </c>
    </row>
    <row r="429" spans="1:6">
      <c r="A429" t="s">
        <v>2807</v>
      </c>
      <c r="B429" t="s">
        <v>725</v>
      </c>
      <c r="C429">
        <v>14</v>
      </c>
      <c r="F429" s="898">
        <f>'Actions bâtiments communaux'!E17</f>
        <v>0</v>
      </c>
    </row>
    <row r="430" spans="1:6">
      <c r="A430" t="s">
        <v>2807</v>
      </c>
      <c r="B430" t="s">
        <v>725</v>
      </c>
      <c r="C430">
        <v>15</v>
      </c>
      <c r="F430" s="898">
        <f>'Actions bâtiments communaux'!E18</f>
        <v>0</v>
      </c>
    </row>
    <row r="431" spans="1:6">
      <c r="A431" t="s">
        <v>2807</v>
      </c>
      <c r="B431" t="s">
        <v>725</v>
      </c>
      <c r="C431">
        <v>16</v>
      </c>
      <c r="F431" s="898">
        <f>'Actions bâtiments communaux'!E19</f>
        <v>0</v>
      </c>
    </row>
    <row r="432" spans="1:6">
      <c r="A432" t="s">
        <v>2807</v>
      </c>
      <c r="B432" t="s">
        <v>725</v>
      </c>
      <c r="C432">
        <v>17</v>
      </c>
      <c r="F432" s="898">
        <f>'Actions bâtiments communaux'!E20</f>
        <v>0</v>
      </c>
    </row>
    <row r="433" spans="1:6">
      <c r="A433" t="s">
        <v>2807</v>
      </c>
      <c r="B433" t="s">
        <v>725</v>
      </c>
      <c r="C433">
        <v>18</v>
      </c>
      <c r="F433" s="898">
        <f>'Actions bâtiments communaux'!E21</f>
        <v>0</v>
      </c>
    </row>
    <row r="434" spans="1:6">
      <c r="A434" t="s">
        <v>2807</v>
      </c>
      <c r="B434" t="s">
        <v>725</v>
      </c>
      <c r="C434">
        <v>19</v>
      </c>
      <c r="F434" s="898">
        <f>'Actions bâtiments communaux'!E22</f>
        <v>0</v>
      </c>
    </row>
    <row r="435" spans="1:6">
      <c r="A435" t="s">
        <v>2807</v>
      </c>
      <c r="B435" t="s">
        <v>725</v>
      </c>
      <c r="C435">
        <v>20</v>
      </c>
      <c r="F435" s="898">
        <f>'Actions bâtiments communaux'!E23</f>
        <v>0</v>
      </c>
    </row>
    <row r="436" spans="1:6">
      <c r="A436" t="s">
        <v>2807</v>
      </c>
      <c r="B436" t="s">
        <v>725</v>
      </c>
      <c r="C436">
        <v>21</v>
      </c>
      <c r="F436" s="898">
        <f>'Actions bâtiments communaux'!E24</f>
        <v>0</v>
      </c>
    </row>
    <row r="437" spans="1:6">
      <c r="A437" t="s">
        <v>2807</v>
      </c>
      <c r="B437" t="s">
        <v>725</v>
      </c>
      <c r="C437">
        <v>22</v>
      </c>
      <c r="F437" s="898">
        <f>'Actions bâtiments communaux'!E25</f>
        <v>0</v>
      </c>
    </row>
    <row r="438" spans="1:6">
      <c r="A438" t="s">
        <v>2807</v>
      </c>
      <c r="B438" t="s">
        <v>725</v>
      </c>
      <c r="C438">
        <v>23</v>
      </c>
      <c r="F438" s="898">
        <f>'Actions bâtiments communaux'!E26</f>
        <v>0</v>
      </c>
    </row>
    <row r="439" spans="1:6">
      <c r="A439" t="s">
        <v>2807</v>
      </c>
      <c r="B439" t="s">
        <v>725</v>
      </c>
      <c r="C439">
        <v>24</v>
      </c>
      <c r="F439" s="898">
        <f>'Actions bâtiments communaux'!E27</f>
        <v>0</v>
      </c>
    </row>
    <row r="440" spans="1:6">
      <c r="A440" t="s">
        <v>2807</v>
      </c>
      <c r="B440" t="s">
        <v>1053</v>
      </c>
      <c r="C440">
        <v>1</v>
      </c>
      <c r="F440" s="898">
        <f>'Actions bâtiments communaux'!F4</f>
        <v>0</v>
      </c>
    </row>
    <row r="441" spans="1:6">
      <c r="A441" t="s">
        <v>2807</v>
      </c>
      <c r="B441" t="s">
        <v>1053</v>
      </c>
      <c r="C441">
        <v>2</v>
      </c>
      <c r="F441" s="898">
        <f>'Actions bâtiments communaux'!F5</f>
        <v>0</v>
      </c>
    </row>
    <row r="442" spans="1:6">
      <c r="A442" t="s">
        <v>2807</v>
      </c>
      <c r="B442" t="s">
        <v>1053</v>
      </c>
      <c r="C442">
        <v>3</v>
      </c>
      <c r="F442" s="898">
        <f>'Actions bâtiments communaux'!F6</f>
        <v>0</v>
      </c>
    </row>
    <row r="443" spans="1:6">
      <c r="A443" t="s">
        <v>2807</v>
      </c>
      <c r="B443" t="s">
        <v>1053</v>
      </c>
      <c r="C443">
        <v>4</v>
      </c>
      <c r="F443" s="898">
        <f>'Actions bâtiments communaux'!F7</f>
        <v>0</v>
      </c>
    </row>
    <row r="444" spans="1:6">
      <c r="A444" t="s">
        <v>2807</v>
      </c>
      <c r="B444" t="s">
        <v>1053</v>
      </c>
      <c r="C444">
        <v>5</v>
      </c>
      <c r="F444" s="898">
        <f>'Actions bâtiments communaux'!F8</f>
        <v>0</v>
      </c>
    </row>
    <row r="445" spans="1:6">
      <c r="A445" t="s">
        <v>2807</v>
      </c>
      <c r="B445" t="s">
        <v>1053</v>
      </c>
      <c r="C445">
        <v>6</v>
      </c>
      <c r="F445" s="898">
        <f>'Actions bâtiments communaux'!F9</f>
        <v>0</v>
      </c>
    </row>
    <row r="446" spans="1:6">
      <c r="A446" t="s">
        <v>2807</v>
      </c>
      <c r="B446" t="s">
        <v>1053</v>
      </c>
      <c r="C446">
        <v>7</v>
      </c>
      <c r="F446" s="898">
        <f>'Actions bâtiments communaux'!F10</f>
        <v>0</v>
      </c>
    </row>
    <row r="447" spans="1:6">
      <c r="A447" t="s">
        <v>2807</v>
      </c>
      <c r="B447" t="s">
        <v>1053</v>
      </c>
      <c r="C447">
        <v>8</v>
      </c>
      <c r="F447" s="898">
        <f>'Actions bâtiments communaux'!F11</f>
        <v>0</v>
      </c>
    </row>
    <row r="448" spans="1:6">
      <c r="A448" t="s">
        <v>2807</v>
      </c>
      <c r="B448" t="s">
        <v>1053</v>
      </c>
      <c r="C448">
        <v>9</v>
      </c>
      <c r="F448" s="898">
        <f>'Actions bâtiments communaux'!F12</f>
        <v>0</v>
      </c>
    </row>
    <row r="449" spans="1:6">
      <c r="A449" t="s">
        <v>2807</v>
      </c>
      <c r="B449" t="s">
        <v>1053</v>
      </c>
      <c r="C449">
        <v>10</v>
      </c>
      <c r="F449" s="898">
        <f>'Actions bâtiments communaux'!F13</f>
        <v>0</v>
      </c>
    </row>
    <row r="450" spans="1:6">
      <c r="A450" t="s">
        <v>2807</v>
      </c>
      <c r="B450" t="s">
        <v>1053</v>
      </c>
      <c r="C450">
        <v>11</v>
      </c>
      <c r="F450" s="898">
        <f>'Actions bâtiments communaux'!F14</f>
        <v>0</v>
      </c>
    </row>
    <row r="451" spans="1:6">
      <c r="A451" t="s">
        <v>2807</v>
      </c>
      <c r="B451" t="s">
        <v>1053</v>
      </c>
      <c r="C451">
        <v>12</v>
      </c>
      <c r="F451" s="898">
        <f>'Actions bâtiments communaux'!F15</f>
        <v>0</v>
      </c>
    </row>
    <row r="452" spans="1:6">
      <c r="A452" t="s">
        <v>2807</v>
      </c>
      <c r="B452" t="s">
        <v>1053</v>
      </c>
      <c r="C452">
        <v>13</v>
      </c>
      <c r="F452" s="898">
        <f>'Actions bâtiments communaux'!F16</f>
        <v>0</v>
      </c>
    </row>
    <row r="453" spans="1:6">
      <c r="A453" t="s">
        <v>2807</v>
      </c>
      <c r="B453" t="s">
        <v>1053</v>
      </c>
      <c r="C453">
        <v>14</v>
      </c>
      <c r="F453" s="898">
        <f>'Actions bâtiments communaux'!F17</f>
        <v>0</v>
      </c>
    </row>
    <row r="454" spans="1:6">
      <c r="A454" t="s">
        <v>2807</v>
      </c>
      <c r="B454" t="s">
        <v>1053</v>
      </c>
      <c r="C454">
        <v>15</v>
      </c>
      <c r="F454" s="898">
        <f>'Actions bâtiments communaux'!F18</f>
        <v>0</v>
      </c>
    </row>
    <row r="455" spans="1:6">
      <c r="A455" t="s">
        <v>2807</v>
      </c>
      <c r="B455" t="s">
        <v>1053</v>
      </c>
      <c r="C455">
        <v>16</v>
      </c>
      <c r="F455" s="898">
        <f>'Actions bâtiments communaux'!F19</f>
        <v>0</v>
      </c>
    </row>
    <row r="456" spans="1:6">
      <c r="A456" t="s">
        <v>2807</v>
      </c>
      <c r="B456" t="s">
        <v>1053</v>
      </c>
      <c r="C456">
        <v>17</v>
      </c>
      <c r="F456" s="898">
        <f>'Actions bâtiments communaux'!F20</f>
        <v>0</v>
      </c>
    </row>
    <row r="457" spans="1:6">
      <c r="A457" t="s">
        <v>2807</v>
      </c>
      <c r="B457" t="s">
        <v>1053</v>
      </c>
      <c r="C457">
        <v>18</v>
      </c>
      <c r="F457" s="898">
        <f>'Actions bâtiments communaux'!F21</f>
        <v>0</v>
      </c>
    </row>
    <row r="458" spans="1:6">
      <c r="A458" t="s">
        <v>2807</v>
      </c>
      <c r="B458" t="s">
        <v>1053</v>
      </c>
      <c r="C458">
        <v>19</v>
      </c>
      <c r="F458" s="898">
        <f>'Actions bâtiments communaux'!F22</f>
        <v>0</v>
      </c>
    </row>
    <row r="459" spans="1:6">
      <c r="A459" t="s">
        <v>2807</v>
      </c>
      <c r="B459" t="s">
        <v>1053</v>
      </c>
      <c r="C459">
        <v>20</v>
      </c>
      <c r="F459" s="898">
        <f>'Actions bâtiments communaux'!F23</f>
        <v>0</v>
      </c>
    </row>
    <row r="460" spans="1:6">
      <c r="A460" t="s">
        <v>2807</v>
      </c>
      <c r="B460" t="s">
        <v>1053</v>
      </c>
      <c r="C460">
        <v>21</v>
      </c>
      <c r="F460" s="898">
        <f>'Actions bâtiments communaux'!F24</f>
        <v>0</v>
      </c>
    </row>
    <row r="461" spans="1:6">
      <c r="A461" t="s">
        <v>2807</v>
      </c>
      <c r="B461" t="s">
        <v>1053</v>
      </c>
      <c r="C461">
        <v>22</v>
      </c>
      <c r="F461" s="898">
        <f>'Actions bâtiments communaux'!F25</f>
        <v>0</v>
      </c>
    </row>
    <row r="462" spans="1:6">
      <c r="A462" t="s">
        <v>2807</v>
      </c>
      <c r="B462" t="s">
        <v>1053</v>
      </c>
      <c r="C462">
        <v>23</v>
      </c>
      <c r="F462" s="898">
        <f>'Actions bâtiments communaux'!F26</f>
        <v>0</v>
      </c>
    </row>
    <row r="463" spans="1:6">
      <c r="A463" t="s">
        <v>2807</v>
      </c>
      <c r="B463" t="s">
        <v>1053</v>
      </c>
      <c r="C463">
        <v>24</v>
      </c>
      <c r="F463" s="898">
        <f>'Actions bâtiments communaux'!F27</f>
        <v>0</v>
      </c>
    </row>
    <row r="464" spans="1:6">
      <c r="A464" t="s">
        <v>2807</v>
      </c>
      <c r="B464" t="s">
        <v>739</v>
      </c>
      <c r="C464">
        <v>1</v>
      </c>
      <c r="F464" s="898">
        <f>'Actions bâtiments communaux'!G4</f>
        <v>0</v>
      </c>
    </row>
    <row r="465" spans="1:6">
      <c r="A465" t="s">
        <v>2807</v>
      </c>
      <c r="B465" t="s">
        <v>739</v>
      </c>
      <c r="C465">
        <v>2</v>
      </c>
      <c r="F465" s="898">
        <f>'Actions bâtiments communaux'!G5</f>
        <v>0</v>
      </c>
    </row>
    <row r="466" spans="1:6">
      <c r="A466" t="s">
        <v>2807</v>
      </c>
      <c r="B466" t="s">
        <v>739</v>
      </c>
      <c r="C466">
        <v>3</v>
      </c>
      <c r="F466" s="898">
        <f>'Actions bâtiments communaux'!G6</f>
        <v>0</v>
      </c>
    </row>
    <row r="467" spans="1:6">
      <c r="A467" t="s">
        <v>2807</v>
      </c>
      <c r="B467" t="s">
        <v>739</v>
      </c>
      <c r="C467">
        <v>4</v>
      </c>
      <c r="F467" s="898">
        <f>'Actions bâtiments communaux'!G7</f>
        <v>0</v>
      </c>
    </row>
    <row r="468" spans="1:6">
      <c r="A468" t="s">
        <v>2807</v>
      </c>
      <c r="B468" t="s">
        <v>739</v>
      </c>
      <c r="C468">
        <v>5</v>
      </c>
      <c r="F468" s="898">
        <f>'Actions bâtiments communaux'!G8</f>
        <v>0</v>
      </c>
    </row>
    <row r="469" spans="1:6">
      <c r="A469" t="s">
        <v>2807</v>
      </c>
      <c r="B469" t="s">
        <v>739</v>
      </c>
      <c r="C469">
        <v>6</v>
      </c>
      <c r="F469" s="898">
        <f>'Actions bâtiments communaux'!G9</f>
        <v>0</v>
      </c>
    </row>
    <row r="470" spans="1:6">
      <c r="A470" t="s">
        <v>2807</v>
      </c>
      <c r="B470" t="s">
        <v>739</v>
      </c>
      <c r="C470">
        <v>7</v>
      </c>
      <c r="F470" s="898">
        <f>'Actions bâtiments communaux'!G10</f>
        <v>0</v>
      </c>
    </row>
    <row r="471" spans="1:6">
      <c r="A471" t="s">
        <v>2807</v>
      </c>
      <c r="B471" t="s">
        <v>739</v>
      </c>
      <c r="C471">
        <v>8</v>
      </c>
      <c r="F471" s="898">
        <f>'Actions bâtiments communaux'!G11</f>
        <v>0</v>
      </c>
    </row>
    <row r="472" spans="1:6">
      <c r="A472" t="s">
        <v>2807</v>
      </c>
      <c r="B472" t="s">
        <v>739</v>
      </c>
      <c r="C472">
        <v>9</v>
      </c>
      <c r="F472" s="898">
        <f>'Actions bâtiments communaux'!G12</f>
        <v>0</v>
      </c>
    </row>
    <row r="473" spans="1:6">
      <c r="A473" t="s">
        <v>2807</v>
      </c>
      <c r="B473" t="s">
        <v>739</v>
      </c>
      <c r="C473">
        <v>10</v>
      </c>
      <c r="F473" s="898">
        <f>'Actions bâtiments communaux'!G13</f>
        <v>0</v>
      </c>
    </row>
    <row r="474" spans="1:6">
      <c r="A474" t="s">
        <v>2807</v>
      </c>
      <c r="B474" t="s">
        <v>739</v>
      </c>
      <c r="C474">
        <v>11</v>
      </c>
      <c r="F474" s="898">
        <f>'Actions bâtiments communaux'!G14</f>
        <v>0</v>
      </c>
    </row>
    <row r="475" spans="1:6">
      <c r="A475" t="s">
        <v>2807</v>
      </c>
      <c r="B475" t="s">
        <v>739</v>
      </c>
      <c r="C475">
        <v>12</v>
      </c>
      <c r="F475" s="898">
        <f>'Actions bâtiments communaux'!G15</f>
        <v>0</v>
      </c>
    </row>
    <row r="476" spans="1:6">
      <c r="A476" t="s">
        <v>2807</v>
      </c>
      <c r="B476" t="s">
        <v>739</v>
      </c>
      <c r="C476">
        <v>13</v>
      </c>
      <c r="F476" s="898">
        <f>'Actions bâtiments communaux'!G16</f>
        <v>0</v>
      </c>
    </row>
    <row r="477" spans="1:6">
      <c r="A477" t="s">
        <v>2807</v>
      </c>
      <c r="B477" t="s">
        <v>739</v>
      </c>
      <c r="C477">
        <v>14</v>
      </c>
      <c r="F477" s="898">
        <f>'Actions bâtiments communaux'!G17</f>
        <v>0</v>
      </c>
    </row>
    <row r="478" spans="1:6">
      <c r="A478" t="s">
        <v>2807</v>
      </c>
      <c r="B478" t="s">
        <v>739</v>
      </c>
      <c r="C478">
        <v>15</v>
      </c>
      <c r="F478" s="898">
        <f>'Actions bâtiments communaux'!G18</f>
        <v>0</v>
      </c>
    </row>
    <row r="479" spans="1:6">
      <c r="A479" t="s">
        <v>2807</v>
      </c>
      <c r="B479" t="s">
        <v>739</v>
      </c>
      <c r="C479">
        <v>16</v>
      </c>
      <c r="F479" s="898">
        <f>'Actions bâtiments communaux'!G19</f>
        <v>0</v>
      </c>
    </row>
    <row r="480" spans="1:6">
      <c r="A480" t="s">
        <v>2807</v>
      </c>
      <c r="B480" t="s">
        <v>739</v>
      </c>
      <c r="C480">
        <v>17</v>
      </c>
      <c r="F480" s="898">
        <f>'Actions bâtiments communaux'!G20</f>
        <v>0</v>
      </c>
    </row>
    <row r="481" spans="1:6">
      <c r="A481" t="s">
        <v>2807</v>
      </c>
      <c r="B481" t="s">
        <v>739</v>
      </c>
      <c r="C481">
        <v>18</v>
      </c>
      <c r="F481" s="898">
        <f>'Actions bâtiments communaux'!G21</f>
        <v>0</v>
      </c>
    </row>
    <row r="482" spans="1:6">
      <c r="A482" t="s">
        <v>2807</v>
      </c>
      <c r="B482" t="s">
        <v>739</v>
      </c>
      <c r="C482">
        <v>19</v>
      </c>
      <c r="F482" s="898">
        <f>'Actions bâtiments communaux'!G22</f>
        <v>0</v>
      </c>
    </row>
    <row r="483" spans="1:6">
      <c r="A483" t="s">
        <v>2807</v>
      </c>
      <c r="B483" t="s">
        <v>739</v>
      </c>
      <c r="C483">
        <v>20</v>
      </c>
      <c r="F483" s="898">
        <f>'Actions bâtiments communaux'!G23</f>
        <v>0</v>
      </c>
    </row>
    <row r="484" spans="1:6">
      <c r="A484" t="s">
        <v>2807</v>
      </c>
      <c r="B484" t="s">
        <v>739</v>
      </c>
      <c r="C484">
        <v>21</v>
      </c>
      <c r="F484" s="898">
        <f>'Actions bâtiments communaux'!G24</f>
        <v>0</v>
      </c>
    </row>
    <row r="485" spans="1:6">
      <c r="A485" t="s">
        <v>2807</v>
      </c>
      <c r="B485" t="s">
        <v>739</v>
      </c>
      <c r="C485">
        <v>22</v>
      </c>
      <c r="F485" s="898">
        <f>'Actions bâtiments communaux'!G25</f>
        <v>0</v>
      </c>
    </row>
    <row r="486" spans="1:6">
      <c r="A486" t="s">
        <v>2807</v>
      </c>
      <c r="B486" t="s">
        <v>739</v>
      </c>
      <c r="C486">
        <v>23</v>
      </c>
      <c r="F486" s="898">
        <f>'Actions bâtiments communaux'!G26</f>
        <v>0</v>
      </c>
    </row>
    <row r="487" spans="1:6">
      <c r="A487" t="s">
        <v>2807</v>
      </c>
      <c r="B487" t="s">
        <v>739</v>
      </c>
      <c r="C487">
        <v>24</v>
      </c>
      <c r="F487" s="898">
        <f>'Actions bâtiments communaux'!G27</f>
        <v>0</v>
      </c>
    </row>
    <row r="488" spans="1:6">
      <c r="A488" t="s">
        <v>2807</v>
      </c>
      <c r="B488" t="s">
        <v>2808</v>
      </c>
      <c r="C488">
        <v>1</v>
      </c>
      <c r="F488" s="898">
        <f>'Actions bâtiments communaux'!H4</f>
        <v>0</v>
      </c>
    </row>
    <row r="489" spans="1:6">
      <c r="A489" t="s">
        <v>2807</v>
      </c>
      <c r="B489" t="s">
        <v>2808</v>
      </c>
      <c r="C489">
        <v>2</v>
      </c>
      <c r="F489" s="898">
        <f>'Actions bâtiments communaux'!H5</f>
        <v>0</v>
      </c>
    </row>
    <row r="490" spans="1:6">
      <c r="A490" t="s">
        <v>2807</v>
      </c>
      <c r="B490" t="s">
        <v>2808</v>
      </c>
      <c r="C490">
        <v>3</v>
      </c>
      <c r="F490" s="898">
        <f>'Actions bâtiments communaux'!H6</f>
        <v>0</v>
      </c>
    </row>
    <row r="491" spans="1:6">
      <c r="A491" t="s">
        <v>2807</v>
      </c>
      <c r="B491" t="s">
        <v>2808</v>
      </c>
      <c r="C491">
        <v>4</v>
      </c>
      <c r="F491" s="898">
        <f>'Actions bâtiments communaux'!H7</f>
        <v>0</v>
      </c>
    </row>
    <row r="492" spans="1:6">
      <c r="A492" t="s">
        <v>2807</v>
      </c>
      <c r="B492" t="s">
        <v>2808</v>
      </c>
      <c r="C492">
        <v>5</v>
      </c>
      <c r="F492" s="898">
        <f>'Actions bâtiments communaux'!H8</f>
        <v>0</v>
      </c>
    </row>
    <row r="493" spans="1:6">
      <c r="A493" t="s">
        <v>2807</v>
      </c>
      <c r="B493" t="s">
        <v>2808</v>
      </c>
      <c r="C493">
        <v>6</v>
      </c>
      <c r="F493" s="898">
        <f>'Actions bâtiments communaux'!H9</f>
        <v>0</v>
      </c>
    </row>
    <row r="494" spans="1:6">
      <c r="A494" t="s">
        <v>2807</v>
      </c>
      <c r="B494" t="s">
        <v>2808</v>
      </c>
      <c r="C494">
        <v>7</v>
      </c>
      <c r="F494" s="898">
        <f>'Actions bâtiments communaux'!H10</f>
        <v>0</v>
      </c>
    </row>
    <row r="495" spans="1:6">
      <c r="A495" t="s">
        <v>2807</v>
      </c>
      <c r="B495" t="s">
        <v>2808</v>
      </c>
      <c r="C495">
        <v>8</v>
      </c>
      <c r="F495" s="898">
        <f>'Actions bâtiments communaux'!H11</f>
        <v>0</v>
      </c>
    </row>
    <row r="496" spans="1:6">
      <c r="A496" t="s">
        <v>2807</v>
      </c>
      <c r="B496" t="s">
        <v>2808</v>
      </c>
      <c r="C496">
        <v>9</v>
      </c>
      <c r="F496" s="898">
        <f>'Actions bâtiments communaux'!H12</f>
        <v>0</v>
      </c>
    </row>
    <row r="497" spans="1:6">
      <c r="A497" t="s">
        <v>2807</v>
      </c>
      <c r="B497" t="s">
        <v>2808</v>
      </c>
      <c r="C497">
        <v>10</v>
      </c>
      <c r="F497" s="898">
        <f>'Actions bâtiments communaux'!H13</f>
        <v>0</v>
      </c>
    </row>
    <row r="498" spans="1:6">
      <c r="A498" t="s">
        <v>2807</v>
      </c>
      <c r="B498" t="s">
        <v>2808</v>
      </c>
      <c r="C498">
        <v>11</v>
      </c>
      <c r="F498" s="898">
        <f>'Actions bâtiments communaux'!H14</f>
        <v>0</v>
      </c>
    </row>
    <row r="499" spans="1:6">
      <c r="A499" t="s">
        <v>2807</v>
      </c>
      <c r="B499" t="s">
        <v>2808</v>
      </c>
      <c r="C499">
        <v>12</v>
      </c>
      <c r="F499" s="898">
        <f>'Actions bâtiments communaux'!H15</f>
        <v>0</v>
      </c>
    </row>
    <row r="500" spans="1:6">
      <c r="A500" t="s">
        <v>2807</v>
      </c>
      <c r="B500" t="s">
        <v>2808</v>
      </c>
      <c r="C500">
        <v>13</v>
      </c>
      <c r="F500" s="898">
        <f>'Actions bâtiments communaux'!H16</f>
        <v>0</v>
      </c>
    </row>
    <row r="501" spans="1:6">
      <c r="A501" t="s">
        <v>2807</v>
      </c>
      <c r="B501" t="s">
        <v>2808</v>
      </c>
      <c r="C501">
        <v>14</v>
      </c>
      <c r="F501" s="898">
        <f>'Actions bâtiments communaux'!H17</f>
        <v>0</v>
      </c>
    </row>
    <row r="502" spans="1:6">
      <c r="A502" t="s">
        <v>2807</v>
      </c>
      <c r="B502" t="s">
        <v>2808</v>
      </c>
      <c r="C502">
        <v>15</v>
      </c>
      <c r="F502" s="898">
        <f>'Actions bâtiments communaux'!H18</f>
        <v>0</v>
      </c>
    </row>
    <row r="503" spans="1:6">
      <c r="A503" t="s">
        <v>2807</v>
      </c>
      <c r="B503" t="s">
        <v>2808</v>
      </c>
      <c r="C503">
        <v>16</v>
      </c>
      <c r="F503" s="898">
        <f>'Actions bâtiments communaux'!H19</f>
        <v>0</v>
      </c>
    </row>
    <row r="504" spans="1:6">
      <c r="A504" t="s">
        <v>2807</v>
      </c>
      <c r="B504" t="s">
        <v>2808</v>
      </c>
      <c r="C504">
        <v>17</v>
      </c>
      <c r="F504" s="898">
        <f>'Actions bâtiments communaux'!H20</f>
        <v>0</v>
      </c>
    </row>
    <row r="505" spans="1:6">
      <c r="A505" t="s">
        <v>2807</v>
      </c>
      <c r="B505" t="s">
        <v>2808</v>
      </c>
      <c r="C505">
        <v>18</v>
      </c>
      <c r="F505" s="898">
        <f>'Actions bâtiments communaux'!H21</f>
        <v>0</v>
      </c>
    </row>
    <row r="506" spans="1:6">
      <c r="A506" t="s">
        <v>2807</v>
      </c>
      <c r="B506" t="s">
        <v>2808</v>
      </c>
      <c r="C506">
        <v>19</v>
      </c>
      <c r="F506" s="898">
        <f>'Actions bâtiments communaux'!H22</f>
        <v>0</v>
      </c>
    </row>
    <row r="507" spans="1:6">
      <c r="A507" t="s">
        <v>2807</v>
      </c>
      <c r="B507" t="s">
        <v>2808</v>
      </c>
      <c r="C507">
        <v>20</v>
      </c>
      <c r="F507" s="898">
        <f>'Actions bâtiments communaux'!H23</f>
        <v>0</v>
      </c>
    </row>
    <row r="508" spans="1:6">
      <c r="A508" t="s">
        <v>2807</v>
      </c>
      <c r="B508" t="s">
        <v>2808</v>
      </c>
      <c r="C508">
        <v>21</v>
      </c>
      <c r="F508" s="898">
        <f>'Actions bâtiments communaux'!H24</f>
        <v>0</v>
      </c>
    </row>
    <row r="509" spans="1:6">
      <c r="A509" t="s">
        <v>2807</v>
      </c>
      <c r="B509" t="s">
        <v>2808</v>
      </c>
      <c r="C509">
        <v>22</v>
      </c>
      <c r="F509" s="898">
        <f>'Actions bâtiments communaux'!H25</f>
        <v>0</v>
      </c>
    </row>
    <row r="510" spans="1:6">
      <c r="A510" t="s">
        <v>2807</v>
      </c>
      <c r="B510" t="s">
        <v>2808</v>
      </c>
      <c r="C510">
        <v>23</v>
      </c>
      <c r="F510" s="898">
        <f>'Actions bâtiments communaux'!H26</f>
        <v>0</v>
      </c>
    </row>
    <row r="511" spans="1:6">
      <c r="A511" t="s">
        <v>2807</v>
      </c>
      <c r="B511" t="s">
        <v>2808</v>
      </c>
      <c r="C511">
        <v>24</v>
      </c>
      <c r="F511" s="898">
        <f>'Actions bâtiments communaux'!H27</f>
        <v>0</v>
      </c>
    </row>
    <row r="512" spans="1:6">
      <c r="A512" t="s">
        <v>2807</v>
      </c>
      <c r="B512" t="s">
        <v>2809</v>
      </c>
      <c r="C512">
        <v>1</v>
      </c>
      <c r="F512" s="898">
        <f>'Actions bâtiments communaux'!I4</f>
        <v>0</v>
      </c>
    </row>
    <row r="513" spans="1:6">
      <c r="A513" t="s">
        <v>2807</v>
      </c>
      <c r="B513" t="s">
        <v>2809</v>
      </c>
      <c r="C513">
        <v>2</v>
      </c>
      <c r="F513" s="898">
        <f>'Actions bâtiments communaux'!I5</f>
        <v>0</v>
      </c>
    </row>
    <row r="514" spans="1:6">
      <c r="A514" t="s">
        <v>2807</v>
      </c>
      <c r="B514" t="s">
        <v>2809</v>
      </c>
      <c r="C514">
        <v>3</v>
      </c>
      <c r="F514" s="898">
        <f>'Actions bâtiments communaux'!I6</f>
        <v>0</v>
      </c>
    </row>
    <row r="515" spans="1:6">
      <c r="A515" t="s">
        <v>2807</v>
      </c>
      <c r="B515" t="s">
        <v>2809</v>
      </c>
      <c r="C515">
        <v>4</v>
      </c>
      <c r="F515" s="898">
        <f>'Actions bâtiments communaux'!I7</f>
        <v>0</v>
      </c>
    </row>
    <row r="516" spans="1:6">
      <c r="A516" t="s">
        <v>2807</v>
      </c>
      <c r="B516" t="s">
        <v>2809</v>
      </c>
      <c r="C516">
        <v>5</v>
      </c>
      <c r="F516" s="898">
        <f>'Actions bâtiments communaux'!I8</f>
        <v>0</v>
      </c>
    </row>
    <row r="517" spans="1:6">
      <c r="A517" t="s">
        <v>2807</v>
      </c>
      <c r="B517" t="s">
        <v>2809</v>
      </c>
      <c r="C517">
        <v>6</v>
      </c>
      <c r="F517" s="898">
        <f>'Actions bâtiments communaux'!I9</f>
        <v>0</v>
      </c>
    </row>
    <row r="518" spans="1:6">
      <c r="A518" t="s">
        <v>2807</v>
      </c>
      <c r="B518" t="s">
        <v>2809</v>
      </c>
      <c r="C518">
        <v>7</v>
      </c>
      <c r="F518" s="898">
        <f>'Actions bâtiments communaux'!I10</f>
        <v>0</v>
      </c>
    </row>
    <row r="519" spans="1:6">
      <c r="A519" t="s">
        <v>2807</v>
      </c>
      <c r="B519" t="s">
        <v>2809</v>
      </c>
      <c r="C519">
        <v>8</v>
      </c>
      <c r="F519" s="898">
        <f>'Actions bâtiments communaux'!I11</f>
        <v>0</v>
      </c>
    </row>
    <row r="520" spans="1:6">
      <c r="A520" t="s">
        <v>2807</v>
      </c>
      <c r="B520" t="s">
        <v>2809</v>
      </c>
      <c r="C520">
        <v>9</v>
      </c>
      <c r="F520" s="898">
        <f>'Actions bâtiments communaux'!I12</f>
        <v>0</v>
      </c>
    </row>
    <row r="521" spans="1:6">
      <c r="A521" t="s">
        <v>2807</v>
      </c>
      <c r="B521" t="s">
        <v>2809</v>
      </c>
      <c r="C521">
        <v>10</v>
      </c>
      <c r="F521" s="898">
        <f>'Actions bâtiments communaux'!I13</f>
        <v>0</v>
      </c>
    </row>
    <row r="522" spans="1:6">
      <c r="A522" t="s">
        <v>2807</v>
      </c>
      <c r="B522" t="s">
        <v>2809</v>
      </c>
      <c r="C522">
        <v>11</v>
      </c>
      <c r="F522" s="898">
        <f>'Actions bâtiments communaux'!I14</f>
        <v>0</v>
      </c>
    </row>
    <row r="523" spans="1:6">
      <c r="A523" t="s">
        <v>2807</v>
      </c>
      <c r="B523" t="s">
        <v>2809</v>
      </c>
      <c r="C523">
        <v>12</v>
      </c>
      <c r="F523" s="898">
        <f>'Actions bâtiments communaux'!I15</f>
        <v>0</v>
      </c>
    </row>
    <row r="524" spans="1:6">
      <c r="A524" t="s">
        <v>2807</v>
      </c>
      <c r="B524" t="s">
        <v>2809</v>
      </c>
      <c r="C524">
        <v>13</v>
      </c>
      <c r="F524" s="898">
        <f>'Actions bâtiments communaux'!I16</f>
        <v>0</v>
      </c>
    </row>
    <row r="525" spans="1:6">
      <c r="A525" t="s">
        <v>2807</v>
      </c>
      <c r="B525" t="s">
        <v>2809</v>
      </c>
      <c r="C525">
        <v>14</v>
      </c>
      <c r="F525" s="898">
        <f>'Actions bâtiments communaux'!I17</f>
        <v>0</v>
      </c>
    </row>
    <row r="526" spans="1:6">
      <c r="A526" t="s">
        <v>2807</v>
      </c>
      <c r="B526" t="s">
        <v>2809</v>
      </c>
      <c r="C526">
        <v>15</v>
      </c>
      <c r="F526" s="898">
        <f>'Actions bâtiments communaux'!I18</f>
        <v>0</v>
      </c>
    </row>
    <row r="527" spans="1:6">
      <c r="A527" t="s">
        <v>2807</v>
      </c>
      <c r="B527" t="s">
        <v>2809</v>
      </c>
      <c r="C527">
        <v>16</v>
      </c>
      <c r="F527" s="898">
        <f>'Actions bâtiments communaux'!I19</f>
        <v>0</v>
      </c>
    </row>
    <row r="528" spans="1:6">
      <c r="A528" t="s">
        <v>2807</v>
      </c>
      <c r="B528" t="s">
        <v>2809</v>
      </c>
      <c r="C528">
        <v>17</v>
      </c>
      <c r="F528" s="898">
        <f>'Actions bâtiments communaux'!I20</f>
        <v>0</v>
      </c>
    </row>
    <row r="529" spans="1:6">
      <c r="A529" t="s">
        <v>2807</v>
      </c>
      <c r="B529" t="s">
        <v>2809</v>
      </c>
      <c r="C529">
        <v>18</v>
      </c>
      <c r="F529" s="898">
        <f>'Actions bâtiments communaux'!I21</f>
        <v>0</v>
      </c>
    </row>
    <row r="530" spans="1:6">
      <c r="A530" t="s">
        <v>2807</v>
      </c>
      <c r="B530" t="s">
        <v>2809</v>
      </c>
      <c r="C530">
        <v>19</v>
      </c>
      <c r="F530" s="898">
        <f>'Actions bâtiments communaux'!I22</f>
        <v>0</v>
      </c>
    </row>
    <row r="531" spans="1:6">
      <c r="A531" t="s">
        <v>2807</v>
      </c>
      <c r="B531" t="s">
        <v>2809</v>
      </c>
      <c r="C531">
        <v>20</v>
      </c>
      <c r="F531" s="898">
        <f>'Actions bâtiments communaux'!I23</f>
        <v>0</v>
      </c>
    </row>
    <row r="532" spans="1:6">
      <c r="A532" t="s">
        <v>2807</v>
      </c>
      <c r="B532" t="s">
        <v>2809</v>
      </c>
      <c r="C532">
        <v>21</v>
      </c>
      <c r="F532" s="898">
        <f>'Actions bâtiments communaux'!I24</f>
        <v>0</v>
      </c>
    </row>
    <row r="533" spans="1:6">
      <c r="A533" t="s">
        <v>2807</v>
      </c>
      <c r="B533" t="s">
        <v>2809</v>
      </c>
      <c r="C533">
        <v>22</v>
      </c>
      <c r="F533" s="898">
        <f>'Actions bâtiments communaux'!I25</f>
        <v>0</v>
      </c>
    </row>
    <row r="534" spans="1:6">
      <c r="A534" t="s">
        <v>2807</v>
      </c>
      <c r="B534" t="s">
        <v>2809</v>
      </c>
      <c r="C534">
        <v>23</v>
      </c>
      <c r="F534" s="898">
        <f>'Actions bâtiments communaux'!I26</f>
        <v>0</v>
      </c>
    </row>
    <row r="535" spans="1:6">
      <c r="A535" t="s">
        <v>2807</v>
      </c>
      <c r="B535" t="s">
        <v>2809</v>
      </c>
      <c r="C535">
        <v>24</v>
      </c>
      <c r="F535" s="898">
        <f>'Actions bâtiments communaux'!I27</f>
        <v>0</v>
      </c>
    </row>
    <row r="536" spans="1:6">
      <c r="A536" t="s">
        <v>2807</v>
      </c>
      <c r="B536" t="s">
        <v>2810</v>
      </c>
      <c r="C536">
        <v>1</v>
      </c>
      <c r="F536" s="898">
        <f>'Actions bâtiments communaux'!J4</f>
        <v>0</v>
      </c>
    </row>
    <row r="537" spans="1:6">
      <c r="A537" t="s">
        <v>2807</v>
      </c>
      <c r="B537" t="s">
        <v>2810</v>
      </c>
      <c r="C537">
        <v>2</v>
      </c>
      <c r="F537" s="898">
        <f>'Actions bâtiments communaux'!J5</f>
        <v>0</v>
      </c>
    </row>
    <row r="538" spans="1:6">
      <c r="A538" t="s">
        <v>2807</v>
      </c>
      <c r="B538" t="s">
        <v>2810</v>
      </c>
      <c r="C538">
        <v>3</v>
      </c>
      <c r="F538" s="898">
        <f>'Actions bâtiments communaux'!J6</f>
        <v>0</v>
      </c>
    </row>
    <row r="539" spans="1:6">
      <c r="A539" t="s">
        <v>2807</v>
      </c>
      <c r="B539" t="s">
        <v>2810</v>
      </c>
      <c r="C539">
        <v>4</v>
      </c>
      <c r="F539" s="898">
        <f>'Actions bâtiments communaux'!J7</f>
        <v>0</v>
      </c>
    </row>
    <row r="540" spans="1:6">
      <c r="A540" t="s">
        <v>2807</v>
      </c>
      <c r="B540" t="s">
        <v>2810</v>
      </c>
      <c r="C540">
        <v>5</v>
      </c>
      <c r="F540" s="898">
        <f>'Actions bâtiments communaux'!J8</f>
        <v>0</v>
      </c>
    </row>
    <row r="541" spans="1:6">
      <c r="A541" t="s">
        <v>2807</v>
      </c>
      <c r="B541" t="s">
        <v>2810</v>
      </c>
      <c r="C541">
        <v>6</v>
      </c>
      <c r="F541" s="898">
        <f>'Actions bâtiments communaux'!J9</f>
        <v>0</v>
      </c>
    </row>
    <row r="542" spans="1:6">
      <c r="A542" t="s">
        <v>2807</v>
      </c>
      <c r="B542" t="s">
        <v>2810</v>
      </c>
      <c r="C542">
        <v>7</v>
      </c>
      <c r="F542" s="898">
        <f>'Actions bâtiments communaux'!J10</f>
        <v>0</v>
      </c>
    </row>
    <row r="543" spans="1:6">
      <c r="A543" t="s">
        <v>2807</v>
      </c>
      <c r="B543" t="s">
        <v>2810</v>
      </c>
      <c r="C543">
        <v>8</v>
      </c>
      <c r="F543" s="898">
        <f>'Actions bâtiments communaux'!J11</f>
        <v>0</v>
      </c>
    </row>
    <row r="544" spans="1:6">
      <c r="A544" t="s">
        <v>2807</v>
      </c>
      <c r="B544" t="s">
        <v>2810</v>
      </c>
      <c r="C544">
        <v>9</v>
      </c>
      <c r="F544" s="898">
        <f>'Actions bâtiments communaux'!J12</f>
        <v>0</v>
      </c>
    </row>
    <row r="545" spans="1:6">
      <c r="A545" t="s">
        <v>2807</v>
      </c>
      <c r="B545" t="s">
        <v>2810</v>
      </c>
      <c r="C545">
        <v>10</v>
      </c>
      <c r="F545" s="898">
        <f>'Actions bâtiments communaux'!J13</f>
        <v>0</v>
      </c>
    </row>
    <row r="546" spans="1:6">
      <c r="A546" t="s">
        <v>2807</v>
      </c>
      <c r="B546" t="s">
        <v>2810</v>
      </c>
      <c r="C546">
        <v>11</v>
      </c>
      <c r="F546" s="898">
        <f>'Actions bâtiments communaux'!J14</f>
        <v>0</v>
      </c>
    </row>
    <row r="547" spans="1:6">
      <c r="A547" t="s">
        <v>2807</v>
      </c>
      <c r="B547" t="s">
        <v>2810</v>
      </c>
      <c r="C547">
        <v>12</v>
      </c>
      <c r="F547" s="898">
        <f>'Actions bâtiments communaux'!J15</f>
        <v>0</v>
      </c>
    </row>
    <row r="548" spans="1:6">
      <c r="A548" t="s">
        <v>2807</v>
      </c>
      <c r="B548" t="s">
        <v>2810</v>
      </c>
      <c r="C548">
        <v>13</v>
      </c>
      <c r="F548" s="898">
        <f>'Actions bâtiments communaux'!J16</f>
        <v>0</v>
      </c>
    </row>
    <row r="549" spans="1:6">
      <c r="A549" t="s">
        <v>2807</v>
      </c>
      <c r="B549" t="s">
        <v>2810</v>
      </c>
      <c r="C549">
        <v>14</v>
      </c>
      <c r="F549" s="898">
        <f>'Actions bâtiments communaux'!J17</f>
        <v>0</v>
      </c>
    </row>
    <row r="550" spans="1:6">
      <c r="A550" t="s">
        <v>2807</v>
      </c>
      <c r="B550" t="s">
        <v>2810</v>
      </c>
      <c r="C550">
        <v>15</v>
      </c>
      <c r="F550" s="898">
        <f>'Actions bâtiments communaux'!J18</f>
        <v>0</v>
      </c>
    </row>
    <row r="551" spans="1:6">
      <c r="A551" t="s">
        <v>2807</v>
      </c>
      <c r="B551" t="s">
        <v>2810</v>
      </c>
      <c r="C551">
        <v>16</v>
      </c>
      <c r="F551" s="898">
        <f>'Actions bâtiments communaux'!J19</f>
        <v>0</v>
      </c>
    </row>
    <row r="552" spans="1:6">
      <c r="A552" t="s">
        <v>2807</v>
      </c>
      <c r="B552" t="s">
        <v>2810</v>
      </c>
      <c r="C552">
        <v>17</v>
      </c>
      <c r="F552" s="898">
        <f>'Actions bâtiments communaux'!J20</f>
        <v>0</v>
      </c>
    </row>
    <row r="553" spans="1:6">
      <c r="A553" t="s">
        <v>2807</v>
      </c>
      <c r="B553" t="s">
        <v>2810</v>
      </c>
      <c r="C553">
        <v>18</v>
      </c>
      <c r="F553" s="898">
        <f>'Actions bâtiments communaux'!J21</f>
        <v>0</v>
      </c>
    </row>
    <row r="554" spans="1:6">
      <c r="A554" t="s">
        <v>2807</v>
      </c>
      <c r="B554" t="s">
        <v>2810</v>
      </c>
      <c r="C554">
        <v>19</v>
      </c>
      <c r="F554" s="898">
        <f>'Actions bâtiments communaux'!J22</f>
        <v>0</v>
      </c>
    </row>
    <row r="555" spans="1:6">
      <c r="A555" t="s">
        <v>2807</v>
      </c>
      <c r="B555" t="s">
        <v>2810</v>
      </c>
      <c r="C555">
        <v>20</v>
      </c>
      <c r="F555" s="898">
        <f>'Actions bâtiments communaux'!J23</f>
        <v>0</v>
      </c>
    </row>
    <row r="556" spans="1:6">
      <c r="A556" t="s">
        <v>2807</v>
      </c>
      <c r="B556" t="s">
        <v>2810</v>
      </c>
      <c r="C556">
        <v>21</v>
      </c>
      <c r="F556" s="898">
        <f>'Actions bâtiments communaux'!J24</f>
        <v>0</v>
      </c>
    </row>
    <row r="557" spans="1:6">
      <c r="A557" t="s">
        <v>2807</v>
      </c>
      <c r="B557" t="s">
        <v>2810</v>
      </c>
      <c r="C557">
        <v>22</v>
      </c>
      <c r="F557" s="898">
        <f>'Actions bâtiments communaux'!J25</f>
        <v>0</v>
      </c>
    </row>
    <row r="558" spans="1:6">
      <c r="A558" t="s">
        <v>2807</v>
      </c>
      <c r="B558" t="s">
        <v>2810</v>
      </c>
      <c r="C558">
        <v>23</v>
      </c>
      <c r="F558" s="898">
        <f>'Actions bâtiments communaux'!J26</f>
        <v>0</v>
      </c>
    </row>
    <row r="559" spans="1:6">
      <c r="A559" t="s">
        <v>2807</v>
      </c>
      <c r="B559" t="s">
        <v>2810</v>
      </c>
      <c r="C559">
        <v>24</v>
      </c>
      <c r="F559" s="898">
        <f>'Actions bâtiments communaux'!J27</f>
        <v>0</v>
      </c>
    </row>
    <row r="560" spans="1:6">
      <c r="A560" t="s">
        <v>2807</v>
      </c>
      <c r="B560" t="s">
        <v>2811</v>
      </c>
      <c r="C560">
        <v>1</v>
      </c>
      <c r="F560" s="898">
        <f>'Actions bâtiments communaux'!K4</f>
        <v>0</v>
      </c>
    </row>
    <row r="561" spans="1:6">
      <c r="A561" t="s">
        <v>2807</v>
      </c>
      <c r="B561" t="s">
        <v>2811</v>
      </c>
      <c r="C561">
        <v>2</v>
      </c>
      <c r="F561" s="898">
        <f>'Actions bâtiments communaux'!K5</f>
        <v>0</v>
      </c>
    </row>
    <row r="562" spans="1:6">
      <c r="A562" t="s">
        <v>2807</v>
      </c>
      <c r="B562" t="s">
        <v>2811</v>
      </c>
      <c r="C562">
        <v>3</v>
      </c>
      <c r="F562" s="898">
        <f>'Actions bâtiments communaux'!K6</f>
        <v>0</v>
      </c>
    </row>
    <row r="563" spans="1:6">
      <c r="A563" t="s">
        <v>2807</v>
      </c>
      <c r="B563" t="s">
        <v>2811</v>
      </c>
      <c r="C563">
        <v>4</v>
      </c>
      <c r="F563" s="898">
        <f>'Actions bâtiments communaux'!K7</f>
        <v>0</v>
      </c>
    </row>
    <row r="564" spans="1:6">
      <c r="A564" t="s">
        <v>2807</v>
      </c>
      <c r="B564" t="s">
        <v>2811</v>
      </c>
      <c r="C564">
        <v>5</v>
      </c>
      <c r="F564" s="898">
        <f>'Actions bâtiments communaux'!K8</f>
        <v>0</v>
      </c>
    </row>
    <row r="565" spans="1:6">
      <c r="A565" t="s">
        <v>2807</v>
      </c>
      <c r="B565" t="s">
        <v>2811</v>
      </c>
      <c r="C565">
        <v>6</v>
      </c>
      <c r="F565" s="898">
        <f>'Actions bâtiments communaux'!K9</f>
        <v>0</v>
      </c>
    </row>
    <row r="566" spans="1:6">
      <c r="A566" t="s">
        <v>2807</v>
      </c>
      <c r="B566" t="s">
        <v>2811</v>
      </c>
      <c r="C566">
        <v>7</v>
      </c>
      <c r="F566" s="898">
        <f>'Actions bâtiments communaux'!K10</f>
        <v>0</v>
      </c>
    </row>
    <row r="567" spans="1:6">
      <c r="A567" t="s">
        <v>2807</v>
      </c>
      <c r="B567" t="s">
        <v>2811</v>
      </c>
      <c r="C567">
        <v>8</v>
      </c>
      <c r="F567" s="898">
        <f>'Actions bâtiments communaux'!K11</f>
        <v>0</v>
      </c>
    </row>
    <row r="568" spans="1:6">
      <c r="A568" t="s">
        <v>2807</v>
      </c>
      <c r="B568" t="s">
        <v>2811</v>
      </c>
      <c r="C568">
        <v>9</v>
      </c>
      <c r="F568" s="898">
        <f>'Actions bâtiments communaux'!K12</f>
        <v>0</v>
      </c>
    </row>
    <row r="569" spans="1:6">
      <c r="A569" t="s">
        <v>2807</v>
      </c>
      <c r="B569" t="s">
        <v>2811</v>
      </c>
      <c r="C569">
        <v>10</v>
      </c>
      <c r="F569" s="898">
        <f>'Actions bâtiments communaux'!K13</f>
        <v>0</v>
      </c>
    </row>
    <row r="570" spans="1:6">
      <c r="A570" t="s">
        <v>2807</v>
      </c>
      <c r="B570" t="s">
        <v>2811</v>
      </c>
      <c r="C570">
        <v>11</v>
      </c>
      <c r="F570" s="898">
        <f>'Actions bâtiments communaux'!K14</f>
        <v>0</v>
      </c>
    </row>
    <row r="571" spans="1:6">
      <c r="A571" t="s">
        <v>2807</v>
      </c>
      <c r="B571" t="s">
        <v>2811</v>
      </c>
      <c r="C571">
        <v>12</v>
      </c>
      <c r="F571" s="898">
        <f>'Actions bâtiments communaux'!K15</f>
        <v>0</v>
      </c>
    </row>
    <row r="572" spans="1:6">
      <c r="A572" t="s">
        <v>2807</v>
      </c>
      <c r="B572" t="s">
        <v>2811</v>
      </c>
      <c r="C572">
        <v>13</v>
      </c>
      <c r="F572" s="898">
        <f>'Actions bâtiments communaux'!K16</f>
        <v>0</v>
      </c>
    </row>
    <row r="573" spans="1:6">
      <c r="A573" t="s">
        <v>2807</v>
      </c>
      <c r="B573" t="s">
        <v>2811</v>
      </c>
      <c r="C573">
        <v>14</v>
      </c>
      <c r="F573" s="898">
        <f>'Actions bâtiments communaux'!K17</f>
        <v>0</v>
      </c>
    </row>
    <row r="574" spans="1:6">
      <c r="A574" t="s">
        <v>2807</v>
      </c>
      <c r="B574" t="s">
        <v>2811</v>
      </c>
      <c r="C574">
        <v>15</v>
      </c>
      <c r="F574" s="898">
        <f>'Actions bâtiments communaux'!K18</f>
        <v>0</v>
      </c>
    </row>
    <row r="575" spans="1:6">
      <c r="A575" t="s">
        <v>2807</v>
      </c>
      <c r="B575" t="s">
        <v>2811</v>
      </c>
      <c r="C575">
        <v>16</v>
      </c>
      <c r="F575" s="898">
        <f>'Actions bâtiments communaux'!K19</f>
        <v>0</v>
      </c>
    </row>
    <row r="576" spans="1:6">
      <c r="A576" t="s">
        <v>2807</v>
      </c>
      <c r="B576" t="s">
        <v>2811</v>
      </c>
      <c r="C576">
        <v>17</v>
      </c>
      <c r="F576" s="898">
        <f>'Actions bâtiments communaux'!K20</f>
        <v>0</v>
      </c>
    </row>
    <row r="577" spans="1:6">
      <c r="A577" t="s">
        <v>2807</v>
      </c>
      <c r="B577" t="s">
        <v>2811</v>
      </c>
      <c r="C577">
        <v>18</v>
      </c>
      <c r="F577" s="898">
        <f>'Actions bâtiments communaux'!K21</f>
        <v>0</v>
      </c>
    </row>
    <row r="578" spans="1:6">
      <c r="A578" t="s">
        <v>2807</v>
      </c>
      <c r="B578" t="s">
        <v>2811</v>
      </c>
      <c r="C578">
        <v>19</v>
      </c>
      <c r="F578" s="898">
        <f>'Actions bâtiments communaux'!K22</f>
        <v>0</v>
      </c>
    </row>
    <row r="579" spans="1:6">
      <c r="A579" t="s">
        <v>2807</v>
      </c>
      <c r="B579" t="s">
        <v>2811</v>
      </c>
      <c r="C579">
        <v>20</v>
      </c>
      <c r="F579" s="898">
        <f>'Actions bâtiments communaux'!K23</f>
        <v>0</v>
      </c>
    </row>
    <row r="580" spans="1:6">
      <c r="A580" t="s">
        <v>2807</v>
      </c>
      <c r="B580" t="s">
        <v>2811</v>
      </c>
      <c r="C580">
        <v>21</v>
      </c>
      <c r="F580" s="898">
        <f>'Actions bâtiments communaux'!K24</f>
        <v>0</v>
      </c>
    </row>
    <row r="581" spans="1:6">
      <c r="A581" t="s">
        <v>2807</v>
      </c>
      <c r="B581" t="s">
        <v>2811</v>
      </c>
      <c r="C581">
        <v>22</v>
      </c>
      <c r="F581" s="898">
        <f>'Actions bâtiments communaux'!K25</f>
        <v>0</v>
      </c>
    </row>
    <row r="582" spans="1:6">
      <c r="A582" t="s">
        <v>2807</v>
      </c>
      <c r="B582" t="s">
        <v>2811</v>
      </c>
      <c r="C582">
        <v>23</v>
      </c>
      <c r="F582" s="898">
        <f>'Actions bâtiments communaux'!K26</f>
        <v>0</v>
      </c>
    </row>
    <row r="583" spans="1:6">
      <c r="A583" t="s">
        <v>2807</v>
      </c>
      <c r="B583" t="s">
        <v>2811</v>
      </c>
      <c r="C583">
        <v>24</v>
      </c>
      <c r="F583" s="898">
        <f>'Actions bâtiments communaux'!K27</f>
        <v>0</v>
      </c>
    </row>
    <row r="584" spans="1:6">
      <c r="A584" t="s">
        <v>2807</v>
      </c>
      <c r="B584" t="s">
        <v>2812</v>
      </c>
      <c r="C584">
        <v>1</v>
      </c>
      <c r="F584" s="898">
        <f>'Actions bâtiments communaux'!N4</f>
        <v>0</v>
      </c>
    </row>
    <row r="585" spans="1:6">
      <c r="A585" t="s">
        <v>2807</v>
      </c>
      <c r="B585" t="s">
        <v>2812</v>
      </c>
      <c r="C585">
        <v>2</v>
      </c>
      <c r="F585" s="898">
        <f>'Actions bâtiments communaux'!N5</f>
        <v>0</v>
      </c>
    </row>
    <row r="586" spans="1:6">
      <c r="A586" t="s">
        <v>2807</v>
      </c>
      <c r="B586" t="s">
        <v>2812</v>
      </c>
      <c r="C586">
        <v>3</v>
      </c>
      <c r="F586" s="898">
        <f>'Actions bâtiments communaux'!N6</f>
        <v>0</v>
      </c>
    </row>
    <row r="587" spans="1:6">
      <c r="A587" t="s">
        <v>2807</v>
      </c>
      <c r="B587" t="s">
        <v>2812</v>
      </c>
      <c r="C587">
        <v>4</v>
      </c>
      <c r="F587" s="898">
        <f>'Actions bâtiments communaux'!N7</f>
        <v>0</v>
      </c>
    </row>
    <row r="588" spans="1:6">
      <c r="A588" t="s">
        <v>2807</v>
      </c>
      <c r="B588" t="s">
        <v>2812</v>
      </c>
      <c r="C588">
        <v>5</v>
      </c>
      <c r="F588" s="898">
        <f>'Actions bâtiments communaux'!N8</f>
        <v>0</v>
      </c>
    </row>
    <row r="589" spans="1:6">
      <c r="A589" t="s">
        <v>2807</v>
      </c>
      <c r="B589" t="s">
        <v>2812</v>
      </c>
      <c r="C589">
        <v>6</v>
      </c>
      <c r="F589" s="898">
        <f>'Actions bâtiments communaux'!N9</f>
        <v>0</v>
      </c>
    </row>
    <row r="590" spans="1:6">
      <c r="A590" t="s">
        <v>2807</v>
      </c>
      <c r="B590" t="s">
        <v>2812</v>
      </c>
      <c r="C590">
        <v>7</v>
      </c>
      <c r="F590" s="898">
        <f>'Actions bâtiments communaux'!N10</f>
        <v>0</v>
      </c>
    </row>
    <row r="591" spans="1:6">
      <c r="A591" t="s">
        <v>2807</v>
      </c>
      <c r="B591" t="s">
        <v>2812</v>
      </c>
      <c r="C591">
        <v>8</v>
      </c>
      <c r="F591" s="898">
        <f>'Actions bâtiments communaux'!N11</f>
        <v>0</v>
      </c>
    </row>
    <row r="592" spans="1:6">
      <c r="A592" t="s">
        <v>2807</v>
      </c>
      <c r="B592" t="s">
        <v>2812</v>
      </c>
      <c r="C592">
        <v>9</v>
      </c>
      <c r="F592" s="898">
        <f>'Actions bâtiments communaux'!N12</f>
        <v>0</v>
      </c>
    </row>
    <row r="593" spans="1:6">
      <c r="A593" t="s">
        <v>2807</v>
      </c>
      <c r="B593" t="s">
        <v>2812</v>
      </c>
      <c r="C593">
        <v>10</v>
      </c>
      <c r="F593" s="898">
        <f>'Actions bâtiments communaux'!N13</f>
        <v>0</v>
      </c>
    </row>
    <row r="594" spans="1:6">
      <c r="A594" t="s">
        <v>2807</v>
      </c>
      <c r="B594" t="s">
        <v>2812</v>
      </c>
      <c r="C594">
        <v>11</v>
      </c>
      <c r="F594" s="898">
        <f>'Actions bâtiments communaux'!N14</f>
        <v>0</v>
      </c>
    </row>
    <row r="595" spans="1:6">
      <c r="A595" t="s">
        <v>2807</v>
      </c>
      <c r="B595" t="s">
        <v>2812</v>
      </c>
      <c r="C595">
        <v>12</v>
      </c>
      <c r="F595" s="898">
        <f>'Actions bâtiments communaux'!N15</f>
        <v>0</v>
      </c>
    </row>
    <row r="596" spans="1:6">
      <c r="A596" t="s">
        <v>2807</v>
      </c>
      <c r="B596" t="s">
        <v>2812</v>
      </c>
      <c r="C596">
        <v>13</v>
      </c>
      <c r="F596" s="898">
        <f>'Actions bâtiments communaux'!N16</f>
        <v>0</v>
      </c>
    </row>
    <row r="597" spans="1:6">
      <c r="A597" t="s">
        <v>2807</v>
      </c>
      <c r="B597" t="s">
        <v>2812</v>
      </c>
      <c r="C597">
        <v>14</v>
      </c>
      <c r="F597" s="898">
        <f>'Actions bâtiments communaux'!N17</f>
        <v>0</v>
      </c>
    </row>
    <row r="598" spans="1:6">
      <c r="A598" t="s">
        <v>2807</v>
      </c>
      <c r="B598" t="s">
        <v>2812</v>
      </c>
      <c r="C598">
        <v>15</v>
      </c>
      <c r="F598" s="898">
        <f>'Actions bâtiments communaux'!N18</f>
        <v>0</v>
      </c>
    </row>
    <row r="599" spans="1:6">
      <c r="A599" t="s">
        <v>2807</v>
      </c>
      <c r="B599" t="s">
        <v>2812</v>
      </c>
      <c r="C599">
        <v>16</v>
      </c>
      <c r="F599" s="898">
        <f>'Actions bâtiments communaux'!N19</f>
        <v>0</v>
      </c>
    </row>
    <row r="600" spans="1:6">
      <c r="A600" t="s">
        <v>2807</v>
      </c>
      <c r="B600" t="s">
        <v>2812</v>
      </c>
      <c r="C600">
        <v>17</v>
      </c>
      <c r="F600" s="898">
        <f>'Actions bâtiments communaux'!N20</f>
        <v>0</v>
      </c>
    </row>
    <row r="601" spans="1:6">
      <c r="A601" t="s">
        <v>2807</v>
      </c>
      <c r="B601" t="s">
        <v>2812</v>
      </c>
      <c r="C601">
        <v>18</v>
      </c>
      <c r="F601" s="898">
        <f>'Actions bâtiments communaux'!N21</f>
        <v>0</v>
      </c>
    </row>
    <row r="602" spans="1:6">
      <c r="A602" t="s">
        <v>2807</v>
      </c>
      <c r="B602" t="s">
        <v>2812</v>
      </c>
      <c r="C602">
        <v>19</v>
      </c>
      <c r="F602" s="898">
        <f>'Actions bâtiments communaux'!N22</f>
        <v>0</v>
      </c>
    </row>
    <row r="603" spans="1:6">
      <c r="A603" t="s">
        <v>2807</v>
      </c>
      <c r="B603" t="s">
        <v>2812</v>
      </c>
      <c r="C603">
        <v>20</v>
      </c>
      <c r="F603" s="898">
        <f>'Actions bâtiments communaux'!N23</f>
        <v>0</v>
      </c>
    </row>
    <row r="604" spans="1:6">
      <c r="A604" t="s">
        <v>2807</v>
      </c>
      <c r="B604" t="s">
        <v>2812</v>
      </c>
      <c r="C604">
        <v>21</v>
      </c>
      <c r="F604" s="898">
        <f>'Actions bâtiments communaux'!N24</f>
        <v>0</v>
      </c>
    </row>
    <row r="605" spans="1:6">
      <c r="A605" t="s">
        <v>2807</v>
      </c>
      <c r="B605" t="s">
        <v>2812</v>
      </c>
      <c r="C605">
        <v>22</v>
      </c>
      <c r="F605" s="898">
        <f>'Actions bâtiments communaux'!N25</f>
        <v>0</v>
      </c>
    </row>
    <row r="606" spans="1:6">
      <c r="A606" t="s">
        <v>2807</v>
      </c>
      <c r="B606" t="s">
        <v>2812</v>
      </c>
      <c r="C606">
        <v>23</v>
      </c>
      <c r="F606" s="898">
        <f>'Actions bâtiments communaux'!N26</f>
        <v>0</v>
      </c>
    </row>
    <row r="607" spans="1:6">
      <c r="A607" t="s">
        <v>2807</v>
      </c>
      <c r="B607" t="s">
        <v>2812</v>
      </c>
      <c r="C607">
        <v>24</v>
      </c>
      <c r="F607" s="898">
        <f>'Actions bâtiments communaux'!N27</f>
        <v>0</v>
      </c>
    </row>
    <row r="608" spans="1:6">
      <c r="A608" t="s">
        <v>2807</v>
      </c>
      <c r="B608" t="s">
        <v>1287</v>
      </c>
      <c r="C608">
        <v>1</v>
      </c>
      <c r="F608" s="898">
        <f>'Actions bâtiments communaux'!O4</f>
        <v>0</v>
      </c>
    </row>
    <row r="609" spans="1:6">
      <c r="A609" t="s">
        <v>2807</v>
      </c>
      <c r="B609" t="s">
        <v>1287</v>
      </c>
      <c r="C609">
        <v>2</v>
      </c>
      <c r="F609" s="898">
        <f>'Actions bâtiments communaux'!O5</f>
        <v>0</v>
      </c>
    </row>
    <row r="610" spans="1:6">
      <c r="A610" t="s">
        <v>2807</v>
      </c>
      <c r="B610" t="s">
        <v>1287</v>
      </c>
      <c r="C610">
        <v>3</v>
      </c>
      <c r="F610" s="898">
        <f>'Actions bâtiments communaux'!O6</f>
        <v>0</v>
      </c>
    </row>
    <row r="611" spans="1:6">
      <c r="A611" t="s">
        <v>2807</v>
      </c>
      <c r="B611" t="s">
        <v>1287</v>
      </c>
      <c r="C611">
        <v>4</v>
      </c>
      <c r="F611" s="898">
        <f>'Actions bâtiments communaux'!O7</f>
        <v>0</v>
      </c>
    </row>
    <row r="612" spans="1:6">
      <c r="A612" t="s">
        <v>2807</v>
      </c>
      <c r="B612" t="s">
        <v>1287</v>
      </c>
      <c r="C612">
        <v>5</v>
      </c>
      <c r="F612" s="898">
        <f>'Actions bâtiments communaux'!O8</f>
        <v>0</v>
      </c>
    </row>
    <row r="613" spans="1:6">
      <c r="A613" t="s">
        <v>2807</v>
      </c>
      <c r="B613" t="s">
        <v>1287</v>
      </c>
      <c r="C613">
        <v>6</v>
      </c>
      <c r="F613" s="898">
        <f>'Actions bâtiments communaux'!O9</f>
        <v>0</v>
      </c>
    </row>
    <row r="614" spans="1:6">
      <c r="A614" t="s">
        <v>2807</v>
      </c>
      <c r="B614" t="s">
        <v>1287</v>
      </c>
      <c r="C614">
        <v>7</v>
      </c>
      <c r="F614" s="898">
        <f>'Actions bâtiments communaux'!O10</f>
        <v>0</v>
      </c>
    </row>
    <row r="615" spans="1:6">
      <c r="A615" t="s">
        <v>2807</v>
      </c>
      <c r="B615" t="s">
        <v>1287</v>
      </c>
      <c r="C615">
        <v>8</v>
      </c>
      <c r="F615" s="898">
        <f>'Actions bâtiments communaux'!O11</f>
        <v>0</v>
      </c>
    </row>
    <row r="616" spans="1:6">
      <c r="A616" t="s">
        <v>2807</v>
      </c>
      <c r="B616" t="s">
        <v>1287</v>
      </c>
      <c r="C616">
        <v>9</v>
      </c>
      <c r="F616" s="898">
        <f>'Actions bâtiments communaux'!O12</f>
        <v>0</v>
      </c>
    </row>
    <row r="617" spans="1:6">
      <c r="A617" t="s">
        <v>2807</v>
      </c>
      <c r="B617" t="s">
        <v>1287</v>
      </c>
      <c r="C617">
        <v>10</v>
      </c>
      <c r="F617" s="898">
        <f>'Actions bâtiments communaux'!O13</f>
        <v>0</v>
      </c>
    </row>
    <row r="618" spans="1:6">
      <c r="A618" t="s">
        <v>2807</v>
      </c>
      <c r="B618" t="s">
        <v>1287</v>
      </c>
      <c r="C618">
        <v>11</v>
      </c>
      <c r="F618" s="898">
        <f>'Actions bâtiments communaux'!O14</f>
        <v>0</v>
      </c>
    </row>
    <row r="619" spans="1:6">
      <c r="A619" t="s">
        <v>2807</v>
      </c>
      <c r="B619" t="s">
        <v>1287</v>
      </c>
      <c r="C619">
        <v>12</v>
      </c>
      <c r="F619" s="898">
        <f>'Actions bâtiments communaux'!O15</f>
        <v>0</v>
      </c>
    </row>
    <row r="620" spans="1:6">
      <c r="A620" t="s">
        <v>2807</v>
      </c>
      <c r="B620" t="s">
        <v>1287</v>
      </c>
      <c r="C620">
        <v>13</v>
      </c>
      <c r="F620" s="898">
        <f>'Actions bâtiments communaux'!O16</f>
        <v>0</v>
      </c>
    </row>
    <row r="621" spans="1:6">
      <c r="A621" t="s">
        <v>2807</v>
      </c>
      <c r="B621" t="s">
        <v>1287</v>
      </c>
      <c r="C621">
        <v>14</v>
      </c>
      <c r="F621" s="898">
        <f>'Actions bâtiments communaux'!O17</f>
        <v>0</v>
      </c>
    </row>
    <row r="622" spans="1:6">
      <c r="A622" t="s">
        <v>2807</v>
      </c>
      <c r="B622" t="s">
        <v>1287</v>
      </c>
      <c r="C622">
        <v>15</v>
      </c>
      <c r="F622" s="898">
        <f>'Actions bâtiments communaux'!O18</f>
        <v>0</v>
      </c>
    </row>
    <row r="623" spans="1:6">
      <c r="A623" t="s">
        <v>2807</v>
      </c>
      <c r="B623" t="s">
        <v>1287</v>
      </c>
      <c r="C623">
        <v>16</v>
      </c>
      <c r="F623" s="898">
        <f>'Actions bâtiments communaux'!O19</f>
        <v>0</v>
      </c>
    </row>
    <row r="624" spans="1:6">
      <c r="A624" t="s">
        <v>2807</v>
      </c>
      <c r="B624" t="s">
        <v>1287</v>
      </c>
      <c r="C624">
        <v>17</v>
      </c>
      <c r="F624" s="898">
        <f>'Actions bâtiments communaux'!O20</f>
        <v>0</v>
      </c>
    </row>
    <row r="625" spans="1:6">
      <c r="A625" t="s">
        <v>2807</v>
      </c>
      <c r="B625" t="s">
        <v>1287</v>
      </c>
      <c r="C625">
        <v>18</v>
      </c>
      <c r="F625" s="898">
        <f>'Actions bâtiments communaux'!O21</f>
        <v>0</v>
      </c>
    </row>
    <row r="626" spans="1:6">
      <c r="A626" t="s">
        <v>2807</v>
      </c>
      <c r="B626" t="s">
        <v>1287</v>
      </c>
      <c r="C626">
        <v>19</v>
      </c>
      <c r="F626" s="898">
        <f>'Actions bâtiments communaux'!O22</f>
        <v>0</v>
      </c>
    </row>
    <row r="627" spans="1:6">
      <c r="A627" t="s">
        <v>2807</v>
      </c>
      <c r="B627" t="s">
        <v>1287</v>
      </c>
      <c r="C627">
        <v>20</v>
      </c>
      <c r="F627" s="898">
        <f>'Actions bâtiments communaux'!O23</f>
        <v>0</v>
      </c>
    </row>
    <row r="628" spans="1:6">
      <c r="A628" t="s">
        <v>2807</v>
      </c>
      <c r="B628" t="s">
        <v>1287</v>
      </c>
      <c r="C628">
        <v>21</v>
      </c>
      <c r="F628" s="898">
        <f>'Actions bâtiments communaux'!O24</f>
        <v>0</v>
      </c>
    </row>
    <row r="629" spans="1:6">
      <c r="A629" t="s">
        <v>2807</v>
      </c>
      <c r="B629" t="s">
        <v>1287</v>
      </c>
      <c r="C629">
        <v>22</v>
      </c>
      <c r="F629" s="898">
        <f>'Actions bâtiments communaux'!O25</f>
        <v>0</v>
      </c>
    </row>
    <row r="630" spans="1:6">
      <c r="A630" t="s">
        <v>2807</v>
      </c>
      <c r="B630" t="s">
        <v>1287</v>
      </c>
      <c r="C630">
        <v>23</v>
      </c>
      <c r="F630" s="898">
        <f>'Actions bâtiments communaux'!O26</f>
        <v>0</v>
      </c>
    </row>
    <row r="631" spans="1:6">
      <c r="A631" t="s">
        <v>2807</v>
      </c>
      <c r="B631" t="s">
        <v>1287</v>
      </c>
      <c r="C631">
        <v>24</v>
      </c>
      <c r="F631" s="898">
        <f>'Actions bâtiments communaux'!O27</f>
        <v>0</v>
      </c>
    </row>
    <row r="632" spans="1:6">
      <c r="A632" t="s">
        <v>2807</v>
      </c>
      <c r="B632" t="s">
        <v>733</v>
      </c>
      <c r="C632">
        <v>1</v>
      </c>
      <c r="F632" s="898">
        <f>'Actions bâtiments communaux'!P4</f>
        <v>0</v>
      </c>
    </row>
    <row r="633" spans="1:6">
      <c r="A633" t="s">
        <v>2807</v>
      </c>
      <c r="B633" t="s">
        <v>733</v>
      </c>
      <c r="C633">
        <v>2</v>
      </c>
      <c r="F633" s="898">
        <f>'Actions bâtiments communaux'!P5</f>
        <v>0</v>
      </c>
    </row>
    <row r="634" spans="1:6">
      <c r="A634" t="s">
        <v>2807</v>
      </c>
      <c r="B634" t="s">
        <v>733</v>
      </c>
      <c r="C634">
        <v>3</v>
      </c>
      <c r="F634" s="898">
        <f>'Actions bâtiments communaux'!P6</f>
        <v>0</v>
      </c>
    </row>
    <row r="635" spans="1:6">
      <c r="A635" t="s">
        <v>2807</v>
      </c>
      <c r="B635" t="s">
        <v>733</v>
      </c>
      <c r="C635">
        <v>4</v>
      </c>
      <c r="F635" s="898">
        <f>'Actions bâtiments communaux'!P7</f>
        <v>0</v>
      </c>
    </row>
    <row r="636" spans="1:6">
      <c r="A636" t="s">
        <v>2807</v>
      </c>
      <c r="B636" t="s">
        <v>733</v>
      </c>
      <c r="C636">
        <v>5</v>
      </c>
      <c r="F636" s="898">
        <f>'Actions bâtiments communaux'!P8</f>
        <v>0</v>
      </c>
    </row>
    <row r="637" spans="1:6">
      <c r="A637" t="s">
        <v>2807</v>
      </c>
      <c r="B637" t="s">
        <v>733</v>
      </c>
      <c r="C637">
        <v>6</v>
      </c>
      <c r="F637" s="898">
        <f>'Actions bâtiments communaux'!P9</f>
        <v>0</v>
      </c>
    </row>
    <row r="638" spans="1:6">
      <c r="A638" t="s">
        <v>2807</v>
      </c>
      <c r="B638" t="s">
        <v>733</v>
      </c>
      <c r="C638">
        <v>7</v>
      </c>
      <c r="F638" s="898">
        <f>'Actions bâtiments communaux'!P10</f>
        <v>0</v>
      </c>
    </row>
    <row r="639" spans="1:6">
      <c r="A639" t="s">
        <v>2807</v>
      </c>
      <c r="B639" t="s">
        <v>733</v>
      </c>
      <c r="C639">
        <v>8</v>
      </c>
      <c r="F639" s="898">
        <f>'Actions bâtiments communaux'!P11</f>
        <v>0</v>
      </c>
    </row>
    <row r="640" spans="1:6">
      <c r="A640" t="s">
        <v>2807</v>
      </c>
      <c r="B640" t="s">
        <v>733</v>
      </c>
      <c r="C640">
        <v>9</v>
      </c>
      <c r="F640" s="898">
        <f>'Actions bâtiments communaux'!P12</f>
        <v>0</v>
      </c>
    </row>
    <row r="641" spans="1:6">
      <c r="A641" t="s">
        <v>2807</v>
      </c>
      <c r="B641" t="s">
        <v>733</v>
      </c>
      <c r="C641">
        <v>10</v>
      </c>
      <c r="F641" s="898">
        <f>'Actions bâtiments communaux'!P13</f>
        <v>0</v>
      </c>
    </row>
    <row r="642" spans="1:6">
      <c r="A642" t="s">
        <v>2807</v>
      </c>
      <c r="B642" t="s">
        <v>733</v>
      </c>
      <c r="C642">
        <v>11</v>
      </c>
      <c r="F642" s="898">
        <f>'Actions bâtiments communaux'!P14</f>
        <v>0</v>
      </c>
    </row>
    <row r="643" spans="1:6">
      <c r="A643" t="s">
        <v>2807</v>
      </c>
      <c r="B643" t="s">
        <v>733</v>
      </c>
      <c r="C643">
        <v>12</v>
      </c>
      <c r="F643" s="898">
        <f>'Actions bâtiments communaux'!P15</f>
        <v>0</v>
      </c>
    </row>
    <row r="644" spans="1:6">
      <c r="A644" t="s">
        <v>2807</v>
      </c>
      <c r="B644" t="s">
        <v>733</v>
      </c>
      <c r="C644">
        <v>13</v>
      </c>
      <c r="F644" s="898">
        <f>'Actions bâtiments communaux'!P16</f>
        <v>0</v>
      </c>
    </row>
    <row r="645" spans="1:6">
      <c r="A645" t="s">
        <v>2807</v>
      </c>
      <c r="B645" t="s">
        <v>733</v>
      </c>
      <c r="C645">
        <v>14</v>
      </c>
      <c r="F645" s="898">
        <f>'Actions bâtiments communaux'!P17</f>
        <v>0</v>
      </c>
    </row>
    <row r="646" spans="1:6">
      <c r="A646" t="s">
        <v>2807</v>
      </c>
      <c r="B646" t="s">
        <v>733</v>
      </c>
      <c r="C646">
        <v>15</v>
      </c>
      <c r="F646" s="898">
        <f>'Actions bâtiments communaux'!P18</f>
        <v>0</v>
      </c>
    </row>
    <row r="647" spans="1:6">
      <c r="A647" t="s">
        <v>2807</v>
      </c>
      <c r="B647" t="s">
        <v>733</v>
      </c>
      <c r="C647">
        <v>16</v>
      </c>
      <c r="F647" s="898">
        <f>'Actions bâtiments communaux'!P19</f>
        <v>0</v>
      </c>
    </row>
    <row r="648" spans="1:6">
      <c r="A648" t="s">
        <v>2807</v>
      </c>
      <c r="B648" t="s">
        <v>733</v>
      </c>
      <c r="C648">
        <v>17</v>
      </c>
      <c r="F648" s="898">
        <f>'Actions bâtiments communaux'!P20</f>
        <v>0</v>
      </c>
    </row>
    <row r="649" spans="1:6">
      <c r="A649" t="s">
        <v>2807</v>
      </c>
      <c r="B649" t="s">
        <v>733</v>
      </c>
      <c r="C649">
        <v>18</v>
      </c>
      <c r="F649" s="898">
        <f>'Actions bâtiments communaux'!P21</f>
        <v>0</v>
      </c>
    </row>
    <row r="650" spans="1:6">
      <c r="A650" t="s">
        <v>2807</v>
      </c>
      <c r="B650" t="s">
        <v>733</v>
      </c>
      <c r="C650">
        <v>19</v>
      </c>
      <c r="F650" s="898">
        <f>'Actions bâtiments communaux'!P22</f>
        <v>0</v>
      </c>
    </row>
    <row r="651" spans="1:6">
      <c r="A651" t="s">
        <v>2807</v>
      </c>
      <c r="B651" t="s">
        <v>733</v>
      </c>
      <c r="C651">
        <v>20</v>
      </c>
      <c r="F651" s="898">
        <f>'Actions bâtiments communaux'!P23</f>
        <v>0</v>
      </c>
    </row>
    <row r="652" spans="1:6">
      <c r="A652" t="s">
        <v>2807</v>
      </c>
      <c r="B652" t="s">
        <v>733</v>
      </c>
      <c r="C652">
        <v>21</v>
      </c>
      <c r="F652" s="898">
        <f>'Actions bâtiments communaux'!P24</f>
        <v>0</v>
      </c>
    </row>
    <row r="653" spans="1:6">
      <c r="A653" t="s">
        <v>2807</v>
      </c>
      <c r="B653" t="s">
        <v>733</v>
      </c>
      <c r="C653">
        <v>22</v>
      </c>
      <c r="F653" s="898">
        <f>'Actions bâtiments communaux'!P25</f>
        <v>0</v>
      </c>
    </row>
    <row r="654" spans="1:6">
      <c r="A654" t="s">
        <v>2807</v>
      </c>
      <c r="B654" t="s">
        <v>733</v>
      </c>
      <c r="C654">
        <v>23</v>
      </c>
      <c r="F654" s="898">
        <f>'Actions bâtiments communaux'!P26</f>
        <v>0</v>
      </c>
    </row>
    <row r="655" spans="1:6">
      <c r="A655" t="s">
        <v>2807</v>
      </c>
      <c r="B655" t="s">
        <v>733</v>
      </c>
      <c r="C655">
        <v>24</v>
      </c>
      <c r="F655" s="898">
        <f>'Actions bâtiments communaux'!P27</f>
        <v>0</v>
      </c>
    </row>
    <row r="656" spans="1:6">
      <c r="A656" t="s">
        <v>2813</v>
      </c>
      <c r="B656" t="s">
        <v>1064</v>
      </c>
      <c r="C656">
        <v>1</v>
      </c>
      <c r="F656" s="898" t="str">
        <f ca="1">Actions!B2</f>
        <v/>
      </c>
    </row>
    <row r="657" spans="1:6">
      <c r="A657" t="s">
        <v>2813</v>
      </c>
      <c r="B657" t="s">
        <v>1064</v>
      </c>
      <c r="C657">
        <v>2</v>
      </c>
      <c r="F657" s="898" t="str">
        <f ca="1">Actions!B3</f>
        <v/>
      </c>
    </row>
    <row r="658" spans="1:6">
      <c r="A658" t="s">
        <v>2813</v>
      </c>
      <c r="B658" t="s">
        <v>1064</v>
      </c>
      <c r="C658">
        <v>3</v>
      </c>
      <c r="F658" s="898" t="str">
        <f ca="1">Actions!B4</f>
        <v/>
      </c>
    </row>
    <row r="659" spans="1:6">
      <c r="A659" t="s">
        <v>2813</v>
      </c>
      <c r="B659" t="s">
        <v>1064</v>
      </c>
      <c r="C659">
        <v>4</v>
      </c>
      <c r="F659" s="898" t="str">
        <f ca="1">Actions!B5</f>
        <v/>
      </c>
    </row>
    <row r="660" spans="1:6">
      <c r="A660" t="s">
        <v>2813</v>
      </c>
      <c r="B660" t="s">
        <v>1064</v>
      </c>
      <c r="C660">
        <v>5</v>
      </c>
      <c r="F660" s="898" t="str">
        <f ca="1">Actions!B6</f>
        <v/>
      </c>
    </row>
    <row r="661" spans="1:6">
      <c r="A661" t="s">
        <v>2813</v>
      </c>
      <c r="B661" t="s">
        <v>1064</v>
      </c>
      <c r="C661">
        <v>6</v>
      </c>
      <c r="F661" s="898" t="str">
        <f ca="1">Actions!B7</f>
        <v/>
      </c>
    </row>
    <row r="662" spans="1:6">
      <c r="A662" t="s">
        <v>2813</v>
      </c>
      <c r="B662" t="s">
        <v>1064</v>
      </c>
      <c r="C662">
        <v>7</v>
      </c>
      <c r="F662" s="898" t="str">
        <f ca="1">Actions!B8</f>
        <v/>
      </c>
    </row>
    <row r="663" spans="1:6">
      <c r="A663" t="s">
        <v>2813</v>
      </c>
      <c r="B663" t="s">
        <v>1064</v>
      </c>
      <c r="C663">
        <v>8</v>
      </c>
      <c r="F663" s="898" t="str">
        <f ca="1">Actions!B9</f>
        <v/>
      </c>
    </row>
    <row r="664" spans="1:6">
      <c r="A664" t="s">
        <v>2813</v>
      </c>
      <c r="B664" t="s">
        <v>1064</v>
      </c>
      <c r="C664">
        <v>9</v>
      </c>
      <c r="F664" s="898" t="str">
        <f ca="1">Actions!B10</f>
        <v/>
      </c>
    </row>
    <row r="665" spans="1:6">
      <c r="A665" t="s">
        <v>2813</v>
      </c>
      <c r="B665" t="s">
        <v>1064</v>
      </c>
      <c r="C665">
        <v>10</v>
      </c>
      <c r="F665" s="898" t="str">
        <f ca="1">Actions!B11</f>
        <v/>
      </c>
    </row>
    <row r="666" spans="1:6">
      <c r="A666" t="s">
        <v>2813</v>
      </c>
      <c r="B666" t="s">
        <v>1064</v>
      </c>
      <c r="C666">
        <v>11</v>
      </c>
      <c r="F666" s="898" t="str">
        <f ca="1">Actions!B12</f>
        <v/>
      </c>
    </row>
    <row r="667" spans="1:6">
      <c r="A667" t="s">
        <v>2813</v>
      </c>
      <c r="B667" t="s">
        <v>1064</v>
      </c>
      <c r="C667">
        <v>12</v>
      </c>
      <c r="F667" s="898" t="str">
        <f ca="1">Actions!B13</f>
        <v/>
      </c>
    </row>
    <row r="668" spans="1:6">
      <c r="A668" t="s">
        <v>2813</v>
      </c>
      <c r="B668" t="s">
        <v>1064</v>
      </c>
      <c r="C668">
        <v>13</v>
      </c>
      <c r="F668" s="898" t="str">
        <f ca="1">Actions!B14</f>
        <v/>
      </c>
    </row>
    <row r="669" spans="1:6">
      <c r="A669" t="s">
        <v>2813</v>
      </c>
      <c r="B669" t="s">
        <v>1064</v>
      </c>
      <c r="C669">
        <v>14</v>
      </c>
      <c r="F669" s="898" t="str">
        <f ca="1">Actions!B15</f>
        <v/>
      </c>
    </row>
    <row r="670" spans="1:6">
      <c r="A670" t="s">
        <v>2813</v>
      </c>
      <c r="B670" t="s">
        <v>1064</v>
      </c>
      <c r="C670">
        <v>15</v>
      </c>
      <c r="F670" s="898" t="str">
        <f ca="1">Actions!B16</f>
        <v/>
      </c>
    </row>
    <row r="671" spans="1:6">
      <c r="A671" t="s">
        <v>2813</v>
      </c>
      <c r="B671" t="s">
        <v>1064</v>
      </c>
      <c r="C671">
        <v>16</v>
      </c>
      <c r="F671" s="898" t="str">
        <f ca="1">Actions!B17</f>
        <v/>
      </c>
    </row>
    <row r="672" spans="1:6">
      <c r="A672" t="s">
        <v>2813</v>
      </c>
      <c r="B672" t="s">
        <v>1064</v>
      </c>
      <c r="C672">
        <v>17</v>
      </c>
      <c r="F672" s="898" t="str">
        <f ca="1">Actions!B18</f>
        <v/>
      </c>
    </row>
    <row r="673" spans="1:6">
      <c r="A673" t="s">
        <v>2813</v>
      </c>
      <c r="B673" t="s">
        <v>1064</v>
      </c>
      <c r="C673">
        <v>18</v>
      </c>
      <c r="F673" s="898" t="str">
        <f ca="1">Actions!B19</f>
        <v/>
      </c>
    </row>
    <row r="674" spans="1:6">
      <c r="A674" t="s">
        <v>2813</v>
      </c>
      <c r="B674" t="s">
        <v>1064</v>
      </c>
      <c r="C674">
        <v>19</v>
      </c>
      <c r="F674" s="898" t="str">
        <f ca="1">Actions!B20</f>
        <v/>
      </c>
    </row>
    <row r="675" spans="1:6">
      <c r="A675" t="s">
        <v>2813</v>
      </c>
      <c r="B675" t="s">
        <v>1064</v>
      </c>
      <c r="C675">
        <v>20</v>
      </c>
      <c r="F675" s="898" t="str">
        <f ca="1">Actions!B21</f>
        <v/>
      </c>
    </row>
    <row r="676" spans="1:6">
      <c r="A676" t="s">
        <v>2813</v>
      </c>
      <c r="B676" t="s">
        <v>1064</v>
      </c>
      <c r="C676">
        <v>21</v>
      </c>
      <c r="F676" s="898" t="str">
        <f ca="1">Actions!B22</f>
        <v/>
      </c>
    </row>
    <row r="677" spans="1:6">
      <c r="A677" t="s">
        <v>2813</v>
      </c>
      <c r="B677" t="s">
        <v>1064</v>
      </c>
      <c r="C677">
        <v>22</v>
      </c>
      <c r="F677" s="898" t="str">
        <f ca="1">Actions!B23</f>
        <v/>
      </c>
    </row>
    <row r="678" spans="1:6">
      <c r="A678" t="s">
        <v>2813</v>
      </c>
      <c r="B678" t="s">
        <v>1064</v>
      </c>
      <c r="C678">
        <v>23</v>
      </c>
      <c r="F678" s="898" t="str">
        <f ca="1">Actions!B24</f>
        <v/>
      </c>
    </row>
    <row r="679" spans="1:6">
      <c r="A679" t="s">
        <v>2813</v>
      </c>
      <c r="B679" t="s">
        <v>1064</v>
      </c>
      <c r="C679">
        <v>24</v>
      </c>
      <c r="F679" s="898" t="str">
        <f ca="1">Actions!B25</f>
        <v/>
      </c>
    </row>
    <row r="680" spans="1:6">
      <c r="A680" t="s">
        <v>2813</v>
      </c>
      <c r="B680" t="s">
        <v>1064</v>
      </c>
      <c r="C680">
        <v>25</v>
      </c>
      <c r="F680" s="898" t="str">
        <f ca="1">Actions!B26</f>
        <v/>
      </c>
    </row>
    <row r="681" spans="1:6">
      <c r="A681" t="s">
        <v>2813</v>
      </c>
      <c r="B681" t="s">
        <v>1064</v>
      </c>
      <c r="C681">
        <v>26</v>
      </c>
      <c r="F681" s="898" t="str">
        <f ca="1">Actions!B27</f>
        <v/>
      </c>
    </row>
    <row r="682" spans="1:6">
      <c r="A682" t="s">
        <v>2813</v>
      </c>
      <c r="B682" t="s">
        <v>1064</v>
      </c>
      <c r="C682">
        <v>27</v>
      </c>
      <c r="F682" s="898" t="str">
        <f ca="1">Actions!B28</f>
        <v/>
      </c>
    </row>
    <row r="683" spans="1:6">
      <c r="A683" t="s">
        <v>2813</v>
      </c>
      <c r="B683" t="s">
        <v>1064</v>
      </c>
      <c r="C683">
        <v>28</v>
      </c>
      <c r="F683" s="898" t="str">
        <f ca="1">Actions!B29</f>
        <v/>
      </c>
    </row>
    <row r="684" spans="1:6">
      <c r="A684" t="s">
        <v>2813</v>
      </c>
      <c r="B684" t="s">
        <v>1064</v>
      </c>
      <c r="C684">
        <v>29</v>
      </c>
      <c r="F684" s="898" t="str">
        <f ca="1">Actions!B30</f>
        <v/>
      </c>
    </row>
    <row r="685" spans="1:6">
      <c r="A685" t="s">
        <v>2813</v>
      </c>
      <c r="B685" t="s">
        <v>1064</v>
      </c>
      <c r="C685">
        <v>30</v>
      </c>
      <c r="F685" s="898" t="str">
        <f ca="1">Actions!B31</f>
        <v/>
      </c>
    </row>
    <row r="686" spans="1:6">
      <c r="A686" t="s">
        <v>2813</v>
      </c>
      <c r="B686" t="s">
        <v>1064</v>
      </c>
      <c r="C686">
        <v>31</v>
      </c>
      <c r="F686" s="898" t="str">
        <f ca="1">Actions!B32</f>
        <v/>
      </c>
    </row>
    <row r="687" spans="1:6">
      <c r="A687" t="s">
        <v>2813</v>
      </c>
      <c r="B687" t="s">
        <v>1064</v>
      </c>
      <c r="C687">
        <v>32</v>
      </c>
      <c r="F687" s="898" t="str">
        <f ca="1">Actions!B33</f>
        <v/>
      </c>
    </row>
    <row r="688" spans="1:6">
      <c r="A688" t="s">
        <v>2813</v>
      </c>
      <c r="B688" t="s">
        <v>1064</v>
      </c>
      <c r="C688">
        <v>33</v>
      </c>
      <c r="F688" s="898" t="str">
        <f ca="1">Actions!B34</f>
        <v/>
      </c>
    </row>
    <row r="689" spans="1:6">
      <c r="A689" t="s">
        <v>2813</v>
      </c>
      <c r="B689" t="s">
        <v>1064</v>
      </c>
      <c r="C689">
        <v>34</v>
      </c>
      <c r="F689" s="898" t="str">
        <f ca="1">Actions!B35</f>
        <v/>
      </c>
    </row>
    <row r="690" spans="1:6">
      <c r="A690" t="s">
        <v>2813</v>
      </c>
      <c r="B690" t="s">
        <v>1064</v>
      </c>
      <c r="C690">
        <v>35</v>
      </c>
      <c r="F690" s="898" t="str">
        <f ca="1">Actions!B36</f>
        <v/>
      </c>
    </row>
    <row r="691" spans="1:6">
      <c r="A691" t="s">
        <v>2813</v>
      </c>
      <c r="B691" t="s">
        <v>1064</v>
      </c>
      <c r="C691">
        <v>36</v>
      </c>
      <c r="F691" s="898" t="str">
        <f ca="1">Actions!B37</f>
        <v/>
      </c>
    </row>
    <row r="692" spans="1:6">
      <c r="A692" t="s">
        <v>2813</v>
      </c>
      <c r="B692" t="s">
        <v>1064</v>
      </c>
      <c r="C692">
        <v>37</v>
      </c>
      <c r="F692" s="898" t="str">
        <f ca="1">Actions!B38</f>
        <v/>
      </c>
    </row>
    <row r="693" spans="1:6">
      <c r="A693" t="s">
        <v>2813</v>
      </c>
      <c r="B693" t="s">
        <v>1064</v>
      </c>
      <c r="C693">
        <v>38</v>
      </c>
      <c r="F693" s="898" t="str">
        <f ca="1">Actions!B39</f>
        <v/>
      </c>
    </row>
    <row r="694" spans="1:6">
      <c r="A694" t="s">
        <v>2813</v>
      </c>
      <c r="B694" t="s">
        <v>1064</v>
      </c>
      <c r="C694">
        <v>39</v>
      </c>
      <c r="F694" s="898" t="str">
        <f ca="1">Actions!B40</f>
        <v/>
      </c>
    </row>
    <row r="695" spans="1:6">
      <c r="A695" t="s">
        <v>2813</v>
      </c>
      <c r="B695" t="s">
        <v>1064</v>
      </c>
      <c r="C695">
        <v>40</v>
      </c>
      <c r="F695" s="898" t="str">
        <f ca="1">Actions!B41</f>
        <v/>
      </c>
    </row>
    <row r="696" spans="1:6">
      <c r="A696" t="s">
        <v>2813</v>
      </c>
      <c r="B696" t="s">
        <v>1064</v>
      </c>
      <c r="C696">
        <v>41</v>
      </c>
      <c r="F696" s="898" t="str">
        <f ca="1">Actions!B42</f>
        <v/>
      </c>
    </row>
    <row r="697" spans="1:6">
      <c r="A697" t="s">
        <v>2813</v>
      </c>
      <c r="B697" t="s">
        <v>1064</v>
      </c>
      <c r="C697">
        <v>42</v>
      </c>
      <c r="F697" s="898" t="str">
        <f ca="1">Actions!B43</f>
        <v/>
      </c>
    </row>
    <row r="698" spans="1:6">
      <c r="A698" t="s">
        <v>2813</v>
      </c>
      <c r="B698" t="s">
        <v>1064</v>
      </c>
      <c r="C698">
        <v>43</v>
      </c>
      <c r="F698" s="898" t="str">
        <f ca="1">Actions!B44</f>
        <v/>
      </c>
    </row>
    <row r="699" spans="1:6">
      <c r="A699" t="s">
        <v>2813</v>
      </c>
      <c r="B699" t="s">
        <v>1064</v>
      </c>
      <c r="C699">
        <v>44</v>
      </c>
      <c r="F699" s="898" t="str">
        <f ca="1">Actions!B45</f>
        <v/>
      </c>
    </row>
    <row r="700" spans="1:6">
      <c r="A700" t="s">
        <v>2813</v>
      </c>
      <c r="B700" t="s">
        <v>1064</v>
      </c>
      <c r="C700">
        <v>45</v>
      </c>
      <c r="F700" s="898" t="str">
        <f ca="1">Actions!B46</f>
        <v/>
      </c>
    </row>
    <row r="701" spans="1:6">
      <c r="A701" t="s">
        <v>2813</v>
      </c>
      <c r="B701" t="s">
        <v>1065</v>
      </c>
      <c r="C701">
        <v>1</v>
      </c>
      <c r="F701" s="898" t="str">
        <f ca="1">Actions!C2</f>
        <v/>
      </c>
    </row>
    <row r="702" spans="1:6">
      <c r="A702" t="s">
        <v>2813</v>
      </c>
      <c r="B702" t="s">
        <v>1065</v>
      </c>
      <c r="C702">
        <v>2</v>
      </c>
      <c r="F702" s="898" t="str">
        <f ca="1">Actions!C3</f>
        <v/>
      </c>
    </row>
    <row r="703" spans="1:6">
      <c r="A703" t="s">
        <v>2813</v>
      </c>
      <c r="B703" t="s">
        <v>1065</v>
      </c>
      <c r="C703">
        <v>3</v>
      </c>
      <c r="F703" s="898" t="str">
        <f ca="1">Actions!C4</f>
        <v/>
      </c>
    </row>
    <row r="704" spans="1:6">
      <c r="A704" t="s">
        <v>2813</v>
      </c>
      <c r="B704" t="s">
        <v>1065</v>
      </c>
      <c r="C704">
        <v>4</v>
      </c>
      <c r="F704" s="898" t="str">
        <f ca="1">Actions!C5</f>
        <v/>
      </c>
    </row>
    <row r="705" spans="1:6">
      <c r="A705" t="s">
        <v>2813</v>
      </c>
      <c r="B705" t="s">
        <v>1065</v>
      </c>
      <c r="C705">
        <v>5</v>
      </c>
      <c r="F705" s="898" t="str">
        <f ca="1">Actions!C6</f>
        <v/>
      </c>
    </row>
    <row r="706" spans="1:6">
      <c r="A706" t="s">
        <v>2813</v>
      </c>
      <c r="B706" t="s">
        <v>1065</v>
      </c>
      <c r="C706">
        <v>6</v>
      </c>
      <c r="F706" s="898" t="str">
        <f ca="1">Actions!C7</f>
        <v/>
      </c>
    </row>
    <row r="707" spans="1:6">
      <c r="A707" t="s">
        <v>2813</v>
      </c>
      <c r="B707" t="s">
        <v>1065</v>
      </c>
      <c r="C707">
        <v>7</v>
      </c>
      <c r="F707" s="898" t="str">
        <f ca="1">Actions!C8</f>
        <v/>
      </c>
    </row>
    <row r="708" spans="1:6">
      <c r="A708" t="s">
        <v>2813</v>
      </c>
      <c r="B708" t="s">
        <v>1065</v>
      </c>
      <c r="C708">
        <v>8</v>
      </c>
      <c r="F708" s="898" t="str">
        <f ca="1">Actions!C9</f>
        <v/>
      </c>
    </row>
    <row r="709" spans="1:6">
      <c r="A709" t="s">
        <v>2813</v>
      </c>
      <c r="B709" t="s">
        <v>1065</v>
      </c>
      <c r="C709">
        <v>9</v>
      </c>
      <c r="F709" s="898" t="str">
        <f ca="1">Actions!C10</f>
        <v/>
      </c>
    </row>
    <row r="710" spans="1:6">
      <c r="A710" t="s">
        <v>2813</v>
      </c>
      <c r="B710" t="s">
        <v>1065</v>
      </c>
      <c r="C710">
        <v>10</v>
      </c>
      <c r="F710" s="898" t="str">
        <f ca="1">Actions!C11</f>
        <v/>
      </c>
    </row>
    <row r="711" spans="1:6">
      <c r="A711" t="s">
        <v>2813</v>
      </c>
      <c r="B711" t="s">
        <v>1065</v>
      </c>
      <c r="C711">
        <v>11</v>
      </c>
      <c r="F711" s="898" t="str">
        <f ca="1">Actions!C12</f>
        <v/>
      </c>
    </row>
    <row r="712" spans="1:6">
      <c r="A712" t="s">
        <v>2813</v>
      </c>
      <c r="B712" t="s">
        <v>1065</v>
      </c>
      <c r="C712">
        <v>12</v>
      </c>
      <c r="F712" s="898" t="str">
        <f ca="1">Actions!C13</f>
        <v/>
      </c>
    </row>
    <row r="713" spans="1:6">
      <c r="A713" t="s">
        <v>2813</v>
      </c>
      <c r="B713" t="s">
        <v>1065</v>
      </c>
      <c r="C713">
        <v>13</v>
      </c>
      <c r="F713" s="898" t="str">
        <f ca="1">Actions!C14</f>
        <v/>
      </c>
    </row>
    <row r="714" spans="1:6">
      <c r="A714" t="s">
        <v>2813</v>
      </c>
      <c r="B714" t="s">
        <v>1065</v>
      </c>
      <c r="C714">
        <v>14</v>
      </c>
      <c r="F714" s="898" t="str">
        <f ca="1">Actions!C15</f>
        <v/>
      </c>
    </row>
    <row r="715" spans="1:6">
      <c r="A715" t="s">
        <v>2813</v>
      </c>
      <c r="B715" t="s">
        <v>1065</v>
      </c>
      <c r="C715">
        <v>15</v>
      </c>
      <c r="F715" s="898" t="str">
        <f ca="1">Actions!C16</f>
        <v/>
      </c>
    </row>
    <row r="716" spans="1:6">
      <c r="A716" t="s">
        <v>2813</v>
      </c>
      <c r="B716" t="s">
        <v>1065</v>
      </c>
      <c r="C716">
        <v>16</v>
      </c>
      <c r="F716" s="898" t="str">
        <f ca="1">Actions!C17</f>
        <v/>
      </c>
    </row>
    <row r="717" spans="1:6">
      <c r="A717" t="s">
        <v>2813</v>
      </c>
      <c r="B717" t="s">
        <v>1065</v>
      </c>
      <c r="C717">
        <v>17</v>
      </c>
      <c r="F717" s="898" t="str">
        <f ca="1">Actions!C18</f>
        <v/>
      </c>
    </row>
    <row r="718" spans="1:6">
      <c r="A718" t="s">
        <v>2813</v>
      </c>
      <c r="B718" t="s">
        <v>1065</v>
      </c>
      <c r="C718">
        <v>18</v>
      </c>
      <c r="F718" s="898" t="str">
        <f ca="1">Actions!C19</f>
        <v/>
      </c>
    </row>
    <row r="719" spans="1:6">
      <c r="A719" t="s">
        <v>2813</v>
      </c>
      <c r="B719" t="s">
        <v>1065</v>
      </c>
      <c r="C719">
        <v>19</v>
      </c>
      <c r="F719" s="898" t="str">
        <f ca="1">Actions!C20</f>
        <v/>
      </c>
    </row>
    <row r="720" spans="1:6">
      <c r="A720" t="s">
        <v>2813</v>
      </c>
      <c r="B720" t="s">
        <v>1065</v>
      </c>
      <c r="C720">
        <v>20</v>
      </c>
      <c r="F720" s="898" t="str">
        <f ca="1">Actions!C21</f>
        <v/>
      </c>
    </row>
    <row r="721" spans="1:6">
      <c r="A721" t="s">
        <v>2813</v>
      </c>
      <c r="B721" t="s">
        <v>1065</v>
      </c>
      <c r="C721">
        <v>21</v>
      </c>
      <c r="F721" s="898" t="str">
        <f ca="1">Actions!C22</f>
        <v/>
      </c>
    </row>
    <row r="722" spans="1:6">
      <c r="A722" t="s">
        <v>2813</v>
      </c>
      <c r="B722" t="s">
        <v>1065</v>
      </c>
      <c r="C722">
        <v>22</v>
      </c>
      <c r="F722" s="898" t="str">
        <f ca="1">Actions!C23</f>
        <v/>
      </c>
    </row>
    <row r="723" spans="1:6">
      <c r="A723" t="s">
        <v>2813</v>
      </c>
      <c r="B723" t="s">
        <v>1065</v>
      </c>
      <c r="C723">
        <v>23</v>
      </c>
      <c r="F723" s="898" t="str">
        <f ca="1">Actions!C24</f>
        <v/>
      </c>
    </row>
    <row r="724" spans="1:6">
      <c r="A724" t="s">
        <v>2813</v>
      </c>
      <c r="B724" t="s">
        <v>1065</v>
      </c>
      <c r="C724">
        <v>24</v>
      </c>
      <c r="F724" s="898" t="str">
        <f ca="1">Actions!C25</f>
        <v/>
      </c>
    </row>
    <row r="725" spans="1:6">
      <c r="A725" t="s">
        <v>2813</v>
      </c>
      <c r="B725" t="s">
        <v>1065</v>
      </c>
      <c r="C725">
        <v>25</v>
      </c>
      <c r="F725" s="898" t="str">
        <f ca="1">Actions!C26</f>
        <v/>
      </c>
    </row>
    <row r="726" spans="1:6">
      <c r="A726" t="s">
        <v>2813</v>
      </c>
      <c r="B726" t="s">
        <v>1065</v>
      </c>
      <c r="C726">
        <v>26</v>
      </c>
      <c r="F726" s="898" t="str">
        <f ca="1">Actions!C27</f>
        <v/>
      </c>
    </row>
    <row r="727" spans="1:6">
      <c r="A727" t="s">
        <v>2813</v>
      </c>
      <c r="B727" t="s">
        <v>1065</v>
      </c>
      <c r="C727">
        <v>27</v>
      </c>
      <c r="F727" s="898" t="str">
        <f ca="1">Actions!C28</f>
        <v/>
      </c>
    </row>
    <row r="728" spans="1:6">
      <c r="A728" t="s">
        <v>2813</v>
      </c>
      <c r="B728" t="s">
        <v>1065</v>
      </c>
      <c r="C728">
        <v>28</v>
      </c>
      <c r="F728" s="898" t="str">
        <f ca="1">Actions!C29</f>
        <v/>
      </c>
    </row>
    <row r="729" spans="1:6">
      <c r="A729" t="s">
        <v>2813</v>
      </c>
      <c r="B729" t="s">
        <v>1065</v>
      </c>
      <c r="C729">
        <v>29</v>
      </c>
      <c r="F729" s="898" t="str">
        <f ca="1">Actions!C30</f>
        <v/>
      </c>
    </row>
    <row r="730" spans="1:6">
      <c r="A730" t="s">
        <v>2813</v>
      </c>
      <c r="B730" t="s">
        <v>1065</v>
      </c>
      <c r="C730">
        <v>30</v>
      </c>
      <c r="F730" s="898" t="str">
        <f ca="1">Actions!C31</f>
        <v/>
      </c>
    </row>
    <row r="731" spans="1:6">
      <c r="A731" t="s">
        <v>2813</v>
      </c>
      <c r="B731" t="s">
        <v>1065</v>
      </c>
      <c r="C731">
        <v>31</v>
      </c>
      <c r="F731" s="898" t="str">
        <f ca="1">Actions!C32</f>
        <v/>
      </c>
    </row>
    <row r="732" spans="1:6">
      <c r="A732" t="s">
        <v>2813</v>
      </c>
      <c r="B732" t="s">
        <v>1065</v>
      </c>
      <c r="C732">
        <v>32</v>
      </c>
      <c r="F732" s="898" t="str">
        <f ca="1">Actions!C33</f>
        <v/>
      </c>
    </row>
    <row r="733" spans="1:6">
      <c r="A733" t="s">
        <v>2813</v>
      </c>
      <c r="B733" t="s">
        <v>1065</v>
      </c>
      <c r="C733">
        <v>33</v>
      </c>
      <c r="F733" s="898" t="str">
        <f ca="1">Actions!C34</f>
        <v/>
      </c>
    </row>
    <row r="734" spans="1:6">
      <c r="A734" t="s">
        <v>2813</v>
      </c>
      <c r="B734" t="s">
        <v>1065</v>
      </c>
      <c r="C734">
        <v>34</v>
      </c>
      <c r="F734" s="898" t="str">
        <f ca="1">Actions!C35</f>
        <v/>
      </c>
    </row>
    <row r="735" spans="1:6">
      <c r="A735" t="s">
        <v>2813</v>
      </c>
      <c r="B735" t="s">
        <v>1065</v>
      </c>
      <c r="C735">
        <v>35</v>
      </c>
      <c r="F735" s="898" t="str">
        <f ca="1">Actions!C36</f>
        <v/>
      </c>
    </row>
    <row r="736" spans="1:6">
      <c r="A736" t="s">
        <v>2813</v>
      </c>
      <c r="B736" t="s">
        <v>1065</v>
      </c>
      <c r="C736">
        <v>36</v>
      </c>
      <c r="F736" s="898" t="str">
        <f ca="1">Actions!C37</f>
        <v/>
      </c>
    </row>
    <row r="737" spans="1:6">
      <c r="A737" t="s">
        <v>2813</v>
      </c>
      <c r="B737" t="s">
        <v>1065</v>
      </c>
      <c r="C737">
        <v>37</v>
      </c>
      <c r="F737" s="898" t="str">
        <f ca="1">Actions!C38</f>
        <v/>
      </c>
    </row>
    <row r="738" spans="1:6">
      <c r="A738" t="s">
        <v>2813</v>
      </c>
      <c r="B738" t="s">
        <v>1065</v>
      </c>
      <c r="C738">
        <v>38</v>
      </c>
      <c r="F738" s="898" t="str">
        <f ca="1">Actions!C39</f>
        <v/>
      </c>
    </row>
    <row r="739" spans="1:6">
      <c r="A739" t="s">
        <v>2813</v>
      </c>
      <c r="B739" t="s">
        <v>1065</v>
      </c>
      <c r="C739">
        <v>39</v>
      </c>
      <c r="F739" s="898" t="str">
        <f ca="1">Actions!C40</f>
        <v/>
      </c>
    </row>
    <row r="740" spans="1:6">
      <c r="A740" t="s">
        <v>2813</v>
      </c>
      <c r="B740" t="s">
        <v>1065</v>
      </c>
      <c r="C740">
        <v>40</v>
      </c>
      <c r="F740" s="898" t="str">
        <f ca="1">Actions!C41</f>
        <v/>
      </c>
    </row>
    <row r="741" spans="1:6">
      <c r="A741" t="s">
        <v>2813</v>
      </c>
      <c r="B741" t="s">
        <v>1065</v>
      </c>
      <c r="C741">
        <v>41</v>
      </c>
      <c r="F741" s="898" t="str">
        <f ca="1">Actions!C42</f>
        <v/>
      </c>
    </row>
    <row r="742" spans="1:6">
      <c r="A742" t="s">
        <v>2813</v>
      </c>
      <c r="B742" t="s">
        <v>1065</v>
      </c>
      <c r="C742">
        <v>42</v>
      </c>
      <c r="F742" s="898" t="str">
        <f ca="1">Actions!C43</f>
        <v/>
      </c>
    </row>
    <row r="743" spans="1:6">
      <c r="A743" t="s">
        <v>2813</v>
      </c>
      <c r="B743" t="s">
        <v>1065</v>
      </c>
      <c r="C743">
        <v>43</v>
      </c>
      <c r="F743" s="898" t="str">
        <f ca="1">Actions!C44</f>
        <v/>
      </c>
    </row>
    <row r="744" spans="1:6">
      <c r="A744" t="s">
        <v>2813</v>
      </c>
      <c r="B744" t="s">
        <v>1065</v>
      </c>
      <c r="C744">
        <v>44</v>
      </c>
      <c r="F744" s="898" t="str">
        <f ca="1">Actions!C45</f>
        <v/>
      </c>
    </row>
    <row r="745" spans="1:6">
      <c r="A745" t="s">
        <v>2813</v>
      </c>
      <c r="B745" t="s">
        <v>1065</v>
      </c>
      <c r="C745">
        <v>45</v>
      </c>
      <c r="F745" s="898" t="str">
        <f ca="1">Actions!C46</f>
        <v/>
      </c>
    </row>
    <row r="746" spans="1:6">
      <c r="A746" t="s">
        <v>2813</v>
      </c>
      <c r="B746" t="s">
        <v>2814</v>
      </c>
      <c r="C746">
        <v>1</v>
      </c>
      <c r="F746" s="898" t="str">
        <f ca="1">Actions!D2</f>
        <v>Atténuation</v>
      </c>
    </row>
    <row r="747" spans="1:6">
      <c r="A747" t="s">
        <v>2813</v>
      </c>
      <c r="B747" t="s">
        <v>2814</v>
      </c>
      <c r="C747">
        <v>2</v>
      </c>
      <c r="F747" s="898" t="str">
        <f ca="1">Actions!D3</f>
        <v/>
      </c>
    </row>
    <row r="748" spans="1:6">
      <c r="A748" t="s">
        <v>2813</v>
      </c>
      <c r="B748" t="s">
        <v>2814</v>
      </c>
      <c r="C748">
        <v>3</v>
      </c>
      <c r="F748" s="898" t="str">
        <f ca="1">Actions!D4</f>
        <v/>
      </c>
    </row>
    <row r="749" spans="1:6">
      <c r="A749" t="s">
        <v>2813</v>
      </c>
      <c r="B749" t="s">
        <v>2814</v>
      </c>
      <c r="C749">
        <v>4</v>
      </c>
      <c r="F749" s="898" t="str">
        <f ca="1">Actions!D5</f>
        <v/>
      </c>
    </row>
    <row r="750" spans="1:6">
      <c r="A750" t="s">
        <v>2813</v>
      </c>
      <c r="B750" t="s">
        <v>2814</v>
      </c>
      <c r="C750">
        <v>5</v>
      </c>
      <c r="F750" s="898" t="str">
        <f ca="1">Actions!D6</f>
        <v/>
      </c>
    </row>
    <row r="751" spans="1:6">
      <c r="A751" t="s">
        <v>2813</v>
      </c>
      <c r="B751" t="s">
        <v>2814</v>
      </c>
      <c r="C751">
        <v>6</v>
      </c>
      <c r="F751" s="898" t="str">
        <f ca="1">Actions!D7</f>
        <v/>
      </c>
    </row>
    <row r="752" spans="1:6">
      <c r="A752" t="s">
        <v>2813</v>
      </c>
      <c r="B752" t="s">
        <v>2814</v>
      </c>
      <c r="C752">
        <v>7</v>
      </c>
      <c r="F752" s="898" t="str">
        <f ca="1">Actions!D8</f>
        <v/>
      </c>
    </row>
    <row r="753" spans="1:6">
      <c r="A753" t="s">
        <v>2813</v>
      </c>
      <c r="B753" t="s">
        <v>2814</v>
      </c>
      <c r="C753">
        <v>8</v>
      </c>
      <c r="F753" s="898" t="str">
        <f ca="1">Actions!D9</f>
        <v/>
      </c>
    </row>
    <row r="754" spans="1:6">
      <c r="A754" t="s">
        <v>2813</v>
      </c>
      <c r="B754" t="s">
        <v>2814</v>
      </c>
      <c r="C754">
        <v>9</v>
      </c>
      <c r="F754" s="898" t="str">
        <f ca="1">Actions!D10</f>
        <v/>
      </c>
    </row>
    <row r="755" spans="1:6">
      <c r="A755" t="s">
        <v>2813</v>
      </c>
      <c r="B755" t="s">
        <v>2814</v>
      </c>
      <c r="C755">
        <v>10</v>
      </c>
      <c r="F755" s="898" t="str">
        <f ca="1">Actions!D11</f>
        <v/>
      </c>
    </row>
    <row r="756" spans="1:6">
      <c r="A756" t="s">
        <v>2813</v>
      </c>
      <c r="B756" t="s">
        <v>2814</v>
      </c>
      <c r="C756">
        <v>11</v>
      </c>
      <c r="F756" s="898" t="str">
        <f ca="1">Actions!D12</f>
        <v/>
      </c>
    </row>
    <row r="757" spans="1:6">
      <c r="A757" t="s">
        <v>2813</v>
      </c>
      <c r="B757" t="s">
        <v>2814</v>
      </c>
      <c r="C757">
        <v>12</v>
      </c>
      <c r="F757" s="898" t="str">
        <f ca="1">Actions!D13</f>
        <v/>
      </c>
    </row>
    <row r="758" spans="1:6">
      <c r="A758" t="s">
        <v>2813</v>
      </c>
      <c r="B758" t="s">
        <v>2814</v>
      </c>
      <c r="C758">
        <v>13</v>
      </c>
      <c r="F758" s="898" t="str">
        <f ca="1">Actions!D14</f>
        <v/>
      </c>
    </row>
    <row r="759" spans="1:6">
      <c r="A759" t="s">
        <v>2813</v>
      </c>
      <c r="B759" t="s">
        <v>2814</v>
      </c>
      <c r="C759">
        <v>14</v>
      </c>
      <c r="F759" s="898" t="str">
        <f ca="1">Actions!D15</f>
        <v/>
      </c>
    </row>
    <row r="760" spans="1:6">
      <c r="A760" t="s">
        <v>2813</v>
      </c>
      <c r="B760" t="s">
        <v>2814</v>
      </c>
      <c r="C760">
        <v>15</v>
      </c>
      <c r="F760" s="898" t="str">
        <f ca="1">Actions!D16</f>
        <v/>
      </c>
    </row>
    <row r="761" spans="1:6">
      <c r="A761" t="s">
        <v>2813</v>
      </c>
      <c r="B761" t="s">
        <v>2814</v>
      </c>
      <c r="C761">
        <v>16</v>
      </c>
      <c r="F761" s="898" t="str">
        <f ca="1">Actions!D17</f>
        <v/>
      </c>
    </row>
    <row r="762" spans="1:6">
      <c r="A762" t="s">
        <v>2813</v>
      </c>
      <c r="B762" t="s">
        <v>2814</v>
      </c>
      <c r="C762">
        <v>17</v>
      </c>
      <c r="F762" s="898" t="str">
        <f ca="1">Actions!D18</f>
        <v/>
      </c>
    </row>
    <row r="763" spans="1:6">
      <c r="A763" t="s">
        <v>2813</v>
      </c>
      <c r="B763" t="s">
        <v>2814</v>
      </c>
      <c r="C763">
        <v>18</v>
      </c>
      <c r="F763" s="898" t="str">
        <f ca="1">Actions!D19</f>
        <v/>
      </c>
    </row>
    <row r="764" spans="1:6">
      <c r="A764" t="s">
        <v>2813</v>
      </c>
      <c r="B764" t="s">
        <v>2814</v>
      </c>
      <c r="C764">
        <v>19</v>
      </c>
      <c r="F764" s="898" t="str">
        <f ca="1">Actions!D20</f>
        <v/>
      </c>
    </row>
    <row r="765" spans="1:6">
      <c r="A765" t="s">
        <v>2813</v>
      </c>
      <c r="B765" t="s">
        <v>2814</v>
      </c>
      <c r="C765">
        <v>20</v>
      </c>
      <c r="F765" s="898" t="str">
        <f ca="1">Actions!D21</f>
        <v/>
      </c>
    </row>
    <row r="766" spans="1:6">
      <c r="A766" t="s">
        <v>2813</v>
      </c>
      <c r="B766" t="s">
        <v>2814</v>
      </c>
      <c r="C766">
        <v>21</v>
      </c>
      <c r="F766" s="898" t="str">
        <f ca="1">Actions!D22</f>
        <v/>
      </c>
    </row>
    <row r="767" spans="1:6">
      <c r="A767" t="s">
        <v>2813</v>
      </c>
      <c r="B767" t="s">
        <v>2814</v>
      </c>
      <c r="C767">
        <v>22</v>
      </c>
      <c r="F767" s="898" t="str">
        <f ca="1">Actions!D23</f>
        <v/>
      </c>
    </row>
    <row r="768" spans="1:6">
      <c r="A768" t="s">
        <v>2813</v>
      </c>
      <c r="B768" t="s">
        <v>2814</v>
      </c>
      <c r="C768">
        <v>23</v>
      </c>
      <c r="F768" s="898" t="str">
        <f ca="1">Actions!D24</f>
        <v/>
      </c>
    </row>
    <row r="769" spans="1:6">
      <c r="A769" t="s">
        <v>2813</v>
      </c>
      <c r="B769" t="s">
        <v>2814</v>
      </c>
      <c r="C769">
        <v>24</v>
      </c>
      <c r="F769" s="898" t="str">
        <f ca="1">Actions!D25</f>
        <v/>
      </c>
    </row>
    <row r="770" spans="1:6">
      <c r="A770" t="s">
        <v>2813</v>
      </c>
      <c r="B770" t="s">
        <v>2814</v>
      </c>
      <c r="C770">
        <v>25</v>
      </c>
      <c r="F770" s="898" t="str">
        <f ca="1">Actions!D26</f>
        <v/>
      </c>
    </row>
    <row r="771" spans="1:6">
      <c r="A771" t="s">
        <v>2813</v>
      </c>
      <c r="B771" t="s">
        <v>2814</v>
      </c>
      <c r="C771">
        <v>26</v>
      </c>
      <c r="F771" s="898" t="str">
        <f ca="1">Actions!D27</f>
        <v/>
      </c>
    </row>
    <row r="772" spans="1:6">
      <c r="A772" t="s">
        <v>2813</v>
      </c>
      <c r="B772" t="s">
        <v>2814</v>
      </c>
      <c r="C772">
        <v>27</v>
      </c>
      <c r="F772" s="898" t="str">
        <f ca="1">Actions!D28</f>
        <v/>
      </c>
    </row>
    <row r="773" spans="1:6">
      <c r="A773" t="s">
        <v>2813</v>
      </c>
      <c r="B773" t="s">
        <v>2814</v>
      </c>
      <c r="C773">
        <v>28</v>
      </c>
      <c r="F773" s="898" t="str">
        <f ca="1">Actions!D29</f>
        <v/>
      </c>
    </row>
    <row r="774" spans="1:6">
      <c r="A774" t="s">
        <v>2813</v>
      </c>
      <c r="B774" t="s">
        <v>2814</v>
      </c>
      <c r="C774">
        <v>29</v>
      </c>
      <c r="F774" s="898" t="str">
        <f ca="1">Actions!D30</f>
        <v/>
      </c>
    </row>
    <row r="775" spans="1:6">
      <c r="A775" t="s">
        <v>2813</v>
      </c>
      <c r="B775" t="s">
        <v>2814</v>
      </c>
      <c r="C775">
        <v>30</v>
      </c>
      <c r="F775" s="898" t="str">
        <f ca="1">Actions!D31</f>
        <v/>
      </c>
    </row>
    <row r="776" spans="1:6">
      <c r="A776" t="s">
        <v>2813</v>
      </c>
      <c r="B776" t="s">
        <v>2814</v>
      </c>
      <c r="C776">
        <v>31</v>
      </c>
      <c r="F776" s="898" t="str">
        <f ca="1">Actions!D32</f>
        <v/>
      </c>
    </row>
    <row r="777" spans="1:6">
      <c r="A777" t="s">
        <v>2813</v>
      </c>
      <c r="B777" t="s">
        <v>2814</v>
      </c>
      <c r="C777">
        <v>32</v>
      </c>
      <c r="F777" s="898" t="str">
        <f ca="1">Actions!D33</f>
        <v/>
      </c>
    </row>
    <row r="778" spans="1:6">
      <c r="A778" t="s">
        <v>2813</v>
      </c>
      <c r="B778" t="s">
        <v>2814</v>
      </c>
      <c r="C778">
        <v>33</v>
      </c>
      <c r="F778" s="898" t="str">
        <f ca="1">Actions!D34</f>
        <v/>
      </c>
    </row>
    <row r="779" spans="1:6">
      <c r="A779" t="s">
        <v>2813</v>
      </c>
      <c r="B779" t="s">
        <v>2814</v>
      </c>
      <c r="C779">
        <v>34</v>
      </c>
      <c r="F779" s="898" t="str">
        <f ca="1">Actions!D35</f>
        <v/>
      </c>
    </row>
    <row r="780" spans="1:6">
      <c r="A780" t="s">
        <v>2813</v>
      </c>
      <c r="B780" t="s">
        <v>2814</v>
      </c>
      <c r="C780">
        <v>35</v>
      </c>
      <c r="F780" s="898" t="str">
        <f ca="1">Actions!D36</f>
        <v/>
      </c>
    </row>
    <row r="781" spans="1:6">
      <c r="A781" t="s">
        <v>2813</v>
      </c>
      <c r="B781" t="s">
        <v>2814</v>
      </c>
      <c r="C781">
        <v>36</v>
      </c>
      <c r="F781" s="898" t="str">
        <f ca="1">Actions!D37</f>
        <v/>
      </c>
    </row>
    <row r="782" spans="1:6">
      <c r="A782" t="s">
        <v>2813</v>
      </c>
      <c r="B782" t="s">
        <v>2814</v>
      </c>
      <c r="C782">
        <v>37</v>
      </c>
      <c r="F782" s="898" t="str">
        <f ca="1">Actions!D38</f>
        <v/>
      </c>
    </row>
    <row r="783" spans="1:6">
      <c r="A783" t="s">
        <v>2813</v>
      </c>
      <c r="B783" t="s">
        <v>2814</v>
      </c>
      <c r="C783">
        <v>38</v>
      </c>
      <c r="F783" s="898" t="str">
        <f ca="1">Actions!D39</f>
        <v/>
      </c>
    </row>
    <row r="784" spans="1:6">
      <c r="A784" t="s">
        <v>2813</v>
      </c>
      <c r="B784" t="s">
        <v>2814</v>
      </c>
      <c r="C784">
        <v>39</v>
      </c>
      <c r="F784" s="898" t="str">
        <f ca="1">Actions!D40</f>
        <v/>
      </c>
    </row>
    <row r="785" spans="1:6">
      <c r="A785" t="s">
        <v>2813</v>
      </c>
      <c r="B785" t="s">
        <v>2814</v>
      </c>
      <c r="C785">
        <v>40</v>
      </c>
      <c r="F785" s="898" t="str">
        <f ca="1">Actions!D41</f>
        <v/>
      </c>
    </row>
    <row r="786" spans="1:6">
      <c r="A786" t="s">
        <v>2813</v>
      </c>
      <c r="B786" t="s">
        <v>2814</v>
      </c>
      <c r="C786">
        <v>41</v>
      </c>
      <c r="F786" s="898" t="str">
        <f ca="1">Actions!D42</f>
        <v/>
      </c>
    </row>
    <row r="787" spans="1:6">
      <c r="A787" t="s">
        <v>2813</v>
      </c>
      <c r="B787" t="s">
        <v>2814</v>
      </c>
      <c r="C787">
        <v>42</v>
      </c>
      <c r="F787" s="898" t="str">
        <f ca="1">Actions!D43</f>
        <v/>
      </c>
    </row>
    <row r="788" spans="1:6">
      <c r="A788" t="s">
        <v>2813</v>
      </c>
      <c r="B788" t="s">
        <v>2814</v>
      </c>
      <c r="C788">
        <v>43</v>
      </c>
      <c r="F788" s="898" t="str">
        <f ca="1">Actions!D44</f>
        <v/>
      </c>
    </row>
    <row r="789" spans="1:6">
      <c r="A789" t="s">
        <v>2813</v>
      </c>
      <c r="B789" t="s">
        <v>2814</v>
      </c>
      <c r="C789">
        <v>44</v>
      </c>
      <c r="F789" s="898" t="str">
        <f ca="1">Actions!D45</f>
        <v/>
      </c>
    </row>
    <row r="790" spans="1:6">
      <c r="A790" t="s">
        <v>2813</v>
      </c>
      <c r="B790" t="s">
        <v>2814</v>
      </c>
      <c r="C790">
        <v>45</v>
      </c>
      <c r="F790" s="898" t="str">
        <f ca="1">Actions!D46</f>
        <v/>
      </c>
    </row>
    <row r="791" spans="1:6">
      <c r="A791" t="s">
        <v>2813</v>
      </c>
      <c r="B791" t="s">
        <v>1067</v>
      </c>
      <c r="C791">
        <v>1</v>
      </c>
      <c r="F791" s="898" t="str">
        <f ca="1">Actions!E2</f>
        <v/>
      </c>
    </row>
    <row r="792" spans="1:6">
      <c r="A792" t="s">
        <v>2813</v>
      </c>
      <c r="B792" t="s">
        <v>1067</v>
      </c>
      <c r="C792">
        <v>2</v>
      </c>
      <c r="F792" s="898" t="str">
        <f ca="1">Actions!E3</f>
        <v/>
      </c>
    </row>
    <row r="793" spans="1:6">
      <c r="A793" t="s">
        <v>2813</v>
      </c>
      <c r="B793" t="s">
        <v>1067</v>
      </c>
      <c r="C793">
        <v>3</v>
      </c>
      <c r="F793" s="898" t="str">
        <f ca="1">Actions!E4</f>
        <v/>
      </c>
    </row>
    <row r="794" spans="1:6">
      <c r="A794" t="s">
        <v>2813</v>
      </c>
      <c r="B794" t="s">
        <v>1067</v>
      </c>
      <c r="C794">
        <v>4</v>
      </c>
      <c r="F794" s="898" t="str">
        <f ca="1">Actions!E5</f>
        <v/>
      </c>
    </row>
    <row r="795" spans="1:6">
      <c r="A795" t="s">
        <v>2813</v>
      </c>
      <c r="B795" t="s">
        <v>1067</v>
      </c>
      <c r="C795">
        <v>5</v>
      </c>
      <c r="F795" s="898" t="str">
        <f ca="1">Actions!E6</f>
        <v/>
      </c>
    </row>
    <row r="796" spans="1:6">
      <c r="A796" t="s">
        <v>2813</v>
      </c>
      <c r="B796" t="s">
        <v>1067</v>
      </c>
      <c r="C796">
        <v>6</v>
      </c>
      <c r="F796" s="898" t="str">
        <f ca="1">Actions!E7</f>
        <v/>
      </c>
    </row>
    <row r="797" spans="1:6">
      <c r="A797" t="s">
        <v>2813</v>
      </c>
      <c r="B797" t="s">
        <v>1067</v>
      </c>
      <c r="C797">
        <v>7</v>
      </c>
      <c r="F797" s="898" t="str">
        <f ca="1">Actions!E8</f>
        <v/>
      </c>
    </row>
    <row r="798" spans="1:6">
      <c r="A798" t="s">
        <v>2813</v>
      </c>
      <c r="B798" t="s">
        <v>1067</v>
      </c>
      <c r="C798">
        <v>8</v>
      </c>
      <c r="F798" s="898" t="str">
        <f ca="1">Actions!E9</f>
        <v/>
      </c>
    </row>
    <row r="799" spans="1:6">
      <c r="A799" t="s">
        <v>2813</v>
      </c>
      <c r="B799" t="s">
        <v>1067</v>
      </c>
      <c r="C799">
        <v>9</v>
      </c>
      <c r="F799" s="898" t="str">
        <f ca="1">Actions!E10</f>
        <v/>
      </c>
    </row>
    <row r="800" spans="1:6">
      <c r="A800" t="s">
        <v>2813</v>
      </c>
      <c r="B800" t="s">
        <v>1067</v>
      </c>
      <c r="C800">
        <v>10</v>
      </c>
      <c r="F800" s="898" t="str">
        <f ca="1">Actions!E11</f>
        <v/>
      </c>
    </row>
    <row r="801" spans="1:6">
      <c r="A801" t="s">
        <v>2813</v>
      </c>
      <c r="B801" t="s">
        <v>1067</v>
      </c>
      <c r="C801">
        <v>11</v>
      </c>
      <c r="F801" s="898" t="str">
        <f ca="1">Actions!E12</f>
        <v/>
      </c>
    </row>
    <row r="802" spans="1:6">
      <c r="A802" t="s">
        <v>2813</v>
      </c>
      <c r="B802" t="s">
        <v>1067</v>
      </c>
      <c r="C802">
        <v>12</v>
      </c>
      <c r="F802" s="898" t="str">
        <f ca="1">Actions!E13</f>
        <v/>
      </c>
    </row>
    <row r="803" spans="1:6">
      <c r="A803" t="s">
        <v>2813</v>
      </c>
      <c r="B803" t="s">
        <v>1067</v>
      </c>
      <c r="C803">
        <v>13</v>
      </c>
      <c r="F803" s="898" t="str">
        <f ca="1">Actions!E14</f>
        <v/>
      </c>
    </row>
    <row r="804" spans="1:6">
      <c r="A804" t="s">
        <v>2813</v>
      </c>
      <c r="B804" t="s">
        <v>1067</v>
      </c>
      <c r="C804">
        <v>14</v>
      </c>
      <c r="F804" s="898" t="str">
        <f ca="1">Actions!E15</f>
        <v/>
      </c>
    </row>
    <row r="805" spans="1:6">
      <c r="A805" t="s">
        <v>2813</v>
      </c>
      <c r="B805" t="s">
        <v>1067</v>
      </c>
      <c r="C805">
        <v>15</v>
      </c>
      <c r="F805" s="898" t="str">
        <f ca="1">Actions!E16</f>
        <v/>
      </c>
    </row>
    <row r="806" spans="1:6">
      <c r="A806" t="s">
        <v>2813</v>
      </c>
      <c r="B806" t="s">
        <v>1067</v>
      </c>
      <c r="C806">
        <v>16</v>
      </c>
      <c r="F806" s="898" t="str">
        <f ca="1">Actions!E17</f>
        <v/>
      </c>
    </row>
    <row r="807" spans="1:6">
      <c r="A807" t="s">
        <v>2813</v>
      </c>
      <c r="B807" t="s">
        <v>1067</v>
      </c>
      <c r="C807">
        <v>17</v>
      </c>
      <c r="F807" s="898" t="str">
        <f ca="1">Actions!E18</f>
        <v/>
      </c>
    </row>
    <row r="808" spans="1:6">
      <c r="A808" t="s">
        <v>2813</v>
      </c>
      <c r="B808" t="s">
        <v>1067</v>
      </c>
      <c r="C808">
        <v>18</v>
      </c>
      <c r="F808" s="898" t="str">
        <f ca="1">Actions!E19</f>
        <v/>
      </c>
    </row>
    <row r="809" spans="1:6">
      <c r="A809" t="s">
        <v>2813</v>
      </c>
      <c r="B809" t="s">
        <v>1067</v>
      </c>
      <c r="C809">
        <v>19</v>
      </c>
      <c r="F809" s="898" t="str">
        <f ca="1">Actions!E20</f>
        <v/>
      </c>
    </row>
    <row r="810" spans="1:6">
      <c r="A810" t="s">
        <v>2813</v>
      </c>
      <c r="B810" t="s">
        <v>1067</v>
      </c>
      <c r="C810">
        <v>20</v>
      </c>
      <c r="F810" s="898" t="str">
        <f ca="1">Actions!E21</f>
        <v/>
      </c>
    </row>
    <row r="811" spans="1:6">
      <c r="A811" t="s">
        <v>2813</v>
      </c>
      <c r="B811" t="s">
        <v>1067</v>
      </c>
      <c r="C811">
        <v>21</v>
      </c>
      <c r="F811" s="898" t="str">
        <f ca="1">Actions!E22</f>
        <v/>
      </c>
    </row>
    <row r="812" spans="1:6">
      <c r="A812" t="s">
        <v>2813</v>
      </c>
      <c r="B812" t="s">
        <v>1067</v>
      </c>
      <c r="C812">
        <v>22</v>
      </c>
      <c r="F812" s="898" t="str">
        <f ca="1">Actions!E23</f>
        <v/>
      </c>
    </row>
    <row r="813" spans="1:6">
      <c r="A813" t="s">
        <v>2813</v>
      </c>
      <c r="B813" t="s">
        <v>1067</v>
      </c>
      <c r="C813">
        <v>23</v>
      </c>
      <c r="F813" s="898" t="str">
        <f ca="1">Actions!E24</f>
        <v/>
      </c>
    </row>
    <row r="814" spans="1:6">
      <c r="A814" t="s">
        <v>2813</v>
      </c>
      <c r="B814" t="s">
        <v>1067</v>
      </c>
      <c r="C814">
        <v>24</v>
      </c>
      <c r="F814" s="898" t="str">
        <f ca="1">Actions!E25</f>
        <v/>
      </c>
    </row>
    <row r="815" spans="1:6">
      <c r="A815" t="s">
        <v>2813</v>
      </c>
      <c r="B815" t="s">
        <v>1067</v>
      </c>
      <c r="C815">
        <v>25</v>
      </c>
      <c r="F815" s="898" t="str">
        <f ca="1">Actions!E26</f>
        <v/>
      </c>
    </row>
    <row r="816" spans="1:6">
      <c r="A816" t="s">
        <v>2813</v>
      </c>
      <c r="B816" t="s">
        <v>1067</v>
      </c>
      <c r="C816">
        <v>26</v>
      </c>
      <c r="F816" s="898" t="str">
        <f ca="1">Actions!E27</f>
        <v/>
      </c>
    </row>
    <row r="817" spans="1:6">
      <c r="A817" t="s">
        <v>2813</v>
      </c>
      <c r="B817" t="s">
        <v>1067</v>
      </c>
      <c r="C817">
        <v>27</v>
      </c>
      <c r="F817" s="898" t="str">
        <f ca="1">Actions!E28</f>
        <v/>
      </c>
    </row>
    <row r="818" spans="1:6">
      <c r="A818" t="s">
        <v>2813</v>
      </c>
      <c r="B818" t="s">
        <v>1067</v>
      </c>
      <c r="C818">
        <v>28</v>
      </c>
      <c r="F818" s="898" t="str">
        <f ca="1">Actions!E29</f>
        <v/>
      </c>
    </row>
    <row r="819" spans="1:6">
      <c r="A819" t="s">
        <v>2813</v>
      </c>
      <c r="B819" t="s">
        <v>1067</v>
      </c>
      <c r="C819">
        <v>29</v>
      </c>
      <c r="F819" s="898" t="str">
        <f ca="1">Actions!E30</f>
        <v/>
      </c>
    </row>
    <row r="820" spans="1:6">
      <c r="A820" t="s">
        <v>2813</v>
      </c>
      <c r="B820" t="s">
        <v>1067</v>
      </c>
      <c r="C820">
        <v>30</v>
      </c>
      <c r="F820" s="898" t="str">
        <f ca="1">Actions!E31</f>
        <v/>
      </c>
    </row>
    <row r="821" spans="1:6">
      <c r="A821" t="s">
        <v>2813</v>
      </c>
      <c r="B821" t="s">
        <v>1067</v>
      </c>
      <c r="C821">
        <v>31</v>
      </c>
      <c r="F821" s="898" t="str">
        <f ca="1">Actions!E32</f>
        <v/>
      </c>
    </row>
    <row r="822" spans="1:6">
      <c r="A822" t="s">
        <v>2813</v>
      </c>
      <c r="B822" t="s">
        <v>1067</v>
      </c>
      <c r="C822">
        <v>32</v>
      </c>
      <c r="F822" s="898" t="str">
        <f ca="1">Actions!E33</f>
        <v/>
      </c>
    </row>
    <row r="823" spans="1:6">
      <c r="A823" t="s">
        <v>2813</v>
      </c>
      <c r="B823" t="s">
        <v>1067</v>
      </c>
      <c r="C823">
        <v>33</v>
      </c>
      <c r="F823" s="898" t="str">
        <f ca="1">Actions!E34</f>
        <v/>
      </c>
    </row>
    <row r="824" spans="1:6">
      <c r="A824" t="s">
        <v>2813</v>
      </c>
      <c r="B824" t="s">
        <v>1067</v>
      </c>
      <c r="C824">
        <v>34</v>
      </c>
      <c r="F824" s="898" t="str">
        <f ca="1">Actions!E35</f>
        <v/>
      </c>
    </row>
    <row r="825" spans="1:6">
      <c r="A825" t="s">
        <v>2813</v>
      </c>
      <c r="B825" t="s">
        <v>1067</v>
      </c>
      <c r="C825">
        <v>35</v>
      </c>
      <c r="F825" s="898" t="str">
        <f ca="1">Actions!E36</f>
        <v/>
      </c>
    </row>
    <row r="826" spans="1:6">
      <c r="A826" t="s">
        <v>2813</v>
      </c>
      <c r="B826" t="s">
        <v>1067</v>
      </c>
      <c r="C826">
        <v>36</v>
      </c>
      <c r="F826" s="898" t="str">
        <f ca="1">Actions!E37</f>
        <v/>
      </c>
    </row>
    <row r="827" spans="1:6">
      <c r="A827" t="s">
        <v>2813</v>
      </c>
      <c r="B827" t="s">
        <v>1067</v>
      </c>
      <c r="C827">
        <v>37</v>
      </c>
      <c r="F827" s="898" t="str">
        <f ca="1">Actions!E38</f>
        <v/>
      </c>
    </row>
    <row r="828" spans="1:6">
      <c r="A828" t="s">
        <v>2813</v>
      </c>
      <c r="B828" t="s">
        <v>1067</v>
      </c>
      <c r="C828">
        <v>38</v>
      </c>
      <c r="F828" s="898" t="str">
        <f ca="1">Actions!E39</f>
        <v/>
      </c>
    </row>
    <row r="829" spans="1:6">
      <c r="A829" t="s">
        <v>2813</v>
      </c>
      <c r="B829" t="s">
        <v>1067</v>
      </c>
      <c r="C829">
        <v>39</v>
      </c>
      <c r="F829" s="898" t="str">
        <f ca="1">Actions!E40</f>
        <v/>
      </c>
    </row>
    <row r="830" spans="1:6">
      <c r="A830" t="s">
        <v>2813</v>
      </c>
      <c r="B830" t="s">
        <v>1067</v>
      </c>
      <c r="C830">
        <v>40</v>
      </c>
      <c r="F830" s="898" t="str">
        <f ca="1">Actions!E41</f>
        <v/>
      </c>
    </row>
    <row r="831" spans="1:6">
      <c r="A831" t="s">
        <v>2813</v>
      </c>
      <c r="B831" t="s">
        <v>1067</v>
      </c>
      <c r="C831">
        <v>41</v>
      </c>
      <c r="F831" s="898" t="str">
        <f ca="1">Actions!E42</f>
        <v/>
      </c>
    </row>
    <row r="832" spans="1:6">
      <c r="A832" t="s">
        <v>2813</v>
      </c>
      <c r="B832" t="s">
        <v>1067</v>
      </c>
      <c r="C832">
        <v>42</v>
      </c>
      <c r="F832" s="898" t="str">
        <f ca="1">Actions!E43</f>
        <v/>
      </c>
    </row>
    <row r="833" spans="1:6">
      <c r="A833" t="s">
        <v>2813</v>
      </c>
      <c r="B833" t="s">
        <v>1067</v>
      </c>
      <c r="C833">
        <v>43</v>
      </c>
      <c r="F833" s="898" t="str">
        <f ca="1">Actions!E44</f>
        <v/>
      </c>
    </row>
    <row r="834" spans="1:6">
      <c r="A834" t="s">
        <v>2813</v>
      </c>
      <c r="B834" t="s">
        <v>1067</v>
      </c>
      <c r="C834">
        <v>44</v>
      </c>
      <c r="F834" s="898" t="str">
        <f ca="1">Actions!E45</f>
        <v/>
      </c>
    </row>
    <row r="835" spans="1:6">
      <c r="A835" t="s">
        <v>2813</v>
      </c>
      <c r="B835" t="s">
        <v>1067</v>
      </c>
      <c r="C835">
        <v>45</v>
      </c>
      <c r="F835" s="898" t="str">
        <f ca="1">Actions!E46</f>
        <v/>
      </c>
    </row>
    <row r="836" spans="1:6">
      <c r="A836" t="s">
        <v>2813</v>
      </c>
      <c r="B836" t="s">
        <v>1068</v>
      </c>
      <c r="C836">
        <v>1</v>
      </c>
      <c r="F836" s="898">
        <f ca="1">Actions!G2</f>
        <v>0</v>
      </c>
    </row>
    <row r="837" spans="1:6">
      <c r="A837" t="s">
        <v>2813</v>
      </c>
      <c r="B837" t="s">
        <v>1068</v>
      </c>
      <c r="C837">
        <v>2</v>
      </c>
      <c r="F837" s="898">
        <f ca="1">Actions!G3</f>
        <v>0</v>
      </c>
    </row>
    <row r="838" spans="1:6">
      <c r="A838" t="s">
        <v>2813</v>
      </c>
      <c r="B838" t="s">
        <v>1068</v>
      </c>
      <c r="C838">
        <v>3</v>
      </c>
      <c r="F838" s="898">
        <f ca="1">Actions!G4</f>
        <v>0</v>
      </c>
    </row>
    <row r="839" spans="1:6">
      <c r="A839" t="s">
        <v>2813</v>
      </c>
      <c r="B839" t="s">
        <v>1068</v>
      </c>
      <c r="C839">
        <v>4</v>
      </c>
      <c r="F839" s="898">
        <f ca="1">Actions!G5</f>
        <v>0</v>
      </c>
    </row>
    <row r="840" spans="1:6">
      <c r="A840" t="s">
        <v>2813</v>
      </c>
      <c r="B840" t="s">
        <v>1068</v>
      </c>
      <c r="C840">
        <v>5</v>
      </c>
      <c r="F840" s="898">
        <f ca="1">Actions!G6</f>
        <v>0</v>
      </c>
    </row>
    <row r="841" spans="1:6">
      <c r="A841" t="s">
        <v>2813</v>
      </c>
      <c r="B841" t="s">
        <v>1068</v>
      </c>
      <c r="C841">
        <v>6</v>
      </c>
      <c r="F841" s="898">
        <f ca="1">Actions!G7</f>
        <v>0</v>
      </c>
    </row>
    <row r="842" spans="1:6">
      <c r="A842" t="s">
        <v>2813</v>
      </c>
      <c r="B842" t="s">
        <v>1068</v>
      </c>
      <c r="C842">
        <v>7</v>
      </c>
      <c r="F842" s="898">
        <f ca="1">Actions!G8</f>
        <v>0</v>
      </c>
    </row>
    <row r="843" spans="1:6">
      <c r="A843" t="s">
        <v>2813</v>
      </c>
      <c r="B843" t="s">
        <v>1068</v>
      </c>
      <c r="C843">
        <v>8</v>
      </c>
      <c r="F843" s="898">
        <f ca="1">Actions!G9</f>
        <v>0</v>
      </c>
    </row>
    <row r="844" spans="1:6">
      <c r="A844" t="s">
        <v>2813</v>
      </c>
      <c r="B844" t="s">
        <v>1068</v>
      </c>
      <c r="C844">
        <v>9</v>
      </c>
      <c r="F844" s="898">
        <f ca="1">Actions!G10</f>
        <v>0</v>
      </c>
    </row>
    <row r="845" spans="1:6">
      <c r="A845" t="s">
        <v>2813</v>
      </c>
      <c r="B845" t="s">
        <v>1068</v>
      </c>
      <c r="C845">
        <v>10</v>
      </c>
      <c r="F845" s="898">
        <f ca="1">Actions!G11</f>
        <v>0</v>
      </c>
    </row>
    <row r="846" spans="1:6">
      <c r="A846" t="s">
        <v>2813</v>
      </c>
      <c r="B846" t="s">
        <v>1068</v>
      </c>
      <c r="C846">
        <v>11</v>
      </c>
      <c r="F846" s="898">
        <f ca="1">Actions!G12</f>
        <v>0</v>
      </c>
    </row>
    <row r="847" spans="1:6">
      <c r="A847" t="s">
        <v>2813</v>
      </c>
      <c r="B847" t="s">
        <v>1068</v>
      </c>
      <c r="C847">
        <v>12</v>
      </c>
      <c r="F847" s="898">
        <f ca="1">Actions!G13</f>
        <v>0</v>
      </c>
    </row>
    <row r="848" spans="1:6">
      <c r="A848" t="s">
        <v>2813</v>
      </c>
      <c r="B848" t="s">
        <v>1068</v>
      </c>
      <c r="C848">
        <v>13</v>
      </c>
      <c r="F848" s="898">
        <f ca="1">Actions!G14</f>
        <v>0</v>
      </c>
    </row>
    <row r="849" spans="1:6">
      <c r="A849" t="s">
        <v>2813</v>
      </c>
      <c r="B849" t="s">
        <v>1068</v>
      </c>
      <c r="C849">
        <v>14</v>
      </c>
      <c r="F849" s="898">
        <f ca="1">Actions!G15</f>
        <v>0</v>
      </c>
    </row>
    <row r="850" spans="1:6">
      <c r="A850" t="s">
        <v>2813</v>
      </c>
      <c r="B850" t="s">
        <v>1068</v>
      </c>
      <c r="C850">
        <v>15</v>
      </c>
      <c r="F850" s="898">
        <f ca="1">Actions!G16</f>
        <v>0</v>
      </c>
    </row>
    <row r="851" spans="1:6">
      <c r="A851" t="s">
        <v>2813</v>
      </c>
      <c r="B851" t="s">
        <v>1068</v>
      </c>
      <c r="C851">
        <v>16</v>
      </c>
      <c r="F851" s="898">
        <f ca="1">Actions!G17</f>
        <v>0</v>
      </c>
    </row>
    <row r="852" spans="1:6">
      <c r="A852" t="s">
        <v>2813</v>
      </c>
      <c r="B852" t="s">
        <v>1068</v>
      </c>
      <c r="C852">
        <v>17</v>
      </c>
      <c r="F852" s="898">
        <f ca="1">Actions!G18</f>
        <v>0</v>
      </c>
    </row>
    <row r="853" spans="1:6">
      <c r="A853" t="s">
        <v>2813</v>
      </c>
      <c r="B853" t="s">
        <v>1068</v>
      </c>
      <c r="C853">
        <v>18</v>
      </c>
      <c r="F853" s="898">
        <f ca="1">Actions!G19</f>
        <v>0</v>
      </c>
    </row>
    <row r="854" spans="1:6">
      <c r="A854" t="s">
        <v>2813</v>
      </c>
      <c r="B854" t="s">
        <v>1068</v>
      </c>
      <c r="C854">
        <v>19</v>
      </c>
      <c r="F854" s="898">
        <f ca="1">Actions!G20</f>
        <v>0</v>
      </c>
    </row>
    <row r="855" spans="1:6">
      <c r="A855" t="s">
        <v>2813</v>
      </c>
      <c r="B855" t="s">
        <v>1068</v>
      </c>
      <c r="C855">
        <v>20</v>
      </c>
      <c r="F855" s="898">
        <f ca="1">Actions!G21</f>
        <v>0</v>
      </c>
    </row>
    <row r="856" spans="1:6">
      <c r="A856" t="s">
        <v>2813</v>
      </c>
      <c r="B856" t="s">
        <v>1068</v>
      </c>
      <c r="C856">
        <v>21</v>
      </c>
      <c r="F856" s="898">
        <f ca="1">Actions!G22</f>
        <v>0</v>
      </c>
    </row>
    <row r="857" spans="1:6">
      <c r="A857" t="s">
        <v>2813</v>
      </c>
      <c r="B857" t="s">
        <v>1068</v>
      </c>
      <c r="C857">
        <v>22</v>
      </c>
      <c r="F857" s="898">
        <f ca="1">Actions!G23</f>
        <v>0</v>
      </c>
    </row>
    <row r="858" spans="1:6">
      <c r="A858" t="s">
        <v>2813</v>
      </c>
      <c r="B858" t="s">
        <v>1068</v>
      </c>
      <c r="C858">
        <v>23</v>
      </c>
      <c r="F858" s="898">
        <f ca="1">Actions!G24</f>
        <v>0</v>
      </c>
    </row>
    <row r="859" spans="1:6">
      <c r="A859" t="s">
        <v>2813</v>
      </c>
      <c r="B859" t="s">
        <v>1068</v>
      </c>
      <c r="C859">
        <v>24</v>
      </c>
      <c r="F859" s="898">
        <f ca="1">Actions!G25</f>
        <v>0</v>
      </c>
    </row>
    <row r="860" spans="1:6">
      <c r="A860" t="s">
        <v>2813</v>
      </c>
      <c r="B860" t="s">
        <v>1068</v>
      </c>
      <c r="C860">
        <v>25</v>
      </c>
      <c r="F860" s="898">
        <f ca="1">Actions!G26</f>
        <v>0</v>
      </c>
    </row>
    <row r="861" spans="1:6">
      <c r="A861" t="s">
        <v>2813</v>
      </c>
      <c r="B861" t="s">
        <v>1068</v>
      </c>
      <c r="C861">
        <v>26</v>
      </c>
      <c r="F861" s="898">
        <f ca="1">Actions!G27</f>
        <v>0</v>
      </c>
    </row>
    <row r="862" spans="1:6">
      <c r="A862" t="s">
        <v>2813</v>
      </c>
      <c r="B862" t="s">
        <v>1068</v>
      </c>
      <c r="C862">
        <v>27</v>
      </c>
      <c r="F862" s="898">
        <f ca="1">Actions!G28</f>
        <v>0</v>
      </c>
    </row>
    <row r="863" spans="1:6">
      <c r="A863" t="s">
        <v>2813</v>
      </c>
      <c r="B863" t="s">
        <v>1068</v>
      </c>
      <c r="C863">
        <v>28</v>
      </c>
      <c r="F863" s="898">
        <f ca="1">Actions!G29</f>
        <v>0</v>
      </c>
    </row>
    <row r="864" spans="1:6">
      <c r="A864" t="s">
        <v>2813</v>
      </c>
      <c r="B864" t="s">
        <v>1068</v>
      </c>
      <c r="C864">
        <v>29</v>
      </c>
      <c r="F864" s="898">
        <f ca="1">Actions!G30</f>
        <v>0</v>
      </c>
    </row>
    <row r="865" spans="1:6">
      <c r="A865" t="s">
        <v>2813</v>
      </c>
      <c r="B865" t="s">
        <v>1068</v>
      </c>
      <c r="C865">
        <v>30</v>
      </c>
      <c r="F865" s="898">
        <f ca="1">Actions!G31</f>
        <v>0</v>
      </c>
    </row>
    <row r="866" spans="1:6">
      <c r="A866" t="s">
        <v>2813</v>
      </c>
      <c r="B866" t="s">
        <v>1068</v>
      </c>
      <c r="C866">
        <v>31</v>
      </c>
      <c r="F866" s="898">
        <f ca="1">Actions!G32</f>
        <v>0</v>
      </c>
    </row>
    <row r="867" spans="1:6">
      <c r="A867" t="s">
        <v>2813</v>
      </c>
      <c r="B867" t="s">
        <v>1068</v>
      </c>
      <c r="C867">
        <v>32</v>
      </c>
      <c r="F867" s="898">
        <f ca="1">Actions!G33</f>
        <v>0</v>
      </c>
    </row>
    <row r="868" spans="1:6">
      <c r="A868" t="s">
        <v>2813</v>
      </c>
      <c r="B868" t="s">
        <v>1068</v>
      </c>
      <c r="C868">
        <v>33</v>
      </c>
      <c r="F868" s="898">
        <f ca="1">Actions!G34</f>
        <v>0</v>
      </c>
    </row>
    <row r="869" spans="1:6">
      <c r="A869" t="s">
        <v>2813</v>
      </c>
      <c r="B869" t="s">
        <v>1068</v>
      </c>
      <c r="C869">
        <v>34</v>
      </c>
      <c r="F869" s="898">
        <f ca="1">Actions!G35</f>
        <v>0</v>
      </c>
    </row>
    <row r="870" spans="1:6">
      <c r="A870" t="s">
        <v>2813</v>
      </c>
      <c r="B870" t="s">
        <v>1068</v>
      </c>
      <c r="C870">
        <v>35</v>
      </c>
      <c r="F870" s="898">
        <f ca="1">Actions!G36</f>
        <v>0</v>
      </c>
    </row>
    <row r="871" spans="1:6">
      <c r="A871" t="s">
        <v>2813</v>
      </c>
      <c r="B871" t="s">
        <v>1068</v>
      </c>
      <c r="C871">
        <v>36</v>
      </c>
      <c r="F871" s="898">
        <f ca="1">Actions!G37</f>
        <v>0</v>
      </c>
    </row>
    <row r="872" spans="1:6">
      <c r="A872" t="s">
        <v>2813</v>
      </c>
      <c r="B872" t="s">
        <v>1068</v>
      </c>
      <c r="C872">
        <v>37</v>
      </c>
      <c r="F872" s="898">
        <f ca="1">Actions!G38</f>
        <v>0</v>
      </c>
    </row>
    <row r="873" spans="1:6">
      <c r="A873" t="s">
        <v>2813</v>
      </c>
      <c r="B873" t="s">
        <v>1068</v>
      </c>
      <c r="C873">
        <v>38</v>
      </c>
      <c r="F873" s="898">
        <f ca="1">Actions!G39</f>
        <v>0</v>
      </c>
    </row>
    <row r="874" spans="1:6">
      <c r="A874" t="s">
        <v>2813</v>
      </c>
      <c r="B874" t="s">
        <v>1068</v>
      </c>
      <c r="C874">
        <v>39</v>
      </c>
      <c r="F874" s="898">
        <f ca="1">Actions!G40</f>
        <v>0</v>
      </c>
    </row>
    <row r="875" spans="1:6">
      <c r="A875" t="s">
        <v>2813</v>
      </c>
      <c r="B875" t="s">
        <v>1068</v>
      </c>
      <c r="C875">
        <v>40</v>
      </c>
      <c r="F875" s="898">
        <f ca="1">Actions!G41</f>
        <v>0</v>
      </c>
    </row>
    <row r="876" spans="1:6">
      <c r="A876" t="s">
        <v>2813</v>
      </c>
      <c r="B876" t="s">
        <v>1068</v>
      </c>
      <c r="C876">
        <v>41</v>
      </c>
      <c r="F876" s="898">
        <f ca="1">Actions!G42</f>
        <v>0</v>
      </c>
    </row>
    <row r="877" spans="1:6">
      <c r="A877" t="s">
        <v>2813</v>
      </c>
      <c r="B877" t="s">
        <v>1068</v>
      </c>
      <c r="C877">
        <v>42</v>
      </c>
      <c r="F877" s="898">
        <f ca="1">Actions!G43</f>
        <v>0</v>
      </c>
    </row>
    <row r="878" spans="1:6">
      <c r="A878" t="s">
        <v>2813</v>
      </c>
      <c r="B878" t="s">
        <v>1068</v>
      </c>
      <c r="C878">
        <v>43</v>
      </c>
      <c r="F878" s="898">
        <f ca="1">Actions!G44</f>
        <v>0</v>
      </c>
    </row>
    <row r="879" spans="1:6">
      <c r="A879" t="s">
        <v>2813</v>
      </c>
      <c r="B879" t="s">
        <v>1068</v>
      </c>
      <c r="C879">
        <v>44</v>
      </c>
      <c r="F879" s="898">
        <f ca="1">Actions!G45</f>
        <v>0</v>
      </c>
    </row>
    <row r="880" spans="1:6">
      <c r="A880" t="s">
        <v>2813</v>
      </c>
      <c r="B880" t="s">
        <v>1068</v>
      </c>
      <c r="C880">
        <v>45</v>
      </c>
      <c r="F880" s="898">
        <f ca="1">Actions!G46</f>
        <v>0</v>
      </c>
    </row>
    <row r="881" spans="1:6">
      <c r="A881" t="s">
        <v>2813</v>
      </c>
      <c r="B881" t="s">
        <v>103</v>
      </c>
      <c r="C881">
        <v>1</v>
      </c>
      <c r="F881" s="898">
        <f ca="1">Actions!H2</f>
        <v>0</v>
      </c>
    </row>
    <row r="882" spans="1:6">
      <c r="A882" t="s">
        <v>2813</v>
      </c>
      <c r="B882" t="s">
        <v>103</v>
      </c>
      <c r="C882">
        <v>2</v>
      </c>
      <c r="F882" s="898">
        <f ca="1">Actions!H3</f>
        <v>0</v>
      </c>
    </row>
    <row r="883" spans="1:6">
      <c r="A883" t="s">
        <v>2813</v>
      </c>
      <c r="B883" t="s">
        <v>103</v>
      </c>
      <c r="C883">
        <v>3</v>
      </c>
      <c r="F883" s="898">
        <f ca="1">Actions!H4</f>
        <v>0</v>
      </c>
    </row>
    <row r="884" spans="1:6">
      <c r="A884" t="s">
        <v>2813</v>
      </c>
      <c r="B884" t="s">
        <v>103</v>
      </c>
      <c r="C884">
        <v>4</v>
      </c>
      <c r="F884" s="898">
        <f ca="1">Actions!H5</f>
        <v>0</v>
      </c>
    </row>
    <row r="885" spans="1:6">
      <c r="A885" t="s">
        <v>2813</v>
      </c>
      <c r="B885" t="s">
        <v>103</v>
      </c>
      <c r="C885">
        <v>5</v>
      </c>
      <c r="F885" s="898">
        <f ca="1">Actions!H6</f>
        <v>0</v>
      </c>
    </row>
    <row r="886" spans="1:6">
      <c r="A886" t="s">
        <v>2813</v>
      </c>
      <c r="B886" t="s">
        <v>103</v>
      </c>
      <c r="C886">
        <v>6</v>
      </c>
      <c r="F886" s="898">
        <f ca="1">Actions!H7</f>
        <v>0</v>
      </c>
    </row>
    <row r="887" spans="1:6">
      <c r="A887" t="s">
        <v>2813</v>
      </c>
      <c r="B887" t="s">
        <v>103</v>
      </c>
      <c r="C887">
        <v>7</v>
      </c>
      <c r="F887" s="898">
        <f ca="1">Actions!H8</f>
        <v>0</v>
      </c>
    </row>
    <row r="888" spans="1:6">
      <c r="A888" t="s">
        <v>2813</v>
      </c>
      <c r="B888" t="s">
        <v>103</v>
      </c>
      <c r="C888">
        <v>8</v>
      </c>
      <c r="F888" s="898">
        <f ca="1">Actions!H9</f>
        <v>0</v>
      </c>
    </row>
    <row r="889" spans="1:6">
      <c r="A889" t="s">
        <v>2813</v>
      </c>
      <c r="B889" t="s">
        <v>103</v>
      </c>
      <c r="C889">
        <v>9</v>
      </c>
      <c r="F889" s="898">
        <f ca="1">Actions!H10</f>
        <v>0</v>
      </c>
    </row>
    <row r="890" spans="1:6">
      <c r="A890" t="s">
        <v>2813</v>
      </c>
      <c r="B890" t="s">
        <v>103</v>
      </c>
      <c r="C890">
        <v>10</v>
      </c>
      <c r="F890" s="898">
        <f ca="1">Actions!H11</f>
        <v>0</v>
      </c>
    </row>
    <row r="891" spans="1:6">
      <c r="A891" t="s">
        <v>2813</v>
      </c>
      <c r="B891" t="s">
        <v>103</v>
      </c>
      <c r="C891">
        <v>11</v>
      </c>
      <c r="F891" s="898">
        <f ca="1">Actions!H12</f>
        <v>0</v>
      </c>
    </row>
    <row r="892" spans="1:6">
      <c r="A892" t="s">
        <v>2813</v>
      </c>
      <c r="B892" t="s">
        <v>103</v>
      </c>
      <c r="C892">
        <v>12</v>
      </c>
      <c r="F892" s="898">
        <f ca="1">Actions!H13</f>
        <v>0</v>
      </c>
    </row>
    <row r="893" spans="1:6">
      <c r="A893" t="s">
        <v>2813</v>
      </c>
      <c r="B893" t="s">
        <v>103</v>
      </c>
      <c r="C893">
        <v>13</v>
      </c>
      <c r="F893" s="898">
        <f ca="1">Actions!H14</f>
        <v>0</v>
      </c>
    </row>
    <row r="894" spans="1:6">
      <c r="A894" t="s">
        <v>2813</v>
      </c>
      <c r="B894" t="s">
        <v>103</v>
      </c>
      <c r="C894">
        <v>14</v>
      </c>
      <c r="F894" s="898">
        <f ca="1">Actions!H15</f>
        <v>0</v>
      </c>
    </row>
    <row r="895" spans="1:6">
      <c r="A895" t="s">
        <v>2813</v>
      </c>
      <c r="B895" t="s">
        <v>103</v>
      </c>
      <c r="C895">
        <v>15</v>
      </c>
      <c r="F895" s="898">
        <f ca="1">Actions!H16</f>
        <v>0</v>
      </c>
    </row>
    <row r="896" spans="1:6">
      <c r="A896" t="s">
        <v>2813</v>
      </c>
      <c r="B896" t="s">
        <v>103</v>
      </c>
      <c r="C896">
        <v>16</v>
      </c>
      <c r="F896" s="898">
        <f ca="1">Actions!H17</f>
        <v>0</v>
      </c>
    </row>
    <row r="897" spans="1:6">
      <c r="A897" t="s">
        <v>2813</v>
      </c>
      <c r="B897" t="s">
        <v>103</v>
      </c>
      <c r="C897">
        <v>17</v>
      </c>
      <c r="F897" s="898">
        <f ca="1">Actions!H18</f>
        <v>0</v>
      </c>
    </row>
    <row r="898" spans="1:6">
      <c r="A898" t="s">
        <v>2813</v>
      </c>
      <c r="B898" t="s">
        <v>103</v>
      </c>
      <c r="C898">
        <v>18</v>
      </c>
      <c r="F898" s="898">
        <f ca="1">Actions!H19</f>
        <v>0</v>
      </c>
    </row>
    <row r="899" spans="1:6">
      <c r="A899" t="s">
        <v>2813</v>
      </c>
      <c r="B899" t="s">
        <v>103</v>
      </c>
      <c r="C899">
        <v>19</v>
      </c>
      <c r="F899" s="898">
        <f ca="1">Actions!H20</f>
        <v>0</v>
      </c>
    </row>
    <row r="900" spans="1:6">
      <c r="A900" t="s">
        <v>2813</v>
      </c>
      <c r="B900" t="s">
        <v>103</v>
      </c>
      <c r="C900">
        <v>20</v>
      </c>
      <c r="F900" s="898">
        <f ca="1">Actions!H21</f>
        <v>0</v>
      </c>
    </row>
    <row r="901" spans="1:6">
      <c r="A901" t="s">
        <v>2813</v>
      </c>
      <c r="B901" t="s">
        <v>103</v>
      </c>
      <c r="C901">
        <v>21</v>
      </c>
      <c r="F901" s="898">
        <f ca="1">Actions!H22</f>
        <v>0</v>
      </c>
    </row>
    <row r="902" spans="1:6">
      <c r="A902" t="s">
        <v>2813</v>
      </c>
      <c r="B902" t="s">
        <v>103</v>
      </c>
      <c r="C902">
        <v>22</v>
      </c>
      <c r="F902" s="898">
        <f ca="1">Actions!H23</f>
        <v>0</v>
      </c>
    </row>
    <row r="903" spans="1:6">
      <c r="A903" t="s">
        <v>2813</v>
      </c>
      <c r="B903" t="s">
        <v>103</v>
      </c>
      <c r="C903">
        <v>23</v>
      </c>
      <c r="F903" s="898">
        <f ca="1">Actions!H24</f>
        <v>0</v>
      </c>
    </row>
    <row r="904" spans="1:6">
      <c r="A904" t="s">
        <v>2813</v>
      </c>
      <c r="B904" t="s">
        <v>103</v>
      </c>
      <c r="C904">
        <v>24</v>
      </c>
      <c r="F904" s="898">
        <f ca="1">Actions!H25</f>
        <v>0</v>
      </c>
    </row>
    <row r="905" spans="1:6">
      <c r="A905" t="s">
        <v>2813</v>
      </c>
      <c r="B905" t="s">
        <v>103</v>
      </c>
      <c r="C905">
        <v>25</v>
      </c>
      <c r="F905" s="898">
        <f ca="1">Actions!H26</f>
        <v>0</v>
      </c>
    </row>
    <row r="906" spans="1:6">
      <c r="A906" t="s">
        <v>2813</v>
      </c>
      <c r="B906" t="s">
        <v>103</v>
      </c>
      <c r="C906">
        <v>26</v>
      </c>
      <c r="F906" s="898">
        <f ca="1">Actions!H27</f>
        <v>0</v>
      </c>
    </row>
    <row r="907" spans="1:6">
      <c r="A907" t="s">
        <v>2813</v>
      </c>
      <c r="B907" t="s">
        <v>103</v>
      </c>
      <c r="C907">
        <v>27</v>
      </c>
      <c r="F907" s="898">
        <f ca="1">Actions!H28</f>
        <v>0</v>
      </c>
    </row>
    <row r="908" spans="1:6">
      <c r="A908" t="s">
        <v>2813</v>
      </c>
      <c r="B908" t="s">
        <v>103</v>
      </c>
      <c r="C908">
        <v>28</v>
      </c>
      <c r="F908" s="898">
        <f ca="1">Actions!H29</f>
        <v>0</v>
      </c>
    </row>
    <row r="909" spans="1:6">
      <c r="A909" t="s">
        <v>2813</v>
      </c>
      <c r="B909" t="s">
        <v>103</v>
      </c>
      <c r="C909">
        <v>29</v>
      </c>
      <c r="F909" s="898">
        <f ca="1">Actions!H30</f>
        <v>0</v>
      </c>
    </row>
    <row r="910" spans="1:6">
      <c r="A910" t="s">
        <v>2813</v>
      </c>
      <c r="B910" t="s">
        <v>103</v>
      </c>
      <c r="C910">
        <v>30</v>
      </c>
      <c r="F910" s="898">
        <f ca="1">Actions!H31</f>
        <v>0</v>
      </c>
    </row>
    <row r="911" spans="1:6">
      <c r="A911" t="s">
        <v>2813</v>
      </c>
      <c r="B911" t="s">
        <v>103</v>
      </c>
      <c r="C911">
        <v>31</v>
      </c>
      <c r="F911" s="898">
        <f ca="1">Actions!H32</f>
        <v>0</v>
      </c>
    </row>
    <row r="912" spans="1:6">
      <c r="A912" t="s">
        <v>2813</v>
      </c>
      <c r="B912" t="s">
        <v>103</v>
      </c>
      <c r="C912">
        <v>32</v>
      </c>
      <c r="F912" s="898">
        <f ca="1">Actions!H33</f>
        <v>0</v>
      </c>
    </row>
    <row r="913" spans="1:6">
      <c r="A913" t="s">
        <v>2813</v>
      </c>
      <c r="B913" t="s">
        <v>103</v>
      </c>
      <c r="C913">
        <v>33</v>
      </c>
      <c r="F913" s="898">
        <f ca="1">Actions!H34</f>
        <v>0</v>
      </c>
    </row>
    <row r="914" spans="1:6">
      <c r="A914" t="s">
        <v>2813</v>
      </c>
      <c r="B914" t="s">
        <v>103</v>
      </c>
      <c r="C914">
        <v>34</v>
      </c>
      <c r="F914" s="898">
        <f ca="1">Actions!H35</f>
        <v>0</v>
      </c>
    </row>
    <row r="915" spans="1:6">
      <c r="A915" t="s">
        <v>2813</v>
      </c>
      <c r="B915" t="s">
        <v>103</v>
      </c>
      <c r="C915">
        <v>35</v>
      </c>
      <c r="F915" s="898">
        <f ca="1">Actions!H36</f>
        <v>0</v>
      </c>
    </row>
    <row r="916" spans="1:6">
      <c r="A916" t="s">
        <v>2813</v>
      </c>
      <c r="B916" t="s">
        <v>103</v>
      </c>
      <c r="C916">
        <v>36</v>
      </c>
      <c r="F916" s="898">
        <f ca="1">Actions!H37</f>
        <v>0</v>
      </c>
    </row>
    <row r="917" spans="1:6">
      <c r="A917" t="s">
        <v>2813</v>
      </c>
      <c r="B917" t="s">
        <v>103</v>
      </c>
      <c r="C917">
        <v>37</v>
      </c>
      <c r="F917" s="898">
        <f ca="1">Actions!H38</f>
        <v>0</v>
      </c>
    </row>
    <row r="918" spans="1:6">
      <c r="A918" t="s">
        <v>2813</v>
      </c>
      <c r="B918" t="s">
        <v>103</v>
      </c>
      <c r="C918">
        <v>38</v>
      </c>
      <c r="F918" s="898">
        <f ca="1">Actions!H39</f>
        <v>0</v>
      </c>
    </row>
    <row r="919" spans="1:6">
      <c r="A919" t="s">
        <v>2813</v>
      </c>
      <c r="B919" t="s">
        <v>103</v>
      </c>
      <c r="C919">
        <v>39</v>
      </c>
      <c r="F919" s="898">
        <f ca="1">Actions!H40</f>
        <v>0</v>
      </c>
    </row>
    <row r="920" spans="1:6">
      <c r="A920" t="s">
        <v>2813</v>
      </c>
      <c r="B920" t="s">
        <v>103</v>
      </c>
      <c r="C920">
        <v>40</v>
      </c>
      <c r="F920" s="898">
        <f ca="1">Actions!H41</f>
        <v>0</v>
      </c>
    </row>
    <row r="921" spans="1:6">
      <c r="A921" t="s">
        <v>2813</v>
      </c>
      <c r="B921" t="s">
        <v>103</v>
      </c>
      <c r="C921">
        <v>41</v>
      </c>
      <c r="F921" s="898">
        <f ca="1">Actions!H42</f>
        <v>0</v>
      </c>
    </row>
    <row r="922" spans="1:6">
      <c r="A922" t="s">
        <v>2813</v>
      </c>
      <c r="B922" t="s">
        <v>103</v>
      </c>
      <c r="C922">
        <v>42</v>
      </c>
      <c r="F922" s="898">
        <f ca="1">Actions!H43</f>
        <v>0</v>
      </c>
    </row>
    <row r="923" spans="1:6">
      <c r="A923" t="s">
        <v>2813</v>
      </c>
      <c r="B923" t="s">
        <v>103</v>
      </c>
      <c r="C923">
        <v>43</v>
      </c>
      <c r="F923" s="898">
        <f ca="1">Actions!H44</f>
        <v>0</v>
      </c>
    </row>
    <row r="924" spans="1:6">
      <c r="A924" t="s">
        <v>2813</v>
      </c>
      <c r="B924" t="s">
        <v>103</v>
      </c>
      <c r="C924">
        <v>44</v>
      </c>
      <c r="F924" s="898">
        <f ca="1">Actions!H45</f>
        <v>0</v>
      </c>
    </row>
    <row r="925" spans="1:6">
      <c r="A925" t="s">
        <v>2813</v>
      </c>
      <c r="B925" t="s">
        <v>103</v>
      </c>
      <c r="C925">
        <v>45</v>
      </c>
      <c r="F925" s="898">
        <f ca="1">Actions!H46</f>
        <v>0</v>
      </c>
    </row>
    <row r="926" spans="1:6">
      <c r="A926" t="s">
        <v>2813</v>
      </c>
      <c r="B926" t="s">
        <v>2815</v>
      </c>
      <c r="C926">
        <v>1</v>
      </c>
      <c r="F926" s="898">
        <f ca="1">Actions!I2</f>
        <v>0</v>
      </c>
    </row>
    <row r="927" spans="1:6">
      <c r="A927" t="s">
        <v>2813</v>
      </c>
      <c r="B927" t="s">
        <v>2815</v>
      </c>
      <c r="C927">
        <v>2</v>
      </c>
      <c r="F927" s="898" t="str">
        <f ca="1">Actions!I3</f>
        <v>-</v>
      </c>
    </row>
    <row r="928" spans="1:6">
      <c r="A928" t="s">
        <v>2813</v>
      </c>
      <c r="B928" t="s">
        <v>2815</v>
      </c>
      <c r="C928">
        <v>3</v>
      </c>
      <c r="F928" s="898" t="str">
        <f ca="1">Actions!I4</f>
        <v>-</v>
      </c>
    </row>
    <row r="929" spans="1:6">
      <c r="A929" t="s">
        <v>2813</v>
      </c>
      <c r="B929" t="s">
        <v>2815</v>
      </c>
      <c r="C929">
        <v>4</v>
      </c>
      <c r="F929" s="898" t="str">
        <f ca="1">Actions!I5</f>
        <v>-</v>
      </c>
    </row>
    <row r="930" spans="1:6">
      <c r="A930" t="s">
        <v>2813</v>
      </c>
      <c r="B930" t="s">
        <v>2815</v>
      </c>
      <c r="C930">
        <v>5</v>
      </c>
      <c r="F930" s="898" t="str">
        <f ca="1">Actions!I6</f>
        <v>-</v>
      </c>
    </row>
    <row r="931" spans="1:6">
      <c r="A931" t="s">
        <v>2813</v>
      </c>
      <c r="B931" t="s">
        <v>2815</v>
      </c>
      <c r="C931">
        <v>6</v>
      </c>
      <c r="F931" s="898" t="str">
        <f ca="1">Actions!I7</f>
        <v>-</v>
      </c>
    </row>
    <row r="932" spans="1:6">
      <c r="A932" t="s">
        <v>2813</v>
      </c>
      <c r="B932" t="s">
        <v>2815</v>
      </c>
      <c r="C932">
        <v>7</v>
      </c>
      <c r="F932" s="898" t="str">
        <f ca="1">Actions!I8</f>
        <v>-</v>
      </c>
    </row>
    <row r="933" spans="1:6">
      <c r="A933" t="s">
        <v>2813</v>
      </c>
      <c r="B933" t="s">
        <v>2815</v>
      </c>
      <c r="C933">
        <v>8</v>
      </c>
      <c r="F933" s="898" t="str">
        <f ca="1">Actions!I9</f>
        <v>-</v>
      </c>
    </row>
    <row r="934" spans="1:6">
      <c r="A934" t="s">
        <v>2813</v>
      </c>
      <c r="B934" t="s">
        <v>2815</v>
      </c>
      <c r="C934">
        <v>9</v>
      </c>
      <c r="F934" s="898" t="str">
        <f ca="1">Actions!I10</f>
        <v>-</v>
      </c>
    </row>
    <row r="935" spans="1:6">
      <c r="A935" t="s">
        <v>2813</v>
      </c>
      <c r="B935" t="s">
        <v>2815</v>
      </c>
      <c r="C935">
        <v>10</v>
      </c>
      <c r="F935" s="898" t="str">
        <f ca="1">Actions!I11</f>
        <v>-</v>
      </c>
    </row>
    <row r="936" spans="1:6">
      <c r="A936" t="s">
        <v>2813</v>
      </c>
      <c r="B936" t="s">
        <v>2815</v>
      </c>
      <c r="C936">
        <v>11</v>
      </c>
      <c r="F936" s="898" t="str">
        <f ca="1">Actions!I12</f>
        <v>-</v>
      </c>
    </row>
    <row r="937" spans="1:6">
      <c r="A937" t="s">
        <v>2813</v>
      </c>
      <c r="B937" t="s">
        <v>2815</v>
      </c>
      <c r="C937">
        <v>12</v>
      </c>
      <c r="F937" s="898" t="str">
        <f ca="1">Actions!I13</f>
        <v>-</v>
      </c>
    </row>
    <row r="938" spans="1:6">
      <c r="A938" t="s">
        <v>2813</v>
      </c>
      <c r="B938" t="s">
        <v>2815</v>
      </c>
      <c r="C938">
        <v>13</v>
      </c>
      <c r="F938" s="898" t="str">
        <f ca="1">Actions!I14</f>
        <v>-</v>
      </c>
    </row>
    <row r="939" spans="1:6">
      <c r="A939" t="s">
        <v>2813</v>
      </c>
      <c r="B939" t="s">
        <v>2815</v>
      </c>
      <c r="C939">
        <v>14</v>
      </c>
      <c r="F939" s="898" t="str">
        <f ca="1">Actions!I15</f>
        <v>-</v>
      </c>
    </row>
    <row r="940" spans="1:6">
      <c r="A940" t="s">
        <v>2813</v>
      </c>
      <c r="B940" t="s">
        <v>2815</v>
      </c>
      <c r="C940">
        <v>15</v>
      </c>
      <c r="F940" s="898" t="str">
        <f ca="1">Actions!I16</f>
        <v>-</v>
      </c>
    </row>
    <row r="941" spans="1:6">
      <c r="A941" t="s">
        <v>2813</v>
      </c>
      <c r="B941" t="s">
        <v>2815</v>
      </c>
      <c r="C941">
        <v>16</v>
      </c>
      <c r="F941" s="898" t="str">
        <f ca="1">Actions!I17</f>
        <v>-</v>
      </c>
    </row>
    <row r="942" spans="1:6">
      <c r="A942" t="s">
        <v>2813</v>
      </c>
      <c r="B942" t="s">
        <v>2815</v>
      </c>
      <c r="C942">
        <v>17</v>
      </c>
      <c r="F942" s="898" t="str">
        <f ca="1">Actions!I18</f>
        <v>-</v>
      </c>
    </row>
    <row r="943" spans="1:6">
      <c r="A943" t="s">
        <v>2813</v>
      </c>
      <c r="B943" t="s">
        <v>2815</v>
      </c>
      <c r="C943">
        <v>18</v>
      </c>
      <c r="F943" s="898" t="str">
        <f ca="1">Actions!I19</f>
        <v>-</v>
      </c>
    </row>
    <row r="944" spans="1:6">
      <c r="A944" t="s">
        <v>2813</v>
      </c>
      <c r="B944" t="s">
        <v>2815</v>
      </c>
      <c r="C944">
        <v>19</v>
      </c>
      <c r="F944" s="898" t="str">
        <f ca="1">Actions!I20</f>
        <v>-</v>
      </c>
    </row>
    <row r="945" spans="1:6">
      <c r="A945" t="s">
        <v>2813</v>
      </c>
      <c r="B945" t="s">
        <v>2815</v>
      </c>
      <c r="C945">
        <v>20</v>
      </c>
      <c r="F945" s="898" t="str">
        <f ca="1">Actions!I21</f>
        <v>-</v>
      </c>
    </row>
    <row r="946" spans="1:6">
      <c r="A946" t="s">
        <v>2813</v>
      </c>
      <c r="B946" t="s">
        <v>2815</v>
      </c>
      <c r="C946">
        <v>21</v>
      </c>
      <c r="F946" s="898" t="str">
        <f ca="1">Actions!I22</f>
        <v>-</v>
      </c>
    </row>
    <row r="947" spans="1:6">
      <c r="A947" t="s">
        <v>2813</v>
      </c>
      <c r="B947" t="s">
        <v>2815</v>
      </c>
      <c r="C947">
        <v>22</v>
      </c>
      <c r="F947" s="898" t="str">
        <f ca="1">Actions!I23</f>
        <v>-</v>
      </c>
    </row>
    <row r="948" spans="1:6">
      <c r="A948" t="s">
        <v>2813</v>
      </c>
      <c r="B948" t="s">
        <v>2815</v>
      </c>
      <c r="C948">
        <v>23</v>
      </c>
      <c r="F948" s="898" t="str">
        <f ca="1">Actions!I24</f>
        <v>-</v>
      </c>
    </row>
    <row r="949" spans="1:6">
      <c r="A949" t="s">
        <v>2813</v>
      </c>
      <c r="B949" t="s">
        <v>2815</v>
      </c>
      <c r="C949">
        <v>24</v>
      </c>
      <c r="F949" s="898" t="str">
        <f ca="1">Actions!I25</f>
        <v>-</v>
      </c>
    </row>
    <row r="950" spans="1:6">
      <c r="A950" t="s">
        <v>2813</v>
      </c>
      <c r="B950" t="s">
        <v>2815</v>
      </c>
      <c r="C950">
        <v>25</v>
      </c>
      <c r="F950" s="898" t="str">
        <f ca="1">Actions!I26</f>
        <v>-</v>
      </c>
    </row>
    <row r="951" spans="1:6">
      <c r="A951" t="s">
        <v>2813</v>
      </c>
      <c r="B951" t="s">
        <v>2815</v>
      </c>
      <c r="C951">
        <v>26</v>
      </c>
      <c r="F951" s="898" t="str">
        <f ca="1">Actions!I27</f>
        <v>-</v>
      </c>
    </row>
    <row r="952" spans="1:6">
      <c r="A952" t="s">
        <v>2813</v>
      </c>
      <c r="B952" t="s">
        <v>2815</v>
      </c>
      <c r="C952">
        <v>27</v>
      </c>
      <c r="F952" s="898" t="str">
        <f ca="1">Actions!I28</f>
        <v>-</v>
      </c>
    </row>
    <row r="953" spans="1:6">
      <c r="A953" t="s">
        <v>2813</v>
      </c>
      <c r="B953" t="s">
        <v>2815</v>
      </c>
      <c r="C953">
        <v>28</v>
      </c>
      <c r="F953" s="898" t="str">
        <f ca="1">Actions!I29</f>
        <v>-</v>
      </c>
    </row>
    <row r="954" spans="1:6">
      <c r="A954" t="s">
        <v>2813</v>
      </c>
      <c r="B954" t="s">
        <v>2815</v>
      </c>
      <c r="C954">
        <v>29</v>
      </c>
      <c r="F954" s="898" t="str">
        <f ca="1">Actions!I30</f>
        <v>-</v>
      </c>
    </row>
    <row r="955" spans="1:6">
      <c r="A955" t="s">
        <v>2813</v>
      </c>
      <c r="B955" t="s">
        <v>2815</v>
      </c>
      <c r="C955">
        <v>30</v>
      </c>
      <c r="F955" s="898" t="str">
        <f ca="1">Actions!I31</f>
        <v>-</v>
      </c>
    </row>
    <row r="956" spans="1:6">
      <c r="A956" t="s">
        <v>2813</v>
      </c>
      <c r="B956" t="s">
        <v>2815</v>
      </c>
      <c r="C956">
        <v>31</v>
      </c>
      <c r="F956" s="898" t="str">
        <f ca="1">Actions!I32</f>
        <v>-</v>
      </c>
    </row>
    <row r="957" spans="1:6">
      <c r="A957" t="s">
        <v>2813</v>
      </c>
      <c r="B957" t="s">
        <v>2815</v>
      </c>
      <c r="C957">
        <v>32</v>
      </c>
      <c r="F957" s="898" t="str">
        <f ca="1">Actions!I33</f>
        <v>-</v>
      </c>
    </row>
    <row r="958" spans="1:6">
      <c r="A958" t="s">
        <v>2813</v>
      </c>
      <c r="B958" t="s">
        <v>2815</v>
      </c>
      <c r="C958">
        <v>33</v>
      </c>
      <c r="F958" s="898" t="str">
        <f ca="1">Actions!I34</f>
        <v>-</v>
      </c>
    </row>
    <row r="959" spans="1:6">
      <c r="A959" t="s">
        <v>2813</v>
      </c>
      <c r="B959" t="s">
        <v>2815</v>
      </c>
      <c r="C959">
        <v>34</v>
      </c>
      <c r="F959" s="898" t="str">
        <f ca="1">Actions!I35</f>
        <v>-</v>
      </c>
    </row>
    <row r="960" spans="1:6">
      <c r="A960" t="s">
        <v>2813</v>
      </c>
      <c r="B960" t="s">
        <v>2815</v>
      </c>
      <c r="C960">
        <v>35</v>
      </c>
      <c r="F960" s="898" t="str">
        <f ca="1">Actions!I36</f>
        <v>-</v>
      </c>
    </row>
    <row r="961" spans="1:6">
      <c r="A961" t="s">
        <v>2813</v>
      </c>
      <c r="B961" t="s">
        <v>2815</v>
      </c>
      <c r="C961">
        <v>36</v>
      </c>
      <c r="F961" s="898" t="str">
        <f ca="1">Actions!I37</f>
        <v>-</v>
      </c>
    </row>
    <row r="962" spans="1:6">
      <c r="A962" t="s">
        <v>2813</v>
      </c>
      <c r="B962" t="s">
        <v>2815</v>
      </c>
      <c r="C962">
        <v>37</v>
      </c>
      <c r="F962" s="898" t="str">
        <f ca="1">Actions!I38</f>
        <v>-</v>
      </c>
    </row>
    <row r="963" spans="1:6">
      <c r="A963" t="s">
        <v>2813</v>
      </c>
      <c r="B963" t="s">
        <v>2815</v>
      </c>
      <c r="C963">
        <v>38</v>
      </c>
      <c r="F963" s="898" t="str">
        <f ca="1">Actions!I39</f>
        <v>-</v>
      </c>
    </row>
    <row r="964" spans="1:6">
      <c r="A964" t="s">
        <v>2813</v>
      </c>
      <c r="B964" t="s">
        <v>2815</v>
      </c>
      <c r="C964">
        <v>39</v>
      </c>
      <c r="F964" s="898" t="str">
        <f ca="1">Actions!I40</f>
        <v>-</v>
      </c>
    </row>
    <row r="965" spans="1:6">
      <c r="A965" t="s">
        <v>2813</v>
      </c>
      <c r="B965" t="s">
        <v>2815</v>
      </c>
      <c r="C965">
        <v>40</v>
      </c>
      <c r="F965" s="898" t="str">
        <f ca="1">Actions!I41</f>
        <v>-</v>
      </c>
    </row>
    <row r="966" spans="1:6">
      <c r="A966" t="s">
        <v>2813</v>
      </c>
      <c r="B966" t="s">
        <v>2815</v>
      </c>
      <c r="C966">
        <v>41</v>
      </c>
      <c r="F966" s="898" t="str">
        <f ca="1">Actions!I42</f>
        <v>-</v>
      </c>
    </row>
    <row r="967" spans="1:6">
      <c r="A967" t="s">
        <v>2813</v>
      </c>
      <c r="B967" t="s">
        <v>2815</v>
      </c>
      <c r="C967">
        <v>42</v>
      </c>
      <c r="F967" s="898" t="str">
        <f ca="1">Actions!I43</f>
        <v>-</v>
      </c>
    </row>
    <row r="968" spans="1:6">
      <c r="A968" t="s">
        <v>2813</v>
      </c>
      <c r="B968" t="s">
        <v>2815</v>
      </c>
      <c r="C968">
        <v>43</v>
      </c>
      <c r="F968" s="898" t="str">
        <f ca="1">Actions!I44</f>
        <v>-</v>
      </c>
    </row>
    <row r="969" spans="1:6">
      <c r="A969" t="s">
        <v>2813</v>
      </c>
      <c r="B969" t="s">
        <v>2815</v>
      </c>
      <c r="C969">
        <v>44</v>
      </c>
      <c r="F969" s="898" t="str">
        <f ca="1">Actions!I45</f>
        <v>-</v>
      </c>
    </row>
    <row r="970" spans="1:6">
      <c r="A970" t="s">
        <v>2813</v>
      </c>
      <c r="B970" t="s">
        <v>2815</v>
      </c>
      <c r="C970">
        <v>45</v>
      </c>
      <c r="F970" s="898" t="str">
        <f ca="1">Actions!I46</f>
        <v>-</v>
      </c>
    </row>
    <row r="971" spans="1:6">
      <c r="A971" t="s">
        <v>2813</v>
      </c>
      <c r="B971" t="s">
        <v>2818</v>
      </c>
      <c r="C971">
        <v>1</v>
      </c>
      <c r="F971" s="898">
        <f ca="1">Actions!J2</f>
        <v>0</v>
      </c>
    </row>
    <row r="972" spans="1:6">
      <c r="A972" t="s">
        <v>2813</v>
      </c>
      <c r="B972" t="s">
        <v>2818</v>
      </c>
      <c r="C972">
        <v>2</v>
      </c>
      <c r="F972" s="898">
        <f ca="1">Actions!J3</f>
        <v>0</v>
      </c>
    </row>
    <row r="973" spans="1:6">
      <c r="A973" t="s">
        <v>2813</v>
      </c>
      <c r="B973" t="s">
        <v>2818</v>
      </c>
      <c r="C973">
        <v>3</v>
      </c>
      <c r="F973" s="898">
        <f ca="1">Actions!J4</f>
        <v>0</v>
      </c>
    </row>
    <row r="974" spans="1:6">
      <c r="A974" t="s">
        <v>2813</v>
      </c>
      <c r="B974" t="s">
        <v>2818</v>
      </c>
      <c r="C974">
        <v>4</v>
      </c>
      <c r="F974" s="898">
        <f ca="1">Actions!J5</f>
        <v>0</v>
      </c>
    </row>
    <row r="975" spans="1:6">
      <c r="A975" t="s">
        <v>2813</v>
      </c>
      <c r="B975" t="s">
        <v>2818</v>
      </c>
      <c r="C975">
        <v>5</v>
      </c>
      <c r="F975" s="898">
        <f ca="1">Actions!J6</f>
        <v>0</v>
      </c>
    </row>
    <row r="976" spans="1:6">
      <c r="A976" t="s">
        <v>2813</v>
      </c>
      <c r="B976" t="s">
        <v>2818</v>
      </c>
      <c r="C976">
        <v>6</v>
      </c>
      <c r="F976" s="898">
        <f ca="1">Actions!J7</f>
        <v>0</v>
      </c>
    </row>
    <row r="977" spans="1:6">
      <c r="A977" t="s">
        <v>2813</v>
      </c>
      <c r="B977" t="s">
        <v>2818</v>
      </c>
      <c r="C977">
        <v>7</v>
      </c>
      <c r="F977" s="898">
        <f ca="1">Actions!J8</f>
        <v>0</v>
      </c>
    </row>
    <row r="978" spans="1:6">
      <c r="A978" t="s">
        <v>2813</v>
      </c>
      <c r="B978" t="s">
        <v>2818</v>
      </c>
      <c r="C978">
        <v>8</v>
      </c>
      <c r="F978" s="898">
        <f ca="1">Actions!J9</f>
        <v>0</v>
      </c>
    </row>
    <row r="979" spans="1:6">
      <c r="A979" t="s">
        <v>2813</v>
      </c>
      <c r="B979" t="s">
        <v>2818</v>
      </c>
      <c r="C979">
        <v>9</v>
      </c>
      <c r="F979" s="898">
        <f ca="1">Actions!J10</f>
        <v>0</v>
      </c>
    </row>
    <row r="980" spans="1:6">
      <c r="A980" t="s">
        <v>2813</v>
      </c>
      <c r="B980" t="s">
        <v>2818</v>
      </c>
      <c r="C980">
        <v>10</v>
      </c>
      <c r="F980" s="898">
        <f ca="1">Actions!J11</f>
        <v>0</v>
      </c>
    </row>
    <row r="981" spans="1:6">
      <c r="A981" t="s">
        <v>2813</v>
      </c>
      <c r="B981" t="s">
        <v>2818</v>
      </c>
      <c r="C981">
        <v>11</v>
      </c>
      <c r="F981" s="898">
        <f ca="1">Actions!J12</f>
        <v>0</v>
      </c>
    </row>
    <row r="982" spans="1:6">
      <c r="A982" t="s">
        <v>2813</v>
      </c>
      <c r="B982" t="s">
        <v>2818</v>
      </c>
      <c r="C982">
        <v>12</v>
      </c>
      <c r="F982" s="898">
        <f ca="1">Actions!J13</f>
        <v>0</v>
      </c>
    </row>
    <row r="983" spans="1:6">
      <c r="A983" t="s">
        <v>2813</v>
      </c>
      <c r="B983" t="s">
        <v>2818</v>
      </c>
      <c r="C983">
        <v>13</v>
      </c>
      <c r="F983" s="898">
        <f ca="1">Actions!J14</f>
        <v>0</v>
      </c>
    </row>
    <row r="984" spans="1:6">
      <c r="A984" t="s">
        <v>2813</v>
      </c>
      <c r="B984" t="s">
        <v>2818</v>
      </c>
      <c r="C984">
        <v>14</v>
      </c>
      <c r="F984" s="898">
        <f ca="1">Actions!J15</f>
        <v>0</v>
      </c>
    </row>
    <row r="985" spans="1:6">
      <c r="A985" t="s">
        <v>2813</v>
      </c>
      <c r="B985" t="s">
        <v>2818</v>
      </c>
      <c r="C985">
        <v>15</v>
      </c>
      <c r="F985" s="898">
        <f ca="1">Actions!J16</f>
        <v>0</v>
      </c>
    </row>
    <row r="986" spans="1:6">
      <c r="A986" t="s">
        <v>2813</v>
      </c>
      <c r="B986" t="s">
        <v>2818</v>
      </c>
      <c r="C986">
        <v>16</v>
      </c>
      <c r="F986" s="898">
        <f ca="1">Actions!J17</f>
        <v>0</v>
      </c>
    </row>
    <row r="987" spans="1:6">
      <c r="A987" t="s">
        <v>2813</v>
      </c>
      <c r="B987" t="s">
        <v>2818</v>
      </c>
      <c r="C987">
        <v>17</v>
      </c>
      <c r="F987" s="898">
        <f ca="1">Actions!J18</f>
        <v>0</v>
      </c>
    </row>
    <row r="988" spans="1:6">
      <c r="A988" t="s">
        <v>2813</v>
      </c>
      <c r="B988" t="s">
        <v>2818</v>
      </c>
      <c r="C988">
        <v>18</v>
      </c>
      <c r="F988" s="898">
        <f ca="1">Actions!J19</f>
        <v>0</v>
      </c>
    </row>
    <row r="989" spans="1:6">
      <c r="A989" t="s">
        <v>2813</v>
      </c>
      <c r="B989" t="s">
        <v>2818</v>
      </c>
      <c r="C989">
        <v>19</v>
      </c>
      <c r="F989" s="898">
        <f ca="1">Actions!J20</f>
        <v>0</v>
      </c>
    </row>
    <row r="990" spans="1:6">
      <c r="A990" t="s">
        <v>2813</v>
      </c>
      <c r="B990" t="s">
        <v>2818</v>
      </c>
      <c r="C990">
        <v>20</v>
      </c>
      <c r="F990" s="898">
        <f ca="1">Actions!J21</f>
        <v>0</v>
      </c>
    </row>
    <row r="991" spans="1:6">
      <c r="A991" t="s">
        <v>2813</v>
      </c>
      <c r="B991" t="s">
        <v>2818</v>
      </c>
      <c r="C991">
        <v>21</v>
      </c>
      <c r="F991" s="898">
        <f ca="1">Actions!J22</f>
        <v>0</v>
      </c>
    </row>
    <row r="992" spans="1:6">
      <c r="A992" t="s">
        <v>2813</v>
      </c>
      <c r="B992" t="s">
        <v>2818</v>
      </c>
      <c r="C992">
        <v>22</v>
      </c>
      <c r="F992" s="898">
        <f ca="1">Actions!J23</f>
        <v>0</v>
      </c>
    </row>
    <row r="993" spans="1:6">
      <c r="A993" t="s">
        <v>2813</v>
      </c>
      <c r="B993" t="s">
        <v>2818</v>
      </c>
      <c r="C993">
        <v>23</v>
      </c>
      <c r="F993" s="898">
        <f ca="1">Actions!J24</f>
        <v>0</v>
      </c>
    </row>
    <row r="994" spans="1:6">
      <c r="A994" t="s">
        <v>2813</v>
      </c>
      <c r="B994" t="s">
        <v>2818</v>
      </c>
      <c r="C994">
        <v>24</v>
      </c>
      <c r="F994" s="898">
        <f ca="1">Actions!J25</f>
        <v>0</v>
      </c>
    </row>
    <row r="995" spans="1:6">
      <c r="A995" t="s">
        <v>2813</v>
      </c>
      <c r="B995" t="s">
        <v>2818</v>
      </c>
      <c r="C995">
        <v>25</v>
      </c>
      <c r="F995" s="898">
        <f ca="1">Actions!J26</f>
        <v>0</v>
      </c>
    </row>
    <row r="996" spans="1:6">
      <c r="A996" t="s">
        <v>2813</v>
      </c>
      <c r="B996" t="s">
        <v>2818</v>
      </c>
      <c r="C996">
        <v>26</v>
      </c>
      <c r="F996" s="898">
        <f ca="1">Actions!J27</f>
        <v>0</v>
      </c>
    </row>
    <row r="997" spans="1:6">
      <c r="A997" t="s">
        <v>2813</v>
      </c>
      <c r="B997" t="s">
        <v>2818</v>
      </c>
      <c r="C997">
        <v>27</v>
      </c>
      <c r="F997" s="898">
        <f ca="1">Actions!J28</f>
        <v>0</v>
      </c>
    </row>
    <row r="998" spans="1:6">
      <c r="A998" t="s">
        <v>2813</v>
      </c>
      <c r="B998" t="s">
        <v>2818</v>
      </c>
      <c r="C998">
        <v>28</v>
      </c>
      <c r="F998" s="898">
        <f ca="1">Actions!J29</f>
        <v>0</v>
      </c>
    </row>
    <row r="999" spans="1:6">
      <c r="A999" t="s">
        <v>2813</v>
      </c>
      <c r="B999" t="s">
        <v>2818</v>
      </c>
      <c r="C999">
        <v>29</v>
      </c>
      <c r="F999" s="898">
        <f ca="1">Actions!J30</f>
        <v>0</v>
      </c>
    </row>
    <row r="1000" spans="1:6">
      <c r="A1000" t="s">
        <v>2813</v>
      </c>
      <c r="B1000" t="s">
        <v>2818</v>
      </c>
      <c r="C1000">
        <v>30</v>
      </c>
      <c r="F1000" s="898">
        <f ca="1">Actions!J31</f>
        <v>0</v>
      </c>
    </row>
    <row r="1001" spans="1:6">
      <c r="A1001" t="s">
        <v>2813</v>
      </c>
      <c r="B1001" t="s">
        <v>2818</v>
      </c>
      <c r="C1001">
        <v>31</v>
      </c>
      <c r="F1001" s="898">
        <f ca="1">Actions!J32</f>
        <v>0</v>
      </c>
    </row>
    <row r="1002" spans="1:6">
      <c r="A1002" t="s">
        <v>2813</v>
      </c>
      <c r="B1002" t="s">
        <v>2818</v>
      </c>
      <c r="C1002">
        <v>32</v>
      </c>
      <c r="F1002" s="898">
        <f ca="1">Actions!J33</f>
        <v>0</v>
      </c>
    </row>
    <row r="1003" spans="1:6">
      <c r="A1003" t="s">
        <v>2813</v>
      </c>
      <c r="B1003" t="s">
        <v>2818</v>
      </c>
      <c r="C1003">
        <v>33</v>
      </c>
      <c r="F1003" s="898">
        <f ca="1">Actions!J34</f>
        <v>0</v>
      </c>
    </row>
    <row r="1004" spans="1:6">
      <c r="A1004" t="s">
        <v>2813</v>
      </c>
      <c r="B1004" t="s">
        <v>2818</v>
      </c>
      <c r="C1004">
        <v>34</v>
      </c>
      <c r="F1004" s="898">
        <f ca="1">Actions!J35</f>
        <v>0</v>
      </c>
    </row>
    <row r="1005" spans="1:6">
      <c r="A1005" t="s">
        <v>2813</v>
      </c>
      <c r="B1005" t="s">
        <v>2818</v>
      </c>
      <c r="C1005">
        <v>35</v>
      </c>
      <c r="F1005" s="898">
        <f ca="1">Actions!J36</f>
        <v>0</v>
      </c>
    </row>
    <row r="1006" spans="1:6">
      <c r="A1006" t="s">
        <v>2813</v>
      </c>
      <c r="B1006" t="s">
        <v>2818</v>
      </c>
      <c r="C1006">
        <v>36</v>
      </c>
      <c r="F1006" s="898">
        <f ca="1">Actions!J37</f>
        <v>0</v>
      </c>
    </row>
    <row r="1007" spans="1:6">
      <c r="A1007" t="s">
        <v>2813</v>
      </c>
      <c r="B1007" t="s">
        <v>2818</v>
      </c>
      <c r="C1007">
        <v>37</v>
      </c>
      <c r="F1007" s="898">
        <f ca="1">Actions!J38</f>
        <v>0</v>
      </c>
    </row>
    <row r="1008" spans="1:6">
      <c r="A1008" t="s">
        <v>2813</v>
      </c>
      <c r="B1008" t="s">
        <v>2818</v>
      </c>
      <c r="C1008">
        <v>38</v>
      </c>
      <c r="F1008" s="898">
        <f ca="1">Actions!J39</f>
        <v>0</v>
      </c>
    </row>
    <row r="1009" spans="1:6">
      <c r="A1009" t="s">
        <v>2813</v>
      </c>
      <c r="B1009" t="s">
        <v>2818</v>
      </c>
      <c r="C1009">
        <v>39</v>
      </c>
      <c r="F1009" s="898">
        <f ca="1">Actions!J40</f>
        <v>0</v>
      </c>
    </row>
    <row r="1010" spans="1:6">
      <c r="A1010" t="s">
        <v>2813</v>
      </c>
      <c r="B1010" t="s">
        <v>2818</v>
      </c>
      <c r="C1010">
        <v>40</v>
      </c>
      <c r="F1010" s="898">
        <f ca="1">Actions!J41</f>
        <v>0</v>
      </c>
    </row>
    <row r="1011" spans="1:6">
      <c r="A1011" t="s">
        <v>2813</v>
      </c>
      <c r="B1011" t="s">
        <v>2818</v>
      </c>
      <c r="C1011">
        <v>41</v>
      </c>
      <c r="F1011" s="898">
        <f ca="1">Actions!J42</f>
        <v>0</v>
      </c>
    </row>
    <row r="1012" spans="1:6">
      <c r="A1012" t="s">
        <v>2813</v>
      </c>
      <c r="B1012" t="s">
        <v>2818</v>
      </c>
      <c r="C1012">
        <v>42</v>
      </c>
      <c r="F1012" s="898">
        <f ca="1">Actions!J43</f>
        <v>0</v>
      </c>
    </row>
    <row r="1013" spans="1:6">
      <c r="A1013" t="s">
        <v>2813</v>
      </c>
      <c r="B1013" t="s">
        <v>2818</v>
      </c>
      <c r="C1013">
        <v>43</v>
      </c>
      <c r="F1013" s="898">
        <f ca="1">Actions!J44</f>
        <v>0</v>
      </c>
    </row>
    <row r="1014" spans="1:6">
      <c r="A1014" t="s">
        <v>2813</v>
      </c>
      <c r="B1014" t="s">
        <v>2818</v>
      </c>
      <c r="C1014">
        <v>44</v>
      </c>
      <c r="F1014" s="898">
        <f ca="1">Actions!J45</f>
        <v>0</v>
      </c>
    </row>
    <row r="1015" spans="1:6">
      <c r="A1015" t="s">
        <v>2813</v>
      </c>
      <c r="B1015" t="s">
        <v>2818</v>
      </c>
      <c r="C1015">
        <v>45</v>
      </c>
      <c r="F1015" s="898">
        <f ca="1">Actions!J46</f>
        <v>0</v>
      </c>
    </row>
    <row r="1016" spans="1:6">
      <c r="A1016" t="s">
        <v>2813</v>
      </c>
      <c r="B1016" t="s">
        <v>2816</v>
      </c>
      <c r="C1016">
        <v>1</v>
      </c>
      <c r="F1016" s="898">
        <f ca="1">Actions!K2</f>
        <v>0</v>
      </c>
    </row>
    <row r="1017" spans="1:6">
      <c r="A1017" t="s">
        <v>2813</v>
      </c>
      <c r="B1017" t="s">
        <v>2816</v>
      </c>
      <c r="C1017">
        <v>2</v>
      </c>
      <c r="F1017" s="898" t="str">
        <f ca="1">Actions!K3</f>
        <v>-</v>
      </c>
    </row>
    <row r="1018" spans="1:6">
      <c r="A1018" t="s">
        <v>2813</v>
      </c>
      <c r="B1018" t="s">
        <v>2816</v>
      </c>
      <c r="C1018">
        <v>3</v>
      </c>
      <c r="F1018" s="898" t="str">
        <f ca="1">Actions!K4</f>
        <v>-</v>
      </c>
    </row>
    <row r="1019" spans="1:6">
      <c r="A1019" t="s">
        <v>2813</v>
      </c>
      <c r="B1019" t="s">
        <v>2816</v>
      </c>
      <c r="C1019">
        <v>4</v>
      </c>
      <c r="F1019" s="898" t="str">
        <f ca="1">Actions!K5</f>
        <v>-</v>
      </c>
    </row>
    <row r="1020" spans="1:6">
      <c r="A1020" t="s">
        <v>2813</v>
      </c>
      <c r="B1020" t="s">
        <v>2816</v>
      </c>
      <c r="C1020">
        <v>5</v>
      </c>
      <c r="F1020" s="898" t="str">
        <f ca="1">Actions!K6</f>
        <v>-</v>
      </c>
    </row>
    <row r="1021" spans="1:6">
      <c r="A1021" t="s">
        <v>2813</v>
      </c>
      <c r="B1021" t="s">
        <v>2816</v>
      </c>
      <c r="C1021">
        <v>6</v>
      </c>
      <c r="F1021" s="898" t="str">
        <f ca="1">Actions!K7</f>
        <v>-</v>
      </c>
    </row>
    <row r="1022" spans="1:6">
      <c r="A1022" t="s">
        <v>2813</v>
      </c>
      <c r="B1022" t="s">
        <v>2816</v>
      </c>
      <c r="C1022">
        <v>7</v>
      </c>
      <c r="F1022" s="898" t="str">
        <f ca="1">Actions!K8</f>
        <v>-</v>
      </c>
    </row>
    <row r="1023" spans="1:6">
      <c r="A1023" t="s">
        <v>2813</v>
      </c>
      <c r="B1023" t="s">
        <v>2816</v>
      </c>
      <c r="C1023">
        <v>8</v>
      </c>
      <c r="F1023" s="898" t="str">
        <f ca="1">Actions!K9</f>
        <v>-</v>
      </c>
    </row>
    <row r="1024" spans="1:6">
      <c r="A1024" t="s">
        <v>2813</v>
      </c>
      <c r="B1024" t="s">
        <v>2816</v>
      </c>
      <c r="C1024">
        <v>9</v>
      </c>
      <c r="F1024" s="898" t="str">
        <f ca="1">Actions!K10</f>
        <v>-</v>
      </c>
    </row>
    <row r="1025" spans="1:6">
      <c r="A1025" t="s">
        <v>2813</v>
      </c>
      <c r="B1025" t="s">
        <v>2816</v>
      </c>
      <c r="C1025">
        <v>10</v>
      </c>
      <c r="F1025" s="898" t="str">
        <f ca="1">Actions!K11</f>
        <v>-</v>
      </c>
    </row>
    <row r="1026" spans="1:6">
      <c r="A1026" t="s">
        <v>2813</v>
      </c>
      <c r="B1026" t="s">
        <v>2816</v>
      </c>
      <c r="C1026">
        <v>11</v>
      </c>
      <c r="F1026" s="898" t="str">
        <f ca="1">Actions!K12</f>
        <v>-</v>
      </c>
    </row>
    <row r="1027" spans="1:6">
      <c r="A1027" t="s">
        <v>2813</v>
      </c>
      <c r="B1027" t="s">
        <v>2816</v>
      </c>
      <c r="C1027">
        <v>12</v>
      </c>
      <c r="F1027" s="898" t="str">
        <f ca="1">Actions!K13</f>
        <v>-</v>
      </c>
    </row>
    <row r="1028" spans="1:6">
      <c r="A1028" t="s">
        <v>2813</v>
      </c>
      <c r="B1028" t="s">
        <v>2816</v>
      </c>
      <c r="C1028">
        <v>13</v>
      </c>
      <c r="F1028" s="898" t="str">
        <f ca="1">Actions!K14</f>
        <v>-</v>
      </c>
    </row>
    <row r="1029" spans="1:6">
      <c r="A1029" t="s">
        <v>2813</v>
      </c>
      <c r="B1029" t="s">
        <v>2816</v>
      </c>
      <c r="C1029">
        <v>14</v>
      </c>
      <c r="F1029" s="898" t="str">
        <f ca="1">Actions!K15</f>
        <v>-</v>
      </c>
    </row>
    <row r="1030" spans="1:6">
      <c r="A1030" t="s">
        <v>2813</v>
      </c>
      <c r="B1030" t="s">
        <v>2816</v>
      </c>
      <c r="C1030">
        <v>15</v>
      </c>
      <c r="F1030" s="898" t="str">
        <f ca="1">Actions!K16</f>
        <v>-</v>
      </c>
    </row>
    <row r="1031" spans="1:6">
      <c r="A1031" t="s">
        <v>2813</v>
      </c>
      <c r="B1031" t="s">
        <v>2816</v>
      </c>
      <c r="C1031">
        <v>16</v>
      </c>
      <c r="F1031" s="898" t="str">
        <f ca="1">Actions!K17</f>
        <v>-</v>
      </c>
    </row>
    <row r="1032" spans="1:6">
      <c r="A1032" t="s">
        <v>2813</v>
      </c>
      <c r="B1032" t="s">
        <v>2816</v>
      </c>
      <c r="C1032">
        <v>17</v>
      </c>
      <c r="F1032" s="898" t="str">
        <f ca="1">Actions!K18</f>
        <v>-</v>
      </c>
    </row>
    <row r="1033" spans="1:6">
      <c r="A1033" t="s">
        <v>2813</v>
      </c>
      <c r="B1033" t="s">
        <v>2816</v>
      </c>
      <c r="C1033">
        <v>18</v>
      </c>
      <c r="F1033" s="898" t="str">
        <f ca="1">Actions!K19</f>
        <v>-</v>
      </c>
    </row>
    <row r="1034" spans="1:6">
      <c r="A1034" t="s">
        <v>2813</v>
      </c>
      <c r="B1034" t="s">
        <v>2816</v>
      </c>
      <c r="C1034">
        <v>19</v>
      </c>
      <c r="F1034" s="898" t="str">
        <f ca="1">Actions!K20</f>
        <v>-</v>
      </c>
    </row>
    <row r="1035" spans="1:6">
      <c r="A1035" t="s">
        <v>2813</v>
      </c>
      <c r="B1035" t="s">
        <v>2816</v>
      </c>
      <c r="C1035">
        <v>20</v>
      </c>
      <c r="F1035" s="898" t="str">
        <f ca="1">Actions!K21</f>
        <v>-</v>
      </c>
    </row>
    <row r="1036" spans="1:6">
      <c r="A1036" t="s">
        <v>2813</v>
      </c>
      <c r="B1036" t="s">
        <v>2816</v>
      </c>
      <c r="C1036">
        <v>21</v>
      </c>
      <c r="F1036" s="898" t="str">
        <f ca="1">Actions!K22</f>
        <v>-</v>
      </c>
    </row>
    <row r="1037" spans="1:6">
      <c r="A1037" t="s">
        <v>2813</v>
      </c>
      <c r="B1037" t="s">
        <v>2816</v>
      </c>
      <c r="C1037">
        <v>22</v>
      </c>
      <c r="F1037" s="898" t="str">
        <f ca="1">Actions!K23</f>
        <v>-</v>
      </c>
    </row>
    <row r="1038" spans="1:6">
      <c r="A1038" t="s">
        <v>2813</v>
      </c>
      <c r="B1038" t="s">
        <v>2816</v>
      </c>
      <c r="C1038">
        <v>23</v>
      </c>
      <c r="F1038" s="898" t="str">
        <f ca="1">Actions!K24</f>
        <v>-</v>
      </c>
    </row>
    <row r="1039" spans="1:6">
      <c r="A1039" t="s">
        <v>2813</v>
      </c>
      <c r="B1039" t="s">
        <v>2816</v>
      </c>
      <c r="C1039">
        <v>24</v>
      </c>
      <c r="F1039" s="898" t="str">
        <f ca="1">Actions!K25</f>
        <v>-</v>
      </c>
    </row>
    <row r="1040" spans="1:6">
      <c r="A1040" t="s">
        <v>2813</v>
      </c>
      <c r="B1040" t="s">
        <v>2816</v>
      </c>
      <c r="C1040">
        <v>25</v>
      </c>
      <c r="F1040" s="898" t="str">
        <f ca="1">Actions!K26</f>
        <v>-</v>
      </c>
    </row>
    <row r="1041" spans="1:6">
      <c r="A1041" t="s">
        <v>2813</v>
      </c>
      <c r="B1041" t="s">
        <v>2816</v>
      </c>
      <c r="C1041">
        <v>26</v>
      </c>
      <c r="F1041" s="898" t="str">
        <f ca="1">Actions!K27</f>
        <v>-</v>
      </c>
    </row>
    <row r="1042" spans="1:6">
      <c r="A1042" t="s">
        <v>2813</v>
      </c>
      <c r="B1042" t="s">
        <v>2816</v>
      </c>
      <c r="C1042">
        <v>27</v>
      </c>
      <c r="F1042" s="898" t="str">
        <f ca="1">Actions!K28</f>
        <v>-</v>
      </c>
    </row>
    <row r="1043" spans="1:6">
      <c r="A1043" t="s">
        <v>2813</v>
      </c>
      <c r="B1043" t="s">
        <v>2816</v>
      </c>
      <c r="C1043">
        <v>28</v>
      </c>
      <c r="F1043" s="898" t="str">
        <f ca="1">Actions!K29</f>
        <v>-</v>
      </c>
    </row>
    <row r="1044" spans="1:6">
      <c r="A1044" t="s">
        <v>2813</v>
      </c>
      <c r="B1044" t="s">
        <v>2816</v>
      </c>
      <c r="C1044">
        <v>29</v>
      </c>
      <c r="F1044" s="898" t="str">
        <f ca="1">Actions!K30</f>
        <v>-</v>
      </c>
    </row>
    <row r="1045" spans="1:6">
      <c r="A1045" t="s">
        <v>2813</v>
      </c>
      <c r="B1045" t="s">
        <v>2816</v>
      </c>
      <c r="C1045">
        <v>30</v>
      </c>
      <c r="F1045" s="898" t="str">
        <f ca="1">Actions!K31</f>
        <v>-</v>
      </c>
    </row>
    <row r="1046" spans="1:6">
      <c r="A1046" t="s">
        <v>2813</v>
      </c>
      <c r="B1046" t="s">
        <v>2816</v>
      </c>
      <c r="C1046">
        <v>31</v>
      </c>
      <c r="F1046" s="898" t="str">
        <f ca="1">Actions!K32</f>
        <v>-</v>
      </c>
    </row>
    <row r="1047" spans="1:6">
      <c r="A1047" t="s">
        <v>2813</v>
      </c>
      <c r="B1047" t="s">
        <v>2816</v>
      </c>
      <c r="C1047">
        <v>32</v>
      </c>
      <c r="F1047" s="898" t="str">
        <f ca="1">Actions!K33</f>
        <v>-</v>
      </c>
    </row>
    <row r="1048" spans="1:6">
      <c r="A1048" t="s">
        <v>2813</v>
      </c>
      <c r="B1048" t="s">
        <v>2816</v>
      </c>
      <c r="C1048">
        <v>33</v>
      </c>
      <c r="F1048" s="898" t="str">
        <f ca="1">Actions!K34</f>
        <v>-</v>
      </c>
    </row>
    <row r="1049" spans="1:6">
      <c r="A1049" t="s">
        <v>2813</v>
      </c>
      <c r="B1049" t="s">
        <v>2816</v>
      </c>
      <c r="C1049">
        <v>34</v>
      </c>
      <c r="F1049" s="898" t="str">
        <f ca="1">Actions!K35</f>
        <v>-</v>
      </c>
    </row>
    <row r="1050" spans="1:6">
      <c r="A1050" t="s">
        <v>2813</v>
      </c>
      <c r="B1050" t="s">
        <v>2816</v>
      </c>
      <c r="C1050">
        <v>35</v>
      </c>
      <c r="F1050" s="898" t="str">
        <f ca="1">Actions!K36</f>
        <v>-</v>
      </c>
    </row>
    <row r="1051" spans="1:6">
      <c r="A1051" t="s">
        <v>2813</v>
      </c>
      <c r="B1051" t="s">
        <v>2816</v>
      </c>
      <c r="C1051">
        <v>36</v>
      </c>
      <c r="F1051" s="898" t="str">
        <f ca="1">Actions!K37</f>
        <v>-</v>
      </c>
    </row>
    <row r="1052" spans="1:6">
      <c r="A1052" t="s">
        <v>2813</v>
      </c>
      <c r="B1052" t="s">
        <v>2816</v>
      </c>
      <c r="C1052">
        <v>37</v>
      </c>
      <c r="F1052" s="898" t="str">
        <f ca="1">Actions!K38</f>
        <v>-</v>
      </c>
    </row>
    <row r="1053" spans="1:6">
      <c r="A1053" t="s">
        <v>2813</v>
      </c>
      <c r="B1053" t="s">
        <v>2816</v>
      </c>
      <c r="C1053">
        <v>38</v>
      </c>
      <c r="F1053" s="898" t="str">
        <f ca="1">Actions!K39</f>
        <v>-</v>
      </c>
    </row>
    <row r="1054" spans="1:6">
      <c r="A1054" t="s">
        <v>2813</v>
      </c>
      <c r="B1054" t="s">
        <v>2816</v>
      </c>
      <c r="C1054">
        <v>39</v>
      </c>
      <c r="F1054" s="898" t="str">
        <f ca="1">Actions!K40</f>
        <v>-</v>
      </c>
    </row>
    <row r="1055" spans="1:6">
      <c r="A1055" t="s">
        <v>2813</v>
      </c>
      <c r="B1055" t="s">
        <v>2816</v>
      </c>
      <c r="C1055">
        <v>40</v>
      </c>
      <c r="F1055" s="898" t="str">
        <f ca="1">Actions!K41</f>
        <v>-</v>
      </c>
    </row>
    <row r="1056" spans="1:6">
      <c r="A1056" t="s">
        <v>2813</v>
      </c>
      <c r="B1056" t="s">
        <v>2816</v>
      </c>
      <c r="C1056">
        <v>41</v>
      </c>
      <c r="F1056" s="898" t="str">
        <f ca="1">Actions!K42</f>
        <v>-</v>
      </c>
    </row>
    <row r="1057" spans="1:6">
      <c r="A1057" t="s">
        <v>2813</v>
      </c>
      <c r="B1057" t="s">
        <v>2816</v>
      </c>
      <c r="C1057">
        <v>42</v>
      </c>
      <c r="F1057" s="898" t="str">
        <f ca="1">Actions!K43</f>
        <v>-</v>
      </c>
    </row>
    <row r="1058" spans="1:6">
      <c r="A1058" t="s">
        <v>2813</v>
      </c>
      <c r="B1058" t="s">
        <v>2816</v>
      </c>
      <c r="C1058">
        <v>43</v>
      </c>
      <c r="F1058" s="898" t="str">
        <f ca="1">Actions!K44</f>
        <v>-</v>
      </c>
    </row>
    <row r="1059" spans="1:6">
      <c r="A1059" t="s">
        <v>2813</v>
      </c>
      <c r="B1059" t="s">
        <v>2816</v>
      </c>
      <c r="C1059">
        <v>44</v>
      </c>
      <c r="F1059" s="898" t="str">
        <f ca="1">Actions!K45</f>
        <v>-</v>
      </c>
    </row>
    <row r="1060" spans="1:6">
      <c r="A1060" t="s">
        <v>2813</v>
      </c>
      <c r="B1060" t="s">
        <v>2816</v>
      </c>
      <c r="C1060">
        <v>45</v>
      </c>
      <c r="F1060" s="898" t="str">
        <f ca="1">Actions!K46</f>
        <v>-</v>
      </c>
    </row>
    <row r="1061" spans="1:6">
      <c r="A1061" t="s">
        <v>2813</v>
      </c>
      <c r="B1061" t="s">
        <v>2819</v>
      </c>
      <c r="C1061">
        <v>1</v>
      </c>
      <c r="F1061" s="898">
        <f ca="1">Actions!L2</f>
        <v>0</v>
      </c>
    </row>
    <row r="1062" spans="1:6">
      <c r="A1062" t="s">
        <v>2813</v>
      </c>
      <c r="B1062" t="s">
        <v>2819</v>
      </c>
      <c r="C1062">
        <v>2</v>
      </c>
      <c r="F1062" s="898">
        <f ca="1">Actions!L3</f>
        <v>0</v>
      </c>
    </row>
    <row r="1063" spans="1:6">
      <c r="A1063" t="s">
        <v>2813</v>
      </c>
      <c r="B1063" t="s">
        <v>2819</v>
      </c>
      <c r="C1063">
        <v>3</v>
      </c>
      <c r="F1063" s="898">
        <f ca="1">Actions!L4</f>
        <v>0</v>
      </c>
    </row>
    <row r="1064" spans="1:6">
      <c r="A1064" t="s">
        <v>2813</v>
      </c>
      <c r="B1064" t="s">
        <v>2819</v>
      </c>
      <c r="C1064">
        <v>4</v>
      </c>
      <c r="F1064" s="898">
        <f ca="1">Actions!L5</f>
        <v>0</v>
      </c>
    </row>
    <row r="1065" spans="1:6">
      <c r="A1065" t="s">
        <v>2813</v>
      </c>
      <c r="B1065" t="s">
        <v>2819</v>
      </c>
      <c r="C1065">
        <v>5</v>
      </c>
      <c r="F1065" s="898">
        <f ca="1">Actions!L6</f>
        <v>0</v>
      </c>
    </row>
    <row r="1066" spans="1:6">
      <c r="A1066" t="s">
        <v>2813</v>
      </c>
      <c r="B1066" t="s">
        <v>2819</v>
      </c>
      <c r="C1066">
        <v>6</v>
      </c>
      <c r="F1066" s="898">
        <f ca="1">Actions!L7</f>
        <v>0</v>
      </c>
    </row>
    <row r="1067" spans="1:6">
      <c r="A1067" t="s">
        <v>2813</v>
      </c>
      <c r="B1067" t="s">
        <v>2819</v>
      </c>
      <c r="C1067">
        <v>7</v>
      </c>
      <c r="F1067" s="898">
        <f ca="1">Actions!L8</f>
        <v>0</v>
      </c>
    </row>
    <row r="1068" spans="1:6">
      <c r="A1068" t="s">
        <v>2813</v>
      </c>
      <c r="B1068" t="s">
        <v>2819</v>
      </c>
      <c r="C1068">
        <v>8</v>
      </c>
      <c r="F1068" s="898">
        <f ca="1">Actions!L9</f>
        <v>0</v>
      </c>
    </row>
    <row r="1069" spans="1:6">
      <c r="A1069" t="s">
        <v>2813</v>
      </c>
      <c r="B1069" t="s">
        <v>2819</v>
      </c>
      <c r="C1069">
        <v>9</v>
      </c>
      <c r="F1069" s="898">
        <f ca="1">Actions!L10</f>
        <v>0</v>
      </c>
    </row>
    <row r="1070" spans="1:6">
      <c r="A1070" t="s">
        <v>2813</v>
      </c>
      <c r="B1070" t="s">
        <v>2819</v>
      </c>
      <c r="C1070">
        <v>10</v>
      </c>
      <c r="F1070" s="898">
        <f ca="1">Actions!L11</f>
        <v>0</v>
      </c>
    </row>
    <row r="1071" spans="1:6">
      <c r="A1071" t="s">
        <v>2813</v>
      </c>
      <c r="B1071" t="s">
        <v>2819</v>
      </c>
      <c r="C1071">
        <v>11</v>
      </c>
      <c r="F1071" s="898">
        <f ca="1">Actions!L12</f>
        <v>0</v>
      </c>
    </row>
    <row r="1072" spans="1:6">
      <c r="A1072" t="s">
        <v>2813</v>
      </c>
      <c r="B1072" t="s">
        <v>2819</v>
      </c>
      <c r="C1072">
        <v>12</v>
      </c>
      <c r="F1072" s="898">
        <f ca="1">Actions!L13</f>
        <v>0</v>
      </c>
    </row>
    <row r="1073" spans="1:6">
      <c r="A1073" t="s">
        <v>2813</v>
      </c>
      <c r="B1073" t="s">
        <v>2819</v>
      </c>
      <c r="C1073">
        <v>13</v>
      </c>
      <c r="F1073" s="898">
        <f ca="1">Actions!L14</f>
        <v>0</v>
      </c>
    </row>
    <row r="1074" spans="1:6">
      <c r="A1074" t="s">
        <v>2813</v>
      </c>
      <c r="B1074" t="s">
        <v>2819</v>
      </c>
      <c r="C1074">
        <v>14</v>
      </c>
      <c r="F1074" s="898">
        <f ca="1">Actions!L15</f>
        <v>0</v>
      </c>
    </row>
    <row r="1075" spans="1:6">
      <c r="A1075" t="s">
        <v>2813</v>
      </c>
      <c r="B1075" t="s">
        <v>2819</v>
      </c>
      <c r="C1075">
        <v>15</v>
      </c>
      <c r="F1075" s="898">
        <f ca="1">Actions!L16</f>
        <v>0</v>
      </c>
    </row>
    <row r="1076" spans="1:6">
      <c r="A1076" t="s">
        <v>2813</v>
      </c>
      <c r="B1076" t="s">
        <v>2819</v>
      </c>
      <c r="C1076">
        <v>16</v>
      </c>
      <c r="F1076" s="898">
        <f ca="1">Actions!L17</f>
        <v>0</v>
      </c>
    </row>
    <row r="1077" spans="1:6">
      <c r="A1077" t="s">
        <v>2813</v>
      </c>
      <c r="B1077" t="s">
        <v>2819</v>
      </c>
      <c r="C1077">
        <v>17</v>
      </c>
      <c r="F1077" s="898">
        <f ca="1">Actions!L18</f>
        <v>0</v>
      </c>
    </row>
    <row r="1078" spans="1:6">
      <c r="A1078" t="s">
        <v>2813</v>
      </c>
      <c r="B1078" t="s">
        <v>2819</v>
      </c>
      <c r="C1078">
        <v>18</v>
      </c>
      <c r="F1078" s="898">
        <f ca="1">Actions!L19</f>
        <v>0</v>
      </c>
    </row>
    <row r="1079" spans="1:6">
      <c r="A1079" t="s">
        <v>2813</v>
      </c>
      <c r="B1079" t="s">
        <v>2819</v>
      </c>
      <c r="C1079">
        <v>19</v>
      </c>
      <c r="F1079" s="898">
        <f ca="1">Actions!L20</f>
        <v>0</v>
      </c>
    </row>
    <row r="1080" spans="1:6">
      <c r="A1080" t="s">
        <v>2813</v>
      </c>
      <c r="B1080" t="s">
        <v>2819</v>
      </c>
      <c r="C1080">
        <v>20</v>
      </c>
      <c r="F1080" s="898">
        <f ca="1">Actions!L21</f>
        <v>0</v>
      </c>
    </row>
    <row r="1081" spans="1:6">
      <c r="A1081" t="s">
        <v>2813</v>
      </c>
      <c r="B1081" t="s">
        <v>2819</v>
      </c>
      <c r="C1081">
        <v>21</v>
      </c>
      <c r="F1081" s="898">
        <f ca="1">Actions!L22</f>
        <v>0</v>
      </c>
    </row>
    <row r="1082" spans="1:6">
      <c r="A1082" t="s">
        <v>2813</v>
      </c>
      <c r="B1082" t="s">
        <v>2819</v>
      </c>
      <c r="C1082">
        <v>22</v>
      </c>
      <c r="F1082" s="898">
        <f ca="1">Actions!L23</f>
        <v>0</v>
      </c>
    </row>
    <row r="1083" spans="1:6">
      <c r="A1083" t="s">
        <v>2813</v>
      </c>
      <c r="B1083" t="s">
        <v>2819</v>
      </c>
      <c r="C1083">
        <v>23</v>
      </c>
      <c r="F1083" s="898">
        <f ca="1">Actions!L24</f>
        <v>0</v>
      </c>
    </row>
    <row r="1084" spans="1:6">
      <c r="A1084" t="s">
        <v>2813</v>
      </c>
      <c r="B1084" t="s">
        <v>2819</v>
      </c>
      <c r="C1084">
        <v>24</v>
      </c>
      <c r="F1084" s="898">
        <f ca="1">Actions!L25</f>
        <v>0</v>
      </c>
    </row>
    <row r="1085" spans="1:6">
      <c r="A1085" t="s">
        <v>2813</v>
      </c>
      <c r="B1085" t="s">
        <v>2819</v>
      </c>
      <c r="C1085">
        <v>25</v>
      </c>
      <c r="F1085" s="898">
        <f ca="1">Actions!L26</f>
        <v>0</v>
      </c>
    </row>
    <row r="1086" spans="1:6">
      <c r="A1086" t="s">
        <v>2813</v>
      </c>
      <c r="B1086" t="s">
        <v>2819</v>
      </c>
      <c r="C1086">
        <v>26</v>
      </c>
      <c r="F1086" s="898">
        <f ca="1">Actions!L27</f>
        <v>0</v>
      </c>
    </row>
    <row r="1087" spans="1:6">
      <c r="A1087" t="s">
        <v>2813</v>
      </c>
      <c r="B1087" t="s">
        <v>2819</v>
      </c>
      <c r="C1087">
        <v>27</v>
      </c>
      <c r="F1087" s="898">
        <f ca="1">Actions!L28</f>
        <v>0</v>
      </c>
    </row>
    <row r="1088" spans="1:6">
      <c r="A1088" t="s">
        <v>2813</v>
      </c>
      <c r="B1088" t="s">
        <v>2819</v>
      </c>
      <c r="C1088">
        <v>28</v>
      </c>
      <c r="F1088" s="898">
        <f ca="1">Actions!L29</f>
        <v>0</v>
      </c>
    </row>
    <row r="1089" spans="1:6">
      <c r="A1089" t="s">
        <v>2813</v>
      </c>
      <c r="B1089" t="s">
        <v>2819</v>
      </c>
      <c r="C1089">
        <v>29</v>
      </c>
      <c r="F1089" s="898">
        <f ca="1">Actions!L30</f>
        <v>0</v>
      </c>
    </row>
    <row r="1090" spans="1:6">
      <c r="A1090" t="s">
        <v>2813</v>
      </c>
      <c r="B1090" t="s">
        <v>2819</v>
      </c>
      <c r="C1090">
        <v>30</v>
      </c>
      <c r="F1090" s="898">
        <f ca="1">Actions!L31</f>
        <v>0</v>
      </c>
    </row>
    <row r="1091" spans="1:6">
      <c r="A1091" t="s">
        <v>2813</v>
      </c>
      <c r="B1091" t="s">
        <v>2819</v>
      </c>
      <c r="C1091">
        <v>31</v>
      </c>
      <c r="F1091" s="898">
        <f ca="1">Actions!L32</f>
        <v>0</v>
      </c>
    </row>
    <row r="1092" spans="1:6">
      <c r="A1092" t="s">
        <v>2813</v>
      </c>
      <c r="B1092" t="s">
        <v>2819</v>
      </c>
      <c r="C1092">
        <v>32</v>
      </c>
      <c r="F1092" s="898">
        <f ca="1">Actions!L33</f>
        <v>0</v>
      </c>
    </row>
    <row r="1093" spans="1:6">
      <c r="A1093" t="s">
        <v>2813</v>
      </c>
      <c r="B1093" t="s">
        <v>2819</v>
      </c>
      <c r="C1093">
        <v>33</v>
      </c>
      <c r="F1093" s="898">
        <f ca="1">Actions!L34</f>
        <v>0</v>
      </c>
    </row>
    <row r="1094" spans="1:6">
      <c r="A1094" t="s">
        <v>2813</v>
      </c>
      <c r="B1094" t="s">
        <v>2819</v>
      </c>
      <c r="C1094">
        <v>34</v>
      </c>
      <c r="F1094" s="898">
        <f ca="1">Actions!L35</f>
        <v>0</v>
      </c>
    </row>
    <row r="1095" spans="1:6">
      <c r="A1095" t="s">
        <v>2813</v>
      </c>
      <c r="B1095" t="s">
        <v>2819</v>
      </c>
      <c r="C1095">
        <v>35</v>
      </c>
      <c r="F1095" s="898">
        <f ca="1">Actions!L36</f>
        <v>0</v>
      </c>
    </row>
    <row r="1096" spans="1:6">
      <c r="A1096" t="s">
        <v>2813</v>
      </c>
      <c r="B1096" t="s">
        <v>2819</v>
      </c>
      <c r="C1096">
        <v>36</v>
      </c>
      <c r="F1096" s="898">
        <f ca="1">Actions!L37</f>
        <v>0</v>
      </c>
    </row>
    <row r="1097" spans="1:6">
      <c r="A1097" t="s">
        <v>2813</v>
      </c>
      <c r="B1097" t="s">
        <v>2819</v>
      </c>
      <c r="C1097">
        <v>37</v>
      </c>
      <c r="F1097" s="898">
        <f ca="1">Actions!L38</f>
        <v>0</v>
      </c>
    </row>
    <row r="1098" spans="1:6">
      <c r="A1098" t="s">
        <v>2813</v>
      </c>
      <c r="B1098" t="s">
        <v>2819</v>
      </c>
      <c r="C1098">
        <v>38</v>
      </c>
      <c r="F1098" s="898">
        <f ca="1">Actions!L39</f>
        <v>0</v>
      </c>
    </row>
    <row r="1099" spans="1:6">
      <c r="A1099" t="s">
        <v>2813</v>
      </c>
      <c r="B1099" t="s">
        <v>2819</v>
      </c>
      <c r="C1099">
        <v>39</v>
      </c>
      <c r="F1099" s="898">
        <f ca="1">Actions!L40</f>
        <v>0</v>
      </c>
    </row>
    <row r="1100" spans="1:6">
      <c r="A1100" t="s">
        <v>2813</v>
      </c>
      <c r="B1100" t="s">
        <v>2819</v>
      </c>
      <c r="C1100">
        <v>40</v>
      </c>
      <c r="F1100" s="898">
        <f ca="1">Actions!L41</f>
        <v>0</v>
      </c>
    </row>
    <row r="1101" spans="1:6">
      <c r="A1101" t="s">
        <v>2813</v>
      </c>
      <c r="B1101" t="s">
        <v>2819</v>
      </c>
      <c r="C1101">
        <v>41</v>
      </c>
      <c r="F1101" s="898">
        <f ca="1">Actions!L42</f>
        <v>0</v>
      </c>
    </row>
    <row r="1102" spans="1:6">
      <c r="A1102" t="s">
        <v>2813</v>
      </c>
      <c r="B1102" t="s">
        <v>2819</v>
      </c>
      <c r="C1102">
        <v>42</v>
      </c>
      <c r="F1102" s="898">
        <f ca="1">Actions!L43</f>
        <v>0</v>
      </c>
    </row>
    <row r="1103" spans="1:6">
      <c r="A1103" t="s">
        <v>2813</v>
      </c>
      <c r="B1103" t="s">
        <v>2819</v>
      </c>
      <c r="C1103">
        <v>43</v>
      </c>
      <c r="F1103" s="898">
        <f ca="1">Actions!L44</f>
        <v>0</v>
      </c>
    </row>
    <row r="1104" spans="1:6">
      <c r="A1104" t="s">
        <v>2813</v>
      </c>
      <c r="B1104" t="s">
        <v>2819</v>
      </c>
      <c r="C1104">
        <v>44</v>
      </c>
      <c r="F1104" s="898">
        <f ca="1">Actions!L45</f>
        <v>0</v>
      </c>
    </row>
    <row r="1105" spans="1:6">
      <c r="A1105" t="s">
        <v>2813</v>
      </c>
      <c r="B1105" t="s">
        <v>2819</v>
      </c>
      <c r="C1105">
        <v>45</v>
      </c>
      <c r="F1105" s="898">
        <f ca="1">Actions!L46</f>
        <v>0</v>
      </c>
    </row>
    <row r="1106" spans="1:6">
      <c r="A1106" t="s">
        <v>2813</v>
      </c>
      <c r="B1106" t="s">
        <v>2817</v>
      </c>
      <c r="C1106">
        <v>1</v>
      </c>
      <c r="F1106" s="898">
        <f ca="1">Actions!M2</f>
        <v>0</v>
      </c>
    </row>
    <row r="1107" spans="1:6">
      <c r="A1107" t="s">
        <v>2813</v>
      </c>
      <c r="B1107" t="s">
        <v>2817</v>
      </c>
      <c r="C1107">
        <v>2</v>
      </c>
      <c r="F1107" s="898" t="str">
        <f ca="1">Actions!M3</f>
        <v>-</v>
      </c>
    </row>
    <row r="1108" spans="1:6">
      <c r="A1108" t="s">
        <v>2813</v>
      </c>
      <c r="B1108" t="s">
        <v>2817</v>
      </c>
      <c r="C1108">
        <v>3</v>
      </c>
      <c r="F1108" s="898" t="str">
        <f ca="1">Actions!M4</f>
        <v>-</v>
      </c>
    </row>
    <row r="1109" spans="1:6">
      <c r="A1109" t="s">
        <v>2813</v>
      </c>
      <c r="B1109" t="s">
        <v>2817</v>
      </c>
      <c r="C1109">
        <v>4</v>
      </c>
      <c r="F1109" s="898" t="str">
        <f ca="1">Actions!M5</f>
        <v>-</v>
      </c>
    </row>
    <row r="1110" spans="1:6">
      <c r="A1110" t="s">
        <v>2813</v>
      </c>
      <c r="B1110" t="s">
        <v>2817</v>
      </c>
      <c r="C1110">
        <v>5</v>
      </c>
      <c r="F1110" s="898" t="str">
        <f ca="1">Actions!M6</f>
        <v>-</v>
      </c>
    </row>
    <row r="1111" spans="1:6">
      <c r="A1111" t="s">
        <v>2813</v>
      </c>
      <c r="B1111" t="s">
        <v>2817</v>
      </c>
      <c r="C1111">
        <v>6</v>
      </c>
      <c r="F1111" s="898" t="str">
        <f ca="1">Actions!M7</f>
        <v>-</v>
      </c>
    </row>
    <row r="1112" spans="1:6">
      <c r="A1112" t="s">
        <v>2813</v>
      </c>
      <c r="B1112" t="s">
        <v>2817</v>
      </c>
      <c r="C1112">
        <v>7</v>
      </c>
      <c r="F1112" s="898" t="str">
        <f ca="1">Actions!M8</f>
        <v>-</v>
      </c>
    </row>
    <row r="1113" spans="1:6">
      <c r="A1113" t="s">
        <v>2813</v>
      </c>
      <c r="B1113" t="s">
        <v>2817</v>
      </c>
      <c r="C1113">
        <v>8</v>
      </c>
      <c r="F1113" s="898" t="str">
        <f ca="1">Actions!M9</f>
        <v>-</v>
      </c>
    </row>
    <row r="1114" spans="1:6">
      <c r="A1114" t="s">
        <v>2813</v>
      </c>
      <c r="B1114" t="s">
        <v>2817</v>
      </c>
      <c r="C1114">
        <v>9</v>
      </c>
      <c r="F1114" s="898" t="str">
        <f ca="1">Actions!M10</f>
        <v>-</v>
      </c>
    </row>
    <row r="1115" spans="1:6">
      <c r="A1115" t="s">
        <v>2813</v>
      </c>
      <c r="B1115" t="s">
        <v>2817</v>
      </c>
      <c r="C1115">
        <v>10</v>
      </c>
      <c r="F1115" s="898" t="str">
        <f ca="1">Actions!M11</f>
        <v>-</v>
      </c>
    </row>
    <row r="1116" spans="1:6">
      <c r="A1116" t="s">
        <v>2813</v>
      </c>
      <c r="B1116" t="s">
        <v>2817</v>
      </c>
      <c r="C1116">
        <v>11</v>
      </c>
      <c r="F1116" s="898" t="str">
        <f ca="1">Actions!M12</f>
        <v>-</v>
      </c>
    </row>
    <row r="1117" spans="1:6">
      <c r="A1117" t="s">
        <v>2813</v>
      </c>
      <c r="B1117" t="s">
        <v>2817</v>
      </c>
      <c r="C1117">
        <v>12</v>
      </c>
      <c r="F1117" s="898" t="str">
        <f ca="1">Actions!M13</f>
        <v>-</v>
      </c>
    </row>
    <row r="1118" spans="1:6">
      <c r="A1118" t="s">
        <v>2813</v>
      </c>
      <c r="B1118" t="s">
        <v>2817</v>
      </c>
      <c r="C1118">
        <v>13</v>
      </c>
      <c r="F1118" s="898" t="str">
        <f ca="1">Actions!M14</f>
        <v>-</v>
      </c>
    </row>
    <row r="1119" spans="1:6">
      <c r="A1119" t="s">
        <v>2813</v>
      </c>
      <c r="B1119" t="s">
        <v>2817</v>
      </c>
      <c r="C1119">
        <v>14</v>
      </c>
      <c r="F1119" s="898" t="str">
        <f ca="1">Actions!M15</f>
        <v>-</v>
      </c>
    </row>
    <row r="1120" spans="1:6">
      <c r="A1120" t="s">
        <v>2813</v>
      </c>
      <c r="B1120" t="s">
        <v>2817</v>
      </c>
      <c r="C1120">
        <v>15</v>
      </c>
      <c r="F1120" s="898" t="str">
        <f ca="1">Actions!M16</f>
        <v>-</v>
      </c>
    </row>
    <row r="1121" spans="1:6">
      <c r="A1121" t="s">
        <v>2813</v>
      </c>
      <c r="B1121" t="s">
        <v>2817</v>
      </c>
      <c r="C1121">
        <v>16</v>
      </c>
      <c r="F1121" s="898" t="str">
        <f ca="1">Actions!M17</f>
        <v>-</v>
      </c>
    </row>
    <row r="1122" spans="1:6">
      <c r="A1122" t="s">
        <v>2813</v>
      </c>
      <c r="B1122" t="s">
        <v>2817</v>
      </c>
      <c r="C1122">
        <v>17</v>
      </c>
      <c r="F1122" s="898" t="str">
        <f ca="1">Actions!M18</f>
        <v>-</v>
      </c>
    </row>
    <row r="1123" spans="1:6">
      <c r="A1123" t="s">
        <v>2813</v>
      </c>
      <c r="B1123" t="s">
        <v>2817</v>
      </c>
      <c r="C1123">
        <v>18</v>
      </c>
      <c r="F1123" s="898" t="str">
        <f ca="1">Actions!M19</f>
        <v>-</v>
      </c>
    </row>
    <row r="1124" spans="1:6">
      <c r="A1124" t="s">
        <v>2813</v>
      </c>
      <c r="B1124" t="s">
        <v>2817</v>
      </c>
      <c r="C1124">
        <v>19</v>
      </c>
      <c r="F1124" s="898" t="str">
        <f ca="1">Actions!M20</f>
        <v>-</v>
      </c>
    </row>
    <row r="1125" spans="1:6">
      <c r="A1125" t="s">
        <v>2813</v>
      </c>
      <c r="B1125" t="s">
        <v>2817</v>
      </c>
      <c r="C1125">
        <v>20</v>
      </c>
      <c r="F1125" s="898" t="str">
        <f ca="1">Actions!M21</f>
        <v>-</v>
      </c>
    </row>
    <row r="1126" spans="1:6">
      <c r="A1126" t="s">
        <v>2813</v>
      </c>
      <c r="B1126" t="s">
        <v>2817</v>
      </c>
      <c r="C1126">
        <v>21</v>
      </c>
      <c r="F1126" s="898" t="str">
        <f ca="1">Actions!M22</f>
        <v>-</v>
      </c>
    </row>
    <row r="1127" spans="1:6">
      <c r="A1127" t="s">
        <v>2813</v>
      </c>
      <c r="B1127" t="s">
        <v>2817</v>
      </c>
      <c r="C1127">
        <v>22</v>
      </c>
      <c r="F1127" s="898" t="str">
        <f ca="1">Actions!M23</f>
        <v>-</v>
      </c>
    </row>
    <row r="1128" spans="1:6">
      <c r="A1128" t="s">
        <v>2813</v>
      </c>
      <c r="B1128" t="s">
        <v>2817</v>
      </c>
      <c r="C1128">
        <v>23</v>
      </c>
      <c r="F1128" s="898" t="str">
        <f ca="1">Actions!M24</f>
        <v>-</v>
      </c>
    </row>
    <row r="1129" spans="1:6">
      <c r="A1129" t="s">
        <v>2813</v>
      </c>
      <c r="B1129" t="s">
        <v>2817</v>
      </c>
      <c r="C1129">
        <v>24</v>
      </c>
      <c r="F1129" s="898" t="str">
        <f ca="1">Actions!M25</f>
        <v>-</v>
      </c>
    </row>
    <row r="1130" spans="1:6">
      <c r="A1130" t="s">
        <v>2813</v>
      </c>
      <c r="B1130" t="s">
        <v>2817</v>
      </c>
      <c r="C1130">
        <v>25</v>
      </c>
      <c r="F1130" s="898" t="str">
        <f ca="1">Actions!M26</f>
        <v>-</v>
      </c>
    </row>
    <row r="1131" spans="1:6">
      <c r="A1131" t="s">
        <v>2813</v>
      </c>
      <c r="B1131" t="s">
        <v>2817</v>
      </c>
      <c r="C1131">
        <v>26</v>
      </c>
      <c r="F1131" s="898" t="str">
        <f ca="1">Actions!M27</f>
        <v>-</v>
      </c>
    </row>
    <row r="1132" spans="1:6">
      <c r="A1132" t="s">
        <v>2813</v>
      </c>
      <c r="B1132" t="s">
        <v>2817</v>
      </c>
      <c r="C1132">
        <v>27</v>
      </c>
      <c r="F1132" s="898" t="str">
        <f ca="1">Actions!M28</f>
        <v>-</v>
      </c>
    </row>
    <row r="1133" spans="1:6">
      <c r="A1133" t="s">
        <v>2813</v>
      </c>
      <c r="B1133" t="s">
        <v>2817</v>
      </c>
      <c r="C1133">
        <v>28</v>
      </c>
      <c r="F1133" s="898" t="str">
        <f ca="1">Actions!M29</f>
        <v>-</v>
      </c>
    </row>
    <row r="1134" spans="1:6">
      <c r="A1134" t="s">
        <v>2813</v>
      </c>
      <c r="B1134" t="s">
        <v>2817</v>
      </c>
      <c r="C1134">
        <v>29</v>
      </c>
      <c r="F1134" s="898" t="str">
        <f ca="1">Actions!M30</f>
        <v>-</v>
      </c>
    </row>
    <row r="1135" spans="1:6">
      <c r="A1135" t="s">
        <v>2813</v>
      </c>
      <c r="B1135" t="s">
        <v>2817</v>
      </c>
      <c r="C1135">
        <v>30</v>
      </c>
      <c r="F1135" s="898" t="str">
        <f ca="1">Actions!M31</f>
        <v>-</v>
      </c>
    </row>
    <row r="1136" spans="1:6">
      <c r="A1136" t="s">
        <v>2813</v>
      </c>
      <c r="B1136" t="s">
        <v>2817</v>
      </c>
      <c r="C1136">
        <v>31</v>
      </c>
      <c r="F1136" s="898" t="str">
        <f ca="1">Actions!M32</f>
        <v>-</v>
      </c>
    </row>
    <row r="1137" spans="1:6">
      <c r="A1137" t="s">
        <v>2813</v>
      </c>
      <c r="B1137" t="s">
        <v>2817</v>
      </c>
      <c r="C1137">
        <v>32</v>
      </c>
      <c r="F1137" s="898" t="str">
        <f ca="1">Actions!M33</f>
        <v>-</v>
      </c>
    </row>
    <row r="1138" spans="1:6">
      <c r="A1138" t="s">
        <v>2813</v>
      </c>
      <c r="B1138" t="s">
        <v>2817</v>
      </c>
      <c r="C1138">
        <v>33</v>
      </c>
      <c r="F1138" s="898" t="str">
        <f ca="1">Actions!M34</f>
        <v>-</v>
      </c>
    </row>
    <row r="1139" spans="1:6">
      <c r="A1139" t="s">
        <v>2813</v>
      </c>
      <c r="B1139" t="s">
        <v>2817</v>
      </c>
      <c r="C1139">
        <v>34</v>
      </c>
      <c r="F1139" s="898" t="str">
        <f ca="1">Actions!M35</f>
        <v>-</v>
      </c>
    </row>
    <row r="1140" spans="1:6">
      <c r="A1140" t="s">
        <v>2813</v>
      </c>
      <c r="B1140" t="s">
        <v>2817</v>
      </c>
      <c r="C1140">
        <v>35</v>
      </c>
      <c r="F1140" s="898" t="str">
        <f ca="1">Actions!M36</f>
        <v>-</v>
      </c>
    </row>
    <row r="1141" spans="1:6">
      <c r="A1141" t="s">
        <v>2813</v>
      </c>
      <c r="B1141" t="s">
        <v>2817</v>
      </c>
      <c r="C1141">
        <v>36</v>
      </c>
      <c r="F1141" s="898" t="str">
        <f ca="1">Actions!M37</f>
        <v>-</v>
      </c>
    </row>
    <row r="1142" spans="1:6">
      <c r="A1142" t="s">
        <v>2813</v>
      </c>
      <c r="B1142" t="s">
        <v>2817</v>
      </c>
      <c r="C1142">
        <v>37</v>
      </c>
      <c r="F1142" s="898" t="str">
        <f ca="1">Actions!M38</f>
        <v>-</v>
      </c>
    </row>
    <row r="1143" spans="1:6">
      <c r="A1143" t="s">
        <v>2813</v>
      </c>
      <c r="B1143" t="s">
        <v>2817</v>
      </c>
      <c r="C1143">
        <v>38</v>
      </c>
      <c r="F1143" s="898" t="str">
        <f ca="1">Actions!M39</f>
        <v>-</v>
      </c>
    </row>
    <row r="1144" spans="1:6">
      <c r="A1144" t="s">
        <v>2813</v>
      </c>
      <c r="B1144" t="s">
        <v>2817</v>
      </c>
      <c r="C1144">
        <v>39</v>
      </c>
      <c r="F1144" s="898" t="str">
        <f ca="1">Actions!M40</f>
        <v>-</v>
      </c>
    </row>
    <row r="1145" spans="1:6">
      <c r="A1145" t="s">
        <v>2813</v>
      </c>
      <c r="B1145" t="s">
        <v>2817</v>
      </c>
      <c r="C1145">
        <v>40</v>
      </c>
      <c r="F1145" s="898" t="str">
        <f ca="1">Actions!M41</f>
        <v>-</v>
      </c>
    </row>
    <row r="1146" spans="1:6">
      <c r="A1146" t="s">
        <v>2813</v>
      </c>
      <c r="B1146" t="s">
        <v>2817</v>
      </c>
      <c r="C1146">
        <v>41</v>
      </c>
      <c r="F1146" s="898" t="str">
        <f ca="1">Actions!M42</f>
        <v>-</v>
      </c>
    </row>
    <row r="1147" spans="1:6">
      <c r="A1147" t="s">
        <v>2813</v>
      </c>
      <c r="B1147" t="s">
        <v>2817</v>
      </c>
      <c r="C1147">
        <v>42</v>
      </c>
      <c r="F1147" s="898" t="str">
        <f ca="1">Actions!M43</f>
        <v>-</v>
      </c>
    </row>
    <row r="1148" spans="1:6">
      <c r="A1148" t="s">
        <v>2813</v>
      </c>
      <c r="B1148" t="s">
        <v>2817</v>
      </c>
      <c r="C1148">
        <v>43</v>
      </c>
      <c r="F1148" s="898" t="str">
        <f ca="1">Actions!M44</f>
        <v>-</v>
      </c>
    </row>
    <row r="1149" spans="1:6">
      <c r="A1149" t="s">
        <v>2813</v>
      </c>
      <c r="B1149" t="s">
        <v>2817</v>
      </c>
      <c r="C1149">
        <v>44</v>
      </c>
      <c r="F1149" s="898" t="str">
        <f ca="1">Actions!M45</f>
        <v>-</v>
      </c>
    </row>
    <row r="1150" spans="1:6">
      <c r="A1150" t="s">
        <v>2813</v>
      </c>
      <c r="B1150" t="s">
        <v>2817</v>
      </c>
      <c r="C1150">
        <v>45</v>
      </c>
      <c r="F1150" s="898" t="str">
        <f ca="1">Actions!M46</f>
        <v>-</v>
      </c>
    </row>
    <row r="1151" spans="1:6">
      <c r="A1151" t="s">
        <v>2813</v>
      </c>
      <c r="B1151" t="s">
        <v>2820</v>
      </c>
      <c r="C1151">
        <v>1</v>
      </c>
      <c r="F1151" s="898">
        <f ca="1">Actions!N2</f>
        <v>0</v>
      </c>
    </row>
    <row r="1152" spans="1:6">
      <c r="A1152" t="s">
        <v>2813</v>
      </c>
      <c r="B1152" t="s">
        <v>2820</v>
      </c>
      <c r="C1152">
        <v>2</v>
      </c>
      <c r="F1152" s="898">
        <f ca="1">Actions!N3</f>
        <v>0</v>
      </c>
    </row>
    <row r="1153" spans="1:6">
      <c r="A1153" t="s">
        <v>2813</v>
      </c>
      <c r="B1153" t="s">
        <v>2820</v>
      </c>
      <c r="C1153">
        <v>3</v>
      </c>
      <c r="F1153" s="898">
        <f ca="1">Actions!N4</f>
        <v>0</v>
      </c>
    </row>
    <row r="1154" spans="1:6">
      <c r="A1154" t="s">
        <v>2813</v>
      </c>
      <c r="B1154" t="s">
        <v>2820</v>
      </c>
      <c r="C1154">
        <v>4</v>
      </c>
      <c r="F1154" s="898">
        <f ca="1">Actions!N5</f>
        <v>0</v>
      </c>
    </row>
    <row r="1155" spans="1:6">
      <c r="A1155" t="s">
        <v>2813</v>
      </c>
      <c r="B1155" t="s">
        <v>2820</v>
      </c>
      <c r="C1155">
        <v>5</v>
      </c>
      <c r="F1155" s="898">
        <f ca="1">Actions!N6</f>
        <v>0</v>
      </c>
    </row>
    <row r="1156" spans="1:6">
      <c r="A1156" t="s">
        <v>2813</v>
      </c>
      <c r="B1156" t="s">
        <v>2820</v>
      </c>
      <c r="C1156">
        <v>6</v>
      </c>
      <c r="F1156" s="898">
        <f ca="1">Actions!N7</f>
        <v>0</v>
      </c>
    </row>
    <row r="1157" spans="1:6">
      <c r="A1157" t="s">
        <v>2813</v>
      </c>
      <c r="B1157" t="s">
        <v>2820</v>
      </c>
      <c r="C1157">
        <v>7</v>
      </c>
      <c r="F1157" s="898">
        <f ca="1">Actions!N8</f>
        <v>0</v>
      </c>
    </row>
    <row r="1158" spans="1:6">
      <c r="A1158" t="s">
        <v>2813</v>
      </c>
      <c r="B1158" t="s">
        <v>2820</v>
      </c>
      <c r="C1158">
        <v>8</v>
      </c>
      <c r="F1158" s="898">
        <f ca="1">Actions!N9</f>
        <v>0</v>
      </c>
    </row>
    <row r="1159" spans="1:6">
      <c r="A1159" t="s">
        <v>2813</v>
      </c>
      <c r="B1159" t="s">
        <v>2820</v>
      </c>
      <c r="C1159">
        <v>9</v>
      </c>
      <c r="F1159" s="898">
        <f ca="1">Actions!N10</f>
        <v>0</v>
      </c>
    </row>
    <row r="1160" spans="1:6">
      <c r="A1160" t="s">
        <v>2813</v>
      </c>
      <c r="B1160" t="s">
        <v>2820</v>
      </c>
      <c r="C1160">
        <v>10</v>
      </c>
      <c r="F1160" s="898">
        <f ca="1">Actions!N11</f>
        <v>0</v>
      </c>
    </row>
    <row r="1161" spans="1:6">
      <c r="A1161" t="s">
        <v>2813</v>
      </c>
      <c r="B1161" t="s">
        <v>2820</v>
      </c>
      <c r="C1161">
        <v>11</v>
      </c>
      <c r="F1161" s="898">
        <f ca="1">Actions!N12</f>
        <v>0</v>
      </c>
    </row>
    <row r="1162" spans="1:6">
      <c r="A1162" t="s">
        <v>2813</v>
      </c>
      <c r="B1162" t="s">
        <v>2820</v>
      </c>
      <c r="C1162">
        <v>12</v>
      </c>
      <c r="F1162" s="898">
        <f ca="1">Actions!N13</f>
        <v>0</v>
      </c>
    </row>
    <row r="1163" spans="1:6">
      <c r="A1163" t="s">
        <v>2813</v>
      </c>
      <c r="B1163" t="s">
        <v>2820</v>
      </c>
      <c r="C1163">
        <v>13</v>
      </c>
      <c r="F1163" s="898">
        <f ca="1">Actions!N14</f>
        <v>0</v>
      </c>
    </row>
    <row r="1164" spans="1:6">
      <c r="A1164" t="s">
        <v>2813</v>
      </c>
      <c r="B1164" t="s">
        <v>2820</v>
      </c>
      <c r="C1164">
        <v>14</v>
      </c>
      <c r="F1164" s="898">
        <f ca="1">Actions!N15</f>
        <v>0</v>
      </c>
    </row>
    <row r="1165" spans="1:6">
      <c r="A1165" t="s">
        <v>2813</v>
      </c>
      <c r="B1165" t="s">
        <v>2820</v>
      </c>
      <c r="C1165">
        <v>15</v>
      </c>
      <c r="F1165" s="898">
        <f ca="1">Actions!N16</f>
        <v>0</v>
      </c>
    </row>
    <row r="1166" spans="1:6">
      <c r="A1166" t="s">
        <v>2813</v>
      </c>
      <c r="B1166" t="s">
        <v>2820</v>
      </c>
      <c r="C1166">
        <v>16</v>
      </c>
      <c r="F1166" s="898">
        <f ca="1">Actions!N17</f>
        <v>0</v>
      </c>
    </row>
    <row r="1167" spans="1:6">
      <c r="A1167" t="s">
        <v>2813</v>
      </c>
      <c r="B1167" t="s">
        <v>2820</v>
      </c>
      <c r="C1167">
        <v>17</v>
      </c>
      <c r="F1167" s="898">
        <f ca="1">Actions!N18</f>
        <v>0</v>
      </c>
    </row>
    <row r="1168" spans="1:6">
      <c r="A1168" t="s">
        <v>2813</v>
      </c>
      <c r="B1168" t="s">
        <v>2820</v>
      </c>
      <c r="C1168">
        <v>18</v>
      </c>
      <c r="F1168" s="898">
        <f ca="1">Actions!N19</f>
        <v>0</v>
      </c>
    </row>
    <row r="1169" spans="1:6">
      <c r="A1169" t="s">
        <v>2813</v>
      </c>
      <c r="B1169" t="s">
        <v>2820</v>
      </c>
      <c r="C1169">
        <v>19</v>
      </c>
      <c r="F1169" s="898">
        <f ca="1">Actions!N20</f>
        <v>0</v>
      </c>
    </row>
    <row r="1170" spans="1:6">
      <c r="A1170" t="s">
        <v>2813</v>
      </c>
      <c r="B1170" t="s">
        <v>2820</v>
      </c>
      <c r="C1170">
        <v>20</v>
      </c>
      <c r="F1170" s="898">
        <f ca="1">Actions!N21</f>
        <v>0</v>
      </c>
    </row>
    <row r="1171" spans="1:6">
      <c r="A1171" t="s">
        <v>2813</v>
      </c>
      <c r="B1171" t="s">
        <v>2820</v>
      </c>
      <c r="C1171">
        <v>21</v>
      </c>
      <c r="F1171" s="898">
        <f ca="1">Actions!N22</f>
        <v>0</v>
      </c>
    </row>
    <row r="1172" spans="1:6">
      <c r="A1172" t="s">
        <v>2813</v>
      </c>
      <c r="B1172" t="s">
        <v>2820</v>
      </c>
      <c r="C1172">
        <v>22</v>
      </c>
      <c r="F1172" s="898">
        <f ca="1">Actions!N23</f>
        <v>0</v>
      </c>
    </row>
    <row r="1173" spans="1:6">
      <c r="A1173" t="s">
        <v>2813</v>
      </c>
      <c r="B1173" t="s">
        <v>2820</v>
      </c>
      <c r="C1173">
        <v>23</v>
      </c>
      <c r="F1173" s="898">
        <f ca="1">Actions!N24</f>
        <v>0</v>
      </c>
    </row>
    <row r="1174" spans="1:6">
      <c r="A1174" t="s">
        <v>2813</v>
      </c>
      <c r="B1174" t="s">
        <v>2820</v>
      </c>
      <c r="C1174">
        <v>24</v>
      </c>
      <c r="F1174" s="898">
        <f ca="1">Actions!N25</f>
        <v>0</v>
      </c>
    </row>
    <row r="1175" spans="1:6">
      <c r="A1175" t="s">
        <v>2813</v>
      </c>
      <c r="B1175" t="s">
        <v>2820</v>
      </c>
      <c r="C1175">
        <v>25</v>
      </c>
      <c r="F1175" s="898">
        <f ca="1">Actions!N26</f>
        <v>0</v>
      </c>
    </row>
    <row r="1176" spans="1:6">
      <c r="A1176" t="s">
        <v>2813</v>
      </c>
      <c r="B1176" t="s">
        <v>2820</v>
      </c>
      <c r="C1176">
        <v>26</v>
      </c>
      <c r="F1176" s="898">
        <f ca="1">Actions!N27</f>
        <v>0</v>
      </c>
    </row>
    <row r="1177" spans="1:6">
      <c r="A1177" t="s">
        <v>2813</v>
      </c>
      <c r="B1177" t="s">
        <v>2820</v>
      </c>
      <c r="C1177">
        <v>27</v>
      </c>
      <c r="F1177" s="898">
        <f ca="1">Actions!N28</f>
        <v>0</v>
      </c>
    </row>
    <row r="1178" spans="1:6">
      <c r="A1178" t="s">
        <v>2813</v>
      </c>
      <c r="B1178" t="s">
        <v>2820</v>
      </c>
      <c r="C1178">
        <v>28</v>
      </c>
      <c r="F1178" s="898">
        <f ca="1">Actions!N29</f>
        <v>0</v>
      </c>
    </row>
    <row r="1179" spans="1:6">
      <c r="A1179" t="s">
        <v>2813</v>
      </c>
      <c r="B1179" t="s">
        <v>2820</v>
      </c>
      <c r="C1179">
        <v>29</v>
      </c>
      <c r="F1179" s="898">
        <f ca="1">Actions!N30</f>
        <v>0</v>
      </c>
    </row>
    <row r="1180" spans="1:6">
      <c r="A1180" t="s">
        <v>2813</v>
      </c>
      <c r="B1180" t="s">
        <v>2820</v>
      </c>
      <c r="C1180">
        <v>30</v>
      </c>
      <c r="F1180" s="898">
        <f ca="1">Actions!N31</f>
        <v>0</v>
      </c>
    </row>
    <row r="1181" spans="1:6">
      <c r="A1181" t="s">
        <v>2813</v>
      </c>
      <c r="B1181" t="s">
        <v>2820</v>
      </c>
      <c r="C1181">
        <v>31</v>
      </c>
      <c r="F1181" s="898">
        <f ca="1">Actions!N32</f>
        <v>0</v>
      </c>
    </row>
    <row r="1182" spans="1:6">
      <c r="A1182" t="s">
        <v>2813</v>
      </c>
      <c r="B1182" t="s">
        <v>2820</v>
      </c>
      <c r="C1182">
        <v>32</v>
      </c>
      <c r="F1182" s="898">
        <f ca="1">Actions!N33</f>
        <v>0</v>
      </c>
    </row>
    <row r="1183" spans="1:6">
      <c r="A1183" t="s">
        <v>2813</v>
      </c>
      <c r="B1183" t="s">
        <v>2820</v>
      </c>
      <c r="C1183">
        <v>33</v>
      </c>
      <c r="F1183" s="898">
        <f ca="1">Actions!N34</f>
        <v>0</v>
      </c>
    </row>
    <row r="1184" spans="1:6">
      <c r="A1184" t="s">
        <v>2813</v>
      </c>
      <c r="B1184" t="s">
        <v>2820</v>
      </c>
      <c r="C1184">
        <v>34</v>
      </c>
      <c r="F1184" s="898">
        <f ca="1">Actions!N35</f>
        <v>0</v>
      </c>
    </row>
    <row r="1185" spans="1:6">
      <c r="A1185" t="s">
        <v>2813</v>
      </c>
      <c r="B1185" t="s">
        <v>2820</v>
      </c>
      <c r="C1185">
        <v>35</v>
      </c>
      <c r="F1185" s="898">
        <f ca="1">Actions!N36</f>
        <v>0</v>
      </c>
    </row>
    <row r="1186" spans="1:6">
      <c r="A1186" t="s">
        <v>2813</v>
      </c>
      <c r="B1186" t="s">
        <v>2820</v>
      </c>
      <c r="C1186">
        <v>36</v>
      </c>
      <c r="F1186" s="898">
        <f ca="1">Actions!N37</f>
        <v>0</v>
      </c>
    </row>
    <row r="1187" spans="1:6">
      <c r="A1187" t="s">
        <v>2813</v>
      </c>
      <c r="B1187" t="s">
        <v>2820</v>
      </c>
      <c r="C1187">
        <v>37</v>
      </c>
      <c r="F1187" s="898">
        <f ca="1">Actions!N38</f>
        <v>0</v>
      </c>
    </row>
    <row r="1188" spans="1:6">
      <c r="A1188" t="s">
        <v>2813</v>
      </c>
      <c r="B1188" t="s">
        <v>2820</v>
      </c>
      <c r="C1188">
        <v>38</v>
      </c>
      <c r="F1188" s="898">
        <f ca="1">Actions!N39</f>
        <v>0</v>
      </c>
    </row>
    <row r="1189" spans="1:6">
      <c r="A1189" t="s">
        <v>2813</v>
      </c>
      <c r="B1189" t="s">
        <v>2820</v>
      </c>
      <c r="C1189">
        <v>39</v>
      </c>
      <c r="F1189" s="898">
        <f ca="1">Actions!N40</f>
        <v>0</v>
      </c>
    </row>
    <row r="1190" spans="1:6">
      <c r="A1190" t="s">
        <v>2813</v>
      </c>
      <c r="B1190" t="s">
        <v>2820</v>
      </c>
      <c r="C1190">
        <v>40</v>
      </c>
      <c r="F1190" s="898">
        <f ca="1">Actions!N41</f>
        <v>0</v>
      </c>
    </row>
    <row r="1191" spans="1:6">
      <c r="A1191" t="s">
        <v>2813</v>
      </c>
      <c r="B1191" t="s">
        <v>2820</v>
      </c>
      <c r="C1191">
        <v>41</v>
      </c>
      <c r="F1191" s="898">
        <f ca="1">Actions!N42</f>
        <v>0</v>
      </c>
    </row>
    <row r="1192" spans="1:6">
      <c r="A1192" t="s">
        <v>2813</v>
      </c>
      <c r="B1192" t="s">
        <v>2820</v>
      </c>
      <c r="C1192">
        <v>42</v>
      </c>
      <c r="F1192" s="898">
        <f ca="1">Actions!N43</f>
        <v>0</v>
      </c>
    </row>
    <row r="1193" spans="1:6">
      <c r="A1193" t="s">
        <v>2813</v>
      </c>
      <c r="B1193" t="s">
        <v>2820</v>
      </c>
      <c r="C1193">
        <v>43</v>
      </c>
      <c r="F1193" s="898">
        <f ca="1">Actions!N44</f>
        <v>0</v>
      </c>
    </row>
    <row r="1194" spans="1:6">
      <c r="A1194" t="s">
        <v>2813</v>
      </c>
      <c r="B1194" t="s">
        <v>2820</v>
      </c>
      <c r="C1194">
        <v>44</v>
      </c>
      <c r="F1194" s="898">
        <f ca="1">Actions!N45</f>
        <v>0</v>
      </c>
    </row>
    <row r="1195" spans="1:6">
      <c r="A1195" t="s">
        <v>2813</v>
      </c>
      <c r="B1195" t="s">
        <v>2820</v>
      </c>
      <c r="C1195">
        <v>45</v>
      </c>
      <c r="F1195" s="898">
        <f ca="1">Actions!N46</f>
        <v>0</v>
      </c>
    </row>
    <row r="1196" spans="1:6">
      <c r="A1196" t="s">
        <v>2813</v>
      </c>
      <c r="B1196" t="s">
        <v>719</v>
      </c>
      <c r="C1196">
        <v>1</v>
      </c>
      <c r="F1196" s="898">
        <f ca="1">Actions!O2</f>
        <v>0</v>
      </c>
    </row>
    <row r="1197" spans="1:6">
      <c r="A1197" t="s">
        <v>2813</v>
      </c>
      <c r="B1197" t="s">
        <v>719</v>
      </c>
      <c r="C1197">
        <v>2</v>
      </c>
      <c r="F1197" s="898">
        <f ca="1">Actions!O3</f>
        <v>0</v>
      </c>
    </row>
    <row r="1198" spans="1:6">
      <c r="A1198" t="s">
        <v>2813</v>
      </c>
      <c r="B1198" t="s">
        <v>719</v>
      </c>
      <c r="C1198">
        <v>3</v>
      </c>
      <c r="F1198" s="898">
        <f ca="1">Actions!O4</f>
        <v>0</v>
      </c>
    </row>
    <row r="1199" spans="1:6">
      <c r="A1199" t="s">
        <v>2813</v>
      </c>
      <c r="B1199" t="s">
        <v>719</v>
      </c>
      <c r="C1199">
        <v>4</v>
      </c>
      <c r="F1199" s="898">
        <f ca="1">Actions!O5</f>
        <v>0</v>
      </c>
    </row>
    <row r="1200" spans="1:6">
      <c r="A1200" t="s">
        <v>2813</v>
      </c>
      <c r="B1200" t="s">
        <v>719</v>
      </c>
      <c r="C1200">
        <v>5</v>
      </c>
      <c r="F1200" s="898">
        <f ca="1">Actions!O6</f>
        <v>0</v>
      </c>
    </row>
    <row r="1201" spans="1:6">
      <c r="A1201" t="s">
        <v>2813</v>
      </c>
      <c r="B1201" t="s">
        <v>719</v>
      </c>
      <c r="C1201">
        <v>6</v>
      </c>
      <c r="F1201" s="898">
        <f ca="1">Actions!O7</f>
        <v>0</v>
      </c>
    </row>
    <row r="1202" spans="1:6">
      <c r="A1202" t="s">
        <v>2813</v>
      </c>
      <c r="B1202" t="s">
        <v>719</v>
      </c>
      <c r="C1202">
        <v>7</v>
      </c>
      <c r="F1202" s="898">
        <f ca="1">Actions!O8</f>
        <v>0</v>
      </c>
    </row>
    <row r="1203" spans="1:6">
      <c r="A1203" t="s">
        <v>2813</v>
      </c>
      <c r="B1203" t="s">
        <v>719</v>
      </c>
      <c r="C1203">
        <v>8</v>
      </c>
      <c r="F1203" s="898">
        <f ca="1">Actions!O9</f>
        <v>0</v>
      </c>
    </row>
    <row r="1204" spans="1:6">
      <c r="A1204" t="s">
        <v>2813</v>
      </c>
      <c r="B1204" t="s">
        <v>719</v>
      </c>
      <c r="C1204">
        <v>9</v>
      </c>
      <c r="F1204" s="898">
        <f ca="1">Actions!O10</f>
        <v>0</v>
      </c>
    </row>
    <row r="1205" spans="1:6">
      <c r="A1205" t="s">
        <v>2813</v>
      </c>
      <c r="B1205" t="s">
        <v>719</v>
      </c>
      <c r="C1205">
        <v>10</v>
      </c>
      <c r="F1205" s="898">
        <f ca="1">Actions!O11</f>
        <v>0</v>
      </c>
    </row>
    <row r="1206" spans="1:6">
      <c r="A1206" t="s">
        <v>2813</v>
      </c>
      <c r="B1206" t="s">
        <v>719</v>
      </c>
      <c r="C1206">
        <v>11</v>
      </c>
      <c r="F1206" s="898">
        <f ca="1">Actions!O12</f>
        <v>0</v>
      </c>
    </row>
    <row r="1207" spans="1:6">
      <c r="A1207" t="s">
        <v>2813</v>
      </c>
      <c r="B1207" t="s">
        <v>719</v>
      </c>
      <c r="C1207">
        <v>12</v>
      </c>
      <c r="F1207" s="898">
        <f ca="1">Actions!O13</f>
        <v>0</v>
      </c>
    </row>
    <row r="1208" spans="1:6">
      <c r="A1208" t="s">
        <v>2813</v>
      </c>
      <c r="B1208" t="s">
        <v>719</v>
      </c>
      <c r="C1208">
        <v>13</v>
      </c>
      <c r="F1208" s="898">
        <f ca="1">Actions!O14</f>
        <v>0</v>
      </c>
    </row>
    <row r="1209" spans="1:6">
      <c r="A1209" t="s">
        <v>2813</v>
      </c>
      <c r="B1209" t="s">
        <v>719</v>
      </c>
      <c r="C1209">
        <v>14</v>
      </c>
      <c r="F1209" s="898">
        <f ca="1">Actions!O15</f>
        <v>0</v>
      </c>
    </row>
    <row r="1210" spans="1:6">
      <c r="A1210" t="s">
        <v>2813</v>
      </c>
      <c r="B1210" t="s">
        <v>719</v>
      </c>
      <c r="C1210">
        <v>15</v>
      </c>
      <c r="F1210" s="898">
        <f ca="1">Actions!O16</f>
        <v>0</v>
      </c>
    </row>
    <row r="1211" spans="1:6">
      <c r="A1211" t="s">
        <v>2813</v>
      </c>
      <c r="B1211" t="s">
        <v>719</v>
      </c>
      <c r="C1211">
        <v>16</v>
      </c>
      <c r="F1211" s="898">
        <f ca="1">Actions!O17</f>
        <v>0</v>
      </c>
    </row>
    <row r="1212" spans="1:6">
      <c r="A1212" t="s">
        <v>2813</v>
      </c>
      <c r="B1212" t="s">
        <v>719</v>
      </c>
      <c r="C1212">
        <v>17</v>
      </c>
      <c r="F1212" s="898">
        <f ca="1">Actions!O18</f>
        <v>0</v>
      </c>
    </row>
    <row r="1213" spans="1:6">
      <c r="A1213" t="s">
        <v>2813</v>
      </c>
      <c r="B1213" t="s">
        <v>719</v>
      </c>
      <c r="C1213">
        <v>18</v>
      </c>
      <c r="F1213" s="898">
        <f ca="1">Actions!O19</f>
        <v>0</v>
      </c>
    </row>
    <row r="1214" spans="1:6">
      <c r="A1214" t="s">
        <v>2813</v>
      </c>
      <c r="B1214" t="s">
        <v>719</v>
      </c>
      <c r="C1214">
        <v>19</v>
      </c>
      <c r="F1214" s="898">
        <f ca="1">Actions!O20</f>
        <v>0</v>
      </c>
    </row>
    <row r="1215" spans="1:6">
      <c r="A1215" t="s">
        <v>2813</v>
      </c>
      <c r="B1215" t="s">
        <v>719</v>
      </c>
      <c r="C1215">
        <v>20</v>
      </c>
      <c r="F1215" s="898">
        <f ca="1">Actions!O21</f>
        <v>0</v>
      </c>
    </row>
    <row r="1216" spans="1:6">
      <c r="A1216" t="s">
        <v>2813</v>
      </c>
      <c r="B1216" t="s">
        <v>719</v>
      </c>
      <c r="C1216">
        <v>21</v>
      </c>
      <c r="F1216" s="898">
        <f ca="1">Actions!O22</f>
        <v>0</v>
      </c>
    </row>
    <row r="1217" spans="1:6">
      <c r="A1217" t="s">
        <v>2813</v>
      </c>
      <c r="B1217" t="s">
        <v>719</v>
      </c>
      <c r="C1217">
        <v>22</v>
      </c>
      <c r="F1217" s="898">
        <f ca="1">Actions!O23</f>
        <v>0</v>
      </c>
    </row>
    <row r="1218" spans="1:6">
      <c r="A1218" t="s">
        <v>2813</v>
      </c>
      <c r="B1218" t="s">
        <v>719</v>
      </c>
      <c r="C1218">
        <v>23</v>
      </c>
      <c r="F1218" s="898">
        <f ca="1">Actions!O24</f>
        <v>0</v>
      </c>
    </row>
    <row r="1219" spans="1:6">
      <c r="A1219" t="s">
        <v>2813</v>
      </c>
      <c r="B1219" t="s">
        <v>719</v>
      </c>
      <c r="C1219">
        <v>24</v>
      </c>
      <c r="F1219" s="898">
        <f ca="1">Actions!O25</f>
        <v>0</v>
      </c>
    </row>
    <row r="1220" spans="1:6">
      <c r="A1220" t="s">
        <v>2813</v>
      </c>
      <c r="B1220" t="s">
        <v>719</v>
      </c>
      <c r="C1220">
        <v>25</v>
      </c>
      <c r="F1220" s="898">
        <f ca="1">Actions!O26</f>
        <v>0</v>
      </c>
    </row>
    <row r="1221" spans="1:6">
      <c r="A1221" t="s">
        <v>2813</v>
      </c>
      <c r="B1221" t="s">
        <v>719</v>
      </c>
      <c r="C1221">
        <v>26</v>
      </c>
      <c r="F1221" s="898">
        <f ca="1">Actions!O27</f>
        <v>0</v>
      </c>
    </row>
    <row r="1222" spans="1:6">
      <c r="A1222" t="s">
        <v>2813</v>
      </c>
      <c r="B1222" t="s">
        <v>719</v>
      </c>
      <c r="C1222">
        <v>27</v>
      </c>
      <c r="F1222" s="898">
        <f ca="1">Actions!O28</f>
        <v>0</v>
      </c>
    </row>
    <row r="1223" spans="1:6">
      <c r="A1223" t="s">
        <v>2813</v>
      </c>
      <c r="B1223" t="s">
        <v>719</v>
      </c>
      <c r="C1223">
        <v>28</v>
      </c>
      <c r="F1223" s="898">
        <f ca="1">Actions!O29</f>
        <v>0</v>
      </c>
    </row>
    <row r="1224" spans="1:6">
      <c r="A1224" t="s">
        <v>2813</v>
      </c>
      <c r="B1224" t="s">
        <v>719</v>
      </c>
      <c r="C1224">
        <v>29</v>
      </c>
      <c r="F1224" s="898">
        <f ca="1">Actions!O30</f>
        <v>0</v>
      </c>
    </row>
    <row r="1225" spans="1:6">
      <c r="A1225" t="s">
        <v>2813</v>
      </c>
      <c r="B1225" t="s">
        <v>719</v>
      </c>
      <c r="C1225">
        <v>30</v>
      </c>
      <c r="F1225" s="898">
        <f ca="1">Actions!O31</f>
        <v>0</v>
      </c>
    </row>
    <row r="1226" spans="1:6">
      <c r="A1226" t="s">
        <v>2813</v>
      </c>
      <c r="B1226" t="s">
        <v>719</v>
      </c>
      <c r="C1226">
        <v>31</v>
      </c>
      <c r="F1226" s="898">
        <f ca="1">Actions!O32</f>
        <v>0</v>
      </c>
    </row>
    <row r="1227" spans="1:6">
      <c r="A1227" t="s">
        <v>2813</v>
      </c>
      <c r="B1227" t="s">
        <v>719</v>
      </c>
      <c r="C1227">
        <v>32</v>
      </c>
      <c r="F1227" s="898">
        <f ca="1">Actions!O33</f>
        <v>0</v>
      </c>
    </row>
    <row r="1228" spans="1:6">
      <c r="A1228" t="s">
        <v>2813</v>
      </c>
      <c r="B1228" t="s">
        <v>719</v>
      </c>
      <c r="C1228">
        <v>33</v>
      </c>
      <c r="F1228" s="898">
        <f ca="1">Actions!O34</f>
        <v>0</v>
      </c>
    </row>
    <row r="1229" spans="1:6">
      <c r="A1229" t="s">
        <v>2813</v>
      </c>
      <c r="B1229" t="s">
        <v>719</v>
      </c>
      <c r="C1229">
        <v>34</v>
      </c>
      <c r="F1229" s="898">
        <f ca="1">Actions!O35</f>
        <v>0</v>
      </c>
    </row>
    <row r="1230" spans="1:6">
      <c r="A1230" t="s">
        <v>2813</v>
      </c>
      <c r="B1230" t="s">
        <v>719</v>
      </c>
      <c r="C1230">
        <v>35</v>
      </c>
      <c r="F1230" s="898">
        <f ca="1">Actions!O36</f>
        <v>0</v>
      </c>
    </row>
    <row r="1231" spans="1:6">
      <c r="A1231" t="s">
        <v>2813</v>
      </c>
      <c r="B1231" t="s">
        <v>719</v>
      </c>
      <c r="C1231">
        <v>36</v>
      </c>
      <c r="F1231" s="898">
        <f ca="1">Actions!O37</f>
        <v>0</v>
      </c>
    </row>
    <row r="1232" spans="1:6">
      <c r="A1232" t="s">
        <v>2813</v>
      </c>
      <c r="B1232" t="s">
        <v>719</v>
      </c>
      <c r="C1232">
        <v>37</v>
      </c>
      <c r="F1232" s="898">
        <f ca="1">Actions!O38</f>
        <v>0</v>
      </c>
    </row>
    <row r="1233" spans="1:6">
      <c r="A1233" t="s">
        <v>2813</v>
      </c>
      <c r="B1233" t="s">
        <v>719</v>
      </c>
      <c r="C1233">
        <v>38</v>
      </c>
      <c r="F1233" s="898">
        <f ca="1">Actions!O39</f>
        <v>0</v>
      </c>
    </row>
    <row r="1234" spans="1:6">
      <c r="A1234" t="s">
        <v>2813</v>
      </c>
      <c r="B1234" t="s">
        <v>719</v>
      </c>
      <c r="C1234">
        <v>39</v>
      </c>
      <c r="F1234" s="898">
        <f ca="1">Actions!O40</f>
        <v>0</v>
      </c>
    </row>
    <row r="1235" spans="1:6">
      <c r="A1235" t="s">
        <v>2813</v>
      </c>
      <c r="B1235" t="s">
        <v>719</v>
      </c>
      <c r="C1235">
        <v>40</v>
      </c>
      <c r="F1235" s="898">
        <f ca="1">Actions!O41</f>
        <v>0</v>
      </c>
    </row>
    <row r="1236" spans="1:6">
      <c r="A1236" t="s">
        <v>2813</v>
      </c>
      <c r="B1236" t="s">
        <v>719</v>
      </c>
      <c r="C1236">
        <v>41</v>
      </c>
      <c r="F1236" s="898">
        <f ca="1">Actions!O42</f>
        <v>0</v>
      </c>
    </row>
    <row r="1237" spans="1:6">
      <c r="A1237" t="s">
        <v>2813</v>
      </c>
      <c r="B1237" t="s">
        <v>719</v>
      </c>
      <c r="C1237">
        <v>42</v>
      </c>
      <c r="F1237" s="898">
        <f ca="1">Actions!O43</f>
        <v>0</v>
      </c>
    </row>
    <row r="1238" spans="1:6">
      <c r="A1238" t="s">
        <v>2813</v>
      </c>
      <c r="B1238" t="s">
        <v>719</v>
      </c>
      <c r="C1238">
        <v>43</v>
      </c>
      <c r="F1238" s="898">
        <f ca="1">Actions!O44</f>
        <v>0</v>
      </c>
    </row>
    <row r="1239" spans="1:6">
      <c r="A1239" t="s">
        <v>2813</v>
      </c>
      <c r="B1239" t="s">
        <v>719</v>
      </c>
      <c r="C1239">
        <v>44</v>
      </c>
      <c r="F1239" s="898">
        <f ca="1">Actions!O45</f>
        <v>0</v>
      </c>
    </row>
    <row r="1240" spans="1:6">
      <c r="A1240" t="s">
        <v>2813</v>
      </c>
      <c r="B1240" t="s">
        <v>719</v>
      </c>
      <c r="C1240">
        <v>45</v>
      </c>
      <c r="F1240" s="898">
        <f ca="1">Actions!O46</f>
        <v>0</v>
      </c>
    </row>
    <row r="1241" spans="1:6">
      <c r="A1241" t="s">
        <v>2813</v>
      </c>
      <c r="B1241" t="s">
        <v>720</v>
      </c>
      <c r="C1241">
        <v>1</v>
      </c>
      <c r="F1241" s="898">
        <f ca="1">Actions!P2</f>
        <v>0</v>
      </c>
    </row>
    <row r="1242" spans="1:6">
      <c r="A1242" t="s">
        <v>2813</v>
      </c>
      <c r="B1242" t="s">
        <v>720</v>
      </c>
      <c r="C1242">
        <v>2</v>
      </c>
      <c r="F1242" s="898">
        <f ca="1">Actions!P3</f>
        <v>0</v>
      </c>
    </row>
    <row r="1243" spans="1:6">
      <c r="A1243" t="s">
        <v>2813</v>
      </c>
      <c r="B1243" t="s">
        <v>720</v>
      </c>
      <c r="C1243">
        <v>3</v>
      </c>
      <c r="F1243" s="898">
        <f ca="1">Actions!P4</f>
        <v>0</v>
      </c>
    </row>
    <row r="1244" spans="1:6">
      <c r="A1244" t="s">
        <v>2813</v>
      </c>
      <c r="B1244" t="s">
        <v>720</v>
      </c>
      <c r="C1244">
        <v>4</v>
      </c>
      <c r="F1244" s="898">
        <f ca="1">Actions!P5</f>
        <v>0</v>
      </c>
    </row>
    <row r="1245" spans="1:6">
      <c r="A1245" t="s">
        <v>2813</v>
      </c>
      <c r="B1245" t="s">
        <v>720</v>
      </c>
      <c r="C1245">
        <v>5</v>
      </c>
      <c r="F1245" s="898">
        <f ca="1">Actions!P6</f>
        <v>0</v>
      </c>
    </row>
    <row r="1246" spans="1:6">
      <c r="A1246" t="s">
        <v>2813</v>
      </c>
      <c r="B1246" t="s">
        <v>720</v>
      </c>
      <c r="C1246">
        <v>6</v>
      </c>
      <c r="F1246" s="898">
        <f ca="1">Actions!P7</f>
        <v>0</v>
      </c>
    </row>
    <row r="1247" spans="1:6">
      <c r="A1247" t="s">
        <v>2813</v>
      </c>
      <c r="B1247" t="s">
        <v>720</v>
      </c>
      <c r="C1247">
        <v>7</v>
      </c>
      <c r="F1247" s="898">
        <f ca="1">Actions!P8</f>
        <v>0</v>
      </c>
    </row>
    <row r="1248" spans="1:6">
      <c r="A1248" t="s">
        <v>2813</v>
      </c>
      <c r="B1248" t="s">
        <v>720</v>
      </c>
      <c r="C1248">
        <v>8</v>
      </c>
      <c r="F1248" s="898">
        <f ca="1">Actions!P9</f>
        <v>0</v>
      </c>
    </row>
    <row r="1249" spans="1:6">
      <c r="A1249" t="s">
        <v>2813</v>
      </c>
      <c r="B1249" t="s">
        <v>720</v>
      </c>
      <c r="C1249">
        <v>9</v>
      </c>
      <c r="F1249" s="898">
        <f ca="1">Actions!P10</f>
        <v>0</v>
      </c>
    </row>
    <row r="1250" spans="1:6">
      <c r="A1250" t="s">
        <v>2813</v>
      </c>
      <c r="B1250" t="s">
        <v>720</v>
      </c>
      <c r="C1250">
        <v>10</v>
      </c>
      <c r="F1250" s="898">
        <f ca="1">Actions!P11</f>
        <v>0</v>
      </c>
    </row>
    <row r="1251" spans="1:6">
      <c r="A1251" t="s">
        <v>2813</v>
      </c>
      <c r="B1251" t="s">
        <v>720</v>
      </c>
      <c r="C1251">
        <v>11</v>
      </c>
      <c r="F1251" s="898">
        <f ca="1">Actions!P12</f>
        <v>0</v>
      </c>
    </row>
    <row r="1252" spans="1:6">
      <c r="A1252" t="s">
        <v>2813</v>
      </c>
      <c r="B1252" t="s">
        <v>720</v>
      </c>
      <c r="C1252">
        <v>12</v>
      </c>
      <c r="F1252" s="898">
        <f ca="1">Actions!P13</f>
        <v>0</v>
      </c>
    </row>
    <row r="1253" spans="1:6">
      <c r="A1253" t="s">
        <v>2813</v>
      </c>
      <c r="B1253" t="s">
        <v>720</v>
      </c>
      <c r="C1253">
        <v>13</v>
      </c>
      <c r="F1253" s="898">
        <f ca="1">Actions!P14</f>
        <v>0</v>
      </c>
    </row>
    <row r="1254" spans="1:6">
      <c r="A1254" t="s">
        <v>2813</v>
      </c>
      <c r="B1254" t="s">
        <v>720</v>
      </c>
      <c r="C1254">
        <v>14</v>
      </c>
      <c r="F1254" s="898">
        <f ca="1">Actions!P15</f>
        <v>0</v>
      </c>
    </row>
    <row r="1255" spans="1:6">
      <c r="A1255" t="s">
        <v>2813</v>
      </c>
      <c r="B1255" t="s">
        <v>720</v>
      </c>
      <c r="C1255">
        <v>15</v>
      </c>
      <c r="F1255" s="898">
        <f ca="1">Actions!P16</f>
        <v>0</v>
      </c>
    </row>
    <row r="1256" spans="1:6">
      <c r="A1256" t="s">
        <v>2813</v>
      </c>
      <c r="B1256" t="s">
        <v>720</v>
      </c>
      <c r="C1256">
        <v>16</v>
      </c>
      <c r="F1256" s="898">
        <f ca="1">Actions!P17</f>
        <v>0</v>
      </c>
    </row>
    <row r="1257" spans="1:6">
      <c r="A1257" t="s">
        <v>2813</v>
      </c>
      <c r="B1257" t="s">
        <v>720</v>
      </c>
      <c r="C1257">
        <v>17</v>
      </c>
      <c r="F1257" s="898">
        <f ca="1">Actions!P18</f>
        <v>0</v>
      </c>
    </row>
    <row r="1258" spans="1:6">
      <c r="A1258" t="s">
        <v>2813</v>
      </c>
      <c r="B1258" t="s">
        <v>720</v>
      </c>
      <c r="C1258">
        <v>18</v>
      </c>
      <c r="F1258" s="898">
        <f ca="1">Actions!P19</f>
        <v>0</v>
      </c>
    </row>
    <row r="1259" spans="1:6">
      <c r="A1259" t="s">
        <v>2813</v>
      </c>
      <c r="B1259" t="s">
        <v>720</v>
      </c>
      <c r="C1259">
        <v>19</v>
      </c>
      <c r="F1259" s="898">
        <f ca="1">Actions!P20</f>
        <v>0</v>
      </c>
    </row>
    <row r="1260" spans="1:6">
      <c r="A1260" t="s">
        <v>2813</v>
      </c>
      <c r="B1260" t="s">
        <v>720</v>
      </c>
      <c r="C1260">
        <v>20</v>
      </c>
      <c r="F1260" s="898">
        <f ca="1">Actions!P21</f>
        <v>0</v>
      </c>
    </row>
    <row r="1261" spans="1:6">
      <c r="A1261" t="s">
        <v>2813</v>
      </c>
      <c r="B1261" t="s">
        <v>720</v>
      </c>
      <c r="C1261">
        <v>21</v>
      </c>
      <c r="F1261" s="898">
        <f ca="1">Actions!P22</f>
        <v>0</v>
      </c>
    </row>
    <row r="1262" spans="1:6">
      <c r="A1262" t="s">
        <v>2813</v>
      </c>
      <c r="B1262" t="s">
        <v>720</v>
      </c>
      <c r="C1262">
        <v>22</v>
      </c>
      <c r="F1262" s="898">
        <f ca="1">Actions!P23</f>
        <v>0</v>
      </c>
    </row>
    <row r="1263" spans="1:6">
      <c r="A1263" t="s">
        <v>2813</v>
      </c>
      <c r="B1263" t="s">
        <v>720</v>
      </c>
      <c r="C1263">
        <v>23</v>
      </c>
      <c r="F1263" s="898">
        <f ca="1">Actions!P24</f>
        <v>0</v>
      </c>
    </row>
    <row r="1264" spans="1:6">
      <c r="A1264" t="s">
        <v>2813</v>
      </c>
      <c r="B1264" t="s">
        <v>720</v>
      </c>
      <c r="C1264">
        <v>24</v>
      </c>
      <c r="F1264" s="898">
        <f ca="1">Actions!P25</f>
        <v>0</v>
      </c>
    </row>
    <row r="1265" spans="1:6">
      <c r="A1265" t="s">
        <v>2813</v>
      </c>
      <c r="B1265" t="s">
        <v>720</v>
      </c>
      <c r="C1265">
        <v>25</v>
      </c>
      <c r="F1265" s="898">
        <f ca="1">Actions!P26</f>
        <v>0</v>
      </c>
    </row>
    <row r="1266" spans="1:6">
      <c r="A1266" t="s">
        <v>2813</v>
      </c>
      <c r="B1266" t="s">
        <v>720</v>
      </c>
      <c r="C1266">
        <v>26</v>
      </c>
      <c r="F1266" s="898">
        <f ca="1">Actions!P27</f>
        <v>0</v>
      </c>
    </row>
    <row r="1267" spans="1:6">
      <c r="A1267" t="s">
        <v>2813</v>
      </c>
      <c r="B1267" t="s">
        <v>720</v>
      </c>
      <c r="C1267">
        <v>27</v>
      </c>
      <c r="F1267" s="898">
        <f ca="1">Actions!P28</f>
        <v>0</v>
      </c>
    </row>
    <row r="1268" spans="1:6">
      <c r="A1268" t="s">
        <v>2813</v>
      </c>
      <c r="B1268" t="s">
        <v>720</v>
      </c>
      <c r="C1268">
        <v>28</v>
      </c>
      <c r="F1268" s="898">
        <f ca="1">Actions!P29</f>
        <v>0</v>
      </c>
    </row>
    <row r="1269" spans="1:6">
      <c r="A1269" t="s">
        <v>2813</v>
      </c>
      <c r="B1269" t="s">
        <v>720</v>
      </c>
      <c r="C1269">
        <v>29</v>
      </c>
      <c r="F1269" s="898">
        <f ca="1">Actions!P30</f>
        <v>0</v>
      </c>
    </row>
    <row r="1270" spans="1:6">
      <c r="A1270" t="s">
        <v>2813</v>
      </c>
      <c r="B1270" t="s">
        <v>720</v>
      </c>
      <c r="C1270">
        <v>30</v>
      </c>
      <c r="F1270" s="898">
        <f ca="1">Actions!P31</f>
        <v>0</v>
      </c>
    </row>
    <row r="1271" spans="1:6">
      <c r="A1271" t="s">
        <v>2813</v>
      </c>
      <c r="B1271" t="s">
        <v>720</v>
      </c>
      <c r="C1271">
        <v>31</v>
      </c>
      <c r="F1271" s="898">
        <f ca="1">Actions!P32</f>
        <v>0</v>
      </c>
    </row>
    <row r="1272" spans="1:6">
      <c r="A1272" t="s">
        <v>2813</v>
      </c>
      <c r="B1272" t="s">
        <v>720</v>
      </c>
      <c r="C1272">
        <v>32</v>
      </c>
      <c r="F1272" s="898">
        <f ca="1">Actions!P33</f>
        <v>0</v>
      </c>
    </row>
    <row r="1273" spans="1:6">
      <c r="A1273" t="s">
        <v>2813</v>
      </c>
      <c r="B1273" t="s">
        <v>720</v>
      </c>
      <c r="C1273">
        <v>33</v>
      </c>
      <c r="F1273" s="898">
        <f ca="1">Actions!P34</f>
        <v>0</v>
      </c>
    </row>
    <row r="1274" spans="1:6">
      <c r="A1274" t="s">
        <v>2813</v>
      </c>
      <c r="B1274" t="s">
        <v>720</v>
      </c>
      <c r="C1274">
        <v>34</v>
      </c>
      <c r="F1274" s="898">
        <f ca="1">Actions!P35</f>
        <v>0</v>
      </c>
    </row>
    <row r="1275" spans="1:6">
      <c r="A1275" t="s">
        <v>2813</v>
      </c>
      <c r="B1275" t="s">
        <v>720</v>
      </c>
      <c r="C1275">
        <v>35</v>
      </c>
      <c r="F1275" s="898">
        <f ca="1">Actions!P36</f>
        <v>0</v>
      </c>
    </row>
    <row r="1276" spans="1:6">
      <c r="A1276" t="s">
        <v>2813</v>
      </c>
      <c r="B1276" t="s">
        <v>720</v>
      </c>
      <c r="C1276">
        <v>36</v>
      </c>
      <c r="F1276" s="898">
        <f ca="1">Actions!P37</f>
        <v>0</v>
      </c>
    </row>
    <row r="1277" spans="1:6">
      <c r="A1277" t="s">
        <v>2813</v>
      </c>
      <c r="B1277" t="s">
        <v>720</v>
      </c>
      <c r="C1277">
        <v>37</v>
      </c>
      <c r="F1277" s="898">
        <f ca="1">Actions!P38</f>
        <v>0</v>
      </c>
    </row>
    <row r="1278" spans="1:6">
      <c r="A1278" t="s">
        <v>2813</v>
      </c>
      <c r="B1278" t="s">
        <v>720</v>
      </c>
      <c r="C1278">
        <v>38</v>
      </c>
      <c r="F1278" s="898">
        <f ca="1">Actions!P39</f>
        <v>0</v>
      </c>
    </row>
    <row r="1279" spans="1:6">
      <c r="A1279" t="s">
        <v>2813</v>
      </c>
      <c r="B1279" t="s">
        <v>720</v>
      </c>
      <c r="C1279">
        <v>39</v>
      </c>
      <c r="F1279" s="898">
        <f ca="1">Actions!P40</f>
        <v>0</v>
      </c>
    </row>
    <row r="1280" spans="1:6">
      <c r="A1280" t="s">
        <v>2813</v>
      </c>
      <c r="B1280" t="s">
        <v>720</v>
      </c>
      <c r="C1280">
        <v>40</v>
      </c>
      <c r="F1280" s="898">
        <f ca="1">Actions!P41</f>
        <v>0</v>
      </c>
    </row>
    <row r="1281" spans="1:6">
      <c r="A1281" t="s">
        <v>2813</v>
      </c>
      <c r="B1281" t="s">
        <v>720</v>
      </c>
      <c r="C1281">
        <v>41</v>
      </c>
      <c r="F1281" s="898">
        <f ca="1">Actions!P42</f>
        <v>0</v>
      </c>
    </row>
    <row r="1282" spans="1:6">
      <c r="A1282" t="s">
        <v>2813</v>
      </c>
      <c r="B1282" t="s">
        <v>720</v>
      </c>
      <c r="C1282">
        <v>42</v>
      </c>
      <c r="F1282" s="898">
        <f ca="1">Actions!P43</f>
        <v>0</v>
      </c>
    </row>
    <row r="1283" spans="1:6">
      <c r="A1283" t="s">
        <v>2813</v>
      </c>
      <c r="B1283" t="s">
        <v>720</v>
      </c>
      <c r="C1283">
        <v>43</v>
      </c>
      <c r="F1283" s="898">
        <f ca="1">Actions!P44</f>
        <v>0</v>
      </c>
    </row>
    <row r="1284" spans="1:6">
      <c r="A1284" t="s">
        <v>2813</v>
      </c>
      <c r="B1284" t="s">
        <v>720</v>
      </c>
      <c r="C1284">
        <v>44</v>
      </c>
      <c r="F1284" s="898">
        <f ca="1">Actions!P45</f>
        <v>0</v>
      </c>
    </row>
    <row r="1285" spans="1:6">
      <c r="A1285" t="s">
        <v>2813</v>
      </c>
      <c r="B1285" t="s">
        <v>720</v>
      </c>
      <c r="C1285">
        <v>45</v>
      </c>
      <c r="F1285" s="898">
        <f ca="1">Actions!P46</f>
        <v>0</v>
      </c>
    </row>
    <row r="1286" spans="1:6">
      <c r="A1286" t="s">
        <v>2813</v>
      </c>
      <c r="B1286" t="s">
        <v>2821</v>
      </c>
      <c r="C1286">
        <v>1</v>
      </c>
      <c r="F1286" s="898">
        <f ca="1">Actions!Q2</f>
        <v>0</v>
      </c>
    </row>
    <row r="1287" spans="1:6">
      <c r="A1287" t="s">
        <v>2813</v>
      </c>
      <c r="B1287" t="s">
        <v>2821</v>
      </c>
      <c r="C1287">
        <v>2</v>
      </c>
      <c r="F1287" s="898">
        <f ca="1">Actions!Q3</f>
        <v>0</v>
      </c>
    </row>
    <row r="1288" spans="1:6">
      <c r="A1288" t="s">
        <v>2813</v>
      </c>
      <c r="B1288" t="s">
        <v>2821</v>
      </c>
      <c r="C1288">
        <v>3</v>
      </c>
      <c r="F1288" s="898">
        <f ca="1">Actions!Q4</f>
        <v>0</v>
      </c>
    </row>
    <row r="1289" spans="1:6">
      <c r="A1289" t="s">
        <v>2813</v>
      </c>
      <c r="B1289" t="s">
        <v>2821</v>
      </c>
      <c r="C1289">
        <v>4</v>
      </c>
      <c r="F1289" s="898">
        <f ca="1">Actions!Q5</f>
        <v>0</v>
      </c>
    </row>
    <row r="1290" spans="1:6">
      <c r="A1290" t="s">
        <v>2813</v>
      </c>
      <c r="B1290" t="s">
        <v>2821</v>
      </c>
      <c r="C1290">
        <v>5</v>
      </c>
      <c r="F1290" s="898">
        <f ca="1">Actions!Q6</f>
        <v>0</v>
      </c>
    </row>
    <row r="1291" spans="1:6">
      <c r="A1291" t="s">
        <v>2813</v>
      </c>
      <c r="B1291" t="s">
        <v>2821</v>
      </c>
      <c r="C1291">
        <v>6</v>
      </c>
      <c r="F1291" s="898">
        <f ca="1">Actions!Q7</f>
        <v>0</v>
      </c>
    </row>
    <row r="1292" spans="1:6">
      <c r="A1292" t="s">
        <v>2813</v>
      </c>
      <c r="B1292" t="s">
        <v>2821</v>
      </c>
      <c r="C1292">
        <v>7</v>
      </c>
      <c r="F1292" s="898">
        <f ca="1">Actions!Q8</f>
        <v>0</v>
      </c>
    </row>
    <row r="1293" spans="1:6">
      <c r="A1293" t="s">
        <v>2813</v>
      </c>
      <c r="B1293" t="s">
        <v>2821</v>
      </c>
      <c r="C1293">
        <v>8</v>
      </c>
      <c r="F1293" s="898">
        <f ca="1">Actions!Q9</f>
        <v>0</v>
      </c>
    </row>
    <row r="1294" spans="1:6">
      <c r="A1294" t="s">
        <v>2813</v>
      </c>
      <c r="B1294" t="s">
        <v>2821</v>
      </c>
      <c r="C1294">
        <v>9</v>
      </c>
      <c r="F1294" s="898">
        <f ca="1">Actions!Q10</f>
        <v>0</v>
      </c>
    </row>
    <row r="1295" spans="1:6">
      <c r="A1295" t="s">
        <v>2813</v>
      </c>
      <c r="B1295" t="s">
        <v>2821</v>
      </c>
      <c r="C1295">
        <v>10</v>
      </c>
      <c r="F1295" s="898">
        <f ca="1">Actions!Q11</f>
        <v>0</v>
      </c>
    </row>
    <row r="1296" spans="1:6">
      <c r="A1296" t="s">
        <v>2813</v>
      </c>
      <c r="B1296" t="s">
        <v>2821</v>
      </c>
      <c r="C1296">
        <v>11</v>
      </c>
      <c r="F1296" s="898">
        <f ca="1">Actions!Q12</f>
        <v>0</v>
      </c>
    </row>
    <row r="1297" spans="1:6">
      <c r="A1297" t="s">
        <v>2813</v>
      </c>
      <c r="B1297" t="s">
        <v>2821</v>
      </c>
      <c r="C1297">
        <v>12</v>
      </c>
      <c r="F1297" s="898">
        <f ca="1">Actions!Q13</f>
        <v>0</v>
      </c>
    </row>
    <row r="1298" spans="1:6">
      <c r="A1298" t="s">
        <v>2813</v>
      </c>
      <c r="B1298" t="s">
        <v>2821</v>
      </c>
      <c r="C1298">
        <v>13</v>
      </c>
      <c r="F1298" s="898">
        <f ca="1">Actions!Q14</f>
        <v>0</v>
      </c>
    </row>
    <row r="1299" spans="1:6">
      <c r="A1299" t="s">
        <v>2813</v>
      </c>
      <c r="B1299" t="s">
        <v>2821</v>
      </c>
      <c r="C1299">
        <v>14</v>
      </c>
      <c r="F1299" s="898">
        <f ca="1">Actions!Q15</f>
        <v>0</v>
      </c>
    </row>
    <row r="1300" spans="1:6">
      <c r="A1300" t="s">
        <v>2813</v>
      </c>
      <c r="B1300" t="s">
        <v>2821</v>
      </c>
      <c r="C1300">
        <v>15</v>
      </c>
      <c r="F1300" s="898">
        <f ca="1">Actions!Q16</f>
        <v>0</v>
      </c>
    </row>
    <row r="1301" spans="1:6">
      <c r="A1301" t="s">
        <v>2813</v>
      </c>
      <c r="B1301" t="s">
        <v>2821</v>
      </c>
      <c r="C1301">
        <v>16</v>
      </c>
      <c r="F1301" s="898">
        <f ca="1">Actions!Q17</f>
        <v>0</v>
      </c>
    </row>
    <row r="1302" spans="1:6">
      <c r="A1302" t="s">
        <v>2813</v>
      </c>
      <c r="B1302" t="s">
        <v>2821</v>
      </c>
      <c r="C1302">
        <v>17</v>
      </c>
      <c r="F1302" s="898">
        <f ca="1">Actions!Q18</f>
        <v>0</v>
      </c>
    </row>
    <row r="1303" spans="1:6">
      <c r="A1303" t="s">
        <v>2813</v>
      </c>
      <c r="B1303" t="s">
        <v>2821</v>
      </c>
      <c r="C1303">
        <v>18</v>
      </c>
      <c r="F1303" s="898">
        <f ca="1">Actions!Q19</f>
        <v>0</v>
      </c>
    </row>
    <row r="1304" spans="1:6">
      <c r="A1304" t="s">
        <v>2813</v>
      </c>
      <c r="B1304" t="s">
        <v>2821</v>
      </c>
      <c r="C1304">
        <v>19</v>
      </c>
      <c r="F1304" s="898">
        <f ca="1">Actions!Q20</f>
        <v>0</v>
      </c>
    </row>
    <row r="1305" spans="1:6">
      <c r="A1305" t="s">
        <v>2813</v>
      </c>
      <c r="B1305" t="s">
        <v>2821</v>
      </c>
      <c r="C1305">
        <v>20</v>
      </c>
      <c r="F1305" s="898">
        <f ca="1">Actions!Q21</f>
        <v>0</v>
      </c>
    </row>
    <row r="1306" spans="1:6">
      <c r="A1306" t="s">
        <v>2813</v>
      </c>
      <c r="B1306" t="s">
        <v>2821</v>
      </c>
      <c r="C1306">
        <v>21</v>
      </c>
      <c r="F1306" s="898">
        <f ca="1">Actions!Q22</f>
        <v>0</v>
      </c>
    </row>
    <row r="1307" spans="1:6">
      <c r="A1307" t="s">
        <v>2813</v>
      </c>
      <c r="B1307" t="s">
        <v>2821</v>
      </c>
      <c r="C1307">
        <v>22</v>
      </c>
      <c r="F1307" s="898">
        <f ca="1">Actions!Q23</f>
        <v>0</v>
      </c>
    </row>
    <row r="1308" spans="1:6">
      <c r="A1308" t="s">
        <v>2813</v>
      </c>
      <c r="B1308" t="s">
        <v>2821</v>
      </c>
      <c r="C1308">
        <v>23</v>
      </c>
      <c r="F1308" s="898">
        <f ca="1">Actions!Q24</f>
        <v>0</v>
      </c>
    </row>
    <row r="1309" spans="1:6">
      <c r="A1309" t="s">
        <v>2813</v>
      </c>
      <c r="B1309" t="s">
        <v>2821</v>
      </c>
      <c r="C1309">
        <v>24</v>
      </c>
      <c r="F1309" s="898">
        <f ca="1">Actions!Q25</f>
        <v>0</v>
      </c>
    </row>
    <row r="1310" spans="1:6">
      <c r="A1310" t="s">
        <v>2813</v>
      </c>
      <c r="B1310" t="s">
        <v>2821</v>
      </c>
      <c r="C1310">
        <v>25</v>
      </c>
      <c r="F1310" s="898">
        <f ca="1">Actions!Q26</f>
        <v>0</v>
      </c>
    </row>
    <row r="1311" spans="1:6">
      <c r="A1311" t="s">
        <v>2813</v>
      </c>
      <c r="B1311" t="s">
        <v>2821</v>
      </c>
      <c r="C1311">
        <v>26</v>
      </c>
      <c r="F1311" s="898">
        <f ca="1">Actions!Q27</f>
        <v>0</v>
      </c>
    </row>
    <row r="1312" spans="1:6">
      <c r="A1312" t="s">
        <v>2813</v>
      </c>
      <c r="B1312" t="s">
        <v>2821</v>
      </c>
      <c r="C1312">
        <v>27</v>
      </c>
      <c r="F1312" s="898">
        <f ca="1">Actions!Q28</f>
        <v>0</v>
      </c>
    </row>
    <row r="1313" spans="1:6">
      <c r="A1313" t="s">
        <v>2813</v>
      </c>
      <c r="B1313" t="s">
        <v>2821</v>
      </c>
      <c r="C1313">
        <v>28</v>
      </c>
      <c r="F1313" s="898">
        <f ca="1">Actions!Q29</f>
        <v>0</v>
      </c>
    </row>
    <row r="1314" spans="1:6">
      <c r="A1314" t="s">
        <v>2813</v>
      </c>
      <c r="B1314" t="s">
        <v>2821</v>
      </c>
      <c r="C1314">
        <v>29</v>
      </c>
      <c r="F1314" s="898">
        <f ca="1">Actions!Q30</f>
        <v>0</v>
      </c>
    </row>
    <row r="1315" spans="1:6">
      <c r="A1315" t="s">
        <v>2813</v>
      </c>
      <c r="B1315" t="s">
        <v>2821</v>
      </c>
      <c r="C1315">
        <v>30</v>
      </c>
      <c r="F1315" s="898">
        <f ca="1">Actions!Q31</f>
        <v>0</v>
      </c>
    </row>
    <row r="1316" spans="1:6">
      <c r="A1316" t="s">
        <v>2813</v>
      </c>
      <c r="B1316" t="s">
        <v>2821</v>
      </c>
      <c r="C1316">
        <v>31</v>
      </c>
      <c r="F1316" s="898">
        <f ca="1">Actions!Q32</f>
        <v>0</v>
      </c>
    </row>
    <row r="1317" spans="1:6">
      <c r="A1317" t="s">
        <v>2813</v>
      </c>
      <c r="B1317" t="s">
        <v>2821</v>
      </c>
      <c r="C1317">
        <v>32</v>
      </c>
      <c r="F1317" s="898">
        <f ca="1">Actions!Q33</f>
        <v>0</v>
      </c>
    </row>
    <row r="1318" spans="1:6">
      <c r="A1318" t="s">
        <v>2813</v>
      </c>
      <c r="B1318" t="s">
        <v>2821</v>
      </c>
      <c r="C1318">
        <v>33</v>
      </c>
      <c r="F1318" s="898">
        <f ca="1">Actions!Q34</f>
        <v>0</v>
      </c>
    </row>
    <row r="1319" spans="1:6">
      <c r="A1319" t="s">
        <v>2813</v>
      </c>
      <c r="B1319" t="s">
        <v>2821</v>
      </c>
      <c r="C1319">
        <v>34</v>
      </c>
      <c r="F1319" s="898">
        <f ca="1">Actions!Q35</f>
        <v>0</v>
      </c>
    </row>
    <row r="1320" spans="1:6">
      <c r="A1320" t="s">
        <v>2813</v>
      </c>
      <c r="B1320" t="s">
        <v>2821</v>
      </c>
      <c r="C1320">
        <v>35</v>
      </c>
      <c r="F1320" s="898">
        <f ca="1">Actions!Q36</f>
        <v>0</v>
      </c>
    </row>
    <row r="1321" spans="1:6">
      <c r="A1321" t="s">
        <v>2813</v>
      </c>
      <c r="B1321" t="s">
        <v>2821</v>
      </c>
      <c r="C1321">
        <v>36</v>
      </c>
      <c r="F1321" s="898">
        <f ca="1">Actions!Q37</f>
        <v>0</v>
      </c>
    </row>
    <row r="1322" spans="1:6">
      <c r="A1322" t="s">
        <v>2813</v>
      </c>
      <c r="B1322" t="s">
        <v>2821</v>
      </c>
      <c r="C1322">
        <v>37</v>
      </c>
      <c r="F1322" s="898">
        <f ca="1">Actions!Q38</f>
        <v>0</v>
      </c>
    </row>
    <row r="1323" spans="1:6">
      <c r="A1323" t="s">
        <v>2813</v>
      </c>
      <c r="B1323" t="s">
        <v>2821</v>
      </c>
      <c r="C1323">
        <v>38</v>
      </c>
      <c r="F1323" s="898">
        <f ca="1">Actions!Q39</f>
        <v>0</v>
      </c>
    </row>
    <row r="1324" spans="1:6">
      <c r="A1324" t="s">
        <v>2813</v>
      </c>
      <c r="B1324" t="s">
        <v>2821</v>
      </c>
      <c r="C1324">
        <v>39</v>
      </c>
      <c r="F1324" s="898">
        <f ca="1">Actions!Q40</f>
        <v>0</v>
      </c>
    </row>
    <row r="1325" spans="1:6">
      <c r="A1325" t="s">
        <v>2813</v>
      </c>
      <c r="B1325" t="s">
        <v>2821</v>
      </c>
      <c r="C1325">
        <v>40</v>
      </c>
      <c r="F1325" s="898">
        <f ca="1">Actions!Q41</f>
        <v>0</v>
      </c>
    </row>
    <row r="1326" spans="1:6">
      <c r="A1326" t="s">
        <v>2813</v>
      </c>
      <c r="B1326" t="s">
        <v>2821</v>
      </c>
      <c r="C1326">
        <v>41</v>
      </c>
      <c r="F1326" s="898">
        <f ca="1">Actions!Q42</f>
        <v>0</v>
      </c>
    </row>
    <row r="1327" spans="1:6">
      <c r="A1327" t="s">
        <v>2813</v>
      </c>
      <c r="B1327" t="s">
        <v>2821</v>
      </c>
      <c r="C1327">
        <v>42</v>
      </c>
      <c r="F1327" s="898">
        <f ca="1">Actions!Q43</f>
        <v>0</v>
      </c>
    </row>
    <row r="1328" spans="1:6">
      <c r="A1328" t="s">
        <v>2813</v>
      </c>
      <c r="B1328" t="s">
        <v>2821</v>
      </c>
      <c r="C1328">
        <v>43</v>
      </c>
      <c r="F1328" s="898">
        <f ca="1">Actions!Q44</f>
        <v>0</v>
      </c>
    </row>
    <row r="1329" spans="1:6">
      <c r="A1329" t="s">
        <v>2813</v>
      </c>
      <c r="B1329" t="s">
        <v>2821</v>
      </c>
      <c r="C1329">
        <v>44</v>
      </c>
      <c r="F1329" s="898">
        <f ca="1">Actions!Q45</f>
        <v>0</v>
      </c>
    </row>
    <row r="1330" spans="1:6">
      <c r="A1330" t="s">
        <v>2813</v>
      </c>
      <c r="B1330" t="s">
        <v>2821</v>
      </c>
      <c r="C1330">
        <v>45</v>
      </c>
      <c r="F1330" s="898">
        <f ca="1">Actions!Q46</f>
        <v>0</v>
      </c>
    </row>
    <row r="1331" spans="1:6">
      <c r="A1331" t="s">
        <v>2813</v>
      </c>
      <c r="B1331" t="s">
        <v>2822</v>
      </c>
      <c r="C1331">
        <v>1</v>
      </c>
      <c r="F1331" s="898">
        <f ca="1">Actions!R2</f>
        <v>0</v>
      </c>
    </row>
    <row r="1332" spans="1:6">
      <c r="A1332" t="s">
        <v>2813</v>
      </c>
      <c r="B1332" t="s">
        <v>2822</v>
      </c>
      <c r="C1332">
        <v>2</v>
      </c>
      <c r="F1332" s="898">
        <f ca="1">Actions!R3</f>
        <v>0</v>
      </c>
    </row>
    <row r="1333" spans="1:6">
      <c r="A1333" t="s">
        <v>2813</v>
      </c>
      <c r="B1333" t="s">
        <v>2822</v>
      </c>
      <c r="C1333">
        <v>3</v>
      </c>
      <c r="F1333" s="898">
        <f ca="1">Actions!R4</f>
        <v>0</v>
      </c>
    </row>
    <row r="1334" spans="1:6">
      <c r="A1334" t="s">
        <v>2813</v>
      </c>
      <c r="B1334" t="s">
        <v>2822</v>
      </c>
      <c r="C1334">
        <v>4</v>
      </c>
      <c r="F1334" s="898">
        <f ca="1">Actions!R5</f>
        <v>0</v>
      </c>
    </row>
    <row r="1335" spans="1:6">
      <c r="A1335" t="s">
        <v>2813</v>
      </c>
      <c r="B1335" t="s">
        <v>2822</v>
      </c>
      <c r="C1335">
        <v>5</v>
      </c>
      <c r="F1335" s="898">
        <f ca="1">Actions!R6</f>
        <v>0</v>
      </c>
    </row>
    <row r="1336" spans="1:6">
      <c r="A1336" t="s">
        <v>2813</v>
      </c>
      <c r="B1336" t="s">
        <v>2822</v>
      </c>
      <c r="C1336">
        <v>6</v>
      </c>
      <c r="F1336" s="898">
        <f ca="1">Actions!R7</f>
        <v>0</v>
      </c>
    </row>
    <row r="1337" spans="1:6">
      <c r="A1337" t="s">
        <v>2813</v>
      </c>
      <c r="B1337" t="s">
        <v>2822</v>
      </c>
      <c r="C1337">
        <v>7</v>
      </c>
      <c r="F1337" s="898">
        <f ca="1">Actions!R8</f>
        <v>0</v>
      </c>
    </row>
    <row r="1338" spans="1:6">
      <c r="A1338" t="s">
        <v>2813</v>
      </c>
      <c r="B1338" t="s">
        <v>2822</v>
      </c>
      <c r="C1338">
        <v>8</v>
      </c>
      <c r="F1338" s="898">
        <f ca="1">Actions!R9</f>
        <v>0</v>
      </c>
    </row>
    <row r="1339" spans="1:6">
      <c r="A1339" t="s">
        <v>2813</v>
      </c>
      <c r="B1339" t="s">
        <v>2822</v>
      </c>
      <c r="C1339">
        <v>9</v>
      </c>
      <c r="F1339" s="898">
        <f ca="1">Actions!R10</f>
        <v>0</v>
      </c>
    </row>
    <row r="1340" spans="1:6">
      <c r="A1340" t="s">
        <v>2813</v>
      </c>
      <c r="B1340" t="s">
        <v>2822</v>
      </c>
      <c r="C1340">
        <v>10</v>
      </c>
      <c r="F1340" s="898">
        <f ca="1">Actions!R11</f>
        <v>0</v>
      </c>
    </row>
    <row r="1341" spans="1:6">
      <c r="A1341" t="s">
        <v>2813</v>
      </c>
      <c r="B1341" t="s">
        <v>2822</v>
      </c>
      <c r="C1341">
        <v>11</v>
      </c>
      <c r="F1341" s="898">
        <f ca="1">Actions!R12</f>
        <v>0</v>
      </c>
    </row>
    <row r="1342" spans="1:6">
      <c r="A1342" t="s">
        <v>2813</v>
      </c>
      <c r="B1342" t="s">
        <v>2822</v>
      </c>
      <c r="C1342">
        <v>12</v>
      </c>
      <c r="F1342" s="898">
        <f ca="1">Actions!R13</f>
        <v>0</v>
      </c>
    </row>
    <row r="1343" spans="1:6">
      <c r="A1343" t="s">
        <v>2813</v>
      </c>
      <c r="B1343" t="s">
        <v>2822</v>
      </c>
      <c r="C1343">
        <v>13</v>
      </c>
      <c r="F1343" s="898">
        <f ca="1">Actions!R14</f>
        <v>0</v>
      </c>
    </row>
    <row r="1344" spans="1:6">
      <c r="A1344" t="s">
        <v>2813</v>
      </c>
      <c r="B1344" t="s">
        <v>2822</v>
      </c>
      <c r="C1344">
        <v>14</v>
      </c>
      <c r="F1344" s="898">
        <f ca="1">Actions!R15</f>
        <v>0</v>
      </c>
    </row>
    <row r="1345" spans="1:6">
      <c r="A1345" t="s">
        <v>2813</v>
      </c>
      <c r="B1345" t="s">
        <v>2822</v>
      </c>
      <c r="C1345">
        <v>15</v>
      </c>
      <c r="F1345" s="898">
        <f ca="1">Actions!R16</f>
        <v>0</v>
      </c>
    </row>
    <row r="1346" spans="1:6">
      <c r="A1346" t="s">
        <v>2813</v>
      </c>
      <c r="B1346" t="s">
        <v>2822</v>
      </c>
      <c r="C1346">
        <v>16</v>
      </c>
      <c r="F1346" s="898">
        <f ca="1">Actions!R17</f>
        <v>0</v>
      </c>
    </row>
    <row r="1347" spans="1:6">
      <c r="A1347" t="s">
        <v>2813</v>
      </c>
      <c r="B1347" t="s">
        <v>2822</v>
      </c>
      <c r="C1347">
        <v>17</v>
      </c>
      <c r="F1347" s="898">
        <f ca="1">Actions!R18</f>
        <v>0</v>
      </c>
    </row>
    <row r="1348" spans="1:6">
      <c r="A1348" t="s">
        <v>2813</v>
      </c>
      <c r="B1348" t="s">
        <v>2822</v>
      </c>
      <c r="C1348">
        <v>18</v>
      </c>
      <c r="F1348" s="898">
        <f ca="1">Actions!R19</f>
        <v>0</v>
      </c>
    </row>
    <row r="1349" spans="1:6">
      <c r="A1349" t="s">
        <v>2813</v>
      </c>
      <c r="B1349" t="s">
        <v>2822</v>
      </c>
      <c r="C1349">
        <v>19</v>
      </c>
      <c r="F1349" s="898">
        <f ca="1">Actions!R20</f>
        <v>0</v>
      </c>
    </row>
    <row r="1350" spans="1:6">
      <c r="A1350" t="s">
        <v>2813</v>
      </c>
      <c r="B1350" t="s">
        <v>2822</v>
      </c>
      <c r="C1350">
        <v>20</v>
      </c>
      <c r="F1350" s="898">
        <f ca="1">Actions!R21</f>
        <v>0</v>
      </c>
    </row>
    <row r="1351" spans="1:6">
      <c r="A1351" t="s">
        <v>2813</v>
      </c>
      <c r="B1351" t="s">
        <v>2822</v>
      </c>
      <c r="C1351">
        <v>21</v>
      </c>
      <c r="F1351" s="898">
        <f ca="1">Actions!R22</f>
        <v>0</v>
      </c>
    </row>
    <row r="1352" spans="1:6">
      <c r="A1352" t="s">
        <v>2813</v>
      </c>
      <c r="B1352" t="s">
        <v>2822</v>
      </c>
      <c r="C1352">
        <v>22</v>
      </c>
      <c r="F1352" s="898">
        <f ca="1">Actions!R23</f>
        <v>0</v>
      </c>
    </row>
    <row r="1353" spans="1:6">
      <c r="A1353" t="s">
        <v>2813</v>
      </c>
      <c r="B1353" t="s">
        <v>2822</v>
      </c>
      <c r="C1353">
        <v>23</v>
      </c>
      <c r="F1353" s="898">
        <f ca="1">Actions!R24</f>
        <v>0</v>
      </c>
    </row>
    <row r="1354" spans="1:6">
      <c r="A1354" t="s">
        <v>2813</v>
      </c>
      <c r="B1354" t="s">
        <v>2822</v>
      </c>
      <c r="C1354">
        <v>24</v>
      </c>
      <c r="F1354" s="898">
        <f ca="1">Actions!R25</f>
        <v>0</v>
      </c>
    </row>
    <row r="1355" spans="1:6">
      <c r="A1355" t="s">
        <v>2813</v>
      </c>
      <c r="B1355" t="s">
        <v>2822</v>
      </c>
      <c r="C1355">
        <v>25</v>
      </c>
      <c r="F1355" s="898">
        <f ca="1">Actions!R26</f>
        <v>0</v>
      </c>
    </row>
    <row r="1356" spans="1:6">
      <c r="A1356" t="s">
        <v>2813</v>
      </c>
      <c r="B1356" t="s">
        <v>2822</v>
      </c>
      <c r="C1356">
        <v>26</v>
      </c>
      <c r="F1356" s="898">
        <f ca="1">Actions!R27</f>
        <v>0</v>
      </c>
    </row>
    <row r="1357" spans="1:6">
      <c r="A1357" t="s">
        <v>2813</v>
      </c>
      <c r="B1357" t="s">
        <v>2822</v>
      </c>
      <c r="C1357">
        <v>27</v>
      </c>
      <c r="F1357" s="898">
        <f ca="1">Actions!R28</f>
        <v>0</v>
      </c>
    </row>
    <row r="1358" spans="1:6">
      <c r="A1358" t="s">
        <v>2813</v>
      </c>
      <c r="B1358" t="s">
        <v>2822</v>
      </c>
      <c r="C1358">
        <v>28</v>
      </c>
      <c r="F1358" s="898">
        <f ca="1">Actions!R29</f>
        <v>0</v>
      </c>
    </row>
    <row r="1359" spans="1:6">
      <c r="A1359" t="s">
        <v>2813</v>
      </c>
      <c r="B1359" t="s">
        <v>2822</v>
      </c>
      <c r="C1359">
        <v>29</v>
      </c>
      <c r="F1359" s="898">
        <f ca="1">Actions!R30</f>
        <v>0</v>
      </c>
    </row>
    <row r="1360" spans="1:6">
      <c r="A1360" t="s">
        <v>2813</v>
      </c>
      <c r="B1360" t="s">
        <v>2822</v>
      </c>
      <c r="C1360">
        <v>30</v>
      </c>
      <c r="F1360" s="898">
        <f ca="1">Actions!R31</f>
        <v>0</v>
      </c>
    </row>
    <row r="1361" spans="1:6">
      <c r="A1361" t="s">
        <v>2813</v>
      </c>
      <c r="B1361" t="s">
        <v>2822</v>
      </c>
      <c r="C1361">
        <v>31</v>
      </c>
      <c r="F1361" s="898">
        <f ca="1">Actions!R32</f>
        <v>0</v>
      </c>
    </row>
    <row r="1362" spans="1:6">
      <c r="A1362" t="s">
        <v>2813</v>
      </c>
      <c r="B1362" t="s">
        <v>2822</v>
      </c>
      <c r="C1362">
        <v>32</v>
      </c>
      <c r="F1362" s="898">
        <f ca="1">Actions!R33</f>
        <v>0</v>
      </c>
    </row>
    <row r="1363" spans="1:6">
      <c r="A1363" t="s">
        <v>2813</v>
      </c>
      <c r="B1363" t="s">
        <v>2822</v>
      </c>
      <c r="C1363">
        <v>33</v>
      </c>
      <c r="F1363" s="898">
        <f ca="1">Actions!R34</f>
        <v>0</v>
      </c>
    </row>
    <row r="1364" spans="1:6">
      <c r="A1364" t="s">
        <v>2813</v>
      </c>
      <c r="B1364" t="s">
        <v>2822</v>
      </c>
      <c r="C1364">
        <v>34</v>
      </c>
      <c r="F1364" s="898">
        <f ca="1">Actions!R35</f>
        <v>0</v>
      </c>
    </row>
    <row r="1365" spans="1:6">
      <c r="A1365" t="s">
        <v>2813</v>
      </c>
      <c r="B1365" t="s">
        <v>2822</v>
      </c>
      <c r="C1365">
        <v>35</v>
      </c>
      <c r="F1365" s="898">
        <f ca="1">Actions!R36</f>
        <v>0</v>
      </c>
    </row>
    <row r="1366" spans="1:6">
      <c r="A1366" t="s">
        <v>2813</v>
      </c>
      <c r="B1366" t="s">
        <v>2822</v>
      </c>
      <c r="C1366">
        <v>36</v>
      </c>
      <c r="F1366" s="898">
        <f ca="1">Actions!R37</f>
        <v>0</v>
      </c>
    </row>
    <row r="1367" spans="1:6">
      <c r="A1367" t="s">
        <v>2813</v>
      </c>
      <c r="B1367" t="s">
        <v>2822</v>
      </c>
      <c r="C1367">
        <v>37</v>
      </c>
      <c r="F1367" s="898">
        <f ca="1">Actions!R38</f>
        <v>0</v>
      </c>
    </row>
    <row r="1368" spans="1:6">
      <c r="A1368" t="s">
        <v>2813</v>
      </c>
      <c r="B1368" t="s">
        <v>2822</v>
      </c>
      <c r="C1368">
        <v>38</v>
      </c>
      <c r="F1368" s="898">
        <f ca="1">Actions!R39</f>
        <v>0</v>
      </c>
    </row>
    <row r="1369" spans="1:6">
      <c r="A1369" t="s">
        <v>2813</v>
      </c>
      <c r="B1369" t="s">
        <v>2822</v>
      </c>
      <c r="C1369">
        <v>39</v>
      </c>
      <c r="F1369" s="898">
        <f ca="1">Actions!R40</f>
        <v>0</v>
      </c>
    </row>
    <row r="1370" spans="1:6">
      <c r="A1370" t="s">
        <v>2813</v>
      </c>
      <c r="B1370" t="s">
        <v>2822</v>
      </c>
      <c r="C1370">
        <v>40</v>
      </c>
      <c r="F1370" s="898">
        <f ca="1">Actions!R41</f>
        <v>0</v>
      </c>
    </row>
    <row r="1371" spans="1:6">
      <c r="A1371" t="s">
        <v>2813</v>
      </c>
      <c r="B1371" t="s">
        <v>2822</v>
      </c>
      <c r="C1371">
        <v>41</v>
      </c>
      <c r="F1371" s="898">
        <f ca="1">Actions!R42</f>
        <v>0</v>
      </c>
    </row>
    <row r="1372" spans="1:6">
      <c r="A1372" t="s">
        <v>2813</v>
      </c>
      <c r="B1372" t="s">
        <v>2822</v>
      </c>
      <c r="C1372">
        <v>42</v>
      </c>
      <c r="F1372" s="898">
        <f ca="1">Actions!R43</f>
        <v>0</v>
      </c>
    </row>
    <row r="1373" spans="1:6">
      <c r="A1373" t="s">
        <v>2813</v>
      </c>
      <c r="B1373" t="s">
        <v>2822</v>
      </c>
      <c r="C1373">
        <v>43</v>
      </c>
      <c r="F1373" s="898">
        <f ca="1">Actions!R44</f>
        <v>0</v>
      </c>
    </row>
    <row r="1374" spans="1:6">
      <c r="A1374" t="s">
        <v>2813</v>
      </c>
      <c r="B1374" t="s">
        <v>2822</v>
      </c>
      <c r="C1374">
        <v>44</v>
      </c>
      <c r="F1374" s="898">
        <f ca="1">Actions!R45</f>
        <v>0</v>
      </c>
    </row>
    <row r="1375" spans="1:6">
      <c r="A1375" t="s">
        <v>2813</v>
      </c>
      <c r="B1375" t="s">
        <v>2822</v>
      </c>
      <c r="C1375">
        <v>45</v>
      </c>
      <c r="F1375" s="898">
        <f ca="1">Actions!R46</f>
        <v>0</v>
      </c>
    </row>
    <row r="1376" spans="1:6">
      <c r="A1376" t="s">
        <v>2813</v>
      </c>
      <c r="B1376" t="s">
        <v>2823</v>
      </c>
      <c r="C1376">
        <v>1</v>
      </c>
      <c r="F1376" s="898">
        <f ca="1">Actions!S2</f>
        <v>0</v>
      </c>
    </row>
    <row r="1377" spans="1:6">
      <c r="A1377" t="s">
        <v>2813</v>
      </c>
      <c r="B1377" t="s">
        <v>2823</v>
      </c>
      <c r="C1377">
        <v>2</v>
      </c>
      <c r="F1377" s="898">
        <f ca="1">Actions!S3</f>
        <v>0</v>
      </c>
    </row>
    <row r="1378" spans="1:6">
      <c r="A1378" t="s">
        <v>2813</v>
      </c>
      <c r="B1378" t="s">
        <v>2823</v>
      </c>
      <c r="C1378">
        <v>3</v>
      </c>
      <c r="F1378" s="898">
        <f ca="1">Actions!S4</f>
        <v>0</v>
      </c>
    </row>
    <row r="1379" spans="1:6">
      <c r="A1379" t="s">
        <v>2813</v>
      </c>
      <c r="B1379" t="s">
        <v>2823</v>
      </c>
      <c r="C1379">
        <v>4</v>
      </c>
      <c r="F1379" s="898">
        <f ca="1">Actions!S5</f>
        <v>0</v>
      </c>
    </row>
    <row r="1380" spans="1:6">
      <c r="A1380" t="s">
        <v>2813</v>
      </c>
      <c r="B1380" t="s">
        <v>2823</v>
      </c>
      <c r="C1380">
        <v>5</v>
      </c>
      <c r="F1380" s="898">
        <f ca="1">Actions!S6</f>
        <v>0</v>
      </c>
    </row>
    <row r="1381" spans="1:6">
      <c r="A1381" t="s">
        <v>2813</v>
      </c>
      <c r="B1381" t="s">
        <v>2823</v>
      </c>
      <c r="C1381">
        <v>6</v>
      </c>
      <c r="F1381" s="898">
        <f ca="1">Actions!S7</f>
        <v>0</v>
      </c>
    </row>
    <row r="1382" spans="1:6">
      <c r="A1382" t="s">
        <v>2813</v>
      </c>
      <c r="B1382" t="s">
        <v>2823</v>
      </c>
      <c r="C1382">
        <v>7</v>
      </c>
      <c r="F1382" s="898">
        <f ca="1">Actions!S8</f>
        <v>0</v>
      </c>
    </row>
    <row r="1383" spans="1:6">
      <c r="A1383" t="s">
        <v>2813</v>
      </c>
      <c r="B1383" t="s">
        <v>2823</v>
      </c>
      <c r="C1383">
        <v>8</v>
      </c>
      <c r="F1383" s="898">
        <f ca="1">Actions!S9</f>
        <v>0</v>
      </c>
    </row>
    <row r="1384" spans="1:6">
      <c r="A1384" t="s">
        <v>2813</v>
      </c>
      <c r="B1384" t="s">
        <v>2823</v>
      </c>
      <c r="C1384">
        <v>9</v>
      </c>
      <c r="F1384" s="898">
        <f ca="1">Actions!S10</f>
        <v>0</v>
      </c>
    </row>
    <row r="1385" spans="1:6">
      <c r="A1385" t="s">
        <v>2813</v>
      </c>
      <c r="B1385" t="s">
        <v>2823</v>
      </c>
      <c r="C1385">
        <v>10</v>
      </c>
      <c r="F1385" s="898">
        <f ca="1">Actions!S11</f>
        <v>0</v>
      </c>
    </row>
    <row r="1386" spans="1:6">
      <c r="A1386" t="s">
        <v>2813</v>
      </c>
      <c r="B1386" t="s">
        <v>2823</v>
      </c>
      <c r="C1386">
        <v>11</v>
      </c>
      <c r="F1386" s="898">
        <f ca="1">Actions!S12</f>
        <v>0</v>
      </c>
    </row>
    <row r="1387" spans="1:6">
      <c r="A1387" t="s">
        <v>2813</v>
      </c>
      <c r="B1387" t="s">
        <v>2823</v>
      </c>
      <c r="C1387">
        <v>12</v>
      </c>
      <c r="F1387" s="898">
        <f ca="1">Actions!S13</f>
        <v>0</v>
      </c>
    </row>
    <row r="1388" spans="1:6">
      <c r="A1388" t="s">
        <v>2813</v>
      </c>
      <c r="B1388" t="s">
        <v>2823</v>
      </c>
      <c r="C1388">
        <v>13</v>
      </c>
      <c r="F1388" s="898">
        <f ca="1">Actions!S14</f>
        <v>0</v>
      </c>
    </row>
    <row r="1389" spans="1:6">
      <c r="A1389" t="s">
        <v>2813</v>
      </c>
      <c r="B1389" t="s">
        <v>2823</v>
      </c>
      <c r="C1389">
        <v>14</v>
      </c>
      <c r="F1389" s="898">
        <f ca="1">Actions!S15</f>
        <v>0</v>
      </c>
    </row>
    <row r="1390" spans="1:6">
      <c r="A1390" t="s">
        <v>2813</v>
      </c>
      <c r="B1390" t="s">
        <v>2823</v>
      </c>
      <c r="C1390">
        <v>15</v>
      </c>
      <c r="F1390" s="898">
        <f ca="1">Actions!S16</f>
        <v>0</v>
      </c>
    </row>
    <row r="1391" spans="1:6">
      <c r="A1391" t="s">
        <v>2813</v>
      </c>
      <c r="B1391" t="s">
        <v>2823</v>
      </c>
      <c r="C1391">
        <v>16</v>
      </c>
      <c r="F1391" s="898">
        <f ca="1">Actions!S17</f>
        <v>0</v>
      </c>
    </row>
    <row r="1392" spans="1:6">
      <c r="A1392" t="s">
        <v>2813</v>
      </c>
      <c r="B1392" t="s">
        <v>2823</v>
      </c>
      <c r="C1392">
        <v>17</v>
      </c>
      <c r="F1392" s="898">
        <f ca="1">Actions!S18</f>
        <v>0</v>
      </c>
    </row>
    <row r="1393" spans="1:6">
      <c r="A1393" t="s">
        <v>2813</v>
      </c>
      <c r="B1393" t="s">
        <v>2823</v>
      </c>
      <c r="C1393">
        <v>18</v>
      </c>
      <c r="F1393" s="898">
        <f ca="1">Actions!S19</f>
        <v>0</v>
      </c>
    </row>
    <row r="1394" spans="1:6">
      <c r="A1394" t="s">
        <v>2813</v>
      </c>
      <c r="B1394" t="s">
        <v>2823</v>
      </c>
      <c r="C1394">
        <v>19</v>
      </c>
      <c r="F1394" s="898">
        <f ca="1">Actions!S20</f>
        <v>0</v>
      </c>
    </row>
    <row r="1395" spans="1:6">
      <c r="A1395" t="s">
        <v>2813</v>
      </c>
      <c r="B1395" t="s">
        <v>2823</v>
      </c>
      <c r="C1395">
        <v>20</v>
      </c>
      <c r="F1395" s="898">
        <f ca="1">Actions!S21</f>
        <v>0</v>
      </c>
    </row>
    <row r="1396" spans="1:6">
      <c r="A1396" t="s">
        <v>2813</v>
      </c>
      <c r="B1396" t="s">
        <v>2823</v>
      </c>
      <c r="C1396">
        <v>21</v>
      </c>
      <c r="F1396" s="898">
        <f ca="1">Actions!S22</f>
        <v>0</v>
      </c>
    </row>
    <row r="1397" spans="1:6">
      <c r="A1397" t="s">
        <v>2813</v>
      </c>
      <c r="B1397" t="s">
        <v>2823</v>
      </c>
      <c r="C1397">
        <v>22</v>
      </c>
      <c r="F1397" s="898">
        <f ca="1">Actions!S23</f>
        <v>0</v>
      </c>
    </row>
    <row r="1398" spans="1:6">
      <c r="A1398" t="s">
        <v>2813</v>
      </c>
      <c r="B1398" t="s">
        <v>2823</v>
      </c>
      <c r="C1398">
        <v>23</v>
      </c>
      <c r="F1398" s="898">
        <f ca="1">Actions!S24</f>
        <v>0</v>
      </c>
    </row>
    <row r="1399" spans="1:6">
      <c r="A1399" t="s">
        <v>2813</v>
      </c>
      <c r="B1399" t="s">
        <v>2823</v>
      </c>
      <c r="C1399">
        <v>24</v>
      </c>
      <c r="F1399" s="898">
        <f ca="1">Actions!S25</f>
        <v>0</v>
      </c>
    </row>
    <row r="1400" spans="1:6">
      <c r="A1400" t="s">
        <v>2813</v>
      </c>
      <c r="B1400" t="s">
        <v>2823</v>
      </c>
      <c r="C1400">
        <v>25</v>
      </c>
      <c r="F1400" s="898">
        <f ca="1">Actions!S26</f>
        <v>0</v>
      </c>
    </row>
    <row r="1401" spans="1:6">
      <c r="A1401" t="s">
        <v>2813</v>
      </c>
      <c r="B1401" t="s">
        <v>2823</v>
      </c>
      <c r="C1401">
        <v>26</v>
      </c>
      <c r="F1401" s="898">
        <f ca="1">Actions!S27</f>
        <v>0</v>
      </c>
    </row>
    <row r="1402" spans="1:6">
      <c r="A1402" t="s">
        <v>2813</v>
      </c>
      <c r="B1402" t="s">
        <v>2823</v>
      </c>
      <c r="C1402">
        <v>27</v>
      </c>
      <c r="F1402" s="898">
        <f ca="1">Actions!S28</f>
        <v>0</v>
      </c>
    </row>
    <row r="1403" spans="1:6">
      <c r="A1403" t="s">
        <v>2813</v>
      </c>
      <c r="B1403" t="s">
        <v>2823</v>
      </c>
      <c r="C1403">
        <v>28</v>
      </c>
      <c r="F1403" s="898">
        <f ca="1">Actions!S29</f>
        <v>0</v>
      </c>
    </row>
    <row r="1404" spans="1:6">
      <c r="A1404" t="s">
        <v>2813</v>
      </c>
      <c r="B1404" t="s">
        <v>2823</v>
      </c>
      <c r="C1404">
        <v>29</v>
      </c>
      <c r="F1404" s="898">
        <f ca="1">Actions!S30</f>
        <v>0</v>
      </c>
    </row>
    <row r="1405" spans="1:6">
      <c r="A1405" t="s">
        <v>2813</v>
      </c>
      <c r="B1405" t="s">
        <v>2823</v>
      </c>
      <c r="C1405">
        <v>30</v>
      </c>
      <c r="F1405" s="898">
        <f ca="1">Actions!S31</f>
        <v>0</v>
      </c>
    </row>
    <row r="1406" spans="1:6">
      <c r="A1406" t="s">
        <v>2813</v>
      </c>
      <c r="B1406" t="s">
        <v>2823</v>
      </c>
      <c r="C1406">
        <v>31</v>
      </c>
      <c r="F1406" s="898">
        <f ca="1">Actions!S32</f>
        <v>0</v>
      </c>
    </row>
    <row r="1407" spans="1:6">
      <c r="A1407" t="s">
        <v>2813</v>
      </c>
      <c r="B1407" t="s">
        <v>2823</v>
      </c>
      <c r="C1407">
        <v>32</v>
      </c>
      <c r="F1407" s="898">
        <f ca="1">Actions!S33</f>
        <v>0</v>
      </c>
    </row>
    <row r="1408" spans="1:6">
      <c r="A1408" t="s">
        <v>2813</v>
      </c>
      <c r="B1408" t="s">
        <v>2823</v>
      </c>
      <c r="C1408">
        <v>33</v>
      </c>
      <c r="F1408" s="898">
        <f ca="1">Actions!S34</f>
        <v>0</v>
      </c>
    </row>
    <row r="1409" spans="1:6">
      <c r="A1409" t="s">
        <v>2813</v>
      </c>
      <c r="B1409" t="s">
        <v>2823</v>
      </c>
      <c r="C1409">
        <v>34</v>
      </c>
      <c r="F1409" s="898">
        <f ca="1">Actions!S35</f>
        <v>0</v>
      </c>
    </row>
    <row r="1410" spans="1:6">
      <c r="A1410" t="s">
        <v>2813</v>
      </c>
      <c r="B1410" t="s">
        <v>2823</v>
      </c>
      <c r="C1410">
        <v>35</v>
      </c>
      <c r="F1410" s="898">
        <f ca="1">Actions!S36</f>
        <v>0</v>
      </c>
    </row>
    <row r="1411" spans="1:6">
      <c r="A1411" t="s">
        <v>2813</v>
      </c>
      <c r="B1411" t="s">
        <v>2823</v>
      </c>
      <c r="C1411">
        <v>36</v>
      </c>
      <c r="F1411" s="898">
        <f ca="1">Actions!S37</f>
        <v>0</v>
      </c>
    </row>
    <row r="1412" spans="1:6">
      <c r="A1412" t="s">
        <v>2813</v>
      </c>
      <c r="B1412" t="s">
        <v>2823</v>
      </c>
      <c r="C1412">
        <v>37</v>
      </c>
      <c r="F1412" s="898">
        <f ca="1">Actions!S38</f>
        <v>0</v>
      </c>
    </row>
    <row r="1413" spans="1:6">
      <c r="A1413" t="s">
        <v>2813</v>
      </c>
      <c r="B1413" t="s">
        <v>2823</v>
      </c>
      <c r="C1413">
        <v>38</v>
      </c>
      <c r="F1413" s="898">
        <f ca="1">Actions!S39</f>
        <v>0</v>
      </c>
    </row>
    <row r="1414" spans="1:6">
      <c r="A1414" t="s">
        <v>2813</v>
      </c>
      <c r="B1414" t="s">
        <v>2823</v>
      </c>
      <c r="C1414">
        <v>39</v>
      </c>
      <c r="F1414" s="898">
        <f ca="1">Actions!S40</f>
        <v>0</v>
      </c>
    </row>
    <row r="1415" spans="1:6">
      <c r="A1415" t="s">
        <v>2813</v>
      </c>
      <c r="B1415" t="s">
        <v>2823</v>
      </c>
      <c r="C1415">
        <v>40</v>
      </c>
      <c r="F1415" s="898">
        <f ca="1">Actions!S41</f>
        <v>0</v>
      </c>
    </row>
    <row r="1416" spans="1:6">
      <c r="A1416" t="s">
        <v>2813</v>
      </c>
      <c r="B1416" t="s">
        <v>2823</v>
      </c>
      <c r="C1416">
        <v>41</v>
      </c>
      <c r="F1416" s="898">
        <f ca="1">Actions!S42</f>
        <v>0</v>
      </c>
    </row>
    <row r="1417" spans="1:6">
      <c r="A1417" t="s">
        <v>2813</v>
      </c>
      <c r="B1417" t="s">
        <v>2823</v>
      </c>
      <c r="C1417">
        <v>42</v>
      </c>
      <c r="F1417" s="898">
        <f ca="1">Actions!S43</f>
        <v>0</v>
      </c>
    </row>
    <row r="1418" spans="1:6">
      <c r="A1418" t="s">
        <v>2813</v>
      </c>
      <c r="B1418" t="s">
        <v>2823</v>
      </c>
      <c r="C1418">
        <v>43</v>
      </c>
      <c r="F1418" s="898">
        <f ca="1">Actions!S44</f>
        <v>0</v>
      </c>
    </row>
    <row r="1419" spans="1:6">
      <c r="A1419" t="s">
        <v>2813</v>
      </c>
      <c r="B1419" t="s">
        <v>2823</v>
      </c>
      <c r="C1419">
        <v>44</v>
      </c>
      <c r="F1419" s="898">
        <f ca="1">Actions!S45</f>
        <v>0</v>
      </c>
    </row>
    <row r="1420" spans="1:6">
      <c r="A1420" t="s">
        <v>2813</v>
      </c>
      <c r="B1420" t="s">
        <v>2823</v>
      </c>
      <c r="C1420">
        <v>45</v>
      </c>
      <c r="F1420" s="898">
        <f ca="1">Actions!S46</f>
        <v>0</v>
      </c>
    </row>
    <row r="1421" spans="1:6">
      <c r="A1421" t="s">
        <v>2813</v>
      </c>
      <c r="B1421" t="s">
        <v>2824</v>
      </c>
      <c r="C1421">
        <v>1</v>
      </c>
      <c r="F1421" s="898">
        <f ca="1">Actions!T2</f>
        <v>0</v>
      </c>
    </row>
    <row r="1422" spans="1:6">
      <c r="A1422" t="s">
        <v>2813</v>
      </c>
      <c r="B1422" t="s">
        <v>2824</v>
      </c>
      <c r="C1422">
        <v>2</v>
      </c>
      <c r="F1422" s="898">
        <f ca="1">Actions!T3</f>
        <v>0</v>
      </c>
    </row>
    <row r="1423" spans="1:6">
      <c r="A1423" t="s">
        <v>2813</v>
      </c>
      <c r="B1423" t="s">
        <v>2824</v>
      </c>
      <c r="C1423">
        <v>3</v>
      </c>
      <c r="F1423" s="898">
        <f ca="1">Actions!T4</f>
        <v>0</v>
      </c>
    </row>
    <row r="1424" spans="1:6">
      <c r="A1424" t="s">
        <v>2813</v>
      </c>
      <c r="B1424" t="s">
        <v>2824</v>
      </c>
      <c r="C1424">
        <v>4</v>
      </c>
      <c r="F1424" s="898">
        <f ca="1">Actions!T5</f>
        <v>0</v>
      </c>
    </row>
    <row r="1425" spans="1:6">
      <c r="A1425" t="s">
        <v>2813</v>
      </c>
      <c r="B1425" t="s">
        <v>2824</v>
      </c>
      <c r="C1425">
        <v>5</v>
      </c>
      <c r="F1425" s="898">
        <f ca="1">Actions!T6</f>
        <v>0</v>
      </c>
    </row>
    <row r="1426" spans="1:6">
      <c r="A1426" t="s">
        <v>2813</v>
      </c>
      <c r="B1426" t="s">
        <v>2824</v>
      </c>
      <c r="C1426">
        <v>6</v>
      </c>
      <c r="F1426" s="898">
        <f ca="1">Actions!T7</f>
        <v>0</v>
      </c>
    </row>
    <row r="1427" spans="1:6">
      <c r="A1427" t="s">
        <v>2813</v>
      </c>
      <c r="B1427" t="s">
        <v>2824</v>
      </c>
      <c r="C1427">
        <v>7</v>
      </c>
      <c r="F1427" s="898">
        <f ca="1">Actions!T8</f>
        <v>0</v>
      </c>
    </row>
    <row r="1428" spans="1:6">
      <c r="A1428" t="s">
        <v>2813</v>
      </c>
      <c r="B1428" t="s">
        <v>2824</v>
      </c>
      <c r="C1428">
        <v>8</v>
      </c>
      <c r="F1428" s="898">
        <f ca="1">Actions!T9</f>
        <v>0</v>
      </c>
    </row>
    <row r="1429" spans="1:6">
      <c r="A1429" t="s">
        <v>2813</v>
      </c>
      <c r="B1429" t="s">
        <v>2824</v>
      </c>
      <c r="C1429">
        <v>9</v>
      </c>
      <c r="F1429" s="898">
        <f ca="1">Actions!T10</f>
        <v>0</v>
      </c>
    </row>
    <row r="1430" spans="1:6">
      <c r="A1430" t="s">
        <v>2813</v>
      </c>
      <c r="B1430" t="s">
        <v>2824</v>
      </c>
      <c r="C1430">
        <v>10</v>
      </c>
      <c r="F1430" s="898">
        <f ca="1">Actions!T11</f>
        <v>0</v>
      </c>
    </row>
    <row r="1431" spans="1:6">
      <c r="A1431" t="s">
        <v>2813</v>
      </c>
      <c r="B1431" t="s">
        <v>2824</v>
      </c>
      <c r="C1431">
        <v>11</v>
      </c>
      <c r="F1431" s="898">
        <f ca="1">Actions!T12</f>
        <v>0</v>
      </c>
    </row>
    <row r="1432" spans="1:6">
      <c r="A1432" t="s">
        <v>2813</v>
      </c>
      <c r="B1432" t="s">
        <v>2824</v>
      </c>
      <c r="C1432">
        <v>12</v>
      </c>
      <c r="F1432" s="898">
        <f ca="1">Actions!T13</f>
        <v>0</v>
      </c>
    </row>
    <row r="1433" spans="1:6">
      <c r="A1433" t="s">
        <v>2813</v>
      </c>
      <c r="B1433" t="s">
        <v>2824</v>
      </c>
      <c r="C1433">
        <v>13</v>
      </c>
      <c r="F1433" s="898">
        <f ca="1">Actions!T14</f>
        <v>0</v>
      </c>
    </row>
    <row r="1434" spans="1:6">
      <c r="A1434" t="s">
        <v>2813</v>
      </c>
      <c r="B1434" t="s">
        <v>2824</v>
      </c>
      <c r="C1434">
        <v>14</v>
      </c>
      <c r="F1434" s="898">
        <f ca="1">Actions!T15</f>
        <v>0</v>
      </c>
    </row>
    <row r="1435" spans="1:6">
      <c r="A1435" t="s">
        <v>2813</v>
      </c>
      <c r="B1435" t="s">
        <v>2824</v>
      </c>
      <c r="C1435">
        <v>15</v>
      </c>
      <c r="F1435" s="898">
        <f ca="1">Actions!T16</f>
        <v>0</v>
      </c>
    </row>
    <row r="1436" spans="1:6">
      <c r="A1436" t="s">
        <v>2813</v>
      </c>
      <c r="B1436" t="s">
        <v>2824</v>
      </c>
      <c r="C1436">
        <v>16</v>
      </c>
      <c r="F1436" s="898">
        <f ca="1">Actions!T17</f>
        <v>0</v>
      </c>
    </row>
    <row r="1437" spans="1:6">
      <c r="A1437" t="s">
        <v>2813</v>
      </c>
      <c r="B1437" t="s">
        <v>2824</v>
      </c>
      <c r="C1437">
        <v>17</v>
      </c>
      <c r="F1437" s="898">
        <f ca="1">Actions!T18</f>
        <v>0</v>
      </c>
    </row>
    <row r="1438" spans="1:6">
      <c r="A1438" t="s">
        <v>2813</v>
      </c>
      <c r="B1438" t="s">
        <v>2824</v>
      </c>
      <c r="C1438">
        <v>18</v>
      </c>
      <c r="F1438" s="898">
        <f ca="1">Actions!T19</f>
        <v>0</v>
      </c>
    </row>
    <row r="1439" spans="1:6">
      <c r="A1439" t="s">
        <v>2813</v>
      </c>
      <c r="B1439" t="s">
        <v>2824</v>
      </c>
      <c r="C1439">
        <v>19</v>
      </c>
      <c r="F1439" s="898">
        <f ca="1">Actions!T20</f>
        <v>0</v>
      </c>
    </row>
    <row r="1440" spans="1:6">
      <c r="A1440" t="s">
        <v>2813</v>
      </c>
      <c r="B1440" t="s">
        <v>2824</v>
      </c>
      <c r="C1440">
        <v>20</v>
      </c>
      <c r="F1440" s="898">
        <f ca="1">Actions!T21</f>
        <v>0</v>
      </c>
    </row>
    <row r="1441" spans="1:6">
      <c r="A1441" t="s">
        <v>2813</v>
      </c>
      <c r="B1441" t="s">
        <v>2824</v>
      </c>
      <c r="C1441">
        <v>21</v>
      </c>
      <c r="F1441" s="898">
        <f ca="1">Actions!T22</f>
        <v>0</v>
      </c>
    </row>
    <row r="1442" spans="1:6">
      <c r="A1442" t="s">
        <v>2813</v>
      </c>
      <c r="B1442" t="s">
        <v>2824</v>
      </c>
      <c r="C1442">
        <v>22</v>
      </c>
      <c r="F1442" s="898">
        <f ca="1">Actions!T23</f>
        <v>0</v>
      </c>
    </row>
    <row r="1443" spans="1:6">
      <c r="A1443" t="s">
        <v>2813</v>
      </c>
      <c r="B1443" t="s">
        <v>2824</v>
      </c>
      <c r="C1443">
        <v>23</v>
      </c>
      <c r="F1443" s="898">
        <f ca="1">Actions!T24</f>
        <v>0</v>
      </c>
    </row>
    <row r="1444" spans="1:6">
      <c r="A1444" t="s">
        <v>2813</v>
      </c>
      <c r="B1444" t="s">
        <v>2824</v>
      </c>
      <c r="C1444">
        <v>24</v>
      </c>
      <c r="F1444" s="898">
        <f ca="1">Actions!T25</f>
        <v>0</v>
      </c>
    </row>
    <row r="1445" spans="1:6">
      <c r="A1445" t="s">
        <v>2813</v>
      </c>
      <c r="B1445" t="s">
        <v>2824</v>
      </c>
      <c r="C1445">
        <v>25</v>
      </c>
      <c r="F1445" s="898">
        <f ca="1">Actions!T26</f>
        <v>0</v>
      </c>
    </row>
    <row r="1446" spans="1:6">
      <c r="A1446" t="s">
        <v>2813</v>
      </c>
      <c r="B1446" t="s">
        <v>2824</v>
      </c>
      <c r="C1446">
        <v>26</v>
      </c>
      <c r="F1446" s="898">
        <f ca="1">Actions!T27</f>
        <v>0</v>
      </c>
    </row>
    <row r="1447" spans="1:6">
      <c r="A1447" t="s">
        <v>2813</v>
      </c>
      <c r="B1447" t="s">
        <v>2824</v>
      </c>
      <c r="C1447">
        <v>27</v>
      </c>
      <c r="F1447" s="898">
        <f ca="1">Actions!T28</f>
        <v>0</v>
      </c>
    </row>
    <row r="1448" spans="1:6">
      <c r="A1448" t="s">
        <v>2813</v>
      </c>
      <c r="B1448" t="s">
        <v>2824</v>
      </c>
      <c r="C1448">
        <v>28</v>
      </c>
      <c r="F1448" s="898">
        <f ca="1">Actions!T29</f>
        <v>0</v>
      </c>
    </row>
    <row r="1449" spans="1:6">
      <c r="A1449" t="s">
        <v>2813</v>
      </c>
      <c r="B1449" t="s">
        <v>2824</v>
      </c>
      <c r="C1449">
        <v>29</v>
      </c>
      <c r="F1449" s="898">
        <f ca="1">Actions!T30</f>
        <v>0</v>
      </c>
    </row>
    <row r="1450" spans="1:6">
      <c r="A1450" t="s">
        <v>2813</v>
      </c>
      <c r="B1450" t="s">
        <v>2824</v>
      </c>
      <c r="C1450">
        <v>30</v>
      </c>
      <c r="F1450" s="898">
        <f ca="1">Actions!T31</f>
        <v>0</v>
      </c>
    </row>
    <row r="1451" spans="1:6">
      <c r="A1451" t="s">
        <v>2813</v>
      </c>
      <c r="B1451" t="s">
        <v>2824</v>
      </c>
      <c r="C1451">
        <v>31</v>
      </c>
      <c r="F1451" s="898">
        <f ca="1">Actions!T32</f>
        <v>0</v>
      </c>
    </row>
    <row r="1452" spans="1:6">
      <c r="A1452" t="s">
        <v>2813</v>
      </c>
      <c r="B1452" t="s">
        <v>2824</v>
      </c>
      <c r="C1452">
        <v>32</v>
      </c>
      <c r="F1452" s="898">
        <f ca="1">Actions!T33</f>
        <v>0</v>
      </c>
    </row>
    <row r="1453" spans="1:6">
      <c r="A1453" t="s">
        <v>2813</v>
      </c>
      <c r="B1453" t="s">
        <v>2824</v>
      </c>
      <c r="C1453">
        <v>33</v>
      </c>
      <c r="F1453" s="898">
        <f ca="1">Actions!T34</f>
        <v>0</v>
      </c>
    </row>
    <row r="1454" spans="1:6">
      <c r="A1454" t="s">
        <v>2813</v>
      </c>
      <c r="B1454" t="s">
        <v>2824</v>
      </c>
      <c r="C1454">
        <v>34</v>
      </c>
      <c r="F1454" s="898">
        <f ca="1">Actions!T35</f>
        <v>0</v>
      </c>
    </row>
    <row r="1455" spans="1:6">
      <c r="A1455" t="s">
        <v>2813</v>
      </c>
      <c r="B1455" t="s">
        <v>2824</v>
      </c>
      <c r="C1455">
        <v>35</v>
      </c>
      <c r="F1455" s="898">
        <f ca="1">Actions!T36</f>
        <v>0</v>
      </c>
    </row>
    <row r="1456" spans="1:6">
      <c r="A1456" t="s">
        <v>2813</v>
      </c>
      <c r="B1456" t="s">
        <v>2824</v>
      </c>
      <c r="C1456">
        <v>36</v>
      </c>
      <c r="F1456" s="898">
        <f ca="1">Actions!T37</f>
        <v>0</v>
      </c>
    </row>
    <row r="1457" spans="1:6">
      <c r="A1457" t="s">
        <v>2813</v>
      </c>
      <c r="B1457" t="s">
        <v>2824</v>
      </c>
      <c r="C1457">
        <v>37</v>
      </c>
      <c r="F1457" s="898">
        <f ca="1">Actions!T38</f>
        <v>0</v>
      </c>
    </row>
    <row r="1458" spans="1:6">
      <c r="A1458" t="s">
        <v>2813</v>
      </c>
      <c r="B1458" t="s">
        <v>2824</v>
      </c>
      <c r="C1458">
        <v>38</v>
      </c>
      <c r="F1458" s="898">
        <f ca="1">Actions!T39</f>
        <v>0</v>
      </c>
    </row>
    <row r="1459" spans="1:6">
      <c r="A1459" t="s">
        <v>2813</v>
      </c>
      <c r="B1459" t="s">
        <v>2824</v>
      </c>
      <c r="C1459">
        <v>39</v>
      </c>
      <c r="F1459" s="898">
        <f ca="1">Actions!T40</f>
        <v>0</v>
      </c>
    </row>
    <row r="1460" spans="1:6">
      <c r="A1460" t="s">
        <v>2813</v>
      </c>
      <c r="B1460" t="s">
        <v>2824</v>
      </c>
      <c r="C1460">
        <v>40</v>
      </c>
      <c r="F1460" s="898">
        <f ca="1">Actions!T41</f>
        <v>0</v>
      </c>
    </row>
    <row r="1461" spans="1:6">
      <c r="A1461" t="s">
        <v>2813</v>
      </c>
      <c r="B1461" t="s">
        <v>2824</v>
      </c>
      <c r="C1461">
        <v>41</v>
      </c>
      <c r="F1461" s="898">
        <f ca="1">Actions!T42</f>
        <v>0</v>
      </c>
    </row>
    <row r="1462" spans="1:6">
      <c r="A1462" t="s">
        <v>2813</v>
      </c>
      <c r="B1462" t="s">
        <v>2824</v>
      </c>
      <c r="C1462">
        <v>42</v>
      </c>
      <c r="F1462" s="898">
        <f ca="1">Actions!T43</f>
        <v>0</v>
      </c>
    </row>
    <row r="1463" spans="1:6">
      <c r="A1463" t="s">
        <v>2813</v>
      </c>
      <c r="B1463" t="s">
        <v>2824</v>
      </c>
      <c r="C1463">
        <v>43</v>
      </c>
      <c r="F1463" s="898">
        <f ca="1">Actions!T44</f>
        <v>0</v>
      </c>
    </row>
    <row r="1464" spans="1:6">
      <c r="A1464" t="s">
        <v>2813</v>
      </c>
      <c r="B1464" t="s">
        <v>2824</v>
      </c>
      <c r="C1464">
        <v>44</v>
      </c>
      <c r="F1464" s="898">
        <f ca="1">Actions!T45</f>
        <v>0</v>
      </c>
    </row>
    <row r="1465" spans="1:6">
      <c r="A1465" t="s">
        <v>2813</v>
      </c>
      <c r="B1465" t="s">
        <v>2824</v>
      </c>
      <c r="C1465">
        <v>45</v>
      </c>
      <c r="F1465" s="898">
        <f ca="1">Actions!T46</f>
        <v>0</v>
      </c>
    </row>
    <row r="1466" spans="1:6">
      <c r="A1466" t="s">
        <v>2813</v>
      </c>
      <c r="B1466" t="s">
        <v>2825</v>
      </c>
      <c r="C1466">
        <v>1</v>
      </c>
      <c r="F1466" s="898">
        <f ca="1">Actions!U2</f>
        <v>0</v>
      </c>
    </row>
    <row r="1467" spans="1:6">
      <c r="A1467" t="s">
        <v>2813</v>
      </c>
      <c r="B1467" t="s">
        <v>2825</v>
      </c>
      <c r="C1467">
        <v>2</v>
      </c>
      <c r="F1467" s="898">
        <f ca="1">Actions!U3</f>
        <v>0</v>
      </c>
    </row>
    <row r="1468" spans="1:6">
      <c r="A1468" t="s">
        <v>2813</v>
      </c>
      <c r="B1468" t="s">
        <v>2825</v>
      </c>
      <c r="C1468">
        <v>3</v>
      </c>
      <c r="F1468" s="898">
        <f ca="1">Actions!U4</f>
        <v>0</v>
      </c>
    </row>
    <row r="1469" spans="1:6">
      <c r="A1469" t="s">
        <v>2813</v>
      </c>
      <c r="B1469" t="s">
        <v>2825</v>
      </c>
      <c r="C1469">
        <v>4</v>
      </c>
      <c r="F1469" s="898">
        <f ca="1">Actions!U5</f>
        <v>0</v>
      </c>
    </row>
    <row r="1470" spans="1:6">
      <c r="A1470" t="s">
        <v>2813</v>
      </c>
      <c r="B1470" t="s">
        <v>2825</v>
      </c>
      <c r="C1470">
        <v>5</v>
      </c>
      <c r="F1470" s="898">
        <f ca="1">Actions!U6</f>
        <v>0</v>
      </c>
    </row>
    <row r="1471" spans="1:6">
      <c r="A1471" t="s">
        <v>2813</v>
      </c>
      <c r="B1471" t="s">
        <v>2825</v>
      </c>
      <c r="C1471">
        <v>6</v>
      </c>
      <c r="F1471" s="898">
        <f ca="1">Actions!U7</f>
        <v>0</v>
      </c>
    </row>
    <row r="1472" spans="1:6">
      <c r="A1472" t="s">
        <v>2813</v>
      </c>
      <c r="B1472" t="s">
        <v>2825</v>
      </c>
      <c r="C1472">
        <v>7</v>
      </c>
      <c r="F1472" s="898">
        <f ca="1">Actions!U8</f>
        <v>0</v>
      </c>
    </row>
    <row r="1473" spans="1:6">
      <c r="A1473" t="s">
        <v>2813</v>
      </c>
      <c r="B1473" t="s">
        <v>2825</v>
      </c>
      <c r="C1473">
        <v>8</v>
      </c>
      <c r="F1473" s="898">
        <f ca="1">Actions!U9</f>
        <v>0</v>
      </c>
    </row>
    <row r="1474" spans="1:6">
      <c r="A1474" t="s">
        <v>2813</v>
      </c>
      <c r="B1474" t="s">
        <v>2825</v>
      </c>
      <c r="C1474">
        <v>9</v>
      </c>
      <c r="F1474" s="898">
        <f ca="1">Actions!U10</f>
        <v>0</v>
      </c>
    </row>
    <row r="1475" spans="1:6">
      <c r="A1475" t="s">
        <v>2813</v>
      </c>
      <c r="B1475" t="s">
        <v>2825</v>
      </c>
      <c r="C1475">
        <v>10</v>
      </c>
      <c r="F1475" s="898">
        <f ca="1">Actions!U11</f>
        <v>0</v>
      </c>
    </row>
    <row r="1476" spans="1:6">
      <c r="A1476" t="s">
        <v>2813</v>
      </c>
      <c r="B1476" t="s">
        <v>2825</v>
      </c>
      <c r="C1476">
        <v>11</v>
      </c>
      <c r="F1476" s="898">
        <f ca="1">Actions!U12</f>
        <v>0</v>
      </c>
    </row>
    <row r="1477" spans="1:6">
      <c r="A1477" t="s">
        <v>2813</v>
      </c>
      <c r="B1477" t="s">
        <v>2825</v>
      </c>
      <c r="C1477">
        <v>12</v>
      </c>
      <c r="F1477" s="898">
        <f ca="1">Actions!U13</f>
        <v>0</v>
      </c>
    </row>
    <row r="1478" spans="1:6">
      <c r="A1478" t="s">
        <v>2813</v>
      </c>
      <c r="B1478" t="s">
        <v>2825</v>
      </c>
      <c r="C1478">
        <v>13</v>
      </c>
      <c r="F1478" s="898">
        <f ca="1">Actions!U14</f>
        <v>0</v>
      </c>
    </row>
    <row r="1479" spans="1:6">
      <c r="A1479" t="s">
        <v>2813</v>
      </c>
      <c r="B1479" t="s">
        <v>2825</v>
      </c>
      <c r="C1479">
        <v>14</v>
      </c>
      <c r="F1479" s="898">
        <f ca="1">Actions!U15</f>
        <v>0</v>
      </c>
    </row>
    <row r="1480" spans="1:6">
      <c r="A1480" t="s">
        <v>2813</v>
      </c>
      <c r="B1480" t="s">
        <v>2825</v>
      </c>
      <c r="C1480">
        <v>15</v>
      </c>
      <c r="F1480" s="898">
        <f ca="1">Actions!U16</f>
        <v>0</v>
      </c>
    </row>
    <row r="1481" spans="1:6">
      <c r="A1481" t="s">
        <v>2813</v>
      </c>
      <c r="B1481" t="s">
        <v>2825</v>
      </c>
      <c r="C1481">
        <v>16</v>
      </c>
      <c r="F1481" s="898">
        <f ca="1">Actions!U17</f>
        <v>0</v>
      </c>
    </row>
    <row r="1482" spans="1:6">
      <c r="A1482" t="s">
        <v>2813</v>
      </c>
      <c r="B1482" t="s">
        <v>2825</v>
      </c>
      <c r="C1482">
        <v>17</v>
      </c>
      <c r="F1482" s="898">
        <f ca="1">Actions!U18</f>
        <v>0</v>
      </c>
    </row>
    <row r="1483" spans="1:6">
      <c r="A1483" t="s">
        <v>2813</v>
      </c>
      <c r="B1483" t="s">
        <v>2825</v>
      </c>
      <c r="C1483">
        <v>18</v>
      </c>
      <c r="F1483" s="898">
        <f ca="1">Actions!U19</f>
        <v>0</v>
      </c>
    </row>
    <row r="1484" spans="1:6">
      <c r="A1484" t="s">
        <v>2813</v>
      </c>
      <c r="B1484" t="s">
        <v>2825</v>
      </c>
      <c r="C1484">
        <v>19</v>
      </c>
      <c r="F1484" s="898">
        <f ca="1">Actions!U20</f>
        <v>0</v>
      </c>
    </row>
    <row r="1485" spans="1:6">
      <c r="A1485" t="s">
        <v>2813</v>
      </c>
      <c r="B1485" t="s">
        <v>2825</v>
      </c>
      <c r="C1485">
        <v>20</v>
      </c>
      <c r="F1485" s="898">
        <f ca="1">Actions!U21</f>
        <v>0</v>
      </c>
    </row>
    <row r="1486" spans="1:6">
      <c r="A1486" t="s">
        <v>2813</v>
      </c>
      <c r="B1486" t="s">
        <v>2825</v>
      </c>
      <c r="C1486">
        <v>21</v>
      </c>
      <c r="F1486" s="898">
        <f ca="1">Actions!U22</f>
        <v>0</v>
      </c>
    </row>
    <row r="1487" spans="1:6">
      <c r="A1487" t="s">
        <v>2813</v>
      </c>
      <c r="B1487" t="s">
        <v>2825</v>
      </c>
      <c r="C1487">
        <v>22</v>
      </c>
      <c r="F1487" s="898">
        <f ca="1">Actions!U23</f>
        <v>0</v>
      </c>
    </row>
    <row r="1488" spans="1:6">
      <c r="A1488" t="s">
        <v>2813</v>
      </c>
      <c r="B1488" t="s">
        <v>2825</v>
      </c>
      <c r="C1488">
        <v>23</v>
      </c>
      <c r="F1488" s="898">
        <f ca="1">Actions!U24</f>
        <v>0</v>
      </c>
    </row>
    <row r="1489" spans="1:6">
      <c r="A1489" t="s">
        <v>2813</v>
      </c>
      <c r="B1489" t="s">
        <v>2825</v>
      </c>
      <c r="C1489">
        <v>24</v>
      </c>
      <c r="F1489" s="898">
        <f ca="1">Actions!U25</f>
        <v>0</v>
      </c>
    </row>
    <row r="1490" spans="1:6">
      <c r="A1490" t="s">
        <v>2813</v>
      </c>
      <c r="B1490" t="s">
        <v>2825</v>
      </c>
      <c r="C1490">
        <v>25</v>
      </c>
      <c r="F1490" s="898">
        <f ca="1">Actions!U26</f>
        <v>0</v>
      </c>
    </row>
    <row r="1491" spans="1:6">
      <c r="A1491" t="s">
        <v>2813</v>
      </c>
      <c r="B1491" t="s">
        <v>2825</v>
      </c>
      <c r="C1491">
        <v>26</v>
      </c>
      <c r="F1491" s="898">
        <f ca="1">Actions!U27</f>
        <v>0</v>
      </c>
    </row>
    <row r="1492" spans="1:6">
      <c r="A1492" t="s">
        <v>2813</v>
      </c>
      <c r="B1492" t="s">
        <v>2825</v>
      </c>
      <c r="C1492">
        <v>27</v>
      </c>
      <c r="F1492" s="898">
        <f ca="1">Actions!U28</f>
        <v>0</v>
      </c>
    </row>
    <row r="1493" spans="1:6">
      <c r="A1493" t="s">
        <v>2813</v>
      </c>
      <c r="B1493" t="s">
        <v>2825</v>
      </c>
      <c r="C1493">
        <v>28</v>
      </c>
      <c r="F1493" s="898">
        <f ca="1">Actions!U29</f>
        <v>0</v>
      </c>
    </row>
    <row r="1494" spans="1:6">
      <c r="A1494" t="s">
        <v>2813</v>
      </c>
      <c r="B1494" t="s">
        <v>2825</v>
      </c>
      <c r="C1494">
        <v>29</v>
      </c>
      <c r="F1494" s="898">
        <f ca="1">Actions!U30</f>
        <v>0</v>
      </c>
    </row>
    <row r="1495" spans="1:6">
      <c r="A1495" t="s">
        <v>2813</v>
      </c>
      <c r="B1495" t="s">
        <v>2825</v>
      </c>
      <c r="C1495">
        <v>30</v>
      </c>
      <c r="F1495" s="898">
        <f ca="1">Actions!U31</f>
        <v>0</v>
      </c>
    </row>
    <row r="1496" spans="1:6">
      <c r="A1496" t="s">
        <v>2813</v>
      </c>
      <c r="B1496" t="s">
        <v>2825</v>
      </c>
      <c r="C1496">
        <v>31</v>
      </c>
      <c r="F1496" s="898">
        <f ca="1">Actions!U32</f>
        <v>0</v>
      </c>
    </row>
    <row r="1497" spans="1:6">
      <c r="A1497" t="s">
        <v>2813</v>
      </c>
      <c r="B1497" t="s">
        <v>2825</v>
      </c>
      <c r="C1497">
        <v>32</v>
      </c>
      <c r="F1497" s="898">
        <f ca="1">Actions!U33</f>
        <v>0</v>
      </c>
    </row>
    <row r="1498" spans="1:6">
      <c r="A1498" t="s">
        <v>2813</v>
      </c>
      <c r="B1498" t="s">
        <v>2825</v>
      </c>
      <c r="C1498">
        <v>33</v>
      </c>
      <c r="F1498" s="898">
        <f ca="1">Actions!U34</f>
        <v>0</v>
      </c>
    </row>
    <row r="1499" spans="1:6">
      <c r="A1499" t="s">
        <v>2813</v>
      </c>
      <c r="B1499" t="s">
        <v>2825</v>
      </c>
      <c r="C1499">
        <v>34</v>
      </c>
      <c r="F1499" s="898">
        <f ca="1">Actions!U35</f>
        <v>0</v>
      </c>
    </row>
    <row r="1500" spans="1:6">
      <c r="A1500" t="s">
        <v>2813</v>
      </c>
      <c r="B1500" t="s">
        <v>2825</v>
      </c>
      <c r="C1500">
        <v>35</v>
      </c>
      <c r="F1500" s="898">
        <f ca="1">Actions!U36</f>
        <v>0</v>
      </c>
    </row>
    <row r="1501" spans="1:6">
      <c r="A1501" t="s">
        <v>2813</v>
      </c>
      <c r="B1501" t="s">
        <v>2825</v>
      </c>
      <c r="C1501">
        <v>36</v>
      </c>
      <c r="F1501" s="898">
        <f ca="1">Actions!U37</f>
        <v>0</v>
      </c>
    </row>
    <row r="1502" spans="1:6">
      <c r="A1502" t="s">
        <v>2813</v>
      </c>
      <c r="B1502" t="s">
        <v>2825</v>
      </c>
      <c r="C1502">
        <v>37</v>
      </c>
      <c r="F1502" s="898">
        <f ca="1">Actions!U38</f>
        <v>0</v>
      </c>
    </row>
    <row r="1503" spans="1:6">
      <c r="A1503" t="s">
        <v>2813</v>
      </c>
      <c r="B1503" t="s">
        <v>2825</v>
      </c>
      <c r="C1503">
        <v>38</v>
      </c>
      <c r="F1503" s="898">
        <f ca="1">Actions!U39</f>
        <v>0</v>
      </c>
    </row>
    <row r="1504" spans="1:6">
      <c r="A1504" t="s">
        <v>2813</v>
      </c>
      <c r="B1504" t="s">
        <v>2825</v>
      </c>
      <c r="C1504">
        <v>39</v>
      </c>
      <c r="F1504" s="898">
        <f ca="1">Actions!U40</f>
        <v>0</v>
      </c>
    </row>
    <row r="1505" spans="1:6">
      <c r="A1505" t="s">
        <v>2813</v>
      </c>
      <c r="B1505" t="s">
        <v>2825</v>
      </c>
      <c r="C1505">
        <v>40</v>
      </c>
      <c r="F1505" s="898">
        <f ca="1">Actions!U41</f>
        <v>0</v>
      </c>
    </row>
    <row r="1506" spans="1:6">
      <c r="A1506" t="s">
        <v>2813</v>
      </c>
      <c r="B1506" t="s">
        <v>2825</v>
      </c>
      <c r="C1506">
        <v>41</v>
      </c>
      <c r="F1506" s="898">
        <f ca="1">Actions!U42</f>
        <v>0</v>
      </c>
    </row>
    <row r="1507" spans="1:6">
      <c r="A1507" t="s">
        <v>2813</v>
      </c>
      <c r="B1507" t="s">
        <v>2825</v>
      </c>
      <c r="C1507">
        <v>42</v>
      </c>
      <c r="F1507" s="898">
        <f ca="1">Actions!U43</f>
        <v>0</v>
      </c>
    </row>
    <row r="1508" spans="1:6">
      <c r="A1508" t="s">
        <v>2813</v>
      </c>
      <c r="B1508" t="s">
        <v>2825</v>
      </c>
      <c r="C1508">
        <v>43</v>
      </c>
      <c r="F1508" s="898">
        <f ca="1">Actions!U44</f>
        <v>0</v>
      </c>
    </row>
    <row r="1509" spans="1:6">
      <c r="A1509" t="s">
        <v>2813</v>
      </c>
      <c r="B1509" t="s">
        <v>2825</v>
      </c>
      <c r="C1509">
        <v>44</v>
      </c>
      <c r="F1509" s="898">
        <f ca="1">Actions!U45</f>
        <v>0</v>
      </c>
    </row>
    <row r="1510" spans="1:6">
      <c r="A1510" t="s">
        <v>2813</v>
      </c>
      <c r="B1510" t="s">
        <v>2825</v>
      </c>
      <c r="C1510">
        <v>45</v>
      </c>
      <c r="F1510" s="898">
        <f ca="1">Actions!U46</f>
        <v>0</v>
      </c>
    </row>
    <row r="1511" spans="1:6">
      <c r="A1511" t="s">
        <v>2813</v>
      </c>
      <c r="B1511" t="s">
        <v>2826</v>
      </c>
      <c r="C1511">
        <v>1</v>
      </c>
      <c r="F1511" s="898">
        <f ca="1">Actions!V2</f>
        <v>0</v>
      </c>
    </row>
    <row r="1512" spans="1:6">
      <c r="A1512" t="s">
        <v>2813</v>
      </c>
      <c r="B1512" t="s">
        <v>2826</v>
      </c>
      <c r="C1512">
        <v>2</v>
      </c>
      <c r="F1512" s="898">
        <f ca="1">Actions!V3</f>
        <v>0</v>
      </c>
    </row>
    <row r="1513" spans="1:6">
      <c r="A1513" t="s">
        <v>2813</v>
      </c>
      <c r="B1513" t="s">
        <v>2826</v>
      </c>
      <c r="C1513">
        <v>3</v>
      </c>
      <c r="F1513" s="898">
        <f ca="1">Actions!V4</f>
        <v>0</v>
      </c>
    </row>
    <row r="1514" spans="1:6">
      <c r="A1514" t="s">
        <v>2813</v>
      </c>
      <c r="B1514" t="s">
        <v>2826</v>
      </c>
      <c r="C1514">
        <v>4</v>
      </c>
      <c r="F1514" s="898">
        <f ca="1">Actions!V5</f>
        <v>0</v>
      </c>
    </row>
    <row r="1515" spans="1:6">
      <c r="A1515" t="s">
        <v>2813</v>
      </c>
      <c r="B1515" t="s">
        <v>2826</v>
      </c>
      <c r="C1515">
        <v>5</v>
      </c>
      <c r="F1515" s="898">
        <f ca="1">Actions!V6</f>
        <v>0</v>
      </c>
    </row>
    <row r="1516" spans="1:6">
      <c r="A1516" t="s">
        <v>2813</v>
      </c>
      <c r="B1516" t="s">
        <v>2826</v>
      </c>
      <c r="C1516">
        <v>6</v>
      </c>
      <c r="F1516" s="898">
        <f ca="1">Actions!V7</f>
        <v>0</v>
      </c>
    </row>
    <row r="1517" spans="1:6">
      <c r="A1517" t="s">
        <v>2813</v>
      </c>
      <c r="B1517" t="s">
        <v>2826</v>
      </c>
      <c r="C1517">
        <v>7</v>
      </c>
      <c r="F1517" s="898">
        <f ca="1">Actions!V8</f>
        <v>0</v>
      </c>
    </row>
    <row r="1518" spans="1:6">
      <c r="A1518" t="s">
        <v>2813</v>
      </c>
      <c r="B1518" t="s">
        <v>2826</v>
      </c>
      <c r="C1518">
        <v>8</v>
      </c>
      <c r="F1518" s="898">
        <f ca="1">Actions!V9</f>
        <v>0</v>
      </c>
    </row>
    <row r="1519" spans="1:6">
      <c r="A1519" t="s">
        <v>2813</v>
      </c>
      <c r="B1519" t="s">
        <v>2826</v>
      </c>
      <c r="C1519">
        <v>9</v>
      </c>
      <c r="F1519" s="898">
        <f ca="1">Actions!V10</f>
        <v>0</v>
      </c>
    </row>
    <row r="1520" spans="1:6">
      <c r="A1520" t="s">
        <v>2813</v>
      </c>
      <c r="B1520" t="s">
        <v>2826</v>
      </c>
      <c r="C1520">
        <v>10</v>
      </c>
      <c r="F1520" s="898">
        <f ca="1">Actions!V11</f>
        <v>0</v>
      </c>
    </row>
    <row r="1521" spans="1:6">
      <c r="A1521" t="s">
        <v>2813</v>
      </c>
      <c r="B1521" t="s">
        <v>2826</v>
      </c>
      <c r="C1521">
        <v>11</v>
      </c>
      <c r="F1521" s="898">
        <f ca="1">Actions!V12</f>
        <v>0</v>
      </c>
    </row>
    <row r="1522" spans="1:6">
      <c r="A1522" t="s">
        <v>2813</v>
      </c>
      <c r="B1522" t="s">
        <v>2826</v>
      </c>
      <c r="C1522">
        <v>12</v>
      </c>
      <c r="F1522" s="898">
        <f ca="1">Actions!V13</f>
        <v>0</v>
      </c>
    </row>
    <row r="1523" spans="1:6">
      <c r="A1523" t="s">
        <v>2813</v>
      </c>
      <c r="B1523" t="s">
        <v>2826</v>
      </c>
      <c r="C1523">
        <v>13</v>
      </c>
      <c r="F1523" s="898">
        <f ca="1">Actions!V14</f>
        <v>0</v>
      </c>
    </row>
    <row r="1524" spans="1:6">
      <c r="A1524" t="s">
        <v>2813</v>
      </c>
      <c r="B1524" t="s">
        <v>2826</v>
      </c>
      <c r="C1524">
        <v>14</v>
      </c>
      <c r="F1524" s="898">
        <f ca="1">Actions!V15</f>
        <v>0</v>
      </c>
    </row>
    <row r="1525" spans="1:6">
      <c r="A1525" t="s">
        <v>2813</v>
      </c>
      <c r="B1525" t="s">
        <v>2826</v>
      </c>
      <c r="C1525">
        <v>15</v>
      </c>
      <c r="F1525" s="898">
        <f ca="1">Actions!V16</f>
        <v>0</v>
      </c>
    </row>
    <row r="1526" spans="1:6">
      <c r="A1526" t="s">
        <v>2813</v>
      </c>
      <c r="B1526" t="s">
        <v>2826</v>
      </c>
      <c r="C1526">
        <v>16</v>
      </c>
      <c r="F1526" s="898">
        <f ca="1">Actions!V17</f>
        <v>0</v>
      </c>
    </row>
    <row r="1527" spans="1:6">
      <c r="A1527" t="s">
        <v>2813</v>
      </c>
      <c r="B1527" t="s">
        <v>2826</v>
      </c>
      <c r="C1527">
        <v>17</v>
      </c>
      <c r="F1527" s="898">
        <f ca="1">Actions!V18</f>
        <v>0</v>
      </c>
    </row>
    <row r="1528" spans="1:6">
      <c r="A1528" t="s">
        <v>2813</v>
      </c>
      <c r="B1528" t="s">
        <v>2826</v>
      </c>
      <c r="C1528">
        <v>18</v>
      </c>
      <c r="F1528" s="898">
        <f ca="1">Actions!V19</f>
        <v>0</v>
      </c>
    </row>
    <row r="1529" spans="1:6">
      <c r="A1529" t="s">
        <v>2813</v>
      </c>
      <c r="B1529" t="s">
        <v>2826</v>
      </c>
      <c r="C1529">
        <v>19</v>
      </c>
      <c r="F1529" s="898">
        <f ca="1">Actions!V20</f>
        <v>0</v>
      </c>
    </row>
    <row r="1530" spans="1:6">
      <c r="A1530" t="s">
        <v>2813</v>
      </c>
      <c r="B1530" t="s">
        <v>2826</v>
      </c>
      <c r="C1530">
        <v>20</v>
      </c>
      <c r="F1530" s="898">
        <f ca="1">Actions!V21</f>
        <v>0</v>
      </c>
    </row>
    <row r="1531" spans="1:6">
      <c r="A1531" t="s">
        <v>2813</v>
      </c>
      <c r="B1531" t="s">
        <v>2826</v>
      </c>
      <c r="C1531">
        <v>21</v>
      </c>
      <c r="F1531" s="898">
        <f ca="1">Actions!V22</f>
        <v>0</v>
      </c>
    </row>
    <row r="1532" spans="1:6">
      <c r="A1532" t="s">
        <v>2813</v>
      </c>
      <c r="B1532" t="s">
        <v>2826</v>
      </c>
      <c r="C1532">
        <v>22</v>
      </c>
      <c r="F1532" s="898">
        <f ca="1">Actions!V23</f>
        <v>0</v>
      </c>
    </row>
    <row r="1533" spans="1:6">
      <c r="A1533" t="s">
        <v>2813</v>
      </c>
      <c r="B1533" t="s">
        <v>2826</v>
      </c>
      <c r="C1533">
        <v>23</v>
      </c>
      <c r="F1533" s="898">
        <f ca="1">Actions!V24</f>
        <v>0</v>
      </c>
    </row>
    <row r="1534" spans="1:6">
      <c r="A1534" t="s">
        <v>2813</v>
      </c>
      <c r="B1534" t="s">
        <v>2826</v>
      </c>
      <c r="C1534">
        <v>24</v>
      </c>
      <c r="F1534" s="898">
        <f ca="1">Actions!V25</f>
        <v>0</v>
      </c>
    </row>
    <row r="1535" spans="1:6">
      <c r="A1535" t="s">
        <v>2813</v>
      </c>
      <c r="B1535" t="s">
        <v>2826</v>
      </c>
      <c r="C1535">
        <v>25</v>
      </c>
      <c r="F1535" s="898">
        <f ca="1">Actions!V26</f>
        <v>0</v>
      </c>
    </row>
    <row r="1536" spans="1:6">
      <c r="A1536" t="s">
        <v>2813</v>
      </c>
      <c r="B1536" t="s">
        <v>2826</v>
      </c>
      <c r="C1536">
        <v>26</v>
      </c>
      <c r="F1536" s="898">
        <f ca="1">Actions!V27</f>
        <v>0</v>
      </c>
    </row>
    <row r="1537" spans="1:6">
      <c r="A1537" t="s">
        <v>2813</v>
      </c>
      <c r="B1537" t="s">
        <v>2826</v>
      </c>
      <c r="C1537">
        <v>27</v>
      </c>
      <c r="F1537" s="898">
        <f ca="1">Actions!V28</f>
        <v>0</v>
      </c>
    </row>
    <row r="1538" spans="1:6">
      <c r="A1538" t="s">
        <v>2813</v>
      </c>
      <c r="B1538" t="s">
        <v>2826</v>
      </c>
      <c r="C1538">
        <v>28</v>
      </c>
      <c r="F1538" s="898">
        <f ca="1">Actions!V29</f>
        <v>0</v>
      </c>
    </row>
    <row r="1539" spans="1:6">
      <c r="A1539" t="s">
        <v>2813</v>
      </c>
      <c r="B1539" t="s">
        <v>2826</v>
      </c>
      <c r="C1539">
        <v>29</v>
      </c>
      <c r="F1539" s="898">
        <f ca="1">Actions!V30</f>
        <v>0</v>
      </c>
    </row>
    <row r="1540" spans="1:6">
      <c r="A1540" t="s">
        <v>2813</v>
      </c>
      <c r="B1540" t="s">
        <v>2826</v>
      </c>
      <c r="C1540">
        <v>30</v>
      </c>
      <c r="F1540" s="898">
        <f ca="1">Actions!V31</f>
        <v>0</v>
      </c>
    </row>
    <row r="1541" spans="1:6">
      <c r="A1541" t="s">
        <v>2813</v>
      </c>
      <c r="B1541" t="s">
        <v>2826</v>
      </c>
      <c r="C1541">
        <v>31</v>
      </c>
      <c r="F1541" s="898">
        <f ca="1">Actions!V32</f>
        <v>0</v>
      </c>
    </row>
    <row r="1542" spans="1:6">
      <c r="A1542" t="s">
        <v>2813</v>
      </c>
      <c r="B1542" t="s">
        <v>2826</v>
      </c>
      <c r="C1542">
        <v>32</v>
      </c>
      <c r="F1542" s="898">
        <f ca="1">Actions!V33</f>
        <v>0</v>
      </c>
    </row>
    <row r="1543" spans="1:6">
      <c r="A1543" t="s">
        <v>2813</v>
      </c>
      <c r="B1543" t="s">
        <v>2826</v>
      </c>
      <c r="C1543">
        <v>33</v>
      </c>
      <c r="F1543" s="898">
        <f ca="1">Actions!V34</f>
        <v>0</v>
      </c>
    </row>
    <row r="1544" spans="1:6">
      <c r="A1544" t="s">
        <v>2813</v>
      </c>
      <c r="B1544" t="s">
        <v>2826</v>
      </c>
      <c r="C1544">
        <v>34</v>
      </c>
      <c r="F1544" s="898">
        <f ca="1">Actions!V35</f>
        <v>0</v>
      </c>
    </row>
    <row r="1545" spans="1:6">
      <c r="A1545" t="s">
        <v>2813</v>
      </c>
      <c r="B1545" t="s">
        <v>2826</v>
      </c>
      <c r="C1545">
        <v>35</v>
      </c>
      <c r="F1545" s="898">
        <f ca="1">Actions!V36</f>
        <v>0</v>
      </c>
    </row>
    <row r="1546" spans="1:6">
      <c r="A1546" t="s">
        <v>2813</v>
      </c>
      <c r="B1546" t="s">
        <v>2826</v>
      </c>
      <c r="C1546">
        <v>36</v>
      </c>
      <c r="F1546" s="898">
        <f ca="1">Actions!V37</f>
        <v>0</v>
      </c>
    </row>
    <row r="1547" spans="1:6">
      <c r="A1547" t="s">
        <v>2813</v>
      </c>
      <c r="B1547" t="s">
        <v>2826</v>
      </c>
      <c r="C1547">
        <v>37</v>
      </c>
      <c r="F1547" s="898">
        <f ca="1">Actions!V38</f>
        <v>0</v>
      </c>
    </row>
    <row r="1548" spans="1:6">
      <c r="A1548" t="s">
        <v>2813</v>
      </c>
      <c r="B1548" t="s">
        <v>2826</v>
      </c>
      <c r="C1548">
        <v>38</v>
      </c>
      <c r="F1548" s="898">
        <f ca="1">Actions!V39</f>
        <v>0</v>
      </c>
    </row>
    <row r="1549" spans="1:6">
      <c r="A1549" t="s">
        <v>2813</v>
      </c>
      <c r="B1549" t="s">
        <v>2826</v>
      </c>
      <c r="C1549">
        <v>39</v>
      </c>
      <c r="F1549" s="898">
        <f ca="1">Actions!V40</f>
        <v>0</v>
      </c>
    </row>
    <row r="1550" spans="1:6">
      <c r="A1550" t="s">
        <v>2813</v>
      </c>
      <c r="B1550" t="s">
        <v>2826</v>
      </c>
      <c r="C1550">
        <v>40</v>
      </c>
      <c r="F1550" s="898">
        <f ca="1">Actions!V41</f>
        <v>0</v>
      </c>
    </row>
    <row r="1551" spans="1:6">
      <c r="A1551" t="s">
        <v>2813</v>
      </c>
      <c r="B1551" t="s">
        <v>2826</v>
      </c>
      <c r="C1551">
        <v>41</v>
      </c>
      <c r="F1551" s="898">
        <f ca="1">Actions!V42</f>
        <v>0</v>
      </c>
    </row>
    <row r="1552" spans="1:6">
      <c r="A1552" t="s">
        <v>2813</v>
      </c>
      <c r="B1552" t="s">
        <v>2826</v>
      </c>
      <c r="C1552">
        <v>42</v>
      </c>
      <c r="F1552" s="898">
        <f ca="1">Actions!V43</f>
        <v>0</v>
      </c>
    </row>
    <row r="1553" spans="1:6">
      <c r="A1553" t="s">
        <v>2813</v>
      </c>
      <c r="B1553" t="s">
        <v>2826</v>
      </c>
      <c r="C1553">
        <v>43</v>
      </c>
      <c r="F1553" s="898">
        <f ca="1">Actions!V44</f>
        <v>0</v>
      </c>
    </row>
    <row r="1554" spans="1:6">
      <c r="A1554" t="s">
        <v>2813</v>
      </c>
      <c r="B1554" t="s">
        <v>2826</v>
      </c>
      <c r="C1554">
        <v>44</v>
      </c>
      <c r="F1554" s="898">
        <f ca="1">Actions!V45</f>
        <v>0</v>
      </c>
    </row>
    <row r="1555" spans="1:6">
      <c r="A1555" t="s">
        <v>2813</v>
      </c>
      <c r="B1555" t="s">
        <v>2826</v>
      </c>
      <c r="C1555">
        <v>45</v>
      </c>
      <c r="F1555" s="898">
        <f ca="1">Actions!V46</f>
        <v>0</v>
      </c>
    </row>
    <row r="1556" spans="1:6">
      <c r="A1556" t="s">
        <v>2813</v>
      </c>
      <c r="B1556" t="s">
        <v>2827</v>
      </c>
      <c r="C1556">
        <v>1</v>
      </c>
      <c r="F1556" s="898" t="str">
        <f ca="1">Actions!W2</f>
        <v>Commune</v>
      </c>
    </row>
    <row r="1557" spans="1:6">
      <c r="A1557" t="s">
        <v>2813</v>
      </c>
      <c r="B1557" t="s">
        <v>2827</v>
      </c>
      <c r="C1557">
        <v>2</v>
      </c>
      <c r="F1557" s="898">
        <f ca="1">Actions!W3</f>
        <v>0</v>
      </c>
    </row>
    <row r="1558" spans="1:6">
      <c r="A1558" t="s">
        <v>2813</v>
      </c>
      <c r="B1558" t="s">
        <v>2827</v>
      </c>
      <c r="C1558">
        <v>3</v>
      </c>
      <c r="F1558" s="898">
        <f ca="1">Actions!W4</f>
        <v>0</v>
      </c>
    </row>
    <row r="1559" spans="1:6">
      <c r="A1559" t="s">
        <v>2813</v>
      </c>
      <c r="B1559" t="s">
        <v>2827</v>
      </c>
      <c r="C1559">
        <v>4</v>
      </c>
      <c r="F1559" s="898">
        <f ca="1">Actions!W5</f>
        <v>0</v>
      </c>
    </row>
    <row r="1560" spans="1:6">
      <c r="A1560" t="s">
        <v>2813</v>
      </c>
      <c r="B1560" t="s">
        <v>2827</v>
      </c>
      <c r="C1560">
        <v>5</v>
      </c>
      <c r="F1560" s="898">
        <f ca="1">Actions!W6</f>
        <v>0</v>
      </c>
    </row>
    <row r="1561" spans="1:6">
      <c r="A1561" t="s">
        <v>2813</v>
      </c>
      <c r="B1561" t="s">
        <v>2827</v>
      </c>
      <c r="C1561">
        <v>6</v>
      </c>
      <c r="F1561" s="898">
        <f ca="1">Actions!W7</f>
        <v>0</v>
      </c>
    </row>
    <row r="1562" spans="1:6">
      <c r="A1562" t="s">
        <v>2813</v>
      </c>
      <c r="B1562" t="s">
        <v>2827</v>
      </c>
      <c r="C1562">
        <v>7</v>
      </c>
      <c r="F1562" s="898">
        <f ca="1">Actions!W8</f>
        <v>0</v>
      </c>
    </row>
    <row r="1563" spans="1:6">
      <c r="A1563" t="s">
        <v>2813</v>
      </c>
      <c r="B1563" t="s">
        <v>2827</v>
      </c>
      <c r="C1563">
        <v>8</v>
      </c>
      <c r="F1563" s="898">
        <f ca="1">Actions!W9</f>
        <v>0</v>
      </c>
    </row>
    <row r="1564" spans="1:6">
      <c r="A1564" t="s">
        <v>2813</v>
      </c>
      <c r="B1564" t="s">
        <v>2827</v>
      </c>
      <c r="C1564">
        <v>9</v>
      </c>
      <c r="F1564" s="898">
        <f ca="1">Actions!W10</f>
        <v>0</v>
      </c>
    </row>
    <row r="1565" spans="1:6">
      <c r="A1565" t="s">
        <v>2813</v>
      </c>
      <c r="B1565" t="s">
        <v>2827</v>
      </c>
      <c r="C1565">
        <v>10</v>
      </c>
      <c r="F1565" s="898">
        <f ca="1">Actions!W11</f>
        <v>0</v>
      </c>
    </row>
    <row r="1566" spans="1:6">
      <c r="A1566" t="s">
        <v>2813</v>
      </c>
      <c r="B1566" t="s">
        <v>2827</v>
      </c>
      <c r="C1566">
        <v>11</v>
      </c>
      <c r="F1566" s="898">
        <f ca="1">Actions!W12</f>
        <v>0</v>
      </c>
    </row>
    <row r="1567" spans="1:6">
      <c r="A1567" t="s">
        <v>2813</v>
      </c>
      <c r="B1567" t="s">
        <v>2827</v>
      </c>
      <c r="C1567">
        <v>12</v>
      </c>
      <c r="F1567" s="898">
        <f ca="1">Actions!W13</f>
        <v>0</v>
      </c>
    </row>
    <row r="1568" spans="1:6">
      <c r="A1568" t="s">
        <v>2813</v>
      </c>
      <c r="B1568" t="s">
        <v>2827</v>
      </c>
      <c r="C1568">
        <v>13</v>
      </c>
      <c r="F1568" s="898">
        <f ca="1">Actions!W14</f>
        <v>0</v>
      </c>
    </row>
    <row r="1569" spans="1:6">
      <c r="A1569" t="s">
        <v>2813</v>
      </c>
      <c r="B1569" t="s">
        <v>2827</v>
      </c>
      <c r="C1569">
        <v>14</v>
      </c>
      <c r="F1569" s="898">
        <f ca="1">Actions!W15</f>
        <v>0</v>
      </c>
    </row>
    <row r="1570" spans="1:6">
      <c r="A1570" t="s">
        <v>2813</v>
      </c>
      <c r="B1570" t="s">
        <v>2827</v>
      </c>
      <c r="C1570">
        <v>15</v>
      </c>
      <c r="F1570" s="898">
        <f ca="1">Actions!W16</f>
        <v>0</v>
      </c>
    </row>
    <row r="1571" spans="1:6">
      <c r="A1571" t="s">
        <v>2813</v>
      </c>
      <c r="B1571" t="s">
        <v>2827</v>
      </c>
      <c r="C1571">
        <v>16</v>
      </c>
      <c r="F1571" s="898">
        <f ca="1">Actions!W17</f>
        <v>0</v>
      </c>
    </row>
    <row r="1572" spans="1:6">
      <c r="A1572" t="s">
        <v>2813</v>
      </c>
      <c r="B1572" t="s">
        <v>2827</v>
      </c>
      <c r="C1572">
        <v>17</v>
      </c>
      <c r="F1572" s="898">
        <f ca="1">Actions!W18</f>
        <v>0</v>
      </c>
    </row>
    <row r="1573" spans="1:6">
      <c r="A1573" t="s">
        <v>2813</v>
      </c>
      <c r="B1573" t="s">
        <v>2827</v>
      </c>
      <c r="C1573">
        <v>18</v>
      </c>
      <c r="F1573" s="898">
        <f ca="1">Actions!W19</f>
        <v>0</v>
      </c>
    </row>
    <row r="1574" spans="1:6">
      <c r="A1574" t="s">
        <v>2813</v>
      </c>
      <c r="B1574" t="s">
        <v>2827</v>
      </c>
      <c r="C1574">
        <v>19</v>
      </c>
      <c r="F1574" s="898">
        <f ca="1">Actions!W20</f>
        <v>0</v>
      </c>
    </row>
    <row r="1575" spans="1:6">
      <c r="A1575" t="s">
        <v>2813</v>
      </c>
      <c r="B1575" t="s">
        <v>2827</v>
      </c>
      <c r="C1575">
        <v>20</v>
      </c>
      <c r="F1575" s="898">
        <f ca="1">Actions!W21</f>
        <v>0</v>
      </c>
    </row>
    <row r="1576" spans="1:6">
      <c r="A1576" t="s">
        <v>2813</v>
      </c>
      <c r="B1576" t="s">
        <v>2827</v>
      </c>
      <c r="C1576">
        <v>21</v>
      </c>
      <c r="F1576" s="898">
        <f ca="1">Actions!W22</f>
        <v>0</v>
      </c>
    </row>
    <row r="1577" spans="1:6">
      <c r="A1577" t="s">
        <v>2813</v>
      </c>
      <c r="B1577" t="s">
        <v>2827</v>
      </c>
      <c r="C1577">
        <v>22</v>
      </c>
      <c r="F1577" s="898">
        <f ca="1">Actions!W23</f>
        <v>0</v>
      </c>
    </row>
    <row r="1578" spans="1:6">
      <c r="A1578" t="s">
        <v>2813</v>
      </c>
      <c r="B1578" t="s">
        <v>2827</v>
      </c>
      <c r="C1578">
        <v>23</v>
      </c>
      <c r="F1578" s="898">
        <f ca="1">Actions!W24</f>
        <v>0</v>
      </c>
    </row>
    <row r="1579" spans="1:6">
      <c r="A1579" t="s">
        <v>2813</v>
      </c>
      <c r="B1579" t="s">
        <v>2827</v>
      </c>
      <c r="C1579">
        <v>24</v>
      </c>
      <c r="F1579" s="898">
        <f ca="1">Actions!W25</f>
        <v>0</v>
      </c>
    </row>
    <row r="1580" spans="1:6">
      <c r="A1580" t="s">
        <v>2813</v>
      </c>
      <c r="B1580" t="s">
        <v>2827</v>
      </c>
      <c r="C1580">
        <v>25</v>
      </c>
      <c r="F1580" s="898">
        <f ca="1">Actions!W26</f>
        <v>0</v>
      </c>
    </row>
    <row r="1581" spans="1:6">
      <c r="A1581" t="s">
        <v>2813</v>
      </c>
      <c r="B1581" t="s">
        <v>2827</v>
      </c>
      <c r="C1581">
        <v>26</v>
      </c>
      <c r="F1581" s="898">
        <f ca="1">Actions!W27</f>
        <v>0</v>
      </c>
    </row>
    <row r="1582" spans="1:6">
      <c r="A1582" t="s">
        <v>2813</v>
      </c>
      <c r="B1582" t="s">
        <v>2827</v>
      </c>
      <c r="C1582">
        <v>27</v>
      </c>
      <c r="F1582" s="898">
        <f ca="1">Actions!W28</f>
        <v>0</v>
      </c>
    </row>
    <row r="1583" spans="1:6">
      <c r="A1583" t="s">
        <v>2813</v>
      </c>
      <c r="B1583" t="s">
        <v>2827</v>
      </c>
      <c r="C1583">
        <v>28</v>
      </c>
      <c r="F1583" s="898">
        <f ca="1">Actions!W29</f>
        <v>0</v>
      </c>
    </row>
    <row r="1584" spans="1:6">
      <c r="A1584" t="s">
        <v>2813</v>
      </c>
      <c r="B1584" t="s">
        <v>2827</v>
      </c>
      <c r="C1584">
        <v>29</v>
      </c>
      <c r="F1584" s="898">
        <f ca="1">Actions!W30</f>
        <v>0</v>
      </c>
    </row>
    <row r="1585" spans="1:6">
      <c r="A1585" t="s">
        <v>2813</v>
      </c>
      <c r="B1585" t="s">
        <v>2827</v>
      </c>
      <c r="C1585">
        <v>30</v>
      </c>
      <c r="F1585" s="898">
        <f ca="1">Actions!W31</f>
        <v>0</v>
      </c>
    </row>
    <row r="1586" spans="1:6">
      <c r="A1586" t="s">
        <v>2813</v>
      </c>
      <c r="B1586" t="s">
        <v>2827</v>
      </c>
      <c r="C1586">
        <v>31</v>
      </c>
      <c r="F1586" s="898">
        <f ca="1">Actions!W32</f>
        <v>0</v>
      </c>
    </row>
    <row r="1587" spans="1:6">
      <c r="A1587" t="s">
        <v>2813</v>
      </c>
      <c r="B1587" t="s">
        <v>2827</v>
      </c>
      <c r="C1587">
        <v>32</v>
      </c>
      <c r="F1587" s="898">
        <f ca="1">Actions!W33</f>
        <v>0</v>
      </c>
    </row>
    <row r="1588" spans="1:6">
      <c r="A1588" t="s">
        <v>2813</v>
      </c>
      <c r="B1588" t="s">
        <v>2827</v>
      </c>
      <c r="C1588">
        <v>33</v>
      </c>
      <c r="F1588" s="898">
        <f ca="1">Actions!W34</f>
        <v>0</v>
      </c>
    </row>
    <row r="1589" spans="1:6">
      <c r="A1589" t="s">
        <v>2813</v>
      </c>
      <c r="B1589" t="s">
        <v>2827</v>
      </c>
      <c r="C1589">
        <v>34</v>
      </c>
      <c r="F1589" s="898">
        <f ca="1">Actions!W35</f>
        <v>0</v>
      </c>
    </row>
    <row r="1590" spans="1:6">
      <c r="A1590" t="s">
        <v>2813</v>
      </c>
      <c r="B1590" t="s">
        <v>2827</v>
      </c>
      <c r="C1590">
        <v>35</v>
      </c>
      <c r="F1590" s="898">
        <f ca="1">Actions!W36</f>
        <v>0</v>
      </c>
    </row>
    <row r="1591" spans="1:6">
      <c r="A1591" t="s">
        <v>2813</v>
      </c>
      <c r="B1591" t="s">
        <v>2827</v>
      </c>
      <c r="C1591">
        <v>36</v>
      </c>
      <c r="F1591" s="898">
        <f ca="1">Actions!W37</f>
        <v>0</v>
      </c>
    </row>
    <row r="1592" spans="1:6">
      <c r="A1592" t="s">
        <v>2813</v>
      </c>
      <c r="B1592" t="s">
        <v>2827</v>
      </c>
      <c r="C1592">
        <v>37</v>
      </c>
      <c r="F1592" s="898">
        <f ca="1">Actions!W38</f>
        <v>0</v>
      </c>
    </row>
    <row r="1593" spans="1:6">
      <c r="A1593" t="s">
        <v>2813</v>
      </c>
      <c r="B1593" t="s">
        <v>2827</v>
      </c>
      <c r="C1593">
        <v>38</v>
      </c>
      <c r="F1593" s="898">
        <f ca="1">Actions!W39</f>
        <v>0</v>
      </c>
    </row>
    <row r="1594" spans="1:6">
      <c r="A1594" t="s">
        <v>2813</v>
      </c>
      <c r="B1594" t="s">
        <v>2827</v>
      </c>
      <c r="C1594">
        <v>39</v>
      </c>
      <c r="F1594" s="898">
        <f ca="1">Actions!W40</f>
        <v>0</v>
      </c>
    </row>
    <row r="1595" spans="1:6">
      <c r="A1595" t="s">
        <v>2813</v>
      </c>
      <c r="B1595" t="s">
        <v>2827</v>
      </c>
      <c r="C1595">
        <v>40</v>
      </c>
      <c r="F1595" s="898">
        <f ca="1">Actions!W41</f>
        <v>0</v>
      </c>
    </row>
    <row r="1596" spans="1:6">
      <c r="A1596" t="s">
        <v>2813</v>
      </c>
      <c r="B1596" t="s">
        <v>2827</v>
      </c>
      <c r="C1596">
        <v>41</v>
      </c>
      <c r="F1596" s="898">
        <f ca="1">Actions!W42</f>
        <v>0</v>
      </c>
    </row>
    <row r="1597" spans="1:6">
      <c r="A1597" t="s">
        <v>2813</v>
      </c>
      <c r="B1597" t="s">
        <v>2827</v>
      </c>
      <c r="C1597">
        <v>42</v>
      </c>
      <c r="F1597" s="898">
        <f ca="1">Actions!W43</f>
        <v>0</v>
      </c>
    </row>
    <row r="1598" spans="1:6">
      <c r="A1598" t="s">
        <v>2813</v>
      </c>
      <c r="B1598" t="s">
        <v>2827</v>
      </c>
      <c r="C1598">
        <v>43</v>
      </c>
      <c r="F1598" s="898">
        <f ca="1">Actions!W44</f>
        <v>0</v>
      </c>
    </row>
    <row r="1599" spans="1:6">
      <c r="A1599" t="s">
        <v>2813</v>
      </c>
      <c r="B1599" t="s">
        <v>2827</v>
      </c>
      <c r="C1599">
        <v>44</v>
      </c>
      <c r="F1599" s="898">
        <f ca="1">Actions!W45</f>
        <v>0</v>
      </c>
    </row>
    <row r="1600" spans="1:6">
      <c r="A1600" t="s">
        <v>2813</v>
      </c>
      <c r="B1600" t="s">
        <v>2827</v>
      </c>
      <c r="C1600">
        <v>45</v>
      </c>
      <c r="F1600" s="898">
        <f ca="1">Actions!W46</f>
        <v>0</v>
      </c>
    </row>
    <row r="1601" spans="1:6">
      <c r="A1601" t="s">
        <v>2813</v>
      </c>
      <c r="B1601" t="s">
        <v>2828</v>
      </c>
      <c r="C1601">
        <v>1</v>
      </c>
      <c r="F1601" s="898">
        <f ca="1">Actions!X2</f>
        <v>0</v>
      </c>
    </row>
    <row r="1602" spans="1:6">
      <c r="A1602" t="s">
        <v>2813</v>
      </c>
      <c r="B1602" t="s">
        <v>2828</v>
      </c>
      <c r="C1602">
        <v>2</v>
      </c>
      <c r="F1602" s="898">
        <f ca="1">Actions!X3</f>
        <v>0</v>
      </c>
    </row>
    <row r="1603" spans="1:6">
      <c r="A1603" t="s">
        <v>2813</v>
      </c>
      <c r="B1603" t="s">
        <v>2828</v>
      </c>
      <c r="C1603">
        <v>3</v>
      </c>
      <c r="F1603" s="898">
        <f ca="1">Actions!X4</f>
        <v>0</v>
      </c>
    </row>
    <row r="1604" spans="1:6">
      <c r="A1604" t="s">
        <v>2813</v>
      </c>
      <c r="B1604" t="s">
        <v>2828</v>
      </c>
      <c r="C1604">
        <v>4</v>
      </c>
      <c r="F1604" s="898">
        <f ca="1">Actions!X5</f>
        <v>0</v>
      </c>
    </row>
    <row r="1605" spans="1:6">
      <c r="A1605" t="s">
        <v>2813</v>
      </c>
      <c r="B1605" t="s">
        <v>2828</v>
      </c>
      <c r="C1605">
        <v>5</v>
      </c>
      <c r="F1605" s="898">
        <f ca="1">Actions!X6</f>
        <v>0</v>
      </c>
    </row>
    <row r="1606" spans="1:6">
      <c r="A1606" t="s">
        <v>2813</v>
      </c>
      <c r="B1606" t="s">
        <v>2828</v>
      </c>
      <c r="C1606">
        <v>6</v>
      </c>
      <c r="F1606" s="898">
        <f ca="1">Actions!X7</f>
        <v>0</v>
      </c>
    </row>
    <row r="1607" spans="1:6">
      <c r="A1607" t="s">
        <v>2813</v>
      </c>
      <c r="B1607" t="s">
        <v>2828</v>
      </c>
      <c r="C1607">
        <v>7</v>
      </c>
      <c r="F1607" s="898">
        <f ca="1">Actions!X8</f>
        <v>0</v>
      </c>
    </row>
    <row r="1608" spans="1:6">
      <c r="A1608" t="s">
        <v>2813</v>
      </c>
      <c r="B1608" t="s">
        <v>2828</v>
      </c>
      <c r="C1608">
        <v>8</v>
      </c>
      <c r="F1608" s="898">
        <f ca="1">Actions!X9</f>
        <v>0</v>
      </c>
    </row>
    <row r="1609" spans="1:6">
      <c r="A1609" t="s">
        <v>2813</v>
      </c>
      <c r="B1609" t="s">
        <v>2828</v>
      </c>
      <c r="C1609">
        <v>9</v>
      </c>
      <c r="F1609" s="898">
        <f ca="1">Actions!X10</f>
        <v>0</v>
      </c>
    </row>
    <row r="1610" spans="1:6">
      <c r="A1610" t="s">
        <v>2813</v>
      </c>
      <c r="B1610" t="s">
        <v>2828</v>
      </c>
      <c r="C1610">
        <v>10</v>
      </c>
      <c r="F1610" s="898">
        <f ca="1">Actions!X11</f>
        <v>0</v>
      </c>
    </row>
    <row r="1611" spans="1:6">
      <c r="A1611" t="s">
        <v>2813</v>
      </c>
      <c r="B1611" t="s">
        <v>2828</v>
      </c>
      <c r="C1611">
        <v>11</v>
      </c>
      <c r="F1611" s="898">
        <f ca="1">Actions!X12</f>
        <v>0</v>
      </c>
    </row>
    <row r="1612" spans="1:6">
      <c r="A1612" t="s">
        <v>2813</v>
      </c>
      <c r="B1612" t="s">
        <v>2828</v>
      </c>
      <c r="C1612">
        <v>12</v>
      </c>
      <c r="F1612" s="898">
        <f ca="1">Actions!X13</f>
        <v>0</v>
      </c>
    </row>
    <row r="1613" spans="1:6">
      <c r="A1613" t="s">
        <v>2813</v>
      </c>
      <c r="B1613" t="s">
        <v>2828</v>
      </c>
      <c r="C1613">
        <v>13</v>
      </c>
      <c r="F1613" s="898">
        <f ca="1">Actions!X14</f>
        <v>0</v>
      </c>
    </row>
    <row r="1614" spans="1:6">
      <c r="A1614" t="s">
        <v>2813</v>
      </c>
      <c r="B1614" t="s">
        <v>2828</v>
      </c>
      <c r="C1614">
        <v>14</v>
      </c>
      <c r="F1614" s="898">
        <f ca="1">Actions!X15</f>
        <v>0</v>
      </c>
    </row>
    <row r="1615" spans="1:6">
      <c r="A1615" t="s">
        <v>2813</v>
      </c>
      <c r="B1615" t="s">
        <v>2828</v>
      </c>
      <c r="C1615">
        <v>15</v>
      </c>
      <c r="F1615" s="898">
        <f ca="1">Actions!X16</f>
        <v>0</v>
      </c>
    </row>
    <row r="1616" spans="1:6">
      <c r="A1616" t="s">
        <v>2813</v>
      </c>
      <c r="B1616" t="s">
        <v>2828</v>
      </c>
      <c r="C1616">
        <v>16</v>
      </c>
      <c r="F1616" s="898">
        <f ca="1">Actions!X17</f>
        <v>0</v>
      </c>
    </row>
    <row r="1617" spans="1:6">
      <c r="A1617" t="s">
        <v>2813</v>
      </c>
      <c r="B1617" t="s">
        <v>2828</v>
      </c>
      <c r="C1617">
        <v>17</v>
      </c>
      <c r="F1617" s="898">
        <f ca="1">Actions!X18</f>
        <v>0</v>
      </c>
    </row>
    <row r="1618" spans="1:6">
      <c r="A1618" t="s">
        <v>2813</v>
      </c>
      <c r="B1618" t="s">
        <v>2828</v>
      </c>
      <c r="C1618">
        <v>18</v>
      </c>
      <c r="F1618" s="898">
        <f ca="1">Actions!X19</f>
        <v>0</v>
      </c>
    </row>
    <row r="1619" spans="1:6">
      <c r="A1619" t="s">
        <v>2813</v>
      </c>
      <c r="B1619" t="s">
        <v>2828</v>
      </c>
      <c r="C1619">
        <v>19</v>
      </c>
      <c r="F1619" s="898">
        <f ca="1">Actions!X20</f>
        <v>0</v>
      </c>
    </row>
    <row r="1620" spans="1:6">
      <c r="A1620" t="s">
        <v>2813</v>
      </c>
      <c r="B1620" t="s">
        <v>2828</v>
      </c>
      <c r="C1620">
        <v>20</v>
      </c>
      <c r="F1620" s="898">
        <f ca="1">Actions!X21</f>
        <v>0</v>
      </c>
    </row>
    <row r="1621" spans="1:6">
      <c r="A1621" t="s">
        <v>2813</v>
      </c>
      <c r="B1621" t="s">
        <v>2828</v>
      </c>
      <c r="C1621">
        <v>21</v>
      </c>
      <c r="F1621" s="898">
        <f ca="1">Actions!X22</f>
        <v>0</v>
      </c>
    </row>
    <row r="1622" spans="1:6">
      <c r="A1622" t="s">
        <v>2813</v>
      </c>
      <c r="B1622" t="s">
        <v>2828</v>
      </c>
      <c r="C1622">
        <v>22</v>
      </c>
      <c r="F1622" s="898">
        <f ca="1">Actions!X23</f>
        <v>0</v>
      </c>
    </row>
    <row r="1623" spans="1:6">
      <c r="A1623" t="s">
        <v>2813</v>
      </c>
      <c r="B1623" t="s">
        <v>2828</v>
      </c>
      <c r="C1623">
        <v>23</v>
      </c>
      <c r="F1623" s="898">
        <f ca="1">Actions!X24</f>
        <v>0</v>
      </c>
    </row>
    <row r="1624" spans="1:6">
      <c r="A1624" t="s">
        <v>2813</v>
      </c>
      <c r="B1624" t="s">
        <v>2828</v>
      </c>
      <c r="C1624">
        <v>24</v>
      </c>
      <c r="F1624" s="898">
        <f ca="1">Actions!X25</f>
        <v>0</v>
      </c>
    </row>
    <row r="1625" spans="1:6">
      <c r="A1625" t="s">
        <v>2813</v>
      </c>
      <c r="B1625" t="s">
        <v>2828</v>
      </c>
      <c r="C1625">
        <v>25</v>
      </c>
      <c r="F1625" s="898">
        <f ca="1">Actions!X26</f>
        <v>0</v>
      </c>
    </row>
    <row r="1626" spans="1:6">
      <c r="A1626" t="s">
        <v>2813</v>
      </c>
      <c r="B1626" t="s">
        <v>2828</v>
      </c>
      <c r="C1626">
        <v>26</v>
      </c>
      <c r="F1626" s="898">
        <f ca="1">Actions!X27</f>
        <v>0</v>
      </c>
    </row>
    <row r="1627" spans="1:6">
      <c r="A1627" t="s">
        <v>2813</v>
      </c>
      <c r="B1627" t="s">
        <v>2828</v>
      </c>
      <c r="C1627">
        <v>27</v>
      </c>
      <c r="F1627" s="898">
        <f ca="1">Actions!X28</f>
        <v>0</v>
      </c>
    </row>
    <row r="1628" spans="1:6">
      <c r="A1628" t="s">
        <v>2813</v>
      </c>
      <c r="B1628" t="s">
        <v>2828</v>
      </c>
      <c r="C1628">
        <v>28</v>
      </c>
      <c r="F1628" s="898">
        <f ca="1">Actions!X29</f>
        <v>0</v>
      </c>
    </row>
    <row r="1629" spans="1:6">
      <c r="A1629" t="s">
        <v>2813</v>
      </c>
      <c r="B1629" t="s">
        <v>2828</v>
      </c>
      <c r="C1629">
        <v>29</v>
      </c>
      <c r="F1629" s="898">
        <f ca="1">Actions!X30</f>
        <v>0</v>
      </c>
    </row>
    <row r="1630" spans="1:6">
      <c r="A1630" t="s">
        <v>2813</v>
      </c>
      <c r="B1630" t="s">
        <v>2828</v>
      </c>
      <c r="C1630">
        <v>30</v>
      </c>
      <c r="F1630" s="898">
        <f ca="1">Actions!X31</f>
        <v>0</v>
      </c>
    </row>
    <row r="1631" spans="1:6">
      <c r="A1631" t="s">
        <v>2813</v>
      </c>
      <c r="B1631" t="s">
        <v>2828</v>
      </c>
      <c r="C1631">
        <v>31</v>
      </c>
      <c r="F1631" s="898">
        <f ca="1">Actions!X32</f>
        <v>0</v>
      </c>
    </row>
    <row r="1632" spans="1:6">
      <c r="A1632" t="s">
        <v>2813</v>
      </c>
      <c r="B1632" t="s">
        <v>2828</v>
      </c>
      <c r="C1632">
        <v>32</v>
      </c>
      <c r="F1632" s="898">
        <f ca="1">Actions!X33</f>
        <v>0</v>
      </c>
    </row>
    <row r="1633" spans="1:6">
      <c r="A1633" t="s">
        <v>2813</v>
      </c>
      <c r="B1633" t="s">
        <v>2828</v>
      </c>
      <c r="C1633">
        <v>33</v>
      </c>
      <c r="F1633" s="898">
        <f ca="1">Actions!X34</f>
        <v>0</v>
      </c>
    </row>
    <row r="1634" spans="1:6">
      <c r="A1634" t="s">
        <v>2813</v>
      </c>
      <c r="B1634" t="s">
        <v>2828</v>
      </c>
      <c r="C1634">
        <v>34</v>
      </c>
      <c r="F1634" s="898">
        <f ca="1">Actions!X35</f>
        <v>0</v>
      </c>
    </row>
    <row r="1635" spans="1:6">
      <c r="A1635" t="s">
        <v>2813</v>
      </c>
      <c r="B1635" t="s">
        <v>2828</v>
      </c>
      <c r="C1635">
        <v>35</v>
      </c>
      <c r="F1635" s="898">
        <f ca="1">Actions!X36</f>
        <v>0</v>
      </c>
    </row>
    <row r="1636" spans="1:6">
      <c r="A1636" t="s">
        <v>2813</v>
      </c>
      <c r="B1636" t="s">
        <v>2828</v>
      </c>
      <c r="C1636">
        <v>36</v>
      </c>
      <c r="F1636" s="898">
        <f ca="1">Actions!X37</f>
        <v>0</v>
      </c>
    </row>
    <row r="1637" spans="1:6">
      <c r="A1637" t="s">
        <v>2813</v>
      </c>
      <c r="B1637" t="s">
        <v>2828</v>
      </c>
      <c r="C1637">
        <v>37</v>
      </c>
      <c r="F1637" s="898">
        <f ca="1">Actions!X38</f>
        <v>0</v>
      </c>
    </row>
    <row r="1638" spans="1:6">
      <c r="A1638" t="s">
        <v>2813</v>
      </c>
      <c r="B1638" t="s">
        <v>2828</v>
      </c>
      <c r="C1638">
        <v>38</v>
      </c>
      <c r="F1638" s="898">
        <f ca="1">Actions!X39</f>
        <v>0</v>
      </c>
    </row>
    <row r="1639" spans="1:6">
      <c r="A1639" t="s">
        <v>2813</v>
      </c>
      <c r="B1639" t="s">
        <v>2828</v>
      </c>
      <c r="C1639">
        <v>39</v>
      </c>
      <c r="F1639" s="898">
        <f ca="1">Actions!X40</f>
        <v>0</v>
      </c>
    </row>
    <row r="1640" spans="1:6">
      <c r="A1640" t="s">
        <v>2813</v>
      </c>
      <c r="B1640" t="s">
        <v>2828</v>
      </c>
      <c r="C1640">
        <v>40</v>
      </c>
      <c r="F1640" s="898">
        <f ca="1">Actions!X41</f>
        <v>0</v>
      </c>
    </row>
    <row r="1641" spans="1:6">
      <c r="A1641" t="s">
        <v>2813</v>
      </c>
      <c r="B1641" t="s">
        <v>2828</v>
      </c>
      <c r="C1641">
        <v>41</v>
      </c>
      <c r="F1641" s="898">
        <f ca="1">Actions!X42</f>
        <v>0</v>
      </c>
    </row>
    <row r="1642" spans="1:6">
      <c r="A1642" t="s">
        <v>2813</v>
      </c>
      <c r="B1642" t="s">
        <v>2828</v>
      </c>
      <c r="C1642">
        <v>42</v>
      </c>
      <c r="F1642" s="898">
        <f ca="1">Actions!X43</f>
        <v>0</v>
      </c>
    </row>
    <row r="1643" spans="1:6">
      <c r="A1643" t="s">
        <v>2813</v>
      </c>
      <c r="B1643" t="s">
        <v>2828</v>
      </c>
      <c r="C1643">
        <v>43</v>
      </c>
      <c r="F1643" s="898">
        <f ca="1">Actions!X44</f>
        <v>0</v>
      </c>
    </row>
    <row r="1644" spans="1:6">
      <c r="A1644" t="s">
        <v>2813</v>
      </c>
      <c r="B1644" t="s">
        <v>2828</v>
      </c>
      <c r="C1644">
        <v>44</v>
      </c>
      <c r="F1644" s="898">
        <f ca="1">Actions!X45</f>
        <v>0</v>
      </c>
    </row>
    <row r="1645" spans="1:6">
      <c r="A1645" t="s">
        <v>2813</v>
      </c>
      <c r="B1645" t="s">
        <v>2828</v>
      </c>
      <c r="C1645">
        <v>45</v>
      </c>
      <c r="F1645" s="898">
        <f ca="1">Actions!X46</f>
        <v>0</v>
      </c>
    </row>
    <row r="1646" spans="1:6">
      <c r="A1646" t="s">
        <v>2813</v>
      </c>
      <c r="B1646" t="s">
        <v>1076</v>
      </c>
      <c r="C1646">
        <v>1</v>
      </c>
      <c r="F1646" s="898">
        <f ca="1">Actions!Y2</f>
        <v>0</v>
      </c>
    </row>
    <row r="1647" spans="1:6">
      <c r="A1647" t="s">
        <v>2813</v>
      </c>
      <c r="B1647" t="s">
        <v>1076</v>
      </c>
      <c r="C1647">
        <v>2</v>
      </c>
      <c r="F1647" s="898">
        <f ca="1">Actions!Y3</f>
        <v>0</v>
      </c>
    </row>
    <row r="1648" spans="1:6">
      <c r="A1648" t="s">
        <v>2813</v>
      </c>
      <c r="B1648" t="s">
        <v>1076</v>
      </c>
      <c r="C1648">
        <v>3</v>
      </c>
      <c r="F1648" s="898">
        <f ca="1">Actions!Y4</f>
        <v>0</v>
      </c>
    </row>
    <row r="1649" spans="1:6">
      <c r="A1649" t="s">
        <v>2813</v>
      </c>
      <c r="B1649" t="s">
        <v>1076</v>
      </c>
      <c r="C1649">
        <v>4</v>
      </c>
      <c r="F1649" s="898">
        <f ca="1">Actions!Y5</f>
        <v>0</v>
      </c>
    </row>
    <row r="1650" spans="1:6">
      <c r="A1650" t="s">
        <v>2813</v>
      </c>
      <c r="B1650" t="s">
        <v>1076</v>
      </c>
      <c r="C1650">
        <v>5</v>
      </c>
      <c r="F1650" s="898">
        <f ca="1">Actions!Y6</f>
        <v>0</v>
      </c>
    </row>
    <row r="1651" spans="1:6">
      <c r="A1651" t="s">
        <v>2813</v>
      </c>
      <c r="B1651" t="s">
        <v>1076</v>
      </c>
      <c r="C1651">
        <v>6</v>
      </c>
      <c r="F1651" s="898">
        <f ca="1">Actions!Y7</f>
        <v>0</v>
      </c>
    </row>
    <row r="1652" spans="1:6">
      <c r="A1652" t="s">
        <v>2813</v>
      </c>
      <c r="B1652" t="s">
        <v>1076</v>
      </c>
      <c r="C1652">
        <v>7</v>
      </c>
      <c r="F1652" s="898">
        <f ca="1">Actions!Y8</f>
        <v>0</v>
      </c>
    </row>
    <row r="1653" spans="1:6">
      <c r="A1653" t="s">
        <v>2813</v>
      </c>
      <c r="B1653" t="s">
        <v>1076</v>
      </c>
      <c r="C1653">
        <v>8</v>
      </c>
      <c r="F1653" s="898">
        <f ca="1">Actions!Y9</f>
        <v>0</v>
      </c>
    </row>
    <row r="1654" spans="1:6">
      <c r="A1654" t="s">
        <v>2813</v>
      </c>
      <c r="B1654" t="s">
        <v>1076</v>
      </c>
      <c r="C1654">
        <v>9</v>
      </c>
      <c r="F1654" s="898">
        <f ca="1">Actions!Y10</f>
        <v>0</v>
      </c>
    </row>
    <row r="1655" spans="1:6">
      <c r="A1655" t="s">
        <v>2813</v>
      </c>
      <c r="B1655" t="s">
        <v>1076</v>
      </c>
      <c r="C1655">
        <v>10</v>
      </c>
      <c r="F1655" s="898">
        <f ca="1">Actions!Y11</f>
        <v>0</v>
      </c>
    </row>
    <row r="1656" spans="1:6">
      <c r="A1656" t="s">
        <v>2813</v>
      </c>
      <c r="B1656" t="s">
        <v>1076</v>
      </c>
      <c r="C1656">
        <v>11</v>
      </c>
      <c r="F1656" s="898">
        <f ca="1">Actions!Y12</f>
        <v>0</v>
      </c>
    </row>
    <row r="1657" spans="1:6">
      <c r="A1657" t="s">
        <v>2813</v>
      </c>
      <c r="B1657" t="s">
        <v>1076</v>
      </c>
      <c r="C1657">
        <v>12</v>
      </c>
      <c r="F1657" s="898">
        <f ca="1">Actions!Y13</f>
        <v>0</v>
      </c>
    </row>
    <row r="1658" spans="1:6">
      <c r="A1658" t="s">
        <v>2813</v>
      </c>
      <c r="B1658" t="s">
        <v>1076</v>
      </c>
      <c r="C1658">
        <v>13</v>
      </c>
      <c r="F1658" s="898">
        <f ca="1">Actions!Y14</f>
        <v>0</v>
      </c>
    </row>
    <row r="1659" spans="1:6">
      <c r="A1659" t="s">
        <v>2813</v>
      </c>
      <c r="B1659" t="s">
        <v>1076</v>
      </c>
      <c r="C1659">
        <v>14</v>
      </c>
      <c r="F1659" s="898">
        <f ca="1">Actions!Y15</f>
        <v>0</v>
      </c>
    </row>
    <row r="1660" spans="1:6">
      <c r="A1660" t="s">
        <v>2813</v>
      </c>
      <c r="B1660" t="s">
        <v>1076</v>
      </c>
      <c r="C1660">
        <v>15</v>
      </c>
      <c r="F1660" s="898">
        <f ca="1">Actions!Y16</f>
        <v>0</v>
      </c>
    </row>
    <row r="1661" spans="1:6">
      <c r="A1661" t="s">
        <v>2813</v>
      </c>
      <c r="B1661" t="s">
        <v>1076</v>
      </c>
      <c r="C1661">
        <v>16</v>
      </c>
      <c r="F1661" s="898">
        <f ca="1">Actions!Y17</f>
        <v>0</v>
      </c>
    </row>
    <row r="1662" spans="1:6">
      <c r="A1662" t="s">
        <v>2813</v>
      </c>
      <c r="B1662" t="s">
        <v>1076</v>
      </c>
      <c r="C1662">
        <v>17</v>
      </c>
      <c r="F1662" s="898">
        <f ca="1">Actions!Y18</f>
        <v>0</v>
      </c>
    </row>
    <row r="1663" spans="1:6">
      <c r="A1663" t="s">
        <v>2813</v>
      </c>
      <c r="B1663" t="s">
        <v>1076</v>
      </c>
      <c r="C1663">
        <v>18</v>
      </c>
      <c r="F1663" s="898">
        <f ca="1">Actions!Y19</f>
        <v>0</v>
      </c>
    </row>
    <row r="1664" spans="1:6">
      <c r="A1664" t="s">
        <v>2813</v>
      </c>
      <c r="B1664" t="s">
        <v>1076</v>
      </c>
      <c r="C1664">
        <v>19</v>
      </c>
      <c r="F1664" s="898">
        <f ca="1">Actions!Y20</f>
        <v>0</v>
      </c>
    </row>
    <row r="1665" spans="1:6">
      <c r="A1665" t="s">
        <v>2813</v>
      </c>
      <c r="B1665" t="s">
        <v>1076</v>
      </c>
      <c r="C1665">
        <v>20</v>
      </c>
      <c r="F1665" s="898">
        <f ca="1">Actions!Y21</f>
        <v>0</v>
      </c>
    </row>
    <row r="1666" spans="1:6">
      <c r="A1666" t="s">
        <v>2813</v>
      </c>
      <c r="B1666" t="s">
        <v>1076</v>
      </c>
      <c r="C1666">
        <v>21</v>
      </c>
      <c r="F1666" s="898">
        <f ca="1">Actions!Y22</f>
        <v>0</v>
      </c>
    </row>
    <row r="1667" spans="1:6">
      <c r="A1667" t="s">
        <v>2813</v>
      </c>
      <c r="B1667" t="s">
        <v>1076</v>
      </c>
      <c r="C1667">
        <v>22</v>
      </c>
      <c r="F1667" s="898">
        <f ca="1">Actions!Y23</f>
        <v>0</v>
      </c>
    </row>
    <row r="1668" spans="1:6">
      <c r="A1668" t="s">
        <v>2813</v>
      </c>
      <c r="B1668" t="s">
        <v>1076</v>
      </c>
      <c r="C1668">
        <v>23</v>
      </c>
      <c r="F1668" s="898">
        <f ca="1">Actions!Y24</f>
        <v>0</v>
      </c>
    </row>
    <row r="1669" spans="1:6">
      <c r="A1669" t="s">
        <v>2813</v>
      </c>
      <c r="B1669" t="s">
        <v>1076</v>
      </c>
      <c r="C1669">
        <v>24</v>
      </c>
      <c r="F1669" s="898">
        <f ca="1">Actions!Y25</f>
        <v>0</v>
      </c>
    </row>
    <row r="1670" spans="1:6">
      <c r="A1670" t="s">
        <v>2813</v>
      </c>
      <c r="B1670" t="s">
        <v>1076</v>
      </c>
      <c r="C1670">
        <v>25</v>
      </c>
      <c r="F1670" s="898">
        <f ca="1">Actions!Y26</f>
        <v>0</v>
      </c>
    </row>
    <row r="1671" spans="1:6">
      <c r="A1671" t="s">
        <v>2813</v>
      </c>
      <c r="B1671" t="s">
        <v>1076</v>
      </c>
      <c r="C1671">
        <v>26</v>
      </c>
      <c r="F1671" s="898">
        <f ca="1">Actions!Y27</f>
        <v>0</v>
      </c>
    </row>
    <row r="1672" spans="1:6">
      <c r="A1672" t="s">
        <v>2813</v>
      </c>
      <c r="B1672" t="s">
        <v>1076</v>
      </c>
      <c r="C1672">
        <v>27</v>
      </c>
      <c r="F1672" s="898">
        <f ca="1">Actions!Y28</f>
        <v>0</v>
      </c>
    </row>
    <row r="1673" spans="1:6">
      <c r="A1673" t="s">
        <v>2813</v>
      </c>
      <c r="B1673" t="s">
        <v>1076</v>
      </c>
      <c r="C1673">
        <v>28</v>
      </c>
      <c r="F1673" s="898">
        <f ca="1">Actions!Y29</f>
        <v>0</v>
      </c>
    </row>
    <row r="1674" spans="1:6">
      <c r="A1674" t="s">
        <v>2813</v>
      </c>
      <c r="B1674" t="s">
        <v>1076</v>
      </c>
      <c r="C1674">
        <v>29</v>
      </c>
      <c r="F1674" s="898">
        <f ca="1">Actions!Y30</f>
        <v>0</v>
      </c>
    </row>
    <row r="1675" spans="1:6">
      <c r="A1675" t="s">
        <v>2813</v>
      </c>
      <c r="B1675" t="s">
        <v>1076</v>
      </c>
      <c r="C1675">
        <v>30</v>
      </c>
      <c r="F1675" s="898">
        <f ca="1">Actions!Y31</f>
        <v>0</v>
      </c>
    </row>
    <row r="1676" spans="1:6">
      <c r="A1676" t="s">
        <v>2813</v>
      </c>
      <c r="B1676" t="s">
        <v>1076</v>
      </c>
      <c r="C1676">
        <v>31</v>
      </c>
      <c r="F1676" s="898">
        <f ca="1">Actions!Y32</f>
        <v>0</v>
      </c>
    </row>
    <row r="1677" spans="1:6">
      <c r="A1677" t="s">
        <v>2813</v>
      </c>
      <c r="B1677" t="s">
        <v>1076</v>
      </c>
      <c r="C1677">
        <v>32</v>
      </c>
      <c r="F1677" s="898">
        <f ca="1">Actions!Y33</f>
        <v>0</v>
      </c>
    </row>
    <row r="1678" spans="1:6">
      <c r="A1678" t="s">
        <v>2813</v>
      </c>
      <c r="B1678" t="s">
        <v>1076</v>
      </c>
      <c r="C1678">
        <v>33</v>
      </c>
      <c r="F1678" s="898">
        <f ca="1">Actions!Y34</f>
        <v>0</v>
      </c>
    </row>
    <row r="1679" spans="1:6">
      <c r="A1679" t="s">
        <v>2813</v>
      </c>
      <c r="B1679" t="s">
        <v>1076</v>
      </c>
      <c r="C1679">
        <v>34</v>
      </c>
      <c r="F1679" s="898">
        <f ca="1">Actions!Y35</f>
        <v>0</v>
      </c>
    </row>
    <row r="1680" spans="1:6">
      <c r="A1680" t="s">
        <v>2813</v>
      </c>
      <c r="B1680" t="s">
        <v>1076</v>
      </c>
      <c r="C1680">
        <v>35</v>
      </c>
      <c r="F1680" s="898">
        <f ca="1">Actions!Y36</f>
        <v>0</v>
      </c>
    </row>
    <row r="1681" spans="1:6">
      <c r="A1681" t="s">
        <v>2813</v>
      </c>
      <c r="B1681" t="s">
        <v>1076</v>
      </c>
      <c r="C1681">
        <v>36</v>
      </c>
      <c r="F1681" s="898">
        <f ca="1">Actions!Y37</f>
        <v>0</v>
      </c>
    </row>
    <row r="1682" spans="1:6">
      <c r="A1682" t="s">
        <v>2813</v>
      </c>
      <c r="B1682" t="s">
        <v>1076</v>
      </c>
      <c r="C1682">
        <v>37</v>
      </c>
      <c r="F1682" s="898">
        <f ca="1">Actions!Y38</f>
        <v>0</v>
      </c>
    </row>
    <row r="1683" spans="1:6">
      <c r="A1683" t="s">
        <v>2813</v>
      </c>
      <c r="B1683" t="s">
        <v>1076</v>
      </c>
      <c r="C1683">
        <v>38</v>
      </c>
      <c r="F1683" s="898">
        <f ca="1">Actions!Y39</f>
        <v>0</v>
      </c>
    </row>
    <row r="1684" spans="1:6">
      <c r="A1684" t="s">
        <v>2813</v>
      </c>
      <c r="B1684" t="s">
        <v>1076</v>
      </c>
      <c r="C1684">
        <v>39</v>
      </c>
      <c r="F1684" s="898">
        <f ca="1">Actions!Y40</f>
        <v>0</v>
      </c>
    </row>
    <row r="1685" spans="1:6">
      <c r="A1685" t="s">
        <v>2813</v>
      </c>
      <c r="B1685" t="s">
        <v>1076</v>
      </c>
      <c r="C1685">
        <v>40</v>
      </c>
      <c r="F1685" s="898">
        <f ca="1">Actions!Y41</f>
        <v>0</v>
      </c>
    </row>
    <row r="1686" spans="1:6">
      <c r="A1686" t="s">
        <v>2813</v>
      </c>
      <c r="B1686" t="s">
        <v>1076</v>
      </c>
      <c r="C1686">
        <v>41</v>
      </c>
      <c r="F1686" s="898">
        <f ca="1">Actions!Y42</f>
        <v>0</v>
      </c>
    </row>
    <row r="1687" spans="1:6">
      <c r="A1687" t="s">
        <v>2813</v>
      </c>
      <c r="B1687" t="s">
        <v>1076</v>
      </c>
      <c r="C1687">
        <v>42</v>
      </c>
      <c r="F1687" s="898">
        <f ca="1">Actions!Y43</f>
        <v>0</v>
      </c>
    </row>
    <row r="1688" spans="1:6">
      <c r="A1688" t="s">
        <v>2813</v>
      </c>
      <c r="B1688" t="s">
        <v>1076</v>
      </c>
      <c r="C1688">
        <v>43</v>
      </c>
      <c r="F1688" s="898">
        <f ca="1">Actions!Y44</f>
        <v>0</v>
      </c>
    </row>
    <row r="1689" spans="1:6">
      <c r="A1689" t="s">
        <v>2813</v>
      </c>
      <c r="B1689" t="s">
        <v>1076</v>
      </c>
      <c r="C1689">
        <v>44</v>
      </c>
      <c r="F1689" s="898">
        <f ca="1">Actions!Y45</f>
        <v>0</v>
      </c>
    </row>
    <row r="1690" spans="1:6">
      <c r="A1690" t="s">
        <v>2813</v>
      </c>
      <c r="B1690" t="s">
        <v>1076</v>
      </c>
      <c r="C1690">
        <v>45</v>
      </c>
      <c r="F1690" s="898">
        <f ca="1">Actions!Y46</f>
        <v>0</v>
      </c>
    </row>
    <row r="1691" spans="1:6">
      <c r="A1691" t="s">
        <v>2813</v>
      </c>
      <c r="B1691" t="s">
        <v>1077</v>
      </c>
      <c r="C1691">
        <v>1</v>
      </c>
      <c r="F1691" s="898">
        <f ca="1">Actions!Z2</f>
        <v>0</v>
      </c>
    </row>
    <row r="1692" spans="1:6">
      <c r="A1692" t="s">
        <v>2813</v>
      </c>
      <c r="B1692" t="s">
        <v>1077</v>
      </c>
      <c r="C1692">
        <v>2</v>
      </c>
      <c r="F1692" s="898">
        <f ca="1">Actions!Z3</f>
        <v>0</v>
      </c>
    </row>
    <row r="1693" spans="1:6">
      <c r="A1693" t="s">
        <v>2813</v>
      </c>
      <c r="B1693" t="s">
        <v>1077</v>
      </c>
      <c r="C1693">
        <v>3</v>
      </c>
      <c r="F1693" s="898">
        <f ca="1">Actions!Z4</f>
        <v>0</v>
      </c>
    </row>
    <row r="1694" spans="1:6">
      <c r="A1694" t="s">
        <v>2813</v>
      </c>
      <c r="B1694" t="s">
        <v>1077</v>
      </c>
      <c r="C1694">
        <v>4</v>
      </c>
      <c r="F1694" s="898">
        <f ca="1">Actions!Z5</f>
        <v>0</v>
      </c>
    </row>
    <row r="1695" spans="1:6">
      <c r="A1695" t="s">
        <v>2813</v>
      </c>
      <c r="B1695" t="s">
        <v>1077</v>
      </c>
      <c r="C1695">
        <v>5</v>
      </c>
      <c r="F1695" s="898">
        <f ca="1">Actions!Z6</f>
        <v>0</v>
      </c>
    </row>
    <row r="1696" spans="1:6">
      <c r="A1696" t="s">
        <v>2813</v>
      </c>
      <c r="B1696" t="s">
        <v>1077</v>
      </c>
      <c r="C1696">
        <v>6</v>
      </c>
      <c r="F1696" s="898">
        <f ca="1">Actions!Z7</f>
        <v>0</v>
      </c>
    </row>
    <row r="1697" spans="1:6">
      <c r="A1697" t="s">
        <v>2813</v>
      </c>
      <c r="B1697" t="s">
        <v>1077</v>
      </c>
      <c r="C1697">
        <v>7</v>
      </c>
      <c r="F1697" s="898">
        <f ca="1">Actions!Z8</f>
        <v>0</v>
      </c>
    </row>
    <row r="1698" spans="1:6">
      <c r="A1698" t="s">
        <v>2813</v>
      </c>
      <c r="B1698" t="s">
        <v>1077</v>
      </c>
      <c r="C1698">
        <v>8</v>
      </c>
      <c r="F1698" s="898">
        <f ca="1">Actions!Z9</f>
        <v>0</v>
      </c>
    </row>
    <row r="1699" spans="1:6">
      <c r="A1699" t="s">
        <v>2813</v>
      </c>
      <c r="B1699" t="s">
        <v>1077</v>
      </c>
      <c r="C1699">
        <v>9</v>
      </c>
      <c r="F1699" s="898">
        <f ca="1">Actions!Z10</f>
        <v>0</v>
      </c>
    </row>
    <row r="1700" spans="1:6">
      <c r="A1700" t="s">
        <v>2813</v>
      </c>
      <c r="B1700" t="s">
        <v>1077</v>
      </c>
      <c r="C1700">
        <v>10</v>
      </c>
      <c r="F1700" s="898">
        <f ca="1">Actions!Z11</f>
        <v>0</v>
      </c>
    </row>
    <row r="1701" spans="1:6">
      <c r="A1701" t="s">
        <v>2813</v>
      </c>
      <c r="B1701" t="s">
        <v>1077</v>
      </c>
      <c r="C1701">
        <v>11</v>
      </c>
      <c r="F1701" s="898">
        <f ca="1">Actions!Z12</f>
        <v>0</v>
      </c>
    </row>
    <row r="1702" spans="1:6">
      <c r="A1702" t="s">
        <v>2813</v>
      </c>
      <c r="B1702" t="s">
        <v>1077</v>
      </c>
      <c r="C1702">
        <v>12</v>
      </c>
      <c r="F1702" s="898">
        <f ca="1">Actions!Z13</f>
        <v>0</v>
      </c>
    </row>
    <row r="1703" spans="1:6">
      <c r="A1703" t="s">
        <v>2813</v>
      </c>
      <c r="B1703" t="s">
        <v>1077</v>
      </c>
      <c r="C1703">
        <v>13</v>
      </c>
      <c r="F1703" s="898">
        <f ca="1">Actions!Z14</f>
        <v>0</v>
      </c>
    </row>
    <row r="1704" spans="1:6">
      <c r="A1704" t="s">
        <v>2813</v>
      </c>
      <c r="B1704" t="s">
        <v>1077</v>
      </c>
      <c r="C1704">
        <v>14</v>
      </c>
      <c r="F1704" s="898">
        <f ca="1">Actions!Z15</f>
        <v>0</v>
      </c>
    </row>
    <row r="1705" spans="1:6">
      <c r="A1705" t="s">
        <v>2813</v>
      </c>
      <c r="B1705" t="s">
        <v>1077</v>
      </c>
      <c r="C1705">
        <v>15</v>
      </c>
      <c r="F1705" s="898">
        <f ca="1">Actions!Z16</f>
        <v>0</v>
      </c>
    </row>
    <row r="1706" spans="1:6">
      <c r="A1706" t="s">
        <v>2813</v>
      </c>
      <c r="B1706" t="s">
        <v>1077</v>
      </c>
      <c r="C1706">
        <v>16</v>
      </c>
      <c r="F1706" s="898">
        <f ca="1">Actions!Z17</f>
        <v>0</v>
      </c>
    </row>
    <row r="1707" spans="1:6">
      <c r="A1707" t="s">
        <v>2813</v>
      </c>
      <c r="B1707" t="s">
        <v>1077</v>
      </c>
      <c r="C1707">
        <v>17</v>
      </c>
      <c r="F1707" s="898">
        <f ca="1">Actions!Z18</f>
        <v>0</v>
      </c>
    </row>
    <row r="1708" spans="1:6">
      <c r="A1708" t="s">
        <v>2813</v>
      </c>
      <c r="B1708" t="s">
        <v>1077</v>
      </c>
      <c r="C1708">
        <v>18</v>
      </c>
      <c r="F1708" s="898">
        <f ca="1">Actions!Z19</f>
        <v>0</v>
      </c>
    </row>
    <row r="1709" spans="1:6">
      <c r="A1709" t="s">
        <v>2813</v>
      </c>
      <c r="B1709" t="s">
        <v>1077</v>
      </c>
      <c r="C1709">
        <v>19</v>
      </c>
      <c r="F1709" s="898">
        <f ca="1">Actions!Z20</f>
        <v>0</v>
      </c>
    </row>
    <row r="1710" spans="1:6">
      <c r="A1710" t="s">
        <v>2813</v>
      </c>
      <c r="B1710" t="s">
        <v>1077</v>
      </c>
      <c r="C1710">
        <v>20</v>
      </c>
      <c r="F1710" s="898">
        <f ca="1">Actions!Z21</f>
        <v>0</v>
      </c>
    </row>
    <row r="1711" spans="1:6">
      <c r="A1711" t="s">
        <v>2813</v>
      </c>
      <c r="B1711" t="s">
        <v>1077</v>
      </c>
      <c r="C1711">
        <v>21</v>
      </c>
      <c r="F1711" s="898">
        <f ca="1">Actions!Z22</f>
        <v>0</v>
      </c>
    </row>
    <row r="1712" spans="1:6">
      <c r="A1712" t="s">
        <v>2813</v>
      </c>
      <c r="B1712" t="s">
        <v>1077</v>
      </c>
      <c r="C1712">
        <v>22</v>
      </c>
      <c r="F1712" s="898">
        <f ca="1">Actions!Z23</f>
        <v>0</v>
      </c>
    </row>
    <row r="1713" spans="1:6">
      <c r="A1713" t="s">
        <v>2813</v>
      </c>
      <c r="B1713" t="s">
        <v>1077</v>
      </c>
      <c r="C1713">
        <v>23</v>
      </c>
      <c r="F1713" s="898">
        <f ca="1">Actions!Z24</f>
        <v>0</v>
      </c>
    </row>
    <row r="1714" spans="1:6">
      <c r="A1714" t="s">
        <v>2813</v>
      </c>
      <c r="B1714" t="s">
        <v>1077</v>
      </c>
      <c r="C1714">
        <v>24</v>
      </c>
      <c r="F1714" s="898">
        <f ca="1">Actions!Z25</f>
        <v>0</v>
      </c>
    </row>
    <row r="1715" spans="1:6">
      <c r="A1715" t="s">
        <v>2813</v>
      </c>
      <c r="B1715" t="s">
        <v>1077</v>
      </c>
      <c r="C1715">
        <v>25</v>
      </c>
      <c r="F1715" s="898">
        <f ca="1">Actions!Z26</f>
        <v>0</v>
      </c>
    </row>
    <row r="1716" spans="1:6">
      <c r="A1716" t="s">
        <v>2813</v>
      </c>
      <c r="B1716" t="s">
        <v>1077</v>
      </c>
      <c r="C1716">
        <v>26</v>
      </c>
      <c r="F1716" s="898">
        <f ca="1">Actions!Z27</f>
        <v>0</v>
      </c>
    </row>
    <row r="1717" spans="1:6">
      <c r="A1717" t="s">
        <v>2813</v>
      </c>
      <c r="B1717" t="s">
        <v>1077</v>
      </c>
      <c r="C1717">
        <v>27</v>
      </c>
      <c r="F1717" s="898">
        <f ca="1">Actions!Z28</f>
        <v>0</v>
      </c>
    </row>
    <row r="1718" spans="1:6">
      <c r="A1718" t="s">
        <v>2813</v>
      </c>
      <c r="B1718" t="s">
        <v>1077</v>
      </c>
      <c r="C1718">
        <v>28</v>
      </c>
      <c r="F1718" s="898">
        <f ca="1">Actions!Z29</f>
        <v>0</v>
      </c>
    </row>
    <row r="1719" spans="1:6">
      <c r="A1719" t="s">
        <v>2813</v>
      </c>
      <c r="B1719" t="s">
        <v>1077</v>
      </c>
      <c r="C1719">
        <v>29</v>
      </c>
      <c r="F1719" s="898">
        <f ca="1">Actions!Z30</f>
        <v>0</v>
      </c>
    </row>
    <row r="1720" spans="1:6">
      <c r="A1720" t="s">
        <v>2813</v>
      </c>
      <c r="B1720" t="s">
        <v>1077</v>
      </c>
      <c r="C1720">
        <v>30</v>
      </c>
      <c r="F1720" s="898">
        <f ca="1">Actions!Z31</f>
        <v>0</v>
      </c>
    </row>
    <row r="1721" spans="1:6">
      <c r="A1721" t="s">
        <v>2813</v>
      </c>
      <c r="B1721" t="s">
        <v>1077</v>
      </c>
      <c r="C1721">
        <v>31</v>
      </c>
      <c r="F1721" s="898">
        <f ca="1">Actions!Z32</f>
        <v>0</v>
      </c>
    </row>
    <row r="1722" spans="1:6">
      <c r="A1722" t="s">
        <v>2813</v>
      </c>
      <c r="B1722" t="s">
        <v>1077</v>
      </c>
      <c r="C1722">
        <v>32</v>
      </c>
      <c r="F1722" s="898">
        <f ca="1">Actions!Z33</f>
        <v>0</v>
      </c>
    </row>
    <row r="1723" spans="1:6">
      <c r="A1723" t="s">
        <v>2813</v>
      </c>
      <c r="B1723" t="s">
        <v>1077</v>
      </c>
      <c r="C1723">
        <v>33</v>
      </c>
      <c r="F1723" s="898">
        <f ca="1">Actions!Z34</f>
        <v>0</v>
      </c>
    </row>
    <row r="1724" spans="1:6">
      <c r="A1724" t="s">
        <v>2813</v>
      </c>
      <c r="B1724" t="s">
        <v>1077</v>
      </c>
      <c r="C1724">
        <v>34</v>
      </c>
      <c r="F1724" s="898">
        <f ca="1">Actions!Z35</f>
        <v>0</v>
      </c>
    </row>
    <row r="1725" spans="1:6">
      <c r="A1725" t="s">
        <v>2813</v>
      </c>
      <c r="B1725" t="s">
        <v>1077</v>
      </c>
      <c r="C1725">
        <v>35</v>
      </c>
      <c r="F1725" s="898">
        <f ca="1">Actions!Z36</f>
        <v>0</v>
      </c>
    </row>
    <row r="1726" spans="1:6">
      <c r="A1726" t="s">
        <v>2813</v>
      </c>
      <c r="B1726" t="s">
        <v>1077</v>
      </c>
      <c r="C1726">
        <v>36</v>
      </c>
      <c r="F1726" s="898">
        <f ca="1">Actions!Z37</f>
        <v>0</v>
      </c>
    </row>
    <row r="1727" spans="1:6">
      <c r="A1727" t="s">
        <v>2813</v>
      </c>
      <c r="B1727" t="s">
        <v>1077</v>
      </c>
      <c r="C1727">
        <v>37</v>
      </c>
      <c r="F1727" s="898">
        <f ca="1">Actions!Z38</f>
        <v>0</v>
      </c>
    </row>
    <row r="1728" spans="1:6">
      <c r="A1728" t="s">
        <v>2813</v>
      </c>
      <c r="B1728" t="s">
        <v>1077</v>
      </c>
      <c r="C1728">
        <v>38</v>
      </c>
      <c r="F1728" s="898">
        <f ca="1">Actions!Z39</f>
        <v>0</v>
      </c>
    </row>
    <row r="1729" spans="1:6">
      <c r="A1729" t="s">
        <v>2813</v>
      </c>
      <c r="B1729" t="s">
        <v>1077</v>
      </c>
      <c r="C1729">
        <v>39</v>
      </c>
      <c r="F1729" s="898">
        <f ca="1">Actions!Z40</f>
        <v>0</v>
      </c>
    </row>
    <row r="1730" spans="1:6">
      <c r="A1730" t="s">
        <v>2813</v>
      </c>
      <c r="B1730" t="s">
        <v>1077</v>
      </c>
      <c r="C1730">
        <v>40</v>
      </c>
      <c r="F1730" s="898">
        <f ca="1">Actions!Z41</f>
        <v>0</v>
      </c>
    </row>
    <row r="1731" spans="1:6">
      <c r="A1731" t="s">
        <v>2813</v>
      </c>
      <c r="B1731" t="s">
        <v>1077</v>
      </c>
      <c r="C1731">
        <v>41</v>
      </c>
      <c r="F1731" s="898">
        <f ca="1">Actions!Z42</f>
        <v>0</v>
      </c>
    </row>
    <row r="1732" spans="1:6">
      <c r="A1732" t="s">
        <v>2813</v>
      </c>
      <c r="B1732" t="s">
        <v>1077</v>
      </c>
      <c r="C1732">
        <v>42</v>
      </c>
      <c r="F1732" s="898">
        <f ca="1">Actions!Z43</f>
        <v>0</v>
      </c>
    </row>
    <row r="1733" spans="1:6">
      <c r="A1733" t="s">
        <v>2813</v>
      </c>
      <c r="B1733" t="s">
        <v>1077</v>
      </c>
      <c r="C1733">
        <v>43</v>
      </c>
      <c r="F1733" s="898">
        <f ca="1">Actions!Z44</f>
        <v>0</v>
      </c>
    </row>
    <row r="1734" spans="1:6">
      <c r="A1734" t="s">
        <v>2813</v>
      </c>
      <c r="B1734" t="s">
        <v>1077</v>
      </c>
      <c r="C1734">
        <v>44</v>
      </c>
      <c r="F1734" s="898">
        <f ca="1">Actions!Z45</f>
        <v>0</v>
      </c>
    </row>
    <row r="1735" spans="1:6">
      <c r="A1735" t="s">
        <v>2813</v>
      </c>
      <c r="B1735" t="s">
        <v>1077</v>
      </c>
      <c r="C1735">
        <v>45</v>
      </c>
      <c r="F1735" s="898">
        <f ca="1">Actions!Z46</f>
        <v>0</v>
      </c>
    </row>
    <row r="1736" spans="1:6">
      <c r="A1736" t="s">
        <v>2813</v>
      </c>
      <c r="B1736" t="s">
        <v>1287</v>
      </c>
      <c r="C1736">
        <v>1</v>
      </c>
      <c r="F1736" s="898">
        <f ca="1">Actions!AA2</f>
        <v>0</v>
      </c>
    </row>
    <row r="1737" spans="1:6">
      <c r="A1737" t="s">
        <v>2813</v>
      </c>
      <c r="B1737" t="s">
        <v>1287</v>
      </c>
      <c r="C1737">
        <v>2</v>
      </c>
      <c r="F1737" s="898">
        <f ca="1">Actions!AA3</f>
        <v>0</v>
      </c>
    </row>
    <row r="1738" spans="1:6">
      <c r="A1738" t="s">
        <v>2813</v>
      </c>
      <c r="B1738" t="s">
        <v>1287</v>
      </c>
      <c r="C1738">
        <v>3</v>
      </c>
      <c r="F1738" s="898">
        <f ca="1">Actions!AA4</f>
        <v>0</v>
      </c>
    </row>
    <row r="1739" spans="1:6">
      <c r="A1739" t="s">
        <v>2813</v>
      </c>
      <c r="B1739" t="s">
        <v>1287</v>
      </c>
      <c r="C1739">
        <v>4</v>
      </c>
      <c r="F1739" s="898">
        <f ca="1">Actions!AA5</f>
        <v>0</v>
      </c>
    </row>
    <row r="1740" spans="1:6">
      <c r="A1740" t="s">
        <v>2813</v>
      </c>
      <c r="B1740" t="s">
        <v>1287</v>
      </c>
      <c r="C1740">
        <v>5</v>
      </c>
      <c r="F1740" s="898">
        <f ca="1">Actions!AA6</f>
        <v>0</v>
      </c>
    </row>
    <row r="1741" spans="1:6">
      <c r="A1741" t="s">
        <v>2813</v>
      </c>
      <c r="B1741" t="s">
        <v>1287</v>
      </c>
      <c r="C1741">
        <v>6</v>
      </c>
      <c r="F1741" s="898">
        <f ca="1">Actions!AA7</f>
        <v>0</v>
      </c>
    </row>
    <row r="1742" spans="1:6">
      <c r="A1742" t="s">
        <v>2813</v>
      </c>
      <c r="B1742" t="s">
        <v>1287</v>
      </c>
      <c r="C1742">
        <v>7</v>
      </c>
      <c r="F1742" s="898">
        <f ca="1">Actions!AA8</f>
        <v>0</v>
      </c>
    </row>
    <row r="1743" spans="1:6">
      <c r="A1743" t="s">
        <v>2813</v>
      </c>
      <c r="B1743" t="s">
        <v>1287</v>
      </c>
      <c r="C1743">
        <v>8</v>
      </c>
      <c r="F1743" s="898">
        <f ca="1">Actions!AA9</f>
        <v>0</v>
      </c>
    </row>
    <row r="1744" spans="1:6">
      <c r="A1744" t="s">
        <v>2813</v>
      </c>
      <c r="B1744" t="s">
        <v>1287</v>
      </c>
      <c r="C1744">
        <v>9</v>
      </c>
      <c r="F1744" s="898">
        <f ca="1">Actions!AA10</f>
        <v>0</v>
      </c>
    </row>
    <row r="1745" spans="1:6">
      <c r="A1745" t="s">
        <v>2813</v>
      </c>
      <c r="B1745" t="s">
        <v>1287</v>
      </c>
      <c r="C1745">
        <v>10</v>
      </c>
      <c r="F1745" s="898">
        <f ca="1">Actions!AA11</f>
        <v>0</v>
      </c>
    </row>
    <row r="1746" spans="1:6">
      <c r="A1746" t="s">
        <v>2813</v>
      </c>
      <c r="B1746" t="s">
        <v>1287</v>
      </c>
      <c r="C1746">
        <v>11</v>
      </c>
      <c r="F1746" s="898">
        <f ca="1">Actions!AA12</f>
        <v>0</v>
      </c>
    </row>
    <row r="1747" spans="1:6">
      <c r="A1747" t="s">
        <v>2813</v>
      </c>
      <c r="B1747" t="s">
        <v>1287</v>
      </c>
      <c r="C1747">
        <v>12</v>
      </c>
      <c r="F1747" s="898">
        <f ca="1">Actions!AA13</f>
        <v>0</v>
      </c>
    </row>
    <row r="1748" spans="1:6">
      <c r="A1748" t="s">
        <v>2813</v>
      </c>
      <c r="B1748" t="s">
        <v>1287</v>
      </c>
      <c r="C1748">
        <v>13</v>
      </c>
      <c r="F1748" s="898">
        <f ca="1">Actions!AA14</f>
        <v>0</v>
      </c>
    </row>
    <row r="1749" spans="1:6">
      <c r="A1749" t="s">
        <v>2813</v>
      </c>
      <c r="B1749" t="s">
        <v>1287</v>
      </c>
      <c r="C1749">
        <v>14</v>
      </c>
      <c r="F1749" s="898">
        <f ca="1">Actions!AA15</f>
        <v>0</v>
      </c>
    </row>
    <row r="1750" spans="1:6">
      <c r="A1750" t="s">
        <v>2813</v>
      </c>
      <c r="B1750" t="s">
        <v>1287</v>
      </c>
      <c r="C1750">
        <v>15</v>
      </c>
      <c r="F1750" s="898">
        <f ca="1">Actions!AA16</f>
        <v>0</v>
      </c>
    </row>
    <row r="1751" spans="1:6">
      <c r="A1751" t="s">
        <v>2813</v>
      </c>
      <c r="B1751" t="s">
        <v>1287</v>
      </c>
      <c r="C1751">
        <v>16</v>
      </c>
      <c r="F1751" s="898">
        <f ca="1">Actions!AA17</f>
        <v>0</v>
      </c>
    </row>
    <row r="1752" spans="1:6">
      <c r="A1752" t="s">
        <v>2813</v>
      </c>
      <c r="B1752" t="s">
        <v>1287</v>
      </c>
      <c r="C1752">
        <v>17</v>
      </c>
      <c r="F1752" s="898">
        <f ca="1">Actions!AA18</f>
        <v>0</v>
      </c>
    </row>
    <row r="1753" spans="1:6">
      <c r="A1753" t="s">
        <v>2813</v>
      </c>
      <c r="B1753" t="s">
        <v>1287</v>
      </c>
      <c r="C1753">
        <v>18</v>
      </c>
      <c r="F1753" s="898">
        <f ca="1">Actions!AA19</f>
        <v>0</v>
      </c>
    </row>
    <row r="1754" spans="1:6">
      <c r="A1754" t="s">
        <v>2813</v>
      </c>
      <c r="B1754" t="s">
        <v>1287</v>
      </c>
      <c r="C1754">
        <v>19</v>
      </c>
      <c r="F1754" s="898">
        <f ca="1">Actions!AA20</f>
        <v>0</v>
      </c>
    </row>
    <row r="1755" spans="1:6">
      <c r="A1755" t="s">
        <v>2813</v>
      </c>
      <c r="B1755" t="s">
        <v>1287</v>
      </c>
      <c r="C1755">
        <v>20</v>
      </c>
      <c r="F1755" s="898">
        <f ca="1">Actions!AA21</f>
        <v>0</v>
      </c>
    </row>
    <row r="1756" spans="1:6">
      <c r="A1756" t="s">
        <v>2813</v>
      </c>
      <c r="B1756" t="s">
        <v>1287</v>
      </c>
      <c r="C1756">
        <v>21</v>
      </c>
      <c r="F1756" s="898">
        <f ca="1">Actions!AA22</f>
        <v>0</v>
      </c>
    </row>
    <row r="1757" spans="1:6">
      <c r="A1757" t="s">
        <v>2813</v>
      </c>
      <c r="B1757" t="s">
        <v>1287</v>
      </c>
      <c r="C1757">
        <v>22</v>
      </c>
      <c r="F1757" s="898">
        <f ca="1">Actions!AA23</f>
        <v>0</v>
      </c>
    </row>
    <row r="1758" spans="1:6">
      <c r="A1758" t="s">
        <v>2813</v>
      </c>
      <c r="B1758" t="s">
        <v>1287</v>
      </c>
      <c r="C1758">
        <v>23</v>
      </c>
      <c r="F1758" s="898">
        <f ca="1">Actions!AA24</f>
        <v>0</v>
      </c>
    </row>
    <row r="1759" spans="1:6">
      <c r="A1759" t="s">
        <v>2813</v>
      </c>
      <c r="B1759" t="s">
        <v>1287</v>
      </c>
      <c r="C1759">
        <v>24</v>
      </c>
      <c r="F1759" s="898">
        <f ca="1">Actions!AA25</f>
        <v>0</v>
      </c>
    </row>
    <row r="1760" spans="1:6">
      <c r="A1760" t="s">
        <v>2813</v>
      </c>
      <c r="B1760" t="s">
        <v>1287</v>
      </c>
      <c r="C1760">
        <v>25</v>
      </c>
      <c r="F1760" s="898">
        <f ca="1">Actions!AA26</f>
        <v>0</v>
      </c>
    </row>
    <row r="1761" spans="1:6">
      <c r="A1761" t="s">
        <v>2813</v>
      </c>
      <c r="B1761" t="s">
        <v>1287</v>
      </c>
      <c r="C1761">
        <v>26</v>
      </c>
      <c r="F1761" s="898">
        <f ca="1">Actions!AA27</f>
        <v>0</v>
      </c>
    </row>
    <row r="1762" spans="1:6">
      <c r="A1762" t="s">
        <v>2813</v>
      </c>
      <c r="B1762" t="s">
        <v>1287</v>
      </c>
      <c r="C1762">
        <v>27</v>
      </c>
      <c r="F1762" s="898">
        <f ca="1">Actions!AA28</f>
        <v>0</v>
      </c>
    </row>
    <row r="1763" spans="1:6">
      <c r="A1763" t="s">
        <v>2813</v>
      </c>
      <c r="B1763" t="s">
        <v>1287</v>
      </c>
      <c r="C1763">
        <v>28</v>
      </c>
      <c r="F1763" s="898">
        <f ca="1">Actions!AA29</f>
        <v>0</v>
      </c>
    </row>
    <row r="1764" spans="1:6">
      <c r="A1764" t="s">
        <v>2813</v>
      </c>
      <c r="B1764" t="s">
        <v>1287</v>
      </c>
      <c r="C1764">
        <v>29</v>
      </c>
      <c r="F1764" s="898">
        <f ca="1">Actions!AA30</f>
        <v>0</v>
      </c>
    </row>
    <row r="1765" spans="1:6">
      <c r="A1765" t="s">
        <v>2813</v>
      </c>
      <c r="B1765" t="s">
        <v>1287</v>
      </c>
      <c r="C1765">
        <v>30</v>
      </c>
      <c r="F1765" s="898">
        <f ca="1">Actions!AA31</f>
        <v>0</v>
      </c>
    </row>
    <row r="1766" spans="1:6">
      <c r="A1766" t="s">
        <v>2813</v>
      </c>
      <c r="B1766" t="s">
        <v>1287</v>
      </c>
      <c r="C1766">
        <v>31</v>
      </c>
      <c r="F1766" s="898">
        <f ca="1">Actions!AA32</f>
        <v>0</v>
      </c>
    </row>
    <row r="1767" spans="1:6">
      <c r="A1767" t="s">
        <v>2813</v>
      </c>
      <c r="B1767" t="s">
        <v>1287</v>
      </c>
      <c r="C1767">
        <v>32</v>
      </c>
      <c r="F1767" s="898">
        <f ca="1">Actions!AA33</f>
        <v>0</v>
      </c>
    </row>
    <row r="1768" spans="1:6">
      <c r="A1768" t="s">
        <v>2813</v>
      </c>
      <c r="B1768" t="s">
        <v>1287</v>
      </c>
      <c r="C1768">
        <v>33</v>
      </c>
      <c r="F1768" s="898">
        <f ca="1">Actions!AA34</f>
        <v>0</v>
      </c>
    </row>
    <row r="1769" spans="1:6">
      <c r="A1769" t="s">
        <v>2813</v>
      </c>
      <c r="B1769" t="s">
        <v>1287</v>
      </c>
      <c r="C1769">
        <v>34</v>
      </c>
      <c r="F1769" s="898">
        <f ca="1">Actions!AA35</f>
        <v>0</v>
      </c>
    </row>
    <row r="1770" spans="1:6">
      <c r="A1770" t="s">
        <v>2813</v>
      </c>
      <c r="B1770" t="s">
        <v>1287</v>
      </c>
      <c r="C1770">
        <v>35</v>
      </c>
      <c r="F1770" s="898">
        <f ca="1">Actions!AA36</f>
        <v>0</v>
      </c>
    </row>
    <row r="1771" spans="1:6">
      <c r="A1771" t="s">
        <v>2813</v>
      </c>
      <c r="B1771" t="s">
        <v>1287</v>
      </c>
      <c r="C1771">
        <v>36</v>
      </c>
      <c r="F1771" s="898">
        <f ca="1">Actions!AA37</f>
        <v>0</v>
      </c>
    </row>
    <row r="1772" spans="1:6">
      <c r="A1772" t="s">
        <v>2813</v>
      </c>
      <c r="B1772" t="s">
        <v>1287</v>
      </c>
      <c r="C1772">
        <v>37</v>
      </c>
      <c r="F1772" s="898">
        <f ca="1">Actions!AA38</f>
        <v>0</v>
      </c>
    </row>
    <row r="1773" spans="1:6">
      <c r="A1773" t="s">
        <v>2813</v>
      </c>
      <c r="B1773" t="s">
        <v>1287</v>
      </c>
      <c r="C1773">
        <v>38</v>
      </c>
      <c r="F1773" s="898">
        <f ca="1">Actions!AA39</f>
        <v>0</v>
      </c>
    </row>
    <row r="1774" spans="1:6">
      <c r="A1774" t="s">
        <v>2813</v>
      </c>
      <c r="B1774" t="s">
        <v>1287</v>
      </c>
      <c r="C1774">
        <v>39</v>
      </c>
      <c r="F1774" s="898">
        <f ca="1">Actions!AA40</f>
        <v>0</v>
      </c>
    </row>
    <row r="1775" spans="1:6">
      <c r="A1775" t="s">
        <v>2813</v>
      </c>
      <c r="B1775" t="s">
        <v>1287</v>
      </c>
      <c r="C1775">
        <v>40</v>
      </c>
      <c r="F1775" s="898">
        <f ca="1">Actions!AA41</f>
        <v>0</v>
      </c>
    </row>
    <row r="1776" spans="1:6">
      <c r="A1776" t="s">
        <v>2813</v>
      </c>
      <c r="B1776" t="s">
        <v>1287</v>
      </c>
      <c r="C1776">
        <v>41</v>
      </c>
      <c r="F1776" s="898">
        <f ca="1">Actions!AA42</f>
        <v>0</v>
      </c>
    </row>
    <row r="1777" spans="1:6">
      <c r="A1777" t="s">
        <v>2813</v>
      </c>
      <c r="B1777" t="s">
        <v>1287</v>
      </c>
      <c r="C1777">
        <v>42</v>
      </c>
      <c r="F1777" s="898">
        <f ca="1">Actions!AA43</f>
        <v>0</v>
      </c>
    </row>
    <row r="1778" spans="1:6">
      <c r="A1778" t="s">
        <v>2813</v>
      </c>
      <c r="B1778" t="s">
        <v>1287</v>
      </c>
      <c r="C1778">
        <v>43</v>
      </c>
      <c r="F1778" s="898">
        <f ca="1">Actions!AA44</f>
        <v>0</v>
      </c>
    </row>
    <row r="1779" spans="1:6">
      <c r="A1779" t="s">
        <v>2813</v>
      </c>
      <c r="B1779" t="s">
        <v>1287</v>
      </c>
      <c r="C1779">
        <v>44</v>
      </c>
      <c r="F1779" s="898">
        <f ca="1">Actions!AA45</f>
        <v>0</v>
      </c>
    </row>
    <row r="1780" spans="1:6">
      <c r="A1780" t="s">
        <v>2813</v>
      </c>
      <c r="B1780" t="s">
        <v>1287</v>
      </c>
      <c r="C1780">
        <v>45</v>
      </c>
      <c r="F1780" s="898">
        <f ca="1">Actions!AA46</f>
        <v>0</v>
      </c>
    </row>
    <row r="1781" spans="1:6">
      <c r="A1781" t="s">
        <v>2813</v>
      </c>
      <c r="B1781" t="s">
        <v>1060</v>
      </c>
      <c r="C1781">
        <v>1</v>
      </c>
      <c r="F1781" s="898">
        <f ca="1">Actions!AB2</f>
        <v>0</v>
      </c>
    </row>
    <row r="1782" spans="1:6">
      <c r="A1782" t="s">
        <v>2813</v>
      </c>
      <c r="B1782" t="s">
        <v>1060</v>
      </c>
      <c r="C1782">
        <v>2</v>
      </c>
      <c r="F1782" s="898">
        <f ca="1">Actions!AB3</f>
        <v>0</v>
      </c>
    </row>
    <row r="1783" spans="1:6">
      <c r="A1783" t="s">
        <v>2813</v>
      </c>
      <c r="B1783" t="s">
        <v>1060</v>
      </c>
      <c r="C1783">
        <v>3</v>
      </c>
      <c r="F1783" s="898">
        <f ca="1">Actions!AB4</f>
        <v>0</v>
      </c>
    </row>
    <row r="1784" spans="1:6">
      <c r="A1784" t="s">
        <v>2813</v>
      </c>
      <c r="B1784" t="s">
        <v>1060</v>
      </c>
      <c r="C1784">
        <v>4</v>
      </c>
      <c r="F1784" s="898">
        <f ca="1">Actions!AB5</f>
        <v>0</v>
      </c>
    </row>
    <row r="1785" spans="1:6">
      <c r="A1785" t="s">
        <v>2813</v>
      </c>
      <c r="B1785" t="s">
        <v>1060</v>
      </c>
      <c r="C1785">
        <v>5</v>
      </c>
      <c r="F1785" s="898">
        <f ca="1">Actions!AB6</f>
        <v>0</v>
      </c>
    </row>
    <row r="1786" spans="1:6">
      <c r="A1786" t="s">
        <v>2813</v>
      </c>
      <c r="B1786" t="s">
        <v>1060</v>
      </c>
      <c r="C1786">
        <v>6</v>
      </c>
      <c r="F1786" s="898">
        <f ca="1">Actions!AB7</f>
        <v>0</v>
      </c>
    </row>
    <row r="1787" spans="1:6">
      <c r="A1787" t="s">
        <v>2813</v>
      </c>
      <c r="B1787" t="s">
        <v>1060</v>
      </c>
      <c r="C1787">
        <v>7</v>
      </c>
      <c r="F1787" s="898">
        <f ca="1">Actions!AB8</f>
        <v>0</v>
      </c>
    </row>
    <row r="1788" spans="1:6">
      <c r="A1788" t="s">
        <v>2813</v>
      </c>
      <c r="B1788" t="s">
        <v>1060</v>
      </c>
      <c r="C1788">
        <v>8</v>
      </c>
      <c r="F1788" s="898">
        <f ca="1">Actions!AB9</f>
        <v>0</v>
      </c>
    </row>
    <row r="1789" spans="1:6">
      <c r="A1789" t="s">
        <v>2813</v>
      </c>
      <c r="B1789" t="s">
        <v>1060</v>
      </c>
      <c r="C1789">
        <v>9</v>
      </c>
      <c r="F1789" s="898">
        <f ca="1">Actions!AB10</f>
        <v>0</v>
      </c>
    </row>
    <row r="1790" spans="1:6">
      <c r="A1790" t="s">
        <v>2813</v>
      </c>
      <c r="B1790" t="s">
        <v>1060</v>
      </c>
      <c r="C1790">
        <v>10</v>
      </c>
      <c r="F1790" s="898">
        <f ca="1">Actions!AB11</f>
        <v>0</v>
      </c>
    </row>
    <row r="1791" spans="1:6">
      <c r="A1791" t="s">
        <v>2813</v>
      </c>
      <c r="B1791" t="s">
        <v>1060</v>
      </c>
      <c r="C1791">
        <v>11</v>
      </c>
      <c r="F1791" s="898">
        <f ca="1">Actions!AB12</f>
        <v>0</v>
      </c>
    </row>
    <row r="1792" spans="1:6">
      <c r="A1792" t="s">
        <v>2813</v>
      </c>
      <c r="B1792" t="s">
        <v>1060</v>
      </c>
      <c r="C1792">
        <v>12</v>
      </c>
      <c r="F1792" s="898">
        <f ca="1">Actions!AB13</f>
        <v>0</v>
      </c>
    </row>
    <row r="1793" spans="1:6">
      <c r="A1793" t="s">
        <v>2813</v>
      </c>
      <c r="B1793" t="s">
        <v>1060</v>
      </c>
      <c r="C1793">
        <v>13</v>
      </c>
      <c r="F1793" s="898">
        <f ca="1">Actions!AB14</f>
        <v>0</v>
      </c>
    </row>
    <row r="1794" spans="1:6">
      <c r="A1794" t="s">
        <v>2813</v>
      </c>
      <c r="B1794" t="s">
        <v>1060</v>
      </c>
      <c r="C1794">
        <v>14</v>
      </c>
      <c r="F1794" s="898">
        <f ca="1">Actions!AB15</f>
        <v>0</v>
      </c>
    </row>
    <row r="1795" spans="1:6">
      <c r="A1795" t="s">
        <v>2813</v>
      </c>
      <c r="B1795" t="s">
        <v>1060</v>
      </c>
      <c r="C1795">
        <v>15</v>
      </c>
      <c r="F1795" s="898">
        <f ca="1">Actions!AB16</f>
        <v>0</v>
      </c>
    </row>
    <row r="1796" spans="1:6">
      <c r="A1796" t="s">
        <v>2813</v>
      </c>
      <c r="B1796" t="s">
        <v>1060</v>
      </c>
      <c r="C1796">
        <v>16</v>
      </c>
      <c r="F1796" s="898">
        <f ca="1">Actions!AB17</f>
        <v>0</v>
      </c>
    </row>
    <row r="1797" spans="1:6">
      <c r="A1797" t="s">
        <v>2813</v>
      </c>
      <c r="B1797" t="s">
        <v>1060</v>
      </c>
      <c r="C1797">
        <v>17</v>
      </c>
      <c r="F1797" s="898">
        <f ca="1">Actions!AB18</f>
        <v>0</v>
      </c>
    </row>
    <row r="1798" spans="1:6">
      <c r="A1798" t="s">
        <v>2813</v>
      </c>
      <c r="B1798" t="s">
        <v>1060</v>
      </c>
      <c r="C1798">
        <v>18</v>
      </c>
      <c r="F1798" s="898">
        <f ca="1">Actions!AB19</f>
        <v>0</v>
      </c>
    </row>
    <row r="1799" spans="1:6">
      <c r="A1799" t="s">
        <v>2813</v>
      </c>
      <c r="B1799" t="s">
        <v>1060</v>
      </c>
      <c r="C1799">
        <v>19</v>
      </c>
      <c r="F1799" s="898">
        <f ca="1">Actions!AB20</f>
        <v>0</v>
      </c>
    </row>
    <row r="1800" spans="1:6">
      <c r="A1800" t="s">
        <v>2813</v>
      </c>
      <c r="B1800" t="s">
        <v>1060</v>
      </c>
      <c r="C1800">
        <v>20</v>
      </c>
      <c r="F1800" s="898">
        <f ca="1">Actions!AB21</f>
        <v>0</v>
      </c>
    </row>
    <row r="1801" spans="1:6">
      <c r="A1801" t="s">
        <v>2813</v>
      </c>
      <c r="B1801" t="s">
        <v>1060</v>
      </c>
      <c r="C1801">
        <v>21</v>
      </c>
      <c r="F1801" s="898">
        <f ca="1">Actions!AB22</f>
        <v>0</v>
      </c>
    </row>
    <row r="1802" spans="1:6">
      <c r="A1802" t="s">
        <v>2813</v>
      </c>
      <c r="B1802" t="s">
        <v>1060</v>
      </c>
      <c r="C1802">
        <v>22</v>
      </c>
      <c r="F1802" s="898">
        <f ca="1">Actions!AB23</f>
        <v>0</v>
      </c>
    </row>
    <row r="1803" spans="1:6">
      <c r="A1803" t="s">
        <v>2813</v>
      </c>
      <c r="B1803" t="s">
        <v>1060</v>
      </c>
      <c r="C1803">
        <v>23</v>
      </c>
      <c r="F1803" s="898">
        <f ca="1">Actions!AB24</f>
        <v>0</v>
      </c>
    </row>
    <row r="1804" spans="1:6">
      <c r="A1804" t="s">
        <v>2813</v>
      </c>
      <c r="B1804" t="s">
        <v>1060</v>
      </c>
      <c r="C1804">
        <v>24</v>
      </c>
      <c r="F1804" s="898">
        <f ca="1">Actions!AB25</f>
        <v>0</v>
      </c>
    </row>
    <row r="1805" spans="1:6">
      <c r="A1805" t="s">
        <v>2813</v>
      </c>
      <c r="B1805" t="s">
        <v>1060</v>
      </c>
      <c r="C1805">
        <v>25</v>
      </c>
      <c r="F1805" s="898">
        <f ca="1">Actions!AB26</f>
        <v>0</v>
      </c>
    </row>
    <row r="1806" spans="1:6">
      <c r="A1806" t="s">
        <v>2813</v>
      </c>
      <c r="B1806" t="s">
        <v>1060</v>
      </c>
      <c r="C1806">
        <v>26</v>
      </c>
      <c r="F1806" s="898">
        <f ca="1">Actions!AB27</f>
        <v>0</v>
      </c>
    </row>
    <row r="1807" spans="1:6">
      <c r="A1807" t="s">
        <v>2813</v>
      </c>
      <c r="B1807" t="s">
        <v>1060</v>
      </c>
      <c r="C1807">
        <v>27</v>
      </c>
      <c r="F1807" s="898">
        <f ca="1">Actions!AB28</f>
        <v>0</v>
      </c>
    </row>
    <row r="1808" spans="1:6">
      <c r="A1808" t="s">
        <v>2813</v>
      </c>
      <c r="B1808" t="s">
        <v>1060</v>
      </c>
      <c r="C1808">
        <v>28</v>
      </c>
      <c r="F1808" s="898">
        <f ca="1">Actions!AB29</f>
        <v>0</v>
      </c>
    </row>
    <row r="1809" spans="1:6">
      <c r="A1809" t="s">
        <v>2813</v>
      </c>
      <c r="B1809" t="s">
        <v>1060</v>
      </c>
      <c r="C1809">
        <v>29</v>
      </c>
      <c r="F1809" s="898">
        <f ca="1">Actions!AB30</f>
        <v>0</v>
      </c>
    </row>
    <row r="1810" spans="1:6">
      <c r="A1810" t="s">
        <v>2813</v>
      </c>
      <c r="B1810" t="s">
        <v>1060</v>
      </c>
      <c r="C1810">
        <v>30</v>
      </c>
      <c r="F1810" s="898">
        <f ca="1">Actions!AB31</f>
        <v>0</v>
      </c>
    </row>
    <row r="1811" spans="1:6">
      <c r="A1811" t="s">
        <v>2813</v>
      </c>
      <c r="B1811" t="s">
        <v>1060</v>
      </c>
      <c r="C1811">
        <v>31</v>
      </c>
      <c r="F1811" s="898">
        <f ca="1">Actions!AB32</f>
        <v>0</v>
      </c>
    </row>
    <row r="1812" spans="1:6">
      <c r="A1812" t="s">
        <v>2813</v>
      </c>
      <c r="B1812" t="s">
        <v>1060</v>
      </c>
      <c r="C1812">
        <v>32</v>
      </c>
      <c r="F1812" s="898">
        <f ca="1">Actions!AB33</f>
        <v>0</v>
      </c>
    </row>
    <row r="1813" spans="1:6">
      <c r="A1813" t="s">
        <v>2813</v>
      </c>
      <c r="B1813" t="s">
        <v>1060</v>
      </c>
      <c r="C1813">
        <v>33</v>
      </c>
      <c r="F1813" s="898">
        <f ca="1">Actions!AB34</f>
        <v>0</v>
      </c>
    </row>
    <row r="1814" spans="1:6">
      <c r="A1814" t="s">
        <v>2813</v>
      </c>
      <c r="B1814" t="s">
        <v>1060</v>
      </c>
      <c r="C1814">
        <v>34</v>
      </c>
      <c r="F1814" s="898">
        <f ca="1">Actions!AB35</f>
        <v>0</v>
      </c>
    </row>
    <row r="1815" spans="1:6">
      <c r="A1815" t="s">
        <v>2813</v>
      </c>
      <c r="B1815" t="s">
        <v>1060</v>
      </c>
      <c r="C1815">
        <v>35</v>
      </c>
      <c r="F1815" s="898">
        <f ca="1">Actions!AB36</f>
        <v>0</v>
      </c>
    </row>
    <row r="1816" spans="1:6">
      <c r="A1816" t="s">
        <v>2813</v>
      </c>
      <c r="B1816" t="s">
        <v>1060</v>
      </c>
      <c r="C1816">
        <v>36</v>
      </c>
      <c r="F1816" s="898">
        <f ca="1">Actions!AB37</f>
        <v>0</v>
      </c>
    </row>
    <row r="1817" spans="1:6">
      <c r="A1817" t="s">
        <v>2813</v>
      </c>
      <c r="B1817" t="s">
        <v>1060</v>
      </c>
      <c r="C1817">
        <v>37</v>
      </c>
      <c r="F1817" s="898">
        <f ca="1">Actions!AB38</f>
        <v>0</v>
      </c>
    </row>
    <row r="1818" spans="1:6">
      <c r="A1818" t="s">
        <v>2813</v>
      </c>
      <c r="B1818" t="s">
        <v>1060</v>
      </c>
      <c r="C1818">
        <v>38</v>
      </c>
      <c r="F1818" s="898">
        <f ca="1">Actions!AB39</f>
        <v>0</v>
      </c>
    </row>
    <row r="1819" spans="1:6">
      <c r="A1819" t="s">
        <v>2813</v>
      </c>
      <c r="B1819" t="s">
        <v>1060</v>
      </c>
      <c r="C1819">
        <v>39</v>
      </c>
      <c r="F1819" s="898">
        <f ca="1">Actions!AB40</f>
        <v>0</v>
      </c>
    </row>
    <row r="1820" spans="1:6">
      <c r="A1820" t="s">
        <v>2813</v>
      </c>
      <c r="B1820" t="s">
        <v>1060</v>
      </c>
      <c r="C1820">
        <v>40</v>
      </c>
      <c r="F1820" s="898">
        <f ca="1">Actions!AB41</f>
        <v>0</v>
      </c>
    </row>
    <row r="1821" spans="1:6">
      <c r="A1821" t="s">
        <v>2813</v>
      </c>
      <c r="B1821" t="s">
        <v>1060</v>
      </c>
      <c r="C1821">
        <v>41</v>
      </c>
      <c r="F1821" s="898">
        <f ca="1">Actions!AB42</f>
        <v>0</v>
      </c>
    </row>
    <row r="1822" spans="1:6">
      <c r="A1822" t="s">
        <v>2813</v>
      </c>
      <c r="B1822" t="s">
        <v>1060</v>
      </c>
      <c r="C1822">
        <v>42</v>
      </c>
      <c r="F1822" s="898">
        <f ca="1">Actions!AB43</f>
        <v>0</v>
      </c>
    </row>
    <row r="1823" spans="1:6">
      <c r="A1823" t="s">
        <v>2813</v>
      </c>
      <c r="B1823" t="s">
        <v>1060</v>
      </c>
      <c r="C1823">
        <v>43</v>
      </c>
      <c r="F1823" s="898">
        <f ca="1">Actions!AB44</f>
        <v>0</v>
      </c>
    </row>
    <row r="1824" spans="1:6">
      <c r="A1824" t="s">
        <v>2813</v>
      </c>
      <c r="B1824" t="s">
        <v>1060</v>
      </c>
      <c r="C1824">
        <v>44</v>
      </c>
      <c r="F1824" s="898">
        <f ca="1">Actions!AB45</f>
        <v>0</v>
      </c>
    </row>
    <row r="1825" spans="1:6">
      <c r="A1825" t="s">
        <v>2813</v>
      </c>
      <c r="B1825" t="s">
        <v>1060</v>
      </c>
      <c r="C1825">
        <v>45</v>
      </c>
      <c r="F1825" s="898">
        <f ca="1">Actions!AB46</f>
        <v>0</v>
      </c>
    </row>
    <row r="1826" spans="1:6">
      <c r="A1826" t="s">
        <v>2813</v>
      </c>
      <c r="B1826" t="s">
        <v>1053</v>
      </c>
      <c r="C1826">
        <v>1</v>
      </c>
      <c r="F1826" s="898">
        <f ca="1">Actions!AC2</f>
        <v>0</v>
      </c>
    </row>
    <row r="1827" spans="1:6">
      <c r="A1827" t="s">
        <v>2813</v>
      </c>
      <c r="B1827" t="s">
        <v>1053</v>
      </c>
      <c r="C1827">
        <v>2</v>
      </c>
      <c r="F1827" s="898">
        <f ca="1">Actions!AC3</f>
        <v>0</v>
      </c>
    </row>
    <row r="1828" spans="1:6">
      <c r="A1828" t="s">
        <v>2813</v>
      </c>
      <c r="B1828" t="s">
        <v>1053</v>
      </c>
      <c r="C1828">
        <v>3</v>
      </c>
      <c r="F1828" s="898">
        <f ca="1">Actions!AC4</f>
        <v>0</v>
      </c>
    </row>
    <row r="1829" spans="1:6">
      <c r="A1829" t="s">
        <v>2813</v>
      </c>
      <c r="B1829" t="s">
        <v>1053</v>
      </c>
      <c r="C1829">
        <v>4</v>
      </c>
      <c r="F1829" s="898">
        <f ca="1">Actions!AC5</f>
        <v>0</v>
      </c>
    </row>
    <row r="1830" spans="1:6">
      <c r="A1830" t="s">
        <v>2813</v>
      </c>
      <c r="B1830" t="s">
        <v>1053</v>
      </c>
      <c r="C1830">
        <v>5</v>
      </c>
      <c r="F1830" s="898">
        <f ca="1">Actions!AC6</f>
        <v>0</v>
      </c>
    </row>
    <row r="1831" spans="1:6">
      <c r="A1831" t="s">
        <v>2813</v>
      </c>
      <c r="B1831" t="s">
        <v>1053</v>
      </c>
      <c r="C1831">
        <v>6</v>
      </c>
      <c r="F1831" s="898">
        <f ca="1">Actions!AC7</f>
        <v>0</v>
      </c>
    </row>
    <row r="1832" spans="1:6">
      <c r="A1832" t="s">
        <v>2813</v>
      </c>
      <c r="B1832" t="s">
        <v>1053</v>
      </c>
      <c r="C1832">
        <v>7</v>
      </c>
      <c r="F1832" s="898">
        <f ca="1">Actions!AC8</f>
        <v>0</v>
      </c>
    </row>
    <row r="1833" spans="1:6">
      <c r="A1833" t="s">
        <v>2813</v>
      </c>
      <c r="B1833" t="s">
        <v>1053</v>
      </c>
      <c r="C1833">
        <v>8</v>
      </c>
      <c r="F1833" s="898">
        <f ca="1">Actions!AC9</f>
        <v>0</v>
      </c>
    </row>
    <row r="1834" spans="1:6">
      <c r="A1834" t="s">
        <v>2813</v>
      </c>
      <c r="B1834" t="s">
        <v>1053</v>
      </c>
      <c r="C1834">
        <v>9</v>
      </c>
      <c r="F1834" s="898">
        <f ca="1">Actions!AC10</f>
        <v>0</v>
      </c>
    </row>
    <row r="1835" spans="1:6">
      <c r="A1835" t="s">
        <v>2813</v>
      </c>
      <c r="B1835" t="s">
        <v>1053</v>
      </c>
      <c r="C1835">
        <v>10</v>
      </c>
      <c r="F1835" s="898">
        <f ca="1">Actions!AC11</f>
        <v>0</v>
      </c>
    </row>
    <row r="1836" spans="1:6">
      <c r="A1836" t="s">
        <v>2813</v>
      </c>
      <c r="B1836" t="s">
        <v>1053</v>
      </c>
      <c r="C1836">
        <v>11</v>
      </c>
      <c r="F1836" s="898">
        <f ca="1">Actions!AC12</f>
        <v>0</v>
      </c>
    </row>
    <row r="1837" spans="1:6">
      <c r="A1837" t="s">
        <v>2813</v>
      </c>
      <c r="B1837" t="s">
        <v>1053</v>
      </c>
      <c r="C1837">
        <v>12</v>
      </c>
      <c r="F1837" s="898">
        <f ca="1">Actions!AC13</f>
        <v>0</v>
      </c>
    </row>
    <row r="1838" spans="1:6">
      <c r="A1838" t="s">
        <v>2813</v>
      </c>
      <c r="B1838" t="s">
        <v>1053</v>
      </c>
      <c r="C1838">
        <v>13</v>
      </c>
      <c r="F1838" s="898">
        <f ca="1">Actions!AC14</f>
        <v>0</v>
      </c>
    </row>
    <row r="1839" spans="1:6">
      <c r="A1839" t="s">
        <v>2813</v>
      </c>
      <c r="B1839" t="s">
        <v>1053</v>
      </c>
      <c r="C1839">
        <v>14</v>
      </c>
      <c r="F1839" s="898">
        <f ca="1">Actions!AC15</f>
        <v>0</v>
      </c>
    </row>
    <row r="1840" spans="1:6">
      <c r="A1840" t="s">
        <v>2813</v>
      </c>
      <c r="B1840" t="s">
        <v>1053</v>
      </c>
      <c r="C1840">
        <v>15</v>
      </c>
      <c r="F1840" s="898">
        <f ca="1">Actions!AC16</f>
        <v>0</v>
      </c>
    </row>
    <row r="1841" spans="1:6">
      <c r="A1841" t="s">
        <v>2813</v>
      </c>
      <c r="B1841" t="s">
        <v>1053</v>
      </c>
      <c r="C1841">
        <v>16</v>
      </c>
      <c r="F1841" s="898">
        <f ca="1">Actions!AC17</f>
        <v>0</v>
      </c>
    </row>
    <row r="1842" spans="1:6">
      <c r="A1842" t="s">
        <v>2813</v>
      </c>
      <c r="B1842" t="s">
        <v>1053</v>
      </c>
      <c r="C1842">
        <v>17</v>
      </c>
      <c r="F1842" s="898">
        <f ca="1">Actions!AC18</f>
        <v>0</v>
      </c>
    </row>
    <row r="1843" spans="1:6">
      <c r="A1843" t="s">
        <v>2813</v>
      </c>
      <c r="B1843" t="s">
        <v>1053</v>
      </c>
      <c r="C1843">
        <v>18</v>
      </c>
      <c r="F1843" s="898">
        <f ca="1">Actions!AC19</f>
        <v>0</v>
      </c>
    </row>
    <row r="1844" spans="1:6">
      <c r="A1844" t="s">
        <v>2813</v>
      </c>
      <c r="B1844" t="s">
        <v>1053</v>
      </c>
      <c r="C1844">
        <v>19</v>
      </c>
      <c r="F1844" s="898">
        <f ca="1">Actions!AC20</f>
        <v>0</v>
      </c>
    </row>
    <row r="1845" spans="1:6">
      <c r="A1845" t="s">
        <v>2813</v>
      </c>
      <c r="B1845" t="s">
        <v>1053</v>
      </c>
      <c r="C1845">
        <v>20</v>
      </c>
      <c r="F1845" s="898">
        <f ca="1">Actions!AC21</f>
        <v>0</v>
      </c>
    </row>
    <row r="1846" spans="1:6">
      <c r="A1846" t="s">
        <v>2813</v>
      </c>
      <c r="B1846" t="s">
        <v>1053</v>
      </c>
      <c r="C1846">
        <v>21</v>
      </c>
      <c r="F1846" s="898">
        <f ca="1">Actions!AC22</f>
        <v>0</v>
      </c>
    </row>
    <row r="1847" spans="1:6">
      <c r="A1847" t="s">
        <v>2813</v>
      </c>
      <c r="B1847" t="s">
        <v>1053</v>
      </c>
      <c r="C1847">
        <v>22</v>
      </c>
      <c r="F1847" s="898">
        <f ca="1">Actions!AC23</f>
        <v>0</v>
      </c>
    </row>
    <row r="1848" spans="1:6">
      <c r="A1848" t="s">
        <v>2813</v>
      </c>
      <c r="B1848" t="s">
        <v>1053</v>
      </c>
      <c r="C1848">
        <v>23</v>
      </c>
      <c r="F1848" s="898">
        <f ca="1">Actions!AC24</f>
        <v>0</v>
      </c>
    </row>
    <row r="1849" spans="1:6">
      <c r="A1849" t="s">
        <v>2813</v>
      </c>
      <c r="B1849" t="s">
        <v>1053</v>
      </c>
      <c r="C1849">
        <v>24</v>
      </c>
      <c r="F1849" s="898">
        <f ca="1">Actions!AC25</f>
        <v>0</v>
      </c>
    </row>
    <row r="1850" spans="1:6">
      <c r="A1850" t="s">
        <v>2813</v>
      </c>
      <c r="B1850" t="s">
        <v>1053</v>
      </c>
      <c r="C1850">
        <v>25</v>
      </c>
      <c r="F1850" s="898">
        <f ca="1">Actions!AC26</f>
        <v>0</v>
      </c>
    </row>
    <row r="1851" spans="1:6">
      <c r="A1851" t="s">
        <v>2813</v>
      </c>
      <c r="B1851" t="s">
        <v>1053</v>
      </c>
      <c r="C1851">
        <v>26</v>
      </c>
      <c r="F1851" s="898">
        <f ca="1">Actions!AC27</f>
        <v>0</v>
      </c>
    </row>
    <row r="1852" spans="1:6">
      <c r="A1852" t="s">
        <v>2813</v>
      </c>
      <c r="B1852" t="s">
        <v>1053</v>
      </c>
      <c r="C1852">
        <v>27</v>
      </c>
      <c r="F1852" s="898">
        <f ca="1">Actions!AC28</f>
        <v>0</v>
      </c>
    </row>
    <row r="1853" spans="1:6">
      <c r="A1853" t="s">
        <v>2813</v>
      </c>
      <c r="B1853" t="s">
        <v>1053</v>
      </c>
      <c r="C1853">
        <v>28</v>
      </c>
      <c r="F1853" s="898">
        <f ca="1">Actions!AC29</f>
        <v>0</v>
      </c>
    </row>
    <row r="1854" spans="1:6">
      <c r="A1854" t="s">
        <v>2813</v>
      </c>
      <c r="B1854" t="s">
        <v>1053</v>
      </c>
      <c r="C1854">
        <v>29</v>
      </c>
      <c r="F1854" s="898">
        <f ca="1">Actions!AC30</f>
        <v>0</v>
      </c>
    </row>
    <row r="1855" spans="1:6">
      <c r="A1855" t="s">
        <v>2813</v>
      </c>
      <c r="B1855" t="s">
        <v>1053</v>
      </c>
      <c r="C1855">
        <v>30</v>
      </c>
      <c r="F1855" s="898">
        <f ca="1">Actions!AC31</f>
        <v>0</v>
      </c>
    </row>
    <row r="1856" spans="1:6">
      <c r="A1856" t="s">
        <v>2813</v>
      </c>
      <c r="B1856" t="s">
        <v>1053</v>
      </c>
      <c r="C1856">
        <v>31</v>
      </c>
      <c r="F1856" s="898">
        <f ca="1">Actions!AC32</f>
        <v>0</v>
      </c>
    </row>
    <row r="1857" spans="1:6">
      <c r="A1857" t="s">
        <v>2813</v>
      </c>
      <c r="B1857" t="s">
        <v>1053</v>
      </c>
      <c r="C1857">
        <v>32</v>
      </c>
      <c r="F1857" s="898">
        <f ca="1">Actions!AC33</f>
        <v>0</v>
      </c>
    </row>
    <row r="1858" spans="1:6">
      <c r="A1858" t="s">
        <v>2813</v>
      </c>
      <c r="B1858" t="s">
        <v>1053</v>
      </c>
      <c r="C1858">
        <v>33</v>
      </c>
      <c r="F1858" s="898">
        <f ca="1">Actions!AC34</f>
        <v>0</v>
      </c>
    </row>
    <row r="1859" spans="1:6">
      <c r="A1859" t="s">
        <v>2813</v>
      </c>
      <c r="B1859" t="s">
        <v>1053</v>
      </c>
      <c r="C1859">
        <v>34</v>
      </c>
      <c r="F1859" s="898">
        <f ca="1">Actions!AC35</f>
        <v>0</v>
      </c>
    </row>
    <row r="1860" spans="1:6">
      <c r="A1860" t="s">
        <v>2813</v>
      </c>
      <c r="B1860" t="s">
        <v>1053</v>
      </c>
      <c r="C1860">
        <v>35</v>
      </c>
      <c r="F1860" s="898">
        <f ca="1">Actions!AC36</f>
        <v>0</v>
      </c>
    </row>
    <row r="1861" spans="1:6">
      <c r="A1861" t="s">
        <v>2813</v>
      </c>
      <c r="B1861" t="s">
        <v>1053</v>
      </c>
      <c r="C1861">
        <v>36</v>
      </c>
      <c r="F1861" s="898">
        <f ca="1">Actions!AC37</f>
        <v>0</v>
      </c>
    </row>
    <row r="1862" spans="1:6">
      <c r="A1862" t="s">
        <v>2813</v>
      </c>
      <c r="B1862" t="s">
        <v>1053</v>
      </c>
      <c r="C1862">
        <v>37</v>
      </c>
      <c r="F1862" s="898">
        <f ca="1">Actions!AC38</f>
        <v>0</v>
      </c>
    </row>
    <row r="1863" spans="1:6">
      <c r="A1863" t="s">
        <v>2813</v>
      </c>
      <c r="B1863" t="s">
        <v>1053</v>
      </c>
      <c r="C1863">
        <v>38</v>
      </c>
      <c r="F1863" s="898">
        <f ca="1">Actions!AC39</f>
        <v>0</v>
      </c>
    </row>
    <row r="1864" spans="1:6">
      <c r="A1864" t="s">
        <v>2813</v>
      </c>
      <c r="B1864" t="s">
        <v>1053</v>
      </c>
      <c r="C1864">
        <v>39</v>
      </c>
      <c r="F1864" s="898">
        <f ca="1">Actions!AC40</f>
        <v>0</v>
      </c>
    </row>
    <row r="1865" spans="1:6">
      <c r="A1865" t="s">
        <v>2813</v>
      </c>
      <c r="B1865" t="s">
        <v>1053</v>
      </c>
      <c r="C1865">
        <v>40</v>
      </c>
      <c r="F1865" s="898">
        <f ca="1">Actions!AC41</f>
        <v>0</v>
      </c>
    </row>
    <row r="1866" spans="1:6">
      <c r="A1866" t="s">
        <v>2813</v>
      </c>
      <c r="B1866" t="s">
        <v>1053</v>
      </c>
      <c r="C1866">
        <v>41</v>
      </c>
      <c r="F1866" s="898">
        <f ca="1">Actions!AC42</f>
        <v>0</v>
      </c>
    </row>
    <row r="1867" spans="1:6">
      <c r="A1867" t="s">
        <v>2813</v>
      </c>
      <c r="B1867" t="s">
        <v>1053</v>
      </c>
      <c r="C1867">
        <v>42</v>
      </c>
      <c r="F1867" s="898">
        <f ca="1">Actions!AC43</f>
        <v>0</v>
      </c>
    </row>
    <row r="1868" spans="1:6">
      <c r="A1868" t="s">
        <v>2813</v>
      </c>
      <c r="B1868" t="s">
        <v>1053</v>
      </c>
      <c r="C1868">
        <v>43</v>
      </c>
      <c r="F1868" s="898">
        <f ca="1">Actions!AC44</f>
        <v>0</v>
      </c>
    </row>
    <row r="1869" spans="1:6">
      <c r="A1869" t="s">
        <v>2813</v>
      </c>
      <c r="B1869" t="s">
        <v>1053</v>
      </c>
      <c r="C1869">
        <v>44</v>
      </c>
      <c r="F1869" s="898">
        <f ca="1">Actions!AC45</f>
        <v>0</v>
      </c>
    </row>
    <row r="1870" spans="1:6">
      <c r="A1870" t="s">
        <v>2813</v>
      </c>
      <c r="B1870" t="s">
        <v>1053</v>
      </c>
      <c r="C1870">
        <v>45</v>
      </c>
      <c r="F1870" s="898">
        <f ca="1">Actions!AC46</f>
        <v>0</v>
      </c>
    </row>
    <row r="1871" spans="1:6">
      <c r="A1871" t="s">
        <v>2813</v>
      </c>
      <c r="B1871" t="s">
        <v>2829</v>
      </c>
      <c r="C1871">
        <v>1</v>
      </c>
      <c r="F1871" s="898">
        <f ca="1">Actions!AD2</f>
        <v>0</v>
      </c>
    </row>
    <row r="1872" spans="1:6">
      <c r="A1872" t="s">
        <v>2813</v>
      </c>
      <c r="B1872" t="s">
        <v>2829</v>
      </c>
      <c r="C1872">
        <v>2</v>
      </c>
      <c r="F1872" s="898">
        <f ca="1">Actions!AD3</f>
        <v>0</v>
      </c>
    </row>
    <row r="1873" spans="1:6">
      <c r="A1873" t="s">
        <v>2813</v>
      </c>
      <c r="B1873" t="s">
        <v>2829</v>
      </c>
      <c r="C1873">
        <v>3</v>
      </c>
      <c r="F1873" s="898">
        <f ca="1">Actions!AD4</f>
        <v>0</v>
      </c>
    </row>
    <row r="1874" spans="1:6">
      <c r="A1874" t="s">
        <v>2813</v>
      </c>
      <c r="B1874" t="s">
        <v>2829</v>
      </c>
      <c r="C1874">
        <v>4</v>
      </c>
      <c r="F1874" s="898">
        <f ca="1">Actions!AD5</f>
        <v>0</v>
      </c>
    </row>
    <row r="1875" spans="1:6">
      <c r="A1875" t="s">
        <v>2813</v>
      </c>
      <c r="B1875" t="s">
        <v>2829</v>
      </c>
      <c r="C1875">
        <v>5</v>
      </c>
      <c r="F1875" s="898">
        <f ca="1">Actions!AD6</f>
        <v>0</v>
      </c>
    </row>
    <row r="1876" spans="1:6">
      <c r="A1876" t="s">
        <v>2813</v>
      </c>
      <c r="B1876" t="s">
        <v>2829</v>
      </c>
      <c r="C1876">
        <v>6</v>
      </c>
      <c r="F1876" s="898">
        <f ca="1">Actions!AD7</f>
        <v>0</v>
      </c>
    </row>
    <row r="1877" spans="1:6">
      <c r="A1877" t="s">
        <v>2813</v>
      </c>
      <c r="B1877" t="s">
        <v>2829</v>
      </c>
      <c r="C1877">
        <v>7</v>
      </c>
      <c r="F1877" s="898">
        <f ca="1">Actions!AD8</f>
        <v>0</v>
      </c>
    </row>
    <row r="1878" spans="1:6">
      <c r="A1878" t="s">
        <v>2813</v>
      </c>
      <c r="B1878" t="s">
        <v>2829</v>
      </c>
      <c r="C1878">
        <v>8</v>
      </c>
      <c r="F1878" s="898">
        <f ca="1">Actions!AD9</f>
        <v>0</v>
      </c>
    </row>
    <row r="1879" spans="1:6">
      <c r="A1879" t="s">
        <v>2813</v>
      </c>
      <c r="B1879" t="s">
        <v>2829</v>
      </c>
      <c r="C1879">
        <v>9</v>
      </c>
      <c r="F1879" s="898">
        <f ca="1">Actions!AD10</f>
        <v>0</v>
      </c>
    </row>
    <row r="1880" spans="1:6">
      <c r="A1880" t="s">
        <v>2813</v>
      </c>
      <c r="B1880" t="s">
        <v>2829</v>
      </c>
      <c r="C1880">
        <v>10</v>
      </c>
      <c r="F1880" s="898">
        <f ca="1">Actions!AD11</f>
        <v>0</v>
      </c>
    </row>
    <row r="1881" spans="1:6">
      <c r="A1881" t="s">
        <v>2813</v>
      </c>
      <c r="B1881" t="s">
        <v>2829</v>
      </c>
      <c r="C1881">
        <v>11</v>
      </c>
      <c r="F1881" s="898">
        <f ca="1">Actions!AD12</f>
        <v>0</v>
      </c>
    </row>
    <row r="1882" spans="1:6">
      <c r="A1882" t="s">
        <v>2813</v>
      </c>
      <c r="B1882" t="s">
        <v>2829</v>
      </c>
      <c r="C1882">
        <v>12</v>
      </c>
      <c r="F1882" s="898">
        <f ca="1">Actions!AD13</f>
        <v>0</v>
      </c>
    </row>
    <row r="1883" spans="1:6">
      <c r="A1883" t="s">
        <v>2813</v>
      </c>
      <c r="B1883" t="s">
        <v>2829</v>
      </c>
      <c r="C1883">
        <v>13</v>
      </c>
      <c r="F1883" s="898">
        <f ca="1">Actions!AD14</f>
        <v>0</v>
      </c>
    </row>
    <row r="1884" spans="1:6">
      <c r="A1884" t="s">
        <v>2813</v>
      </c>
      <c r="B1884" t="s">
        <v>2829</v>
      </c>
      <c r="C1884">
        <v>14</v>
      </c>
      <c r="F1884" s="898">
        <f ca="1">Actions!AD15</f>
        <v>0</v>
      </c>
    </row>
    <row r="1885" spans="1:6">
      <c r="A1885" t="s">
        <v>2813</v>
      </c>
      <c r="B1885" t="s">
        <v>2829</v>
      </c>
      <c r="C1885">
        <v>15</v>
      </c>
      <c r="F1885" s="898">
        <f ca="1">Actions!AD16</f>
        <v>0</v>
      </c>
    </row>
    <row r="1886" spans="1:6">
      <c r="A1886" t="s">
        <v>2813</v>
      </c>
      <c r="B1886" t="s">
        <v>2829</v>
      </c>
      <c r="C1886">
        <v>16</v>
      </c>
      <c r="F1886" s="898">
        <f ca="1">Actions!AD17</f>
        <v>0</v>
      </c>
    </row>
    <row r="1887" spans="1:6">
      <c r="A1887" t="s">
        <v>2813</v>
      </c>
      <c r="B1887" t="s">
        <v>2829</v>
      </c>
      <c r="C1887">
        <v>17</v>
      </c>
      <c r="F1887" s="898">
        <f ca="1">Actions!AD18</f>
        <v>0</v>
      </c>
    </row>
    <row r="1888" spans="1:6">
      <c r="A1888" t="s">
        <v>2813</v>
      </c>
      <c r="B1888" t="s">
        <v>2829</v>
      </c>
      <c r="C1888">
        <v>18</v>
      </c>
      <c r="F1888" s="898">
        <f ca="1">Actions!AD19</f>
        <v>0</v>
      </c>
    </row>
    <row r="1889" spans="1:6">
      <c r="A1889" t="s">
        <v>2813</v>
      </c>
      <c r="B1889" t="s">
        <v>2829</v>
      </c>
      <c r="C1889">
        <v>19</v>
      </c>
      <c r="F1889" s="898">
        <f ca="1">Actions!AD20</f>
        <v>0</v>
      </c>
    </row>
    <row r="1890" spans="1:6">
      <c r="A1890" t="s">
        <v>2813</v>
      </c>
      <c r="B1890" t="s">
        <v>2829</v>
      </c>
      <c r="C1890">
        <v>20</v>
      </c>
      <c r="F1890" s="898">
        <f ca="1">Actions!AD21</f>
        <v>0</v>
      </c>
    </row>
    <row r="1891" spans="1:6">
      <c r="A1891" t="s">
        <v>2813</v>
      </c>
      <c r="B1891" t="s">
        <v>2829</v>
      </c>
      <c r="C1891">
        <v>21</v>
      </c>
      <c r="F1891" s="898">
        <f ca="1">Actions!AD22</f>
        <v>0</v>
      </c>
    </row>
    <row r="1892" spans="1:6">
      <c r="A1892" t="s">
        <v>2813</v>
      </c>
      <c r="B1892" t="s">
        <v>2829</v>
      </c>
      <c r="C1892">
        <v>22</v>
      </c>
      <c r="F1892" s="898">
        <f ca="1">Actions!AD23</f>
        <v>0</v>
      </c>
    </row>
    <row r="1893" spans="1:6">
      <c r="A1893" t="s">
        <v>2813</v>
      </c>
      <c r="B1893" t="s">
        <v>2829</v>
      </c>
      <c r="C1893">
        <v>23</v>
      </c>
      <c r="F1893" s="898">
        <f ca="1">Actions!AD24</f>
        <v>0</v>
      </c>
    </row>
    <row r="1894" spans="1:6">
      <c r="A1894" t="s">
        <v>2813</v>
      </c>
      <c r="B1894" t="s">
        <v>2829</v>
      </c>
      <c r="C1894">
        <v>24</v>
      </c>
      <c r="F1894" s="898">
        <f ca="1">Actions!AD25</f>
        <v>0</v>
      </c>
    </row>
    <row r="1895" spans="1:6">
      <c r="A1895" t="s">
        <v>2813</v>
      </c>
      <c r="B1895" t="s">
        <v>2829</v>
      </c>
      <c r="C1895">
        <v>25</v>
      </c>
      <c r="F1895" s="898">
        <f ca="1">Actions!AD26</f>
        <v>0</v>
      </c>
    </row>
    <row r="1896" spans="1:6">
      <c r="A1896" t="s">
        <v>2813</v>
      </c>
      <c r="B1896" t="s">
        <v>2829</v>
      </c>
      <c r="C1896">
        <v>26</v>
      </c>
      <c r="F1896" s="898">
        <f ca="1">Actions!AD27</f>
        <v>0</v>
      </c>
    </row>
    <row r="1897" spans="1:6">
      <c r="A1897" t="s">
        <v>2813</v>
      </c>
      <c r="B1897" t="s">
        <v>2829</v>
      </c>
      <c r="C1897">
        <v>27</v>
      </c>
      <c r="F1897" s="898">
        <f ca="1">Actions!AD28</f>
        <v>0</v>
      </c>
    </row>
    <row r="1898" spans="1:6">
      <c r="A1898" t="s">
        <v>2813</v>
      </c>
      <c r="B1898" t="s">
        <v>2829</v>
      </c>
      <c r="C1898">
        <v>28</v>
      </c>
      <c r="F1898" s="898">
        <f ca="1">Actions!AD29</f>
        <v>0</v>
      </c>
    </row>
    <row r="1899" spans="1:6">
      <c r="A1899" t="s">
        <v>2813</v>
      </c>
      <c r="B1899" t="s">
        <v>2829</v>
      </c>
      <c r="C1899">
        <v>29</v>
      </c>
      <c r="F1899" s="898">
        <f ca="1">Actions!AD30</f>
        <v>0</v>
      </c>
    </row>
    <row r="1900" spans="1:6">
      <c r="A1900" t="s">
        <v>2813</v>
      </c>
      <c r="B1900" t="s">
        <v>2829</v>
      </c>
      <c r="C1900">
        <v>30</v>
      </c>
      <c r="F1900" s="898">
        <f ca="1">Actions!AD31</f>
        <v>0</v>
      </c>
    </row>
    <row r="1901" spans="1:6">
      <c r="A1901" t="s">
        <v>2813</v>
      </c>
      <c r="B1901" t="s">
        <v>2829</v>
      </c>
      <c r="C1901">
        <v>31</v>
      </c>
      <c r="F1901" s="898">
        <f ca="1">Actions!AD32</f>
        <v>0</v>
      </c>
    </row>
    <row r="1902" spans="1:6">
      <c r="A1902" t="s">
        <v>2813</v>
      </c>
      <c r="B1902" t="s">
        <v>2829</v>
      </c>
      <c r="C1902">
        <v>32</v>
      </c>
      <c r="F1902" s="898">
        <f ca="1">Actions!AD33</f>
        <v>0</v>
      </c>
    </row>
    <row r="1903" spans="1:6">
      <c r="A1903" t="s">
        <v>2813</v>
      </c>
      <c r="B1903" t="s">
        <v>2829</v>
      </c>
      <c r="C1903">
        <v>33</v>
      </c>
      <c r="F1903" s="898">
        <f ca="1">Actions!AD34</f>
        <v>0</v>
      </c>
    </row>
    <row r="1904" spans="1:6">
      <c r="A1904" t="s">
        <v>2813</v>
      </c>
      <c r="B1904" t="s">
        <v>2829</v>
      </c>
      <c r="C1904">
        <v>34</v>
      </c>
      <c r="F1904" s="898">
        <f ca="1">Actions!AD35</f>
        <v>0</v>
      </c>
    </row>
    <row r="1905" spans="1:6">
      <c r="A1905" t="s">
        <v>2813</v>
      </c>
      <c r="B1905" t="s">
        <v>2829</v>
      </c>
      <c r="C1905">
        <v>35</v>
      </c>
      <c r="F1905" s="898">
        <f ca="1">Actions!AD36</f>
        <v>0</v>
      </c>
    </row>
    <row r="1906" spans="1:6">
      <c r="A1906" t="s">
        <v>2813</v>
      </c>
      <c r="B1906" t="s">
        <v>2829</v>
      </c>
      <c r="C1906">
        <v>36</v>
      </c>
      <c r="F1906" s="898">
        <f ca="1">Actions!AD37</f>
        <v>0</v>
      </c>
    </row>
    <row r="1907" spans="1:6">
      <c r="A1907" t="s">
        <v>2813</v>
      </c>
      <c r="B1907" t="s">
        <v>2829</v>
      </c>
      <c r="C1907">
        <v>37</v>
      </c>
      <c r="F1907" s="898">
        <f ca="1">Actions!AD38</f>
        <v>0</v>
      </c>
    </row>
    <row r="1908" spans="1:6">
      <c r="A1908" t="s">
        <v>2813</v>
      </c>
      <c r="B1908" t="s">
        <v>2829</v>
      </c>
      <c r="C1908">
        <v>38</v>
      </c>
      <c r="F1908" s="898">
        <f ca="1">Actions!AD39</f>
        <v>0</v>
      </c>
    </row>
    <row r="1909" spans="1:6">
      <c r="A1909" t="s">
        <v>2813</v>
      </c>
      <c r="B1909" t="s">
        <v>2829</v>
      </c>
      <c r="C1909">
        <v>39</v>
      </c>
      <c r="F1909" s="898">
        <f ca="1">Actions!AD40</f>
        <v>0</v>
      </c>
    </row>
    <row r="1910" spans="1:6">
      <c r="A1910" t="s">
        <v>2813</v>
      </c>
      <c r="B1910" t="s">
        <v>2829</v>
      </c>
      <c r="C1910">
        <v>40</v>
      </c>
      <c r="F1910" s="898">
        <f ca="1">Actions!AD41</f>
        <v>0</v>
      </c>
    </row>
    <row r="1911" spans="1:6">
      <c r="A1911" t="s">
        <v>2813</v>
      </c>
      <c r="B1911" t="s">
        <v>2829</v>
      </c>
      <c r="C1911">
        <v>41</v>
      </c>
      <c r="F1911" s="898">
        <f ca="1">Actions!AD42</f>
        <v>0</v>
      </c>
    </row>
    <row r="1912" spans="1:6">
      <c r="A1912" t="s">
        <v>2813</v>
      </c>
      <c r="B1912" t="s">
        <v>2829</v>
      </c>
      <c r="C1912">
        <v>42</v>
      </c>
      <c r="F1912" s="898">
        <f ca="1">Actions!AD43</f>
        <v>0</v>
      </c>
    </row>
    <row r="1913" spans="1:6">
      <c r="A1913" t="s">
        <v>2813</v>
      </c>
      <c r="B1913" t="s">
        <v>2829</v>
      </c>
      <c r="C1913">
        <v>43</v>
      </c>
      <c r="F1913" s="898">
        <f ca="1">Actions!AD44</f>
        <v>0</v>
      </c>
    </row>
    <row r="1914" spans="1:6">
      <c r="A1914" t="s">
        <v>2813</v>
      </c>
      <c r="B1914" t="s">
        <v>2829</v>
      </c>
      <c r="C1914">
        <v>44</v>
      </c>
      <c r="F1914" s="898">
        <f ca="1">Actions!AD45</f>
        <v>0</v>
      </c>
    </row>
    <row r="1915" spans="1:6">
      <c r="A1915" t="s">
        <v>2813</v>
      </c>
      <c r="B1915" t="s">
        <v>2829</v>
      </c>
      <c r="C1915">
        <v>45</v>
      </c>
      <c r="F1915" s="898">
        <f ca="1">Actions!AD46</f>
        <v>0</v>
      </c>
    </row>
    <row r="1916" spans="1:6">
      <c r="A1916" t="s">
        <v>2813</v>
      </c>
      <c r="B1916" t="s">
        <v>739</v>
      </c>
      <c r="C1916">
        <v>1</v>
      </c>
      <c r="F1916" s="898">
        <f ca="1">Actions!AE2</f>
        <v>0</v>
      </c>
    </row>
    <row r="1917" spans="1:6">
      <c r="A1917" t="s">
        <v>2813</v>
      </c>
      <c r="B1917" t="s">
        <v>739</v>
      </c>
      <c r="C1917">
        <v>2</v>
      </c>
      <c r="F1917" s="898">
        <f ca="1">Actions!AE3</f>
        <v>0</v>
      </c>
    </row>
    <row r="1918" spans="1:6">
      <c r="A1918" t="s">
        <v>2813</v>
      </c>
      <c r="B1918" t="s">
        <v>739</v>
      </c>
      <c r="C1918">
        <v>3</v>
      </c>
      <c r="F1918" s="898">
        <f ca="1">Actions!AE4</f>
        <v>0</v>
      </c>
    </row>
    <row r="1919" spans="1:6">
      <c r="A1919" t="s">
        <v>2813</v>
      </c>
      <c r="B1919" t="s">
        <v>739</v>
      </c>
      <c r="C1919">
        <v>4</v>
      </c>
      <c r="F1919" s="898">
        <f ca="1">Actions!AE5</f>
        <v>0</v>
      </c>
    </row>
    <row r="1920" spans="1:6">
      <c r="A1920" t="s">
        <v>2813</v>
      </c>
      <c r="B1920" t="s">
        <v>739</v>
      </c>
      <c r="C1920">
        <v>5</v>
      </c>
      <c r="F1920" s="898">
        <f ca="1">Actions!AE6</f>
        <v>0</v>
      </c>
    </row>
    <row r="1921" spans="1:6">
      <c r="A1921" t="s">
        <v>2813</v>
      </c>
      <c r="B1921" t="s">
        <v>739</v>
      </c>
      <c r="C1921">
        <v>6</v>
      </c>
      <c r="F1921" s="898">
        <f ca="1">Actions!AE7</f>
        <v>0</v>
      </c>
    </row>
    <row r="1922" spans="1:6">
      <c r="A1922" t="s">
        <v>2813</v>
      </c>
      <c r="B1922" t="s">
        <v>739</v>
      </c>
      <c r="C1922">
        <v>7</v>
      </c>
      <c r="F1922" s="898">
        <f ca="1">Actions!AE8</f>
        <v>0</v>
      </c>
    </row>
    <row r="1923" spans="1:6">
      <c r="A1923" t="s">
        <v>2813</v>
      </c>
      <c r="B1923" t="s">
        <v>739</v>
      </c>
      <c r="C1923">
        <v>8</v>
      </c>
      <c r="F1923" s="898">
        <f ca="1">Actions!AE9</f>
        <v>0</v>
      </c>
    </row>
    <row r="1924" spans="1:6">
      <c r="A1924" t="s">
        <v>2813</v>
      </c>
      <c r="B1924" t="s">
        <v>739</v>
      </c>
      <c r="C1924">
        <v>9</v>
      </c>
      <c r="F1924" s="898">
        <f ca="1">Actions!AE10</f>
        <v>0</v>
      </c>
    </row>
    <row r="1925" spans="1:6">
      <c r="A1925" t="s">
        <v>2813</v>
      </c>
      <c r="B1925" t="s">
        <v>739</v>
      </c>
      <c r="C1925">
        <v>10</v>
      </c>
      <c r="F1925" s="898">
        <f ca="1">Actions!AE11</f>
        <v>0</v>
      </c>
    </row>
    <row r="1926" spans="1:6">
      <c r="A1926" t="s">
        <v>2813</v>
      </c>
      <c r="B1926" t="s">
        <v>739</v>
      </c>
      <c r="C1926">
        <v>11</v>
      </c>
      <c r="F1926" s="898">
        <f ca="1">Actions!AE12</f>
        <v>0</v>
      </c>
    </row>
    <row r="1927" spans="1:6">
      <c r="A1927" t="s">
        <v>2813</v>
      </c>
      <c r="B1927" t="s">
        <v>739</v>
      </c>
      <c r="C1927">
        <v>12</v>
      </c>
      <c r="F1927" s="898">
        <f ca="1">Actions!AE13</f>
        <v>0</v>
      </c>
    </row>
    <row r="1928" spans="1:6">
      <c r="A1928" t="s">
        <v>2813</v>
      </c>
      <c r="B1928" t="s">
        <v>739</v>
      </c>
      <c r="C1928">
        <v>13</v>
      </c>
      <c r="F1928" s="898">
        <f ca="1">Actions!AE14</f>
        <v>0</v>
      </c>
    </row>
    <row r="1929" spans="1:6">
      <c r="A1929" t="s">
        <v>2813</v>
      </c>
      <c r="B1929" t="s">
        <v>739</v>
      </c>
      <c r="C1929">
        <v>14</v>
      </c>
      <c r="F1929" s="898">
        <f ca="1">Actions!AE15</f>
        <v>0</v>
      </c>
    </row>
    <row r="1930" spans="1:6">
      <c r="A1930" t="s">
        <v>2813</v>
      </c>
      <c r="B1930" t="s">
        <v>739</v>
      </c>
      <c r="C1930">
        <v>15</v>
      </c>
      <c r="F1930" s="898">
        <f ca="1">Actions!AE16</f>
        <v>0</v>
      </c>
    </row>
    <row r="1931" spans="1:6">
      <c r="A1931" t="s">
        <v>2813</v>
      </c>
      <c r="B1931" t="s">
        <v>739</v>
      </c>
      <c r="C1931">
        <v>16</v>
      </c>
      <c r="F1931" s="898">
        <f ca="1">Actions!AE17</f>
        <v>0</v>
      </c>
    </row>
    <row r="1932" spans="1:6">
      <c r="A1932" t="s">
        <v>2813</v>
      </c>
      <c r="B1932" t="s">
        <v>739</v>
      </c>
      <c r="C1932">
        <v>17</v>
      </c>
      <c r="F1932" s="898">
        <f ca="1">Actions!AE18</f>
        <v>0</v>
      </c>
    </row>
    <row r="1933" spans="1:6">
      <c r="A1933" t="s">
        <v>2813</v>
      </c>
      <c r="B1933" t="s">
        <v>739</v>
      </c>
      <c r="C1933">
        <v>18</v>
      </c>
      <c r="F1933" s="898">
        <f ca="1">Actions!AE19</f>
        <v>0</v>
      </c>
    </row>
    <row r="1934" spans="1:6">
      <c r="A1934" t="s">
        <v>2813</v>
      </c>
      <c r="B1934" t="s">
        <v>739</v>
      </c>
      <c r="C1934">
        <v>19</v>
      </c>
      <c r="F1934" s="898">
        <f ca="1">Actions!AE20</f>
        <v>0</v>
      </c>
    </row>
    <row r="1935" spans="1:6">
      <c r="A1935" t="s">
        <v>2813</v>
      </c>
      <c r="B1935" t="s">
        <v>739</v>
      </c>
      <c r="C1935">
        <v>20</v>
      </c>
      <c r="F1935" s="898">
        <f ca="1">Actions!AE21</f>
        <v>0</v>
      </c>
    </row>
    <row r="1936" spans="1:6">
      <c r="A1936" t="s">
        <v>2813</v>
      </c>
      <c r="B1936" t="s">
        <v>739</v>
      </c>
      <c r="C1936">
        <v>21</v>
      </c>
      <c r="F1936" s="898">
        <f ca="1">Actions!AE22</f>
        <v>0</v>
      </c>
    </row>
    <row r="1937" spans="1:6">
      <c r="A1937" t="s">
        <v>2813</v>
      </c>
      <c r="B1937" t="s">
        <v>739</v>
      </c>
      <c r="C1937">
        <v>22</v>
      </c>
      <c r="F1937" s="898">
        <f ca="1">Actions!AE23</f>
        <v>0</v>
      </c>
    </row>
    <row r="1938" spans="1:6">
      <c r="A1938" t="s">
        <v>2813</v>
      </c>
      <c r="B1938" t="s">
        <v>739</v>
      </c>
      <c r="C1938">
        <v>23</v>
      </c>
      <c r="F1938" s="898">
        <f ca="1">Actions!AE24</f>
        <v>0</v>
      </c>
    </row>
    <row r="1939" spans="1:6">
      <c r="A1939" t="s">
        <v>2813</v>
      </c>
      <c r="B1939" t="s">
        <v>739</v>
      </c>
      <c r="C1939">
        <v>24</v>
      </c>
      <c r="F1939" s="898">
        <f ca="1">Actions!AE25</f>
        <v>0</v>
      </c>
    </row>
    <row r="1940" spans="1:6">
      <c r="A1940" t="s">
        <v>2813</v>
      </c>
      <c r="B1940" t="s">
        <v>739</v>
      </c>
      <c r="C1940">
        <v>25</v>
      </c>
      <c r="F1940" s="898">
        <f ca="1">Actions!AE26</f>
        <v>0</v>
      </c>
    </row>
    <row r="1941" spans="1:6">
      <c r="A1941" t="s">
        <v>2813</v>
      </c>
      <c r="B1941" t="s">
        <v>739</v>
      </c>
      <c r="C1941">
        <v>26</v>
      </c>
      <c r="F1941" s="898">
        <f ca="1">Actions!AE27</f>
        <v>0</v>
      </c>
    </row>
    <row r="1942" spans="1:6">
      <c r="A1942" t="s">
        <v>2813</v>
      </c>
      <c r="B1942" t="s">
        <v>739</v>
      </c>
      <c r="C1942">
        <v>27</v>
      </c>
      <c r="F1942" s="898">
        <f ca="1">Actions!AE28</f>
        <v>0</v>
      </c>
    </row>
    <row r="1943" spans="1:6">
      <c r="A1943" t="s">
        <v>2813</v>
      </c>
      <c r="B1943" t="s">
        <v>739</v>
      </c>
      <c r="C1943">
        <v>28</v>
      </c>
      <c r="F1943" s="898">
        <f ca="1">Actions!AE29</f>
        <v>0</v>
      </c>
    </row>
    <row r="1944" spans="1:6">
      <c r="A1944" t="s">
        <v>2813</v>
      </c>
      <c r="B1944" t="s">
        <v>739</v>
      </c>
      <c r="C1944">
        <v>29</v>
      </c>
      <c r="F1944" s="898">
        <f ca="1">Actions!AE30</f>
        <v>0</v>
      </c>
    </row>
    <row r="1945" spans="1:6">
      <c r="A1945" t="s">
        <v>2813</v>
      </c>
      <c r="B1945" t="s">
        <v>739</v>
      </c>
      <c r="C1945">
        <v>30</v>
      </c>
      <c r="F1945" s="898">
        <f ca="1">Actions!AE31</f>
        <v>0</v>
      </c>
    </row>
    <row r="1946" spans="1:6">
      <c r="A1946" t="s">
        <v>2813</v>
      </c>
      <c r="B1946" t="s">
        <v>739</v>
      </c>
      <c r="C1946">
        <v>31</v>
      </c>
      <c r="F1946" s="898">
        <f ca="1">Actions!AE32</f>
        <v>0</v>
      </c>
    </row>
    <row r="1947" spans="1:6">
      <c r="A1947" t="s">
        <v>2813</v>
      </c>
      <c r="B1947" t="s">
        <v>739</v>
      </c>
      <c r="C1947">
        <v>32</v>
      </c>
      <c r="F1947" s="898">
        <f ca="1">Actions!AE33</f>
        <v>0</v>
      </c>
    </row>
    <row r="1948" spans="1:6">
      <c r="A1948" t="s">
        <v>2813</v>
      </c>
      <c r="B1948" t="s">
        <v>739</v>
      </c>
      <c r="C1948">
        <v>33</v>
      </c>
      <c r="F1948" s="898">
        <f ca="1">Actions!AE34</f>
        <v>0</v>
      </c>
    </row>
    <row r="1949" spans="1:6">
      <c r="A1949" t="s">
        <v>2813</v>
      </c>
      <c r="B1949" t="s">
        <v>739</v>
      </c>
      <c r="C1949">
        <v>34</v>
      </c>
      <c r="F1949" s="898">
        <f ca="1">Actions!AE35</f>
        <v>0</v>
      </c>
    </row>
    <row r="1950" spans="1:6">
      <c r="A1950" t="s">
        <v>2813</v>
      </c>
      <c r="B1950" t="s">
        <v>739</v>
      </c>
      <c r="C1950">
        <v>35</v>
      </c>
      <c r="F1950" s="898">
        <f ca="1">Actions!AE36</f>
        <v>0</v>
      </c>
    </row>
    <row r="1951" spans="1:6">
      <c r="A1951" t="s">
        <v>2813</v>
      </c>
      <c r="B1951" t="s">
        <v>739</v>
      </c>
      <c r="C1951">
        <v>36</v>
      </c>
      <c r="F1951" s="898">
        <f ca="1">Actions!AE37</f>
        <v>0</v>
      </c>
    </row>
    <row r="1952" spans="1:6">
      <c r="A1952" t="s">
        <v>2813</v>
      </c>
      <c r="B1952" t="s">
        <v>739</v>
      </c>
      <c r="C1952">
        <v>37</v>
      </c>
      <c r="F1952" s="898">
        <f ca="1">Actions!AE38</f>
        <v>0</v>
      </c>
    </row>
    <row r="1953" spans="1:6">
      <c r="A1953" t="s">
        <v>2813</v>
      </c>
      <c r="B1953" t="s">
        <v>739</v>
      </c>
      <c r="C1953">
        <v>38</v>
      </c>
      <c r="F1953" s="898">
        <f ca="1">Actions!AE39</f>
        <v>0</v>
      </c>
    </row>
    <row r="1954" spans="1:6">
      <c r="A1954" t="s">
        <v>2813</v>
      </c>
      <c r="B1954" t="s">
        <v>739</v>
      </c>
      <c r="C1954">
        <v>39</v>
      </c>
      <c r="F1954" s="898">
        <f ca="1">Actions!AE40</f>
        <v>0</v>
      </c>
    </row>
    <row r="1955" spans="1:6">
      <c r="A1955" t="s">
        <v>2813</v>
      </c>
      <c r="B1955" t="s">
        <v>739</v>
      </c>
      <c r="C1955">
        <v>40</v>
      </c>
      <c r="F1955" s="898">
        <f ca="1">Actions!AE41</f>
        <v>0</v>
      </c>
    </row>
    <row r="1956" spans="1:6">
      <c r="A1956" t="s">
        <v>2813</v>
      </c>
      <c r="B1956" t="s">
        <v>739</v>
      </c>
      <c r="C1956">
        <v>41</v>
      </c>
      <c r="F1956" s="898">
        <f ca="1">Actions!AE42</f>
        <v>0</v>
      </c>
    </row>
    <row r="1957" spans="1:6">
      <c r="A1957" t="s">
        <v>2813</v>
      </c>
      <c r="B1957" t="s">
        <v>739</v>
      </c>
      <c r="C1957">
        <v>42</v>
      </c>
      <c r="F1957" s="898">
        <f ca="1">Actions!AE43</f>
        <v>0</v>
      </c>
    </row>
    <row r="1958" spans="1:6">
      <c r="A1958" t="s">
        <v>2813</v>
      </c>
      <c r="B1958" t="s">
        <v>739</v>
      </c>
      <c r="C1958">
        <v>43</v>
      </c>
      <c r="F1958" s="898">
        <f ca="1">Actions!AE44</f>
        <v>0</v>
      </c>
    </row>
    <row r="1959" spans="1:6">
      <c r="A1959" t="s">
        <v>2813</v>
      </c>
      <c r="B1959" t="s">
        <v>739</v>
      </c>
      <c r="C1959">
        <v>44</v>
      </c>
      <c r="F1959" s="898">
        <f ca="1">Actions!AE45</f>
        <v>0</v>
      </c>
    </row>
    <row r="1960" spans="1:6">
      <c r="A1960" t="s">
        <v>2813</v>
      </c>
      <c r="B1960" t="s">
        <v>739</v>
      </c>
      <c r="C1960">
        <v>45</v>
      </c>
      <c r="F1960" s="898">
        <f ca="1">Actions!AE46</f>
        <v>0</v>
      </c>
    </row>
    <row r="1961" spans="1:6">
      <c r="A1961" t="s">
        <v>2813</v>
      </c>
      <c r="B1961" t="s">
        <v>2809</v>
      </c>
      <c r="C1961">
        <v>1</v>
      </c>
      <c r="F1961" s="898">
        <f ca="1">Actions!AF2</f>
        <v>0</v>
      </c>
    </row>
    <row r="1962" spans="1:6">
      <c r="A1962" t="s">
        <v>2813</v>
      </c>
      <c r="B1962" t="s">
        <v>2809</v>
      </c>
      <c r="C1962">
        <v>2</v>
      </c>
      <c r="F1962" s="898">
        <f ca="1">Actions!AF3</f>
        <v>0</v>
      </c>
    </row>
    <row r="1963" spans="1:6">
      <c r="A1963" t="s">
        <v>2813</v>
      </c>
      <c r="B1963" t="s">
        <v>2809</v>
      </c>
      <c r="C1963">
        <v>3</v>
      </c>
      <c r="F1963" s="898">
        <f ca="1">Actions!AF4</f>
        <v>0</v>
      </c>
    </row>
    <row r="1964" spans="1:6">
      <c r="A1964" t="s">
        <v>2813</v>
      </c>
      <c r="B1964" t="s">
        <v>2809</v>
      </c>
      <c r="C1964">
        <v>4</v>
      </c>
      <c r="F1964" s="898">
        <f ca="1">Actions!AF5</f>
        <v>0</v>
      </c>
    </row>
    <row r="1965" spans="1:6">
      <c r="A1965" t="s">
        <v>2813</v>
      </c>
      <c r="B1965" t="s">
        <v>2809</v>
      </c>
      <c r="C1965">
        <v>5</v>
      </c>
      <c r="F1965" s="898">
        <f ca="1">Actions!AF6</f>
        <v>0</v>
      </c>
    </row>
    <row r="1966" spans="1:6">
      <c r="A1966" t="s">
        <v>2813</v>
      </c>
      <c r="B1966" t="s">
        <v>2809</v>
      </c>
      <c r="C1966">
        <v>6</v>
      </c>
      <c r="F1966" s="898">
        <f ca="1">Actions!AF7</f>
        <v>0</v>
      </c>
    </row>
    <row r="1967" spans="1:6">
      <c r="A1967" t="s">
        <v>2813</v>
      </c>
      <c r="B1967" t="s">
        <v>2809</v>
      </c>
      <c r="C1967">
        <v>7</v>
      </c>
      <c r="F1967" s="898">
        <f ca="1">Actions!AF8</f>
        <v>0</v>
      </c>
    </row>
    <row r="1968" spans="1:6">
      <c r="A1968" t="s">
        <v>2813</v>
      </c>
      <c r="B1968" t="s">
        <v>2809</v>
      </c>
      <c r="C1968">
        <v>8</v>
      </c>
      <c r="F1968" s="898">
        <f ca="1">Actions!AF9</f>
        <v>0</v>
      </c>
    </row>
    <row r="1969" spans="1:6">
      <c r="A1969" t="s">
        <v>2813</v>
      </c>
      <c r="B1969" t="s">
        <v>2809</v>
      </c>
      <c r="C1969">
        <v>9</v>
      </c>
      <c r="F1969" s="898">
        <f ca="1">Actions!AF10</f>
        <v>0</v>
      </c>
    </row>
    <row r="1970" spans="1:6">
      <c r="A1970" t="s">
        <v>2813</v>
      </c>
      <c r="B1970" t="s">
        <v>2809</v>
      </c>
      <c r="C1970">
        <v>10</v>
      </c>
      <c r="F1970" s="898">
        <f ca="1">Actions!AF11</f>
        <v>0</v>
      </c>
    </row>
    <row r="1971" spans="1:6">
      <c r="A1971" t="s">
        <v>2813</v>
      </c>
      <c r="B1971" t="s">
        <v>2809</v>
      </c>
      <c r="C1971">
        <v>11</v>
      </c>
      <c r="F1971" s="898">
        <f ca="1">Actions!AF12</f>
        <v>0</v>
      </c>
    </row>
    <row r="1972" spans="1:6">
      <c r="A1972" t="s">
        <v>2813</v>
      </c>
      <c r="B1972" t="s">
        <v>2809</v>
      </c>
      <c r="C1972">
        <v>12</v>
      </c>
      <c r="F1972" s="898">
        <f ca="1">Actions!AF13</f>
        <v>0</v>
      </c>
    </row>
    <row r="1973" spans="1:6">
      <c r="A1973" t="s">
        <v>2813</v>
      </c>
      <c r="B1973" t="s">
        <v>2809</v>
      </c>
      <c r="C1973">
        <v>13</v>
      </c>
      <c r="F1973" s="898">
        <f ca="1">Actions!AF14</f>
        <v>0</v>
      </c>
    </row>
    <row r="1974" spans="1:6">
      <c r="A1974" t="s">
        <v>2813</v>
      </c>
      <c r="B1974" t="s">
        <v>2809</v>
      </c>
      <c r="C1974">
        <v>14</v>
      </c>
      <c r="F1974" s="898">
        <f ca="1">Actions!AF15</f>
        <v>0</v>
      </c>
    </row>
    <row r="1975" spans="1:6">
      <c r="A1975" t="s">
        <v>2813</v>
      </c>
      <c r="B1975" t="s">
        <v>2809</v>
      </c>
      <c r="C1975">
        <v>15</v>
      </c>
      <c r="F1975" s="898">
        <f ca="1">Actions!AF16</f>
        <v>0</v>
      </c>
    </row>
    <row r="1976" spans="1:6">
      <c r="A1976" t="s">
        <v>2813</v>
      </c>
      <c r="B1976" t="s">
        <v>2809</v>
      </c>
      <c r="C1976">
        <v>16</v>
      </c>
      <c r="F1976" s="898">
        <f ca="1">Actions!AF17</f>
        <v>0</v>
      </c>
    </row>
    <row r="1977" spans="1:6">
      <c r="A1977" t="s">
        <v>2813</v>
      </c>
      <c r="B1977" t="s">
        <v>2809</v>
      </c>
      <c r="C1977">
        <v>17</v>
      </c>
      <c r="F1977" s="898">
        <f ca="1">Actions!AF18</f>
        <v>0</v>
      </c>
    </row>
    <row r="1978" spans="1:6">
      <c r="A1978" t="s">
        <v>2813</v>
      </c>
      <c r="B1978" t="s">
        <v>2809</v>
      </c>
      <c r="C1978">
        <v>18</v>
      </c>
      <c r="F1978" s="898">
        <f ca="1">Actions!AF19</f>
        <v>0</v>
      </c>
    </row>
    <row r="1979" spans="1:6">
      <c r="A1979" t="s">
        <v>2813</v>
      </c>
      <c r="B1979" t="s">
        <v>2809</v>
      </c>
      <c r="C1979">
        <v>19</v>
      </c>
      <c r="F1979" s="898">
        <f ca="1">Actions!AF20</f>
        <v>0</v>
      </c>
    </row>
    <row r="1980" spans="1:6">
      <c r="A1980" t="s">
        <v>2813</v>
      </c>
      <c r="B1980" t="s">
        <v>2809</v>
      </c>
      <c r="C1980">
        <v>20</v>
      </c>
      <c r="F1980" s="898">
        <f ca="1">Actions!AF21</f>
        <v>0</v>
      </c>
    </row>
    <row r="1981" spans="1:6">
      <c r="A1981" t="s">
        <v>2813</v>
      </c>
      <c r="B1981" t="s">
        <v>2809</v>
      </c>
      <c r="C1981">
        <v>21</v>
      </c>
      <c r="F1981" s="898">
        <f ca="1">Actions!AF22</f>
        <v>0</v>
      </c>
    </row>
    <row r="1982" spans="1:6">
      <c r="A1982" t="s">
        <v>2813</v>
      </c>
      <c r="B1982" t="s">
        <v>2809</v>
      </c>
      <c r="C1982">
        <v>22</v>
      </c>
      <c r="F1982" s="898">
        <f ca="1">Actions!AF23</f>
        <v>0</v>
      </c>
    </row>
    <row r="1983" spans="1:6">
      <c r="A1983" t="s">
        <v>2813</v>
      </c>
      <c r="B1983" t="s">
        <v>2809</v>
      </c>
      <c r="C1983">
        <v>23</v>
      </c>
      <c r="F1983" s="898">
        <f ca="1">Actions!AF24</f>
        <v>0</v>
      </c>
    </row>
    <row r="1984" spans="1:6">
      <c r="A1984" t="s">
        <v>2813</v>
      </c>
      <c r="B1984" t="s">
        <v>2809</v>
      </c>
      <c r="C1984">
        <v>24</v>
      </c>
      <c r="F1984" s="898">
        <f ca="1">Actions!AF25</f>
        <v>0</v>
      </c>
    </row>
    <row r="1985" spans="1:6">
      <c r="A1985" t="s">
        <v>2813</v>
      </c>
      <c r="B1985" t="s">
        <v>2809</v>
      </c>
      <c r="C1985">
        <v>25</v>
      </c>
      <c r="F1985" s="898">
        <f ca="1">Actions!AF26</f>
        <v>0</v>
      </c>
    </row>
    <row r="1986" spans="1:6">
      <c r="A1986" t="s">
        <v>2813</v>
      </c>
      <c r="B1986" t="s">
        <v>2809</v>
      </c>
      <c r="C1986">
        <v>26</v>
      </c>
      <c r="F1986" s="898">
        <f ca="1">Actions!AF27</f>
        <v>0</v>
      </c>
    </row>
    <row r="1987" spans="1:6">
      <c r="A1987" t="s">
        <v>2813</v>
      </c>
      <c r="B1987" t="s">
        <v>2809</v>
      </c>
      <c r="C1987">
        <v>27</v>
      </c>
      <c r="F1987" s="898">
        <f ca="1">Actions!AF28</f>
        <v>0</v>
      </c>
    </row>
    <row r="1988" spans="1:6">
      <c r="A1988" t="s">
        <v>2813</v>
      </c>
      <c r="B1988" t="s">
        <v>2809</v>
      </c>
      <c r="C1988">
        <v>28</v>
      </c>
      <c r="F1988" s="898">
        <f ca="1">Actions!AF29</f>
        <v>0</v>
      </c>
    </row>
    <row r="1989" spans="1:6">
      <c r="A1989" t="s">
        <v>2813</v>
      </c>
      <c r="B1989" t="s">
        <v>2809</v>
      </c>
      <c r="C1989">
        <v>29</v>
      </c>
      <c r="F1989" s="898">
        <f ca="1">Actions!AF30</f>
        <v>0</v>
      </c>
    </row>
    <row r="1990" spans="1:6">
      <c r="A1990" t="s">
        <v>2813</v>
      </c>
      <c r="B1990" t="s">
        <v>2809</v>
      </c>
      <c r="C1990">
        <v>30</v>
      </c>
      <c r="F1990" s="898">
        <f ca="1">Actions!AF31</f>
        <v>0</v>
      </c>
    </row>
    <row r="1991" spans="1:6">
      <c r="A1991" t="s">
        <v>2813</v>
      </c>
      <c r="B1991" t="s">
        <v>2809</v>
      </c>
      <c r="C1991">
        <v>31</v>
      </c>
      <c r="F1991" s="898">
        <f ca="1">Actions!AF32</f>
        <v>0</v>
      </c>
    </row>
    <row r="1992" spans="1:6">
      <c r="A1992" t="s">
        <v>2813</v>
      </c>
      <c r="B1992" t="s">
        <v>2809</v>
      </c>
      <c r="C1992">
        <v>32</v>
      </c>
      <c r="F1992" s="898">
        <f ca="1">Actions!AF33</f>
        <v>0</v>
      </c>
    </row>
    <row r="1993" spans="1:6">
      <c r="A1993" t="s">
        <v>2813</v>
      </c>
      <c r="B1993" t="s">
        <v>2809</v>
      </c>
      <c r="C1993">
        <v>33</v>
      </c>
      <c r="F1993" s="898">
        <f ca="1">Actions!AF34</f>
        <v>0</v>
      </c>
    </row>
    <row r="1994" spans="1:6">
      <c r="A1994" t="s">
        <v>2813</v>
      </c>
      <c r="B1994" t="s">
        <v>2809</v>
      </c>
      <c r="C1994">
        <v>34</v>
      </c>
      <c r="F1994" s="898">
        <f ca="1">Actions!AF35</f>
        <v>0</v>
      </c>
    </row>
    <row r="1995" spans="1:6">
      <c r="A1995" t="s">
        <v>2813</v>
      </c>
      <c r="B1995" t="s">
        <v>2809</v>
      </c>
      <c r="C1995">
        <v>35</v>
      </c>
      <c r="F1995" s="898">
        <f ca="1">Actions!AF36</f>
        <v>0</v>
      </c>
    </row>
    <row r="1996" spans="1:6">
      <c r="A1996" t="s">
        <v>2813</v>
      </c>
      <c r="B1996" t="s">
        <v>2809</v>
      </c>
      <c r="C1996">
        <v>36</v>
      </c>
      <c r="F1996" s="898">
        <f ca="1">Actions!AF37</f>
        <v>0</v>
      </c>
    </row>
    <row r="1997" spans="1:6">
      <c r="A1997" t="s">
        <v>2813</v>
      </c>
      <c r="B1997" t="s">
        <v>2809</v>
      </c>
      <c r="C1997">
        <v>37</v>
      </c>
      <c r="F1997" s="898">
        <f ca="1">Actions!AF38</f>
        <v>0</v>
      </c>
    </row>
    <row r="1998" spans="1:6">
      <c r="A1998" t="s">
        <v>2813</v>
      </c>
      <c r="B1998" t="s">
        <v>2809</v>
      </c>
      <c r="C1998">
        <v>38</v>
      </c>
      <c r="F1998" s="898">
        <f ca="1">Actions!AF39</f>
        <v>0</v>
      </c>
    </row>
    <row r="1999" spans="1:6">
      <c r="A1999" t="s">
        <v>2813</v>
      </c>
      <c r="B1999" t="s">
        <v>2809</v>
      </c>
      <c r="C1999">
        <v>39</v>
      </c>
      <c r="F1999" s="898">
        <f ca="1">Actions!AF40</f>
        <v>0</v>
      </c>
    </row>
    <row r="2000" spans="1:6">
      <c r="A2000" t="s">
        <v>2813</v>
      </c>
      <c r="B2000" t="s">
        <v>2809</v>
      </c>
      <c r="C2000">
        <v>40</v>
      </c>
      <c r="F2000" s="898">
        <f ca="1">Actions!AF41</f>
        <v>0</v>
      </c>
    </row>
    <row r="2001" spans="1:6">
      <c r="A2001" t="s">
        <v>2813</v>
      </c>
      <c r="B2001" t="s">
        <v>2809</v>
      </c>
      <c r="C2001">
        <v>41</v>
      </c>
      <c r="F2001" s="898">
        <f ca="1">Actions!AF42</f>
        <v>0</v>
      </c>
    </row>
    <row r="2002" spans="1:6">
      <c r="A2002" t="s">
        <v>2813</v>
      </c>
      <c r="B2002" t="s">
        <v>2809</v>
      </c>
      <c r="C2002">
        <v>42</v>
      </c>
      <c r="F2002" s="898">
        <f ca="1">Actions!AF43</f>
        <v>0</v>
      </c>
    </row>
    <row r="2003" spans="1:6">
      <c r="A2003" t="s">
        <v>2813</v>
      </c>
      <c r="B2003" t="s">
        <v>2809</v>
      </c>
      <c r="C2003">
        <v>43</v>
      </c>
      <c r="F2003" s="898">
        <f ca="1">Actions!AF44</f>
        <v>0</v>
      </c>
    </row>
    <row r="2004" spans="1:6">
      <c r="A2004" t="s">
        <v>2813</v>
      </c>
      <c r="B2004" t="s">
        <v>2809</v>
      </c>
      <c r="C2004">
        <v>44</v>
      </c>
      <c r="F2004" s="898">
        <f ca="1">Actions!AF45</f>
        <v>0</v>
      </c>
    </row>
    <row r="2005" spans="1:6">
      <c r="A2005" t="s">
        <v>2813</v>
      </c>
      <c r="B2005" t="s">
        <v>2809</v>
      </c>
      <c r="C2005">
        <v>45</v>
      </c>
      <c r="F2005" s="898">
        <f ca="1">Actions!AF46</f>
        <v>0</v>
      </c>
    </row>
    <row r="2006" spans="1:6">
      <c r="A2006" t="s">
        <v>2813</v>
      </c>
      <c r="B2006" t="s">
        <v>2811</v>
      </c>
      <c r="C2006">
        <v>1</v>
      </c>
      <c r="F2006" s="898">
        <f ca="1">Actions!AJ2</f>
        <v>0</v>
      </c>
    </row>
    <row r="2007" spans="1:6">
      <c r="A2007" t="s">
        <v>2813</v>
      </c>
      <c r="B2007" t="s">
        <v>2811</v>
      </c>
      <c r="C2007">
        <v>2</v>
      </c>
      <c r="F2007" s="898">
        <f ca="1">Actions!AJ3</f>
        <v>0</v>
      </c>
    </row>
    <row r="2008" spans="1:6">
      <c r="A2008" t="s">
        <v>2813</v>
      </c>
      <c r="B2008" t="s">
        <v>2811</v>
      </c>
      <c r="C2008">
        <v>3</v>
      </c>
      <c r="F2008" s="898">
        <f ca="1">Actions!AJ4</f>
        <v>0</v>
      </c>
    </row>
    <row r="2009" spans="1:6">
      <c r="A2009" t="s">
        <v>2813</v>
      </c>
      <c r="B2009" t="s">
        <v>2811</v>
      </c>
      <c r="C2009">
        <v>4</v>
      </c>
      <c r="F2009" s="898">
        <f ca="1">Actions!AJ5</f>
        <v>0</v>
      </c>
    </row>
    <row r="2010" spans="1:6">
      <c r="A2010" t="s">
        <v>2813</v>
      </c>
      <c r="B2010" t="s">
        <v>2811</v>
      </c>
      <c r="C2010">
        <v>5</v>
      </c>
      <c r="F2010" s="898">
        <f ca="1">Actions!AJ6</f>
        <v>0</v>
      </c>
    </row>
    <row r="2011" spans="1:6">
      <c r="A2011" t="s">
        <v>2813</v>
      </c>
      <c r="B2011" t="s">
        <v>2811</v>
      </c>
      <c r="C2011">
        <v>6</v>
      </c>
      <c r="F2011" s="898">
        <f ca="1">Actions!AJ7</f>
        <v>0</v>
      </c>
    </row>
    <row r="2012" spans="1:6">
      <c r="A2012" t="s">
        <v>2813</v>
      </c>
      <c r="B2012" t="s">
        <v>2811</v>
      </c>
      <c r="C2012">
        <v>7</v>
      </c>
      <c r="F2012" s="898">
        <f ca="1">Actions!AJ8</f>
        <v>0</v>
      </c>
    </row>
    <row r="2013" spans="1:6">
      <c r="A2013" t="s">
        <v>2813</v>
      </c>
      <c r="B2013" t="s">
        <v>2811</v>
      </c>
      <c r="C2013">
        <v>8</v>
      </c>
      <c r="F2013" s="898">
        <f ca="1">Actions!AJ9</f>
        <v>0</v>
      </c>
    </row>
    <row r="2014" spans="1:6">
      <c r="A2014" t="s">
        <v>2813</v>
      </c>
      <c r="B2014" t="s">
        <v>2811</v>
      </c>
      <c r="C2014">
        <v>9</v>
      </c>
      <c r="F2014" s="898">
        <f ca="1">Actions!AJ10</f>
        <v>0</v>
      </c>
    </row>
    <row r="2015" spans="1:6">
      <c r="A2015" t="s">
        <v>2813</v>
      </c>
      <c r="B2015" t="s">
        <v>2811</v>
      </c>
      <c r="C2015">
        <v>10</v>
      </c>
      <c r="F2015" s="898">
        <f ca="1">Actions!AJ11</f>
        <v>0</v>
      </c>
    </row>
    <row r="2016" spans="1:6">
      <c r="A2016" t="s">
        <v>2813</v>
      </c>
      <c r="B2016" t="s">
        <v>2811</v>
      </c>
      <c r="C2016">
        <v>11</v>
      </c>
      <c r="F2016" s="898">
        <f ca="1">Actions!AJ12</f>
        <v>0</v>
      </c>
    </row>
    <row r="2017" spans="1:6">
      <c r="A2017" t="s">
        <v>2813</v>
      </c>
      <c r="B2017" t="s">
        <v>2811</v>
      </c>
      <c r="C2017">
        <v>12</v>
      </c>
      <c r="F2017" s="898">
        <f ca="1">Actions!AJ13</f>
        <v>0</v>
      </c>
    </row>
    <row r="2018" spans="1:6">
      <c r="A2018" t="s">
        <v>2813</v>
      </c>
      <c r="B2018" t="s">
        <v>2811</v>
      </c>
      <c r="C2018">
        <v>13</v>
      </c>
      <c r="F2018" s="898">
        <f ca="1">Actions!AJ14</f>
        <v>0</v>
      </c>
    </row>
    <row r="2019" spans="1:6">
      <c r="A2019" t="s">
        <v>2813</v>
      </c>
      <c r="B2019" t="s">
        <v>2811</v>
      </c>
      <c r="C2019">
        <v>14</v>
      </c>
      <c r="F2019" s="898">
        <f ca="1">Actions!AJ15</f>
        <v>0</v>
      </c>
    </row>
    <row r="2020" spans="1:6">
      <c r="A2020" t="s">
        <v>2813</v>
      </c>
      <c r="B2020" t="s">
        <v>2811</v>
      </c>
      <c r="C2020">
        <v>15</v>
      </c>
      <c r="F2020" s="898">
        <f ca="1">Actions!AJ16</f>
        <v>0</v>
      </c>
    </row>
    <row r="2021" spans="1:6">
      <c r="A2021" t="s">
        <v>2813</v>
      </c>
      <c r="B2021" t="s">
        <v>2811</v>
      </c>
      <c r="C2021">
        <v>16</v>
      </c>
      <c r="F2021" s="898">
        <f ca="1">Actions!AJ17</f>
        <v>0</v>
      </c>
    </row>
    <row r="2022" spans="1:6">
      <c r="A2022" t="s">
        <v>2813</v>
      </c>
      <c r="B2022" t="s">
        <v>2811</v>
      </c>
      <c r="C2022">
        <v>17</v>
      </c>
      <c r="F2022" s="898">
        <f ca="1">Actions!AJ18</f>
        <v>0</v>
      </c>
    </row>
    <row r="2023" spans="1:6">
      <c r="A2023" t="s">
        <v>2813</v>
      </c>
      <c r="B2023" t="s">
        <v>2811</v>
      </c>
      <c r="C2023">
        <v>18</v>
      </c>
      <c r="F2023" s="898">
        <f ca="1">Actions!AJ19</f>
        <v>0</v>
      </c>
    </row>
    <row r="2024" spans="1:6">
      <c r="A2024" t="s">
        <v>2813</v>
      </c>
      <c r="B2024" t="s">
        <v>2811</v>
      </c>
      <c r="C2024">
        <v>19</v>
      </c>
      <c r="F2024" s="898">
        <f ca="1">Actions!AJ20</f>
        <v>0</v>
      </c>
    </row>
    <row r="2025" spans="1:6">
      <c r="A2025" t="s">
        <v>2813</v>
      </c>
      <c r="B2025" t="s">
        <v>2811</v>
      </c>
      <c r="C2025">
        <v>20</v>
      </c>
      <c r="F2025" s="898">
        <f ca="1">Actions!AJ21</f>
        <v>0</v>
      </c>
    </row>
    <row r="2026" spans="1:6">
      <c r="A2026" t="s">
        <v>2813</v>
      </c>
      <c r="B2026" t="s">
        <v>2811</v>
      </c>
      <c r="C2026">
        <v>21</v>
      </c>
      <c r="F2026" s="898">
        <f ca="1">Actions!AJ22</f>
        <v>0</v>
      </c>
    </row>
    <row r="2027" spans="1:6">
      <c r="A2027" t="s">
        <v>2813</v>
      </c>
      <c r="B2027" t="s">
        <v>2811</v>
      </c>
      <c r="C2027">
        <v>22</v>
      </c>
      <c r="F2027" s="898">
        <f ca="1">Actions!AJ23</f>
        <v>0</v>
      </c>
    </row>
    <row r="2028" spans="1:6">
      <c r="A2028" t="s">
        <v>2813</v>
      </c>
      <c r="B2028" t="s">
        <v>2811</v>
      </c>
      <c r="C2028">
        <v>23</v>
      </c>
      <c r="F2028" s="898">
        <f ca="1">Actions!AJ24</f>
        <v>0</v>
      </c>
    </row>
    <row r="2029" spans="1:6">
      <c r="A2029" t="s">
        <v>2813</v>
      </c>
      <c r="B2029" t="s">
        <v>2811</v>
      </c>
      <c r="C2029">
        <v>24</v>
      </c>
      <c r="F2029" s="898">
        <f ca="1">Actions!AJ25</f>
        <v>0</v>
      </c>
    </row>
    <row r="2030" spans="1:6">
      <c r="A2030" t="s">
        <v>2813</v>
      </c>
      <c r="B2030" t="s">
        <v>2811</v>
      </c>
      <c r="C2030">
        <v>25</v>
      </c>
      <c r="F2030" s="898">
        <f ca="1">Actions!AJ26</f>
        <v>0</v>
      </c>
    </row>
    <row r="2031" spans="1:6">
      <c r="A2031" t="s">
        <v>2813</v>
      </c>
      <c r="B2031" t="s">
        <v>2811</v>
      </c>
      <c r="C2031">
        <v>26</v>
      </c>
      <c r="F2031" s="898">
        <f ca="1">Actions!AJ27</f>
        <v>0</v>
      </c>
    </row>
    <row r="2032" spans="1:6">
      <c r="A2032" t="s">
        <v>2813</v>
      </c>
      <c r="B2032" t="s">
        <v>2811</v>
      </c>
      <c r="C2032">
        <v>27</v>
      </c>
      <c r="F2032" s="898">
        <f ca="1">Actions!AJ28</f>
        <v>0</v>
      </c>
    </row>
    <row r="2033" spans="1:6">
      <c r="A2033" t="s">
        <v>2813</v>
      </c>
      <c r="B2033" t="s">
        <v>2811</v>
      </c>
      <c r="C2033">
        <v>28</v>
      </c>
      <c r="F2033" s="898">
        <f ca="1">Actions!AJ29</f>
        <v>0</v>
      </c>
    </row>
    <row r="2034" spans="1:6">
      <c r="A2034" t="s">
        <v>2813</v>
      </c>
      <c r="B2034" t="s">
        <v>2811</v>
      </c>
      <c r="C2034">
        <v>29</v>
      </c>
      <c r="F2034" s="898">
        <f ca="1">Actions!AJ30</f>
        <v>0</v>
      </c>
    </row>
    <row r="2035" spans="1:6">
      <c r="A2035" t="s">
        <v>2813</v>
      </c>
      <c r="B2035" t="s">
        <v>2811</v>
      </c>
      <c r="C2035">
        <v>30</v>
      </c>
      <c r="F2035" s="898">
        <f ca="1">Actions!AJ31</f>
        <v>0</v>
      </c>
    </row>
    <row r="2036" spans="1:6">
      <c r="A2036" t="s">
        <v>2813</v>
      </c>
      <c r="B2036" t="s">
        <v>2811</v>
      </c>
      <c r="C2036">
        <v>31</v>
      </c>
      <c r="F2036" s="898">
        <f ca="1">Actions!AJ32</f>
        <v>0</v>
      </c>
    </row>
    <row r="2037" spans="1:6">
      <c r="A2037" t="s">
        <v>2813</v>
      </c>
      <c r="B2037" t="s">
        <v>2811</v>
      </c>
      <c r="C2037">
        <v>32</v>
      </c>
      <c r="F2037" s="898">
        <f ca="1">Actions!AJ33</f>
        <v>0</v>
      </c>
    </row>
    <row r="2038" spans="1:6">
      <c r="A2038" t="s">
        <v>2813</v>
      </c>
      <c r="B2038" t="s">
        <v>2811</v>
      </c>
      <c r="C2038">
        <v>33</v>
      </c>
      <c r="F2038" s="898">
        <f ca="1">Actions!AJ34</f>
        <v>0</v>
      </c>
    </row>
    <row r="2039" spans="1:6">
      <c r="A2039" t="s">
        <v>2813</v>
      </c>
      <c r="B2039" t="s">
        <v>2811</v>
      </c>
      <c r="C2039">
        <v>34</v>
      </c>
      <c r="F2039" s="898">
        <f ca="1">Actions!AJ35</f>
        <v>0</v>
      </c>
    </row>
    <row r="2040" spans="1:6">
      <c r="A2040" t="s">
        <v>2813</v>
      </c>
      <c r="B2040" t="s">
        <v>2811</v>
      </c>
      <c r="C2040">
        <v>35</v>
      </c>
      <c r="F2040" s="898">
        <f ca="1">Actions!AJ36</f>
        <v>0</v>
      </c>
    </row>
    <row r="2041" spans="1:6">
      <c r="A2041" t="s">
        <v>2813</v>
      </c>
      <c r="B2041" t="s">
        <v>2811</v>
      </c>
      <c r="C2041">
        <v>36</v>
      </c>
      <c r="F2041" s="898">
        <f ca="1">Actions!AJ37</f>
        <v>0</v>
      </c>
    </row>
    <row r="2042" spans="1:6">
      <c r="A2042" t="s">
        <v>2813</v>
      </c>
      <c r="B2042" t="s">
        <v>2811</v>
      </c>
      <c r="C2042">
        <v>37</v>
      </c>
      <c r="F2042" s="898">
        <f ca="1">Actions!AJ38</f>
        <v>0</v>
      </c>
    </row>
    <row r="2043" spans="1:6">
      <c r="A2043" t="s">
        <v>2813</v>
      </c>
      <c r="B2043" t="s">
        <v>2811</v>
      </c>
      <c r="C2043">
        <v>38</v>
      </c>
      <c r="F2043" s="898">
        <f ca="1">Actions!AJ39</f>
        <v>0</v>
      </c>
    </row>
    <row r="2044" spans="1:6">
      <c r="A2044" t="s">
        <v>2813</v>
      </c>
      <c r="B2044" t="s">
        <v>2811</v>
      </c>
      <c r="C2044">
        <v>39</v>
      </c>
      <c r="F2044" s="898">
        <f ca="1">Actions!AJ40</f>
        <v>0</v>
      </c>
    </row>
    <row r="2045" spans="1:6">
      <c r="A2045" t="s">
        <v>2813</v>
      </c>
      <c r="B2045" t="s">
        <v>2811</v>
      </c>
      <c r="C2045">
        <v>40</v>
      </c>
      <c r="F2045" s="898">
        <f ca="1">Actions!AJ41</f>
        <v>0</v>
      </c>
    </row>
    <row r="2046" spans="1:6">
      <c r="A2046" t="s">
        <v>2813</v>
      </c>
      <c r="B2046" t="s">
        <v>2811</v>
      </c>
      <c r="C2046">
        <v>41</v>
      </c>
      <c r="F2046" s="898">
        <f ca="1">Actions!AJ42</f>
        <v>0</v>
      </c>
    </row>
    <row r="2047" spans="1:6">
      <c r="A2047" t="s">
        <v>2813</v>
      </c>
      <c r="B2047" t="s">
        <v>2811</v>
      </c>
      <c r="C2047">
        <v>42</v>
      </c>
      <c r="F2047" s="898">
        <f ca="1">Actions!AJ43</f>
        <v>0</v>
      </c>
    </row>
    <row r="2048" spans="1:6">
      <c r="A2048" t="s">
        <v>2813</v>
      </c>
      <c r="B2048" t="s">
        <v>2811</v>
      </c>
      <c r="C2048">
        <v>43</v>
      </c>
      <c r="F2048" s="898">
        <f ca="1">Actions!AJ44</f>
        <v>0</v>
      </c>
    </row>
    <row r="2049" spans="1:6">
      <c r="A2049" t="s">
        <v>2813</v>
      </c>
      <c r="B2049" t="s">
        <v>2811</v>
      </c>
      <c r="C2049">
        <v>44</v>
      </c>
      <c r="F2049" s="898">
        <f ca="1">Actions!AJ45</f>
        <v>0</v>
      </c>
    </row>
    <row r="2050" spans="1:6">
      <c r="A2050" t="s">
        <v>2813</v>
      </c>
      <c r="B2050" t="s">
        <v>2811</v>
      </c>
      <c r="C2050">
        <v>45</v>
      </c>
      <c r="F2050" s="898">
        <f ca="1">Actions!AJ46</f>
        <v>0</v>
      </c>
    </row>
    <row r="2051" spans="1:6">
      <c r="A2051" t="s">
        <v>2830</v>
      </c>
      <c r="B2051" t="s">
        <v>2831</v>
      </c>
      <c r="F2051" s="898">
        <f>'Action POLLEC 1'!$F$10</f>
        <v>0</v>
      </c>
    </row>
    <row r="2052" spans="1:6">
      <c r="A2052" t="s">
        <v>2830</v>
      </c>
      <c r="B2052" t="s">
        <v>3006</v>
      </c>
      <c r="F2052" s="898" t="str">
        <f ca="1">'Action POLLEC 1'!F6</f>
        <v/>
      </c>
    </row>
    <row r="2053" spans="1:6">
      <c r="A2053" t="s">
        <v>2830</v>
      </c>
      <c r="B2053" t="s">
        <v>725</v>
      </c>
      <c r="F2053" s="898" t="str">
        <f ca="1">'Action POLLEC 1'!B19</f>
        <v>-</v>
      </c>
    </row>
    <row r="2054" spans="1:6">
      <c r="A2054" t="s">
        <v>2830</v>
      </c>
      <c r="B2054" t="s">
        <v>325</v>
      </c>
      <c r="F2054" s="898">
        <f>'Action POLLEC 1'!$B$20</f>
        <v>0</v>
      </c>
    </row>
    <row r="2055" spans="1:6">
      <c r="A2055" t="s">
        <v>2830</v>
      </c>
      <c r="B2055" t="s">
        <v>2832</v>
      </c>
      <c r="F2055" s="898">
        <f>'Action POLLEC 1'!$B$21</f>
        <v>0</v>
      </c>
    </row>
    <row r="2056" spans="1:6">
      <c r="A2056" t="s">
        <v>2830</v>
      </c>
      <c r="B2056" t="s">
        <v>2833</v>
      </c>
      <c r="F2056" s="898" t="str">
        <f ca="1">'Action POLLEC 1'!$B$26</f>
        <v>-</v>
      </c>
    </row>
    <row r="2057" spans="1:6">
      <c r="A2057" t="s">
        <v>2830</v>
      </c>
      <c r="B2057" t="s">
        <v>2834</v>
      </c>
      <c r="F2057" s="898">
        <f>'Action POLLEC 1'!$B$27</f>
        <v>0</v>
      </c>
    </row>
    <row r="2058" spans="1:6">
      <c r="A2058" t="s">
        <v>2830</v>
      </c>
      <c r="B2058" t="s">
        <v>2835</v>
      </c>
      <c r="F2058" s="898">
        <f>'Action POLLEC 1'!$B$28</f>
        <v>0</v>
      </c>
    </row>
    <row r="2059" spans="1:6">
      <c r="A2059" t="s">
        <v>2830</v>
      </c>
      <c r="B2059" t="s">
        <v>2836</v>
      </c>
      <c r="F2059" s="898">
        <f>'Action POLLEC 1'!$B$29</f>
        <v>0</v>
      </c>
    </row>
    <row r="2060" spans="1:6">
      <c r="A2060" t="s">
        <v>2830</v>
      </c>
      <c r="B2060" t="s">
        <v>2837</v>
      </c>
      <c r="F2060" s="898">
        <f>'Action POLLEC 1'!$B$30</f>
        <v>0</v>
      </c>
    </row>
    <row r="2061" spans="1:6">
      <c r="A2061" t="s">
        <v>2830</v>
      </c>
      <c r="B2061" t="s">
        <v>2838</v>
      </c>
      <c r="F2061" s="898">
        <f>'Action POLLEC 1'!$D$26</f>
        <v>0</v>
      </c>
    </row>
    <row r="2062" spans="1:6">
      <c r="A2062" t="s">
        <v>2830</v>
      </c>
      <c r="B2062" t="s">
        <v>2839</v>
      </c>
      <c r="F2062" s="898">
        <f>'Action POLLEC 1'!$D$27</f>
        <v>0</v>
      </c>
    </row>
    <row r="2063" spans="1:6">
      <c r="A2063" t="s">
        <v>2830</v>
      </c>
      <c r="B2063" t="s">
        <v>2840</v>
      </c>
      <c r="F2063" s="898">
        <f>'Action POLLEC 1'!$D$28</f>
        <v>0</v>
      </c>
    </row>
    <row r="2064" spans="1:6">
      <c r="A2064" t="s">
        <v>2830</v>
      </c>
      <c r="B2064" t="s">
        <v>2841</v>
      </c>
      <c r="F2064" s="898">
        <f>'Action POLLEC 1'!$D$29</f>
        <v>0</v>
      </c>
    </row>
    <row r="2065" spans="1:6">
      <c r="A2065" t="s">
        <v>2830</v>
      </c>
      <c r="B2065" t="s">
        <v>2842</v>
      </c>
      <c r="F2065" s="898">
        <f>'Action POLLEC 1'!$D$30</f>
        <v>0</v>
      </c>
    </row>
    <row r="2066" spans="1:6">
      <c r="A2066" t="s">
        <v>2830</v>
      </c>
      <c r="B2066" t="s">
        <v>2843</v>
      </c>
      <c r="F2066" s="898">
        <f>'Action POLLEC 1'!$F$26</f>
        <v>0</v>
      </c>
    </row>
    <row r="2067" spans="1:6">
      <c r="A2067" t="s">
        <v>2830</v>
      </c>
      <c r="B2067" t="s">
        <v>2844</v>
      </c>
      <c r="F2067" s="898">
        <f>'Action POLLEC 1'!$F$27</f>
        <v>0</v>
      </c>
    </row>
    <row r="2068" spans="1:6">
      <c r="A2068" t="s">
        <v>2830</v>
      </c>
      <c r="B2068" t="s">
        <v>2845</v>
      </c>
      <c r="F2068" s="898">
        <f>'Action POLLEC 1'!$F$28</f>
        <v>0</v>
      </c>
    </row>
    <row r="2069" spans="1:6">
      <c r="A2069" t="s">
        <v>2830</v>
      </c>
      <c r="B2069" t="s">
        <v>2846</v>
      </c>
      <c r="F2069" s="898">
        <f>'Action POLLEC 1'!$F$29</f>
        <v>0</v>
      </c>
    </row>
    <row r="2070" spans="1:6">
      <c r="A2070" t="s">
        <v>2830</v>
      </c>
      <c r="B2070" t="s">
        <v>2847</v>
      </c>
      <c r="F2070" s="898">
        <f>'Action POLLEC 1'!$F$30</f>
        <v>0</v>
      </c>
    </row>
    <row r="2071" spans="1:6">
      <c r="A2071" t="s">
        <v>2830</v>
      </c>
      <c r="B2071" t="s">
        <v>2848</v>
      </c>
      <c r="F2071" s="898">
        <f>'Action POLLEC 1'!$B$32</f>
        <v>0</v>
      </c>
    </row>
    <row r="2072" spans="1:6">
      <c r="A2072" t="s">
        <v>2830</v>
      </c>
      <c r="B2072" t="s">
        <v>2849</v>
      </c>
      <c r="F2072" s="898">
        <f>'Action POLLEC 1'!$B$33</f>
        <v>0</v>
      </c>
    </row>
    <row r="2073" spans="1:6">
      <c r="A2073" t="s">
        <v>2830</v>
      </c>
      <c r="B2073" t="s">
        <v>2850</v>
      </c>
      <c r="F2073" s="898">
        <f>'Action POLLEC 1'!$B$53</f>
        <v>0</v>
      </c>
    </row>
    <row r="2074" spans="1:6">
      <c r="A2074" t="s">
        <v>2830</v>
      </c>
      <c r="B2074" t="s">
        <v>2851</v>
      </c>
      <c r="F2074" s="898">
        <f>'Action POLLEC 1'!$B$54</f>
        <v>0</v>
      </c>
    </row>
    <row r="2075" spans="1:6">
      <c r="A2075" t="s">
        <v>2830</v>
      </c>
      <c r="B2075" t="s">
        <v>2852</v>
      </c>
      <c r="F2075" s="898">
        <f>'Action POLLEC 1'!$B$55</f>
        <v>0</v>
      </c>
    </row>
    <row r="2076" spans="1:6">
      <c r="A2076" t="s">
        <v>2830</v>
      </c>
      <c r="B2076" t="s">
        <v>2853</v>
      </c>
      <c r="F2076" s="898">
        <f>'Action POLLEC 1'!$B$56</f>
        <v>0</v>
      </c>
    </row>
    <row r="2077" spans="1:6">
      <c r="A2077" t="s">
        <v>2830</v>
      </c>
      <c r="B2077" t="s">
        <v>2854</v>
      </c>
      <c r="F2077" s="898">
        <f>'Action POLLEC 1'!$B$57</f>
        <v>0</v>
      </c>
    </row>
    <row r="2078" spans="1:6">
      <c r="A2078" t="s">
        <v>2830</v>
      </c>
      <c r="B2078" t="s">
        <v>2855</v>
      </c>
      <c r="F2078" s="898">
        <f>'Action POLLEC 1'!$B$58</f>
        <v>0</v>
      </c>
    </row>
    <row r="2079" spans="1:6">
      <c r="A2079" t="s">
        <v>2830</v>
      </c>
      <c r="B2079" t="s">
        <v>2856</v>
      </c>
      <c r="F2079" s="898">
        <f>'Action POLLEC 1'!$B$59</f>
        <v>0</v>
      </c>
    </row>
    <row r="2080" spans="1:6">
      <c r="A2080" t="s">
        <v>2830</v>
      </c>
      <c r="B2080" t="s">
        <v>2857</v>
      </c>
      <c r="F2080" s="898">
        <f>'Action POLLEC 1'!$B$60</f>
        <v>0</v>
      </c>
    </row>
    <row r="2081" spans="1:6">
      <c r="A2081" t="s">
        <v>2830</v>
      </c>
      <c r="B2081" t="s">
        <v>3007</v>
      </c>
      <c r="F2081" s="898">
        <f>'Action POLLEC 1'!$B$61</f>
        <v>0</v>
      </c>
    </row>
    <row r="2082" spans="1:6">
      <c r="A2082" t="s">
        <v>2830</v>
      </c>
      <c r="B2082" t="s">
        <v>3008</v>
      </c>
      <c r="F2082" s="898">
        <f>'Action POLLEC 1'!$B$62</f>
        <v>0</v>
      </c>
    </row>
    <row r="2083" spans="1:6">
      <c r="A2083" t="s">
        <v>2830</v>
      </c>
      <c r="B2083" t="s">
        <v>3009</v>
      </c>
      <c r="F2083" s="898">
        <f>'Action POLLEC 1'!$B$63</f>
        <v>0</v>
      </c>
    </row>
    <row r="2084" spans="1:6">
      <c r="A2084" t="s">
        <v>2830</v>
      </c>
      <c r="B2084" t="s">
        <v>3010</v>
      </c>
      <c r="F2084" s="898">
        <f>'Action POLLEC 1'!$B$64</f>
        <v>0</v>
      </c>
    </row>
    <row r="2085" spans="1:6">
      <c r="A2085" t="s">
        <v>2830</v>
      </c>
      <c r="B2085" t="s">
        <v>3011</v>
      </c>
      <c r="F2085" s="898">
        <f>'Action POLLEC 1'!$B$65</f>
        <v>0</v>
      </c>
    </row>
    <row r="2086" spans="1:6">
      <c r="A2086" t="s">
        <v>2830</v>
      </c>
      <c r="B2086" t="s">
        <v>3012</v>
      </c>
      <c r="F2086" s="898">
        <f>'Action POLLEC 1'!$B$66</f>
        <v>0</v>
      </c>
    </row>
    <row r="2087" spans="1:6">
      <c r="A2087" t="s">
        <v>2830</v>
      </c>
      <c r="B2087" t="s">
        <v>3013</v>
      </c>
      <c r="F2087" s="898">
        <f>'Action POLLEC 1'!$B$67</f>
        <v>0</v>
      </c>
    </row>
    <row r="2088" spans="1:6">
      <c r="A2088" t="s">
        <v>2830</v>
      </c>
      <c r="B2088" t="s">
        <v>2858</v>
      </c>
      <c r="F2088" s="898">
        <f>'Action POLLEC 1'!$E$53</f>
        <v>0</v>
      </c>
    </row>
    <row r="2089" spans="1:6">
      <c r="A2089" t="s">
        <v>2830</v>
      </c>
      <c r="B2089" t="s">
        <v>2859</v>
      </c>
      <c r="F2089" s="898">
        <f>'Action POLLEC 1'!$E$54</f>
        <v>0</v>
      </c>
    </row>
    <row r="2090" spans="1:6">
      <c r="A2090" t="s">
        <v>2830</v>
      </c>
      <c r="B2090" t="s">
        <v>2860</v>
      </c>
      <c r="F2090" s="898">
        <f>'Action POLLEC 1'!$E$55</f>
        <v>0</v>
      </c>
    </row>
    <row r="2091" spans="1:6">
      <c r="A2091" t="s">
        <v>2830</v>
      </c>
      <c r="B2091" t="s">
        <v>2861</v>
      </c>
      <c r="F2091" s="898">
        <f>'Action POLLEC 1'!$E$56</f>
        <v>0</v>
      </c>
    </row>
    <row r="2092" spans="1:6">
      <c r="A2092" t="s">
        <v>2830</v>
      </c>
      <c r="B2092" t="s">
        <v>2862</v>
      </c>
      <c r="F2092" s="898">
        <f>'Action POLLEC 1'!$E$57</f>
        <v>0</v>
      </c>
    </row>
    <row r="2093" spans="1:6">
      <c r="A2093" t="s">
        <v>2830</v>
      </c>
      <c r="B2093" t="s">
        <v>2863</v>
      </c>
      <c r="F2093" s="898">
        <f>'Action POLLEC 1'!$E$58</f>
        <v>0</v>
      </c>
    </row>
    <row r="2094" spans="1:6">
      <c r="A2094" t="s">
        <v>2830</v>
      </c>
      <c r="B2094" t="s">
        <v>2864</v>
      </c>
      <c r="F2094" s="898">
        <f>'Action POLLEC 1'!$E$59</f>
        <v>0</v>
      </c>
    </row>
    <row r="2095" spans="1:6">
      <c r="A2095" t="s">
        <v>2830</v>
      </c>
      <c r="B2095" t="s">
        <v>2865</v>
      </c>
      <c r="F2095" s="898">
        <f>'Action POLLEC 1'!$E$60</f>
        <v>0</v>
      </c>
    </row>
    <row r="2096" spans="1:6">
      <c r="A2096" t="s">
        <v>2830</v>
      </c>
      <c r="B2096" t="s">
        <v>2866</v>
      </c>
      <c r="F2096" s="898">
        <f>'Action POLLEC 1'!$F$53</f>
        <v>0</v>
      </c>
    </row>
    <row r="2097" spans="1:6">
      <c r="A2097" t="s">
        <v>2830</v>
      </c>
      <c r="B2097" t="s">
        <v>2867</v>
      </c>
      <c r="F2097" s="898">
        <f>'Action POLLEC 1'!$F$54</f>
        <v>0</v>
      </c>
    </row>
    <row r="2098" spans="1:6">
      <c r="A2098" t="s">
        <v>2830</v>
      </c>
      <c r="B2098" t="s">
        <v>2868</v>
      </c>
      <c r="F2098" s="898">
        <f>'Action POLLEC 1'!$F$55</f>
        <v>0</v>
      </c>
    </row>
    <row r="2099" spans="1:6">
      <c r="A2099" t="s">
        <v>2830</v>
      </c>
      <c r="B2099" t="s">
        <v>2869</v>
      </c>
      <c r="F2099" s="898">
        <f>'Action POLLEC 1'!$F$56</f>
        <v>0</v>
      </c>
    </row>
    <row r="2100" spans="1:6">
      <c r="A2100" t="s">
        <v>2830</v>
      </c>
      <c r="B2100" t="s">
        <v>2870</v>
      </c>
      <c r="F2100" s="898">
        <f>'Action POLLEC 1'!$F$57</f>
        <v>0</v>
      </c>
    </row>
    <row r="2101" spans="1:6">
      <c r="A2101" t="s">
        <v>2830</v>
      </c>
      <c r="B2101" t="s">
        <v>2871</v>
      </c>
      <c r="F2101" s="898">
        <f>'Action POLLEC 1'!$F$58</f>
        <v>0</v>
      </c>
    </row>
    <row r="2102" spans="1:6">
      <c r="A2102" t="s">
        <v>2830</v>
      </c>
      <c r="B2102" t="s">
        <v>2872</v>
      </c>
      <c r="F2102" s="898">
        <f>'Action POLLEC 1'!$F$59</f>
        <v>0</v>
      </c>
    </row>
    <row r="2103" spans="1:6">
      <c r="A2103" t="s">
        <v>2830</v>
      </c>
      <c r="B2103" t="s">
        <v>2873</v>
      </c>
      <c r="F2103" s="898">
        <f>'Action POLLEC 1'!$F60</f>
        <v>0</v>
      </c>
    </row>
    <row r="2104" spans="1:6">
      <c r="A2104" t="s">
        <v>2830</v>
      </c>
      <c r="B2104" t="s">
        <v>2912</v>
      </c>
      <c r="F2104" s="898">
        <f>'Action POLLEC 1'!$F61</f>
        <v>0</v>
      </c>
    </row>
    <row r="2105" spans="1:6">
      <c r="A2105" t="s">
        <v>2830</v>
      </c>
      <c r="B2105" t="s">
        <v>2913</v>
      </c>
      <c r="F2105" s="898">
        <f>'Action POLLEC 1'!$F62</f>
        <v>0</v>
      </c>
    </row>
    <row r="2106" spans="1:6">
      <c r="A2106" t="s">
        <v>2830</v>
      </c>
      <c r="B2106" t="s">
        <v>3014</v>
      </c>
      <c r="F2106" s="898">
        <f>'Action POLLEC 1'!$F63</f>
        <v>0</v>
      </c>
    </row>
    <row r="2107" spans="1:6">
      <c r="A2107" t="s">
        <v>2830</v>
      </c>
      <c r="B2107" t="s">
        <v>3015</v>
      </c>
      <c r="F2107" s="898">
        <f>'Action POLLEC 1'!$F64</f>
        <v>0</v>
      </c>
    </row>
    <row r="2108" spans="1:6">
      <c r="A2108" t="s">
        <v>2830</v>
      </c>
      <c r="B2108" t="s">
        <v>3016</v>
      </c>
      <c r="F2108" s="898">
        <f>'Action POLLEC 1'!$F65</f>
        <v>0</v>
      </c>
    </row>
    <row r="2109" spans="1:6">
      <c r="A2109" t="s">
        <v>2830</v>
      </c>
      <c r="B2109" t="s">
        <v>3017</v>
      </c>
      <c r="F2109" s="898">
        <f>'Action POLLEC 1'!$F66</f>
        <v>0</v>
      </c>
    </row>
    <row r="2110" spans="1:6">
      <c r="A2110" t="s">
        <v>2830</v>
      </c>
      <c r="B2110" t="s">
        <v>3018</v>
      </c>
      <c r="F2110" s="898">
        <f>'Action POLLEC 1'!$F67</f>
        <v>0</v>
      </c>
    </row>
    <row r="2111" spans="1:6">
      <c r="A2111" t="s">
        <v>2830</v>
      </c>
      <c r="B2111" t="s">
        <v>2874</v>
      </c>
      <c r="F2111" s="898">
        <f>'Action POLLEC 1'!$G$53</f>
        <v>0</v>
      </c>
    </row>
    <row r="2112" spans="1:6">
      <c r="A2112" t="s">
        <v>2830</v>
      </c>
      <c r="B2112" t="s">
        <v>2875</v>
      </c>
      <c r="F2112" s="898">
        <f>'Action POLLEC 1'!$G$54</f>
        <v>0</v>
      </c>
    </row>
    <row r="2113" spans="1:6">
      <c r="A2113" t="s">
        <v>2830</v>
      </c>
      <c r="B2113" t="s">
        <v>2876</v>
      </c>
      <c r="F2113" s="898">
        <f>'Action POLLEC 1'!$G$55</f>
        <v>0</v>
      </c>
    </row>
    <row r="2114" spans="1:6">
      <c r="A2114" t="s">
        <v>2830</v>
      </c>
      <c r="B2114" t="s">
        <v>2877</v>
      </c>
      <c r="F2114" s="898">
        <f>'Action POLLEC 1'!$G$56</f>
        <v>0</v>
      </c>
    </row>
    <row r="2115" spans="1:6">
      <c r="A2115" t="s">
        <v>2830</v>
      </c>
      <c r="B2115" t="s">
        <v>2878</v>
      </c>
      <c r="F2115" s="898">
        <f>'Action POLLEC 1'!$G$57</f>
        <v>0</v>
      </c>
    </row>
    <row r="2116" spans="1:6">
      <c r="A2116" t="s">
        <v>2830</v>
      </c>
      <c r="B2116" t="s">
        <v>2879</v>
      </c>
      <c r="F2116" s="898">
        <f>'Action POLLEC 1'!$G$58</f>
        <v>0</v>
      </c>
    </row>
    <row r="2117" spans="1:6">
      <c r="A2117" t="s">
        <v>2830</v>
      </c>
      <c r="B2117" t="s">
        <v>2880</v>
      </c>
      <c r="F2117" s="898">
        <f>'Action POLLEC 1'!$G$59</f>
        <v>0</v>
      </c>
    </row>
    <row r="2118" spans="1:6">
      <c r="A2118" t="s">
        <v>2830</v>
      </c>
      <c r="B2118" t="s">
        <v>2881</v>
      </c>
      <c r="F2118" s="898">
        <f>'Action POLLEC 1'!$G60</f>
        <v>0</v>
      </c>
    </row>
    <row r="2119" spans="1:6">
      <c r="A2119" t="s">
        <v>2830</v>
      </c>
      <c r="B2119" t="s">
        <v>3019</v>
      </c>
      <c r="F2119" s="898">
        <f>'Action POLLEC 1'!$G61</f>
        <v>0</v>
      </c>
    </row>
    <row r="2120" spans="1:6">
      <c r="A2120" t="s">
        <v>2830</v>
      </c>
      <c r="B2120" t="s">
        <v>3020</v>
      </c>
      <c r="F2120" s="898">
        <f>'Action POLLEC 1'!$G62</f>
        <v>0</v>
      </c>
    </row>
    <row r="2121" spans="1:6">
      <c r="A2121" t="s">
        <v>2830</v>
      </c>
      <c r="B2121" t="s">
        <v>3021</v>
      </c>
      <c r="F2121" s="898">
        <f>'Action POLLEC 1'!$G63</f>
        <v>0</v>
      </c>
    </row>
    <row r="2122" spans="1:6">
      <c r="A2122" t="s">
        <v>2830</v>
      </c>
      <c r="B2122" t="s">
        <v>3022</v>
      </c>
      <c r="F2122" s="898">
        <f>'Action POLLEC 1'!$G64</f>
        <v>0</v>
      </c>
    </row>
    <row r="2123" spans="1:6">
      <c r="A2123" t="s">
        <v>2830</v>
      </c>
      <c r="B2123" t="s">
        <v>3023</v>
      </c>
      <c r="F2123" s="898">
        <f>'Action POLLEC 1'!$G65</f>
        <v>0</v>
      </c>
    </row>
    <row r="2124" spans="1:6">
      <c r="A2124" t="s">
        <v>2830</v>
      </c>
      <c r="B2124" t="s">
        <v>3024</v>
      </c>
      <c r="F2124" s="898">
        <f>'Action POLLEC 1'!$G66</f>
        <v>0</v>
      </c>
    </row>
    <row r="2125" spans="1:6">
      <c r="A2125" t="s">
        <v>2830</v>
      </c>
      <c r="B2125" t="s">
        <v>3025</v>
      </c>
      <c r="F2125" s="898">
        <f>'Action POLLEC 1'!$G67</f>
        <v>0</v>
      </c>
    </row>
    <row r="2126" spans="1:6">
      <c r="A2126" t="s">
        <v>2830</v>
      </c>
      <c r="B2126" t="s">
        <v>2944</v>
      </c>
      <c r="C2126" t="s">
        <v>2882</v>
      </c>
      <c r="F2126" s="898" t="str">
        <f ca="1">'Action POLLEC 1'!$B$77</f>
        <v>-</v>
      </c>
    </row>
    <row r="2127" spans="1:6">
      <c r="A2127" t="s">
        <v>2830</v>
      </c>
      <c r="B2127" t="s">
        <v>2944</v>
      </c>
      <c r="C2127" t="s">
        <v>2883</v>
      </c>
      <c r="F2127" s="898" t="str">
        <f ca="1">'Action POLLEC 1'!$B$78</f>
        <v>-</v>
      </c>
    </row>
    <row r="2128" spans="1:6">
      <c r="A2128" t="s">
        <v>2830</v>
      </c>
      <c r="B2128" t="s">
        <v>2944</v>
      </c>
      <c r="C2128" t="s">
        <v>2884</v>
      </c>
      <c r="F2128" s="898" t="str">
        <f ca="1">'Action POLLEC 1'!$B$79</f>
        <v>-</v>
      </c>
    </row>
    <row r="2129" spans="1:6">
      <c r="A2129" t="s">
        <v>2830</v>
      </c>
      <c r="B2129" t="s">
        <v>2944</v>
      </c>
      <c r="C2129" t="s">
        <v>2885</v>
      </c>
      <c r="F2129" s="898" t="str">
        <f ca="1">'Action POLLEC 1'!$B$80</f>
        <v>-</v>
      </c>
    </row>
    <row r="2130" spans="1:6">
      <c r="A2130" t="s">
        <v>2830</v>
      </c>
      <c r="B2130" t="s">
        <v>2944</v>
      </c>
      <c r="C2130" t="s">
        <v>2886</v>
      </c>
      <c r="F2130" s="898" t="str">
        <f ca="1">'Action POLLEC 1'!$B$81</f>
        <v>-</v>
      </c>
    </row>
    <row r="2131" spans="1:6">
      <c r="A2131" t="s">
        <v>2830</v>
      </c>
      <c r="B2131" t="s">
        <v>2944</v>
      </c>
      <c r="C2131" t="s">
        <v>2887</v>
      </c>
      <c r="F2131" s="898" t="str">
        <f ca="1">'Action POLLEC 1'!$B$82</f>
        <v>-</v>
      </c>
    </row>
    <row r="2132" spans="1:6">
      <c r="A2132" t="s">
        <v>2830</v>
      </c>
      <c r="B2132" t="s">
        <v>2944</v>
      </c>
      <c r="C2132" t="s">
        <v>2888</v>
      </c>
      <c r="F2132" s="898" t="str">
        <f ca="1">'Action POLLEC 1'!$B$83</f>
        <v>-</v>
      </c>
    </row>
    <row r="2133" spans="1:6">
      <c r="A2133" t="s">
        <v>2830</v>
      </c>
      <c r="B2133" t="s">
        <v>2944</v>
      </c>
      <c r="C2133" t="s">
        <v>2889</v>
      </c>
      <c r="F2133" s="898" t="str">
        <f ca="1">'Action POLLEC 1'!$B$84</f>
        <v>-</v>
      </c>
    </row>
    <row r="2134" spans="1:6">
      <c r="A2134" t="s">
        <v>2830</v>
      </c>
      <c r="B2134" t="s">
        <v>2944</v>
      </c>
      <c r="C2134" t="s">
        <v>2890</v>
      </c>
      <c r="F2134" s="898" t="str">
        <f ca="1">'Action POLLEC 1'!$B$85</f>
        <v>-</v>
      </c>
    </row>
    <row r="2135" spans="1:6">
      <c r="A2135" t="s">
        <v>2830</v>
      </c>
      <c r="B2135" t="s">
        <v>2944</v>
      </c>
      <c r="C2135" t="s">
        <v>2891</v>
      </c>
      <c r="F2135" s="898" t="str">
        <f ca="1">'Action POLLEC 1'!$B86</f>
        <v>-</v>
      </c>
    </row>
    <row r="2136" spans="1:6">
      <c r="A2136" t="s">
        <v>2830</v>
      </c>
      <c r="B2136" t="s">
        <v>2944</v>
      </c>
      <c r="C2136" t="s">
        <v>3026</v>
      </c>
      <c r="F2136" s="898">
        <f>'Action POLLEC 1'!$B87</f>
        <v>0</v>
      </c>
    </row>
    <row r="2137" spans="1:6">
      <c r="A2137" t="s">
        <v>2830</v>
      </c>
      <c r="B2137" t="s">
        <v>2944</v>
      </c>
      <c r="C2137" t="s">
        <v>3027</v>
      </c>
      <c r="F2137" s="898">
        <f>'Action POLLEC 1'!$B88</f>
        <v>0</v>
      </c>
    </row>
    <row r="2138" spans="1:6">
      <c r="A2138" t="s">
        <v>2830</v>
      </c>
      <c r="B2138" t="s">
        <v>2944</v>
      </c>
      <c r="C2138" t="s">
        <v>3028</v>
      </c>
      <c r="F2138" s="898">
        <f>'Action POLLEC 1'!$B89</f>
        <v>0</v>
      </c>
    </row>
    <row r="2139" spans="1:6">
      <c r="A2139" t="s">
        <v>2830</v>
      </c>
      <c r="B2139" t="s">
        <v>2944</v>
      </c>
      <c r="C2139" t="s">
        <v>3029</v>
      </c>
      <c r="F2139" s="898">
        <f>'Action POLLEC 1'!$B90</f>
        <v>0</v>
      </c>
    </row>
    <row r="2140" spans="1:6">
      <c r="A2140" t="s">
        <v>2830</v>
      </c>
      <c r="B2140" t="s">
        <v>2944</v>
      </c>
      <c r="C2140" t="s">
        <v>3030</v>
      </c>
      <c r="F2140" s="898">
        <f>'Action POLLEC 1'!$B91</f>
        <v>0</v>
      </c>
    </row>
    <row r="2141" spans="1:6">
      <c r="A2141" t="s">
        <v>2830</v>
      </c>
      <c r="B2141" t="s">
        <v>2944</v>
      </c>
      <c r="C2141" t="s">
        <v>3031</v>
      </c>
      <c r="F2141" s="898">
        <f>'Action POLLEC 1'!$B92</f>
        <v>0</v>
      </c>
    </row>
    <row r="2142" spans="1:6">
      <c r="A2142" t="s">
        <v>2830</v>
      </c>
      <c r="B2142" t="s">
        <v>2944</v>
      </c>
      <c r="C2142" t="s">
        <v>3032</v>
      </c>
      <c r="F2142" s="898">
        <f>'Action POLLEC 1'!$B93</f>
        <v>0</v>
      </c>
    </row>
    <row r="2143" spans="1:6">
      <c r="A2143" t="s">
        <v>2830</v>
      </c>
      <c r="B2143" t="s">
        <v>2944</v>
      </c>
      <c r="C2143" t="s">
        <v>3033</v>
      </c>
      <c r="F2143" s="898">
        <f>'Action POLLEC 1'!$B94</f>
        <v>0</v>
      </c>
    </row>
    <row r="2144" spans="1:6">
      <c r="A2144" t="s">
        <v>2830</v>
      </c>
      <c r="B2144" t="s">
        <v>2944</v>
      </c>
      <c r="C2144" t="s">
        <v>3034</v>
      </c>
      <c r="F2144" s="898">
        <f>'Action POLLEC 1'!$B95</f>
        <v>0</v>
      </c>
    </row>
    <row r="2145" spans="1:6">
      <c r="A2145" t="s">
        <v>2830</v>
      </c>
      <c r="B2145" t="s">
        <v>2944</v>
      </c>
      <c r="C2145" t="s">
        <v>3035</v>
      </c>
      <c r="F2145" s="898">
        <f>'Action POLLEC 1'!$B96</f>
        <v>0</v>
      </c>
    </row>
    <row r="2146" spans="1:6">
      <c r="A2146" t="s">
        <v>2830</v>
      </c>
      <c r="B2146" t="s">
        <v>2944</v>
      </c>
      <c r="C2146" t="s">
        <v>2892</v>
      </c>
      <c r="F2146" s="898">
        <f>'Action POLLEC 1'!$C$77</f>
        <v>0</v>
      </c>
    </row>
    <row r="2147" spans="1:6">
      <c r="A2147" t="s">
        <v>2830</v>
      </c>
      <c r="B2147" t="s">
        <v>2944</v>
      </c>
      <c r="C2147" t="s">
        <v>2893</v>
      </c>
      <c r="F2147" s="898">
        <f>'Action POLLEC 1'!$C$78</f>
        <v>0</v>
      </c>
    </row>
    <row r="2148" spans="1:6">
      <c r="A2148" t="s">
        <v>2830</v>
      </c>
      <c r="B2148" t="s">
        <v>2944</v>
      </c>
      <c r="C2148" t="s">
        <v>2894</v>
      </c>
      <c r="F2148" s="898">
        <f>'Action POLLEC 1'!$C$79</f>
        <v>0</v>
      </c>
    </row>
    <row r="2149" spans="1:6">
      <c r="A2149" t="s">
        <v>2830</v>
      </c>
      <c r="B2149" t="s">
        <v>2944</v>
      </c>
      <c r="C2149" t="s">
        <v>2895</v>
      </c>
      <c r="F2149" s="898">
        <f>'Action POLLEC 1'!$C$80</f>
        <v>0</v>
      </c>
    </row>
    <row r="2150" spans="1:6">
      <c r="A2150" t="s">
        <v>2830</v>
      </c>
      <c r="B2150" t="s">
        <v>2944</v>
      </c>
      <c r="C2150" t="s">
        <v>2896</v>
      </c>
      <c r="F2150" s="898">
        <f>'Action POLLEC 1'!$C$81</f>
        <v>0</v>
      </c>
    </row>
    <row r="2151" spans="1:6">
      <c r="A2151" t="s">
        <v>2830</v>
      </c>
      <c r="B2151" t="s">
        <v>2944</v>
      </c>
      <c r="C2151" t="s">
        <v>2897</v>
      </c>
      <c r="F2151" s="898">
        <f>'Action POLLEC 1'!$C$82</f>
        <v>0</v>
      </c>
    </row>
    <row r="2152" spans="1:6">
      <c r="A2152" t="s">
        <v>2830</v>
      </c>
      <c r="B2152" t="s">
        <v>2944</v>
      </c>
      <c r="C2152" t="s">
        <v>2898</v>
      </c>
      <c r="F2152" s="898">
        <f>'Action POLLEC 1'!$C$83</f>
        <v>0</v>
      </c>
    </row>
    <row r="2153" spans="1:6">
      <c r="A2153" t="s">
        <v>2830</v>
      </c>
      <c r="B2153" t="s">
        <v>2944</v>
      </c>
      <c r="C2153" t="s">
        <v>2899</v>
      </c>
      <c r="F2153" s="898">
        <f>'Action POLLEC 1'!$C$84</f>
        <v>0</v>
      </c>
    </row>
    <row r="2154" spans="1:6">
      <c r="A2154" t="s">
        <v>2830</v>
      </c>
      <c r="B2154" t="s">
        <v>2944</v>
      </c>
      <c r="C2154" t="s">
        <v>2900</v>
      </c>
      <c r="F2154" s="898">
        <f>'Action POLLEC 1'!$C$85</f>
        <v>0</v>
      </c>
    </row>
    <row r="2155" spans="1:6">
      <c r="A2155" t="s">
        <v>2830</v>
      </c>
      <c r="B2155" t="s">
        <v>2944</v>
      </c>
      <c r="C2155" t="s">
        <v>2901</v>
      </c>
      <c r="F2155" s="898">
        <f>'Action POLLEC 1'!$C86</f>
        <v>0</v>
      </c>
    </row>
    <row r="2156" spans="1:6">
      <c r="A2156" t="s">
        <v>2830</v>
      </c>
      <c r="B2156" t="s">
        <v>2944</v>
      </c>
      <c r="C2156" t="s">
        <v>3036</v>
      </c>
      <c r="F2156" s="898">
        <f>'Action POLLEC 1'!$C87</f>
        <v>0</v>
      </c>
    </row>
    <row r="2157" spans="1:6">
      <c r="A2157" t="s">
        <v>2830</v>
      </c>
      <c r="B2157" t="s">
        <v>2944</v>
      </c>
      <c r="C2157" t="s">
        <v>3037</v>
      </c>
      <c r="F2157" s="898">
        <f>'Action POLLEC 1'!$C88</f>
        <v>0</v>
      </c>
    </row>
    <row r="2158" spans="1:6">
      <c r="A2158" t="s">
        <v>2830</v>
      </c>
      <c r="B2158" t="s">
        <v>2944</v>
      </c>
      <c r="C2158" t="s">
        <v>3038</v>
      </c>
      <c r="F2158" s="898">
        <f>'Action POLLEC 1'!$C89</f>
        <v>0</v>
      </c>
    </row>
    <row r="2159" spans="1:6">
      <c r="A2159" t="s">
        <v>2830</v>
      </c>
      <c r="B2159" t="s">
        <v>2944</v>
      </c>
      <c r="C2159" t="s">
        <v>3039</v>
      </c>
      <c r="F2159" s="898">
        <f>'Action POLLEC 1'!$C90</f>
        <v>0</v>
      </c>
    </row>
    <row r="2160" spans="1:6">
      <c r="A2160" t="s">
        <v>2830</v>
      </c>
      <c r="B2160" t="s">
        <v>2944</v>
      </c>
      <c r="C2160" t="s">
        <v>3040</v>
      </c>
      <c r="F2160" s="898">
        <f>'Action POLLEC 1'!$C91</f>
        <v>0</v>
      </c>
    </row>
    <row r="2161" spans="1:6">
      <c r="A2161" t="s">
        <v>2830</v>
      </c>
      <c r="B2161" t="s">
        <v>2944</v>
      </c>
      <c r="C2161" t="s">
        <v>3041</v>
      </c>
      <c r="F2161" s="898">
        <f>'Action POLLEC 1'!$C92</f>
        <v>0</v>
      </c>
    </row>
    <row r="2162" spans="1:6">
      <c r="A2162" t="s">
        <v>2830</v>
      </c>
      <c r="B2162" t="s">
        <v>2944</v>
      </c>
      <c r="C2162" t="s">
        <v>3042</v>
      </c>
      <c r="F2162" s="898">
        <f>'Action POLLEC 1'!$C93</f>
        <v>0</v>
      </c>
    </row>
    <row r="2163" spans="1:6">
      <c r="A2163" t="s">
        <v>2830</v>
      </c>
      <c r="B2163" t="s">
        <v>2944</v>
      </c>
      <c r="C2163" t="s">
        <v>3043</v>
      </c>
      <c r="F2163" s="898">
        <f>'Action POLLEC 1'!$C94</f>
        <v>0</v>
      </c>
    </row>
    <row r="2164" spans="1:6">
      <c r="A2164" t="s">
        <v>2830</v>
      </c>
      <c r="B2164" t="s">
        <v>2944</v>
      </c>
      <c r="C2164" t="s">
        <v>3044</v>
      </c>
      <c r="F2164" s="898">
        <f>'Action POLLEC 1'!$C95</f>
        <v>0</v>
      </c>
    </row>
    <row r="2165" spans="1:6">
      <c r="A2165" t="s">
        <v>2830</v>
      </c>
      <c r="B2165" t="s">
        <v>2944</v>
      </c>
      <c r="C2165" t="s">
        <v>3045</v>
      </c>
      <c r="F2165" s="898">
        <f>'Action POLLEC 1'!$C96</f>
        <v>0</v>
      </c>
    </row>
    <row r="2166" spans="1:6">
      <c r="A2166" t="s">
        <v>2830</v>
      </c>
      <c r="B2166" t="s">
        <v>2944</v>
      </c>
      <c r="C2166" t="s">
        <v>2902</v>
      </c>
      <c r="F2166" s="898" t="str">
        <f ca="1">'Action POLLEC 1'!$D$77</f>
        <v>-</v>
      </c>
    </row>
    <row r="2167" spans="1:6">
      <c r="A2167" t="s">
        <v>2830</v>
      </c>
      <c r="B2167" t="s">
        <v>2944</v>
      </c>
      <c r="C2167" t="s">
        <v>2903</v>
      </c>
      <c r="F2167" s="898" t="str">
        <f ca="1">'Action POLLEC 1'!$D$78</f>
        <v>-</v>
      </c>
    </row>
    <row r="2168" spans="1:6">
      <c r="A2168" t="s">
        <v>2830</v>
      </c>
      <c r="B2168" t="s">
        <v>2944</v>
      </c>
      <c r="C2168" t="s">
        <v>2904</v>
      </c>
      <c r="F2168" s="898" t="str">
        <f ca="1">'Action POLLEC 1'!$D$79</f>
        <v>-</v>
      </c>
    </row>
    <row r="2169" spans="1:6">
      <c r="A2169" t="s">
        <v>2830</v>
      </c>
      <c r="B2169" t="s">
        <v>2944</v>
      </c>
      <c r="C2169" t="s">
        <v>2905</v>
      </c>
      <c r="F2169" s="898" t="str">
        <f ca="1">'Action POLLEC 1'!$D$80</f>
        <v>-</v>
      </c>
    </row>
    <row r="2170" spans="1:6">
      <c r="A2170" t="s">
        <v>2830</v>
      </c>
      <c r="B2170" t="s">
        <v>2944</v>
      </c>
      <c r="C2170" t="s">
        <v>2906</v>
      </c>
      <c r="F2170" s="898" t="str">
        <f ca="1">'Action POLLEC 1'!$D$81</f>
        <v>-</v>
      </c>
    </row>
    <row r="2171" spans="1:6">
      <c r="A2171" t="s">
        <v>2830</v>
      </c>
      <c r="B2171" t="s">
        <v>2944</v>
      </c>
      <c r="C2171" t="s">
        <v>2907</v>
      </c>
      <c r="F2171" s="898" t="str">
        <f ca="1">'Action POLLEC 1'!$D$82</f>
        <v>-</v>
      </c>
    </row>
    <row r="2172" spans="1:6">
      <c r="A2172" t="s">
        <v>2830</v>
      </c>
      <c r="B2172" t="s">
        <v>2944</v>
      </c>
      <c r="C2172" t="s">
        <v>2908</v>
      </c>
      <c r="F2172" s="898" t="str">
        <f ca="1">'Action POLLEC 1'!$D$83</f>
        <v>-</v>
      </c>
    </row>
    <row r="2173" spans="1:6">
      <c r="A2173" t="s">
        <v>2830</v>
      </c>
      <c r="B2173" t="s">
        <v>2944</v>
      </c>
      <c r="C2173" t="s">
        <v>2909</v>
      </c>
      <c r="F2173" s="898" t="str">
        <f ca="1">'Action POLLEC 1'!$D$84</f>
        <v>-</v>
      </c>
    </row>
    <row r="2174" spans="1:6">
      <c r="A2174" t="s">
        <v>2830</v>
      </c>
      <c r="B2174" t="s">
        <v>2944</v>
      </c>
      <c r="C2174" t="s">
        <v>2910</v>
      </c>
      <c r="F2174" s="898" t="str">
        <f ca="1">'Action POLLEC 1'!$D$85</f>
        <v>-</v>
      </c>
    </row>
    <row r="2175" spans="1:6">
      <c r="A2175" t="s">
        <v>2830</v>
      </c>
      <c r="B2175" t="s">
        <v>2944</v>
      </c>
      <c r="C2175" t="s">
        <v>2911</v>
      </c>
      <c r="F2175" s="898" t="str">
        <f ca="1">'Action POLLEC 1'!$D86</f>
        <v>-</v>
      </c>
    </row>
    <row r="2176" spans="1:6">
      <c r="A2176" t="s">
        <v>2830</v>
      </c>
      <c r="B2176" t="s">
        <v>2944</v>
      </c>
      <c r="C2176" t="s">
        <v>3046</v>
      </c>
      <c r="F2176" s="898">
        <f>'Action POLLEC 1'!$D87</f>
        <v>0</v>
      </c>
    </row>
    <row r="2177" spans="1:6">
      <c r="A2177" t="s">
        <v>2830</v>
      </c>
      <c r="B2177" t="s">
        <v>2944</v>
      </c>
      <c r="C2177" t="s">
        <v>3047</v>
      </c>
      <c r="F2177" s="898">
        <f>'Action POLLEC 1'!$D88</f>
        <v>0</v>
      </c>
    </row>
    <row r="2178" spans="1:6">
      <c r="A2178" t="s">
        <v>2830</v>
      </c>
      <c r="B2178" t="s">
        <v>2944</v>
      </c>
      <c r="C2178" t="s">
        <v>3048</v>
      </c>
      <c r="F2178" s="898">
        <f>'Action POLLEC 1'!$D89</f>
        <v>0</v>
      </c>
    </row>
    <row r="2179" spans="1:6">
      <c r="A2179" t="s">
        <v>2830</v>
      </c>
      <c r="B2179" t="s">
        <v>2944</v>
      </c>
      <c r="C2179" t="s">
        <v>3049</v>
      </c>
      <c r="F2179" s="898">
        <f>'Action POLLEC 1'!$D90</f>
        <v>0</v>
      </c>
    </row>
    <row r="2180" spans="1:6">
      <c r="A2180" t="s">
        <v>2830</v>
      </c>
      <c r="B2180" t="s">
        <v>2944</v>
      </c>
      <c r="C2180" t="s">
        <v>3050</v>
      </c>
      <c r="F2180" s="898">
        <f>'Action POLLEC 1'!$D91</f>
        <v>0</v>
      </c>
    </row>
    <row r="2181" spans="1:6">
      <c r="A2181" t="s">
        <v>2830</v>
      </c>
      <c r="B2181" t="s">
        <v>2944</v>
      </c>
      <c r="C2181" t="s">
        <v>3051</v>
      </c>
      <c r="F2181" s="898">
        <f>'Action POLLEC 1'!$D92</f>
        <v>0</v>
      </c>
    </row>
    <row r="2182" spans="1:6">
      <c r="A2182" t="s">
        <v>2830</v>
      </c>
      <c r="B2182" t="s">
        <v>2944</v>
      </c>
      <c r="C2182" t="s">
        <v>3052</v>
      </c>
      <c r="F2182" s="898">
        <f>'Action POLLEC 1'!$D93</f>
        <v>0</v>
      </c>
    </row>
    <row r="2183" spans="1:6">
      <c r="A2183" t="s">
        <v>2830</v>
      </c>
      <c r="B2183" t="s">
        <v>2944</v>
      </c>
      <c r="C2183" t="s">
        <v>3053</v>
      </c>
      <c r="F2183" s="898">
        <f>'Action POLLEC 1'!$D94</f>
        <v>0</v>
      </c>
    </row>
    <row r="2184" spans="1:6">
      <c r="A2184" t="s">
        <v>2830</v>
      </c>
      <c r="B2184" t="s">
        <v>2944</v>
      </c>
      <c r="C2184" t="s">
        <v>3054</v>
      </c>
      <c r="F2184" s="898">
        <f>'Action POLLEC 1'!$D95</f>
        <v>0</v>
      </c>
    </row>
    <row r="2185" spans="1:6">
      <c r="A2185" t="s">
        <v>2830</v>
      </c>
      <c r="B2185" t="s">
        <v>2944</v>
      </c>
      <c r="C2185" t="s">
        <v>3055</v>
      </c>
      <c r="F2185" s="898">
        <f>'Action POLLEC 1'!$D96</f>
        <v>0</v>
      </c>
    </row>
    <row r="2186" spans="1:6">
      <c r="A2186" t="s">
        <v>2830</v>
      </c>
      <c r="B2186" t="s">
        <v>2944</v>
      </c>
      <c r="C2186" t="s">
        <v>2866</v>
      </c>
      <c r="F2186" s="898">
        <f>'Action POLLEC 1'!$E$77</f>
        <v>0</v>
      </c>
    </row>
    <row r="2187" spans="1:6">
      <c r="A2187" t="s">
        <v>2830</v>
      </c>
      <c r="B2187" t="s">
        <v>2944</v>
      </c>
      <c r="C2187" t="s">
        <v>2867</v>
      </c>
      <c r="F2187" s="898">
        <f>'Action POLLEC 1'!$E$78</f>
        <v>0</v>
      </c>
    </row>
    <row r="2188" spans="1:6">
      <c r="A2188" t="s">
        <v>2830</v>
      </c>
      <c r="B2188" t="s">
        <v>2944</v>
      </c>
      <c r="C2188" t="s">
        <v>2868</v>
      </c>
      <c r="F2188" s="898">
        <f>'Action POLLEC 1'!$E$79</f>
        <v>0</v>
      </c>
    </row>
    <row r="2189" spans="1:6">
      <c r="A2189" t="s">
        <v>2830</v>
      </c>
      <c r="B2189" t="s">
        <v>2944</v>
      </c>
      <c r="C2189" t="s">
        <v>2869</v>
      </c>
      <c r="F2189" s="898">
        <f>'Action POLLEC 1'!$E$80</f>
        <v>0</v>
      </c>
    </row>
    <row r="2190" spans="1:6">
      <c r="A2190" t="s">
        <v>2830</v>
      </c>
      <c r="B2190" t="s">
        <v>2944</v>
      </c>
      <c r="C2190" t="s">
        <v>2870</v>
      </c>
      <c r="F2190" s="898">
        <f>'Action POLLEC 1'!$E$81</f>
        <v>0</v>
      </c>
    </row>
    <row r="2191" spans="1:6">
      <c r="A2191" t="s">
        <v>2830</v>
      </c>
      <c r="B2191" t="s">
        <v>2944</v>
      </c>
      <c r="C2191" t="s">
        <v>2871</v>
      </c>
      <c r="F2191" s="898">
        <f>'Action POLLEC 1'!$E$82</f>
        <v>0</v>
      </c>
    </row>
    <row r="2192" spans="1:6">
      <c r="A2192" t="s">
        <v>2830</v>
      </c>
      <c r="B2192" t="s">
        <v>2944</v>
      </c>
      <c r="C2192" t="s">
        <v>2872</v>
      </c>
      <c r="F2192" s="898">
        <f>'Action POLLEC 1'!$E$83</f>
        <v>0</v>
      </c>
    </row>
    <row r="2193" spans="1:6">
      <c r="A2193" t="s">
        <v>2830</v>
      </c>
      <c r="B2193" t="s">
        <v>2944</v>
      </c>
      <c r="C2193" t="s">
        <v>2873</v>
      </c>
      <c r="F2193" s="898">
        <f>'Action POLLEC 1'!$E$84</f>
        <v>0</v>
      </c>
    </row>
    <row r="2194" spans="1:6">
      <c r="A2194" t="s">
        <v>2830</v>
      </c>
      <c r="B2194" t="s">
        <v>2944</v>
      </c>
      <c r="C2194" t="s">
        <v>2912</v>
      </c>
      <c r="F2194" s="898">
        <f>'Action POLLEC 1'!$E$85</f>
        <v>0</v>
      </c>
    </row>
    <row r="2195" spans="1:6">
      <c r="A2195" t="s">
        <v>2830</v>
      </c>
      <c r="B2195" t="s">
        <v>2944</v>
      </c>
      <c r="C2195" t="s">
        <v>2913</v>
      </c>
      <c r="F2195" s="898">
        <f>'Action POLLEC 1'!$E86</f>
        <v>0</v>
      </c>
    </row>
    <row r="2196" spans="1:6">
      <c r="A2196" t="s">
        <v>2830</v>
      </c>
      <c r="B2196" t="s">
        <v>2944</v>
      </c>
      <c r="C2196" t="s">
        <v>3014</v>
      </c>
      <c r="F2196" s="898">
        <f>'Action POLLEC 1'!$E87</f>
        <v>0</v>
      </c>
    </row>
    <row r="2197" spans="1:6">
      <c r="A2197" t="s">
        <v>2830</v>
      </c>
      <c r="B2197" t="s">
        <v>2944</v>
      </c>
      <c r="C2197" t="s">
        <v>3015</v>
      </c>
      <c r="F2197" s="898">
        <f>'Action POLLEC 1'!$E88</f>
        <v>0</v>
      </c>
    </row>
    <row r="2198" spans="1:6">
      <c r="A2198" t="s">
        <v>2830</v>
      </c>
      <c r="B2198" t="s">
        <v>2944</v>
      </c>
      <c r="C2198" t="s">
        <v>3016</v>
      </c>
      <c r="F2198" s="898">
        <f>'Action POLLEC 1'!$E89</f>
        <v>0</v>
      </c>
    </row>
    <row r="2199" spans="1:6">
      <c r="A2199" t="s">
        <v>2830</v>
      </c>
      <c r="B2199" t="s">
        <v>2944</v>
      </c>
      <c r="C2199" t="s">
        <v>3017</v>
      </c>
      <c r="F2199" s="898">
        <f>'Action POLLEC 1'!$E90</f>
        <v>0</v>
      </c>
    </row>
    <row r="2200" spans="1:6">
      <c r="A2200" t="s">
        <v>2830</v>
      </c>
      <c r="B2200" t="s">
        <v>2944</v>
      </c>
      <c r="C2200" t="s">
        <v>3018</v>
      </c>
      <c r="F2200" s="898">
        <f>'Action POLLEC 1'!$E91</f>
        <v>0</v>
      </c>
    </row>
    <row r="2201" spans="1:6">
      <c r="A2201" t="s">
        <v>2830</v>
      </c>
      <c r="B2201" t="s">
        <v>2944</v>
      </c>
      <c r="C2201" t="s">
        <v>3056</v>
      </c>
      <c r="F2201" s="898">
        <f>'Action POLLEC 1'!$E92</f>
        <v>0</v>
      </c>
    </row>
    <row r="2202" spans="1:6">
      <c r="A2202" t="s">
        <v>2830</v>
      </c>
      <c r="B2202" t="s">
        <v>2944</v>
      </c>
      <c r="C2202" t="s">
        <v>3057</v>
      </c>
      <c r="F2202" s="898">
        <f>'Action POLLEC 1'!$E93</f>
        <v>0</v>
      </c>
    </row>
    <row r="2203" spans="1:6">
      <c r="A2203" t="s">
        <v>2830</v>
      </c>
      <c r="B2203" t="s">
        <v>2944</v>
      </c>
      <c r="C2203" t="s">
        <v>3058</v>
      </c>
      <c r="F2203" s="898">
        <f>'Action POLLEC 1'!$E94</f>
        <v>0</v>
      </c>
    </row>
    <row r="2204" spans="1:6">
      <c r="A2204" t="s">
        <v>2830</v>
      </c>
      <c r="B2204" t="s">
        <v>2944</v>
      </c>
      <c r="C2204" t="s">
        <v>3059</v>
      </c>
      <c r="F2204" s="898">
        <f>'Action POLLEC 1'!$E95</f>
        <v>0</v>
      </c>
    </row>
    <row r="2205" spans="1:6">
      <c r="A2205" t="s">
        <v>2830</v>
      </c>
      <c r="B2205" t="s">
        <v>2944</v>
      </c>
      <c r="C2205" t="s">
        <v>3060</v>
      </c>
      <c r="F2205" s="898">
        <f>'Action POLLEC 1'!$E96</f>
        <v>0</v>
      </c>
    </row>
    <row r="2206" spans="1:6">
      <c r="A2206" t="s">
        <v>2830</v>
      </c>
      <c r="B2206" t="s">
        <v>2944</v>
      </c>
      <c r="C2206" t="s">
        <v>2914</v>
      </c>
      <c r="F2206" s="898">
        <f>'Action POLLEC 1'!$F$77</f>
        <v>0</v>
      </c>
    </row>
    <row r="2207" spans="1:6">
      <c r="A2207" t="s">
        <v>2830</v>
      </c>
      <c r="B2207" t="s">
        <v>2944</v>
      </c>
      <c r="C2207" t="s">
        <v>2915</v>
      </c>
      <c r="F2207" s="898">
        <f>'Action POLLEC 1'!$F$78</f>
        <v>0</v>
      </c>
    </row>
    <row r="2208" spans="1:6">
      <c r="A2208" t="s">
        <v>2830</v>
      </c>
      <c r="B2208" t="s">
        <v>2944</v>
      </c>
      <c r="C2208" t="s">
        <v>2916</v>
      </c>
      <c r="F2208" s="898">
        <f>'Action POLLEC 1'!$F$79</f>
        <v>0</v>
      </c>
    </row>
    <row r="2209" spans="1:6">
      <c r="A2209" t="s">
        <v>2830</v>
      </c>
      <c r="B2209" t="s">
        <v>2944</v>
      </c>
      <c r="C2209" t="s">
        <v>2917</v>
      </c>
      <c r="F2209" s="898">
        <f>'Action POLLEC 1'!$F$80</f>
        <v>0</v>
      </c>
    </row>
    <row r="2210" spans="1:6">
      <c r="A2210" t="s">
        <v>2830</v>
      </c>
      <c r="B2210" t="s">
        <v>2944</v>
      </c>
      <c r="C2210" t="s">
        <v>2918</v>
      </c>
      <c r="F2210" s="898">
        <f>'Action POLLEC 1'!$F$81</f>
        <v>0</v>
      </c>
    </row>
    <row r="2211" spans="1:6">
      <c r="A2211" t="s">
        <v>2830</v>
      </c>
      <c r="B2211" t="s">
        <v>2944</v>
      </c>
      <c r="C2211" t="s">
        <v>2919</v>
      </c>
      <c r="F2211" s="898">
        <f>'Action POLLEC 1'!$F$82</f>
        <v>0</v>
      </c>
    </row>
    <row r="2212" spans="1:6">
      <c r="A2212" t="s">
        <v>2830</v>
      </c>
      <c r="B2212" t="s">
        <v>2944</v>
      </c>
      <c r="C2212" t="s">
        <v>2920</v>
      </c>
      <c r="F2212" s="898">
        <f>'Action POLLEC 1'!$F$83</f>
        <v>0</v>
      </c>
    </row>
    <row r="2213" spans="1:6">
      <c r="A2213" t="s">
        <v>2830</v>
      </c>
      <c r="B2213" t="s">
        <v>2944</v>
      </c>
      <c r="C2213" t="s">
        <v>2921</v>
      </c>
      <c r="F2213" s="898">
        <f>'Action POLLEC 1'!$F$84</f>
        <v>0</v>
      </c>
    </row>
    <row r="2214" spans="1:6">
      <c r="A2214" t="s">
        <v>2830</v>
      </c>
      <c r="B2214" t="s">
        <v>2944</v>
      </c>
      <c r="C2214" t="s">
        <v>2922</v>
      </c>
      <c r="F2214" s="898">
        <f>'Action POLLEC 1'!$F$85</f>
        <v>0</v>
      </c>
    </row>
    <row r="2215" spans="1:6">
      <c r="A2215" t="s">
        <v>2830</v>
      </c>
      <c r="B2215" t="s">
        <v>2944</v>
      </c>
      <c r="C2215" t="s">
        <v>2923</v>
      </c>
      <c r="F2215" s="898">
        <f>'Action POLLEC 1'!$F86</f>
        <v>0</v>
      </c>
    </row>
    <row r="2216" spans="1:6">
      <c r="A2216" t="s">
        <v>2830</v>
      </c>
      <c r="B2216" t="s">
        <v>2944</v>
      </c>
      <c r="C2216" t="s">
        <v>3061</v>
      </c>
      <c r="F2216" s="898">
        <f>'Action POLLEC 1'!$F87</f>
        <v>0</v>
      </c>
    </row>
    <row r="2217" spans="1:6">
      <c r="A2217" t="s">
        <v>2830</v>
      </c>
      <c r="B2217" t="s">
        <v>2944</v>
      </c>
      <c r="C2217" t="s">
        <v>3062</v>
      </c>
      <c r="F2217" s="898">
        <f>'Action POLLEC 1'!$F88</f>
        <v>0</v>
      </c>
    </row>
    <row r="2218" spans="1:6">
      <c r="A2218" t="s">
        <v>2830</v>
      </c>
      <c r="B2218" t="s">
        <v>2944</v>
      </c>
      <c r="C2218" t="s">
        <v>3063</v>
      </c>
      <c r="F2218" s="898">
        <f>'Action POLLEC 1'!$F89</f>
        <v>0</v>
      </c>
    </row>
    <row r="2219" spans="1:6">
      <c r="A2219" t="s">
        <v>2830</v>
      </c>
      <c r="B2219" t="s">
        <v>2944</v>
      </c>
      <c r="C2219" t="s">
        <v>3064</v>
      </c>
      <c r="F2219" s="898">
        <f>'Action POLLEC 1'!$F90</f>
        <v>0</v>
      </c>
    </row>
    <row r="2220" spans="1:6">
      <c r="A2220" t="s">
        <v>2830</v>
      </c>
      <c r="B2220" t="s">
        <v>2944</v>
      </c>
      <c r="C2220" t="s">
        <v>3065</v>
      </c>
      <c r="F2220" s="898">
        <f>'Action POLLEC 1'!$F91</f>
        <v>0</v>
      </c>
    </row>
    <row r="2221" spans="1:6">
      <c r="A2221" t="s">
        <v>2830</v>
      </c>
      <c r="B2221" t="s">
        <v>2944</v>
      </c>
      <c r="C2221" t="s">
        <v>3066</v>
      </c>
      <c r="F2221" s="898">
        <f>'Action POLLEC 1'!$F92</f>
        <v>0</v>
      </c>
    </row>
    <row r="2222" spans="1:6">
      <c r="A2222" t="s">
        <v>2830</v>
      </c>
      <c r="B2222" t="s">
        <v>2944</v>
      </c>
      <c r="C2222" t="s">
        <v>3067</v>
      </c>
      <c r="F2222" s="898">
        <f>'Action POLLEC 1'!$F93</f>
        <v>0</v>
      </c>
    </row>
    <row r="2223" spans="1:6">
      <c r="A2223" t="s">
        <v>2830</v>
      </c>
      <c r="B2223" t="s">
        <v>2944</v>
      </c>
      <c r="C2223" t="s">
        <v>3068</v>
      </c>
      <c r="F2223" s="898">
        <f>'Action POLLEC 1'!$F94</f>
        <v>0</v>
      </c>
    </row>
    <row r="2224" spans="1:6">
      <c r="A2224" t="s">
        <v>2830</v>
      </c>
      <c r="B2224" t="s">
        <v>2944</v>
      </c>
      <c r="C2224" t="s">
        <v>3069</v>
      </c>
      <c r="F2224" s="898">
        <f>'Action POLLEC 1'!$F95</f>
        <v>0</v>
      </c>
    </row>
    <row r="2225" spans="1:6">
      <c r="A2225" t="s">
        <v>2830</v>
      </c>
      <c r="B2225" t="s">
        <v>2944</v>
      </c>
      <c r="C2225" t="s">
        <v>3070</v>
      </c>
      <c r="F2225" s="898">
        <f>'Action POLLEC 1'!$F96</f>
        <v>0</v>
      </c>
    </row>
    <row r="2226" spans="1:6">
      <c r="A2226" t="s">
        <v>2830</v>
      </c>
      <c r="B2226" t="s">
        <v>2944</v>
      </c>
      <c r="C2226" t="s">
        <v>2924</v>
      </c>
      <c r="F2226" s="898">
        <f>'Action POLLEC 1'!$G$77</f>
        <v>0</v>
      </c>
    </row>
    <row r="2227" spans="1:6">
      <c r="A2227" t="s">
        <v>2830</v>
      </c>
      <c r="B2227" t="s">
        <v>2944</v>
      </c>
      <c r="C2227" t="s">
        <v>2925</v>
      </c>
      <c r="F2227" s="898">
        <f>'Action POLLEC 1'!$G$78</f>
        <v>0</v>
      </c>
    </row>
    <row r="2228" spans="1:6">
      <c r="A2228" t="s">
        <v>2830</v>
      </c>
      <c r="B2228" t="s">
        <v>2944</v>
      </c>
      <c r="C2228" t="s">
        <v>2926</v>
      </c>
      <c r="F2228" s="898">
        <f>'Action POLLEC 1'!$G$79</f>
        <v>0</v>
      </c>
    </row>
    <row r="2229" spans="1:6">
      <c r="A2229" t="s">
        <v>2830</v>
      </c>
      <c r="B2229" t="s">
        <v>2944</v>
      </c>
      <c r="C2229" t="s">
        <v>2927</v>
      </c>
      <c r="F2229" s="898">
        <f>'Action POLLEC 1'!$G$80</f>
        <v>0</v>
      </c>
    </row>
    <row r="2230" spans="1:6">
      <c r="A2230" t="s">
        <v>2830</v>
      </c>
      <c r="B2230" t="s">
        <v>2944</v>
      </c>
      <c r="C2230" t="s">
        <v>2928</v>
      </c>
      <c r="F2230" s="898">
        <f>'Action POLLEC 1'!$G$81</f>
        <v>0</v>
      </c>
    </row>
    <row r="2231" spans="1:6">
      <c r="A2231" t="s">
        <v>2830</v>
      </c>
      <c r="B2231" t="s">
        <v>2944</v>
      </c>
      <c r="C2231" t="s">
        <v>2929</v>
      </c>
      <c r="F2231" s="898">
        <f>'Action POLLEC 1'!$G$82</f>
        <v>0</v>
      </c>
    </row>
    <row r="2232" spans="1:6">
      <c r="A2232" t="s">
        <v>2830</v>
      </c>
      <c r="B2232" t="s">
        <v>2944</v>
      </c>
      <c r="C2232" t="s">
        <v>2930</v>
      </c>
      <c r="F2232" s="898">
        <f>'Action POLLEC 1'!$G$83</f>
        <v>0</v>
      </c>
    </row>
    <row r="2233" spans="1:6">
      <c r="A2233" t="s">
        <v>2830</v>
      </c>
      <c r="B2233" t="s">
        <v>2944</v>
      </c>
      <c r="C2233" t="s">
        <v>2931</v>
      </c>
      <c r="F2233" s="898">
        <f>'Action POLLEC 1'!$G$84</f>
        <v>0</v>
      </c>
    </row>
    <row r="2234" spans="1:6">
      <c r="A2234" t="s">
        <v>2830</v>
      </c>
      <c r="B2234" t="s">
        <v>2944</v>
      </c>
      <c r="C2234" t="s">
        <v>2932</v>
      </c>
      <c r="F2234" s="898">
        <f>'Action POLLEC 1'!$G$85</f>
        <v>0</v>
      </c>
    </row>
    <row r="2235" spans="1:6">
      <c r="A2235" t="s">
        <v>2830</v>
      </c>
      <c r="B2235" t="s">
        <v>2944</v>
      </c>
      <c r="C2235" t="s">
        <v>2933</v>
      </c>
      <c r="F2235" s="898">
        <f>'Action POLLEC 1'!$G86</f>
        <v>0</v>
      </c>
    </row>
    <row r="2236" spans="1:6">
      <c r="A2236" t="s">
        <v>2830</v>
      </c>
      <c r="B2236" t="s">
        <v>2944</v>
      </c>
      <c r="C2236" t="s">
        <v>3071</v>
      </c>
      <c r="F2236" s="898">
        <f>'Action POLLEC 1'!$G87</f>
        <v>0</v>
      </c>
    </row>
    <row r="2237" spans="1:6">
      <c r="A2237" t="s">
        <v>2830</v>
      </c>
      <c r="B2237" t="s">
        <v>2944</v>
      </c>
      <c r="C2237" t="s">
        <v>3072</v>
      </c>
      <c r="F2237" s="898">
        <f>'Action POLLEC 1'!$G88</f>
        <v>0</v>
      </c>
    </row>
    <row r="2238" spans="1:6">
      <c r="A2238" t="s">
        <v>2830</v>
      </c>
      <c r="B2238" t="s">
        <v>2944</v>
      </c>
      <c r="C2238" t="s">
        <v>3073</v>
      </c>
      <c r="F2238" s="898">
        <f>'Action POLLEC 1'!$G89</f>
        <v>0</v>
      </c>
    </row>
    <row r="2239" spans="1:6">
      <c r="A2239" t="s">
        <v>2830</v>
      </c>
      <c r="B2239" t="s">
        <v>2944</v>
      </c>
      <c r="C2239" t="s">
        <v>3074</v>
      </c>
      <c r="F2239" s="898">
        <f>'Action POLLEC 1'!$G90</f>
        <v>0</v>
      </c>
    </row>
    <row r="2240" spans="1:6">
      <c r="A2240" t="s">
        <v>2830</v>
      </c>
      <c r="B2240" t="s">
        <v>2944</v>
      </c>
      <c r="C2240" t="s">
        <v>3075</v>
      </c>
      <c r="F2240" s="898">
        <f>'Action POLLEC 1'!$G91</f>
        <v>0</v>
      </c>
    </row>
    <row r="2241" spans="1:6">
      <c r="A2241" t="s">
        <v>2830</v>
      </c>
      <c r="B2241" t="s">
        <v>2944</v>
      </c>
      <c r="C2241" t="s">
        <v>3076</v>
      </c>
      <c r="F2241" s="898">
        <f>'Action POLLEC 1'!$G92</f>
        <v>0</v>
      </c>
    </row>
    <row r="2242" spans="1:6">
      <c r="A2242" t="s">
        <v>2830</v>
      </c>
      <c r="B2242" t="s">
        <v>2944</v>
      </c>
      <c r="C2242" t="s">
        <v>3077</v>
      </c>
      <c r="F2242" s="898">
        <f>'Action POLLEC 1'!$G93</f>
        <v>0</v>
      </c>
    </row>
    <row r="2243" spans="1:6">
      <c r="A2243" t="s">
        <v>2830</v>
      </c>
      <c r="B2243" t="s">
        <v>2944</v>
      </c>
      <c r="C2243" t="s">
        <v>3078</v>
      </c>
      <c r="F2243" s="898">
        <f>'Action POLLEC 1'!$G94</f>
        <v>0</v>
      </c>
    </row>
    <row r="2244" spans="1:6">
      <c r="A2244" t="s">
        <v>2830</v>
      </c>
      <c r="B2244" t="s">
        <v>2944</v>
      </c>
      <c r="C2244" t="s">
        <v>3079</v>
      </c>
      <c r="F2244" s="898">
        <f>'Action POLLEC 1'!$G95</f>
        <v>0</v>
      </c>
    </row>
    <row r="2245" spans="1:6">
      <c r="A2245" t="s">
        <v>2830</v>
      </c>
      <c r="B2245" t="s">
        <v>2944</v>
      </c>
      <c r="C2245" t="s">
        <v>3080</v>
      </c>
      <c r="F2245" s="898">
        <f>'Action POLLEC 1'!$G96</f>
        <v>0</v>
      </c>
    </row>
    <row r="2246" spans="1:6">
      <c r="A2246" t="s">
        <v>2830</v>
      </c>
      <c r="B2246" t="s">
        <v>2944</v>
      </c>
      <c r="C2246" t="s">
        <v>2934</v>
      </c>
      <c r="F2246" s="898">
        <f>'Action POLLEC 1'!$H$77</f>
        <v>0</v>
      </c>
    </row>
    <row r="2247" spans="1:6">
      <c r="A2247" t="s">
        <v>2830</v>
      </c>
      <c r="B2247" t="s">
        <v>2944</v>
      </c>
      <c r="C2247" t="s">
        <v>2935</v>
      </c>
      <c r="F2247" s="898">
        <f>'Action POLLEC 1'!$H$78</f>
        <v>0</v>
      </c>
    </row>
    <row r="2248" spans="1:6">
      <c r="A2248" t="s">
        <v>2830</v>
      </c>
      <c r="B2248" t="s">
        <v>2944</v>
      </c>
      <c r="C2248" t="s">
        <v>2936</v>
      </c>
      <c r="F2248" s="898">
        <f>'Action POLLEC 1'!$H$79</f>
        <v>0</v>
      </c>
    </row>
    <row r="2249" spans="1:6">
      <c r="A2249" t="s">
        <v>2830</v>
      </c>
      <c r="B2249" t="s">
        <v>2944</v>
      </c>
      <c r="C2249" t="s">
        <v>2937</v>
      </c>
      <c r="F2249" s="898">
        <f>'Action POLLEC 1'!$H$80</f>
        <v>0</v>
      </c>
    </row>
    <row r="2250" spans="1:6">
      <c r="A2250" t="s">
        <v>2830</v>
      </c>
      <c r="B2250" t="s">
        <v>2944</v>
      </c>
      <c r="C2250" t="s">
        <v>2938</v>
      </c>
      <c r="F2250" s="898">
        <f>'Action POLLEC 1'!$H$81</f>
        <v>0</v>
      </c>
    </row>
    <row r="2251" spans="1:6">
      <c r="A2251" t="s">
        <v>2830</v>
      </c>
      <c r="B2251" t="s">
        <v>2944</v>
      </c>
      <c r="C2251" t="s">
        <v>2939</v>
      </c>
      <c r="F2251" s="898">
        <f>'Action POLLEC 1'!$H$82</f>
        <v>0</v>
      </c>
    </row>
    <row r="2252" spans="1:6">
      <c r="A2252" t="s">
        <v>2830</v>
      </c>
      <c r="B2252" t="s">
        <v>2944</v>
      </c>
      <c r="C2252" t="s">
        <v>2940</v>
      </c>
      <c r="F2252" s="898">
        <f>'Action POLLEC 1'!$H$83</f>
        <v>0</v>
      </c>
    </row>
    <row r="2253" spans="1:6">
      <c r="A2253" t="s">
        <v>2830</v>
      </c>
      <c r="B2253" t="s">
        <v>2944</v>
      </c>
      <c r="C2253" t="s">
        <v>2941</v>
      </c>
      <c r="F2253" s="898">
        <f>'Action POLLEC 1'!$H$84</f>
        <v>0</v>
      </c>
    </row>
    <row r="2254" spans="1:6">
      <c r="A2254" t="s">
        <v>2830</v>
      </c>
      <c r="B2254" t="s">
        <v>2944</v>
      </c>
      <c r="C2254" t="s">
        <v>2942</v>
      </c>
      <c r="F2254" s="898">
        <f>'Action POLLEC 1'!$H$85</f>
        <v>0</v>
      </c>
    </row>
    <row r="2255" spans="1:6">
      <c r="A2255" t="s">
        <v>2830</v>
      </c>
      <c r="B2255" t="s">
        <v>2944</v>
      </c>
      <c r="C2255" t="s">
        <v>2943</v>
      </c>
      <c r="F2255" s="898">
        <f>'Action POLLEC 1'!$H86</f>
        <v>0</v>
      </c>
    </row>
    <row r="2256" spans="1:6">
      <c r="A2256" t="s">
        <v>2830</v>
      </c>
      <c r="B2256" t="s">
        <v>2944</v>
      </c>
      <c r="C2256" t="s">
        <v>3081</v>
      </c>
      <c r="F2256" s="898">
        <f>'Action POLLEC 1'!$H87</f>
        <v>0</v>
      </c>
    </row>
    <row r="2257" spans="1:6">
      <c r="A2257" t="s">
        <v>2830</v>
      </c>
      <c r="B2257" t="s">
        <v>2944</v>
      </c>
      <c r="C2257" t="s">
        <v>3082</v>
      </c>
      <c r="F2257" s="898">
        <f>'Action POLLEC 1'!$H88</f>
        <v>0</v>
      </c>
    </row>
    <row r="2258" spans="1:6">
      <c r="A2258" t="s">
        <v>2830</v>
      </c>
      <c r="B2258" t="s">
        <v>2944</v>
      </c>
      <c r="C2258" t="s">
        <v>3083</v>
      </c>
      <c r="F2258" s="898">
        <f>'Action POLLEC 1'!$H89</f>
        <v>0</v>
      </c>
    </row>
    <row r="2259" spans="1:6">
      <c r="A2259" t="s">
        <v>2830</v>
      </c>
      <c r="B2259" t="s">
        <v>2944</v>
      </c>
      <c r="C2259" t="s">
        <v>3084</v>
      </c>
      <c r="F2259" s="898">
        <f>'Action POLLEC 1'!$H90</f>
        <v>0</v>
      </c>
    </row>
    <row r="2260" spans="1:6">
      <c r="A2260" t="s">
        <v>2830</v>
      </c>
      <c r="B2260" t="s">
        <v>2944</v>
      </c>
      <c r="C2260" t="s">
        <v>3085</v>
      </c>
      <c r="F2260" s="898">
        <f>'Action POLLEC 1'!$H91</f>
        <v>0</v>
      </c>
    </row>
    <row r="2261" spans="1:6">
      <c r="A2261" t="s">
        <v>2830</v>
      </c>
      <c r="B2261" t="s">
        <v>2944</v>
      </c>
      <c r="C2261" t="s">
        <v>3086</v>
      </c>
      <c r="F2261" s="898">
        <f>'Action POLLEC 1'!$H92</f>
        <v>0</v>
      </c>
    </row>
    <row r="2262" spans="1:6">
      <c r="A2262" t="s">
        <v>2830</v>
      </c>
      <c r="B2262" t="s">
        <v>2944</v>
      </c>
      <c r="C2262" t="s">
        <v>3087</v>
      </c>
      <c r="F2262" s="898">
        <f>'Action POLLEC 1'!$H93</f>
        <v>0</v>
      </c>
    </row>
    <row r="2263" spans="1:6">
      <c r="A2263" t="s">
        <v>2830</v>
      </c>
      <c r="B2263" t="s">
        <v>2944</v>
      </c>
      <c r="C2263" t="s">
        <v>3088</v>
      </c>
      <c r="F2263" s="898">
        <f>'Action POLLEC 1'!$H94</f>
        <v>0</v>
      </c>
    </row>
    <row r="2264" spans="1:6">
      <c r="A2264" t="s">
        <v>2830</v>
      </c>
      <c r="B2264" t="s">
        <v>2944</v>
      </c>
      <c r="C2264" t="s">
        <v>3089</v>
      </c>
      <c r="F2264" s="898">
        <f>'Action POLLEC 1'!$H95</f>
        <v>0</v>
      </c>
    </row>
    <row r="2265" spans="1:6">
      <c r="A2265" t="s">
        <v>2830</v>
      </c>
      <c r="B2265" t="s">
        <v>2944</v>
      </c>
      <c r="C2265" t="s">
        <v>3090</v>
      </c>
      <c r="F2265" s="898">
        <f>'Action POLLEC 1'!$H96</f>
        <v>0</v>
      </c>
    </row>
    <row r="2266" spans="1:6">
      <c r="A2266" t="s">
        <v>2830</v>
      </c>
      <c r="B2266" t="s">
        <v>2945</v>
      </c>
      <c r="C2266" t="s">
        <v>2882</v>
      </c>
      <c r="F2266" s="898">
        <f>'Action POLLEC 1'!$B$101</f>
        <v>0</v>
      </c>
    </row>
    <row r="2267" spans="1:6">
      <c r="A2267" t="s">
        <v>2830</v>
      </c>
      <c r="B2267" t="s">
        <v>2945</v>
      </c>
      <c r="C2267" t="s">
        <v>2883</v>
      </c>
      <c r="F2267" s="898">
        <f>'Action POLLEC 1'!$B$102</f>
        <v>0</v>
      </c>
    </row>
    <row r="2268" spans="1:6">
      <c r="A2268" t="s">
        <v>2830</v>
      </c>
      <c r="B2268" t="s">
        <v>2945</v>
      </c>
      <c r="C2268" t="s">
        <v>2884</v>
      </c>
      <c r="F2268" s="898">
        <f>'Action POLLEC 1'!$B$103</f>
        <v>0</v>
      </c>
    </row>
    <row r="2269" spans="1:6">
      <c r="A2269" t="s">
        <v>2830</v>
      </c>
      <c r="B2269" t="s">
        <v>2945</v>
      </c>
      <c r="C2269" t="s">
        <v>2885</v>
      </c>
      <c r="F2269" s="898">
        <f>'Action POLLEC 1'!$B$104</f>
        <v>0</v>
      </c>
    </row>
    <row r="2270" spans="1:6">
      <c r="A2270" t="s">
        <v>2830</v>
      </c>
      <c r="B2270" t="s">
        <v>2945</v>
      </c>
      <c r="C2270" t="s">
        <v>2886</v>
      </c>
      <c r="F2270" s="898">
        <f>'Action POLLEC 1'!$B$105</f>
        <v>0</v>
      </c>
    </row>
    <row r="2271" spans="1:6">
      <c r="A2271" t="s">
        <v>2830</v>
      </c>
      <c r="B2271" t="s">
        <v>2945</v>
      </c>
      <c r="C2271" t="s">
        <v>2887</v>
      </c>
      <c r="F2271" s="898">
        <f>'Action POLLEC 1'!$B$106</f>
        <v>0</v>
      </c>
    </row>
    <row r="2272" spans="1:6">
      <c r="A2272" t="s">
        <v>2830</v>
      </c>
      <c r="B2272" t="s">
        <v>2945</v>
      </c>
      <c r="C2272" t="s">
        <v>2888</v>
      </c>
      <c r="F2272" s="898">
        <f>'Action POLLEC 1'!$B$107</f>
        <v>0</v>
      </c>
    </row>
    <row r="2273" spans="1:6">
      <c r="A2273" t="s">
        <v>2830</v>
      </c>
      <c r="B2273" t="s">
        <v>2945</v>
      </c>
      <c r="C2273" t="s">
        <v>2889</v>
      </c>
      <c r="F2273" s="898">
        <f>'Action POLLEC 1'!$B$108</f>
        <v>0</v>
      </c>
    </row>
    <row r="2274" spans="1:6">
      <c r="A2274" t="s">
        <v>2830</v>
      </c>
      <c r="B2274" t="s">
        <v>2945</v>
      </c>
      <c r="C2274" t="s">
        <v>2890</v>
      </c>
      <c r="F2274" s="898">
        <f>'Action POLLEC 1'!$B$109</f>
        <v>0</v>
      </c>
    </row>
    <row r="2275" spans="1:6">
      <c r="A2275" t="s">
        <v>2830</v>
      </c>
      <c r="B2275" t="s">
        <v>2945</v>
      </c>
      <c r="C2275" t="s">
        <v>2891</v>
      </c>
      <c r="F2275" s="898">
        <f>'Action POLLEC 1'!$B$110</f>
        <v>0</v>
      </c>
    </row>
    <row r="2276" spans="1:6">
      <c r="A2276" t="s">
        <v>2830</v>
      </c>
      <c r="B2276" t="s">
        <v>2945</v>
      </c>
      <c r="C2276" t="s">
        <v>2946</v>
      </c>
      <c r="F2276" s="898">
        <f>'Action POLLEC 1'!$C$101</f>
        <v>0</v>
      </c>
    </row>
    <row r="2277" spans="1:6">
      <c r="A2277" t="s">
        <v>2830</v>
      </c>
      <c r="B2277" t="s">
        <v>2945</v>
      </c>
      <c r="C2277" t="s">
        <v>2947</v>
      </c>
      <c r="F2277" s="898">
        <f>'Action POLLEC 1'!$C$102</f>
        <v>0</v>
      </c>
    </row>
    <row r="2278" spans="1:6">
      <c r="A2278" t="s">
        <v>2830</v>
      </c>
      <c r="B2278" t="s">
        <v>2945</v>
      </c>
      <c r="C2278" t="s">
        <v>2948</v>
      </c>
      <c r="F2278" s="898">
        <f>'Action POLLEC 1'!$C$103</f>
        <v>0</v>
      </c>
    </row>
    <row r="2279" spans="1:6">
      <c r="A2279" t="s">
        <v>2830</v>
      </c>
      <c r="B2279" t="s">
        <v>2945</v>
      </c>
      <c r="C2279" t="s">
        <v>2949</v>
      </c>
      <c r="F2279" s="898">
        <f>'Action POLLEC 1'!$C$104</f>
        <v>0</v>
      </c>
    </row>
    <row r="2280" spans="1:6">
      <c r="A2280" t="s">
        <v>2830</v>
      </c>
      <c r="B2280" t="s">
        <v>2945</v>
      </c>
      <c r="C2280" t="s">
        <v>2950</v>
      </c>
      <c r="F2280" s="898">
        <f>'Action POLLEC 1'!$C$105</f>
        <v>0</v>
      </c>
    </row>
    <row r="2281" spans="1:6">
      <c r="A2281" t="s">
        <v>2830</v>
      </c>
      <c r="B2281" t="s">
        <v>2945</v>
      </c>
      <c r="C2281" t="s">
        <v>2951</v>
      </c>
      <c r="F2281" s="898">
        <f>'Action POLLEC 1'!$C$106</f>
        <v>0</v>
      </c>
    </row>
    <row r="2282" spans="1:6">
      <c r="A2282" t="s">
        <v>2830</v>
      </c>
      <c r="B2282" t="s">
        <v>2945</v>
      </c>
      <c r="C2282" t="s">
        <v>2952</v>
      </c>
      <c r="F2282" s="898">
        <f>'Action POLLEC 1'!$C$107</f>
        <v>0</v>
      </c>
    </row>
    <row r="2283" spans="1:6">
      <c r="A2283" t="s">
        <v>2830</v>
      </c>
      <c r="B2283" t="s">
        <v>2945</v>
      </c>
      <c r="C2283" t="s">
        <v>2953</v>
      </c>
      <c r="F2283" s="898">
        <f>'Action POLLEC 1'!$C$108</f>
        <v>0</v>
      </c>
    </row>
    <row r="2284" spans="1:6">
      <c r="A2284" t="s">
        <v>2830</v>
      </c>
      <c r="B2284" t="s">
        <v>2945</v>
      </c>
      <c r="C2284" t="s">
        <v>2954</v>
      </c>
      <c r="F2284" s="898">
        <f>'Action POLLEC 1'!$C$109</f>
        <v>0</v>
      </c>
    </row>
    <row r="2285" spans="1:6">
      <c r="A2285" t="s">
        <v>2830</v>
      </c>
      <c r="B2285" t="s">
        <v>2945</v>
      </c>
      <c r="C2285" t="s">
        <v>2955</v>
      </c>
      <c r="F2285" s="898">
        <f>'Action POLLEC 1'!$C$110</f>
        <v>0</v>
      </c>
    </row>
    <row r="2286" spans="1:6">
      <c r="A2286" t="s">
        <v>2830</v>
      </c>
      <c r="B2286" t="s">
        <v>2945</v>
      </c>
      <c r="C2286" t="s">
        <v>2956</v>
      </c>
      <c r="F2286" s="898">
        <f>'Action POLLEC 1'!$D$101</f>
        <v>0</v>
      </c>
    </row>
    <row r="2287" spans="1:6">
      <c r="A2287" t="s">
        <v>2830</v>
      </c>
      <c r="B2287" t="s">
        <v>2945</v>
      </c>
      <c r="C2287" t="s">
        <v>2957</v>
      </c>
      <c r="F2287" s="898">
        <f>'Action POLLEC 1'!$D$102</f>
        <v>0</v>
      </c>
    </row>
    <row r="2288" spans="1:6">
      <c r="A2288" t="s">
        <v>2830</v>
      </c>
      <c r="B2288" t="s">
        <v>2945</v>
      </c>
      <c r="C2288" t="s">
        <v>2958</v>
      </c>
      <c r="F2288" s="898">
        <f>'Action POLLEC 1'!$D$103</f>
        <v>0</v>
      </c>
    </row>
    <row r="2289" spans="1:6">
      <c r="A2289" t="s">
        <v>2830</v>
      </c>
      <c r="B2289" t="s">
        <v>2945</v>
      </c>
      <c r="C2289" t="s">
        <v>2959</v>
      </c>
      <c r="F2289" s="898">
        <f>'Action POLLEC 1'!$D$104</f>
        <v>0</v>
      </c>
    </row>
    <row r="2290" spans="1:6">
      <c r="A2290" t="s">
        <v>2830</v>
      </c>
      <c r="B2290" t="s">
        <v>2945</v>
      </c>
      <c r="C2290" t="s">
        <v>2960</v>
      </c>
      <c r="F2290" s="898">
        <f>'Action POLLEC 1'!$D$105</f>
        <v>0</v>
      </c>
    </row>
    <row r="2291" spans="1:6">
      <c r="A2291" t="s">
        <v>2830</v>
      </c>
      <c r="B2291" t="s">
        <v>2945</v>
      </c>
      <c r="C2291" t="s">
        <v>2961</v>
      </c>
      <c r="F2291" s="898">
        <f>'Action POLLEC 1'!$D$106</f>
        <v>0</v>
      </c>
    </row>
    <row r="2292" spans="1:6">
      <c r="A2292" t="s">
        <v>2830</v>
      </c>
      <c r="B2292" t="s">
        <v>2945</v>
      </c>
      <c r="C2292" t="s">
        <v>2962</v>
      </c>
      <c r="F2292" s="898">
        <f>'Action POLLEC 1'!$D$107</f>
        <v>0</v>
      </c>
    </row>
    <row r="2293" spans="1:6">
      <c r="A2293" t="s">
        <v>2830</v>
      </c>
      <c r="B2293" t="s">
        <v>2945</v>
      </c>
      <c r="C2293" t="s">
        <v>2963</v>
      </c>
      <c r="F2293" s="898">
        <f>'Action POLLEC 1'!$D$108</f>
        <v>0</v>
      </c>
    </row>
    <row r="2294" spans="1:6">
      <c r="A2294" t="s">
        <v>2830</v>
      </c>
      <c r="B2294" t="s">
        <v>2945</v>
      </c>
      <c r="C2294" t="s">
        <v>2964</v>
      </c>
      <c r="F2294" s="898">
        <f>'Action POLLEC 1'!$D$109</f>
        <v>0</v>
      </c>
    </row>
    <row r="2295" spans="1:6">
      <c r="A2295" t="s">
        <v>2830</v>
      </c>
      <c r="B2295" t="s">
        <v>2945</v>
      </c>
      <c r="C2295" t="s">
        <v>2965</v>
      </c>
      <c r="F2295" s="898">
        <f>'Action POLLEC 1'!$D$110</f>
        <v>0</v>
      </c>
    </row>
    <row r="2296" spans="1:6">
      <c r="A2296" t="s">
        <v>2830</v>
      </c>
      <c r="B2296" t="s">
        <v>2945</v>
      </c>
      <c r="C2296" t="s">
        <v>2966</v>
      </c>
      <c r="F2296" s="898">
        <f>'Action POLLEC 1'!$E$101</f>
        <v>0</v>
      </c>
    </row>
    <row r="2297" spans="1:6">
      <c r="A2297" t="s">
        <v>2830</v>
      </c>
      <c r="B2297" t="s">
        <v>2945</v>
      </c>
      <c r="C2297" t="s">
        <v>2967</v>
      </c>
      <c r="F2297" s="898">
        <f>'Action POLLEC 1'!$E$102</f>
        <v>0</v>
      </c>
    </row>
    <row r="2298" spans="1:6">
      <c r="A2298" t="s">
        <v>2830</v>
      </c>
      <c r="B2298" t="s">
        <v>2945</v>
      </c>
      <c r="C2298" t="s">
        <v>2968</v>
      </c>
      <c r="F2298" s="898">
        <f>'Action POLLEC 1'!$E$103</f>
        <v>0</v>
      </c>
    </row>
    <row r="2299" spans="1:6">
      <c r="A2299" t="s">
        <v>2830</v>
      </c>
      <c r="B2299" t="s">
        <v>2945</v>
      </c>
      <c r="C2299" t="s">
        <v>2969</v>
      </c>
      <c r="F2299" s="898">
        <f>'Action POLLEC 1'!$E$104</f>
        <v>0</v>
      </c>
    </row>
    <row r="2300" spans="1:6">
      <c r="A2300" t="s">
        <v>2830</v>
      </c>
      <c r="B2300" t="s">
        <v>2945</v>
      </c>
      <c r="C2300" t="s">
        <v>2970</v>
      </c>
      <c r="F2300" s="898">
        <f>'Action POLLEC 1'!$E$105</f>
        <v>0</v>
      </c>
    </row>
    <row r="2301" spans="1:6">
      <c r="A2301" t="s">
        <v>2830</v>
      </c>
      <c r="B2301" t="s">
        <v>2945</v>
      </c>
      <c r="C2301" t="s">
        <v>2971</v>
      </c>
      <c r="F2301" s="898">
        <f>'Action POLLEC 1'!$E$106</f>
        <v>0</v>
      </c>
    </row>
    <row r="2302" spans="1:6">
      <c r="A2302" t="s">
        <v>2830</v>
      </c>
      <c r="B2302" t="s">
        <v>2945</v>
      </c>
      <c r="C2302" t="s">
        <v>2972</v>
      </c>
      <c r="F2302" s="898">
        <f>'Action POLLEC 1'!$E$107</f>
        <v>0</v>
      </c>
    </row>
    <row r="2303" spans="1:6">
      <c r="A2303" t="s">
        <v>2830</v>
      </c>
      <c r="B2303" t="s">
        <v>2945</v>
      </c>
      <c r="C2303" t="s">
        <v>2973</v>
      </c>
      <c r="F2303" s="898">
        <f>'Action POLLEC 1'!$E$108</f>
        <v>0</v>
      </c>
    </row>
    <row r="2304" spans="1:6">
      <c r="A2304" t="s">
        <v>2830</v>
      </c>
      <c r="B2304" t="s">
        <v>2945</v>
      </c>
      <c r="C2304" t="s">
        <v>2974</v>
      </c>
      <c r="F2304" s="898">
        <f>'Action POLLEC 1'!$E$109</f>
        <v>0</v>
      </c>
    </row>
    <row r="2305" spans="1:6">
      <c r="A2305" t="s">
        <v>2830</v>
      </c>
      <c r="B2305" t="s">
        <v>2945</v>
      </c>
      <c r="C2305" t="s">
        <v>2975</v>
      </c>
      <c r="F2305" s="898">
        <f>'Action POLLEC 1'!$E$110</f>
        <v>0</v>
      </c>
    </row>
    <row r="2306" spans="1:6">
      <c r="A2306" t="s">
        <v>2830</v>
      </c>
      <c r="B2306" t="s">
        <v>2945</v>
      </c>
      <c r="C2306" t="s">
        <v>2866</v>
      </c>
      <c r="F2306" s="898">
        <f>'Action POLLEC 1'!$F$101</f>
        <v>0</v>
      </c>
    </row>
    <row r="2307" spans="1:6">
      <c r="A2307" t="s">
        <v>2830</v>
      </c>
      <c r="B2307" t="s">
        <v>2945</v>
      </c>
      <c r="C2307" t="s">
        <v>2867</v>
      </c>
      <c r="F2307" s="898">
        <f>'Action POLLEC 1'!$F$102</f>
        <v>0</v>
      </c>
    </row>
    <row r="2308" spans="1:6">
      <c r="A2308" t="s">
        <v>2830</v>
      </c>
      <c r="B2308" t="s">
        <v>2945</v>
      </c>
      <c r="C2308" t="s">
        <v>2868</v>
      </c>
      <c r="F2308" s="898">
        <f>'Action POLLEC 1'!$F$103</f>
        <v>0</v>
      </c>
    </row>
    <row r="2309" spans="1:6">
      <c r="A2309" t="s">
        <v>2830</v>
      </c>
      <c r="B2309" t="s">
        <v>2945</v>
      </c>
      <c r="C2309" t="s">
        <v>2869</v>
      </c>
      <c r="F2309" s="898">
        <f>'Action POLLEC 1'!$F$104</f>
        <v>0</v>
      </c>
    </row>
    <row r="2310" spans="1:6">
      <c r="A2310" t="s">
        <v>2830</v>
      </c>
      <c r="B2310" t="s">
        <v>2945</v>
      </c>
      <c r="C2310" t="s">
        <v>2870</v>
      </c>
      <c r="F2310" s="898">
        <f>'Action POLLEC 1'!$F$105</f>
        <v>0</v>
      </c>
    </row>
    <row r="2311" spans="1:6">
      <c r="A2311" t="s">
        <v>2830</v>
      </c>
      <c r="B2311" t="s">
        <v>2945</v>
      </c>
      <c r="C2311" t="s">
        <v>2871</v>
      </c>
      <c r="F2311" s="898">
        <f>'Action POLLEC 1'!$F$106</f>
        <v>0</v>
      </c>
    </row>
    <row r="2312" spans="1:6">
      <c r="A2312" t="s">
        <v>2830</v>
      </c>
      <c r="B2312" t="s">
        <v>2945</v>
      </c>
      <c r="C2312" t="s">
        <v>2872</v>
      </c>
      <c r="F2312" s="898">
        <f>'Action POLLEC 1'!$F$107</f>
        <v>0</v>
      </c>
    </row>
    <row r="2313" spans="1:6">
      <c r="A2313" t="s">
        <v>2830</v>
      </c>
      <c r="B2313" t="s">
        <v>2945</v>
      </c>
      <c r="C2313" t="s">
        <v>2873</v>
      </c>
      <c r="F2313" s="898">
        <f>'Action POLLEC 1'!$F$108</f>
        <v>0</v>
      </c>
    </row>
    <row r="2314" spans="1:6">
      <c r="A2314" t="s">
        <v>2830</v>
      </c>
      <c r="B2314" t="s">
        <v>2945</v>
      </c>
      <c r="C2314" t="s">
        <v>2912</v>
      </c>
      <c r="F2314" s="898">
        <f>'Action POLLEC 1'!$F$109</f>
        <v>0</v>
      </c>
    </row>
    <row r="2315" spans="1:6">
      <c r="A2315" t="s">
        <v>2830</v>
      </c>
      <c r="B2315" t="s">
        <v>2945</v>
      </c>
      <c r="C2315" t="s">
        <v>2913</v>
      </c>
      <c r="F2315" s="898">
        <f>'Action POLLEC 1'!$F$110</f>
        <v>0</v>
      </c>
    </row>
    <row r="2316" spans="1:6">
      <c r="A2316" t="s">
        <v>2830</v>
      </c>
      <c r="B2316" t="s">
        <v>2945</v>
      </c>
      <c r="C2316" t="s">
        <v>2914</v>
      </c>
      <c r="F2316" s="898">
        <f>'Action POLLEC 1'!$G$101</f>
        <v>0</v>
      </c>
    </row>
    <row r="2317" spans="1:6">
      <c r="A2317" t="s">
        <v>2830</v>
      </c>
      <c r="B2317" t="s">
        <v>2945</v>
      </c>
      <c r="C2317" t="s">
        <v>2915</v>
      </c>
      <c r="F2317" s="898">
        <f>'Action POLLEC 1'!$G$102</f>
        <v>0</v>
      </c>
    </row>
    <row r="2318" spans="1:6">
      <c r="A2318" t="s">
        <v>2830</v>
      </c>
      <c r="B2318" t="s">
        <v>2945</v>
      </c>
      <c r="C2318" t="s">
        <v>2916</v>
      </c>
      <c r="F2318" s="898">
        <f>'Action POLLEC 1'!$G$103</f>
        <v>0</v>
      </c>
    </row>
    <row r="2319" spans="1:6">
      <c r="A2319" t="s">
        <v>2830</v>
      </c>
      <c r="B2319" t="s">
        <v>2945</v>
      </c>
      <c r="C2319" t="s">
        <v>2917</v>
      </c>
      <c r="F2319" s="898">
        <f>'Action POLLEC 1'!$G$104</f>
        <v>0</v>
      </c>
    </row>
    <row r="2320" spans="1:6">
      <c r="A2320" t="s">
        <v>2830</v>
      </c>
      <c r="B2320" t="s">
        <v>2945</v>
      </c>
      <c r="C2320" t="s">
        <v>2918</v>
      </c>
      <c r="F2320" s="898">
        <f>'Action POLLEC 1'!$G$105</f>
        <v>0</v>
      </c>
    </row>
    <row r="2321" spans="1:6">
      <c r="A2321" t="s">
        <v>2830</v>
      </c>
      <c r="B2321" t="s">
        <v>2945</v>
      </c>
      <c r="C2321" t="s">
        <v>2919</v>
      </c>
      <c r="F2321" s="898">
        <f>'Action POLLEC 1'!$G$106</f>
        <v>0</v>
      </c>
    </row>
    <row r="2322" spans="1:6">
      <c r="A2322" t="s">
        <v>2830</v>
      </c>
      <c r="B2322" t="s">
        <v>2945</v>
      </c>
      <c r="C2322" t="s">
        <v>2920</v>
      </c>
      <c r="F2322" s="898">
        <f>'Action POLLEC 1'!$G$107</f>
        <v>0</v>
      </c>
    </row>
    <row r="2323" spans="1:6">
      <c r="A2323" t="s">
        <v>2830</v>
      </c>
      <c r="B2323" t="s">
        <v>2945</v>
      </c>
      <c r="C2323" t="s">
        <v>2921</v>
      </c>
      <c r="F2323" s="898">
        <f>'Action POLLEC 1'!$G$108</f>
        <v>0</v>
      </c>
    </row>
    <row r="2324" spans="1:6">
      <c r="A2324" t="s">
        <v>2830</v>
      </c>
      <c r="B2324" t="s">
        <v>2945</v>
      </c>
      <c r="C2324" t="s">
        <v>2922</v>
      </c>
      <c r="F2324" s="898">
        <f>'Action POLLEC 1'!$G$109</f>
        <v>0</v>
      </c>
    </row>
    <row r="2325" spans="1:6">
      <c r="A2325" t="s">
        <v>2830</v>
      </c>
      <c r="B2325" t="s">
        <v>2945</v>
      </c>
      <c r="C2325" t="s">
        <v>2923</v>
      </c>
      <c r="F2325" s="898">
        <f>'Action POLLEC 1'!$G$110</f>
        <v>0</v>
      </c>
    </row>
    <row r="2326" spans="1:6">
      <c r="A2326" t="s">
        <v>2830</v>
      </c>
      <c r="B2326" t="s">
        <v>2945</v>
      </c>
      <c r="C2326" t="s">
        <v>2976</v>
      </c>
      <c r="F2326" s="898">
        <f>'Action POLLEC 1'!$H$101</f>
        <v>0</v>
      </c>
    </row>
    <row r="2327" spans="1:6">
      <c r="A2327" t="s">
        <v>2830</v>
      </c>
      <c r="B2327" t="s">
        <v>2945</v>
      </c>
      <c r="C2327" t="s">
        <v>2977</v>
      </c>
      <c r="F2327" s="898">
        <f>'Action POLLEC 1'!$H$102</f>
        <v>0</v>
      </c>
    </row>
    <row r="2328" spans="1:6">
      <c r="A2328" t="s">
        <v>2830</v>
      </c>
      <c r="B2328" t="s">
        <v>2945</v>
      </c>
      <c r="C2328" t="s">
        <v>2978</v>
      </c>
      <c r="F2328" s="898">
        <f>'Action POLLEC 1'!$H$103</f>
        <v>0</v>
      </c>
    </row>
    <row r="2329" spans="1:6">
      <c r="A2329" t="s">
        <v>2830</v>
      </c>
      <c r="B2329" t="s">
        <v>2945</v>
      </c>
      <c r="C2329" t="s">
        <v>2979</v>
      </c>
      <c r="F2329" s="898">
        <f>'Action POLLEC 1'!$H$104</f>
        <v>0</v>
      </c>
    </row>
    <row r="2330" spans="1:6">
      <c r="A2330" t="s">
        <v>2830</v>
      </c>
      <c r="B2330" t="s">
        <v>2945</v>
      </c>
      <c r="C2330" t="s">
        <v>2980</v>
      </c>
      <c r="F2330" s="898">
        <f>'Action POLLEC 1'!$H$105</f>
        <v>0</v>
      </c>
    </row>
    <row r="2331" spans="1:6">
      <c r="A2331" t="s">
        <v>2830</v>
      </c>
      <c r="B2331" t="s">
        <v>2945</v>
      </c>
      <c r="C2331" t="s">
        <v>2981</v>
      </c>
      <c r="F2331" s="898">
        <f>'Action POLLEC 1'!$H$106</f>
        <v>0</v>
      </c>
    </row>
    <row r="2332" spans="1:6">
      <c r="A2332" t="s">
        <v>2830</v>
      </c>
      <c r="B2332" t="s">
        <v>2945</v>
      </c>
      <c r="C2332" t="s">
        <v>2982</v>
      </c>
      <c r="F2332" s="898">
        <f>'Action POLLEC 1'!$H$107</f>
        <v>0</v>
      </c>
    </row>
    <row r="2333" spans="1:6">
      <c r="A2333" t="s">
        <v>2830</v>
      </c>
      <c r="B2333" t="s">
        <v>2945</v>
      </c>
      <c r="C2333" t="s">
        <v>2983</v>
      </c>
      <c r="F2333" s="898">
        <f>'Action POLLEC 1'!$H$108</f>
        <v>0</v>
      </c>
    </row>
    <row r="2334" spans="1:6">
      <c r="A2334" t="s">
        <v>2830</v>
      </c>
      <c r="B2334" t="s">
        <v>2945</v>
      </c>
      <c r="C2334" t="s">
        <v>2984</v>
      </c>
      <c r="F2334" s="898">
        <f>'Action POLLEC 1'!$H$109</f>
        <v>0</v>
      </c>
    </row>
    <row r="2335" spans="1:6">
      <c r="A2335" t="s">
        <v>2830</v>
      </c>
      <c r="B2335" t="s">
        <v>2945</v>
      </c>
      <c r="C2335" t="s">
        <v>2985</v>
      </c>
      <c r="F2335" s="898">
        <f>'Action POLLEC 1'!$H$110</f>
        <v>0</v>
      </c>
    </row>
    <row r="2336" spans="1:6">
      <c r="A2336" t="s">
        <v>2830</v>
      </c>
      <c r="B2336" t="s">
        <v>2945</v>
      </c>
      <c r="C2336" t="s">
        <v>2934</v>
      </c>
      <c r="F2336" s="898">
        <f>'Action POLLEC 1'!$I$101</f>
        <v>0</v>
      </c>
    </row>
    <row r="2337" spans="1:6">
      <c r="A2337" t="s">
        <v>2830</v>
      </c>
      <c r="B2337" t="s">
        <v>2945</v>
      </c>
      <c r="C2337" t="s">
        <v>2935</v>
      </c>
      <c r="F2337" s="898">
        <f>'Action POLLEC 1'!$I$102</f>
        <v>0</v>
      </c>
    </row>
    <row r="2338" spans="1:6">
      <c r="A2338" t="s">
        <v>2830</v>
      </c>
      <c r="B2338" t="s">
        <v>2945</v>
      </c>
      <c r="C2338" t="s">
        <v>2936</v>
      </c>
      <c r="F2338" s="898">
        <f>'Action POLLEC 1'!$I$103</f>
        <v>0</v>
      </c>
    </row>
    <row r="2339" spans="1:6">
      <c r="A2339" t="s">
        <v>2830</v>
      </c>
      <c r="B2339" t="s">
        <v>2945</v>
      </c>
      <c r="C2339" t="s">
        <v>2937</v>
      </c>
      <c r="F2339" s="898">
        <f>'Action POLLEC 1'!$I$104</f>
        <v>0</v>
      </c>
    </row>
    <row r="2340" spans="1:6">
      <c r="A2340" t="s">
        <v>2830</v>
      </c>
      <c r="B2340" t="s">
        <v>2945</v>
      </c>
      <c r="C2340" t="s">
        <v>2938</v>
      </c>
      <c r="F2340" s="898">
        <f>'Action POLLEC 1'!$I$105</f>
        <v>0</v>
      </c>
    </row>
    <row r="2341" spans="1:6">
      <c r="A2341" t="s">
        <v>2830</v>
      </c>
      <c r="B2341" t="s">
        <v>2945</v>
      </c>
      <c r="C2341" t="s">
        <v>2939</v>
      </c>
      <c r="F2341" s="898">
        <f>'Action POLLEC 1'!$I$106</f>
        <v>0</v>
      </c>
    </row>
    <row r="2342" spans="1:6">
      <c r="A2342" t="s">
        <v>2830</v>
      </c>
      <c r="B2342" t="s">
        <v>2945</v>
      </c>
      <c r="C2342" t="s">
        <v>2940</v>
      </c>
      <c r="F2342" s="898">
        <f>'Action POLLEC 1'!$I$107</f>
        <v>0</v>
      </c>
    </row>
    <row r="2343" spans="1:6">
      <c r="A2343" t="s">
        <v>2830</v>
      </c>
      <c r="B2343" t="s">
        <v>2945</v>
      </c>
      <c r="C2343" t="s">
        <v>2941</v>
      </c>
      <c r="F2343" s="898">
        <f>'Action POLLEC 1'!$I$108</f>
        <v>0</v>
      </c>
    </row>
    <row r="2344" spans="1:6">
      <c r="A2344" t="s">
        <v>2830</v>
      </c>
      <c r="B2344" t="s">
        <v>2945</v>
      </c>
      <c r="C2344" t="s">
        <v>2942</v>
      </c>
      <c r="F2344" s="898">
        <f>'Action POLLEC 1'!$I$109</f>
        <v>0</v>
      </c>
    </row>
    <row r="2345" spans="1:6">
      <c r="A2345" t="s">
        <v>2830</v>
      </c>
      <c r="B2345" t="s">
        <v>2945</v>
      </c>
      <c r="C2345" t="s">
        <v>2943</v>
      </c>
      <c r="F2345" s="898">
        <f>'Action POLLEC 1'!$I$110</f>
        <v>0</v>
      </c>
    </row>
    <row r="2346" spans="1:6" ht="19.2" customHeight="1">
      <c r="A2346" t="s">
        <v>2986</v>
      </c>
      <c r="B2346" t="s">
        <v>2831</v>
      </c>
      <c r="F2346" s="898">
        <f>'Action POLLEC 2'!$F$10</f>
        <v>0</v>
      </c>
    </row>
    <row r="2347" spans="1:6">
      <c r="A2347" t="s">
        <v>2986</v>
      </c>
      <c r="B2347" t="s">
        <v>3006</v>
      </c>
      <c r="F2347" s="898" t="str">
        <f ca="1">'Action POLLEC 2'!F6</f>
        <v/>
      </c>
    </row>
    <row r="2348" spans="1:6">
      <c r="A2348" t="s">
        <v>2986</v>
      </c>
      <c r="B2348" t="s">
        <v>725</v>
      </c>
      <c r="F2348" s="898" t="str">
        <f ca="1">'Action POLLEC 2'!B19</f>
        <v>-</v>
      </c>
    </row>
    <row r="2349" spans="1:6">
      <c r="A2349" t="s">
        <v>2986</v>
      </c>
      <c r="B2349" t="s">
        <v>325</v>
      </c>
      <c r="F2349" s="898">
        <f>'Action POLLEC 2'!$B$20</f>
        <v>0</v>
      </c>
    </row>
    <row r="2350" spans="1:6">
      <c r="A2350" t="s">
        <v>2986</v>
      </c>
      <c r="B2350" t="s">
        <v>2832</v>
      </c>
      <c r="F2350" s="898">
        <f>'Action POLLEC 2'!$B$21</f>
        <v>0</v>
      </c>
    </row>
    <row r="2351" spans="1:6">
      <c r="A2351" t="s">
        <v>2986</v>
      </c>
      <c r="B2351" t="s">
        <v>2833</v>
      </c>
      <c r="F2351" s="898" t="str">
        <f ca="1">'Action POLLEC 2'!$B$26</f>
        <v>-</v>
      </c>
    </row>
    <row r="2352" spans="1:6">
      <c r="A2352" t="s">
        <v>2986</v>
      </c>
      <c r="B2352" t="s">
        <v>2834</v>
      </c>
      <c r="F2352" s="898">
        <f>'Action POLLEC 2'!$B$27</f>
        <v>0</v>
      </c>
    </row>
    <row r="2353" spans="1:6">
      <c r="A2353" t="s">
        <v>2986</v>
      </c>
      <c r="B2353" t="s">
        <v>2835</v>
      </c>
      <c r="F2353" s="898">
        <f>'Action POLLEC 2'!$B$28</f>
        <v>0</v>
      </c>
    </row>
    <row r="2354" spans="1:6">
      <c r="A2354" t="s">
        <v>2986</v>
      </c>
      <c r="B2354" t="s">
        <v>2836</v>
      </c>
      <c r="F2354" s="898">
        <f>'Action POLLEC 2'!$B$29</f>
        <v>0</v>
      </c>
    </row>
    <row r="2355" spans="1:6">
      <c r="A2355" t="s">
        <v>2986</v>
      </c>
      <c r="B2355" t="s">
        <v>2837</v>
      </c>
      <c r="F2355" s="898">
        <f>'Action POLLEC 2'!$B$30</f>
        <v>0</v>
      </c>
    </row>
    <row r="2356" spans="1:6">
      <c r="A2356" t="s">
        <v>2986</v>
      </c>
      <c r="B2356" t="s">
        <v>2838</v>
      </c>
      <c r="F2356" s="898">
        <f>'Action POLLEC 2'!$D$26</f>
        <v>0</v>
      </c>
    </row>
    <row r="2357" spans="1:6">
      <c r="A2357" t="s">
        <v>2986</v>
      </c>
      <c r="B2357" t="s">
        <v>2839</v>
      </c>
      <c r="F2357" s="898">
        <f>'Action POLLEC 2'!$D$27</f>
        <v>0</v>
      </c>
    </row>
    <row r="2358" spans="1:6">
      <c r="A2358" t="s">
        <v>2986</v>
      </c>
      <c r="B2358" t="s">
        <v>2840</v>
      </c>
      <c r="F2358" s="898">
        <f>'Action POLLEC 2'!$D$28</f>
        <v>0</v>
      </c>
    </row>
    <row r="2359" spans="1:6">
      <c r="A2359" t="s">
        <v>2986</v>
      </c>
      <c r="B2359" t="s">
        <v>2841</v>
      </c>
      <c r="F2359" s="898">
        <f>'Action POLLEC 2'!$D$29</f>
        <v>0</v>
      </c>
    </row>
    <row r="2360" spans="1:6">
      <c r="A2360" t="s">
        <v>2986</v>
      </c>
      <c r="B2360" t="s">
        <v>2842</v>
      </c>
      <c r="F2360" s="898">
        <f>'Action POLLEC 2'!$D$30</f>
        <v>0</v>
      </c>
    </row>
    <row r="2361" spans="1:6">
      <c r="A2361" t="s">
        <v>2986</v>
      </c>
      <c r="B2361" t="s">
        <v>2843</v>
      </c>
      <c r="F2361" s="898">
        <f>'Action POLLEC 2'!$F$26</f>
        <v>0</v>
      </c>
    </row>
    <row r="2362" spans="1:6">
      <c r="A2362" t="s">
        <v>2986</v>
      </c>
      <c r="B2362" t="s">
        <v>2844</v>
      </c>
      <c r="F2362" s="898">
        <f>'Action POLLEC 2'!$F$27</f>
        <v>0</v>
      </c>
    </row>
    <row r="2363" spans="1:6">
      <c r="A2363" t="s">
        <v>2986</v>
      </c>
      <c r="B2363" t="s">
        <v>2845</v>
      </c>
      <c r="F2363" s="898">
        <f>'Action POLLEC 2'!$F$28</f>
        <v>0</v>
      </c>
    </row>
    <row r="2364" spans="1:6">
      <c r="A2364" t="s">
        <v>2986</v>
      </c>
      <c r="B2364" t="s">
        <v>2846</v>
      </c>
      <c r="F2364" s="898">
        <f>'Action POLLEC 2'!$F$29</f>
        <v>0</v>
      </c>
    </row>
    <row r="2365" spans="1:6">
      <c r="A2365" t="s">
        <v>2986</v>
      </c>
      <c r="B2365" t="s">
        <v>2847</v>
      </c>
      <c r="F2365" s="898">
        <f>'Action POLLEC 2'!$F$30</f>
        <v>0</v>
      </c>
    </row>
    <row r="2366" spans="1:6">
      <c r="A2366" t="s">
        <v>2986</v>
      </c>
      <c r="B2366" t="s">
        <v>2848</v>
      </c>
      <c r="F2366" s="898">
        <f>'Action POLLEC 2'!$B$32</f>
        <v>0</v>
      </c>
    </row>
    <row r="2367" spans="1:6">
      <c r="A2367" t="s">
        <v>2986</v>
      </c>
      <c r="B2367" t="s">
        <v>2849</v>
      </c>
      <c r="F2367" s="898">
        <f>'Action POLLEC 2'!$B$33</f>
        <v>0</v>
      </c>
    </row>
    <row r="2368" spans="1:6">
      <c r="A2368" t="s">
        <v>2986</v>
      </c>
      <c r="B2368" t="s">
        <v>2850</v>
      </c>
      <c r="F2368" s="898">
        <f>'Action POLLEC 2'!$B$53</f>
        <v>0</v>
      </c>
    </row>
    <row r="2369" spans="1:6">
      <c r="A2369" t="s">
        <v>2986</v>
      </c>
      <c r="B2369" t="s">
        <v>2851</v>
      </c>
      <c r="F2369" s="898">
        <f>'Action POLLEC 2'!$B$54</f>
        <v>0</v>
      </c>
    </row>
    <row r="2370" spans="1:6">
      <c r="A2370" t="s">
        <v>2986</v>
      </c>
      <c r="B2370" t="s">
        <v>2852</v>
      </c>
      <c r="F2370" s="898">
        <f>'Action POLLEC 2'!$B$55</f>
        <v>0</v>
      </c>
    </row>
    <row r="2371" spans="1:6">
      <c r="A2371" t="s">
        <v>2986</v>
      </c>
      <c r="B2371" t="s">
        <v>2853</v>
      </c>
      <c r="F2371" s="898">
        <f>'Action POLLEC 2'!$B$56</f>
        <v>0</v>
      </c>
    </row>
    <row r="2372" spans="1:6">
      <c r="A2372" t="s">
        <v>2986</v>
      </c>
      <c r="B2372" t="s">
        <v>2854</v>
      </c>
      <c r="F2372" s="898">
        <f>'Action POLLEC 2'!$B$57</f>
        <v>0</v>
      </c>
    </row>
    <row r="2373" spans="1:6">
      <c r="A2373" t="s">
        <v>2986</v>
      </c>
      <c r="B2373" t="s">
        <v>2855</v>
      </c>
      <c r="F2373" s="898">
        <f>'Action POLLEC 2'!$B$58</f>
        <v>0</v>
      </c>
    </row>
    <row r="2374" spans="1:6">
      <c r="A2374" t="s">
        <v>2986</v>
      </c>
      <c r="B2374" t="s">
        <v>2856</v>
      </c>
      <c r="F2374" s="898">
        <f>'Action POLLEC 2'!$B$59</f>
        <v>0</v>
      </c>
    </row>
    <row r="2375" spans="1:6">
      <c r="A2375" t="s">
        <v>2986</v>
      </c>
      <c r="B2375" t="s">
        <v>2857</v>
      </c>
      <c r="F2375" s="898">
        <f>'Action POLLEC 2'!$B60</f>
        <v>0</v>
      </c>
    </row>
    <row r="2376" spans="1:6">
      <c r="A2376" t="s">
        <v>2986</v>
      </c>
      <c r="B2376" t="s">
        <v>3007</v>
      </c>
      <c r="F2376" s="898">
        <f>'Action POLLEC 2'!$B61</f>
        <v>0</v>
      </c>
    </row>
    <row r="2377" spans="1:6">
      <c r="A2377" t="s">
        <v>2986</v>
      </c>
      <c r="B2377" t="s">
        <v>3008</v>
      </c>
      <c r="F2377" s="898">
        <f>'Action POLLEC 2'!$B62</f>
        <v>0</v>
      </c>
    </row>
    <row r="2378" spans="1:6">
      <c r="A2378" t="s">
        <v>2986</v>
      </c>
      <c r="B2378" t="s">
        <v>3009</v>
      </c>
      <c r="F2378" s="898">
        <f>'Action POLLEC 2'!$B63</f>
        <v>0</v>
      </c>
    </row>
    <row r="2379" spans="1:6">
      <c r="A2379" t="s">
        <v>2986</v>
      </c>
      <c r="B2379" t="s">
        <v>3010</v>
      </c>
      <c r="F2379" s="898">
        <f>'Action POLLEC 2'!$B64</f>
        <v>0</v>
      </c>
    </row>
    <row r="2380" spans="1:6">
      <c r="A2380" t="s">
        <v>2986</v>
      </c>
      <c r="B2380" t="s">
        <v>3011</v>
      </c>
      <c r="F2380" s="898">
        <f>'Action POLLEC 2'!$B65</f>
        <v>0</v>
      </c>
    </row>
    <row r="2381" spans="1:6">
      <c r="A2381" t="s">
        <v>2986</v>
      </c>
      <c r="B2381" t="s">
        <v>3012</v>
      </c>
      <c r="F2381" s="898">
        <f>'Action POLLEC 2'!$B66</f>
        <v>0</v>
      </c>
    </row>
    <row r="2382" spans="1:6">
      <c r="A2382" t="s">
        <v>2986</v>
      </c>
      <c r="B2382" t="s">
        <v>3013</v>
      </c>
      <c r="F2382" s="898">
        <f>'Action POLLEC 2'!$B67</f>
        <v>0</v>
      </c>
    </row>
    <row r="2383" spans="1:6">
      <c r="A2383" t="s">
        <v>2986</v>
      </c>
      <c r="B2383" t="s">
        <v>2858</v>
      </c>
      <c r="F2383" s="898">
        <f>'Action POLLEC 2'!$E$53</f>
        <v>0</v>
      </c>
    </row>
    <row r="2384" spans="1:6">
      <c r="A2384" t="s">
        <v>2986</v>
      </c>
      <c r="B2384" t="s">
        <v>2859</v>
      </c>
      <c r="F2384" s="898">
        <f>'Action POLLEC 2'!$E$54</f>
        <v>0</v>
      </c>
    </row>
    <row r="2385" spans="1:6">
      <c r="A2385" t="s">
        <v>2986</v>
      </c>
      <c r="B2385" t="s">
        <v>2860</v>
      </c>
      <c r="F2385" s="898">
        <f>'Action POLLEC 2'!$E$55</f>
        <v>0</v>
      </c>
    </row>
    <row r="2386" spans="1:6">
      <c r="A2386" t="s">
        <v>2986</v>
      </c>
      <c r="B2386" t="s">
        <v>2861</v>
      </c>
      <c r="F2386" s="898">
        <f>'Action POLLEC 2'!$E$56</f>
        <v>0</v>
      </c>
    </row>
    <row r="2387" spans="1:6">
      <c r="A2387" t="s">
        <v>2986</v>
      </c>
      <c r="B2387" t="s">
        <v>2862</v>
      </c>
      <c r="F2387" s="898">
        <f>'Action POLLEC 2'!$E$57</f>
        <v>0</v>
      </c>
    </row>
    <row r="2388" spans="1:6">
      <c r="A2388" t="s">
        <v>2986</v>
      </c>
      <c r="B2388" t="s">
        <v>2863</v>
      </c>
      <c r="F2388" s="898">
        <f>'Action POLLEC 2'!$E$58</f>
        <v>0</v>
      </c>
    </row>
    <row r="2389" spans="1:6">
      <c r="A2389" t="s">
        <v>2986</v>
      </c>
      <c r="B2389" t="s">
        <v>2864</v>
      </c>
      <c r="F2389" s="898">
        <f>'Action POLLEC 2'!$E$59</f>
        <v>0</v>
      </c>
    </row>
    <row r="2390" spans="1:6">
      <c r="A2390" t="s">
        <v>2986</v>
      </c>
      <c r="B2390" t="s">
        <v>2865</v>
      </c>
      <c r="F2390" s="898">
        <f>'Action POLLEC 2'!$E60</f>
        <v>0</v>
      </c>
    </row>
    <row r="2391" spans="1:6">
      <c r="A2391" t="s">
        <v>2986</v>
      </c>
      <c r="B2391" t="s">
        <v>3091</v>
      </c>
      <c r="F2391" s="898">
        <f>'Action POLLEC 2'!$E61</f>
        <v>0</v>
      </c>
    </row>
    <row r="2392" spans="1:6">
      <c r="A2392" t="s">
        <v>2986</v>
      </c>
      <c r="B2392" t="s">
        <v>3092</v>
      </c>
      <c r="F2392" s="898">
        <f>'Action POLLEC 2'!$E62</f>
        <v>0</v>
      </c>
    </row>
    <row r="2393" spans="1:6">
      <c r="A2393" t="s">
        <v>2986</v>
      </c>
      <c r="B2393" t="s">
        <v>3093</v>
      </c>
      <c r="F2393" s="898">
        <f>'Action POLLEC 2'!$E63</f>
        <v>0</v>
      </c>
    </row>
    <row r="2394" spans="1:6">
      <c r="A2394" t="s">
        <v>2986</v>
      </c>
      <c r="B2394" t="s">
        <v>3094</v>
      </c>
      <c r="F2394" s="898">
        <f>'Action POLLEC 2'!$E64</f>
        <v>0</v>
      </c>
    </row>
    <row r="2395" spans="1:6">
      <c r="A2395" t="s">
        <v>2986</v>
      </c>
      <c r="B2395" t="s">
        <v>3095</v>
      </c>
      <c r="F2395" s="898">
        <f>'Action POLLEC 2'!$E65</f>
        <v>0</v>
      </c>
    </row>
    <row r="2396" spans="1:6">
      <c r="A2396" t="s">
        <v>2986</v>
      </c>
      <c r="B2396" t="s">
        <v>3096</v>
      </c>
      <c r="F2396" s="898">
        <f>'Action POLLEC 2'!$E66</f>
        <v>0</v>
      </c>
    </row>
    <row r="2397" spans="1:6">
      <c r="A2397" t="s">
        <v>2986</v>
      </c>
      <c r="B2397" t="s">
        <v>3097</v>
      </c>
      <c r="F2397" s="898">
        <f>'Action POLLEC 2'!$E67</f>
        <v>0</v>
      </c>
    </row>
    <row r="2398" spans="1:6">
      <c r="A2398" t="s">
        <v>2986</v>
      </c>
      <c r="B2398" t="s">
        <v>2866</v>
      </c>
      <c r="F2398" s="898">
        <f>'Action POLLEC 2'!$F$53</f>
        <v>0</v>
      </c>
    </row>
    <row r="2399" spans="1:6">
      <c r="A2399" t="s">
        <v>2986</v>
      </c>
      <c r="B2399" t="s">
        <v>2867</v>
      </c>
      <c r="F2399" s="898">
        <f>'Action POLLEC 2'!$F$54</f>
        <v>0</v>
      </c>
    </row>
    <row r="2400" spans="1:6">
      <c r="A2400" t="s">
        <v>2986</v>
      </c>
      <c r="B2400" t="s">
        <v>2868</v>
      </c>
      <c r="F2400" s="898">
        <f>'Action POLLEC 2'!$F$55</f>
        <v>0</v>
      </c>
    </row>
    <row r="2401" spans="1:6">
      <c r="A2401" t="s">
        <v>2986</v>
      </c>
      <c r="B2401" t="s">
        <v>2869</v>
      </c>
      <c r="F2401" s="898">
        <f>'Action POLLEC 2'!$F$56</f>
        <v>0</v>
      </c>
    </row>
    <row r="2402" spans="1:6">
      <c r="A2402" t="s">
        <v>2986</v>
      </c>
      <c r="B2402" t="s">
        <v>2870</v>
      </c>
      <c r="F2402" s="898">
        <f>'Action POLLEC 2'!$F$57</f>
        <v>0</v>
      </c>
    </row>
    <row r="2403" spans="1:6">
      <c r="A2403" t="s">
        <v>2986</v>
      </c>
      <c r="B2403" t="s">
        <v>2871</v>
      </c>
      <c r="F2403" s="898">
        <f>'Action POLLEC 2'!$F$58</f>
        <v>0</v>
      </c>
    </row>
    <row r="2404" spans="1:6">
      <c r="A2404" t="s">
        <v>2986</v>
      </c>
      <c r="B2404" t="s">
        <v>2872</v>
      </c>
      <c r="F2404" s="898">
        <f>'Action POLLEC 2'!$F$59</f>
        <v>0</v>
      </c>
    </row>
    <row r="2405" spans="1:6">
      <c r="A2405" t="s">
        <v>2986</v>
      </c>
      <c r="B2405" t="s">
        <v>2873</v>
      </c>
      <c r="F2405" s="898">
        <f>'Action POLLEC 2'!$F60</f>
        <v>0</v>
      </c>
    </row>
    <row r="2406" spans="1:6">
      <c r="A2406" t="s">
        <v>2986</v>
      </c>
      <c r="B2406" t="s">
        <v>2912</v>
      </c>
      <c r="F2406" s="898">
        <f>'Action POLLEC 2'!$F61</f>
        <v>0</v>
      </c>
    </row>
    <row r="2407" spans="1:6">
      <c r="A2407" t="s">
        <v>2986</v>
      </c>
      <c r="B2407" t="s">
        <v>2913</v>
      </c>
      <c r="F2407" s="898">
        <f>'Action POLLEC 2'!$F62</f>
        <v>0</v>
      </c>
    </row>
    <row r="2408" spans="1:6">
      <c r="A2408" t="s">
        <v>2986</v>
      </c>
      <c r="B2408" t="s">
        <v>3014</v>
      </c>
      <c r="F2408" s="898">
        <f>'Action POLLEC 2'!$F63</f>
        <v>0</v>
      </c>
    </row>
    <row r="2409" spans="1:6">
      <c r="A2409" t="s">
        <v>2986</v>
      </c>
      <c r="B2409" t="s">
        <v>3015</v>
      </c>
      <c r="F2409" s="898">
        <f>'Action POLLEC 2'!$F64</f>
        <v>0</v>
      </c>
    </row>
    <row r="2410" spans="1:6">
      <c r="A2410" t="s">
        <v>2986</v>
      </c>
      <c r="B2410" t="s">
        <v>3016</v>
      </c>
      <c r="F2410" s="898">
        <f>'Action POLLEC 2'!$F65</f>
        <v>0</v>
      </c>
    </row>
    <row r="2411" spans="1:6">
      <c r="A2411" t="s">
        <v>2986</v>
      </c>
      <c r="B2411" t="s">
        <v>3017</v>
      </c>
      <c r="F2411" s="898">
        <f>'Action POLLEC 2'!$F66</f>
        <v>0</v>
      </c>
    </row>
    <row r="2412" spans="1:6">
      <c r="A2412" t="s">
        <v>2986</v>
      </c>
      <c r="B2412" t="s">
        <v>3018</v>
      </c>
      <c r="F2412" s="898">
        <f>'Action POLLEC 2'!$F67</f>
        <v>0</v>
      </c>
    </row>
    <row r="2413" spans="1:6">
      <c r="A2413" t="s">
        <v>2986</v>
      </c>
      <c r="B2413" t="s">
        <v>2874</v>
      </c>
      <c r="F2413" s="898">
        <f>'Action POLLEC 2'!$G$53</f>
        <v>0</v>
      </c>
    </row>
    <row r="2414" spans="1:6">
      <c r="A2414" t="s">
        <v>2986</v>
      </c>
      <c r="B2414" t="s">
        <v>2875</v>
      </c>
      <c r="F2414" s="898">
        <f>'Action POLLEC 2'!$G$54</f>
        <v>0</v>
      </c>
    </row>
    <row r="2415" spans="1:6">
      <c r="A2415" t="s">
        <v>2986</v>
      </c>
      <c r="B2415" t="s">
        <v>2876</v>
      </c>
      <c r="F2415" s="898">
        <f>'Action POLLEC 2'!$G$55</f>
        <v>0</v>
      </c>
    </row>
    <row r="2416" spans="1:6">
      <c r="A2416" t="s">
        <v>2986</v>
      </c>
      <c r="B2416" t="s">
        <v>2877</v>
      </c>
      <c r="F2416" s="898">
        <f>'Action POLLEC 2'!$G$56</f>
        <v>0</v>
      </c>
    </row>
    <row r="2417" spans="1:6">
      <c r="A2417" t="s">
        <v>2986</v>
      </c>
      <c r="B2417" t="s">
        <v>2878</v>
      </c>
      <c r="F2417" s="898">
        <f>'Action POLLEC 2'!$G$57</f>
        <v>0</v>
      </c>
    </row>
    <row r="2418" spans="1:6">
      <c r="A2418" t="s">
        <v>2986</v>
      </c>
      <c r="B2418" t="s">
        <v>2879</v>
      </c>
      <c r="F2418" s="898">
        <f>'Action POLLEC 2'!$G$58</f>
        <v>0</v>
      </c>
    </row>
    <row r="2419" spans="1:6">
      <c r="A2419" t="s">
        <v>2986</v>
      </c>
      <c r="B2419" t="s">
        <v>2880</v>
      </c>
      <c r="F2419" s="898">
        <f>'Action POLLEC 2'!$G$59</f>
        <v>0</v>
      </c>
    </row>
    <row r="2420" spans="1:6">
      <c r="A2420" t="s">
        <v>2986</v>
      </c>
      <c r="B2420" t="s">
        <v>2881</v>
      </c>
      <c r="F2420" s="898">
        <f>'Action POLLEC 2'!$G60</f>
        <v>0</v>
      </c>
    </row>
    <row r="2421" spans="1:6">
      <c r="A2421" t="s">
        <v>2986</v>
      </c>
      <c r="B2421" t="s">
        <v>3019</v>
      </c>
      <c r="F2421" s="898">
        <f>'Action POLLEC 2'!$G61</f>
        <v>0</v>
      </c>
    </row>
    <row r="2422" spans="1:6">
      <c r="A2422" t="s">
        <v>2986</v>
      </c>
      <c r="B2422" t="s">
        <v>3020</v>
      </c>
      <c r="F2422" s="898">
        <f>'Action POLLEC 2'!$G62</f>
        <v>0</v>
      </c>
    </row>
    <row r="2423" spans="1:6">
      <c r="A2423" t="s">
        <v>2986</v>
      </c>
      <c r="B2423" t="s">
        <v>3021</v>
      </c>
      <c r="F2423" s="898">
        <f>'Action POLLEC 2'!$G63</f>
        <v>0</v>
      </c>
    </row>
    <row r="2424" spans="1:6">
      <c r="A2424" t="s">
        <v>2986</v>
      </c>
      <c r="B2424" t="s">
        <v>3022</v>
      </c>
      <c r="F2424" s="898">
        <f>'Action POLLEC 2'!$G64</f>
        <v>0</v>
      </c>
    </row>
    <row r="2425" spans="1:6">
      <c r="A2425" t="s">
        <v>2986</v>
      </c>
      <c r="B2425" t="s">
        <v>3023</v>
      </c>
      <c r="F2425" s="898">
        <f>'Action POLLEC 2'!$G65</f>
        <v>0</v>
      </c>
    </row>
    <row r="2426" spans="1:6">
      <c r="A2426" t="s">
        <v>2986</v>
      </c>
      <c r="B2426" t="s">
        <v>3024</v>
      </c>
      <c r="F2426" s="898">
        <f>'Action POLLEC 2'!$G66</f>
        <v>0</v>
      </c>
    </row>
    <row r="2427" spans="1:6">
      <c r="A2427" t="s">
        <v>2986</v>
      </c>
      <c r="B2427" t="s">
        <v>3025</v>
      </c>
      <c r="F2427" s="898">
        <f>'Action POLLEC 2'!$G67</f>
        <v>0</v>
      </c>
    </row>
    <row r="2428" spans="1:6">
      <c r="A2428" t="s">
        <v>2986</v>
      </c>
      <c r="B2428" t="s">
        <v>2944</v>
      </c>
      <c r="C2428" t="s">
        <v>2882</v>
      </c>
      <c r="F2428" s="898" t="str">
        <f ca="1">'Action POLLEC 2'!$B$77</f>
        <v>-</v>
      </c>
    </row>
    <row r="2429" spans="1:6">
      <c r="A2429" t="s">
        <v>2986</v>
      </c>
      <c r="B2429" t="s">
        <v>2944</v>
      </c>
      <c r="C2429" t="s">
        <v>2883</v>
      </c>
      <c r="F2429" s="898" t="str">
        <f ca="1">'Action POLLEC 2'!$B$78</f>
        <v>-</v>
      </c>
    </row>
    <row r="2430" spans="1:6">
      <c r="A2430" t="s">
        <v>2986</v>
      </c>
      <c r="B2430" t="s">
        <v>2944</v>
      </c>
      <c r="C2430" t="s">
        <v>2884</v>
      </c>
      <c r="F2430" s="898" t="str">
        <f ca="1">'Action POLLEC 2'!$B$79</f>
        <v>-</v>
      </c>
    </row>
    <row r="2431" spans="1:6">
      <c r="A2431" t="s">
        <v>2986</v>
      </c>
      <c r="B2431" t="s">
        <v>2944</v>
      </c>
      <c r="C2431" t="s">
        <v>2885</v>
      </c>
      <c r="F2431" s="898" t="str">
        <f ca="1">'Action POLLEC 2'!$B$80</f>
        <v>-</v>
      </c>
    </row>
    <row r="2432" spans="1:6">
      <c r="A2432" t="s">
        <v>2986</v>
      </c>
      <c r="B2432" t="s">
        <v>2944</v>
      </c>
      <c r="C2432" t="s">
        <v>2886</v>
      </c>
      <c r="F2432" s="898" t="str">
        <f ca="1">'Action POLLEC 2'!$B$81</f>
        <v>-</v>
      </c>
    </row>
    <row r="2433" spans="1:6">
      <c r="A2433" t="s">
        <v>2986</v>
      </c>
      <c r="B2433" t="s">
        <v>2944</v>
      </c>
      <c r="C2433" t="s">
        <v>2887</v>
      </c>
      <c r="F2433" s="898" t="str">
        <f ca="1">'Action POLLEC 2'!$B$82</f>
        <v>-</v>
      </c>
    </row>
    <row r="2434" spans="1:6">
      <c r="A2434" t="s">
        <v>2986</v>
      </c>
      <c r="B2434" t="s">
        <v>2944</v>
      </c>
      <c r="C2434" t="s">
        <v>2888</v>
      </c>
      <c r="F2434" s="898" t="str">
        <f ca="1">'Action POLLEC 2'!$B$83</f>
        <v>-</v>
      </c>
    </row>
    <row r="2435" spans="1:6">
      <c r="A2435" t="s">
        <v>2986</v>
      </c>
      <c r="B2435" t="s">
        <v>2944</v>
      </c>
      <c r="C2435" t="s">
        <v>2889</v>
      </c>
      <c r="F2435" s="898" t="str">
        <f ca="1">'Action POLLEC 2'!$B$84</f>
        <v>-</v>
      </c>
    </row>
    <row r="2436" spans="1:6">
      <c r="A2436" t="s">
        <v>2986</v>
      </c>
      <c r="B2436" t="s">
        <v>2944</v>
      </c>
      <c r="C2436" t="s">
        <v>2890</v>
      </c>
      <c r="F2436" s="898" t="str">
        <f ca="1">'Action POLLEC 2'!$B$85</f>
        <v>-</v>
      </c>
    </row>
    <row r="2437" spans="1:6">
      <c r="A2437" t="s">
        <v>2986</v>
      </c>
      <c r="B2437" t="s">
        <v>2944</v>
      </c>
      <c r="C2437" t="s">
        <v>2891</v>
      </c>
      <c r="F2437" s="898" t="str">
        <f ca="1">'Action POLLEC 2'!$B86</f>
        <v>-</v>
      </c>
    </row>
    <row r="2438" spans="1:6">
      <c r="A2438" t="s">
        <v>2986</v>
      </c>
      <c r="B2438" t="s">
        <v>2944</v>
      </c>
      <c r="C2438" t="s">
        <v>3026</v>
      </c>
      <c r="F2438" s="898">
        <f>'Action POLLEC 2'!$B87</f>
        <v>0</v>
      </c>
    </row>
    <row r="2439" spans="1:6">
      <c r="A2439" t="s">
        <v>2986</v>
      </c>
      <c r="B2439" t="s">
        <v>2944</v>
      </c>
      <c r="C2439" t="s">
        <v>3027</v>
      </c>
      <c r="F2439" s="898">
        <f>'Action POLLEC 2'!$B88</f>
        <v>0</v>
      </c>
    </row>
    <row r="2440" spans="1:6">
      <c r="A2440" t="s">
        <v>2986</v>
      </c>
      <c r="B2440" t="s">
        <v>2944</v>
      </c>
      <c r="C2440" t="s">
        <v>3028</v>
      </c>
      <c r="F2440" s="898">
        <f>'Action POLLEC 2'!$B89</f>
        <v>0</v>
      </c>
    </row>
    <row r="2441" spans="1:6">
      <c r="A2441" t="s">
        <v>2986</v>
      </c>
      <c r="B2441" t="s">
        <v>2944</v>
      </c>
      <c r="C2441" t="s">
        <v>3029</v>
      </c>
      <c r="F2441" s="898">
        <f>'Action POLLEC 2'!$B90</f>
        <v>0</v>
      </c>
    </row>
    <row r="2442" spans="1:6">
      <c r="A2442" t="s">
        <v>2986</v>
      </c>
      <c r="B2442" t="s">
        <v>2944</v>
      </c>
      <c r="C2442" t="s">
        <v>3030</v>
      </c>
      <c r="F2442" s="898">
        <f>'Action POLLEC 2'!$B91</f>
        <v>0</v>
      </c>
    </row>
    <row r="2443" spans="1:6">
      <c r="A2443" t="s">
        <v>2986</v>
      </c>
      <c r="B2443" t="s">
        <v>2944</v>
      </c>
      <c r="C2443" t="s">
        <v>3031</v>
      </c>
      <c r="F2443" s="898">
        <f>'Action POLLEC 2'!$B92</f>
        <v>0</v>
      </c>
    </row>
    <row r="2444" spans="1:6">
      <c r="A2444" t="s">
        <v>2986</v>
      </c>
      <c r="B2444" t="s">
        <v>2944</v>
      </c>
      <c r="C2444" t="s">
        <v>3032</v>
      </c>
      <c r="F2444" s="898">
        <f>'Action POLLEC 2'!$B93</f>
        <v>0</v>
      </c>
    </row>
    <row r="2445" spans="1:6">
      <c r="A2445" t="s">
        <v>2986</v>
      </c>
      <c r="B2445" t="s">
        <v>2944</v>
      </c>
      <c r="C2445" t="s">
        <v>3033</v>
      </c>
      <c r="F2445" s="898">
        <f>'Action POLLEC 2'!$B94</f>
        <v>0</v>
      </c>
    </row>
    <row r="2446" spans="1:6">
      <c r="A2446" t="s">
        <v>2986</v>
      </c>
      <c r="B2446" t="s">
        <v>2944</v>
      </c>
      <c r="C2446" t="s">
        <v>3034</v>
      </c>
      <c r="F2446" s="898">
        <f>'Action POLLEC 2'!$B95</f>
        <v>0</v>
      </c>
    </row>
    <row r="2447" spans="1:6">
      <c r="A2447" t="s">
        <v>2986</v>
      </c>
      <c r="B2447" t="s">
        <v>2944</v>
      </c>
      <c r="C2447" t="s">
        <v>3035</v>
      </c>
      <c r="F2447" s="898">
        <f>'Action POLLEC 2'!$B96</f>
        <v>0</v>
      </c>
    </row>
    <row r="2448" spans="1:6">
      <c r="A2448" t="s">
        <v>2986</v>
      </c>
      <c r="B2448" t="s">
        <v>2944</v>
      </c>
      <c r="C2448" t="s">
        <v>2892</v>
      </c>
      <c r="F2448" s="898">
        <f>'Action POLLEC 2'!$C$77</f>
        <v>0</v>
      </c>
    </row>
    <row r="2449" spans="1:6">
      <c r="A2449" t="s">
        <v>2986</v>
      </c>
      <c r="B2449" t="s">
        <v>2944</v>
      </c>
      <c r="C2449" t="s">
        <v>2893</v>
      </c>
      <c r="F2449" s="898">
        <f>'Action POLLEC 2'!$C$78</f>
        <v>0</v>
      </c>
    </row>
    <row r="2450" spans="1:6">
      <c r="A2450" t="s">
        <v>2986</v>
      </c>
      <c r="B2450" t="s">
        <v>2944</v>
      </c>
      <c r="C2450" t="s">
        <v>2894</v>
      </c>
      <c r="F2450" s="898">
        <f>'Action POLLEC 2'!$C$79</f>
        <v>0</v>
      </c>
    </row>
    <row r="2451" spans="1:6">
      <c r="A2451" t="s">
        <v>2986</v>
      </c>
      <c r="B2451" t="s">
        <v>2944</v>
      </c>
      <c r="C2451" t="s">
        <v>2895</v>
      </c>
      <c r="F2451" s="898">
        <f>'Action POLLEC 2'!$C$80</f>
        <v>0</v>
      </c>
    </row>
    <row r="2452" spans="1:6">
      <c r="A2452" t="s">
        <v>2986</v>
      </c>
      <c r="B2452" t="s">
        <v>2944</v>
      </c>
      <c r="C2452" t="s">
        <v>2896</v>
      </c>
      <c r="F2452" s="898">
        <f>'Action POLLEC 2'!$C$81</f>
        <v>0</v>
      </c>
    </row>
    <row r="2453" spans="1:6">
      <c r="A2453" t="s">
        <v>2986</v>
      </c>
      <c r="B2453" t="s">
        <v>2944</v>
      </c>
      <c r="C2453" t="s">
        <v>2897</v>
      </c>
      <c r="F2453" s="898">
        <f>'Action POLLEC 2'!$C$82</f>
        <v>0</v>
      </c>
    </row>
    <row r="2454" spans="1:6">
      <c r="A2454" t="s">
        <v>2986</v>
      </c>
      <c r="B2454" t="s">
        <v>2944</v>
      </c>
      <c r="C2454" t="s">
        <v>2898</v>
      </c>
      <c r="F2454" s="898">
        <f>'Action POLLEC 2'!$C$83</f>
        <v>0</v>
      </c>
    </row>
    <row r="2455" spans="1:6">
      <c r="A2455" t="s">
        <v>2986</v>
      </c>
      <c r="B2455" t="s">
        <v>2944</v>
      </c>
      <c r="C2455" t="s">
        <v>2899</v>
      </c>
      <c r="F2455" s="898">
        <f>'Action POLLEC 2'!$C$84</f>
        <v>0</v>
      </c>
    </row>
    <row r="2456" spans="1:6">
      <c r="A2456" t="s">
        <v>2986</v>
      </c>
      <c r="B2456" t="s">
        <v>2944</v>
      </c>
      <c r="C2456" t="s">
        <v>2900</v>
      </c>
      <c r="F2456" s="898">
        <f>'Action POLLEC 2'!$C$85</f>
        <v>0</v>
      </c>
    </row>
    <row r="2457" spans="1:6">
      <c r="A2457" t="s">
        <v>2986</v>
      </c>
      <c r="B2457" t="s">
        <v>2944</v>
      </c>
      <c r="C2457" t="s">
        <v>2901</v>
      </c>
      <c r="F2457" s="898">
        <f>'Action POLLEC 2'!$C86</f>
        <v>0</v>
      </c>
    </row>
    <row r="2458" spans="1:6">
      <c r="A2458" t="s">
        <v>2986</v>
      </c>
      <c r="B2458" t="s">
        <v>2944</v>
      </c>
      <c r="C2458" t="s">
        <v>3036</v>
      </c>
      <c r="F2458" s="898">
        <f>'Action POLLEC 2'!$C87</f>
        <v>0</v>
      </c>
    </row>
    <row r="2459" spans="1:6">
      <c r="A2459" t="s">
        <v>2986</v>
      </c>
      <c r="B2459" t="s">
        <v>2944</v>
      </c>
      <c r="C2459" t="s">
        <v>3037</v>
      </c>
      <c r="F2459" s="898">
        <f>'Action POLLEC 2'!$C88</f>
        <v>0</v>
      </c>
    </row>
    <row r="2460" spans="1:6">
      <c r="A2460" t="s">
        <v>2986</v>
      </c>
      <c r="B2460" t="s">
        <v>2944</v>
      </c>
      <c r="C2460" t="s">
        <v>3038</v>
      </c>
      <c r="F2460" s="898">
        <f>'Action POLLEC 2'!$C89</f>
        <v>0</v>
      </c>
    </row>
    <row r="2461" spans="1:6">
      <c r="A2461" t="s">
        <v>2986</v>
      </c>
      <c r="B2461" t="s">
        <v>2944</v>
      </c>
      <c r="C2461" t="s">
        <v>3039</v>
      </c>
      <c r="F2461" s="898">
        <f>'Action POLLEC 2'!$C90</f>
        <v>0</v>
      </c>
    </row>
    <row r="2462" spans="1:6">
      <c r="A2462" t="s">
        <v>2986</v>
      </c>
      <c r="B2462" t="s">
        <v>2944</v>
      </c>
      <c r="C2462" t="s">
        <v>3040</v>
      </c>
      <c r="F2462" s="898">
        <f>'Action POLLEC 2'!$C91</f>
        <v>0</v>
      </c>
    </row>
    <row r="2463" spans="1:6">
      <c r="A2463" t="s">
        <v>2986</v>
      </c>
      <c r="B2463" t="s">
        <v>2944</v>
      </c>
      <c r="C2463" t="s">
        <v>3041</v>
      </c>
      <c r="F2463" s="898">
        <f>'Action POLLEC 2'!$C92</f>
        <v>0</v>
      </c>
    </row>
    <row r="2464" spans="1:6">
      <c r="A2464" t="s">
        <v>2986</v>
      </c>
      <c r="B2464" t="s">
        <v>2944</v>
      </c>
      <c r="C2464" t="s">
        <v>3042</v>
      </c>
      <c r="F2464" s="898">
        <f>'Action POLLEC 2'!$C93</f>
        <v>0</v>
      </c>
    </row>
    <row r="2465" spans="1:6">
      <c r="A2465" t="s">
        <v>2986</v>
      </c>
      <c r="B2465" t="s">
        <v>2944</v>
      </c>
      <c r="C2465" t="s">
        <v>3043</v>
      </c>
      <c r="F2465" s="898">
        <f>'Action POLLEC 2'!$C94</f>
        <v>0</v>
      </c>
    </row>
    <row r="2466" spans="1:6">
      <c r="A2466" t="s">
        <v>2986</v>
      </c>
      <c r="B2466" t="s">
        <v>2944</v>
      </c>
      <c r="C2466" t="s">
        <v>3044</v>
      </c>
      <c r="F2466" s="898">
        <f>'Action POLLEC 2'!$C95</f>
        <v>0</v>
      </c>
    </row>
    <row r="2467" spans="1:6">
      <c r="A2467" t="s">
        <v>2986</v>
      </c>
      <c r="B2467" t="s">
        <v>2944</v>
      </c>
      <c r="C2467" t="s">
        <v>3045</v>
      </c>
      <c r="F2467" s="898">
        <f>'Action POLLEC 2'!$C96</f>
        <v>0</v>
      </c>
    </row>
    <row r="2468" spans="1:6">
      <c r="A2468" t="s">
        <v>2986</v>
      </c>
      <c r="B2468" t="s">
        <v>2944</v>
      </c>
      <c r="C2468" t="s">
        <v>2902</v>
      </c>
      <c r="F2468" s="898" t="str">
        <f ca="1">'Action POLLEC 2'!$D$77</f>
        <v>-</v>
      </c>
    </row>
    <row r="2469" spans="1:6">
      <c r="A2469" t="s">
        <v>2986</v>
      </c>
      <c r="B2469" t="s">
        <v>2944</v>
      </c>
      <c r="C2469" t="s">
        <v>2903</v>
      </c>
      <c r="F2469" s="898" t="str">
        <f ca="1">'Action POLLEC 2'!$D$78</f>
        <v>-</v>
      </c>
    </row>
    <row r="2470" spans="1:6">
      <c r="A2470" t="s">
        <v>2986</v>
      </c>
      <c r="B2470" t="s">
        <v>2944</v>
      </c>
      <c r="C2470" t="s">
        <v>2904</v>
      </c>
      <c r="F2470" s="898" t="str">
        <f ca="1">'Action POLLEC 2'!$D$79</f>
        <v>-</v>
      </c>
    </row>
    <row r="2471" spans="1:6">
      <c r="A2471" t="s">
        <v>2986</v>
      </c>
      <c r="B2471" t="s">
        <v>2944</v>
      </c>
      <c r="C2471" t="s">
        <v>2905</v>
      </c>
      <c r="F2471" s="898" t="str">
        <f ca="1">'Action POLLEC 2'!$D$80</f>
        <v>-</v>
      </c>
    </row>
    <row r="2472" spans="1:6">
      <c r="A2472" t="s">
        <v>2986</v>
      </c>
      <c r="B2472" t="s">
        <v>2944</v>
      </c>
      <c r="C2472" t="s">
        <v>2906</v>
      </c>
      <c r="F2472" s="898" t="str">
        <f ca="1">'Action POLLEC 2'!$D$81</f>
        <v>-</v>
      </c>
    </row>
    <row r="2473" spans="1:6">
      <c r="A2473" t="s">
        <v>2986</v>
      </c>
      <c r="B2473" t="s">
        <v>2944</v>
      </c>
      <c r="C2473" t="s">
        <v>2907</v>
      </c>
      <c r="F2473" s="898" t="str">
        <f ca="1">'Action POLLEC 2'!$D$82</f>
        <v>-</v>
      </c>
    </row>
    <row r="2474" spans="1:6">
      <c r="A2474" t="s">
        <v>2986</v>
      </c>
      <c r="B2474" t="s">
        <v>2944</v>
      </c>
      <c r="C2474" t="s">
        <v>2908</v>
      </c>
      <c r="F2474" s="898" t="str">
        <f ca="1">'Action POLLEC 2'!$D$83</f>
        <v>-</v>
      </c>
    </row>
    <row r="2475" spans="1:6">
      <c r="A2475" t="s">
        <v>2986</v>
      </c>
      <c r="B2475" t="s">
        <v>2944</v>
      </c>
      <c r="C2475" t="s">
        <v>2909</v>
      </c>
      <c r="F2475" s="898" t="str">
        <f ca="1">'Action POLLEC 2'!$D$84</f>
        <v>-</v>
      </c>
    </row>
    <row r="2476" spans="1:6">
      <c r="A2476" t="s">
        <v>2986</v>
      </c>
      <c r="B2476" t="s">
        <v>2944</v>
      </c>
      <c r="C2476" t="s">
        <v>2910</v>
      </c>
      <c r="F2476" s="898" t="str">
        <f ca="1">'Action POLLEC 2'!$D$85</f>
        <v>-</v>
      </c>
    </row>
    <row r="2477" spans="1:6">
      <c r="A2477" t="s">
        <v>2986</v>
      </c>
      <c r="B2477" t="s">
        <v>2944</v>
      </c>
      <c r="C2477" t="s">
        <v>2911</v>
      </c>
      <c r="F2477" s="898" t="str">
        <f ca="1">'Action POLLEC 2'!$D86</f>
        <v>-</v>
      </c>
    </row>
    <row r="2478" spans="1:6">
      <c r="A2478" t="s">
        <v>2986</v>
      </c>
      <c r="B2478" t="s">
        <v>2944</v>
      </c>
      <c r="C2478" t="s">
        <v>3046</v>
      </c>
      <c r="F2478" s="898">
        <f>'Action POLLEC 2'!$D87</f>
        <v>0</v>
      </c>
    </row>
    <row r="2479" spans="1:6">
      <c r="A2479" t="s">
        <v>2986</v>
      </c>
      <c r="B2479" t="s">
        <v>2944</v>
      </c>
      <c r="C2479" t="s">
        <v>3047</v>
      </c>
      <c r="F2479" s="898">
        <f>'Action POLLEC 2'!$D88</f>
        <v>0</v>
      </c>
    </row>
    <row r="2480" spans="1:6">
      <c r="A2480" t="s">
        <v>2986</v>
      </c>
      <c r="B2480" t="s">
        <v>2944</v>
      </c>
      <c r="C2480" t="s">
        <v>3048</v>
      </c>
      <c r="F2480" s="898">
        <f>'Action POLLEC 2'!$D89</f>
        <v>0</v>
      </c>
    </row>
    <row r="2481" spans="1:6">
      <c r="A2481" t="s">
        <v>2986</v>
      </c>
      <c r="B2481" t="s">
        <v>2944</v>
      </c>
      <c r="C2481" t="s">
        <v>3049</v>
      </c>
      <c r="F2481" s="898">
        <f>'Action POLLEC 2'!$D90</f>
        <v>0</v>
      </c>
    </row>
    <row r="2482" spans="1:6">
      <c r="A2482" t="s">
        <v>2986</v>
      </c>
      <c r="B2482" t="s">
        <v>2944</v>
      </c>
      <c r="C2482" t="s">
        <v>3050</v>
      </c>
      <c r="F2482" s="898">
        <f>'Action POLLEC 2'!$D91</f>
        <v>0</v>
      </c>
    </row>
    <row r="2483" spans="1:6">
      <c r="A2483" t="s">
        <v>2986</v>
      </c>
      <c r="B2483" t="s">
        <v>2944</v>
      </c>
      <c r="C2483" t="s">
        <v>3051</v>
      </c>
      <c r="F2483" s="898">
        <f>'Action POLLEC 2'!$D92</f>
        <v>0</v>
      </c>
    </row>
    <row r="2484" spans="1:6">
      <c r="A2484" t="s">
        <v>2986</v>
      </c>
      <c r="B2484" t="s">
        <v>2944</v>
      </c>
      <c r="C2484" t="s">
        <v>3052</v>
      </c>
      <c r="F2484" s="898">
        <f>'Action POLLEC 2'!$D93</f>
        <v>0</v>
      </c>
    </row>
    <row r="2485" spans="1:6">
      <c r="A2485" t="s">
        <v>2986</v>
      </c>
      <c r="B2485" t="s">
        <v>2944</v>
      </c>
      <c r="C2485" t="s">
        <v>3053</v>
      </c>
      <c r="F2485" s="898">
        <f>'Action POLLEC 2'!$D94</f>
        <v>0</v>
      </c>
    </row>
    <row r="2486" spans="1:6">
      <c r="A2486" t="s">
        <v>2986</v>
      </c>
      <c r="B2486" t="s">
        <v>2944</v>
      </c>
      <c r="C2486" t="s">
        <v>3054</v>
      </c>
      <c r="F2486" s="898">
        <f>'Action POLLEC 2'!$D95</f>
        <v>0</v>
      </c>
    </row>
    <row r="2487" spans="1:6">
      <c r="A2487" t="s">
        <v>2986</v>
      </c>
      <c r="B2487" t="s">
        <v>2944</v>
      </c>
      <c r="C2487" t="s">
        <v>3055</v>
      </c>
      <c r="F2487" s="898">
        <f>'Action POLLEC 2'!$D96</f>
        <v>0</v>
      </c>
    </row>
    <row r="2488" spans="1:6">
      <c r="A2488" t="s">
        <v>2986</v>
      </c>
      <c r="B2488" t="s">
        <v>2944</v>
      </c>
      <c r="C2488" t="s">
        <v>2866</v>
      </c>
      <c r="F2488" s="898" t="str">
        <f ca="1">'Action POLLEC 2'!$E77</f>
        <v/>
      </c>
    </row>
    <row r="2489" spans="1:6">
      <c r="A2489" t="s">
        <v>2986</v>
      </c>
      <c r="B2489" t="s">
        <v>2944</v>
      </c>
      <c r="C2489" t="s">
        <v>2867</v>
      </c>
      <c r="F2489" s="898" t="str">
        <f ca="1">'Action POLLEC 2'!$E78</f>
        <v/>
      </c>
    </row>
    <row r="2490" spans="1:6">
      <c r="A2490" t="s">
        <v>2986</v>
      </c>
      <c r="B2490" t="s">
        <v>2944</v>
      </c>
      <c r="C2490" t="s">
        <v>2868</v>
      </c>
      <c r="F2490" s="898" t="str">
        <f ca="1">'Action POLLEC 2'!$E79</f>
        <v/>
      </c>
    </row>
    <row r="2491" spans="1:6">
      <c r="A2491" t="s">
        <v>2986</v>
      </c>
      <c r="B2491" t="s">
        <v>2944</v>
      </c>
      <c r="C2491" t="s">
        <v>2869</v>
      </c>
      <c r="F2491" s="898" t="str">
        <f ca="1">'Action POLLEC 2'!$E80</f>
        <v/>
      </c>
    </row>
    <row r="2492" spans="1:6">
      <c r="A2492" t="s">
        <v>2986</v>
      </c>
      <c r="B2492" t="s">
        <v>2944</v>
      </c>
      <c r="C2492" t="s">
        <v>2870</v>
      </c>
      <c r="F2492" s="898" t="str">
        <f ca="1">'Action POLLEC 2'!$E81</f>
        <v/>
      </c>
    </row>
    <row r="2493" spans="1:6">
      <c r="A2493" t="s">
        <v>2986</v>
      </c>
      <c r="B2493" t="s">
        <v>2944</v>
      </c>
      <c r="C2493" t="s">
        <v>2871</v>
      </c>
      <c r="F2493" s="898" t="str">
        <f ca="1">'Action POLLEC 2'!$E82</f>
        <v/>
      </c>
    </row>
    <row r="2494" spans="1:6">
      <c r="A2494" t="s">
        <v>2986</v>
      </c>
      <c r="B2494" t="s">
        <v>2944</v>
      </c>
      <c r="C2494" t="s">
        <v>2872</v>
      </c>
      <c r="F2494" s="898" t="str">
        <f ca="1">'Action POLLEC 2'!$E83</f>
        <v/>
      </c>
    </row>
    <row r="2495" spans="1:6">
      <c r="A2495" t="s">
        <v>2986</v>
      </c>
      <c r="B2495" t="s">
        <v>2944</v>
      </c>
      <c r="C2495" t="s">
        <v>2873</v>
      </c>
      <c r="F2495" s="898" t="str">
        <f ca="1">'Action POLLEC 2'!$E84</f>
        <v/>
      </c>
    </row>
    <row r="2496" spans="1:6">
      <c r="A2496" t="s">
        <v>2986</v>
      </c>
      <c r="B2496" t="s">
        <v>2944</v>
      </c>
      <c r="C2496" t="s">
        <v>2912</v>
      </c>
      <c r="F2496" s="898" t="str">
        <f ca="1">'Action POLLEC 2'!$E85</f>
        <v/>
      </c>
    </row>
    <row r="2497" spans="1:6">
      <c r="A2497" t="s">
        <v>2986</v>
      </c>
      <c r="B2497" t="s">
        <v>2944</v>
      </c>
      <c r="C2497" t="s">
        <v>2913</v>
      </c>
      <c r="F2497" s="898" t="str">
        <f ca="1">'Action POLLEC 2'!$E86</f>
        <v/>
      </c>
    </row>
    <row r="2498" spans="1:6">
      <c r="A2498" t="s">
        <v>2986</v>
      </c>
      <c r="B2498" t="s">
        <v>2944</v>
      </c>
      <c r="C2498" t="s">
        <v>3014</v>
      </c>
      <c r="F2498" s="898">
        <f>'Action POLLEC 2'!$E87</f>
        <v>0</v>
      </c>
    </row>
    <row r="2499" spans="1:6">
      <c r="A2499" t="s">
        <v>2986</v>
      </c>
      <c r="B2499" t="s">
        <v>2944</v>
      </c>
      <c r="C2499" t="s">
        <v>3015</v>
      </c>
      <c r="F2499" s="898">
        <f>'Action POLLEC 2'!$E88</f>
        <v>0</v>
      </c>
    </row>
    <row r="2500" spans="1:6">
      <c r="A2500" t="s">
        <v>2986</v>
      </c>
      <c r="B2500" t="s">
        <v>2944</v>
      </c>
      <c r="C2500" t="s">
        <v>3016</v>
      </c>
      <c r="F2500" s="898">
        <f>'Action POLLEC 2'!$E89</f>
        <v>0</v>
      </c>
    </row>
    <row r="2501" spans="1:6">
      <c r="A2501" t="s">
        <v>2986</v>
      </c>
      <c r="B2501" t="s">
        <v>2944</v>
      </c>
      <c r="C2501" t="s">
        <v>3017</v>
      </c>
      <c r="F2501" s="898">
        <f>'Action POLLEC 2'!$E90</f>
        <v>0</v>
      </c>
    </row>
    <row r="2502" spans="1:6">
      <c r="A2502" t="s">
        <v>2986</v>
      </c>
      <c r="B2502" t="s">
        <v>2944</v>
      </c>
      <c r="C2502" t="s">
        <v>3018</v>
      </c>
      <c r="F2502" s="898">
        <f>'Action POLLEC 2'!$E91</f>
        <v>0</v>
      </c>
    </row>
    <row r="2503" spans="1:6">
      <c r="A2503" t="s">
        <v>2986</v>
      </c>
      <c r="B2503" t="s">
        <v>2944</v>
      </c>
      <c r="C2503" t="s">
        <v>3056</v>
      </c>
      <c r="F2503" s="898">
        <f>'Action POLLEC 2'!$E92</f>
        <v>0</v>
      </c>
    </row>
    <row r="2504" spans="1:6">
      <c r="A2504" t="s">
        <v>2986</v>
      </c>
      <c r="B2504" t="s">
        <v>2944</v>
      </c>
      <c r="C2504" t="s">
        <v>3057</v>
      </c>
      <c r="F2504" s="898">
        <f>'Action POLLEC 2'!$E93</f>
        <v>0</v>
      </c>
    </row>
    <row r="2505" spans="1:6">
      <c r="A2505" t="s">
        <v>2986</v>
      </c>
      <c r="B2505" t="s">
        <v>2944</v>
      </c>
      <c r="C2505" t="s">
        <v>3058</v>
      </c>
      <c r="F2505" s="898">
        <f>'Action POLLEC 2'!$E94</f>
        <v>0</v>
      </c>
    </row>
    <row r="2506" spans="1:6">
      <c r="A2506" t="s">
        <v>2986</v>
      </c>
      <c r="B2506" t="s">
        <v>2944</v>
      </c>
      <c r="C2506" t="s">
        <v>3059</v>
      </c>
      <c r="F2506" s="898">
        <f>'Action POLLEC 2'!$E95</f>
        <v>0</v>
      </c>
    </row>
    <row r="2507" spans="1:6">
      <c r="A2507" t="s">
        <v>2986</v>
      </c>
      <c r="B2507" t="s">
        <v>2944</v>
      </c>
      <c r="C2507" t="s">
        <v>3060</v>
      </c>
      <c r="F2507" s="898">
        <f>'Action POLLEC 2'!$E96</f>
        <v>0</v>
      </c>
    </row>
    <row r="2508" spans="1:6">
      <c r="A2508" t="s">
        <v>2986</v>
      </c>
      <c r="B2508" t="s">
        <v>2944</v>
      </c>
      <c r="C2508" t="s">
        <v>2914</v>
      </c>
      <c r="F2508" s="898">
        <f>'Action POLLEC 2'!$F$77</f>
        <v>0</v>
      </c>
    </row>
    <row r="2509" spans="1:6">
      <c r="A2509" t="s">
        <v>2986</v>
      </c>
      <c r="B2509" t="s">
        <v>2944</v>
      </c>
      <c r="C2509" t="s">
        <v>2915</v>
      </c>
      <c r="F2509" s="898">
        <f>'Action POLLEC 2'!$F$78</f>
        <v>0</v>
      </c>
    </row>
    <row r="2510" spans="1:6">
      <c r="A2510" t="s">
        <v>2986</v>
      </c>
      <c r="B2510" t="s">
        <v>2944</v>
      </c>
      <c r="C2510" t="s">
        <v>2916</v>
      </c>
      <c r="F2510" s="898">
        <f>'Action POLLEC 2'!$F$79</f>
        <v>0</v>
      </c>
    </row>
    <row r="2511" spans="1:6">
      <c r="A2511" t="s">
        <v>2986</v>
      </c>
      <c r="B2511" t="s">
        <v>2944</v>
      </c>
      <c r="C2511" t="s">
        <v>2917</v>
      </c>
      <c r="F2511" s="898">
        <f>'Action POLLEC 2'!$F$80</f>
        <v>0</v>
      </c>
    </row>
    <row r="2512" spans="1:6">
      <c r="A2512" t="s">
        <v>2986</v>
      </c>
      <c r="B2512" t="s">
        <v>2944</v>
      </c>
      <c r="C2512" t="s">
        <v>2918</v>
      </c>
      <c r="F2512" s="898">
        <f>'Action POLLEC 2'!$F$81</f>
        <v>0</v>
      </c>
    </row>
    <row r="2513" spans="1:6">
      <c r="A2513" t="s">
        <v>2986</v>
      </c>
      <c r="B2513" t="s">
        <v>2944</v>
      </c>
      <c r="C2513" t="s">
        <v>2919</v>
      </c>
      <c r="F2513" s="898">
        <f>'Action POLLEC 2'!$F$82</f>
        <v>0</v>
      </c>
    </row>
    <row r="2514" spans="1:6">
      <c r="A2514" t="s">
        <v>2986</v>
      </c>
      <c r="B2514" t="s">
        <v>2944</v>
      </c>
      <c r="C2514" t="s">
        <v>2920</v>
      </c>
      <c r="F2514" s="898">
        <f>'Action POLLEC 2'!$F$83</f>
        <v>0</v>
      </c>
    </row>
    <row r="2515" spans="1:6">
      <c r="A2515" t="s">
        <v>2986</v>
      </c>
      <c r="B2515" t="s">
        <v>2944</v>
      </c>
      <c r="C2515" t="s">
        <v>2921</v>
      </c>
      <c r="F2515" s="898">
        <f>'Action POLLEC 2'!$F$84</f>
        <v>0</v>
      </c>
    </row>
    <row r="2516" spans="1:6">
      <c r="A2516" t="s">
        <v>2986</v>
      </c>
      <c r="B2516" t="s">
        <v>2944</v>
      </c>
      <c r="C2516" t="s">
        <v>2922</v>
      </c>
      <c r="F2516" s="898">
        <f>'Action POLLEC 2'!$F$85</f>
        <v>0</v>
      </c>
    </row>
    <row r="2517" spans="1:6">
      <c r="A2517" t="s">
        <v>2986</v>
      </c>
      <c r="B2517" t="s">
        <v>2944</v>
      </c>
      <c r="C2517" t="s">
        <v>2923</v>
      </c>
      <c r="F2517" s="898">
        <f>'Action POLLEC 2'!$F86</f>
        <v>0</v>
      </c>
    </row>
    <row r="2518" spans="1:6">
      <c r="A2518" t="s">
        <v>2986</v>
      </c>
      <c r="B2518" t="s">
        <v>2944</v>
      </c>
      <c r="C2518" t="s">
        <v>3061</v>
      </c>
      <c r="F2518" s="898">
        <f>'Action POLLEC 2'!$F87</f>
        <v>0</v>
      </c>
    </row>
    <row r="2519" spans="1:6">
      <c r="A2519" t="s">
        <v>2986</v>
      </c>
      <c r="B2519" t="s">
        <v>2944</v>
      </c>
      <c r="C2519" t="s">
        <v>3062</v>
      </c>
      <c r="F2519" s="898">
        <f>'Action POLLEC 2'!$F88</f>
        <v>0</v>
      </c>
    </row>
    <row r="2520" spans="1:6">
      <c r="A2520" t="s">
        <v>2986</v>
      </c>
      <c r="B2520" t="s">
        <v>2944</v>
      </c>
      <c r="C2520" t="s">
        <v>3063</v>
      </c>
      <c r="F2520" s="898">
        <f>'Action POLLEC 2'!$F89</f>
        <v>0</v>
      </c>
    </row>
    <row r="2521" spans="1:6">
      <c r="A2521" t="s">
        <v>2986</v>
      </c>
      <c r="B2521" t="s">
        <v>2944</v>
      </c>
      <c r="C2521" t="s">
        <v>3064</v>
      </c>
      <c r="F2521" s="898">
        <f>'Action POLLEC 2'!$F90</f>
        <v>0</v>
      </c>
    </row>
    <row r="2522" spans="1:6">
      <c r="A2522" t="s">
        <v>2986</v>
      </c>
      <c r="B2522" t="s">
        <v>2944</v>
      </c>
      <c r="C2522" t="s">
        <v>3065</v>
      </c>
      <c r="F2522" s="898">
        <f>'Action POLLEC 2'!$F91</f>
        <v>0</v>
      </c>
    </row>
    <row r="2523" spans="1:6">
      <c r="A2523" t="s">
        <v>2986</v>
      </c>
      <c r="B2523" t="s">
        <v>2944</v>
      </c>
      <c r="C2523" t="s">
        <v>3066</v>
      </c>
      <c r="F2523" s="898">
        <f>'Action POLLEC 2'!$F92</f>
        <v>0</v>
      </c>
    </row>
    <row r="2524" spans="1:6">
      <c r="A2524" t="s">
        <v>2986</v>
      </c>
      <c r="B2524" t="s">
        <v>2944</v>
      </c>
      <c r="C2524" t="s">
        <v>3067</v>
      </c>
      <c r="F2524" s="898">
        <f>'Action POLLEC 2'!$F93</f>
        <v>0</v>
      </c>
    </row>
    <row r="2525" spans="1:6">
      <c r="A2525" t="s">
        <v>2986</v>
      </c>
      <c r="B2525" t="s">
        <v>2944</v>
      </c>
      <c r="C2525" t="s">
        <v>3068</v>
      </c>
      <c r="F2525" s="898">
        <f>'Action POLLEC 2'!$F94</f>
        <v>0</v>
      </c>
    </row>
    <row r="2526" spans="1:6">
      <c r="A2526" t="s">
        <v>2986</v>
      </c>
      <c r="B2526" t="s">
        <v>2944</v>
      </c>
      <c r="C2526" t="s">
        <v>3069</v>
      </c>
      <c r="F2526" s="898">
        <f>'Action POLLEC 2'!$F95</f>
        <v>0</v>
      </c>
    </row>
    <row r="2527" spans="1:6">
      <c r="A2527" t="s">
        <v>2986</v>
      </c>
      <c r="B2527" t="s">
        <v>2944</v>
      </c>
      <c r="C2527" t="s">
        <v>3070</v>
      </c>
      <c r="F2527" s="898">
        <f>'Action POLLEC 2'!$F96</f>
        <v>0</v>
      </c>
    </row>
    <row r="2528" spans="1:6">
      <c r="A2528" t="s">
        <v>2986</v>
      </c>
      <c r="B2528" t="s">
        <v>2944</v>
      </c>
      <c r="C2528" t="s">
        <v>2924</v>
      </c>
      <c r="F2528" s="898">
        <f>'Action POLLEC 2'!$G$77</f>
        <v>0</v>
      </c>
    </row>
    <row r="2529" spans="1:6">
      <c r="A2529" t="s">
        <v>2986</v>
      </c>
      <c r="B2529" t="s">
        <v>2944</v>
      </c>
      <c r="C2529" t="s">
        <v>2925</v>
      </c>
      <c r="F2529" s="898">
        <f>'Action POLLEC 2'!$G$78</f>
        <v>0</v>
      </c>
    </row>
    <row r="2530" spans="1:6">
      <c r="A2530" t="s">
        <v>2986</v>
      </c>
      <c r="B2530" t="s">
        <v>2944</v>
      </c>
      <c r="C2530" t="s">
        <v>2926</v>
      </c>
      <c r="F2530" s="898">
        <f>'Action POLLEC 2'!$G$79</f>
        <v>0</v>
      </c>
    </row>
    <row r="2531" spans="1:6">
      <c r="A2531" t="s">
        <v>2986</v>
      </c>
      <c r="B2531" t="s">
        <v>2944</v>
      </c>
      <c r="C2531" t="s">
        <v>2927</v>
      </c>
      <c r="F2531" s="898">
        <f>'Action POLLEC 2'!$G$80</f>
        <v>0</v>
      </c>
    </row>
    <row r="2532" spans="1:6">
      <c r="A2532" t="s">
        <v>2986</v>
      </c>
      <c r="B2532" t="s">
        <v>2944</v>
      </c>
      <c r="C2532" t="s">
        <v>2928</v>
      </c>
      <c r="F2532" s="898">
        <f>'Action POLLEC 2'!$G$81</f>
        <v>0</v>
      </c>
    </row>
    <row r="2533" spans="1:6">
      <c r="A2533" t="s">
        <v>2986</v>
      </c>
      <c r="B2533" t="s">
        <v>2944</v>
      </c>
      <c r="C2533" t="s">
        <v>2929</v>
      </c>
      <c r="F2533" s="898">
        <f>'Action POLLEC 2'!$G$82</f>
        <v>0</v>
      </c>
    </row>
    <row r="2534" spans="1:6">
      <c r="A2534" t="s">
        <v>2986</v>
      </c>
      <c r="B2534" t="s">
        <v>2944</v>
      </c>
      <c r="C2534" t="s">
        <v>2930</v>
      </c>
      <c r="F2534" s="898">
        <f>'Action POLLEC 2'!$G$83</f>
        <v>0</v>
      </c>
    </row>
    <row r="2535" spans="1:6">
      <c r="A2535" t="s">
        <v>2986</v>
      </c>
      <c r="B2535" t="s">
        <v>2944</v>
      </c>
      <c r="C2535" t="s">
        <v>2931</v>
      </c>
      <c r="F2535" s="898">
        <f>'Action POLLEC 2'!$G$84</f>
        <v>0</v>
      </c>
    </row>
    <row r="2536" spans="1:6">
      <c r="A2536" t="s">
        <v>2986</v>
      </c>
      <c r="B2536" t="s">
        <v>2944</v>
      </c>
      <c r="C2536" t="s">
        <v>2932</v>
      </c>
      <c r="F2536" s="898">
        <f>'Action POLLEC 2'!$G$85</f>
        <v>0</v>
      </c>
    </row>
    <row r="2537" spans="1:6">
      <c r="A2537" t="s">
        <v>2986</v>
      </c>
      <c r="B2537" t="s">
        <v>2944</v>
      </c>
      <c r="C2537" t="s">
        <v>2933</v>
      </c>
      <c r="F2537" s="898">
        <f>'Action POLLEC 2'!$G86</f>
        <v>0</v>
      </c>
    </row>
    <row r="2538" spans="1:6">
      <c r="A2538" t="s">
        <v>2986</v>
      </c>
      <c r="B2538" t="s">
        <v>2944</v>
      </c>
      <c r="C2538" t="s">
        <v>3071</v>
      </c>
      <c r="F2538" s="898">
        <f>'Action POLLEC 2'!$G87</f>
        <v>0</v>
      </c>
    </row>
    <row r="2539" spans="1:6">
      <c r="A2539" t="s">
        <v>2986</v>
      </c>
      <c r="B2539" t="s">
        <v>2944</v>
      </c>
      <c r="C2539" t="s">
        <v>3072</v>
      </c>
      <c r="F2539" s="898">
        <f>'Action POLLEC 2'!$G88</f>
        <v>0</v>
      </c>
    </row>
    <row r="2540" spans="1:6">
      <c r="A2540" t="s">
        <v>2986</v>
      </c>
      <c r="B2540" t="s">
        <v>2944</v>
      </c>
      <c r="C2540" t="s">
        <v>3073</v>
      </c>
      <c r="F2540" s="898">
        <f>'Action POLLEC 2'!$G89</f>
        <v>0</v>
      </c>
    </row>
    <row r="2541" spans="1:6">
      <c r="A2541" t="s">
        <v>2986</v>
      </c>
      <c r="B2541" t="s">
        <v>2944</v>
      </c>
      <c r="C2541" t="s">
        <v>3074</v>
      </c>
      <c r="F2541" s="898">
        <f>'Action POLLEC 2'!$G90</f>
        <v>0</v>
      </c>
    </row>
    <row r="2542" spans="1:6">
      <c r="A2542" t="s">
        <v>2986</v>
      </c>
      <c r="B2542" t="s">
        <v>2944</v>
      </c>
      <c r="C2542" t="s">
        <v>3075</v>
      </c>
      <c r="F2542" s="898">
        <f>'Action POLLEC 2'!$G91</f>
        <v>0</v>
      </c>
    </row>
    <row r="2543" spans="1:6">
      <c r="A2543" t="s">
        <v>2986</v>
      </c>
      <c r="B2543" t="s">
        <v>2944</v>
      </c>
      <c r="C2543" t="s">
        <v>3076</v>
      </c>
      <c r="F2543" s="898">
        <f>'Action POLLEC 2'!$G92</f>
        <v>0</v>
      </c>
    </row>
    <row r="2544" spans="1:6">
      <c r="A2544" t="s">
        <v>2986</v>
      </c>
      <c r="B2544" t="s">
        <v>2944</v>
      </c>
      <c r="C2544" t="s">
        <v>3077</v>
      </c>
      <c r="F2544" s="898">
        <f>'Action POLLEC 2'!$G93</f>
        <v>0</v>
      </c>
    </row>
    <row r="2545" spans="1:6">
      <c r="A2545" t="s">
        <v>2986</v>
      </c>
      <c r="B2545" t="s">
        <v>2944</v>
      </c>
      <c r="C2545" t="s">
        <v>3078</v>
      </c>
      <c r="F2545" s="898">
        <f>'Action POLLEC 2'!$G94</f>
        <v>0</v>
      </c>
    </row>
    <row r="2546" spans="1:6">
      <c r="A2546" t="s">
        <v>2986</v>
      </c>
      <c r="B2546" t="s">
        <v>2944</v>
      </c>
      <c r="C2546" t="s">
        <v>3079</v>
      </c>
      <c r="F2546" s="898">
        <f>'Action POLLEC 2'!$G95</f>
        <v>0</v>
      </c>
    </row>
    <row r="2547" spans="1:6">
      <c r="A2547" t="s">
        <v>2986</v>
      </c>
      <c r="B2547" t="s">
        <v>2944</v>
      </c>
      <c r="C2547" t="s">
        <v>3080</v>
      </c>
      <c r="F2547" s="898">
        <f>'Action POLLEC 2'!$G96</f>
        <v>0</v>
      </c>
    </row>
    <row r="2548" spans="1:6">
      <c r="A2548" t="s">
        <v>2986</v>
      </c>
      <c r="B2548" t="s">
        <v>2944</v>
      </c>
      <c r="C2548" t="s">
        <v>2934</v>
      </c>
      <c r="F2548" s="898">
        <f>'Action POLLEC 2'!$H$77</f>
        <v>0</v>
      </c>
    </row>
    <row r="2549" spans="1:6">
      <c r="A2549" t="s">
        <v>2986</v>
      </c>
      <c r="B2549" t="s">
        <v>2944</v>
      </c>
      <c r="C2549" t="s">
        <v>2935</v>
      </c>
      <c r="F2549" s="898">
        <f>'Action POLLEC 2'!$H$78</f>
        <v>0</v>
      </c>
    </row>
    <row r="2550" spans="1:6">
      <c r="A2550" t="s">
        <v>2986</v>
      </c>
      <c r="B2550" t="s">
        <v>2944</v>
      </c>
      <c r="C2550" t="s">
        <v>2936</v>
      </c>
      <c r="F2550" s="898">
        <f>'Action POLLEC 2'!$H$79</f>
        <v>0</v>
      </c>
    </row>
    <row r="2551" spans="1:6">
      <c r="A2551" t="s">
        <v>2986</v>
      </c>
      <c r="B2551" t="s">
        <v>2944</v>
      </c>
      <c r="C2551" t="s">
        <v>2937</v>
      </c>
      <c r="F2551" s="898">
        <f>'Action POLLEC 2'!$H$80</f>
        <v>0</v>
      </c>
    </row>
    <row r="2552" spans="1:6">
      <c r="A2552" t="s">
        <v>2986</v>
      </c>
      <c r="B2552" t="s">
        <v>2944</v>
      </c>
      <c r="C2552" t="s">
        <v>2938</v>
      </c>
      <c r="F2552" s="898">
        <f>'Action POLLEC 2'!$H$81</f>
        <v>0</v>
      </c>
    </row>
    <row r="2553" spans="1:6">
      <c r="A2553" t="s">
        <v>2986</v>
      </c>
      <c r="B2553" t="s">
        <v>2944</v>
      </c>
      <c r="C2553" t="s">
        <v>2939</v>
      </c>
      <c r="F2553" s="898">
        <f>'Action POLLEC 2'!$H$82</f>
        <v>0</v>
      </c>
    </row>
    <row r="2554" spans="1:6">
      <c r="A2554" t="s">
        <v>2986</v>
      </c>
      <c r="B2554" t="s">
        <v>2944</v>
      </c>
      <c r="C2554" t="s">
        <v>2940</v>
      </c>
      <c r="F2554" s="898">
        <f>'Action POLLEC 2'!$H$83</f>
        <v>0</v>
      </c>
    </row>
    <row r="2555" spans="1:6">
      <c r="A2555" t="s">
        <v>2986</v>
      </c>
      <c r="B2555" t="s">
        <v>2944</v>
      </c>
      <c r="C2555" t="s">
        <v>2941</v>
      </c>
      <c r="F2555" s="898">
        <f>'Action POLLEC 2'!$H$84</f>
        <v>0</v>
      </c>
    </row>
    <row r="2556" spans="1:6">
      <c r="A2556" t="s">
        <v>2986</v>
      </c>
      <c r="B2556" t="s">
        <v>2944</v>
      </c>
      <c r="C2556" t="s">
        <v>2942</v>
      </c>
      <c r="F2556" s="898">
        <f>'Action POLLEC 2'!$H$85</f>
        <v>0</v>
      </c>
    </row>
    <row r="2557" spans="1:6">
      <c r="A2557" t="s">
        <v>2986</v>
      </c>
      <c r="B2557" t="s">
        <v>2944</v>
      </c>
      <c r="C2557" t="s">
        <v>2943</v>
      </c>
      <c r="F2557" s="898">
        <f>'Action POLLEC 2'!$H86</f>
        <v>0</v>
      </c>
    </row>
    <row r="2558" spans="1:6">
      <c r="A2558" t="s">
        <v>2986</v>
      </c>
      <c r="B2558" t="s">
        <v>2944</v>
      </c>
      <c r="C2558" t="s">
        <v>3081</v>
      </c>
      <c r="F2558" s="898">
        <f>'Action POLLEC 2'!$H87</f>
        <v>0</v>
      </c>
    </row>
    <row r="2559" spans="1:6">
      <c r="A2559" t="s">
        <v>2986</v>
      </c>
      <c r="B2559" t="s">
        <v>2944</v>
      </c>
      <c r="C2559" t="s">
        <v>3082</v>
      </c>
      <c r="F2559" s="898">
        <f>'Action POLLEC 2'!$H88</f>
        <v>0</v>
      </c>
    </row>
    <row r="2560" spans="1:6">
      <c r="A2560" t="s">
        <v>2986</v>
      </c>
      <c r="B2560" t="s">
        <v>2944</v>
      </c>
      <c r="C2560" t="s">
        <v>3083</v>
      </c>
      <c r="F2560" s="898">
        <f>'Action POLLEC 2'!$H89</f>
        <v>0</v>
      </c>
    </row>
    <row r="2561" spans="1:6">
      <c r="A2561" t="s">
        <v>2986</v>
      </c>
      <c r="B2561" t="s">
        <v>2944</v>
      </c>
      <c r="C2561" t="s">
        <v>3084</v>
      </c>
      <c r="F2561" s="898">
        <f>'Action POLLEC 2'!$H90</f>
        <v>0</v>
      </c>
    </row>
    <row r="2562" spans="1:6">
      <c r="A2562" t="s">
        <v>2986</v>
      </c>
      <c r="B2562" t="s">
        <v>2944</v>
      </c>
      <c r="C2562" t="s">
        <v>3085</v>
      </c>
      <c r="F2562" s="898">
        <f>'Action POLLEC 2'!$H91</f>
        <v>0</v>
      </c>
    </row>
    <row r="2563" spans="1:6">
      <c r="A2563" t="s">
        <v>2986</v>
      </c>
      <c r="B2563" t="s">
        <v>2944</v>
      </c>
      <c r="C2563" t="s">
        <v>3086</v>
      </c>
      <c r="F2563" s="898">
        <f>'Action POLLEC 2'!$H92</f>
        <v>0</v>
      </c>
    </row>
    <row r="2564" spans="1:6">
      <c r="A2564" t="s">
        <v>2986</v>
      </c>
      <c r="B2564" t="s">
        <v>2944</v>
      </c>
      <c r="C2564" t="s">
        <v>3087</v>
      </c>
      <c r="F2564" s="898">
        <f>'Action POLLEC 2'!$H93</f>
        <v>0</v>
      </c>
    </row>
    <row r="2565" spans="1:6">
      <c r="A2565" t="s">
        <v>2986</v>
      </c>
      <c r="B2565" t="s">
        <v>2944</v>
      </c>
      <c r="C2565" t="s">
        <v>3088</v>
      </c>
      <c r="F2565" s="898">
        <f>'Action POLLEC 2'!$H94</f>
        <v>0</v>
      </c>
    </row>
    <row r="2566" spans="1:6">
      <c r="A2566" t="s">
        <v>2986</v>
      </c>
      <c r="B2566" t="s">
        <v>2944</v>
      </c>
      <c r="C2566" t="s">
        <v>3089</v>
      </c>
      <c r="F2566" s="898">
        <f>'Action POLLEC 2'!$H95</f>
        <v>0</v>
      </c>
    </row>
    <row r="2567" spans="1:6">
      <c r="A2567" t="s">
        <v>2986</v>
      </c>
      <c r="B2567" t="s">
        <v>2944</v>
      </c>
      <c r="C2567" t="s">
        <v>3090</v>
      </c>
      <c r="F2567" s="898">
        <f>'Action POLLEC 2'!$H96</f>
        <v>0</v>
      </c>
    </row>
    <row r="2568" spans="1:6">
      <c r="A2568" t="s">
        <v>2986</v>
      </c>
      <c r="B2568" t="s">
        <v>2945</v>
      </c>
      <c r="C2568" t="s">
        <v>2882</v>
      </c>
      <c r="F2568" s="898">
        <f>'Action POLLEC 2'!$B$101</f>
        <v>0</v>
      </c>
    </row>
    <row r="2569" spans="1:6">
      <c r="A2569" t="s">
        <v>2986</v>
      </c>
      <c r="B2569" t="s">
        <v>2945</v>
      </c>
      <c r="C2569" t="s">
        <v>2883</v>
      </c>
      <c r="F2569" s="898">
        <f>'Action POLLEC 2'!$B$102</f>
        <v>0</v>
      </c>
    </row>
    <row r="2570" spans="1:6">
      <c r="A2570" t="s">
        <v>2986</v>
      </c>
      <c r="B2570" t="s">
        <v>2945</v>
      </c>
      <c r="C2570" t="s">
        <v>2884</v>
      </c>
      <c r="F2570" s="898">
        <f>'Action POLLEC 2'!$B$103</f>
        <v>0</v>
      </c>
    </row>
    <row r="2571" spans="1:6">
      <c r="A2571" t="s">
        <v>2986</v>
      </c>
      <c r="B2571" t="s">
        <v>2945</v>
      </c>
      <c r="C2571" t="s">
        <v>2885</v>
      </c>
      <c r="F2571" s="898">
        <f>'Action POLLEC 2'!$B$104</f>
        <v>0</v>
      </c>
    </row>
    <row r="2572" spans="1:6">
      <c r="A2572" t="s">
        <v>2986</v>
      </c>
      <c r="B2572" t="s">
        <v>2945</v>
      </c>
      <c r="C2572" t="s">
        <v>2886</v>
      </c>
      <c r="F2572" s="898">
        <f>'Action POLLEC 2'!$B$105</f>
        <v>0</v>
      </c>
    </row>
    <row r="2573" spans="1:6">
      <c r="A2573" t="s">
        <v>2986</v>
      </c>
      <c r="B2573" t="s">
        <v>2945</v>
      </c>
      <c r="C2573" t="s">
        <v>2887</v>
      </c>
      <c r="F2573" s="898">
        <f>'Action POLLEC 2'!$B$106</f>
        <v>0</v>
      </c>
    </row>
    <row r="2574" spans="1:6">
      <c r="A2574" t="s">
        <v>2986</v>
      </c>
      <c r="B2574" t="s">
        <v>2945</v>
      </c>
      <c r="C2574" t="s">
        <v>2888</v>
      </c>
      <c r="F2574" s="898">
        <f>'Action POLLEC 2'!$B$107</f>
        <v>0</v>
      </c>
    </row>
    <row r="2575" spans="1:6">
      <c r="A2575" t="s">
        <v>2986</v>
      </c>
      <c r="B2575" t="s">
        <v>2945</v>
      </c>
      <c r="C2575" t="s">
        <v>2889</v>
      </c>
      <c r="F2575" s="898">
        <f>'Action POLLEC 2'!$B$108</f>
        <v>0</v>
      </c>
    </row>
    <row r="2576" spans="1:6">
      <c r="A2576" t="s">
        <v>2986</v>
      </c>
      <c r="B2576" t="s">
        <v>2945</v>
      </c>
      <c r="C2576" t="s">
        <v>2890</v>
      </c>
      <c r="F2576" s="898">
        <f>'Action POLLEC 2'!$B$109</f>
        <v>0</v>
      </c>
    </row>
    <row r="2577" spans="1:6">
      <c r="A2577" t="s">
        <v>2986</v>
      </c>
      <c r="B2577" t="s">
        <v>2945</v>
      </c>
      <c r="C2577" t="s">
        <v>2891</v>
      </c>
      <c r="F2577" s="898">
        <f>'Action POLLEC 2'!$B$110</f>
        <v>0</v>
      </c>
    </row>
    <row r="2578" spans="1:6">
      <c r="A2578" t="s">
        <v>2986</v>
      </c>
      <c r="B2578" t="s">
        <v>2945</v>
      </c>
      <c r="C2578" t="s">
        <v>2946</v>
      </c>
      <c r="F2578" s="898">
        <f>'Action POLLEC 2'!$C$101</f>
        <v>0</v>
      </c>
    </row>
    <row r="2579" spans="1:6">
      <c r="A2579" t="s">
        <v>2986</v>
      </c>
      <c r="B2579" t="s">
        <v>2945</v>
      </c>
      <c r="C2579" t="s">
        <v>2947</v>
      </c>
      <c r="F2579" s="898">
        <f>'Action POLLEC 2'!$C$102</f>
        <v>0</v>
      </c>
    </row>
    <row r="2580" spans="1:6">
      <c r="A2580" t="s">
        <v>2986</v>
      </c>
      <c r="B2580" t="s">
        <v>2945</v>
      </c>
      <c r="C2580" t="s">
        <v>2948</v>
      </c>
      <c r="F2580" s="898">
        <f>'Action POLLEC 2'!$C$103</f>
        <v>0</v>
      </c>
    </row>
    <row r="2581" spans="1:6">
      <c r="A2581" t="s">
        <v>2986</v>
      </c>
      <c r="B2581" t="s">
        <v>2945</v>
      </c>
      <c r="C2581" t="s">
        <v>2949</v>
      </c>
      <c r="F2581" s="898">
        <f>'Action POLLEC 2'!$C$104</f>
        <v>0</v>
      </c>
    </row>
    <row r="2582" spans="1:6">
      <c r="A2582" t="s">
        <v>2986</v>
      </c>
      <c r="B2582" t="s">
        <v>2945</v>
      </c>
      <c r="C2582" t="s">
        <v>2950</v>
      </c>
      <c r="F2582" s="898">
        <f>'Action POLLEC 2'!$C$105</f>
        <v>0</v>
      </c>
    </row>
    <row r="2583" spans="1:6">
      <c r="A2583" t="s">
        <v>2986</v>
      </c>
      <c r="B2583" t="s">
        <v>2945</v>
      </c>
      <c r="C2583" t="s">
        <v>2951</v>
      </c>
      <c r="F2583" s="898">
        <f>'Action POLLEC 2'!$C$106</f>
        <v>0</v>
      </c>
    </row>
    <row r="2584" spans="1:6">
      <c r="A2584" t="s">
        <v>2986</v>
      </c>
      <c r="B2584" t="s">
        <v>2945</v>
      </c>
      <c r="C2584" t="s">
        <v>2952</v>
      </c>
      <c r="F2584" s="898">
        <f>'Action POLLEC 2'!$C$107</f>
        <v>0</v>
      </c>
    </row>
    <row r="2585" spans="1:6">
      <c r="A2585" t="s">
        <v>2986</v>
      </c>
      <c r="B2585" t="s">
        <v>2945</v>
      </c>
      <c r="C2585" t="s">
        <v>2953</v>
      </c>
      <c r="F2585" s="898">
        <f>'Action POLLEC 2'!$C$108</f>
        <v>0</v>
      </c>
    </row>
    <row r="2586" spans="1:6">
      <c r="A2586" t="s">
        <v>2986</v>
      </c>
      <c r="B2586" t="s">
        <v>2945</v>
      </c>
      <c r="C2586" t="s">
        <v>2954</v>
      </c>
      <c r="F2586" s="898">
        <f>'Action POLLEC 2'!$C$109</f>
        <v>0</v>
      </c>
    </row>
    <row r="2587" spans="1:6">
      <c r="A2587" t="s">
        <v>2986</v>
      </c>
      <c r="B2587" t="s">
        <v>2945</v>
      </c>
      <c r="C2587" t="s">
        <v>2955</v>
      </c>
      <c r="F2587" s="898">
        <f>'Action POLLEC 2'!$C$110</f>
        <v>0</v>
      </c>
    </row>
    <row r="2588" spans="1:6">
      <c r="A2588" t="s">
        <v>2986</v>
      </c>
      <c r="B2588" t="s">
        <v>2945</v>
      </c>
      <c r="C2588" t="s">
        <v>2956</v>
      </c>
      <c r="F2588" s="898">
        <f>'Action POLLEC 2'!$D$101</f>
        <v>0</v>
      </c>
    </row>
    <row r="2589" spans="1:6">
      <c r="A2589" t="s">
        <v>2986</v>
      </c>
      <c r="B2589" t="s">
        <v>2945</v>
      </c>
      <c r="C2589" t="s">
        <v>2957</v>
      </c>
      <c r="F2589" s="898">
        <f>'Action POLLEC 2'!$D$102</f>
        <v>0</v>
      </c>
    </row>
    <row r="2590" spans="1:6">
      <c r="A2590" t="s">
        <v>2986</v>
      </c>
      <c r="B2590" t="s">
        <v>2945</v>
      </c>
      <c r="C2590" t="s">
        <v>2958</v>
      </c>
      <c r="F2590" s="898">
        <f>'Action POLLEC 2'!$D$103</f>
        <v>0</v>
      </c>
    </row>
    <row r="2591" spans="1:6">
      <c r="A2591" t="s">
        <v>2986</v>
      </c>
      <c r="B2591" t="s">
        <v>2945</v>
      </c>
      <c r="C2591" t="s">
        <v>2959</v>
      </c>
      <c r="F2591" s="898">
        <f>'Action POLLEC 2'!$D$104</f>
        <v>0</v>
      </c>
    </row>
    <row r="2592" spans="1:6">
      <c r="A2592" t="s">
        <v>2986</v>
      </c>
      <c r="B2592" t="s">
        <v>2945</v>
      </c>
      <c r="C2592" t="s">
        <v>2960</v>
      </c>
      <c r="F2592" s="898">
        <f>'Action POLLEC 2'!$D$105</f>
        <v>0</v>
      </c>
    </row>
    <row r="2593" spans="1:6">
      <c r="A2593" t="s">
        <v>2986</v>
      </c>
      <c r="B2593" t="s">
        <v>2945</v>
      </c>
      <c r="C2593" t="s">
        <v>2961</v>
      </c>
      <c r="F2593" s="898">
        <f>'Action POLLEC 2'!$D$106</f>
        <v>0</v>
      </c>
    </row>
    <row r="2594" spans="1:6">
      <c r="A2594" t="s">
        <v>2986</v>
      </c>
      <c r="B2594" t="s">
        <v>2945</v>
      </c>
      <c r="C2594" t="s">
        <v>2962</v>
      </c>
      <c r="F2594" s="898">
        <f>'Action POLLEC 2'!$D$107</f>
        <v>0</v>
      </c>
    </row>
    <row r="2595" spans="1:6">
      <c r="A2595" t="s">
        <v>2986</v>
      </c>
      <c r="B2595" t="s">
        <v>2945</v>
      </c>
      <c r="C2595" t="s">
        <v>2963</v>
      </c>
      <c r="F2595" s="898">
        <f>'Action POLLEC 2'!$D$108</f>
        <v>0</v>
      </c>
    </row>
    <row r="2596" spans="1:6">
      <c r="A2596" t="s">
        <v>2986</v>
      </c>
      <c r="B2596" t="s">
        <v>2945</v>
      </c>
      <c r="C2596" t="s">
        <v>2964</v>
      </c>
      <c r="F2596" s="898">
        <f>'Action POLLEC 2'!$D$109</f>
        <v>0</v>
      </c>
    </row>
    <row r="2597" spans="1:6">
      <c r="A2597" t="s">
        <v>2986</v>
      </c>
      <c r="B2597" t="s">
        <v>2945</v>
      </c>
      <c r="C2597" t="s">
        <v>2965</v>
      </c>
      <c r="F2597" s="898">
        <f>'Action POLLEC 2'!$D$110</f>
        <v>0</v>
      </c>
    </row>
    <row r="2598" spans="1:6">
      <c r="A2598" t="s">
        <v>2986</v>
      </c>
      <c r="B2598" t="s">
        <v>2945</v>
      </c>
      <c r="C2598" t="s">
        <v>2966</v>
      </c>
      <c r="F2598" s="898">
        <f>'Action POLLEC 2'!$E$101</f>
        <v>0</v>
      </c>
    </row>
    <row r="2599" spans="1:6">
      <c r="A2599" t="s">
        <v>2986</v>
      </c>
      <c r="B2599" t="s">
        <v>2945</v>
      </c>
      <c r="C2599" t="s">
        <v>2967</v>
      </c>
      <c r="F2599" s="898">
        <f>'Action POLLEC 2'!$E$102</f>
        <v>0</v>
      </c>
    </row>
    <row r="2600" spans="1:6">
      <c r="A2600" t="s">
        <v>2986</v>
      </c>
      <c r="B2600" t="s">
        <v>2945</v>
      </c>
      <c r="C2600" t="s">
        <v>2968</v>
      </c>
      <c r="F2600" s="898">
        <f>'Action POLLEC 2'!$E$103</f>
        <v>0</v>
      </c>
    </row>
    <row r="2601" spans="1:6">
      <c r="A2601" t="s">
        <v>2986</v>
      </c>
      <c r="B2601" t="s">
        <v>2945</v>
      </c>
      <c r="C2601" t="s">
        <v>2969</v>
      </c>
      <c r="F2601" s="898">
        <f>'Action POLLEC 2'!$E$104</f>
        <v>0</v>
      </c>
    </row>
    <row r="2602" spans="1:6">
      <c r="A2602" t="s">
        <v>2986</v>
      </c>
      <c r="B2602" t="s">
        <v>2945</v>
      </c>
      <c r="C2602" t="s">
        <v>2970</v>
      </c>
      <c r="F2602" s="898">
        <f>'Action POLLEC 2'!$E$105</f>
        <v>0</v>
      </c>
    </row>
    <row r="2603" spans="1:6">
      <c r="A2603" t="s">
        <v>2986</v>
      </c>
      <c r="B2603" t="s">
        <v>2945</v>
      </c>
      <c r="C2603" t="s">
        <v>2971</v>
      </c>
      <c r="F2603" s="898">
        <f>'Action POLLEC 2'!$E$106</f>
        <v>0</v>
      </c>
    </row>
    <row r="2604" spans="1:6">
      <c r="A2604" t="s">
        <v>2986</v>
      </c>
      <c r="B2604" t="s">
        <v>2945</v>
      </c>
      <c r="C2604" t="s">
        <v>2972</v>
      </c>
      <c r="F2604" s="898">
        <f>'Action POLLEC 2'!$E$107</f>
        <v>0</v>
      </c>
    </row>
    <row r="2605" spans="1:6">
      <c r="A2605" t="s">
        <v>2986</v>
      </c>
      <c r="B2605" t="s">
        <v>2945</v>
      </c>
      <c r="C2605" t="s">
        <v>2973</v>
      </c>
      <c r="F2605" s="898">
        <f>'Action POLLEC 2'!$E$108</f>
        <v>0</v>
      </c>
    </row>
    <row r="2606" spans="1:6">
      <c r="A2606" t="s">
        <v>2986</v>
      </c>
      <c r="B2606" t="s">
        <v>2945</v>
      </c>
      <c r="C2606" t="s">
        <v>2974</v>
      </c>
      <c r="F2606" s="898">
        <f>'Action POLLEC 2'!$E$109</f>
        <v>0</v>
      </c>
    </row>
    <row r="2607" spans="1:6">
      <c r="A2607" t="s">
        <v>2986</v>
      </c>
      <c r="B2607" t="s">
        <v>2945</v>
      </c>
      <c r="C2607" t="s">
        <v>2975</v>
      </c>
      <c r="F2607" s="898">
        <f>'Action POLLEC 2'!$E$110</f>
        <v>0</v>
      </c>
    </row>
    <row r="2608" spans="1:6">
      <c r="A2608" t="s">
        <v>2986</v>
      </c>
      <c r="B2608" t="s">
        <v>2945</v>
      </c>
      <c r="C2608" t="s">
        <v>2866</v>
      </c>
      <c r="F2608" s="898">
        <f>'Action POLLEC 2'!$F$101</f>
        <v>0</v>
      </c>
    </row>
    <row r="2609" spans="1:6">
      <c r="A2609" t="s">
        <v>2986</v>
      </c>
      <c r="B2609" t="s">
        <v>2945</v>
      </c>
      <c r="C2609" t="s">
        <v>2867</v>
      </c>
      <c r="F2609" s="898">
        <f>'Action POLLEC 2'!$F$102</f>
        <v>0</v>
      </c>
    </row>
    <row r="2610" spans="1:6">
      <c r="A2610" t="s">
        <v>2986</v>
      </c>
      <c r="B2610" t="s">
        <v>2945</v>
      </c>
      <c r="C2610" t="s">
        <v>2868</v>
      </c>
      <c r="F2610" s="898">
        <f>'Action POLLEC 2'!$F$103</f>
        <v>0</v>
      </c>
    </row>
    <row r="2611" spans="1:6">
      <c r="A2611" t="s">
        <v>2986</v>
      </c>
      <c r="B2611" t="s">
        <v>2945</v>
      </c>
      <c r="C2611" t="s">
        <v>2869</v>
      </c>
      <c r="F2611" s="898">
        <f>'Action POLLEC 2'!$F$104</f>
        <v>0</v>
      </c>
    </row>
    <row r="2612" spans="1:6">
      <c r="A2612" t="s">
        <v>2986</v>
      </c>
      <c r="B2612" t="s">
        <v>2945</v>
      </c>
      <c r="C2612" t="s">
        <v>2870</v>
      </c>
      <c r="F2612" s="898">
        <f>'Action POLLEC 2'!$F$105</f>
        <v>0</v>
      </c>
    </row>
    <row r="2613" spans="1:6">
      <c r="A2613" t="s">
        <v>2986</v>
      </c>
      <c r="B2613" t="s">
        <v>2945</v>
      </c>
      <c r="C2613" t="s">
        <v>2871</v>
      </c>
      <c r="F2613" s="898">
        <f>'Action POLLEC 2'!$F$106</f>
        <v>0</v>
      </c>
    </row>
    <row r="2614" spans="1:6">
      <c r="A2614" t="s">
        <v>2986</v>
      </c>
      <c r="B2614" t="s">
        <v>2945</v>
      </c>
      <c r="C2614" t="s">
        <v>2872</v>
      </c>
      <c r="F2614" s="898">
        <f>'Action POLLEC 2'!$F$107</f>
        <v>0</v>
      </c>
    </row>
    <row r="2615" spans="1:6">
      <c r="A2615" t="s">
        <v>2986</v>
      </c>
      <c r="B2615" t="s">
        <v>2945</v>
      </c>
      <c r="C2615" t="s">
        <v>2873</v>
      </c>
      <c r="F2615" s="898">
        <f>'Action POLLEC 2'!$F$108</f>
        <v>0</v>
      </c>
    </row>
    <row r="2616" spans="1:6">
      <c r="A2616" t="s">
        <v>2986</v>
      </c>
      <c r="B2616" t="s">
        <v>2945</v>
      </c>
      <c r="C2616" t="s">
        <v>2912</v>
      </c>
      <c r="F2616" s="898">
        <f>'Action POLLEC 2'!$F$109</f>
        <v>0</v>
      </c>
    </row>
    <row r="2617" spans="1:6">
      <c r="A2617" t="s">
        <v>2986</v>
      </c>
      <c r="B2617" t="s">
        <v>2945</v>
      </c>
      <c r="C2617" t="s">
        <v>2913</v>
      </c>
      <c r="F2617" s="898">
        <f>'Action POLLEC 2'!$F$110</f>
        <v>0</v>
      </c>
    </row>
    <row r="2618" spans="1:6">
      <c r="A2618" t="s">
        <v>2986</v>
      </c>
      <c r="B2618" t="s">
        <v>2945</v>
      </c>
      <c r="C2618" t="s">
        <v>2914</v>
      </c>
      <c r="F2618" s="898">
        <f>'Action POLLEC 2'!$G$101</f>
        <v>0</v>
      </c>
    </row>
    <row r="2619" spans="1:6">
      <c r="A2619" t="s">
        <v>2986</v>
      </c>
      <c r="B2619" t="s">
        <v>2945</v>
      </c>
      <c r="C2619" t="s">
        <v>2915</v>
      </c>
      <c r="F2619" s="898">
        <f>'Action POLLEC 2'!$G$102</f>
        <v>0</v>
      </c>
    </row>
    <row r="2620" spans="1:6">
      <c r="A2620" t="s">
        <v>2986</v>
      </c>
      <c r="B2620" t="s">
        <v>2945</v>
      </c>
      <c r="C2620" t="s">
        <v>2916</v>
      </c>
      <c r="F2620" s="898">
        <f>'Action POLLEC 2'!$G$103</f>
        <v>0</v>
      </c>
    </row>
    <row r="2621" spans="1:6">
      <c r="A2621" t="s">
        <v>2986</v>
      </c>
      <c r="B2621" t="s">
        <v>2945</v>
      </c>
      <c r="C2621" t="s">
        <v>2917</v>
      </c>
      <c r="F2621" s="898">
        <f>'Action POLLEC 2'!$G$104</f>
        <v>0</v>
      </c>
    </row>
    <row r="2622" spans="1:6">
      <c r="A2622" t="s">
        <v>2986</v>
      </c>
      <c r="B2622" t="s">
        <v>2945</v>
      </c>
      <c r="C2622" t="s">
        <v>2918</v>
      </c>
      <c r="F2622" s="898">
        <f>'Action POLLEC 2'!$G$105</f>
        <v>0</v>
      </c>
    </row>
    <row r="2623" spans="1:6">
      <c r="A2623" t="s">
        <v>2986</v>
      </c>
      <c r="B2623" t="s">
        <v>2945</v>
      </c>
      <c r="C2623" t="s">
        <v>2919</v>
      </c>
      <c r="F2623" s="898">
        <f>'Action POLLEC 2'!$G$106</f>
        <v>0</v>
      </c>
    </row>
    <row r="2624" spans="1:6">
      <c r="A2624" t="s">
        <v>2986</v>
      </c>
      <c r="B2624" t="s">
        <v>2945</v>
      </c>
      <c r="C2624" t="s">
        <v>2920</v>
      </c>
      <c r="F2624" s="898">
        <f>'Action POLLEC 2'!$G$107</f>
        <v>0</v>
      </c>
    </row>
    <row r="2625" spans="1:6">
      <c r="A2625" t="s">
        <v>2986</v>
      </c>
      <c r="B2625" t="s">
        <v>2945</v>
      </c>
      <c r="C2625" t="s">
        <v>2921</v>
      </c>
      <c r="F2625" s="898">
        <f>'Action POLLEC 2'!$G$108</f>
        <v>0</v>
      </c>
    </row>
    <row r="2626" spans="1:6">
      <c r="A2626" t="s">
        <v>2986</v>
      </c>
      <c r="B2626" t="s">
        <v>2945</v>
      </c>
      <c r="C2626" t="s">
        <v>2922</v>
      </c>
      <c r="F2626" s="898">
        <f>'Action POLLEC 2'!$G$109</f>
        <v>0</v>
      </c>
    </row>
    <row r="2627" spans="1:6">
      <c r="A2627" t="s">
        <v>2986</v>
      </c>
      <c r="B2627" t="s">
        <v>2945</v>
      </c>
      <c r="C2627" t="s">
        <v>2923</v>
      </c>
      <c r="F2627" s="898">
        <f>'Action POLLEC 2'!$G$110</f>
        <v>0</v>
      </c>
    </row>
    <row r="2628" spans="1:6">
      <c r="A2628" t="s">
        <v>2986</v>
      </c>
      <c r="B2628" t="s">
        <v>2945</v>
      </c>
      <c r="C2628" t="s">
        <v>2976</v>
      </c>
      <c r="F2628" s="898">
        <f>'Action POLLEC 2'!$H$101</f>
        <v>0</v>
      </c>
    </row>
    <row r="2629" spans="1:6">
      <c r="A2629" t="s">
        <v>2986</v>
      </c>
      <c r="B2629" t="s">
        <v>2945</v>
      </c>
      <c r="C2629" t="s">
        <v>2977</v>
      </c>
      <c r="F2629" s="898">
        <f>'Action POLLEC 2'!$H$102</f>
        <v>0</v>
      </c>
    </row>
    <row r="2630" spans="1:6">
      <c r="A2630" t="s">
        <v>2986</v>
      </c>
      <c r="B2630" t="s">
        <v>2945</v>
      </c>
      <c r="C2630" t="s">
        <v>2978</v>
      </c>
      <c r="F2630" s="898">
        <f>'Action POLLEC 2'!$H$103</f>
        <v>0</v>
      </c>
    </row>
    <row r="2631" spans="1:6">
      <c r="A2631" t="s">
        <v>2986</v>
      </c>
      <c r="B2631" t="s">
        <v>2945</v>
      </c>
      <c r="C2631" t="s">
        <v>2979</v>
      </c>
      <c r="F2631" s="898">
        <f>'Action POLLEC 2'!$H$104</f>
        <v>0</v>
      </c>
    </row>
    <row r="2632" spans="1:6">
      <c r="A2632" t="s">
        <v>2986</v>
      </c>
      <c r="B2632" t="s">
        <v>2945</v>
      </c>
      <c r="C2632" t="s">
        <v>2980</v>
      </c>
      <c r="F2632" s="898">
        <f>'Action POLLEC 2'!$H$105</f>
        <v>0</v>
      </c>
    </row>
    <row r="2633" spans="1:6">
      <c r="A2633" t="s">
        <v>2986</v>
      </c>
      <c r="B2633" t="s">
        <v>2945</v>
      </c>
      <c r="C2633" t="s">
        <v>2981</v>
      </c>
      <c r="F2633" s="898">
        <f>'Action POLLEC 2'!$H$106</f>
        <v>0</v>
      </c>
    </row>
    <row r="2634" spans="1:6">
      <c r="A2634" t="s">
        <v>2986</v>
      </c>
      <c r="B2634" t="s">
        <v>2945</v>
      </c>
      <c r="C2634" t="s">
        <v>2982</v>
      </c>
      <c r="F2634" s="898">
        <f>'Action POLLEC 2'!$H$107</f>
        <v>0</v>
      </c>
    </row>
    <row r="2635" spans="1:6">
      <c r="A2635" t="s">
        <v>2986</v>
      </c>
      <c r="B2635" t="s">
        <v>2945</v>
      </c>
      <c r="C2635" t="s">
        <v>2983</v>
      </c>
      <c r="F2635" s="898">
        <f>'Action POLLEC 2'!$H$108</f>
        <v>0</v>
      </c>
    </row>
    <row r="2636" spans="1:6">
      <c r="A2636" t="s">
        <v>2986</v>
      </c>
      <c r="B2636" t="s">
        <v>2945</v>
      </c>
      <c r="C2636" t="s">
        <v>2984</v>
      </c>
      <c r="F2636" s="898">
        <f>'Action POLLEC 2'!$H$109</f>
        <v>0</v>
      </c>
    </row>
    <row r="2637" spans="1:6">
      <c r="A2637" t="s">
        <v>2986</v>
      </c>
      <c r="B2637" t="s">
        <v>2945</v>
      </c>
      <c r="C2637" t="s">
        <v>2985</v>
      </c>
      <c r="F2637" s="898">
        <f>'Action POLLEC 2'!$H$110</f>
        <v>0</v>
      </c>
    </row>
    <row r="2638" spans="1:6">
      <c r="A2638" t="s">
        <v>2986</v>
      </c>
      <c r="B2638" t="s">
        <v>2945</v>
      </c>
      <c r="C2638" t="s">
        <v>2934</v>
      </c>
      <c r="F2638" s="898">
        <f>'Action POLLEC 2'!$I$101</f>
        <v>0</v>
      </c>
    </row>
    <row r="2639" spans="1:6">
      <c r="A2639" t="s">
        <v>2986</v>
      </c>
      <c r="B2639" t="s">
        <v>2945</v>
      </c>
      <c r="C2639" t="s">
        <v>2935</v>
      </c>
      <c r="F2639" s="898">
        <f>'Action POLLEC 2'!$I$102</f>
        <v>0</v>
      </c>
    </row>
    <row r="2640" spans="1:6">
      <c r="A2640" t="s">
        <v>2986</v>
      </c>
      <c r="B2640" t="s">
        <v>2945</v>
      </c>
      <c r="C2640" t="s">
        <v>2936</v>
      </c>
      <c r="F2640" s="898">
        <f>'Action POLLEC 2'!$I$103</f>
        <v>0</v>
      </c>
    </row>
    <row r="2641" spans="1:6">
      <c r="A2641" t="s">
        <v>2986</v>
      </c>
      <c r="B2641" t="s">
        <v>2945</v>
      </c>
      <c r="C2641" t="s">
        <v>2937</v>
      </c>
      <c r="F2641" s="898">
        <f>'Action POLLEC 2'!$I$104</f>
        <v>0</v>
      </c>
    </row>
    <row r="2642" spans="1:6">
      <c r="A2642" t="s">
        <v>2986</v>
      </c>
      <c r="B2642" t="s">
        <v>2945</v>
      </c>
      <c r="C2642" t="s">
        <v>2938</v>
      </c>
      <c r="F2642" s="898">
        <f>'Action POLLEC 2'!$I$105</f>
        <v>0</v>
      </c>
    </row>
    <row r="2643" spans="1:6">
      <c r="A2643" t="s">
        <v>2986</v>
      </c>
      <c r="B2643" t="s">
        <v>2945</v>
      </c>
      <c r="C2643" t="s">
        <v>2939</v>
      </c>
      <c r="F2643" s="898">
        <f>'Action POLLEC 2'!$I$106</f>
        <v>0</v>
      </c>
    </row>
    <row r="2644" spans="1:6">
      <c r="A2644" t="s">
        <v>2986</v>
      </c>
      <c r="B2644" t="s">
        <v>2945</v>
      </c>
      <c r="C2644" t="s">
        <v>2940</v>
      </c>
      <c r="F2644" s="898">
        <f>'Action POLLEC 2'!$I$107</f>
        <v>0</v>
      </c>
    </row>
    <row r="2645" spans="1:6">
      <c r="A2645" t="s">
        <v>2986</v>
      </c>
      <c r="B2645" t="s">
        <v>2945</v>
      </c>
      <c r="C2645" t="s">
        <v>2941</v>
      </c>
      <c r="F2645" s="898">
        <f>'Action POLLEC 2'!$I$108</f>
        <v>0</v>
      </c>
    </row>
    <row r="2646" spans="1:6">
      <c r="A2646" t="s">
        <v>2986</v>
      </c>
      <c r="B2646" t="s">
        <v>2945</v>
      </c>
      <c r="C2646" t="s">
        <v>2942</v>
      </c>
      <c r="F2646" s="898">
        <f>'Action POLLEC 2'!$I$109</f>
        <v>0</v>
      </c>
    </row>
    <row r="2647" spans="1:6">
      <c r="A2647" t="s">
        <v>2986</v>
      </c>
      <c r="B2647" t="s">
        <v>2945</v>
      </c>
      <c r="C2647" t="s">
        <v>2943</v>
      </c>
      <c r="F2647" s="898">
        <f>'Action POLLEC 2'!$I$110</f>
        <v>0</v>
      </c>
    </row>
    <row r="2648" spans="1:6">
      <c r="A2648" t="s">
        <v>2987</v>
      </c>
      <c r="B2648" t="s">
        <v>2831</v>
      </c>
      <c r="F2648" s="898">
        <f>'Action POLLEC 3'!$F$10</f>
        <v>0</v>
      </c>
    </row>
    <row r="2649" spans="1:6">
      <c r="A2649" t="s">
        <v>2987</v>
      </c>
      <c r="B2649" t="s">
        <v>3006</v>
      </c>
      <c r="F2649" s="898" t="str">
        <f ca="1">'Action POLLEC 3'!F6</f>
        <v/>
      </c>
    </row>
    <row r="2650" spans="1:6">
      <c r="A2650" t="s">
        <v>2987</v>
      </c>
      <c r="B2650" t="s">
        <v>725</v>
      </c>
      <c r="F2650" s="898" t="str">
        <f ca="1">'Action POLLEC 3'!B19</f>
        <v>-</v>
      </c>
    </row>
    <row r="2651" spans="1:6">
      <c r="A2651" t="s">
        <v>2987</v>
      </c>
      <c r="B2651" t="s">
        <v>325</v>
      </c>
      <c r="F2651" s="898">
        <f>'Action POLLEC 3'!$B$20</f>
        <v>0</v>
      </c>
    </row>
    <row r="2652" spans="1:6">
      <c r="A2652" t="s">
        <v>2987</v>
      </c>
      <c r="B2652" t="s">
        <v>2832</v>
      </c>
      <c r="F2652" s="898">
        <f>'Action POLLEC 3'!$B$21</f>
        <v>0</v>
      </c>
    </row>
    <row r="2653" spans="1:6">
      <c r="A2653" t="s">
        <v>2987</v>
      </c>
      <c r="B2653" t="s">
        <v>2833</v>
      </c>
      <c r="F2653" s="898" t="str">
        <f ca="1">'Action POLLEC 3'!$B$26</f>
        <v>-</v>
      </c>
    </row>
    <row r="2654" spans="1:6">
      <c r="A2654" t="s">
        <v>2987</v>
      </c>
      <c r="B2654" t="s">
        <v>2834</v>
      </c>
      <c r="F2654" s="898">
        <f>'Action POLLEC 3'!$B$27</f>
        <v>0</v>
      </c>
    </row>
    <row r="2655" spans="1:6">
      <c r="A2655" t="s">
        <v>2987</v>
      </c>
      <c r="B2655" t="s">
        <v>2835</v>
      </c>
      <c r="F2655" s="898">
        <f>'Action POLLEC 3'!$B$28</f>
        <v>0</v>
      </c>
    </row>
    <row r="2656" spans="1:6">
      <c r="A2656" t="s">
        <v>2987</v>
      </c>
      <c r="B2656" t="s">
        <v>2836</v>
      </c>
      <c r="F2656" s="898">
        <f>'Action POLLEC 3'!$B$29</f>
        <v>0</v>
      </c>
    </row>
    <row r="2657" spans="1:6">
      <c r="A2657" t="s">
        <v>2987</v>
      </c>
      <c r="B2657" t="s">
        <v>2837</v>
      </c>
      <c r="F2657" s="898">
        <f>'Action POLLEC 3'!$B$30</f>
        <v>0</v>
      </c>
    </row>
    <row r="2658" spans="1:6">
      <c r="A2658" t="s">
        <v>2987</v>
      </c>
      <c r="B2658" t="s">
        <v>2838</v>
      </c>
      <c r="F2658" s="898">
        <f>'Action POLLEC 3'!$D$26</f>
        <v>0</v>
      </c>
    </row>
    <row r="2659" spans="1:6">
      <c r="A2659" t="s">
        <v>2987</v>
      </c>
      <c r="B2659" t="s">
        <v>2839</v>
      </c>
      <c r="F2659" s="898">
        <f>'Action POLLEC 3'!$D$27</f>
        <v>0</v>
      </c>
    </row>
    <row r="2660" spans="1:6">
      <c r="A2660" t="s">
        <v>2987</v>
      </c>
      <c r="B2660" t="s">
        <v>2840</v>
      </c>
      <c r="F2660" s="898">
        <f>'Action POLLEC 3'!$D$28</f>
        <v>0</v>
      </c>
    </row>
    <row r="2661" spans="1:6">
      <c r="A2661" t="s">
        <v>2987</v>
      </c>
      <c r="B2661" t="s">
        <v>2841</v>
      </c>
      <c r="F2661" s="898">
        <f>'Action POLLEC 3'!$D$29</f>
        <v>0</v>
      </c>
    </row>
    <row r="2662" spans="1:6">
      <c r="A2662" t="s">
        <v>2987</v>
      </c>
      <c r="B2662" t="s">
        <v>2842</v>
      </c>
      <c r="F2662" s="898">
        <f>'Action POLLEC 3'!$D$30</f>
        <v>0</v>
      </c>
    </row>
    <row r="2663" spans="1:6">
      <c r="A2663" t="s">
        <v>2987</v>
      </c>
      <c r="B2663" t="s">
        <v>2843</v>
      </c>
      <c r="F2663" s="898">
        <f>'Action POLLEC 3'!$F$26</f>
        <v>0</v>
      </c>
    </row>
    <row r="2664" spans="1:6">
      <c r="A2664" t="s">
        <v>2987</v>
      </c>
      <c r="B2664" t="s">
        <v>2844</v>
      </c>
      <c r="F2664" s="898">
        <f>'Action POLLEC 3'!$F$27</f>
        <v>0</v>
      </c>
    </row>
    <row r="2665" spans="1:6">
      <c r="A2665" t="s">
        <v>2987</v>
      </c>
      <c r="B2665" t="s">
        <v>2845</v>
      </c>
      <c r="F2665" s="898">
        <f>'Action POLLEC 3'!$F$28</f>
        <v>0</v>
      </c>
    </row>
    <row r="2666" spans="1:6">
      <c r="A2666" t="s">
        <v>2987</v>
      </c>
      <c r="B2666" t="s">
        <v>2846</v>
      </c>
      <c r="F2666" s="898">
        <f>'Action POLLEC 3'!$F$29</f>
        <v>0</v>
      </c>
    </row>
    <row r="2667" spans="1:6">
      <c r="A2667" t="s">
        <v>2987</v>
      </c>
      <c r="B2667" t="s">
        <v>2847</v>
      </c>
      <c r="F2667" s="898">
        <f>'Action POLLEC 3'!$F$30</f>
        <v>0</v>
      </c>
    </row>
    <row r="2668" spans="1:6">
      <c r="A2668" t="s">
        <v>2987</v>
      </c>
      <c r="B2668" t="s">
        <v>2848</v>
      </c>
      <c r="F2668" s="898">
        <f>'Action POLLEC 3'!$B$32</f>
        <v>0</v>
      </c>
    </row>
    <row r="2669" spans="1:6">
      <c r="A2669" t="s">
        <v>2987</v>
      </c>
      <c r="B2669" t="s">
        <v>2849</v>
      </c>
      <c r="F2669" s="898">
        <f>'Action POLLEC 3'!$B$33</f>
        <v>0</v>
      </c>
    </row>
    <row r="2670" spans="1:6">
      <c r="A2670" t="s">
        <v>2987</v>
      </c>
      <c r="B2670" t="s">
        <v>2850</v>
      </c>
      <c r="F2670" s="898">
        <f>'Action POLLEC 3'!$B$53</f>
        <v>0</v>
      </c>
    </row>
    <row r="2671" spans="1:6">
      <c r="A2671" t="s">
        <v>2987</v>
      </c>
      <c r="B2671" t="s">
        <v>2851</v>
      </c>
      <c r="F2671" s="898">
        <f>'Action POLLEC 3'!$B$54</f>
        <v>0</v>
      </c>
    </row>
    <row r="2672" spans="1:6">
      <c r="A2672" t="s">
        <v>2987</v>
      </c>
      <c r="B2672" t="s">
        <v>2852</v>
      </c>
      <c r="F2672" s="898">
        <f>'Action POLLEC 3'!$B$55</f>
        <v>0</v>
      </c>
    </row>
    <row r="2673" spans="1:6">
      <c r="A2673" t="s">
        <v>2987</v>
      </c>
      <c r="B2673" t="s">
        <v>2853</v>
      </c>
      <c r="F2673" s="898">
        <f>'Action POLLEC 3'!$B$56</f>
        <v>0</v>
      </c>
    </row>
    <row r="2674" spans="1:6">
      <c r="A2674" t="s">
        <v>2987</v>
      </c>
      <c r="B2674" t="s">
        <v>2854</v>
      </c>
      <c r="F2674" s="898">
        <f>'Action POLLEC 3'!$B$57</f>
        <v>0</v>
      </c>
    </row>
    <row r="2675" spans="1:6">
      <c r="A2675" t="s">
        <v>2987</v>
      </c>
      <c r="B2675" t="s">
        <v>2855</v>
      </c>
      <c r="F2675" s="898">
        <f>'Action POLLEC 3'!$B$58</f>
        <v>0</v>
      </c>
    </row>
    <row r="2676" spans="1:6">
      <c r="A2676" t="s">
        <v>2987</v>
      </c>
      <c r="B2676" t="s">
        <v>2856</v>
      </c>
      <c r="F2676" s="898">
        <f>'Action POLLEC 3'!$B$59</f>
        <v>0</v>
      </c>
    </row>
    <row r="2677" spans="1:6">
      <c r="A2677" t="s">
        <v>2987</v>
      </c>
      <c r="B2677" t="s">
        <v>2857</v>
      </c>
      <c r="F2677" s="898">
        <f>'Action POLLEC 3'!$B60</f>
        <v>0</v>
      </c>
    </row>
    <row r="2678" spans="1:6">
      <c r="A2678" t="s">
        <v>2987</v>
      </c>
      <c r="B2678" t="s">
        <v>3007</v>
      </c>
      <c r="F2678" s="898">
        <f>'Action POLLEC 3'!$B61</f>
        <v>0</v>
      </c>
    </row>
    <row r="2679" spans="1:6">
      <c r="A2679" t="s">
        <v>2987</v>
      </c>
      <c r="B2679" t="s">
        <v>3008</v>
      </c>
      <c r="F2679" s="898">
        <f>'Action POLLEC 3'!$B62</f>
        <v>0</v>
      </c>
    </row>
    <row r="2680" spans="1:6">
      <c r="A2680" t="s">
        <v>2987</v>
      </c>
      <c r="B2680" t="s">
        <v>3009</v>
      </c>
      <c r="F2680" s="898">
        <f>'Action POLLEC 3'!$B63</f>
        <v>0</v>
      </c>
    </row>
    <row r="2681" spans="1:6">
      <c r="A2681" t="s">
        <v>2987</v>
      </c>
      <c r="B2681" t="s">
        <v>3010</v>
      </c>
      <c r="F2681" s="898">
        <f>'Action POLLEC 3'!$B64</f>
        <v>0</v>
      </c>
    </row>
    <row r="2682" spans="1:6">
      <c r="A2682" t="s">
        <v>2987</v>
      </c>
      <c r="B2682" t="s">
        <v>3011</v>
      </c>
      <c r="F2682" s="898">
        <f>'Action POLLEC 3'!$B65</f>
        <v>0</v>
      </c>
    </row>
    <row r="2683" spans="1:6">
      <c r="A2683" t="s">
        <v>2987</v>
      </c>
      <c r="B2683" t="s">
        <v>3012</v>
      </c>
      <c r="F2683" s="898">
        <f>'Action POLLEC 3'!$B66</f>
        <v>0</v>
      </c>
    </row>
    <row r="2684" spans="1:6">
      <c r="A2684" t="s">
        <v>2987</v>
      </c>
      <c r="B2684" t="s">
        <v>3013</v>
      </c>
      <c r="F2684" s="898">
        <f>'Action POLLEC 3'!$B67</f>
        <v>0</v>
      </c>
    </row>
    <row r="2685" spans="1:6">
      <c r="A2685" t="s">
        <v>2987</v>
      </c>
      <c r="B2685" t="s">
        <v>2858</v>
      </c>
      <c r="F2685" s="898">
        <f>'Action POLLEC 3'!$E$53</f>
        <v>0</v>
      </c>
    </row>
    <row r="2686" spans="1:6">
      <c r="A2686" t="s">
        <v>2987</v>
      </c>
      <c r="B2686" t="s">
        <v>2859</v>
      </c>
      <c r="F2686" s="898">
        <f>'Action POLLEC 3'!$E$54</f>
        <v>0</v>
      </c>
    </row>
    <row r="2687" spans="1:6">
      <c r="A2687" t="s">
        <v>2987</v>
      </c>
      <c r="B2687" t="s">
        <v>2860</v>
      </c>
      <c r="F2687" s="898">
        <f>'Action POLLEC 3'!$E$55</f>
        <v>0</v>
      </c>
    </row>
    <row r="2688" spans="1:6">
      <c r="A2688" t="s">
        <v>2987</v>
      </c>
      <c r="B2688" t="s">
        <v>2861</v>
      </c>
      <c r="F2688" s="898">
        <f>'Action POLLEC 3'!$E$56</f>
        <v>0</v>
      </c>
    </row>
    <row r="2689" spans="1:6">
      <c r="A2689" t="s">
        <v>2987</v>
      </c>
      <c r="B2689" t="s">
        <v>2862</v>
      </c>
      <c r="F2689" s="898">
        <f>'Action POLLEC 3'!$E$57</f>
        <v>0</v>
      </c>
    </row>
    <row r="2690" spans="1:6">
      <c r="A2690" t="s">
        <v>2987</v>
      </c>
      <c r="B2690" t="s">
        <v>2863</v>
      </c>
      <c r="F2690" s="898">
        <f>'Action POLLEC 3'!$E$58</f>
        <v>0</v>
      </c>
    </row>
    <row r="2691" spans="1:6">
      <c r="A2691" t="s">
        <v>2987</v>
      </c>
      <c r="B2691" t="s">
        <v>2864</v>
      </c>
      <c r="F2691" s="898">
        <f>'Action POLLEC 3'!$E$59</f>
        <v>0</v>
      </c>
    </row>
    <row r="2692" spans="1:6">
      <c r="A2692" t="s">
        <v>2987</v>
      </c>
      <c r="B2692" t="s">
        <v>2865</v>
      </c>
      <c r="F2692" s="898">
        <f>'Action POLLEC 3'!$E60</f>
        <v>0</v>
      </c>
    </row>
    <row r="2693" spans="1:6">
      <c r="A2693" t="s">
        <v>2987</v>
      </c>
      <c r="B2693" t="s">
        <v>3091</v>
      </c>
      <c r="F2693" s="898">
        <f>'Action POLLEC 3'!$E61</f>
        <v>0</v>
      </c>
    </row>
    <row r="2694" spans="1:6">
      <c r="A2694" t="s">
        <v>2987</v>
      </c>
      <c r="B2694" t="s">
        <v>3092</v>
      </c>
      <c r="F2694" s="898">
        <f>'Action POLLEC 3'!$E62</f>
        <v>0</v>
      </c>
    </row>
    <row r="2695" spans="1:6">
      <c r="A2695" t="s">
        <v>2987</v>
      </c>
      <c r="B2695" t="s">
        <v>3093</v>
      </c>
      <c r="F2695" s="898">
        <f>'Action POLLEC 3'!$E63</f>
        <v>0</v>
      </c>
    </row>
    <row r="2696" spans="1:6">
      <c r="A2696" t="s">
        <v>2987</v>
      </c>
      <c r="B2696" t="s">
        <v>3094</v>
      </c>
      <c r="F2696" s="898">
        <f>'Action POLLEC 3'!$E64</f>
        <v>0</v>
      </c>
    </row>
    <row r="2697" spans="1:6">
      <c r="A2697" t="s">
        <v>2987</v>
      </c>
      <c r="B2697" t="s">
        <v>3095</v>
      </c>
      <c r="F2697" s="898">
        <f>'Action POLLEC 3'!$E65</f>
        <v>0</v>
      </c>
    </row>
    <row r="2698" spans="1:6">
      <c r="A2698" t="s">
        <v>2987</v>
      </c>
      <c r="B2698" t="s">
        <v>3096</v>
      </c>
      <c r="F2698" s="898">
        <f>'Action POLLEC 3'!$E66</f>
        <v>0</v>
      </c>
    </row>
    <row r="2699" spans="1:6">
      <c r="A2699" t="s">
        <v>2987</v>
      </c>
      <c r="B2699" t="s">
        <v>3097</v>
      </c>
      <c r="F2699" s="898">
        <f>'Action POLLEC 3'!$E67</f>
        <v>0</v>
      </c>
    </row>
    <row r="2700" spans="1:6">
      <c r="A2700" t="s">
        <v>2987</v>
      </c>
      <c r="B2700" t="s">
        <v>2866</v>
      </c>
      <c r="F2700" s="898">
        <f>'Action POLLEC 3'!$F$53</f>
        <v>0</v>
      </c>
    </row>
    <row r="2701" spans="1:6">
      <c r="A2701" t="s">
        <v>2987</v>
      </c>
      <c r="B2701" t="s">
        <v>2867</v>
      </c>
      <c r="F2701" s="898">
        <f>'Action POLLEC 3'!$F$54</f>
        <v>0</v>
      </c>
    </row>
    <row r="2702" spans="1:6">
      <c r="A2702" t="s">
        <v>2987</v>
      </c>
      <c r="B2702" t="s">
        <v>2868</v>
      </c>
      <c r="F2702" s="898">
        <f>'Action POLLEC 3'!$F$55</f>
        <v>0</v>
      </c>
    </row>
    <row r="2703" spans="1:6">
      <c r="A2703" t="s">
        <v>2987</v>
      </c>
      <c r="B2703" t="s">
        <v>2869</v>
      </c>
      <c r="F2703" s="898">
        <f>'Action POLLEC 3'!$F$56</f>
        <v>0</v>
      </c>
    </row>
    <row r="2704" spans="1:6">
      <c r="A2704" t="s">
        <v>2987</v>
      </c>
      <c r="B2704" t="s">
        <v>2870</v>
      </c>
      <c r="F2704" s="898">
        <f>'Action POLLEC 3'!$F$57</f>
        <v>0</v>
      </c>
    </row>
    <row r="2705" spans="1:6">
      <c r="A2705" t="s">
        <v>2987</v>
      </c>
      <c r="B2705" t="s">
        <v>2871</v>
      </c>
      <c r="F2705" s="898">
        <f>'Action POLLEC 3'!$F$58</f>
        <v>0</v>
      </c>
    </row>
    <row r="2706" spans="1:6">
      <c r="A2706" t="s">
        <v>2987</v>
      </c>
      <c r="B2706" t="s">
        <v>2872</v>
      </c>
      <c r="F2706" s="898">
        <f>'Action POLLEC 3'!$F$59</f>
        <v>0</v>
      </c>
    </row>
    <row r="2707" spans="1:6">
      <c r="A2707" t="s">
        <v>2987</v>
      </c>
      <c r="B2707" t="s">
        <v>2873</v>
      </c>
      <c r="F2707" s="898">
        <f>'Action POLLEC 3'!$F60</f>
        <v>0</v>
      </c>
    </row>
    <row r="2708" spans="1:6">
      <c r="A2708" t="s">
        <v>2987</v>
      </c>
      <c r="B2708" t="s">
        <v>2912</v>
      </c>
      <c r="F2708" s="898">
        <f>'Action POLLEC 3'!$F61</f>
        <v>0</v>
      </c>
    </row>
    <row r="2709" spans="1:6">
      <c r="A2709" t="s">
        <v>2987</v>
      </c>
      <c r="B2709" t="s">
        <v>2913</v>
      </c>
      <c r="F2709" s="898">
        <f>'Action POLLEC 3'!$F62</f>
        <v>0</v>
      </c>
    </row>
    <row r="2710" spans="1:6">
      <c r="A2710" t="s">
        <v>2987</v>
      </c>
      <c r="B2710" t="s">
        <v>3014</v>
      </c>
      <c r="F2710" s="898">
        <f>'Action POLLEC 3'!$F63</f>
        <v>0</v>
      </c>
    </row>
    <row r="2711" spans="1:6">
      <c r="A2711" t="s">
        <v>2987</v>
      </c>
      <c r="B2711" t="s">
        <v>3015</v>
      </c>
      <c r="F2711" s="898">
        <f>'Action POLLEC 3'!$F64</f>
        <v>0</v>
      </c>
    </row>
    <row r="2712" spans="1:6">
      <c r="A2712" t="s">
        <v>2987</v>
      </c>
      <c r="B2712" t="s">
        <v>3016</v>
      </c>
      <c r="F2712" s="898">
        <f>'Action POLLEC 3'!$F65</f>
        <v>0</v>
      </c>
    </row>
    <row r="2713" spans="1:6">
      <c r="A2713" t="s">
        <v>2987</v>
      </c>
      <c r="B2713" t="s">
        <v>3017</v>
      </c>
      <c r="F2713" s="898">
        <f>'Action POLLEC 3'!$F66</f>
        <v>0</v>
      </c>
    </row>
    <row r="2714" spans="1:6">
      <c r="A2714" t="s">
        <v>2987</v>
      </c>
      <c r="B2714" t="s">
        <v>3018</v>
      </c>
      <c r="F2714" s="898">
        <f>'Action POLLEC 3'!$F67</f>
        <v>0</v>
      </c>
    </row>
    <row r="2715" spans="1:6">
      <c r="A2715" t="s">
        <v>2987</v>
      </c>
      <c r="B2715" t="s">
        <v>2874</v>
      </c>
      <c r="F2715" s="898">
        <f>'Action POLLEC 3'!$G$53</f>
        <v>0</v>
      </c>
    </row>
    <row r="2716" spans="1:6">
      <c r="A2716" t="s">
        <v>2987</v>
      </c>
      <c r="B2716" t="s">
        <v>2875</v>
      </c>
      <c r="F2716" s="898">
        <f>'Action POLLEC 3'!$G$54</f>
        <v>0</v>
      </c>
    </row>
    <row r="2717" spans="1:6">
      <c r="A2717" t="s">
        <v>2987</v>
      </c>
      <c r="B2717" t="s">
        <v>2876</v>
      </c>
      <c r="F2717" s="898">
        <f>'Action POLLEC 3'!$G$55</f>
        <v>0</v>
      </c>
    </row>
    <row r="2718" spans="1:6">
      <c r="A2718" t="s">
        <v>2987</v>
      </c>
      <c r="B2718" t="s">
        <v>2877</v>
      </c>
      <c r="F2718" s="898">
        <f>'Action POLLEC 3'!$G$56</f>
        <v>0</v>
      </c>
    </row>
    <row r="2719" spans="1:6">
      <c r="A2719" t="s">
        <v>2987</v>
      </c>
      <c r="B2719" t="s">
        <v>2878</v>
      </c>
      <c r="F2719" s="898">
        <f>'Action POLLEC 3'!$G$57</f>
        <v>0</v>
      </c>
    </row>
    <row r="2720" spans="1:6">
      <c r="A2720" t="s">
        <v>2987</v>
      </c>
      <c r="B2720" t="s">
        <v>2879</v>
      </c>
      <c r="F2720" s="898">
        <f>'Action POLLEC 3'!$G$58</f>
        <v>0</v>
      </c>
    </row>
    <row r="2721" spans="1:6">
      <c r="A2721" t="s">
        <v>2987</v>
      </c>
      <c r="B2721" t="s">
        <v>2880</v>
      </c>
      <c r="F2721" s="898">
        <f>'Action POLLEC 3'!$G$59</f>
        <v>0</v>
      </c>
    </row>
    <row r="2722" spans="1:6">
      <c r="A2722" t="s">
        <v>2987</v>
      </c>
      <c r="B2722" t="s">
        <v>2881</v>
      </c>
      <c r="F2722" s="898">
        <f>'Action POLLEC 3'!$G60</f>
        <v>0</v>
      </c>
    </row>
    <row r="2723" spans="1:6">
      <c r="A2723" t="s">
        <v>2987</v>
      </c>
      <c r="B2723" t="s">
        <v>3019</v>
      </c>
      <c r="F2723" s="898">
        <f>'Action POLLEC 3'!$G61</f>
        <v>0</v>
      </c>
    </row>
    <row r="2724" spans="1:6">
      <c r="A2724" t="s">
        <v>2987</v>
      </c>
      <c r="B2724" t="s">
        <v>3020</v>
      </c>
      <c r="F2724" s="898">
        <f>'Action POLLEC 3'!$G62</f>
        <v>0</v>
      </c>
    </row>
    <row r="2725" spans="1:6">
      <c r="A2725" t="s">
        <v>2987</v>
      </c>
      <c r="B2725" t="s">
        <v>3021</v>
      </c>
      <c r="F2725" s="898">
        <f>'Action POLLEC 3'!$G63</f>
        <v>0</v>
      </c>
    </row>
    <row r="2726" spans="1:6">
      <c r="A2726" t="s">
        <v>2987</v>
      </c>
      <c r="B2726" t="s">
        <v>3022</v>
      </c>
      <c r="F2726" s="898">
        <f>'Action POLLEC 3'!$G64</f>
        <v>0</v>
      </c>
    </row>
    <row r="2727" spans="1:6">
      <c r="A2727" t="s">
        <v>2987</v>
      </c>
      <c r="B2727" t="s">
        <v>3023</v>
      </c>
      <c r="F2727" s="898">
        <f>'Action POLLEC 3'!$G65</f>
        <v>0</v>
      </c>
    </row>
    <row r="2728" spans="1:6">
      <c r="A2728" t="s">
        <v>2987</v>
      </c>
      <c r="B2728" t="s">
        <v>3024</v>
      </c>
      <c r="F2728" s="898">
        <f>'Action POLLEC 3'!$G66</f>
        <v>0</v>
      </c>
    </row>
    <row r="2729" spans="1:6">
      <c r="A2729" t="s">
        <v>2987</v>
      </c>
      <c r="B2729" t="s">
        <v>3025</v>
      </c>
      <c r="F2729" s="898">
        <f>'Action POLLEC 3'!$G67</f>
        <v>0</v>
      </c>
    </row>
    <row r="2730" spans="1:6">
      <c r="A2730" t="s">
        <v>2987</v>
      </c>
      <c r="B2730" t="s">
        <v>2944</v>
      </c>
      <c r="C2730" t="s">
        <v>2882</v>
      </c>
      <c r="F2730" s="898" t="str">
        <f ca="1">'Action POLLEC 3'!B77</f>
        <v>-</v>
      </c>
    </row>
    <row r="2731" spans="1:6">
      <c r="A2731" t="s">
        <v>2987</v>
      </c>
      <c r="B2731" t="s">
        <v>2944</v>
      </c>
      <c r="C2731" t="s">
        <v>2883</v>
      </c>
      <c r="F2731" s="898" t="str">
        <f ca="1">'Action POLLEC 3'!B78</f>
        <v>-</v>
      </c>
    </row>
    <row r="2732" spans="1:6">
      <c r="A2732" t="s">
        <v>2987</v>
      </c>
      <c r="B2732" t="s">
        <v>2944</v>
      </c>
      <c r="C2732" t="s">
        <v>2884</v>
      </c>
      <c r="F2732" s="898" t="str">
        <f ca="1">'Action POLLEC 3'!B79</f>
        <v>-</v>
      </c>
    </row>
    <row r="2733" spans="1:6">
      <c r="A2733" t="s">
        <v>2987</v>
      </c>
      <c r="B2733" t="s">
        <v>2944</v>
      </c>
      <c r="C2733" t="s">
        <v>2885</v>
      </c>
      <c r="F2733" s="898" t="str">
        <f ca="1">'Action POLLEC 3'!B80</f>
        <v>-</v>
      </c>
    </row>
    <row r="2734" spans="1:6">
      <c r="A2734" t="s">
        <v>2987</v>
      </c>
      <c r="B2734" t="s">
        <v>2944</v>
      </c>
      <c r="C2734" t="s">
        <v>2886</v>
      </c>
      <c r="F2734" s="898" t="str">
        <f ca="1">'Action POLLEC 3'!B81</f>
        <v>-</v>
      </c>
    </row>
    <row r="2735" spans="1:6">
      <c r="A2735" t="s">
        <v>2987</v>
      </c>
      <c r="B2735" t="s">
        <v>2944</v>
      </c>
      <c r="C2735" t="s">
        <v>2887</v>
      </c>
      <c r="F2735" s="898" t="str">
        <f ca="1">'Action POLLEC 3'!B82</f>
        <v>-</v>
      </c>
    </row>
    <row r="2736" spans="1:6">
      <c r="A2736" t="s">
        <v>2987</v>
      </c>
      <c r="B2736" t="s">
        <v>2944</v>
      </c>
      <c r="C2736" t="s">
        <v>2888</v>
      </c>
      <c r="F2736" s="898" t="str">
        <f ca="1">'Action POLLEC 3'!B83</f>
        <v>-</v>
      </c>
    </row>
    <row r="2737" spans="1:6">
      <c r="A2737" t="s">
        <v>2987</v>
      </c>
      <c r="B2737" t="s">
        <v>2944</v>
      </c>
      <c r="C2737" t="s">
        <v>2889</v>
      </c>
      <c r="F2737" s="898" t="str">
        <f ca="1">'Action POLLEC 3'!B84</f>
        <v>-</v>
      </c>
    </row>
    <row r="2738" spans="1:6">
      <c r="A2738" t="s">
        <v>2987</v>
      </c>
      <c r="B2738" t="s">
        <v>2944</v>
      </c>
      <c r="C2738" t="s">
        <v>2890</v>
      </c>
      <c r="F2738" s="898" t="str">
        <f ca="1">'Action POLLEC 3'!B85</f>
        <v>-</v>
      </c>
    </row>
    <row r="2739" spans="1:6">
      <c r="A2739" t="s">
        <v>2987</v>
      </c>
      <c r="B2739" t="s">
        <v>2944</v>
      </c>
      <c r="C2739" t="s">
        <v>2891</v>
      </c>
      <c r="F2739" s="898" t="str">
        <f ca="1">'Action POLLEC 3'!B86</f>
        <v>-</v>
      </c>
    </row>
    <row r="2740" spans="1:6">
      <c r="A2740" t="s">
        <v>2987</v>
      </c>
      <c r="B2740" t="s">
        <v>2944</v>
      </c>
      <c r="C2740" t="s">
        <v>3026</v>
      </c>
      <c r="F2740" s="898">
        <f>'Action POLLEC 3'!B87</f>
        <v>0</v>
      </c>
    </row>
    <row r="2741" spans="1:6">
      <c r="A2741" t="s">
        <v>2987</v>
      </c>
      <c r="B2741" t="s">
        <v>2944</v>
      </c>
      <c r="C2741" t="s">
        <v>3027</v>
      </c>
      <c r="F2741" s="898">
        <f>'Action POLLEC 3'!B88</f>
        <v>0</v>
      </c>
    </row>
    <row r="2742" spans="1:6">
      <c r="A2742" t="s">
        <v>2987</v>
      </c>
      <c r="B2742" t="s">
        <v>2944</v>
      </c>
      <c r="C2742" t="s">
        <v>3028</v>
      </c>
      <c r="F2742" s="898">
        <f>'Action POLLEC 3'!B89</f>
        <v>0</v>
      </c>
    </row>
    <row r="2743" spans="1:6">
      <c r="A2743" t="s">
        <v>2987</v>
      </c>
      <c r="B2743" t="s">
        <v>2944</v>
      </c>
      <c r="C2743" t="s">
        <v>3029</v>
      </c>
      <c r="F2743" s="898">
        <f>'Action POLLEC 3'!B90</f>
        <v>0</v>
      </c>
    </row>
    <row r="2744" spans="1:6">
      <c r="A2744" t="s">
        <v>2987</v>
      </c>
      <c r="B2744" t="s">
        <v>2944</v>
      </c>
      <c r="C2744" t="s">
        <v>3030</v>
      </c>
      <c r="F2744" s="898">
        <f>'Action POLLEC 3'!B91</f>
        <v>0</v>
      </c>
    </row>
    <row r="2745" spans="1:6">
      <c r="A2745" t="s">
        <v>2987</v>
      </c>
      <c r="B2745" t="s">
        <v>2944</v>
      </c>
      <c r="C2745" t="s">
        <v>3031</v>
      </c>
      <c r="F2745" s="898">
        <f>'Action POLLEC 3'!B92</f>
        <v>0</v>
      </c>
    </row>
    <row r="2746" spans="1:6">
      <c r="A2746" t="s">
        <v>2987</v>
      </c>
      <c r="B2746" t="s">
        <v>2944</v>
      </c>
      <c r="C2746" t="s">
        <v>3032</v>
      </c>
      <c r="F2746" s="898">
        <f>'Action POLLEC 3'!B93</f>
        <v>0</v>
      </c>
    </row>
    <row r="2747" spans="1:6">
      <c r="A2747" t="s">
        <v>2987</v>
      </c>
      <c r="B2747" t="s">
        <v>2944</v>
      </c>
      <c r="C2747" t="s">
        <v>3033</v>
      </c>
      <c r="F2747" s="898">
        <f>'Action POLLEC 3'!B94</f>
        <v>0</v>
      </c>
    </row>
    <row r="2748" spans="1:6">
      <c r="A2748" t="s">
        <v>2987</v>
      </c>
      <c r="B2748" t="s">
        <v>2944</v>
      </c>
      <c r="C2748" t="s">
        <v>3034</v>
      </c>
      <c r="F2748" s="898">
        <f>'Action POLLEC 3'!B95</f>
        <v>0</v>
      </c>
    </row>
    <row r="2749" spans="1:6">
      <c r="A2749" t="s">
        <v>2987</v>
      </c>
      <c r="B2749" t="s">
        <v>2944</v>
      </c>
      <c r="C2749" t="s">
        <v>3035</v>
      </c>
      <c r="F2749" s="898">
        <f>'Action POLLEC 3'!B96</f>
        <v>0</v>
      </c>
    </row>
    <row r="2750" spans="1:6">
      <c r="A2750" t="s">
        <v>2987</v>
      </c>
      <c r="B2750" t="s">
        <v>2944</v>
      </c>
      <c r="C2750" t="s">
        <v>2892</v>
      </c>
      <c r="F2750" s="898">
        <f>'Action POLLEC 3'!C77</f>
        <v>0</v>
      </c>
    </row>
    <row r="2751" spans="1:6">
      <c r="A2751" t="s">
        <v>2987</v>
      </c>
      <c r="B2751" t="s">
        <v>2944</v>
      </c>
      <c r="C2751" t="s">
        <v>2893</v>
      </c>
      <c r="F2751" s="898">
        <f>'Action POLLEC 3'!C78</f>
        <v>0</v>
      </c>
    </row>
    <row r="2752" spans="1:6">
      <c r="A2752" t="s">
        <v>2987</v>
      </c>
      <c r="B2752" t="s">
        <v>2944</v>
      </c>
      <c r="C2752" t="s">
        <v>2894</v>
      </c>
      <c r="F2752" s="898">
        <f>'Action POLLEC 3'!C79</f>
        <v>0</v>
      </c>
    </row>
    <row r="2753" spans="1:6">
      <c r="A2753" t="s">
        <v>2987</v>
      </c>
      <c r="B2753" t="s">
        <v>2944</v>
      </c>
      <c r="C2753" t="s">
        <v>2895</v>
      </c>
      <c r="F2753" s="898">
        <f>'Action POLLEC 3'!C80</f>
        <v>0</v>
      </c>
    </row>
    <row r="2754" spans="1:6">
      <c r="A2754" t="s">
        <v>2987</v>
      </c>
      <c r="B2754" t="s">
        <v>2944</v>
      </c>
      <c r="C2754" t="s">
        <v>2896</v>
      </c>
      <c r="F2754" s="898">
        <f>'Action POLLEC 3'!C81</f>
        <v>0</v>
      </c>
    </row>
    <row r="2755" spans="1:6">
      <c r="A2755" t="s">
        <v>2987</v>
      </c>
      <c r="B2755" t="s">
        <v>2944</v>
      </c>
      <c r="C2755" t="s">
        <v>2897</v>
      </c>
      <c r="F2755" s="898">
        <f>'Action POLLEC 3'!C82</f>
        <v>0</v>
      </c>
    </row>
    <row r="2756" spans="1:6">
      <c r="A2756" t="s">
        <v>2987</v>
      </c>
      <c r="B2756" t="s">
        <v>2944</v>
      </c>
      <c r="C2756" t="s">
        <v>2898</v>
      </c>
      <c r="F2756" s="898">
        <f>'Action POLLEC 3'!C83</f>
        <v>0</v>
      </c>
    </row>
    <row r="2757" spans="1:6">
      <c r="A2757" t="s">
        <v>2987</v>
      </c>
      <c r="B2757" t="s">
        <v>2944</v>
      </c>
      <c r="C2757" t="s">
        <v>2899</v>
      </c>
      <c r="F2757" s="898">
        <f>'Action POLLEC 3'!C84</f>
        <v>0</v>
      </c>
    </row>
    <row r="2758" spans="1:6">
      <c r="A2758" t="s">
        <v>2987</v>
      </c>
      <c r="B2758" t="s">
        <v>2944</v>
      </c>
      <c r="C2758" t="s">
        <v>2900</v>
      </c>
      <c r="F2758" s="898">
        <f>'Action POLLEC 3'!C85</f>
        <v>0</v>
      </c>
    </row>
    <row r="2759" spans="1:6">
      <c r="A2759" t="s">
        <v>2987</v>
      </c>
      <c r="B2759" t="s">
        <v>2944</v>
      </c>
      <c r="C2759" t="s">
        <v>2901</v>
      </c>
      <c r="F2759" s="898">
        <f>'Action POLLEC 3'!C86</f>
        <v>0</v>
      </c>
    </row>
    <row r="2760" spans="1:6">
      <c r="A2760" t="s">
        <v>2987</v>
      </c>
      <c r="B2760" t="s">
        <v>2944</v>
      </c>
      <c r="C2760" t="s">
        <v>3036</v>
      </c>
      <c r="F2760" s="898">
        <f>'Action POLLEC 3'!C87</f>
        <v>0</v>
      </c>
    </row>
    <row r="2761" spans="1:6">
      <c r="A2761" t="s">
        <v>2987</v>
      </c>
      <c r="B2761" t="s">
        <v>2944</v>
      </c>
      <c r="C2761" t="s">
        <v>3037</v>
      </c>
      <c r="F2761" s="898">
        <f>'Action POLLEC 3'!C88</f>
        <v>0</v>
      </c>
    </row>
    <row r="2762" spans="1:6">
      <c r="A2762" t="s">
        <v>2987</v>
      </c>
      <c r="B2762" t="s">
        <v>2944</v>
      </c>
      <c r="C2762" t="s">
        <v>3038</v>
      </c>
      <c r="F2762" s="898">
        <f>'Action POLLEC 3'!C89</f>
        <v>0</v>
      </c>
    </row>
    <row r="2763" spans="1:6">
      <c r="A2763" t="s">
        <v>2987</v>
      </c>
      <c r="B2763" t="s">
        <v>2944</v>
      </c>
      <c r="C2763" t="s">
        <v>3039</v>
      </c>
      <c r="F2763" s="898">
        <f>'Action POLLEC 3'!C90</f>
        <v>0</v>
      </c>
    </row>
    <row r="2764" spans="1:6">
      <c r="A2764" t="s">
        <v>2987</v>
      </c>
      <c r="B2764" t="s">
        <v>2944</v>
      </c>
      <c r="C2764" t="s">
        <v>3040</v>
      </c>
      <c r="F2764" s="898">
        <f>'Action POLLEC 3'!C91</f>
        <v>0</v>
      </c>
    </row>
    <row r="2765" spans="1:6">
      <c r="A2765" t="s">
        <v>2987</v>
      </c>
      <c r="B2765" t="s">
        <v>2944</v>
      </c>
      <c r="C2765" t="s">
        <v>3041</v>
      </c>
      <c r="F2765" s="898">
        <f>'Action POLLEC 3'!C92</f>
        <v>0</v>
      </c>
    </row>
    <row r="2766" spans="1:6">
      <c r="A2766" t="s">
        <v>2987</v>
      </c>
      <c r="B2766" t="s">
        <v>2944</v>
      </c>
      <c r="C2766" t="s">
        <v>3042</v>
      </c>
      <c r="F2766" s="898">
        <f>'Action POLLEC 3'!C93</f>
        <v>0</v>
      </c>
    </row>
    <row r="2767" spans="1:6">
      <c r="A2767" t="s">
        <v>2987</v>
      </c>
      <c r="B2767" t="s">
        <v>2944</v>
      </c>
      <c r="C2767" t="s">
        <v>3043</v>
      </c>
      <c r="F2767" s="898">
        <f>'Action POLLEC 3'!C94</f>
        <v>0</v>
      </c>
    </row>
    <row r="2768" spans="1:6">
      <c r="A2768" t="s">
        <v>2987</v>
      </c>
      <c r="B2768" t="s">
        <v>2944</v>
      </c>
      <c r="C2768" t="s">
        <v>3044</v>
      </c>
      <c r="F2768" s="898">
        <f>'Action POLLEC 3'!C95</f>
        <v>0</v>
      </c>
    </row>
    <row r="2769" spans="1:6">
      <c r="A2769" t="s">
        <v>2987</v>
      </c>
      <c r="B2769" t="s">
        <v>2944</v>
      </c>
      <c r="C2769" t="s">
        <v>3045</v>
      </c>
      <c r="F2769" s="898">
        <f>'Action POLLEC 3'!C96</f>
        <v>0</v>
      </c>
    </row>
    <row r="2770" spans="1:6">
      <c r="A2770" t="s">
        <v>2987</v>
      </c>
      <c r="B2770" t="s">
        <v>2944</v>
      </c>
      <c r="C2770" t="s">
        <v>2902</v>
      </c>
      <c r="F2770" s="898" t="str">
        <f ca="1">'Action POLLEC 3'!D77</f>
        <v>-</v>
      </c>
    </row>
    <row r="2771" spans="1:6">
      <c r="A2771" t="s">
        <v>2987</v>
      </c>
      <c r="B2771" t="s">
        <v>2944</v>
      </c>
      <c r="C2771" t="s">
        <v>2903</v>
      </c>
      <c r="F2771" s="898" t="str">
        <f ca="1">'Action POLLEC 3'!D78</f>
        <v>-</v>
      </c>
    </row>
    <row r="2772" spans="1:6">
      <c r="A2772" t="s">
        <v>2987</v>
      </c>
      <c r="B2772" t="s">
        <v>2944</v>
      </c>
      <c r="C2772" t="s">
        <v>2904</v>
      </c>
      <c r="F2772" s="898" t="str">
        <f ca="1">'Action POLLEC 3'!D79</f>
        <v>-</v>
      </c>
    </row>
    <row r="2773" spans="1:6">
      <c r="A2773" t="s">
        <v>2987</v>
      </c>
      <c r="B2773" t="s">
        <v>2944</v>
      </c>
      <c r="C2773" t="s">
        <v>2905</v>
      </c>
      <c r="F2773" s="898" t="str">
        <f ca="1">'Action POLLEC 3'!D80</f>
        <v>-</v>
      </c>
    </row>
    <row r="2774" spans="1:6">
      <c r="A2774" t="s">
        <v>2987</v>
      </c>
      <c r="B2774" t="s">
        <v>2944</v>
      </c>
      <c r="C2774" t="s">
        <v>2906</v>
      </c>
      <c r="F2774" s="898" t="str">
        <f ca="1">'Action POLLEC 3'!D81</f>
        <v>-</v>
      </c>
    </row>
    <row r="2775" spans="1:6">
      <c r="A2775" t="s">
        <v>2987</v>
      </c>
      <c r="B2775" t="s">
        <v>2944</v>
      </c>
      <c r="C2775" t="s">
        <v>2907</v>
      </c>
      <c r="F2775" s="898" t="str">
        <f ca="1">'Action POLLEC 3'!D82</f>
        <v>-</v>
      </c>
    </row>
    <row r="2776" spans="1:6">
      <c r="A2776" t="s">
        <v>2987</v>
      </c>
      <c r="B2776" t="s">
        <v>2944</v>
      </c>
      <c r="C2776" t="s">
        <v>2908</v>
      </c>
      <c r="F2776" s="898" t="str">
        <f ca="1">'Action POLLEC 3'!D83</f>
        <v>-</v>
      </c>
    </row>
    <row r="2777" spans="1:6">
      <c r="A2777" t="s">
        <v>2987</v>
      </c>
      <c r="B2777" t="s">
        <v>2944</v>
      </c>
      <c r="C2777" t="s">
        <v>2909</v>
      </c>
      <c r="F2777" s="898" t="str">
        <f ca="1">'Action POLLEC 3'!D84</f>
        <v>-</v>
      </c>
    </row>
    <row r="2778" spans="1:6">
      <c r="A2778" t="s">
        <v>2987</v>
      </c>
      <c r="B2778" t="s">
        <v>2944</v>
      </c>
      <c r="C2778" t="s">
        <v>2910</v>
      </c>
      <c r="F2778" s="898" t="str">
        <f ca="1">'Action POLLEC 3'!D85</f>
        <v>-</v>
      </c>
    </row>
    <row r="2779" spans="1:6">
      <c r="A2779" t="s">
        <v>2987</v>
      </c>
      <c r="B2779" t="s">
        <v>2944</v>
      </c>
      <c r="C2779" t="s">
        <v>2911</v>
      </c>
      <c r="F2779" s="898" t="str">
        <f ca="1">'Action POLLEC 3'!D86</f>
        <v>-</v>
      </c>
    </row>
    <row r="2780" spans="1:6">
      <c r="A2780" t="s">
        <v>2987</v>
      </c>
      <c r="B2780" t="s">
        <v>2944</v>
      </c>
      <c r="C2780" t="s">
        <v>3046</v>
      </c>
      <c r="F2780" s="898">
        <f>'Action POLLEC 3'!D87</f>
        <v>0</v>
      </c>
    </row>
    <row r="2781" spans="1:6">
      <c r="A2781" t="s">
        <v>2987</v>
      </c>
      <c r="B2781" t="s">
        <v>2944</v>
      </c>
      <c r="C2781" t="s">
        <v>3047</v>
      </c>
      <c r="F2781" s="898">
        <f>'Action POLLEC 3'!D88</f>
        <v>0</v>
      </c>
    </row>
    <row r="2782" spans="1:6">
      <c r="A2782" t="s">
        <v>2987</v>
      </c>
      <c r="B2782" t="s">
        <v>2944</v>
      </c>
      <c r="C2782" t="s">
        <v>3048</v>
      </c>
      <c r="F2782" s="898">
        <f>'Action POLLEC 3'!D89</f>
        <v>0</v>
      </c>
    </row>
    <row r="2783" spans="1:6">
      <c r="A2783" t="s">
        <v>2987</v>
      </c>
      <c r="B2783" t="s">
        <v>2944</v>
      </c>
      <c r="C2783" t="s">
        <v>3049</v>
      </c>
      <c r="F2783" s="898">
        <f>'Action POLLEC 3'!D90</f>
        <v>0</v>
      </c>
    </row>
    <row r="2784" spans="1:6">
      <c r="A2784" t="s">
        <v>2987</v>
      </c>
      <c r="B2784" t="s">
        <v>2944</v>
      </c>
      <c r="C2784" t="s">
        <v>3050</v>
      </c>
      <c r="F2784" s="898">
        <f>'Action POLLEC 3'!D91</f>
        <v>0</v>
      </c>
    </row>
    <row r="2785" spans="1:6">
      <c r="A2785" t="s">
        <v>2987</v>
      </c>
      <c r="B2785" t="s">
        <v>2944</v>
      </c>
      <c r="C2785" t="s">
        <v>3051</v>
      </c>
      <c r="F2785" s="898">
        <f>'Action POLLEC 3'!D92</f>
        <v>0</v>
      </c>
    </row>
    <row r="2786" spans="1:6">
      <c r="A2786" t="s">
        <v>2987</v>
      </c>
      <c r="B2786" t="s">
        <v>2944</v>
      </c>
      <c r="C2786" t="s">
        <v>3052</v>
      </c>
      <c r="F2786" s="898">
        <f>'Action POLLEC 3'!D93</f>
        <v>0</v>
      </c>
    </row>
    <row r="2787" spans="1:6">
      <c r="A2787" t="s">
        <v>2987</v>
      </c>
      <c r="B2787" t="s">
        <v>2944</v>
      </c>
      <c r="C2787" t="s">
        <v>3053</v>
      </c>
      <c r="F2787" s="898">
        <f>'Action POLLEC 3'!D94</f>
        <v>0</v>
      </c>
    </row>
    <row r="2788" spans="1:6">
      <c r="A2788" t="s">
        <v>2987</v>
      </c>
      <c r="B2788" t="s">
        <v>2944</v>
      </c>
      <c r="C2788" t="s">
        <v>3054</v>
      </c>
      <c r="F2788" s="898">
        <f>'Action POLLEC 3'!D95</f>
        <v>0</v>
      </c>
    </row>
    <row r="2789" spans="1:6">
      <c r="A2789" t="s">
        <v>2987</v>
      </c>
      <c r="B2789" t="s">
        <v>2944</v>
      </c>
      <c r="C2789" t="s">
        <v>3055</v>
      </c>
      <c r="F2789" s="898">
        <f>'Action POLLEC 3'!D96</f>
        <v>0</v>
      </c>
    </row>
    <row r="2790" spans="1:6">
      <c r="A2790" t="s">
        <v>2987</v>
      </c>
      <c r="B2790" t="s">
        <v>2944</v>
      </c>
      <c r="C2790" t="s">
        <v>2866</v>
      </c>
      <c r="F2790" s="898" t="str">
        <f ca="1">'Action POLLEC 3'!E77</f>
        <v/>
      </c>
    </row>
    <row r="2791" spans="1:6">
      <c r="A2791" t="s">
        <v>2987</v>
      </c>
      <c r="B2791" t="s">
        <v>2944</v>
      </c>
      <c r="C2791" t="s">
        <v>2867</v>
      </c>
      <c r="F2791" s="898" t="str">
        <f ca="1">'Action POLLEC 3'!E78</f>
        <v/>
      </c>
    </row>
    <row r="2792" spans="1:6">
      <c r="A2792" t="s">
        <v>2987</v>
      </c>
      <c r="B2792" t="s">
        <v>2944</v>
      </c>
      <c r="C2792" t="s">
        <v>2868</v>
      </c>
      <c r="F2792" s="898" t="str">
        <f ca="1">'Action POLLEC 3'!E79</f>
        <v/>
      </c>
    </row>
    <row r="2793" spans="1:6">
      <c r="A2793" t="s">
        <v>2987</v>
      </c>
      <c r="B2793" t="s">
        <v>2944</v>
      </c>
      <c r="C2793" t="s">
        <v>2869</v>
      </c>
      <c r="F2793" s="898" t="str">
        <f ca="1">'Action POLLEC 3'!E80</f>
        <v/>
      </c>
    </row>
    <row r="2794" spans="1:6">
      <c r="A2794" t="s">
        <v>2987</v>
      </c>
      <c r="B2794" t="s">
        <v>2944</v>
      </c>
      <c r="C2794" t="s">
        <v>2870</v>
      </c>
      <c r="F2794" s="898" t="str">
        <f ca="1">'Action POLLEC 3'!E81</f>
        <v/>
      </c>
    </row>
    <row r="2795" spans="1:6">
      <c r="A2795" t="s">
        <v>2987</v>
      </c>
      <c r="B2795" t="s">
        <v>2944</v>
      </c>
      <c r="C2795" t="s">
        <v>2871</v>
      </c>
      <c r="F2795" s="898" t="str">
        <f ca="1">'Action POLLEC 3'!E82</f>
        <v/>
      </c>
    </row>
    <row r="2796" spans="1:6">
      <c r="A2796" t="s">
        <v>2987</v>
      </c>
      <c r="B2796" t="s">
        <v>2944</v>
      </c>
      <c r="C2796" t="s">
        <v>2872</v>
      </c>
      <c r="F2796" s="898" t="str">
        <f ca="1">'Action POLLEC 3'!E83</f>
        <v/>
      </c>
    </row>
    <row r="2797" spans="1:6">
      <c r="A2797" t="s">
        <v>2987</v>
      </c>
      <c r="B2797" t="s">
        <v>2944</v>
      </c>
      <c r="C2797" t="s">
        <v>2873</v>
      </c>
      <c r="F2797" s="898" t="str">
        <f ca="1">'Action POLLEC 3'!E84</f>
        <v/>
      </c>
    </row>
    <row r="2798" spans="1:6">
      <c r="A2798" t="s">
        <v>2987</v>
      </c>
      <c r="B2798" t="s">
        <v>2944</v>
      </c>
      <c r="C2798" t="s">
        <v>2912</v>
      </c>
      <c r="F2798" s="898" t="str">
        <f ca="1">'Action POLLEC 3'!E85</f>
        <v/>
      </c>
    </row>
    <row r="2799" spans="1:6">
      <c r="A2799" t="s">
        <v>2987</v>
      </c>
      <c r="B2799" t="s">
        <v>2944</v>
      </c>
      <c r="C2799" t="s">
        <v>2913</v>
      </c>
      <c r="F2799" s="898" t="str">
        <f ca="1">'Action POLLEC 3'!E86</f>
        <v/>
      </c>
    </row>
    <row r="2800" spans="1:6">
      <c r="A2800" t="s">
        <v>2987</v>
      </c>
      <c r="B2800" t="s">
        <v>2944</v>
      </c>
      <c r="C2800" t="s">
        <v>3014</v>
      </c>
      <c r="F2800" s="898">
        <f>'Action POLLEC 3'!E87</f>
        <v>0</v>
      </c>
    </row>
    <row r="2801" spans="1:6">
      <c r="A2801" t="s">
        <v>2987</v>
      </c>
      <c r="B2801" t="s">
        <v>2944</v>
      </c>
      <c r="C2801" t="s">
        <v>3015</v>
      </c>
      <c r="F2801" s="898">
        <f>'Action POLLEC 3'!E88</f>
        <v>0</v>
      </c>
    </row>
    <row r="2802" spans="1:6">
      <c r="A2802" t="s">
        <v>2987</v>
      </c>
      <c r="B2802" t="s">
        <v>2944</v>
      </c>
      <c r="C2802" t="s">
        <v>3016</v>
      </c>
      <c r="F2802" s="898">
        <f>'Action POLLEC 3'!E89</f>
        <v>0</v>
      </c>
    </row>
    <row r="2803" spans="1:6">
      <c r="A2803" t="s">
        <v>2987</v>
      </c>
      <c r="B2803" t="s">
        <v>2944</v>
      </c>
      <c r="C2803" t="s">
        <v>3017</v>
      </c>
      <c r="F2803" s="898">
        <f>'Action POLLEC 3'!E90</f>
        <v>0</v>
      </c>
    </row>
    <row r="2804" spans="1:6">
      <c r="A2804" t="s">
        <v>2987</v>
      </c>
      <c r="B2804" t="s">
        <v>2944</v>
      </c>
      <c r="C2804" t="s">
        <v>3018</v>
      </c>
      <c r="F2804" s="898">
        <f>'Action POLLEC 3'!E91</f>
        <v>0</v>
      </c>
    </row>
    <row r="2805" spans="1:6">
      <c r="A2805" t="s">
        <v>2987</v>
      </c>
      <c r="B2805" t="s">
        <v>2944</v>
      </c>
      <c r="C2805" t="s">
        <v>3056</v>
      </c>
      <c r="F2805" s="898">
        <f>'Action POLLEC 3'!E92</f>
        <v>0</v>
      </c>
    </row>
    <row r="2806" spans="1:6">
      <c r="A2806" t="s">
        <v>2987</v>
      </c>
      <c r="B2806" t="s">
        <v>2944</v>
      </c>
      <c r="C2806" t="s">
        <v>3057</v>
      </c>
      <c r="F2806" s="898">
        <f>'Action POLLEC 3'!E93</f>
        <v>0</v>
      </c>
    </row>
    <row r="2807" spans="1:6">
      <c r="A2807" t="s">
        <v>2987</v>
      </c>
      <c r="B2807" t="s">
        <v>2944</v>
      </c>
      <c r="C2807" t="s">
        <v>3058</v>
      </c>
      <c r="F2807" s="898">
        <f>'Action POLLEC 3'!E94</f>
        <v>0</v>
      </c>
    </row>
    <row r="2808" spans="1:6">
      <c r="A2808" t="s">
        <v>2987</v>
      </c>
      <c r="B2808" t="s">
        <v>2944</v>
      </c>
      <c r="C2808" t="s">
        <v>3059</v>
      </c>
      <c r="F2808" s="898">
        <f>'Action POLLEC 3'!E95</f>
        <v>0</v>
      </c>
    </row>
    <row r="2809" spans="1:6">
      <c r="A2809" t="s">
        <v>2987</v>
      </c>
      <c r="B2809" t="s">
        <v>2944</v>
      </c>
      <c r="C2809" t="s">
        <v>3060</v>
      </c>
      <c r="F2809" s="898">
        <f>'Action POLLEC 3'!E96</f>
        <v>0</v>
      </c>
    </row>
    <row r="2810" spans="1:6">
      <c r="A2810" t="s">
        <v>2987</v>
      </c>
      <c r="B2810" t="s">
        <v>2944</v>
      </c>
      <c r="C2810" t="s">
        <v>2914</v>
      </c>
      <c r="F2810" s="898">
        <f>'Action POLLEC 3'!F77</f>
        <v>0</v>
      </c>
    </row>
    <row r="2811" spans="1:6">
      <c r="A2811" t="s">
        <v>2987</v>
      </c>
      <c r="B2811" t="s">
        <v>2944</v>
      </c>
      <c r="C2811" t="s">
        <v>2915</v>
      </c>
      <c r="F2811" s="898">
        <f>'Action POLLEC 3'!F78</f>
        <v>0</v>
      </c>
    </row>
    <row r="2812" spans="1:6">
      <c r="A2812" t="s">
        <v>2987</v>
      </c>
      <c r="B2812" t="s">
        <v>2944</v>
      </c>
      <c r="C2812" t="s">
        <v>2916</v>
      </c>
      <c r="F2812" s="898">
        <f>'Action POLLEC 3'!F79</f>
        <v>0</v>
      </c>
    </row>
    <row r="2813" spans="1:6">
      <c r="A2813" t="s">
        <v>2987</v>
      </c>
      <c r="B2813" t="s">
        <v>2944</v>
      </c>
      <c r="C2813" t="s">
        <v>2917</v>
      </c>
      <c r="F2813" s="898">
        <f>'Action POLLEC 3'!F80</f>
        <v>0</v>
      </c>
    </row>
    <row r="2814" spans="1:6">
      <c r="A2814" t="s">
        <v>2987</v>
      </c>
      <c r="B2814" t="s">
        <v>2944</v>
      </c>
      <c r="C2814" t="s">
        <v>2918</v>
      </c>
      <c r="F2814" s="898">
        <f>'Action POLLEC 3'!F81</f>
        <v>0</v>
      </c>
    </row>
    <row r="2815" spans="1:6">
      <c r="A2815" t="s">
        <v>2987</v>
      </c>
      <c r="B2815" t="s">
        <v>2944</v>
      </c>
      <c r="C2815" t="s">
        <v>2919</v>
      </c>
      <c r="F2815" s="898">
        <f>'Action POLLEC 3'!F82</f>
        <v>0</v>
      </c>
    </row>
    <row r="2816" spans="1:6">
      <c r="A2816" t="s">
        <v>2987</v>
      </c>
      <c r="B2816" t="s">
        <v>2944</v>
      </c>
      <c r="C2816" t="s">
        <v>2920</v>
      </c>
      <c r="F2816" s="898">
        <f>'Action POLLEC 3'!F83</f>
        <v>0</v>
      </c>
    </row>
    <row r="2817" spans="1:6">
      <c r="A2817" t="s">
        <v>2987</v>
      </c>
      <c r="B2817" t="s">
        <v>2944</v>
      </c>
      <c r="C2817" t="s">
        <v>2921</v>
      </c>
      <c r="F2817" s="898">
        <f>'Action POLLEC 3'!F84</f>
        <v>0</v>
      </c>
    </row>
    <row r="2818" spans="1:6">
      <c r="A2818" t="s">
        <v>2987</v>
      </c>
      <c r="B2818" t="s">
        <v>2944</v>
      </c>
      <c r="C2818" t="s">
        <v>2922</v>
      </c>
      <c r="F2818" s="898">
        <f>'Action POLLEC 3'!F85</f>
        <v>0</v>
      </c>
    </row>
    <row r="2819" spans="1:6">
      <c r="A2819" t="s">
        <v>2987</v>
      </c>
      <c r="B2819" t="s">
        <v>2944</v>
      </c>
      <c r="C2819" t="s">
        <v>2923</v>
      </c>
      <c r="F2819" s="898">
        <f>'Action POLLEC 3'!F86</f>
        <v>0</v>
      </c>
    </row>
    <row r="2820" spans="1:6">
      <c r="A2820" t="s">
        <v>2987</v>
      </c>
      <c r="B2820" t="s">
        <v>2944</v>
      </c>
      <c r="C2820" t="s">
        <v>3061</v>
      </c>
      <c r="F2820" s="898">
        <f>'Action POLLEC 3'!F87</f>
        <v>0</v>
      </c>
    </row>
    <row r="2821" spans="1:6">
      <c r="A2821" t="s">
        <v>2987</v>
      </c>
      <c r="B2821" t="s">
        <v>2944</v>
      </c>
      <c r="C2821" t="s">
        <v>3062</v>
      </c>
      <c r="F2821" s="898">
        <f>'Action POLLEC 3'!F88</f>
        <v>0</v>
      </c>
    </row>
    <row r="2822" spans="1:6">
      <c r="A2822" t="s">
        <v>2987</v>
      </c>
      <c r="B2822" t="s">
        <v>2944</v>
      </c>
      <c r="C2822" t="s">
        <v>3063</v>
      </c>
      <c r="F2822" s="898">
        <f>'Action POLLEC 3'!F89</f>
        <v>0</v>
      </c>
    </row>
    <row r="2823" spans="1:6">
      <c r="A2823" t="s">
        <v>2987</v>
      </c>
      <c r="B2823" t="s">
        <v>2944</v>
      </c>
      <c r="C2823" t="s">
        <v>3064</v>
      </c>
      <c r="F2823" s="898">
        <f>'Action POLLEC 3'!F90</f>
        <v>0</v>
      </c>
    </row>
    <row r="2824" spans="1:6">
      <c r="A2824" t="s">
        <v>2987</v>
      </c>
      <c r="B2824" t="s">
        <v>2944</v>
      </c>
      <c r="C2824" t="s">
        <v>3065</v>
      </c>
      <c r="F2824" s="898">
        <f>'Action POLLEC 3'!F91</f>
        <v>0</v>
      </c>
    </row>
    <row r="2825" spans="1:6">
      <c r="A2825" t="s">
        <v>2987</v>
      </c>
      <c r="B2825" t="s">
        <v>2944</v>
      </c>
      <c r="C2825" t="s">
        <v>3066</v>
      </c>
      <c r="F2825" s="898">
        <f>'Action POLLEC 3'!F92</f>
        <v>0</v>
      </c>
    </row>
    <row r="2826" spans="1:6">
      <c r="A2826" t="s">
        <v>2987</v>
      </c>
      <c r="B2826" t="s">
        <v>2944</v>
      </c>
      <c r="C2826" t="s">
        <v>3067</v>
      </c>
      <c r="F2826" s="898">
        <f>'Action POLLEC 3'!F93</f>
        <v>0</v>
      </c>
    </row>
    <row r="2827" spans="1:6">
      <c r="A2827" t="s">
        <v>2987</v>
      </c>
      <c r="B2827" t="s">
        <v>2944</v>
      </c>
      <c r="C2827" t="s">
        <v>3068</v>
      </c>
      <c r="F2827" s="898">
        <f>'Action POLLEC 3'!F94</f>
        <v>0</v>
      </c>
    </row>
    <row r="2828" spans="1:6">
      <c r="A2828" t="s">
        <v>2987</v>
      </c>
      <c r="B2828" t="s">
        <v>2944</v>
      </c>
      <c r="C2828" t="s">
        <v>3069</v>
      </c>
      <c r="F2828" s="898">
        <f>'Action POLLEC 3'!F95</f>
        <v>0</v>
      </c>
    </row>
    <row r="2829" spans="1:6">
      <c r="A2829" t="s">
        <v>2987</v>
      </c>
      <c r="B2829" t="s">
        <v>2944</v>
      </c>
      <c r="C2829" t="s">
        <v>3070</v>
      </c>
      <c r="F2829" s="898">
        <f>'Action POLLEC 3'!F96</f>
        <v>0</v>
      </c>
    </row>
    <row r="2830" spans="1:6">
      <c r="A2830" t="s">
        <v>2987</v>
      </c>
      <c r="B2830" t="s">
        <v>2944</v>
      </c>
      <c r="C2830" t="s">
        <v>2924</v>
      </c>
      <c r="F2830" s="898">
        <f>'Action POLLEC 3'!G77</f>
        <v>0</v>
      </c>
    </row>
    <row r="2831" spans="1:6">
      <c r="A2831" t="s">
        <v>2987</v>
      </c>
      <c r="B2831" t="s">
        <v>2944</v>
      </c>
      <c r="C2831" t="s">
        <v>2925</v>
      </c>
      <c r="F2831" s="898">
        <f>'Action POLLEC 3'!G78</f>
        <v>0</v>
      </c>
    </row>
    <row r="2832" spans="1:6">
      <c r="A2832" t="s">
        <v>2987</v>
      </c>
      <c r="B2832" t="s">
        <v>2944</v>
      </c>
      <c r="C2832" t="s">
        <v>2926</v>
      </c>
      <c r="F2832" s="898">
        <f>'Action POLLEC 3'!G79</f>
        <v>0</v>
      </c>
    </row>
    <row r="2833" spans="1:6">
      <c r="A2833" t="s">
        <v>2987</v>
      </c>
      <c r="B2833" t="s">
        <v>2944</v>
      </c>
      <c r="C2833" t="s">
        <v>2927</v>
      </c>
      <c r="F2833" s="898">
        <f>'Action POLLEC 3'!G80</f>
        <v>0</v>
      </c>
    </row>
    <row r="2834" spans="1:6">
      <c r="A2834" t="s">
        <v>2987</v>
      </c>
      <c r="B2834" t="s">
        <v>2944</v>
      </c>
      <c r="C2834" t="s">
        <v>2928</v>
      </c>
      <c r="F2834" s="898">
        <f>'Action POLLEC 3'!G81</f>
        <v>0</v>
      </c>
    </row>
    <row r="2835" spans="1:6">
      <c r="A2835" t="s">
        <v>2987</v>
      </c>
      <c r="B2835" t="s">
        <v>2944</v>
      </c>
      <c r="C2835" t="s">
        <v>2929</v>
      </c>
      <c r="F2835" s="898">
        <f>'Action POLLEC 3'!G82</f>
        <v>0</v>
      </c>
    </row>
    <row r="2836" spans="1:6">
      <c r="A2836" t="s">
        <v>2987</v>
      </c>
      <c r="B2836" t="s">
        <v>2944</v>
      </c>
      <c r="C2836" t="s">
        <v>2930</v>
      </c>
      <c r="F2836" s="898">
        <f>'Action POLLEC 3'!G83</f>
        <v>0</v>
      </c>
    </row>
    <row r="2837" spans="1:6">
      <c r="A2837" t="s">
        <v>2987</v>
      </c>
      <c r="B2837" t="s">
        <v>2944</v>
      </c>
      <c r="C2837" t="s">
        <v>2931</v>
      </c>
      <c r="F2837" s="898">
        <f>'Action POLLEC 3'!G84</f>
        <v>0</v>
      </c>
    </row>
    <row r="2838" spans="1:6">
      <c r="A2838" t="s">
        <v>2987</v>
      </c>
      <c r="B2838" t="s">
        <v>2944</v>
      </c>
      <c r="C2838" t="s">
        <v>2932</v>
      </c>
      <c r="F2838" s="898">
        <f>'Action POLLEC 3'!G85</f>
        <v>0</v>
      </c>
    </row>
    <row r="2839" spans="1:6">
      <c r="A2839" t="s">
        <v>2987</v>
      </c>
      <c r="B2839" t="s">
        <v>2944</v>
      </c>
      <c r="C2839" t="s">
        <v>2933</v>
      </c>
      <c r="F2839" s="898">
        <f>'Action POLLEC 3'!G86</f>
        <v>0</v>
      </c>
    </row>
    <row r="2840" spans="1:6">
      <c r="A2840" t="s">
        <v>2987</v>
      </c>
      <c r="B2840" t="s">
        <v>2944</v>
      </c>
      <c r="C2840" t="s">
        <v>3071</v>
      </c>
      <c r="F2840" s="898">
        <f>'Action POLLEC 3'!G87</f>
        <v>0</v>
      </c>
    </row>
    <row r="2841" spans="1:6">
      <c r="A2841" t="s">
        <v>2987</v>
      </c>
      <c r="B2841" t="s">
        <v>2944</v>
      </c>
      <c r="C2841" t="s">
        <v>3072</v>
      </c>
      <c r="F2841" s="898">
        <f>'Action POLLEC 3'!G88</f>
        <v>0</v>
      </c>
    </row>
    <row r="2842" spans="1:6">
      <c r="A2842" t="s">
        <v>2987</v>
      </c>
      <c r="B2842" t="s">
        <v>2944</v>
      </c>
      <c r="C2842" t="s">
        <v>3073</v>
      </c>
      <c r="F2842" s="898">
        <f>'Action POLLEC 3'!G89</f>
        <v>0</v>
      </c>
    </row>
    <row r="2843" spans="1:6">
      <c r="A2843" t="s">
        <v>2987</v>
      </c>
      <c r="B2843" t="s">
        <v>2944</v>
      </c>
      <c r="C2843" t="s">
        <v>3074</v>
      </c>
      <c r="F2843" s="898">
        <f>'Action POLLEC 3'!G90</f>
        <v>0</v>
      </c>
    </row>
    <row r="2844" spans="1:6">
      <c r="A2844" t="s">
        <v>2987</v>
      </c>
      <c r="B2844" t="s">
        <v>2944</v>
      </c>
      <c r="C2844" t="s">
        <v>3075</v>
      </c>
      <c r="F2844" s="898">
        <f>'Action POLLEC 3'!G91</f>
        <v>0</v>
      </c>
    </row>
    <row r="2845" spans="1:6">
      <c r="A2845" t="s">
        <v>2987</v>
      </c>
      <c r="B2845" t="s">
        <v>2944</v>
      </c>
      <c r="C2845" t="s">
        <v>3076</v>
      </c>
      <c r="F2845" s="898">
        <f>'Action POLLEC 3'!G92</f>
        <v>0</v>
      </c>
    </row>
    <row r="2846" spans="1:6">
      <c r="A2846" t="s">
        <v>2987</v>
      </c>
      <c r="B2846" t="s">
        <v>2944</v>
      </c>
      <c r="C2846" t="s">
        <v>3077</v>
      </c>
      <c r="F2846" s="898">
        <f>'Action POLLEC 3'!G93</f>
        <v>0</v>
      </c>
    </row>
    <row r="2847" spans="1:6">
      <c r="A2847" t="s">
        <v>2987</v>
      </c>
      <c r="B2847" t="s">
        <v>2944</v>
      </c>
      <c r="C2847" t="s">
        <v>3078</v>
      </c>
      <c r="F2847" s="898">
        <f>'Action POLLEC 3'!G94</f>
        <v>0</v>
      </c>
    </row>
    <row r="2848" spans="1:6">
      <c r="A2848" t="s">
        <v>2987</v>
      </c>
      <c r="B2848" t="s">
        <v>2944</v>
      </c>
      <c r="C2848" t="s">
        <v>3079</v>
      </c>
      <c r="F2848" s="898">
        <f>'Action POLLEC 3'!G95</f>
        <v>0</v>
      </c>
    </row>
    <row r="2849" spans="1:6">
      <c r="A2849" t="s">
        <v>2987</v>
      </c>
      <c r="B2849" t="s">
        <v>2944</v>
      </c>
      <c r="C2849" t="s">
        <v>3080</v>
      </c>
      <c r="F2849" s="898">
        <f>'Action POLLEC 3'!G96</f>
        <v>0</v>
      </c>
    </row>
    <row r="2850" spans="1:6">
      <c r="A2850" t="s">
        <v>2987</v>
      </c>
      <c r="B2850" t="s">
        <v>2944</v>
      </c>
      <c r="C2850" t="s">
        <v>2934</v>
      </c>
      <c r="F2850" s="898">
        <f>'Action POLLEC 3'!H77</f>
        <v>0</v>
      </c>
    </row>
    <row r="2851" spans="1:6">
      <c r="A2851" t="s">
        <v>2987</v>
      </c>
      <c r="B2851" t="s">
        <v>2944</v>
      </c>
      <c r="C2851" t="s">
        <v>2935</v>
      </c>
      <c r="F2851" s="898">
        <f>'Action POLLEC 3'!H78</f>
        <v>0</v>
      </c>
    </row>
    <row r="2852" spans="1:6">
      <c r="A2852" t="s">
        <v>2987</v>
      </c>
      <c r="B2852" t="s">
        <v>2944</v>
      </c>
      <c r="C2852" t="s">
        <v>2936</v>
      </c>
      <c r="F2852" s="898">
        <f>'Action POLLEC 3'!H79</f>
        <v>0</v>
      </c>
    </row>
    <row r="2853" spans="1:6">
      <c r="A2853" t="s">
        <v>2987</v>
      </c>
      <c r="B2853" t="s">
        <v>2944</v>
      </c>
      <c r="C2853" t="s">
        <v>2937</v>
      </c>
      <c r="F2853" s="898">
        <f>'Action POLLEC 3'!H80</f>
        <v>0</v>
      </c>
    </row>
    <row r="2854" spans="1:6">
      <c r="A2854" t="s">
        <v>2987</v>
      </c>
      <c r="B2854" t="s">
        <v>2944</v>
      </c>
      <c r="C2854" t="s">
        <v>2938</v>
      </c>
      <c r="F2854" s="898">
        <f>'Action POLLEC 3'!H81</f>
        <v>0</v>
      </c>
    </row>
    <row r="2855" spans="1:6">
      <c r="A2855" t="s">
        <v>2987</v>
      </c>
      <c r="B2855" t="s">
        <v>2944</v>
      </c>
      <c r="C2855" t="s">
        <v>2939</v>
      </c>
      <c r="F2855" s="898">
        <f>'Action POLLEC 3'!H82</f>
        <v>0</v>
      </c>
    </row>
    <row r="2856" spans="1:6">
      <c r="A2856" t="s">
        <v>2987</v>
      </c>
      <c r="B2856" t="s">
        <v>2944</v>
      </c>
      <c r="C2856" t="s">
        <v>2940</v>
      </c>
      <c r="F2856" s="898">
        <f>'Action POLLEC 3'!H83</f>
        <v>0</v>
      </c>
    </row>
    <row r="2857" spans="1:6">
      <c r="A2857" t="s">
        <v>2987</v>
      </c>
      <c r="B2857" t="s">
        <v>2944</v>
      </c>
      <c r="C2857" t="s">
        <v>2941</v>
      </c>
      <c r="F2857" s="898">
        <f>'Action POLLEC 3'!H84</f>
        <v>0</v>
      </c>
    </row>
    <row r="2858" spans="1:6">
      <c r="A2858" t="s">
        <v>2987</v>
      </c>
      <c r="B2858" t="s">
        <v>2944</v>
      </c>
      <c r="C2858" t="s">
        <v>2942</v>
      </c>
      <c r="F2858" s="898">
        <f>'Action POLLEC 3'!H85</f>
        <v>0</v>
      </c>
    </row>
    <row r="2859" spans="1:6">
      <c r="A2859" t="s">
        <v>2987</v>
      </c>
      <c r="B2859" t="s">
        <v>2944</v>
      </c>
      <c r="C2859" t="s">
        <v>2943</v>
      </c>
      <c r="F2859" s="898">
        <f>'Action POLLEC 3'!H86</f>
        <v>0</v>
      </c>
    </row>
    <row r="2860" spans="1:6">
      <c r="A2860" t="s">
        <v>2987</v>
      </c>
      <c r="B2860" t="s">
        <v>2944</v>
      </c>
      <c r="C2860" t="s">
        <v>3081</v>
      </c>
      <c r="F2860" s="898">
        <f>'Action POLLEC 3'!H87</f>
        <v>0</v>
      </c>
    </row>
    <row r="2861" spans="1:6">
      <c r="A2861" t="s">
        <v>2987</v>
      </c>
      <c r="B2861" t="s">
        <v>2944</v>
      </c>
      <c r="C2861" t="s">
        <v>3082</v>
      </c>
      <c r="F2861" s="898">
        <f>'Action POLLEC 3'!H88</f>
        <v>0</v>
      </c>
    </row>
    <row r="2862" spans="1:6">
      <c r="A2862" t="s">
        <v>2987</v>
      </c>
      <c r="B2862" t="s">
        <v>2944</v>
      </c>
      <c r="C2862" t="s">
        <v>3083</v>
      </c>
      <c r="F2862" s="898">
        <f>'Action POLLEC 3'!H89</f>
        <v>0</v>
      </c>
    </row>
    <row r="2863" spans="1:6">
      <c r="A2863" t="s">
        <v>2987</v>
      </c>
      <c r="B2863" t="s">
        <v>2944</v>
      </c>
      <c r="C2863" t="s">
        <v>3084</v>
      </c>
      <c r="F2863" s="898">
        <f>'Action POLLEC 3'!H90</f>
        <v>0</v>
      </c>
    </row>
    <row r="2864" spans="1:6">
      <c r="A2864" t="s">
        <v>2987</v>
      </c>
      <c r="B2864" t="s">
        <v>2944</v>
      </c>
      <c r="C2864" t="s">
        <v>3085</v>
      </c>
      <c r="F2864" s="898">
        <f>'Action POLLEC 3'!H91</f>
        <v>0</v>
      </c>
    </row>
    <row r="2865" spans="1:6">
      <c r="A2865" t="s">
        <v>2987</v>
      </c>
      <c r="B2865" t="s">
        <v>2944</v>
      </c>
      <c r="C2865" t="s">
        <v>3086</v>
      </c>
      <c r="F2865" s="898">
        <f>'Action POLLEC 3'!H92</f>
        <v>0</v>
      </c>
    </row>
    <row r="2866" spans="1:6">
      <c r="A2866" t="s">
        <v>2987</v>
      </c>
      <c r="B2866" t="s">
        <v>2944</v>
      </c>
      <c r="C2866" t="s">
        <v>3087</v>
      </c>
      <c r="F2866" s="898">
        <f>'Action POLLEC 3'!H93</f>
        <v>0</v>
      </c>
    </row>
    <row r="2867" spans="1:6">
      <c r="A2867" t="s">
        <v>2987</v>
      </c>
      <c r="B2867" t="s">
        <v>2944</v>
      </c>
      <c r="C2867" t="s">
        <v>3088</v>
      </c>
      <c r="F2867" s="898">
        <f>'Action POLLEC 3'!H94</f>
        <v>0</v>
      </c>
    </row>
    <row r="2868" spans="1:6">
      <c r="A2868" t="s">
        <v>2987</v>
      </c>
      <c r="B2868" t="s">
        <v>2944</v>
      </c>
      <c r="C2868" t="s">
        <v>3089</v>
      </c>
      <c r="F2868" s="898">
        <f>'Action POLLEC 3'!H95</f>
        <v>0</v>
      </c>
    </row>
    <row r="2869" spans="1:6">
      <c r="A2869" t="s">
        <v>2987</v>
      </c>
      <c r="B2869" t="s">
        <v>2944</v>
      </c>
      <c r="C2869" t="s">
        <v>3090</v>
      </c>
      <c r="F2869" s="898">
        <f>'Action POLLEC 3'!H96</f>
        <v>0</v>
      </c>
    </row>
    <row r="2870" spans="1:6">
      <c r="A2870" t="s">
        <v>2987</v>
      </c>
      <c r="B2870" t="s">
        <v>2945</v>
      </c>
      <c r="C2870" t="s">
        <v>2882</v>
      </c>
      <c r="F2870" s="898">
        <f>'Action POLLEC 3'!$B$101</f>
        <v>0</v>
      </c>
    </row>
    <row r="2871" spans="1:6">
      <c r="A2871" t="s">
        <v>2987</v>
      </c>
      <c r="B2871" t="s">
        <v>2945</v>
      </c>
      <c r="C2871" t="s">
        <v>2883</v>
      </c>
      <c r="F2871" s="898">
        <f>'Action POLLEC 3'!$B$102</f>
        <v>0</v>
      </c>
    </row>
    <row r="2872" spans="1:6">
      <c r="A2872" t="s">
        <v>2987</v>
      </c>
      <c r="B2872" t="s">
        <v>2945</v>
      </c>
      <c r="C2872" t="s">
        <v>2884</v>
      </c>
      <c r="F2872" s="898">
        <f>'Action POLLEC 3'!$B$103</f>
        <v>0</v>
      </c>
    </row>
    <row r="2873" spans="1:6">
      <c r="A2873" t="s">
        <v>2987</v>
      </c>
      <c r="B2873" t="s">
        <v>2945</v>
      </c>
      <c r="C2873" t="s">
        <v>2885</v>
      </c>
      <c r="F2873" s="898">
        <f>'Action POLLEC 3'!$B$104</f>
        <v>0</v>
      </c>
    </row>
    <row r="2874" spans="1:6">
      <c r="A2874" t="s">
        <v>2987</v>
      </c>
      <c r="B2874" t="s">
        <v>2945</v>
      </c>
      <c r="C2874" t="s">
        <v>2886</v>
      </c>
      <c r="F2874" s="898">
        <f>'Action POLLEC 3'!$B$105</f>
        <v>0</v>
      </c>
    </row>
    <row r="2875" spans="1:6">
      <c r="A2875" t="s">
        <v>2987</v>
      </c>
      <c r="B2875" t="s">
        <v>2945</v>
      </c>
      <c r="C2875" t="s">
        <v>2887</v>
      </c>
      <c r="F2875" s="898">
        <f>'Action POLLEC 3'!$B$106</f>
        <v>0</v>
      </c>
    </row>
    <row r="2876" spans="1:6">
      <c r="A2876" t="s">
        <v>2987</v>
      </c>
      <c r="B2876" t="s">
        <v>2945</v>
      </c>
      <c r="C2876" t="s">
        <v>2888</v>
      </c>
      <c r="F2876" s="898">
        <f>'Action POLLEC 3'!$B$107</f>
        <v>0</v>
      </c>
    </row>
    <row r="2877" spans="1:6">
      <c r="A2877" t="s">
        <v>2987</v>
      </c>
      <c r="B2877" t="s">
        <v>2945</v>
      </c>
      <c r="C2877" t="s">
        <v>2889</v>
      </c>
      <c r="F2877" s="898">
        <f>'Action POLLEC 3'!$B$108</f>
        <v>0</v>
      </c>
    </row>
    <row r="2878" spans="1:6">
      <c r="A2878" t="s">
        <v>2987</v>
      </c>
      <c r="B2878" t="s">
        <v>2945</v>
      </c>
      <c r="C2878" t="s">
        <v>2890</v>
      </c>
      <c r="F2878" s="898">
        <f>'Action POLLEC 3'!$B$109</f>
        <v>0</v>
      </c>
    </row>
    <row r="2879" spans="1:6">
      <c r="A2879" t="s">
        <v>2987</v>
      </c>
      <c r="B2879" t="s">
        <v>2945</v>
      </c>
      <c r="C2879" t="s">
        <v>2891</v>
      </c>
      <c r="F2879" s="898">
        <f>'Action POLLEC 3'!$B$110</f>
        <v>0</v>
      </c>
    </row>
    <row r="2880" spans="1:6">
      <c r="A2880" t="s">
        <v>2987</v>
      </c>
      <c r="B2880" t="s">
        <v>2945</v>
      </c>
      <c r="C2880" t="s">
        <v>2946</v>
      </c>
      <c r="F2880" s="898">
        <f>'Action POLLEC 3'!$C$101</f>
        <v>0</v>
      </c>
    </row>
    <row r="2881" spans="1:6">
      <c r="A2881" t="s">
        <v>2987</v>
      </c>
      <c r="B2881" t="s">
        <v>2945</v>
      </c>
      <c r="C2881" t="s">
        <v>2947</v>
      </c>
      <c r="F2881" s="898">
        <f>'Action POLLEC 3'!$C$102</f>
        <v>0</v>
      </c>
    </row>
    <row r="2882" spans="1:6">
      <c r="A2882" t="s">
        <v>2987</v>
      </c>
      <c r="B2882" t="s">
        <v>2945</v>
      </c>
      <c r="C2882" t="s">
        <v>2948</v>
      </c>
      <c r="F2882" s="898">
        <f>'Action POLLEC 3'!$C$103</f>
        <v>0</v>
      </c>
    </row>
    <row r="2883" spans="1:6">
      <c r="A2883" t="s">
        <v>2987</v>
      </c>
      <c r="B2883" t="s">
        <v>2945</v>
      </c>
      <c r="C2883" t="s">
        <v>2949</v>
      </c>
      <c r="F2883" s="898">
        <f>'Action POLLEC 3'!$C$104</f>
        <v>0</v>
      </c>
    </row>
    <row r="2884" spans="1:6">
      <c r="A2884" t="s">
        <v>2987</v>
      </c>
      <c r="B2884" t="s">
        <v>2945</v>
      </c>
      <c r="C2884" t="s">
        <v>2950</v>
      </c>
      <c r="F2884" s="898">
        <f>'Action POLLEC 3'!$C$105</f>
        <v>0</v>
      </c>
    </row>
    <row r="2885" spans="1:6">
      <c r="A2885" t="s">
        <v>2987</v>
      </c>
      <c r="B2885" t="s">
        <v>2945</v>
      </c>
      <c r="C2885" t="s">
        <v>2951</v>
      </c>
      <c r="F2885" s="898">
        <f>'Action POLLEC 3'!$C$106</f>
        <v>0</v>
      </c>
    </row>
    <row r="2886" spans="1:6">
      <c r="A2886" t="s">
        <v>2987</v>
      </c>
      <c r="B2886" t="s">
        <v>2945</v>
      </c>
      <c r="C2886" t="s">
        <v>2952</v>
      </c>
      <c r="F2886" s="898">
        <f>'Action POLLEC 3'!$C$107</f>
        <v>0</v>
      </c>
    </row>
    <row r="2887" spans="1:6">
      <c r="A2887" t="s">
        <v>2987</v>
      </c>
      <c r="B2887" t="s">
        <v>2945</v>
      </c>
      <c r="C2887" t="s">
        <v>2953</v>
      </c>
      <c r="F2887" s="898">
        <f>'Action POLLEC 3'!$C$108</f>
        <v>0</v>
      </c>
    </row>
    <row r="2888" spans="1:6">
      <c r="A2888" t="s">
        <v>2987</v>
      </c>
      <c r="B2888" t="s">
        <v>2945</v>
      </c>
      <c r="C2888" t="s">
        <v>2954</v>
      </c>
      <c r="F2888" s="898">
        <f>'Action POLLEC 3'!$C$109</f>
        <v>0</v>
      </c>
    </row>
    <row r="2889" spans="1:6">
      <c r="A2889" t="s">
        <v>2987</v>
      </c>
      <c r="B2889" t="s">
        <v>2945</v>
      </c>
      <c r="C2889" t="s">
        <v>2955</v>
      </c>
      <c r="F2889" s="898">
        <f>'Action POLLEC 3'!$C$110</f>
        <v>0</v>
      </c>
    </row>
    <row r="2890" spans="1:6">
      <c r="A2890" t="s">
        <v>2987</v>
      </c>
      <c r="B2890" t="s">
        <v>2945</v>
      </c>
      <c r="C2890" t="s">
        <v>2956</v>
      </c>
      <c r="F2890" s="898">
        <f>'Action POLLEC 3'!$D$101</f>
        <v>0</v>
      </c>
    </row>
    <row r="2891" spans="1:6">
      <c r="A2891" t="s">
        <v>2987</v>
      </c>
      <c r="B2891" t="s">
        <v>2945</v>
      </c>
      <c r="C2891" t="s">
        <v>2957</v>
      </c>
      <c r="F2891" s="898">
        <f>'Action POLLEC 3'!$D$102</f>
        <v>0</v>
      </c>
    </row>
    <row r="2892" spans="1:6">
      <c r="A2892" t="s">
        <v>2987</v>
      </c>
      <c r="B2892" t="s">
        <v>2945</v>
      </c>
      <c r="C2892" t="s">
        <v>2958</v>
      </c>
      <c r="F2892" s="898">
        <f>'Action POLLEC 3'!$D$103</f>
        <v>0</v>
      </c>
    </row>
    <row r="2893" spans="1:6">
      <c r="A2893" t="s">
        <v>2987</v>
      </c>
      <c r="B2893" t="s">
        <v>2945</v>
      </c>
      <c r="C2893" t="s">
        <v>2959</v>
      </c>
      <c r="F2893" s="898">
        <f>'Action POLLEC 3'!$D$104</f>
        <v>0</v>
      </c>
    </row>
    <row r="2894" spans="1:6">
      <c r="A2894" t="s">
        <v>2987</v>
      </c>
      <c r="B2894" t="s">
        <v>2945</v>
      </c>
      <c r="C2894" t="s">
        <v>2960</v>
      </c>
      <c r="F2894" s="898">
        <f>'Action POLLEC 3'!$D$105</f>
        <v>0</v>
      </c>
    </row>
    <row r="2895" spans="1:6">
      <c r="A2895" t="s">
        <v>2987</v>
      </c>
      <c r="B2895" t="s">
        <v>2945</v>
      </c>
      <c r="C2895" t="s">
        <v>2961</v>
      </c>
      <c r="F2895" s="898">
        <f>'Action POLLEC 3'!$D$106</f>
        <v>0</v>
      </c>
    </row>
    <row r="2896" spans="1:6">
      <c r="A2896" t="s">
        <v>2987</v>
      </c>
      <c r="B2896" t="s">
        <v>2945</v>
      </c>
      <c r="C2896" t="s">
        <v>2962</v>
      </c>
      <c r="F2896" s="898">
        <f>'Action POLLEC 3'!$D$107</f>
        <v>0</v>
      </c>
    </row>
    <row r="2897" spans="1:6">
      <c r="A2897" t="s">
        <v>2987</v>
      </c>
      <c r="B2897" t="s">
        <v>2945</v>
      </c>
      <c r="C2897" t="s">
        <v>2963</v>
      </c>
      <c r="F2897" s="898">
        <f>'Action POLLEC 3'!$D$108</f>
        <v>0</v>
      </c>
    </row>
    <row r="2898" spans="1:6">
      <c r="A2898" t="s">
        <v>2987</v>
      </c>
      <c r="B2898" t="s">
        <v>2945</v>
      </c>
      <c r="C2898" t="s">
        <v>2964</v>
      </c>
      <c r="F2898" s="898">
        <f>'Action POLLEC 3'!$D$109</f>
        <v>0</v>
      </c>
    </row>
    <row r="2899" spans="1:6">
      <c r="A2899" t="s">
        <v>2987</v>
      </c>
      <c r="B2899" t="s">
        <v>2945</v>
      </c>
      <c r="C2899" t="s">
        <v>2965</v>
      </c>
      <c r="F2899" s="898">
        <f>'Action POLLEC 3'!$D$110</f>
        <v>0</v>
      </c>
    </row>
    <row r="2900" spans="1:6">
      <c r="A2900" t="s">
        <v>2987</v>
      </c>
      <c r="B2900" t="s">
        <v>2945</v>
      </c>
      <c r="C2900" t="s">
        <v>2966</v>
      </c>
      <c r="F2900" s="898">
        <f>'Action POLLEC 3'!$E$101</f>
        <v>0</v>
      </c>
    </row>
    <row r="2901" spans="1:6">
      <c r="A2901" t="s">
        <v>2987</v>
      </c>
      <c r="B2901" t="s">
        <v>2945</v>
      </c>
      <c r="C2901" t="s">
        <v>2967</v>
      </c>
      <c r="F2901" s="898">
        <f>'Action POLLEC 3'!$E$102</f>
        <v>0</v>
      </c>
    </row>
    <row r="2902" spans="1:6">
      <c r="A2902" t="s">
        <v>2987</v>
      </c>
      <c r="B2902" t="s">
        <v>2945</v>
      </c>
      <c r="C2902" t="s">
        <v>2968</v>
      </c>
      <c r="F2902" s="898">
        <f>'Action POLLEC 3'!$E$103</f>
        <v>0</v>
      </c>
    </row>
    <row r="2903" spans="1:6">
      <c r="A2903" t="s">
        <v>2987</v>
      </c>
      <c r="B2903" t="s">
        <v>2945</v>
      </c>
      <c r="C2903" t="s">
        <v>2969</v>
      </c>
      <c r="F2903" s="898">
        <f>'Action POLLEC 3'!$E$104</f>
        <v>0</v>
      </c>
    </row>
    <row r="2904" spans="1:6">
      <c r="A2904" t="s">
        <v>2987</v>
      </c>
      <c r="B2904" t="s">
        <v>2945</v>
      </c>
      <c r="C2904" t="s">
        <v>2970</v>
      </c>
      <c r="F2904" s="898">
        <f>'Action POLLEC 3'!$E$105</f>
        <v>0</v>
      </c>
    </row>
    <row r="2905" spans="1:6">
      <c r="A2905" t="s">
        <v>2987</v>
      </c>
      <c r="B2905" t="s">
        <v>2945</v>
      </c>
      <c r="C2905" t="s">
        <v>2971</v>
      </c>
      <c r="F2905" s="898">
        <f>'Action POLLEC 3'!$E$106</f>
        <v>0</v>
      </c>
    </row>
    <row r="2906" spans="1:6">
      <c r="A2906" t="s">
        <v>2987</v>
      </c>
      <c r="B2906" t="s">
        <v>2945</v>
      </c>
      <c r="C2906" t="s">
        <v>2972</v>
      </c>
      <c r="F2906" s="898">
        <f>'Action POLLEC 3'!$E$107</f>
        <v>0</v>
      </c>
    </row>
    <row r="2907" spans="1:6">
      <c r="A2907" t="s">
        <v>2987</v>
      </c>
      <c r="B2907" t="s">
        <v>2945</v>
      </c>
      <c r="C2907" t="s">
        <v>2973</v>
      </c>
      <c r="F2907" s="898">
        <f>'Action POLLEC 3'!$E$108</f>
        <v>0</v>
      </c>
    </row>
    <row r="2908" spans="1:6">
      <c r="A2908" t="s">
        <v>2987</v>
      </c>
      <c r="B2908" t="s">
        <v>2945</v>
      </c>
      <c r="C2908" t="s">
        <v>2974</v>
      </c>
      <c r="F2908" s="898">
        <f>'Action POLLEC 3'!$E$109</f>
        <v>0</v>
      </c>
    </row>
    <row r="2909" spans="1:6">
      <c r="A2909" t="s">
        <v>2987</v>
      </c>
      <c r="B2909" t="s">
        <v>2945</v>
      </c>
      <c r="C2909" t="s">
        <v>2975</v>
      </c>
      <c r="F2909" s="898">
        <f>'Action POLLEC 3'!$E$110</f>
        <v>0</v>
      </c>
    </row>
    <row r="2910" spans="1:6">
      <c r="A2910" t="s">
        <v>2987</v>
      </c>
      <c r="B2910" t="s">
        <v>2945</v>
      </c>
      <c r="C2910" t="s">
        <v>2866</v>
      </c>
      <c r="F2910" s="898">
        <f>'Action POLLEC 3'!$F$101</f>
        <v>0</v>
      </c>
    </row>
    <row r="2911" spans="1:6">
      <c r="A2911" t="s">
        <v>2987</v>
      </c>
      <c r="B2911" t="s">
        <v>2945</v>
      </c>
      <c r="C2911" t="s">
        <v>2867</v>
      </c>
      <c r="F2911" s="898">
        <f>'Action POLLEC 3'!$F$102</f>
        <v>0</v>
      </c>
    </row>
    <row r="2912" spans="1:6">
      <c r="A2912" t="s">
        <v>2987</v>
      </c>
      <c r="B2912" t="s">
        <v>2945</v>
      </c>
      <c r="C2912" t="s">
        <v>2868</v>
      </c>
      <c r="F2912" s="898">
        <f>'Action POLLEC 3'!$F$103</f>
        <v>0</v>
      </c>
    </row>
    <row r="2913" spans="1:6">
      <c r="A2913" t="s">
        <v>2987</v>
      </c>
      <c r="B2913" t="s">
        <v>2945</v>
      </c>
      <c r="C2913" t="s">
        <v>2869</v>
      </c>
      <c r="F2913" s="898">
        <f>'Action POLLEC 3'!$F$104</f>
        <v>0</v>
      </c>
    </row>
    <row r="2914" spans="1:6">
      <c r="A2914" t="s">
        <v>2987</v>
      </c>
      <c r="B2914" t="s">
        <v>2945</v>
      </c>
      <c r="C2914" t="s">
        <v>2870</v>
      </c>
      <c r="F2914" s="898">
        <f>'Action POLLEC 3'!$F$105</f>
        <v>0</v>
      </c>
    </row>
    <row r="2915" spans="1:6">
      <c r="A2915" t="s">
        <v>2987</v>
      </c>
      <c r="B2915" t="s">
        <v>2945</v>
      </c>
      <c r="C2915" t="s">
        <v>2871</v>
      </c>
      <c r="F2915" s="898">
        <f>'Action POLLEC 3'!$F$106</f>
        <v>0</v>
      </c>
    </row>
    <row r="2916" spans="1:6">
      <c r="A2916" t="s">
        <v>2987</v>
      </c>
      <c r="B2916" t="s">
        <v>2945</v>
      </c>
      <c r="C2916" t="s">
        <v>2872</v>
      </c>
      <c r="F2916" s="898">
        <f>'Action POLLEC 3'!$F$107</f>
        <v>0</v>
      </c>
    </row>
    <row r="2917" spans="1:6">
      <c r="A2917" t="s">
        <v>2987</v>
      </c>
      <c r="B2917" t="s">
        <v>2945</v>
      </c>
      <c r="C2917" t="s">
        <v>2873</v>
      </c>
      <c r="F2917" s="898">
        <f>'Action POLLEC 3'!$F$108</f>
        <v>0</v>
      </c>
    </row>
    <row r="2918" spans="1:6">
      <c r="A2918" t="s">
        <v>2987</v>
      </c>
      <c r="B2918" t="s">
        <v>2945</v>
      </c>
      <c r="C2918" t="s">
        <v>2912</v>
      </c>
      <c r="F2918" s="898">
        <f>'Action POLLEC 3'!$F$109</f>
        <v>0</v>
      </c>
    </row>
    <row r="2919" spans="1:6">
      <c r="A2919" t="s">
        <v>2987</v>
      </c>
      <c r="B2919" t="s">
        <v>2945</v>
      </c>
      <c r="C2919" t="s">
        <v>2913</v>
      </c>
      <c r="F2919" s="898">
        <f>'Action POLLEC 3'!$F$110</f>
        <v>0</v>
      </c>
    </row>
    <row r="2920" spans="1:6">
      <c r="A2920" t="s">
        <v>2987</v>
      </c>
      <c r="B2920" t="s">
        <v>2945</v>
      </c>
      <c r="C2920" t="s">
        <v>2914</v>
      </c>
      <c r="F2920" s="898">
        <f>'Action POLLEC 3'!$G$101</f>
        <v>0</v>
      </c>
    </row>
    <row r="2921" spans="1:6">
      <c r="A2921" t="s">
        <v>2987</v>
      </c>
      <c r="B2921" t="s">
        <v>2945</v>
      </c>
      <c r="C2921" t="s">
        <v>2915</v>
      </c>
      <c r="F2921" s="898">
        <f>'Action POLLEC 3'!$G$102</f>
        <v>0</v>
      </c>
    </row>
    <row r="2922" spans="1:6">
      <c r="A2922" t="s">
        <v>2987</v>
      </c>
      <c r="B2922" t="s">
        <v>2945</v>
      </c>
      <c r="C2922" t="s">
        <v>2916</v>
      </c>
      <c r="F2922" s="898">
        <f>'Action POLLEC 3'!$G$103</f>
        <v>0</v>
      </c>
    </row>
    <row r="2923" spans="1:6">
      <c r="A2923" t="s">
        <v>2987</v>
      </c>
      <c r="B2923" t="s">
        <v>2945</v>
      </c>
      <c r="C2923" t="s">
        <v>2917</v>
      </c>
      <c r="F2923" s="898">
        <f>'Action POLLEC 3'!$G$104</f>
        <v>0</v>
      </c>
    </row>
    <row r="2924" spans="1:6">
      <c r="A2924" t="s">
        <v>2987</v>
      </c>
      <c r="B2924" t="s">
        <v>2945</v>
      </c>
      <c r="C2924" t="s">
        <v>2918</v>
      </c>
      <c r="F2924" s="898">
        <f>'Action POLLEC 3'!$G$105</f>
        <v>0</v>
      </c>
    </row>
    <row r="2925" spans="1:6">
      <c r="A2925" t="s">
        <v>2987</v>
      </c>
      <c r="B2925" t="s">
        <v>2945</v>
      </c>
      <c r="C2925" t="s">
        <v>2919</v>
      </c>
      <c r="F2925" s="898">
        <f>'Action POLLEC 3'!$G$106</f>
        <v>0</v>
      </c>
    </row>
    <row r="2926" spans="1:6">
      <c r="A2926" t="s">
        <v>2987</v>
      </c>
      <c r="B2926" t="s">
        <v>2945</v>
      </c>
      <c r="C2926" t="s">
        <v>2920</v>
      </c>
      <c r="F2926" s="898">
        <f>'Action POLLEC 3'!$G$107</f>
        <v>0</v>
      </c>
    </row>
    <row r="2927" spans="1:6">
      <c r="A2927" t="s">
        <v>2987</v>
      </c>
      <c r="B2927" t="s">
        <v>2945</v>
      </c>
      <c r="C2927" t="s">
        <v>2921</v>
      </c>
      <c r="F2927" s="898">
        <f>'Action POLLEC 3'!$G$108</f>
        <v>0</v>
      </c>
    </row>
    <row r="2928" spans="1:6">
      <c r="A2928" t="s">
        <v>2987</v>
      </c>
      <c r="B2928" t="s">
        <v>2945</v>
      </c>
      <c r="C2928" t="s">
        <v>2922</v>
      </c>
      <c r="F2928" s="898">
        <f>'Action POLLEC 3'!$G$109</f>
        <v>0</v>
      </c>
    </row>
    <row r="2929" spans="1:6">
      <c r="A2929" t="s">
        <v>2987</v>
      </c>
      <c r="B2929" t="s">
        <v>2945</v>
      </c>
      <c r="C2929" t="s">
        <v>2923</v>
      </c>
      <c r="F2929" s="898">
        <f>'Action POLLEC 3'!$G$110</f>
        <v>0</v>
      </c>
    </row>
    <row r="2930" spans="1:6">
      <c r="A2930" t="s">
        <v>2987</v>
      </c>
      <c r="B2930" t="s">
        <v>2945</v>
      </c>
      <c r="C2930" t="s">
        <v>2976</v>
      </c>
      <c r="F2930" s="898">
        <f>'Action POLLEC 3'!$H$101</f>
        <v>0</v>
      </c>
    </row>
    <row r="2931" spans="1:6">
      <c r="A2931" t="s">
        <v>2987</v>
      </c>
      <c r="B2931" t="s">
        <v>2945</v>
      </c>
      <c r="C2931" t="s">
        <v>2977</v>
      </c>
      <c r="F2931" s="898">
        <f>'Action POLLEC 3'!$H$102</f>
        <v>0</v>
      </c>
    </row>
    <row r="2932" spans="1:6">
      <c r="A2932" t="s">
        <v>2987</v>
      </c>
      <c r="B2932" t="s">
        <v>2945</v>
      </c>
      <c r="C2932" t="s">
        <v>2978</v>
      </c>
      <c r="F2932" s="898">
        <f>'Action POLLEC 3'!$H$103</f>
        <v>0</v>
      </c>
    </row>
    <row r="2933" spans="1:6">
      <c r="A2933" t="s">
        <v>2987</v>
      </c>
      <c r="B2933" t="s">
        <v>2945</v>
      </c>
      <c r="C2933" t="s">
        <v>2979</v>
      </c>
      <c r="F2933" s="898">
        <f>'Action POLLEC 3'!$H$104</f>
        <v>0</v>
      </c>
    </row>
    <row r="2934" spans="1:6">
      <c r="A2934" t="s">
        <v>2987</v>
      </c>
      <c r="B2934" t="s">
        <v>2945</v>
      </c>
      <c r="C2934" t="s">
        <v>2980</v>
      </c>
      <c r="F2934" s="898">
        <f>'Action POLLEC 3'!$H$105</f>
        <v>0</v>
      </c>
    </row>
    <row r="2935" spans="1:6">
      <c r="A2935" t="s">
        <v>2987</v>
      </c>
      <c r="B2935" t="s">
        <v>2945</v>
      </c>
      <c r="C2935" t="s">
        <v>2981</v>
      </c>
      <c r="F2935" s="898">
        <f>'Action POLLEC 3'!$H$106</f>
        <v>0</v>
      </c>
    </row>
    <row r="2936" spans="1:6">
      <c r="A2936" t="s">
        <v>2987</v>
      </c>
      <c r="B2936" t="s">
        <v>2945</v>
      </c>
      <c r="C2936" t="s">
        <v>2982</v>
      </c>
      <c r="F2936" s="898">
        <f>'Action POLLEC 3'!$H$107</f>
        <v>0</v>
      </c>
    </row>
    <row r="2937" spans="1:6">
      <c r="A2937" t="s">
        <v>2987</v>
      </c>
      <c r="B2937" t="s">
        <v>2945</v>
      </c>
      <c r="C2937" t="s">
        <v>2983</v>
      </c>
      <c r="F2937" s="898">
        <f>'Action POLLEC 3'!$H$108</f>
        <v>0</v>
      </c>
    </row>
    <row r="2938" spans="1:6">
      <c r="A2938" t="s">
        <v>2987</v>
      </c>
      <c r="B2938" t="s">
        <v>2945</v>
      </c>
      <c r="C2938" t="s">
        <v>2984</v>
      </c>
      <c r="F2938" s="898">
        <f>'Action POLLEC 3'!$H$109</f>
        <v>0</v>
      </c>
    </row>
    <row r="2939" spans="1:6">
      <c r="A2939" t="s">
        <v>2987</v>
      </c>
      <c r="B2939" t="s">
        <v>2945</v>
      </c>
      <c r="C2939" t="s">
        <v>2985</v>
      </c>
      <c r="F2939" s="898">
        <f>'Action POLLEC 3'!$H$110</f>
        <v>0</v>
      </c>
    </row>
    <row r="2940" spans="1:6">
      <c r="A2940" t="s">
        <v>2987</v>
      </c>
      <c r="B2940" t="s">
        <v>2945</v>
      </c>
      <c r="C2940" t="s">
        <v>2934</v>
      </c>
      <c r="F2940" s="898">
        <f>'Action POLLEC 3'!$I$101</f>
        <v>0</v>
      </c>
    </row>
    <row r="2941" spans="1:6">
      <c r="A2941" t="s">
        <v>2987</v>
      </c>
      <c r="B2941" t="s">
        <v>2945</v>
      </c>
      <c r="C2941" t="s">
        <v>2935</v>
      </c>
      <c r="F2941" s="898">
        <f>'Action POLLEC 3'!$I$102</f>
        <v>0</v>
      </c>
    </row>
    <row r="2942" spans="1:6">
      <c r="A2942" t="s">
        <v>2987</v>
      </c>
      <c r="B2942" t="s">
        <v>2945</v>
      </c>
      <c r="C2942" t="s">
        <v>2936</v>
      </c>
      <c r="F2942" s="898">
        <f>'Action POLLEC 3'!$I$103</f>
        <v>0</v>
      </c>
    </row>
    <row r="2943" spans="1:6">
      <c r="A2943" t="s">
        <v>2987</v>
      </c>
      <c r="B2943" t="s">
        <v>2945</v>
      </c>
      <c r="C2943" t="s">
        <v>2937</v>
      </c>
      <c r="F2943" s="898">
        <f>'Action POLLEC 3'!$I$104</f>
        <v>0</v>
      </c>
    </row>
    <row r="2944" spans="1:6">
      <c r="A2944" t="s">
        <v>2987</v>
      </c>
      <c r="B2944" t="s">
        <v>2945</v>
      </c>
      <c r="C2944" t="s">
        <v>2938</v>
      </c>
      <c r="F2944" s="898">
        <f>'Action POLLEC 3'!$I$105</f>
        <v>0</v>
      </c>
    </row>
    <row r="2945" spans="1:6">
      <c r="A2945" t="s">
        <v>2987</v>
      </c>
      <c r="B2945" t="s">
        <v>2945</v>
      </c>
      <c r="C2945" t="s">
        <v>2939</v>
      </c>
      <c r="F2945" s="898">
        <f>'Action POLLEC 3'!$I$106</f>
        <v>0</v>
      </c>
    </row>
    <row r="2946" spans="1:6">
      <c r="A2946" t="s">
        <v>2987</v>
      </c>
      <c r="B2946" t="s">
        <v>2945</v>
      </c>
      <c r="C2946" t="s">
        <v>2940</v>
      </c>
      <c r="F2946" s="898">
        <f>'Action POLLEC 3'!$I$107</f>
        <v>0</v>
      </c>
    </row>
    <row r="2947" spans="1:6">
      <c r="A2947" t="s">
        <v>2987</v>
      </c>
      <c r="B2947" t="s">
        <v>2945</v>
      </c>
      <c r="C2947" t="s">
        <v>2941</v>
      </c>
      <c r="F2947" s="898">
        <f>'Action POLLEC 3'!$I$108</f>
        <v>0</v>
      </c>
    </row>
    <row r="2948" spans="1:6">
      <c r="A2948" t="s">
        <v>2987</v>
      </c>
      <c r="B2948" t="s">
        <v>2945</v>
      </c>
      <c r="C2948" t="s">
        <v>2942</v>
      </c>
      <c r="F2948" s="898">
        <f>'Action POLLEC 3'!$I$109</f>
        <v>0</v>
      </c>
    </row>
    <row r="2949" spans="1:6">
      <c r="A2949" t="s">
        <v>2987</v>
      </c>
      <c r="B2949" t="s">
        <v>2945</v>
      </c>
      <c r="C2949" t="s">
        <v>2943</v>
      </c>
      <c r="F2949" s="898">
        <f>'Action POLLEC 3'!$I$110</f>
        <v>0</v>
      </c>
    </row>
    <row r="2950" spans="1:6">
      <c r="A2950" t="s">
        <v>2988</v>
      </c>
      <c r="B2950" t="s">
        <v>2831</v>
      </c>
      <c r="F2950" s="898">
        <f>'Action POLLEC 4'!$F$10</f>
        <v>0</v>
      </c>
    </row>
    <row r="2951" spans="1:6">
      <c r="A2951" t="s">
        <v>2988</v>
      </c>
      <c r="B2951" t="s">
        <v>3006</v>
      </c>
      <c r="F2951" s="898" t="str">
        <f ca="1">'Action POLLEC 4'!F6</f>
        <v/>
      </c>
    </row>
    <row r="2952" spans="1:6">
      <c r="A2952" t="s">
        <v>2988</v>
      </c>
      <c r="B2952" t="s">
        <v>725</v>
      </c>
      <c r="F2952" s="898" t="str">
        <f ca="1">'Action POLLEC 4'!B19</f>
        <v>-</v>
      </c>
    </row>
    <row r="2953" spans="1:6">
      <c r="A2953" t="s">
        <v>2988</v>
      </c>
      <c r="B2953" t="s">
        <v>325</v>
      </c>
      <c r="F2953" s="898">
        <f>'Action POLLEC 4'!$B$20</f>
        <v>0</v>
      </c>
    </row>
    <row r="2954" spans="1:6">
      <c r="A2954" t="s">
        <v>2988</v>
      </c>
      <c r="B2954" t="s">
        <v>2832</v>
      </c>
      <c r="F2954" s="898">
        <f>'Action POLLEC 4'!$B$21</f>
        <v>0</v>
      </c>
    </row>
    <row r="2955" spans="1:6">
      <c r="A2955" t="s">
        <v>2988</v>
      </c>
      <c r="B2955" t="s">
        <v>2833</v>
      </c>
      <c r="F2955" s="898" t="str">
        <f ca="1">'Action POLLEC 4'!$B$26</f>
        <v>-</v>
      </c>
    </row>
    <row r="2956" spans="1:6">
      <c r="A2956" t="s">
        <v>2988</v>
      </c>
      <c r="B2956" t="s">
        <v>2834</v>
      </c>
      <c r="F2956" s="898">
        <f>'Action POLLEC 4'!$B$27</f>
        <v>0</v>
      </c>
    </row>
    <row r="2957" spans="1:6">
      <c r="A2957" t="s">
        <v>2988</v>
      </c>
      <c r="B2957" t="s">
        <v>2835</v>
      </c>
      <c r="F2957" s="898">
        <f>'Action POLLEC 4'!$B$28</f>
        <v>0</v>
      </c>
    </row>
    <row r="2958" spans="1:6">
      <c r="A2958" t="s">
        <v>2988</v>
      </c>
      <c r="B2958" t="s">
        <v>2836</v>
      </c>
      <c r="F2958" s="898">
        <f>'Action POLLEC 4'!$B$29</f>
        <v>0</v>
      </c>
    </row>
    <row r="2959" spans="1:6">
      <c r="A2959" t="s">
        <v>2988</v>
      </c>
      <c r="B2959" t="s">
        <v>2837</v>
      </c>
      <c r="F2959" s="898">
        <f>'Action POLLEC 4'!$B$30</f>
        <v>0</v>
      </c>
    </row>
    <row r="2960" spans="1:6">
      <c r="A2960" t="s">
        <v>2988</v>
      </c>
      <c r="B2960" t="s">
        <v>2838</v>
      </c>
      <c r="F2960" s="898">
        <f>'Action POLLEC 4'!$D$26</f>
        <v>0</v>
      </c>
    </row>
    <row r="2961" spans="1:6">
      <c r="A2961" t="s">
        <v>2988</v>
      </c>
      <c r="B2961" t="s">
        <v>2839</v>
      </c>
      <c r="F2961" s="898">
        <f>'Action POLLEC 4'!$D$27</f>
        <v>0</v>
      </c>
    </row>
    <row r="2962" spans="1:6">
      <c r="A2962" t="s">
        <v>2988</v>
      </c>
      <c r="B2962" t="s">
        <v>2840</v>
      </c>
      <c r="F2962" s="898">
        <f>'Action POLLEC 4'!$D$28</f>
        <v>0</v>
      </c>
    </row>
    <row r="2963" spans="1:6">
      <c r="A2963" t="s">
        <v>2988</v>
      </c>
      <c r="B2963" t="s">
        <v>2841</v>
      </c>
      <c r="F2963" s="898">
        <f>'Action POLLEC 4'!$D$29</f>
        <v>0</v>
      </c>
    </row>
    <row r="2964" spans="1:6">
      <c r="A2964" t="s">
        <v>2988</v>
      </c>
      <c r="B2964" t="s">
        <v>2842</v>
      </c>
      <c r="F2964" s="898">
        <f>'Action POLLEC 4'!$D$30</f>
        <v>0</v>
      </c>
    </row>
    <row r="2965" spans="1:6">
      <c r="A2965" t="s">
        <v>2988</v>
      </c>
      <c r="B2965" t="s">
        <v>2843</v>
      </c>
      <c r="F2965" s="898">
        <f>'Action POLLEC 4'!$F$26</f>
        <v>0</v>
      </c>
    </row>
    <row r="2966" spans="1:6">
      <c r="A2966" t="s">
        <v>2988</v>
      </c>
      <c r="B2966" t="s">
        <v>2844</v>
      </c>
      <c r="F2966" s="898">
        <f>'Action POLLEC 4'!$F$27</f>
        <v>0</v>
      </c>
    </row>
    <row r="2967" spans="1:6">
      <c r="A2967" t="s">
        <v>2988</v>
      </c>
      <c r="B2967" t="s">
        <v>2845</v>
      </c>
      <c r="F2967" s="898">
        <f>'Action POLLEC 4'!$F$28</f>
        <v>0</v>
      </c>
    </row>
    <row r="2968" spans="1:6">
      <c r="A2968" t="s">
        <v>2988</v>
      </c>
      <c r="B2968" t="s">
        <v>2846</v>
      </c>
      <c r="F2968" s="898">
        <f>'Action POLLEC 4'!$F$29</f>
        <v>0</v>
      </c>
    </row>
    <row r="2969" spans="1:6">
      <c r="A2969" t="s">
        <v>2988</v>
      </c>
      <c r="B2969" t="s">
        <v>2847</v>
      </c>
      <c r="F2969" s="898">
        <f>'Action POLLEC 4'!$F$30</f>
        <v>0</v>
      </c>
    </row>
    <row r="2970" spans="1:6">
      <c r="A2970" t="s">
        <v>2988</v>
      </c>
      <c r="B2970" t="s">
        <v>2848</v>
      </c>
      <c r="F2970" s="898">
        <f>'Action POLLEC 4'!$B$32</f>
        <v>0</v>
      </c>
    </row>
    <row r="2971" spans="1:6">
      <c r="A2971" t="s">
        <v>2988</v>
      </c>
      <c r="B2971" t="s">
        <v>2849</v>
      </c>
      <c r="F2971" s="898">
        <f>'Action POLLEC 4'!$B$33</f>
        <v>0</v>
      </c>
    </row>
    <row r="2972" spans="1:6">
      <c r="A2972" t="s">
        <v>2988</v>
      </c>
      <c r="B2972" t="s">
        <v>2850</v>
      </c>
      <c r="F2972" s="898">
        <f>'Action POLLEC 4'!$B$53</f>
        <v>0</v>
      </c>
    </row>
    <row r="2973" spans="1:6">
      <c r="A2973" t="s">
        <v>2988</v>
      </c>
      <c r="B2973" t="s">
        <v>2851</v>
      </c>
      <c r="F2973" s="898">
        <f>'Action POLLEC 4'!$B$54</f>
        <v>0</v>
      </c>
    </row>
    <row r="2974" spans="1:6">
      <c r="A2974" t="s">
        <v>2988</v>
      </c>
      <c r="B2974" t="s">
        <v>2852</v>
      </c>
      <c r="F2974" s="898">
        <f>'Action POLLEC 4'!$B$55</f>
        <v>0</v>
      </c>
    </row>
    <row r="2975" spans="1:6">
      <c r="A2975" t="s">
        <v>2988</v>
      </c>
      <c r="B2975" t="s">
        <v>2853</v>
      </c>
      <c r="F2975" s="898">
        <f>'Action POLLEC 4'!$B$56</f>
        <v>0</v>
      </c>
    </row>
    <row r="2976" spans="1:6">
      <c r="A2976" t="s">
        <v>2988</v>
      </c>
      <c r="B2976" t="s">
        <v>2854</v>
      </c>
      <c r="F2976" s="898">
        <f>'Action POLLEC 4'!$B$57</f>
        <v>0</v>
      </c>
    </row>
    <row r="2977" spans="1:6">
      <c r="A2977" t="s">
        <v>2988</v>
      </c>
      <c r="B2977" t="s">
        <v>2855</v>
      </c>
      <c r="F2977" s="898">
        <f>'Action POLLEC 4'!$B$58</f>
        <v>0</v>
      </c>
    </row>
    <row r="2978" spans="1:6">
      <c r="A2978" t="s">
        <v>2988</v>
      </c>
      <c r="B2978" t="s">
        <v>2856</v>
      </c>
      <c r="F2978" s="898">
        <f>'Action POLLEC 4'!$B$59</f>
        <v>0</v>
      </c>
    </row>
    <row r="2979" spans="1:6">
      <c r="A2979" t="s">
        <v>2988</v>
      </c>
      <c r="B2979" t="s">
        <v>2857</v>
      </c>
      <c r="F2979" s="898">
        <f>'Action POLLEC 4'!$B60</f>
        <v>0</v>
      </c>
    </row>
    <row r="2980" spans="1:6">
      <c r="A2980" t="s">
        <v>2988</v>
      </c>
      <c r="B2980" t="s">
        <v>3007</v>
      </c>
      <c r="F2980" s="898">
        <f>'Action POLLEC 4'!$B61</f>
        <v>0</v>
      </c>
    </row>
    <row r="2981" spans="1:6">
      <c r="A2981" t="s">
        <v>2988</v>
      </c>
      <c r="B2981" t="s">
        <v>3008</v>
      </c>
      <c r="F2981" s="898">
        <f>'Action POLLEC 4'!$B62</f>
        <v>0</v>
      </c>
    </row>
    <row r="2982" spans="1:6">
      <c r="A2982" t="s">
        <v>2988</v>
      </c>
      <c r="B2982" t="s">
        <v>3009</v>
      </c>
      <c r="F2982" s="898">
        <f>'Action POLLEC 4'!$B63</f>
        <v>0</v>
      </c>
    </row>
    <row r="2983" spans="1:6">
      <c r="A2983" t="s">
        <v>2988</v>
      </c>
      <c r="B2983" t="s">
        <v>3010</v>
      </c>
      <c r="F2983" s="898">
        <f>'Action POLLEC 4'!$B64</f>
        <v>0</v>
      </c>
    </row>
    <row r="2984" spans="1:6">
      <c r="A2984" t="s">
        <v>2988</v>
      </c>
      <c r="B2984" t="s">
        <v>3011</v>
      </c>
      <c r="F2984" s="898">
        <f>'Action POLLEC 4'!$B65</f>
        <v>0</v>
      </c>
    </row>
    <row r="2985" spans="1:6">
      <c r="A2985" t="s">
        <v>2988</v>
      </c>
      <c r="B2985" t="s">
        <v>3012</v>
      </c>
      <c r="F2985" s="898">
        <f>'Action POLLEC 4'!$B66</f>
        <v>0</v>
      </c>
    </row>
    <row r="2986" spans="1:6">
      <c r="A2986" t="s">
        <v>2988</v>
      </c>
      <c r="B2986" t="s">
        <v>3013</v>
      </c>
      <c r="F2986" s="898">
        <f>'Action POLLEC 4'!$B67</f>
        <v>0</v>
      </c>
    </row>
    <row r="2987" spans="1:6">
      <c r="A2987" t="s">
        <v>2988</v>
      </c>
      <c r="B2987" t="s">
        <v>2858</v>
      </c>
      <c r="F2987" s="898">
        <f>'Action POLLEC 4'!$E$53</f>
        <v>0</v>
      </c>
    </row>
    <row r="2988" spans="1:6">
      <c r="A2988" t="s">
        <v>2988</v>
      </c>
      <c r="B2988" t="s">
        <v>2859</v>
      </c>
      <c r="F2988" s="898">
        <f>'Action POLLEC 4'!$E$54</f>
        <v>0</v>
      </c>
    </row>
    <row r="2989" spans="1:6">
      <c r="A2989" t="s">
        <v>2988</v>
      </c>
      <c r="B2989" t="s">
        <v>2860</v>
      </c>
      <c r="F2989" s="898">
        <f>'Action POLLEC 4'!$E$55</f>
        <v>0</v>
      </c>
    </row>
    <row r="2990" spans="1:6">
      <c r="A2990" t="s">
        <v>2988</v>
      </c>
      <c r="B2990" t="s">
        <v>2861</v>
      </c>
      <c r="F2990" s="898">
        <f>'Action POLLEC 4'!$E$56</f>
        <v>0</v>
      </c>
    </row>
    <row r="2991" spans="1:6">
      <c r="A2991" t="s">
        <v>2988</v>
      </c>
      <c r="B2991" t="s">
        <v>2862</v>
      </c>
      <c r="F2991" s="898">
        <f>'Action POLLEC 4'!$E$57</f>
        <v>0</v>
      </c>
    </row>
    <row r="2992" spans="1:6">
      <c r="A2992" t="s">
        <v>2988</v>
      </c>
      <c r="B2992" t="s">
        <v>2863</v>
      </c>
      <c r="F2992" s="898">
        <f>'Action POLLEC 4'!$E$58</f>
        <v>0</v>
      </c>
    </row>
    <row r="2993" spans="1:6">
      <c r="A2993" t="s">
        <v>2988</v>
      </c>
      <c r="B2993" t="s">
        <v>2864</v>
      </c>
      <c r="F2993" s="898">
        <f>'Action POLLEC 4'!$E$59</f>
        <v>0</v>
      </c>
    </row>
    <row r="2994" spans="1:6">
      <c r="A2994" t="s">
        <v>2988</v>
      </c>
      <c r="B2994" t="s">
        <v>2865</v>
      </c>
      <c r="F2994" s="898">
        <f>'Action POLLEC 4'!$E60</f>
        <v>0</v>
      </c>
    </row>
    <row r="2995" spans="1:6">
      <c r="A2995" t="s">
        <v>2988</v>
      </c>
      <c r="B2995" t="s">
        <v>3091</v>
      </c>
      <c r="F2995" s="898">
        <f>'Action POLLEC 4'!$E61</f>
        <v>0</v>
      </c>
    </row>
    <row r="2996" spans="1:6">
      <c r="A2996" t="s">
        <v>2988</v>
      </c>
      <c r="B2996" t="s">
        <v>3092</v>
      </c>
      <c r="F2996" s="898">
        <f>'Action POLLEC 4'!$E62</f>
        <v>0</v>
      </c>
    </row>
    <row r="2997" spans="1:6">
      <c r="A2997" t="s">
        <v>2988</v>
      </c>
      <c r="B2997" t="s">
        <v>3093</v>
      </c>
      <c r="F2997" s="898">
        <f>'Action POLLEC 4'!$E63</f>
        <v>0</v>
      </c>
    </row>
    <row r="2998" spans="1:6">
      <c r="A2998" t="s">
        <v>2988</v>
      </c>
      <c r="B2998" t="s">
        <v>3094</v>
      </c>
      <c r="F2998" s="898">
        <f>'Action POLLEC 4'!$E64</f>
        <v>0</v>
      </c>
    </row>
    <row r="2999" spans="1:6">
      <c r="A2999" t="s">
        <v>2988</v>
      </c>
      <c r="B2999" t="s">
        <v>3095</v>
      </c>
      <c r="F2999" s="898">
        <f>'Action POLLEC 4'!$E65</f>
        <v>0</v>
      </c>
    </row>
    <row r="3000" spans="1:6">
      <c r="A3000" t="s">
        <v>2988</v>
      </c>
      <c r="B3000" t="s">
        <v>3096</v>
      </c>
      <c r="F3000" s="898">
        <f>'Action POLLEC 4'!$E66</f>
        <v>0</v>
      </c>
    </row>
    <row r="3001" spans="1:6">
      <c r="A3001" t="s">
        <v>2988</v>
      </c>
      <c r="B3001" t="s">
        <v>3097</v>
      </c>
      <c r="F3001" s="898">
        <f>'Action POLLEC 4'!$E67</f>
        <v>0</v>
      </c>
    </row>
    <row r="3002" spans="1:6">
      <c r="A3002" t="s">
        <v>2988</v>
      </c>
      <c r="B3002" t="s">
        <v>2866</v>
      </c>
      <c r="F3002" s="898">
        <f>'Action POLLEC 4'!$F$53</f>
        <v>0</v>
      </c>
    </row>
    <row r="3003" spans="1:6">
      <c r="A3003" t="s">
        <v>2988</v>
      </c>
      <c r="B3003" t="s">
        <v>2867</v>
      </c>
      <c r="F3003" s="898">
        <f>'Action POLLEC 4'!$F$54</f>
        <v>0</v>
      </c>
    </row>
    <row r="3004" spans="1:6">
      <c r="A3004" t="s">
        <v>2988</v>
      </c>
      <c r="B3004" t="s">
        <v>2868</v>
      </c>
      <c r="F3004" s="898">
        <f>'Action POLLEC 4'!$F$55</f>
        <v>0</v>
      </c>
    </row>
    <row r="3005" spans="1:6">
      <c r="A3005" t="s">
        <v>2988</v>
      </c>
      <c r="B3005" t="s">
        <v>2869</v>
      </c>
      <c r="F3005" s="898">
        <f>'Action POLLEC 4'!$F$56</f>
        <v>0</v>
      </c>
    </row>
    <row r="3006" spans="1:6">
      <c r="A3006" t="s">
        <v>2988</v>
      </c>
      <c r="B3006" t="s">
        <v>2870</v>
      </c>
      <c r="F3006" s="898">
        <f>'Action POLLEC 4'!$F$57</f>
        <v>0</v>
      </c>
    </row>
    <row r="3007" spans="1:6">
      <c r="A3007" t="s">
        <v>2988</v>
      </c>
      <c r="B3007" t="s">
        <v>2871</v>
      </c>
      <c r="F3007" s="898">
        <f>'Action POLLEC 4'!$F$58</f>
        <v>0</v>
      </c>
    </row>
    <row r="3008" spans="1:6">
      <c r="A3008" t="s">
        <v>2988</v>
      </c>
      <c r="B3008" t="s">
        <v>2872</v>
      </c>
      <c r="F3008" s="898">
        <f>'Action POLLEC 4'!$F$59</f>
        <v>0</v>
      </c>
    </row>
    <row r="3009" spans="1:6">
      <c r="A3009" t="s">
        <v>2988</v>
      </c>
      <c r="B3009" t="s">
        <v>2873</v>
      </c>
      <c r="F3009" s="898">
        <f>'Action POLLEC 4'!$F60</f>
        <v>0</v>
      </c>
    </row>
    <row r="3010" spans="1:6">
      <c r="A3010" t="s">
        <v>2988</v>
      </c>
      <c r="B3010" t="s">
        <v>2912</v>
      </c>
      <c r="F3010" s="898">
        <f>'Action POLLEC 4'!$F61</f>
        <v>0</v>
      </c>
    </row>
    <row r="3011" spans="1:6">
      <c r="A3011" t="s">
        <v>2988</v>
      </c>
      <c r="B3011" t="s">
        <v>2913</v>
      </c>
      <c r="F3011" s="898">
        <f>'Action POLLEC 4'!$F62</f>
        <v>0</v>
      </c>
    </row>
    <row r="3012" spans="1:6">
      <c r="A3012" t="s">
        <v>2988</v>
      </c>
      <c r="B3012" t="s">
        <v>3014</v>
      </c>
      <c r="F3012" s="898">
        <f>'Action POLLEC 4'!$F63</f>
        <v>0</v>
      </c>
    </row>
    <row r="3013" spans="1:6">
      <c r="A3013" t="s">
        <v>2988</v>
      </c>
      <c r="B3013" t="s">
        <v>3015</v>
      </c>
      <c r="F3013" s="898">
        <f>'Action POLLEC 4'!$F64</f>
        <v>0</v>
      </c>
    </row>
    <row r="3014" spans="1:6">
      <c r="A3014" t="s">
        <v>2988</v>
      </c>
      <c r="B3014" t="s">
        <v>3016</v>
      </c>
      <c r="F3014" s="898">
        <f>'Action POLLEC 4'!$F65</f>
        <v>0</v>
      </c>
    </row>
    <row r="3015" spans="1:6">
      <c r="A3015" t="s">
        <v>2988</v>
      </c>
      <c r="B3015" t="s">
        <v>3017</v>
      </c>
      <c r="F3015" s="898">
        <f>'Action POLLEC 4'!$F66</f>
        <v>0</v>
      </c>
    </row>
    <row r="3016" spans="1:6">
      <c r="A3016" t="s">
        <v>2988</v>
      </c>
      <c r="B3016" t="s">
        <v>3018</v>
      </c>
      <c r="F3016" s="898">
        <f>'Action POLLEC 4'!$F67</f>
        <v>0</v>
      </c>
    </row>
    <row r="3017" spans="1:6">
      <c r="A3017" t="s">
        <v>2988</v>
      </c>
      <c r="B3017" t="s">
        <v>2874</v>
      </c>
      <c r="F3017" s="898">
        <f>'Action POLLEC 4'!$G$53</f>
        <v>0</v>
      </c>
    </row>
    <row r="3018" spans="1:6">
      <c r="A3018" t="s">
        <v>2988</v>
      </c>
      <c r="B3018" t="s">
        <v>2875</v>
      </c>
      <c r="F3018" s="898">
        <f>'Action POLLEC 4'!$G$54</f>
        <v>0</v>
      </c>
    </row>
    <row r="3019" spans="1:6">
      <c r="A3019" t="s">
        <v>2988</v>
      </c>
      <c r="B3019" t="s">
        <v>2876</v>
      </c>
      <c r="F3019" s="898">
        <f>'Action POLLEC 4'!$G$55</f>
        <v>0</v>
      </c>
    </row>
    <row r="3020" spans="1:6">
      <c r="A3020" t="s">
        <v>2988</v>
      </c>
      <c r="B3020" t="s">
        <v>2877</v>
      </c>
      <c r="F3020" s="898">
        <f>'Action POLLEC 4'!$G$56</f>
        <v>0</v>
      </c>
    </row>
    <row r="3021" spans="1:6">
      <c r="A3021" t="s">
        <v>2988</v>
      </c>
      <c r="B3021" t="s">
        <v>2878</v>
      </c>
      <c r="F3021" s="898">
        <f>'Action POLLEC 4'!$G$57</f>
        <v>0</v>
      </c>
    </row>
    <row r="3022" spans="1:6">
      <c r="A3022" t="s">
        <v>2988</v>
      </c>
      <c r="B3022" t="s">
        <v>2879</v>
      </c>
      <c r="F3022" s="898">
        <f>'Action POLLEC 4'!$G$58</f>
        <v>0</v>
      </c>
    </row>
    <row r="3023" spans="1:6">
      <c r="A3023" t="s">
        <v>2988</v>
      </c>
      <c r="B3023" t="s">
        <v>2880</v>
      </c>
      <c r="F3023" s="898">
        <f>'Action POLLEC 4'!$G$59</f>
        <v>0</v>
      </c>
    </row>
    <row r="3024" spans="1:6">
      <c r="A3024" t="s">
        <v>2988</v>
      </c>
      <c r="B3024" t="s">
        <v>2881</v>
      </c>
      <c r="F3024" s="898">
        <f>'Action POLLEC 4'!$G60</f>
        <v>0</v>
      </c>
    </row>
    <row r="3025" spans="1:6">
      <c r="A3025" t="s">
        <v>2988</v>
      </c>
      <c r="B3025" t="s">
        <v>3019</v>
      </c>
      <c r="F3025" s="898">
        <f>'Action POLLEC 4'!$G61</f>
        <v>0</v>
      </c>
    </row>
    <row r="3026" spans="1:6">
      <c r="A3026" t="s">
        <v>2988</v>
      </c>
      <c r="B3026" t="s">
        <v>3020</v>
      </c>
      <c r="F3026" s="898">
        <f>'Action POLLEC 4'!$G62</f>
        <v>0</v>
      </c>
    </row>
    <row r="3027" spans="1:6">
      <c r="A3027" t="s">
        <v>2988</v>
      </c>
      <c r="B3027" t="s">
        <v>3021</v>
      </c>
      <c r="F3027" s="898">
        <f>'Action POLLEC 4'!$G63</f>
        <v>0</v>
      </c>
    </row>
    <row r="3028" spans="1:6">
      <c r="A3028" t="s">
        <v>2988</v>
      </c>
      <c r="B3028" t="s">
        <v>3022</v>
      </c>
      <c r="F3028" s="898">
        <f>'Action POLLEC 4'!$G64</f>
        <v>0</v>
      </c>
    </row>
    <row r="3029" spans="1:6">
      <c r="A3029" t="s">
        <v>2988</v>
      </c>
      <c r="B3029" t="s">
        <v>3023</v>
      </c>
      <c r="F3029" s="898">
        <f>'Action POLLEC 4'!$G65</f>
        <v>0</v>
      </c>
    </row>
    <row r="3030" spans="1:6">
      <c r="A3030" t="s">
        <v>2988</v>
      </c>
      <c r="B3030" t="s">
        <v>3024</v>
      </c>
      <c r="F3030" s="898">
        <f>'Action POLLEC 4'!$G66</f>
        <v>0</v>
      </c>
    </row>
    <row r="3031" spans="1:6">
      <c r="A3031" t="s">
        <v>2988</v>
      </c>
      <c r="B3031" t="s">
        <v>3025</v>
      </c>
      <c r="F3031" s="898">
        <f>'Action POLLEC 4'!$G67</f>
        <v>0</v>
      </c>
    </row>
    <row r="3032" spans="1:6">
      <c r="A3032" t="s">
        <v>2988</v>
      </c>
      <c r="B3032" t="s">
        <v>2944</v>
      </c>
      <c r="C3032" t="s">
        <v>2882</v>
      </c>
      <c r="F3032" s="898" t="str">
        <f ca="1">'Action POLLEC 4'!B77</f>
        <v>-</v>
      </c>
    </row>
    <row r="3033" spans="1:6">
      <c r="A3033" t="s">
        <v>2988</v>
      </c>
      <c r="B3033" t="s">
        <v>2944</v>
      </c>
      <c r="C3033" t="s">
        <v>2883</v>
      </c>
      <c r="F3033" s="898" t="str">
        <f ca="1">'Action POLLEC 4'!B78</f>
        <v>-</v>
      </c>
    </row>
    <row r="3034" spans="1:6">
      <c r="A3034" t="s">
        <v>2988</v>
      </c>
      <c r="B3034" t="s">
        <v>2944</v>
      </c>
      <c r="C3034" t="s">
        <v>2884</v>
      </c>
      <c r="F3034" s="898" t="str">
        <f ca="1">'Action POLLEC 4'!B79</f>
        <v>-</v>
      </c>
    </row>
    <row r="3035" spans="1:6">
      <c r="A3035" t="s">
        <v>2988</v>
      </c>
      <c r="B3035" t="s">
        <v>2944</v>
      </c>
      <c r="C3035" t="s">
        <v>2885</v>
      </c>
      <c r="F3035" s="898" t="str">
        <f ca="1">'Action POLLEC 4'!B80</f>
        <v>-</v>
      </c>
    </row>
    <row r="3036" spans="1:6">
      <c r="A3036" t="s">
        <v>2988</v>
      </c>
      <c r="B3036" t="s">
        <v>2944</v>
      </c>
      <c r="C3036" t="s">
        <v>2886</v>
      </c>
      <c r="F3036" s="898" t="str">
        <f ca="1">'Action POLLEC 4'!B81</f>
        <v>-</v>
      </c>
    </row>
    <row r="3037" spans="1:6">
      <c r="A3037" t="s">
        <v>2988</v>
      </c>
      <c r="B3037" t="s">
        <v>2944</v>
      </c>
      <c r="C3037" t="s">
        <v>2887</v>
      </c>
      <c r="F3037" s="898" t="str">
        <f ca="1">'Action POLLEC 4'!B82</f>
        <v>-</v>
      </c>
    </row>
    <row r="3038" spans="1:6">
      <c r="A3038" t="s">
        <v>2988</v>
      </c>
      <c r="B3038" t="s">
        <v>2944</v>
      </c>
      <c r="C3038" t="s">
        <v>2888</v>
      </c>
      <c r="F3038" s="898" t="str">
        <f ca="1">'Action POLLEC 4'!B83</f>
        <v>-</v>
      </c>
    </row>
    <row r="3039" spans="1:6">
      <c r="A3039" t="s">
        <v>2988</v>
      </c>
      <c r="B3039" t="s">
        <v>2944</v>
      </c>
      <c r="C3039" t="s">
        <v>2889</v>
      </c>
      <c r="F3039" s="898" t="str">
        <f ca="1">'Action POLLEC 4'!B84</f>
        <v>-</v>
      </c>
    </row>
    <row r="3040" spans="1:6">
      <c r="A3040" t="s">
        <v>2988</v>
      </c>
      <c r="B3040" t="s">
        <v>2944</v>
      </c>
      <c r="C3040" t="s">
        <v>2890</v>
      </c>
      <c r="F3040" s="898" t="str">
        <f ca="1">'Action POLLEC 4'!B85</f>
        <v>-</v>
      </c>
    </row>
    <row r="3041" spans="1:6">
      <c r="A3041" t="s">
        <v>2988</v>
      </c>
      <c r="B3041" t="s">
        <v>2944</v>
      </c>
      <c r="C3041" t="s">
        <v>2891</v>
      </c>
      <c r="F3041" s="898" t="str">
        <f ca="1">'Action POLLEC 4'!B86</f>
        <v>-</v>
      </c>
    </row>
    <row r="3042" spans="1:6">
      <c r="A3042" t="s">
        <v>2988</v>
      </c>
      <c r="B3042" t="s">
        <v>2944</v>
      </c>
      <c r="C3042" t="s">
        <v>3026</v>
      </c>
      <c r="F3042" s="898">
        <f>'Action POLLEC 4'!B87</f>
        <v>0</v>
      </c>
    </row>
    <row r="3043" spans="1:6">
      <c r="A3043" t="s">
        <v>2988</v>
      </c>
      <c r="B3043" t="s">
        <v>2944</v>
      </c>
      <c r="C3043" t="s">
        <v>3027</v>
      </c>
      <c r="F3043" s="898">
        <f>'Action POLLEC 4'!B88</f>
        <v>0</v>
      </c>
    </row>
    <row r="3044" spans="1:6">
      <c r="A3044" t="s">
        <v>2988</v>
      </c>
      <c r="B3044" t="s">
        <v>2944</v>
      </c>
      <c r="C3044" t="s">
        <v>3028</v>
      </c>
      <c r="F3044" s="898">
        <f>'Action POLLEC 4'!B89</f>
        <v>0</v>
      </c>
    </row>
    <row r="3045" spans="1:6">
      <c r="A3045" t="s">
        <v>2988</v>
      </c>
      <c r="B3045" t="s">
        <v>2944</v>
      </c>
      <c r="C3045" t="s">
        <v>3029</v>
      </c>
      <c r="F3045" s="898">
        <f>'Action POLLEC 4'!B90</f>
        <v>0</v>
      </c>
    </row>
    <row r="3046" spans="1:6">
      <c r="A3046" t="s">
        <v>2988</v>
      </c>
      <c r="B3046" t="s">
        <v>2944</v>
      </c>
      <c r="C3046" t="s">
        <v>3030</v>
      </c>
      <c r="F3046" s="898">
        <f>'Action POLLEC 4'!B91</f>
        <v>0</v>
      </c>
    </row>
    <row r="3047" spans="1:6">
      <c r="A3047" t="s">
        <v>2988</v>
      </c>
      <c r="B3047" t="s">
        <v>2944</v>
      </c>
      <c r="C3047" t="s">
        <v>3031</v>
      </c>
      <c r="F3047" s="898">
        <f>'Action POLLEC 4'!B92</f>
        <v>0</v>
      </c>
    </row>
    <row r="3048" spans="1:6">
      <c r="A3048" t="s">
        <v>2988</v>
      </c>
      <c r="B3048" t="s">
        <v>2944</v>
      </c>
      <c r="C3048" t="s">
        <v>3032</v>
      </c>
      <c r="F3048" s="898">
        <f>'Action POLLEC 4'!B93</f>
        <v>0</v>
      </c>
    </row>
    <row r="3049" spans="1:6">
      <c r="A3049" t="s">
        <v>2988</v>
      </c>
      <c r="B3049" t="s">
        <v>2944</v>
      </c>
      <c r="C3049" t="s">
        <v>3033</v>
      </c>
      <c r="F3049" s="898">
        <f>'Action POLLEC 4'!B94</f>
        <v>0</v>
      </c>
    </row>
    <row r="3050" spans="1:6">
      <c r="A3050" t="s">
        <v>2988</v>
      </c>
      <c r="B3050" t="s">
        <v>2944</v>
      </c>
      <c r="C3050" t="s">
        <v>3034</v>
      </c>
      <c r="F3050" s="898">
        <f>'Action POLLEC 4'!B95</f>
        <v>0</v>
      </c>
    </row>
    <row r="3051" spans="1:6">
      <c r="A3051" t="s">
        <v>2988</v>
      </c>
      <c r="B3051" t="s">
        <v>2944</v>
      </c>
      <c r="C3051" t="s">
        <v>3035</v>
      </c>
      <c r="F3051" s="898">
        <f>'Action POLLEC 4'!B96</f>
        <v>0</v>
      </c>
    </row>
    <row r="3052" spans="1:6">
      <c r="A3052" t="s">
        <v>2988</v>
      </c>
      <c r="B3052" t="s">
        <v>2944</v>
      </c>
      <c r="C3052" t="s">
        <v>2892</v>
      </c>
      <c r="F3052" s="898">
        <f>'Action POLLEC 4'!C77</f>
        <v>0</v>
      </c>
    </row>
    <row r="3053" spans="1:6">
      <c r="A3053" t="s">
        <v>2988</v>
      </c>
      <c r="B3053" t="s">
        <v>2944</v>
      </c>
      <c r="C3053" t="s">
        <v>2893</v>
      </c>
      <c r="F3053" s="898">
        <f>'Action POLLEC 4'!C78</f>
        <v>0</v>
      </c>
    </row>
    <row r="3054" spans="1:6">
      <c r="A3054" t="s">
        <v>2988</v>
      </c>
      <c r="B3054" t="s">
        <v>2944</v>
      </c>
      <c r="C3054" t="s">
        <v>2894</v>
      </c>
      <c r="F3054" s="898">
        <f>'Action POLLEC 4'!C79</f>
        <v>0</v>
      </c>
    </row>
    <row r="3055" spans="1:6">
      <c r="A3055" t="s">
        <v>2988</v>
      </c>
      <c r="B3055" t="s">
        <v>2944</v>
      </c>
      <c r="C3055" t="s">
        <v>2895</v>
      </c>
      <c r="F3055" s="898">
        <f>'Action POLLEC 4'!C80</f>
        <v>0</v>
      </c>
    </row>
    <row r="3056" spans="1:6">
      <c r="A3056" t="s">
        <v>2988</v>
      </c>
      <c r="B3056" t="s">
        <v>2944</v>
      </c>
      <c r="C3056" t="s">
        <v>2896</v>
      </c>
      <c r="F3056" s="898">
        <f>'Action POLLEC 4'!C81</f>
        <v>0</v>
      </c>
    </row>
    <row r="3057" spans="1:6">
      <c r="A3057" t="s">
        <v>2988</v>
      </c>
      <c r="B3057" t="s">
        <v>2944</v>
      </c>
      <c r="C3057" t="s">
        <v>2897</v>
      </c>
      <c r="F3057" s="898">
        <f>'Action POLLEC 4'!C82</f>
        <v>0</v>
      </c>
    </row>
    <row r="3058" spans="1:6">
      <c r="A3058" t="s">
        <v>2988</v>
      </c>
      <c r="B3058" t="s">
        <v>2944</v>
      </c>
      <c r="C3058" t="s">
        <v>2898</v>
      </c>
      <c r="F3058" s="898">
        <f>'Action POLLEC 4'!C83</f>
        <v>0</v>
      </c>
    </row>
    <row r="3059" spans="1:6">
      <c r="A3059" t="s">
        <v>2988</v>
      </c>
      <c r="B3059" t="s">
        <v>2944</v>
      </c>
      <c r="C3059" t="s">
        <v>2899</v>
      </c>
      <c r="F3059" s="898">
        <f>'Action POLLEC 4'!C84</f>
        <v>0</v>
      </c>
    </row>
    <row r="3060" spans="1:6">
      <c r="A3060" t="s">
        <v>2988</v>
      </c>
      <c r="B3060" t="s">
        <v>2944</v>
      </c>
      <c r="C3060" t="s">
        <v>2900</v>
      </c>
      <c r="F3060" s="898">
        <f>'Action POLLEC 4'!C85</f>
        <v>0</v>
      </c>
    </row>
    <row r="3061" spans="1:6">
      <c r="A3061" t="s">
        <v>2988</v>
      </c>
      <c r="B3061" t="s">
        <v>2944</v>
      </c>
      <c r="C3061" t="s">
        <v>2901</v>
      </c>
      <c r="F3061" s="898">
        <f>'Action POLLEC 4'!C86</f>
        <v>0</v>
      </c>
    </row>
    <row r="3062" spans="1:6">
      <c r="A3062" t="s">
        <v>2988</v>
      </c>
      <c r="B3062" t="s">
        <v>2944</v>
      </c>
      <c r="C3062" t="s">
        <v>3036</v>
      </c>
      <c r="F3062" s="898">
        <f>'Action POLLEC 4'!C87</f>
        <v>0</v>
      </c>
    </row>
    <row r="3063" spans="1:6">
      <c r="A3063" t="s">
        <v>2988</v>
      </c>
      <c r="B3063" t="s">
        <v>2944</v>
      </c>
      <c r="C3063" t="s">
        <v>3037</v>
      </c>
      <c r="F3063" s="898">
        <f>'Action POLLEC 4'!C88</f>
        <v>0</v>
      </c>
    </row>
    <row r="3064" spans="1:6">
      <c r="A3064" t="s">
        <v>2988</v>
      </c>
      <c r="B3064" t="s">
        <v>2944</v>
      </c>
      <c r="C3064" t="s">
        <v>3038</v>
      </c>
      <c r="F3064" s="898">
        <f>'Action POLLEC 4'!C89</f>
        <v>0</v>
      </c>
    </row>
    <row r="3065" spans="1:6">
      <c r="A3065" t="s">
        <v>2988</v>
      </c>
      <c r="B3065" t="s">
        <v>2944</v>
      </c>
      <c r="C3065" t="s">
        <v>3039</v>
      </c>
      <c r="F3065" s="898">
        <f>'Action POLLEC 4'!C90</f>
        <v>0</v>
      </c>
    </row>
    <row r="3066" spans="1:6">
      <c r="A3066" t="s">
        <v>2988</v>
      </c>
      <c r="B3066" t="s">
        <v>2944</v>
      </c>
      <c r="C3066" t="s">
        <v>3040</v>
      </c>
      <c r="F3066" s="898">
        <f>'Action POLLEC 4'!C91</f>
        <v>0</v>
      </c>
    </row>
    <row r="3067" spans="1:6">
      <c r="A3067" t="s">
        <v>2988</v>
      </c>
      <c r="B3067" t="s">
        <v>2944</v>
      </c>
      <c r="C3067" t="s">
        <v>3041</v>
      </c>
      <c r="F3067" s="898">
        <f>'Action POLLEC 4'!C92</f>
        <v>0</v>
      </c>
    </row>
    <row r="3068" spans="1:6">
      <c r="A3068" t="s">
        <v>2988</v>
      </c>
      <c r="B3068" t="s">
        <v>2944</v>
      </c>
      <c r="C3068" t="s">
        <v>3042</v>
      </c>
      <c r="F3068" s="898">
        <f>'Action POLLEC 4'!C93</f>
        <v>0</v>
      </c>
    </row>
    <row r="3069" spans="1:6">
      <c r="A3069" t="s">
        <v>2988</v>
      </c>
      <c r="B3069" t="s">
        <v>2944</v>
      </c>
      <c r="C3069" t="s">
        <v>3043</v>
      </c>
      <c r="F3069" s="898">
        <f>'Action POLLEC 4'!C94</f>
        <v>0</v>
      </c>
    </row>
    <row r="3070" spans="1:6">
      <c r="A3070" t="s">
        <v>2988</v>
      </c>
      <c r="B3070" t="s">
        <v>2944</v>
      </c>
      <c r="C3070" t="s">
        <v>3044</v>
      </c>
      <c r="F3070" s="898">
        <f>'Action POLLEC 4'!C95</f>
        <v>0</v>
      </c>
    </row>
    <row r="3071" spans="1:6">
      <c r="A3071" t="s">
        <v>2988</v>
      </c>
      <c r="B3071" t="s">
        <v>2944</v>
      </c>
      <c r="C3071" t="s">
        <v>3045</v>
      </c>
      <c r="F3071" s="898">
        <f>'Action POLLEC 4'!C96</f>
        <v>0</v>
      </c>
    </row>
    <row r="3072" spans="1:6">
      <c r="A3072" t="s">
        <v>2988</v>
      </c>
      <c r="B3072" t="s">
        <v>2944</v>
      </c>
      <c r="C3072" t="s">
        <v>2902</v>
      </c>
      <c r="F3072" s="898" t="str">
        <f ca="1">'Action POLLEC 4'!D77</f>
        <v>-</v>
      </c>
    </row>
    <row r="3073" spans="1:6">
      <c r="A3073" t="s">
        <v>2988</v>
      </c>
      <c r="B3073" t="s">
        <v>2944</v>
      </c>
      <c r="C3073" t="s">
        <v>2903</v>
      </c>
      <c r="F3073" s="898" t="str">
        <f ca="1">'Action POLLEC 4'!D78</f>
        <v>-</v>
      </c>
    </row>
    <row r="3074" spans="1:6">
      <c r="A3074" t="s">
        <v>2988</v>
      </c>
      <c r="B3074" t="s">
        <v>2944</v>
      </c>
      <c r="C3074" t="s">
        <v>2904</v>
      </c>
      <c r="F3074" s="898" t="str">
        <f ca="1">'Action POLLEC 4'!D79</f>
        <v>-</v>
      </c>
    </row>
    <row r="3075" spans="1:6">
      <c r="A3075" t="s">
        <v>2988</v>
      </c>
      <c r="B3075" t="s">
        <v>2944</v>
      </c>
      <c r="C3075" t="s">
        <v>2905</v>
      </c>
      <c r="F3075" s="898" t="str">
        <f ca="1">'Action POLLEC 4'!D80</f>
        <v>-</v>
      </c>
    </row>
    <row r="3076" spans="1:6">
      <c r="A3076" t="s">
        <v>2988</v>
      </c>
      <c r="B3076" t="s">
        <v>2944</v>
      </c>
      <c r="C3076" t="s">
        <v>2906</v>
      </c>
      <c r="F3076" s="898" t="str">
        <f ca="1">'Action POLLEC 4'!D81</f>
        <v>-</v>
      </c>
    </row>
    <row r="3077" spans="1:6">
      <c r="A3077" t="s">
        <v>2988</v>
      </c>
      <c r="B3077" t="s">
        <v>2944</v>
      </c>
      <c r="C3077" t="s">
        <v>2907</v>
      </c>
      <c r="F3077" s="898" t="str">
        <f ca="1">'Action POLLEC 4'!D82</f>
        <v>-</v>
      </c>
    </row>
    <row r="3078" spans="1:6">
      <c r="A3078" t="s">
        <v>2988</v>
      </c>
      <c r="B3078" t="s">
        <v>2944</v>
      </c>
      <c r="C3078" t="s">
        <v>2908</v>
      </c>
      <c r="F3078" s="898" t="str">
        <f ca="1">'Action POLLEC 4'!D83</f>
        <v>-</v>
      </c>
    </row>
    <row r="3079" spans="1:6">
      <c r="A3079" t="s">
        <v>2988</v>
      </c>
      <c r="B3079" t="s">
        <v>2944</v>
      </c>
      <c r="C3079" t="s">
        <v>2909</v>
      </c>
      <c r="F3079" s="898" t="str">
        <f ca="1">'Action POLLEC 4'!D84</f>
        <v>-</v>
      </c>
    </row>
    <row r="3080" spans="1:6">
      <c r="A3080" t="s">
        <v>2988</v>
      </c>
      <c r="B3080" t="s">
        <v>2944</v>
      </c>
      <c r="C3080" t="s">
        <v>2910</v>
      </c>
      <c r="F3080" s="898" t="str">
        <f ca="1">'Action POLLEC 4'!D85</f>
        <v>-</v>
      </c>
    </row>
    <row r="3081" spans="1:6">
      <c r="A3081" t="s">
        <v>2988</v>
      </c>
      <c r="B3081" t="s">
        <v>2944</v>
      </c>
      <c r="C3081" t="s">
        <v>2911</v>
      </c>
      <c r="F3081" s="898" t="str">
        <f ca="1">'Action POLLEC 4'!D86</f>
        <v>-</v>
      </c>
    </row>
    <row r="3082" spans="1:6">
      <c r="A3082" t="s">
        <v>2988</v>
      </c>
      <c r="B3082" t="s">
        <v>2944</v>
      </c>
      <c r="C3082" t="s">
        <v>3046</v>
      </c>
      <c r="F3082" s="898">
        <f>'Action POLLEC 4'!D87</f>
        <v>0</v>
      </c>
    </row>
    <row r="3083" spans="1:6">
      <c r="A3083" t="s">
        <v>2988</v>
      </c>
      <c r="B3083" t="s">
        <v>2944</v>
      </c>
      <c r="C3083" t="s">
        <v>3047</v>
      </c>
      <c r="F3083" s="898">
        <f>'Action POLLEC 4'!D88</f>
        <v>0</v>
      </c>
    </row>
    <row r="3084" spans="1:6">
      <c r="A3084" t="s">
        <v>2988</v>
      </c>
      <c r="B3084" t="s">
        <v>2944</v>
      </c>
      <c r="C3084" t="s">
        <v>3048</v>
      </c>
      <c r="F3084" s="898">
        <f>'Action POLLEC 4'!D89</f>
        <v>0</v>
      </c>
    </row>
    <row r="3085" spans="1:6">
      <c r="A3085" t="s">
        <v>2988</v>
      </c>
      <c r="B3085" t="s">
        <v>2944</v>
      </c>
      <c r="C3085" t="s">
        <v>3049</v>
      </c>
      <c r="F3085" s="898">
        <f>'Action POLLEC 4'!D90</f>
        <v>0</v>
      </c>
    </row>
    <row r="3086" spans="1:6">
      <c r="A3086" t="s">
        <v>2988</v>
      </c>
      <c r="B3086" t="s">
        <v>2944</v>
      </c>
      <c r="C3086" t="s">
        <v>3050</v>
      </c>
      <c r="F3086" s="898">
        <f>'Action POLLEC 4'!D91</f>
        <v>0</v>
      </c>
    </row>
    <row r="3087" spans="1:6">
      <c r="A3087" t="s">
        <v>2988</v>
      </c>
      <c r="B3087" t="s">
        <v>2944</v>
      </c>
      <c r="C3087" t="s">
        <v>3051</v>
      </c>
      <c r="F3087" s="898">
        <f>'Action POLLEC 4'!D92</f>
        <v>0</v>
      </c>
    </row>
    <row r="3088" spans="1:6">
      <c r="A3088" t="s">
        <v>2988</v>
      </c>
      <c r="B3088" t="s">
        <v>2944</v>
      </c>
      <c r="C3088" t="s">
        <v>3052</v>
      </c>
      <c r="F3088" s="898">
        <f>'Action POLLEC 4'!D93</f>
        <v>0</v>
      </c>
    </row>
    <row r="3089" spans="1:6">
      <c r="A3089" t="s">
        <v>2988</v>
      </c>
      <c r="B3089" t="s">
        <v>2944</v>
      </c>
      <c r="C3089" t="s">
        <v>3053</v>
      </c>
      <c r="F3089" s="898">
        <f>'Action POLLEC 4'!D94</f>
        <v>0</v>
      </c>
    </row>
    <row r="3090" spans="1:6">
      <c r="A3090" t="s">
        <v>2988</v>
      </c>
      <c r="B3090" t="s">
        <v>2944</v>
      </c>
      <c r="C3090" t="s">
        <v>3054</v>
      </c>
      <c r="F3090" s="898">
        <f>'Action POLLEC 4'!D95</f>
        <v>0</v>
      </c>
    </row>
    <row r="3091" spans="1:6">
      <c r="A3091" t="s">
        <v>2988</v>
      </c>
      <c r="B3091" t="s">
        <v>2944</v>
      </c>
      <c r="C3091" t="s">
        <v>3055</v>
      </c>
      <c r="F3091" s="898">
        <f>'Action POLLEC 4'!D96</f>
        <v>0</v>
      </c>
    </row>
    <row r="3092" spans="1:6">
      <c r="A3092" t="s">
        <v>2988</v>
      </c>
      <c r="B3092" t="s">
        <v>2944</v>
      </c>
      <c r="C3092" t="s">
        <v>2866</v>
      </c>
      <c r="F3092" s="898" t="str">
        <f ca="1">'Action POLLEC 4'!E77</f>
        <v/>
      </c>
    </row>
    <row r="3093" spans="1:6">
      <c r="A3093" t="s">
        <v>2988</v>
      </c>
      <c r="B3093" t="s">
        <v>2944</v>
      </c>
      <c r="C3093" t="s">
        <v>2867</v>
      </c>
      <c r="F3093" s="898" t="str">
        <f ca="1">'Action POLLEC 4'!E78</f>
        <v/>
      </c>
    </row>
    <row r="3094" spans="1:6">
      <c r="A3094" t="s">
        <v>2988</v>
      </c>
      <c r="B3094" t="s">
        <v>2944</v>
      </c>
      <c r="C3094" t="s">
        <v>2868</v>
      </c>
      <c r="F3094" s="898" t="str">
        <f ca="1">'Action POLLEC 4'!E79</f>
        <v/>
      </c>
    </row>
    <row r="3095" spans="1:6">
      <c r="A3095" t="s">
        <v>2988</v>
      </c>
      <c r="B3095" t="s">
        <v>2944</v>
      </c>
      <c r="C3095" t="s">
        <v>2869</v>
      </c>
      <c r="F3095" s="898" t="str">
        <f ca="1">'Action POLLEC 4'!E80</f>
        <v/>
      </c>
    </row>
    <row r="3096" spans="1:6">
      <c r="A3096" t="s">
        <v>2988</v>
      </c>
      <c r="B3096" t="s">
        <v>2944</v>
      </c>
      <c r="C3096" t="s">
        <v>2870</v>
      </c>
      <c r="F3096" s="898" t="str">
        <f ca="1">'Action POLLEC 4'!E81</f>
        <v/>
      </c>
    </row>
    <row r="3097" spans="1:6">
      <c r="A3097" t="s">
        <v>2988</v>
      </c>
      <c r="B3097" t="s">
        <v>2944</v>
      </c>
      <c r="C3097" t="s">
        <v>2871</v>
      </c>
      <c r="F3097" s="898" t="str">
        <f ca="1">'Action POLLEC 4'!E82</f>
        <v/>
      </c>
    </row>
    <row r="3098" spans="1:6">
      <c r="A3098" t="s">
        <v>2988</v>
      </c>
      <c r="B3098" t="s">
        <v>2944</v>
      </c>
      <c r="C3098" t="s">
        <v>2872</v>
      </c>
      <c r="F3098" s="898" t="str">
        <f ca="1">'Action POLLEC 4'!E83</f>
        <v/>
      </c>
    </row>
    <row r="3099" spans="1:6">
      <c r="A3099" t="s">
        <v>2988</v>
      </c>
      <c r="B3099" t="s">
        <v>2944</v>
      </c>
      <c r="C3099" t="s">
        <v>2873</v>
      </c>
      <c r="F3099" s="898" t="str">
        <f ca="1">'Action POLLEC 4'!E84</f>
        <v/>
      </c>
    </row>
    <row r="3100" spans="1:6">
      <c r="A3100" t="s">
        <v>2988</v>
      </c>
      <c r="B3100" t="s">
        <v>2944</v>
      </c>
      <c r="C3100" t="s">
        <v>2912</v>
      </c>
      <c r="F3100" s="898" t="str">
        <f ca="1">'Action POLLEC 4'!E85</f>
        <v/>
      </c>
    </row>
    <row r="3101" spans="1:6">
      <c r="A3101" t="s">
        <v>2988</v>
      </c>
      <c r="B3101" t="s">
        <v>2944</v>
      </c>
      <c r="C3101" t="s">
        <v>2913</v>
      </c>
      <c r="F3101" s="898" t="str">
        <f ca="1">'Action POLLEC 4'!E86</f>
        <v/>
      </c>
    </row>
    <row r="3102" spans="1:6">
      <c r="A3102" t="s">
        <v>2988</v>
      </c>
      <c r="B3102" t="s">
        <v>2944</v>
      </c>
      <c r="C3102" t="s">
        <v>3014</v>
      </c>
      <c r="F3102" s="898">
        <f>'Action POLLEC 4'!E87</f>
        <v>0</v>
      </c>
    </row>
    <row r="3103" spans="1:6">
      <c r="A3103" t="s">
        <v>2988</v>
      </c>
      <c r="B3103" t="s">
        <v>2944</v>
      </c>
      <c r="C3103" t="s">
        <v>3015</v>
      </c>
      <c r="F3103" s="898">
        <f>'Action POLLEC 4'!E88</f>
        <v>0</v>
      </c>
    </row>
    <row r="3104" spans="1:6">
      <c r="A3104" t="s">
        <v>2988</v>
      </c>
      <c r="B3104" t="s">
        <v>2944</v>
      </c>
      <c r="C3104" t="s">
        <v>3016</v>
      </c>
      <c r="F3104" s="898">
        <f>'Action POLLEC 4'!E89</f>
        <v>0</v>
      </c>
    </row>
    <row r="3105" spans="1:6">
      <c r="A3105" t="s">
        <v>2988</v>
      </c>
      <c r="B3105" t="s">
        <v>2944</v>
      </c>
      <c r="C3105" t="s">
        <v>3017</v>
      </c>
      <c r="F3105" s="898">
        <f>'Action POLLEC 4'!E90</f>
        <v>0</v>
      </c>
    </row>
    <row r="3106" spans="1:6">
      <c r="A3106" t="s">
        <v>2988</v>
      </c>
      <c r="B3106" t="s">
        <v>2944</v>
      </c>
      <c r="C3106" t="s">
        <v>3018</v>
      </c>
      <c r="F3106" s="898">
        <f>'Action POLLEC 4'!E91</f>
        <v>0</v>
      </c>
    </row>
    <row r="3107" spans="1:6">
      <c r="A3107" t="s">
        <v>2988</v>
      </c>
      <c r="B3107" t="s">
        <v>2944</v>
      </c>
      <c r="C3107" t="s">
        <v>3056</v>
      </c>
      <c r="F3107" s="898">
        <f>'Action POLLEC 4'!E92</f>
        <v>0</v>
      </c>
    </row>
    <row r="3108" spans="1:6">
      <c r="A3108" t="s">
        <v>2988</v>
      </c>
      <c r="B3108" t="s">
        <v>2944</v>
      </c>
      <c r="C3108" t="s">
        <v>3057</v>
      </c>
      <c r="F3108" s="898">
        <f>'Action POLLEC 4'!E93</f>
        <v>0</v>
      </c>
    </row>
    <row r="3109" spans="1:6">
      <c r="A3109" t="s">
        <v>2988</v>
      </c>
      <c r="B3109" t="s">
        <v>2944</v>
      </c>
      <c r="C3109" t="s">
        <v>3058</v>
      </c>
      <c r="F3109" s="898">
        <f>'Action POLLEC 4'!E94</f>
        <v>0</v>
      </c>
    </row>
    <row r="3110" spans="1:6">
      <c r="A3110" t="s">
        <v>2988</v>
      </c>
      <c r="B3110" t="s">
        <v>2944</v>
      </c>
      <c r="C3110" t="s">
        <v>3059</v>
      </c>
      <c r="F3110" s="898">
        <f>'Action POLLEC 4'!E95</f>
        <v>0</v>
      </c>
    </row>
    <row r="3111" spans="1:6">
      <c r="A3111" t="s">
        <v>2988</v>
      </c>
      <c r="B3111" t="s">
        <v>2944</v>
      </c>
      <c r="C3111" t="s">
        <v>3060</v>
      </c>
      <c r="F3111" s="898">
        <f>'Action POLLEC 4'!E96</f>
        <v>0</v>
      </c>
    </row>
    <row r="3112" spans="1:6">
      <c r="A3112" t="s">
        <v>2988</v>
      </c>
      <c r="B3112" t="s">
        <v>2944</v>
      </c>
      <c r="C3112" t="s">
        <v>2914</v>
      </c>
      <c r="F3112" s="898">
        <f>'Action POLLEC 4'!F77</f>
        <v>0</v>
      </c>
    </row>
    <row r="3113" spans="1:6">
      <c r="A3113" t="s">
        <v>2988</v>
      </c>
      <c r="B3113" t="s">
        <v>2944</v>
      </c>
      <c r="C3113" t="s">
        <v>2915</v>
      </c>
      <c r="F3113" s="898">
        <f>'Action POLLEC 4'!F78</f>
        <v>0</v>
      </c>
    </row>
    <row r="3114" spans="1:6">
      <c r="A3114" t="s">
        <v>2988</v>
      </c>
      <c r="B3114" t="s">
        <v>2944</v>
      </c>
      <c r="C3114" t="s">
        <v>2916</v>
      </c>
      <c r="F3114" s="898">
        <f>'Action POLLEC 4'!F79</f>
        <v>0</v>
      </c>
    </row>
    <row r="3115" spans="1:6">
      <c r="A3115" t="s">
        <v>2988</v>
      </c>
      <c r="B3115" t="s">
        <v>2944</v>
      </c>
      <c r="C3115" t="s">
        <v>2917</v>
      </c>
      <c r="F3115" s="898">
        <f>'Action POLLEC 4'!F80</f>
        <v>0</v>
      </c>
    </row>
    <row r="3116" spans="1:6">
      <c r="A3116" t="s">
        <v>2988</v>
      </c>
      <c r="B3116" t="s">
        <v>2944</v>
      </c>
      <c r="C3116" t="s">
        <v>2918</v>
      </c>
      <c r="F3116" s="898">
        <f>'Action POLLEC 4'!F81</f>
        <v>0</v>
      </c>
    </row>
    <row r="3117" spans="1:6">
      <c r="A3117" t="s">
        <v>2988</v>
      </c>
      <c r="B3117" t="s">
        <v>2944</v>
      </c>
      <c r="C3117" t="s">
        <v>2919</v>
      </c>
      <c r="F3117" s="898">
        <f>'Action POLLEC 4'!F82</f>
        <v>0</v>
      </c>
    </row>
    <row r="3118" spans="1:6">
      <c r="A3118" t="s">
        <v>2988</v>
      </c>
      <c r="B3118" t="s">
        <v>2944</v>
      </c>
      <c r="C3118" t="s">
        <v>2920</v>
      </c>
      <c r="F3118" s="898">
        <f>'Action POLLEC 4'!F83</f>
        <v>0</v>
      </c>
    </row>
    <row r="3119" spans="1:6">
      <c r="A3119" t="s">
        <v>2988</v>
      </c>
      <c r="B3119" t="s">
        <v>2944</v>
      </c>
      <c r="C3119" t="s">
        <v>2921</v>
      </c>
      <c r="F3119" s="898">
        <f>'Action POLLEC 4'!F84</f>
        <v>0</v>
      </c>
    </row>
    <row r="3120" spans="1:6">
      <c r="A3120" t="s">
        <v>2988</v>
      </c>
      <c r="B3120" t="s">
        <v>2944</v>
      </c>
      <c r="C3120" t="s">
        <v>2922</v>
      </c>
      <c r="F3120" s="898">
        <f>'Action POLLEC 4'!F85</f>
        <v>0</v>
      </c>
    </row>
    <row r="3121" spans="1:6">
      <c r="A3121" t="s">
        <v>2988</v>
      </c>
      <c r="B3121" t="s">
        <v>2944</v>
      </c>
      <c r="C3121" t="s">
        <v>2923</v>
      </c>
      <c r="F3121" s="898">
        <f>'Action POLLEC 4'!F86</f>
        <v>0</v>
      </c>
    </row>
    <row r="3122" spans="1:6">
      <c r="A3122" t="s">
        <v>2988</v>
      </c>
      <c r="B3122" t="s">
        <v>2944</v>
      </c>
      <c r="C3122" t="s">
        <v>3061</v>
      </c>
      <c r="F3122" s="898">
        <f>'Action POLLEC 4'!F87</f>
        <v>0</v>
      </c>
    </row>
    <row r="3123" spans="1:6">
      <c r="A3123" t="s">
        <v>2988</v>
      </c>
      <c r="B3123" t="s">
        <v>2944</v>
      </c>
      <c r="C3123" t="s">
        <v>3062</v>
      </c>
      <c r="F3123" s="898">
        <f>'Action POLLEC 4'!F88</f>
        <v>0</v>
      </c>
    </row>
    <row r="3124" spans="1:6">
      <c r="A3124" t="s">
        <v>2988</v>
      </c>
      <c r="B3124" t="s">
        <v>2944</v>
      </c>
      <c r="C3124" t="s">
        <v>3063</v>
      </c>
      <c r="F3124" s="898">
        <f>'Action POLLEC 4'!F89</f>
        <v>0</v>
      </c>
    </row>
    <row r="3125" spans="1:6">
      <c r="A3125" t="s">
        <v>2988</v>
      </c>
      <c r="B3125" t="s">
        <v>2944</v>
      </c>
      <c r="C3125" t="s">
        <v>3064</v>
      </c>
      <c r="F3125" s="898">
        <f>'Action POLLEC 4'!F90</f>
        <v>0</v>
      </c>
    </row>
    <row r="3126" spans="1:6">
      <c r="A3126" t="s">
        <v>2988</v>
      </c>
      <c r="B3126" t="s">
        <v>2944</v>
      </c>
      <c r="C3126" t="s">
        <v>3065</v>
      </c>
      <c r="F3126" s="898">
        <f>'Action POLLEC 4'!F91</f>
        <v>0</v>
      </c>
    </row>
    <row r="3127" spans="1:6">
      <c r="A3127" t="s">
        <v>2988</v>
      </c>
      <c r="B3127" t="s">
        <v>2944</v>
      </c>
      <c r="C3127" t="s">
        <v>3066</v>
      </c>
      <c r="F3127" s="898">
        <f>'Action POLLEC 4'!F92</f>
        <v>0</v>
      </c>
    </row>
    <row r="3128" spans="1:6">
      <c r="A3128" t="s">
        <v>2988</v>
      </c>
      <c r="B3128" t="s">
        <v>2944</v>
      </c>
      <c r="C3128" t="s">
        <v>3067</v>
      </c>
      <c r="F3128" s="898">
        <f>'Action POLLEC 4'!F93</f>
        <v>0</v>
      </c>
    </row>
    <row r="3129" spans="1:6">
      <c r="A3129" t="s">
        <v>2988</v>
      </c>
      <c r="B3129" t="s">
        <v>2944</v>
      </c>
      <c r="C3129" t="s">
        <v>3068</v>
      </c>
      <c r="F3129" s="898">
        <f>'Action POLLEC 4'!F94</f>
        <v>0</v>
      </c>
    </row>
    <row r="3130" spans="1:6">
      <c r="A3130" t="s">
        <v>2988</v>
      </c>
      <c r="B3130" t="s">
        <v>2944</v>
      </c>
      <c r="C3130" t="s">
        <v>3069</v>
      </c>
      <c r="F3130" s="898">
        <f>'Action POLLEC 4'!F95</f>
        <v>0</v>
      </c>
    </row>
    <row r="3131" spans="1:6">
      <c r="A3131" t="s">
        <v>2988</v>
      </c>
      <c r="B3131" t="s">
        <v>2944</v>
      </c>
      <c r="C3131" t="s">
        <v>3070</v>
      </c>
      <c r="F3131" s="898">
        <f>'Action POLLEC 4'!F96</f>
        <v>0</v>
      </c>
    </row>
    <row r="3132" spans="1:6">
      <c r="A3132" t="s">
        <v>2988</v>
      </c>
      <c r="B3132" t="s">
        <v>2944</v>
      </c>
      <c r="C3132" t="s">
        <v>2924</v>
      </c>
      <c r="F3132" s="898">
        <f>'Action POLLEC 4'!G77</f>
        <v>0</v>
      </c>
    </row>
    <row r="3133" spans="1:6">
      <c r="A3133" t="s">
        <v>2988</v>
      </c>
      <c r="B3133" t="s">
        <v>2944</v>
      </c>
      <c r="C3133" t="s">
        <v>2925</v>
      </c>
      <c r="F3133" s="898">
        <f>'Action POLLEC 4'!G78</f>
        <v>0</v>
      </c>
    </row>
    <row r="3134" spans="1:6">
      <c r="A3134" t="s">
        <v>2988</v>
      </c>
      <c r="B3134" t="s">
        <v>2944</v>
      </c>
      <c r="C3134" t="s">
        <v>2926</v>
      </c>
      <c r="F3134" s="898">
        <f>'Action POLLEC 4'!G79</f>
        <v>0</v>
      </c>
    </row>
    <row r="3135" spans="1:6">
      <c r="A3135" t="s">
        <v>2988</v>
      </c>
      <c r="B3135" t="s">
        <v>2944</v>
      </c>
      <c r="C3135" t="s">
        <v>2927</v>
      </c>
      <c r="F3135" s="898">
        <f>'Action POLLEC 4'!G80</f>
        <v>0</v>
      </c>
    </row>
    <row r="3136" spans="1:6">
      <c r="A3136" t="s">
        <v>2988</v>
      </c>
      <c r="B3136" t="s">
        <v>2944</v>
      </c>
      <c r="C3136" t="s">
        <v>2928</v>
      </c>
      <c r="F3136" s="898">
        <f>'Action POLLEC 4'!G81</f>
        <v>0</v>
      </c>
    </row>
    <row r="3137" spans="1:6">
      <c r="A3137" t="s">
        <v>2988</v>
      </c>
      <c r="B3137" t="s">
        <v>2944</v>
      </c>
      <c r="C3137" t="s">
        <v>2929</v>
      </c>
      <c r="F3137" s="898">
        <f>'Action POLLEC 4'!G82</f>
        <v>0</v>
      </c>
    </row>
    <row r="3138" spans="1:6">
      <c r="A3138" t="s">
        <v>2988</v>
      </c>
      <c r="B3138" t="s">
        <v>2944</v>
      </c>
      <c r="C3138" t="s">
        <v>2930</v>
      </c>
      <c r="F3138" s="898">
        <f>'Action POLLEC 4'!G83</f>
        <v>0</v>
      </c>
    </row>
    <row r="3139" spans="1:6">
      <c r="A3139" t="s">
        <v>2988</v>
      </c>
      <c r="B3139" t="s">
        <v>2944</v>
      </c>
      <c r="C3139" t="s">
        <v>2931</v>
      </c>
      <c r="F3139" s="898">
        <f>'Action POLLEC 4'!G84</f>
        <v>0</v>
      </c>
    </row>
    <row r="3140" spans="1:6">
      <c r="A3140" t="s">
        <v>2988</v>
      </c>
      <c r="B3140" t="s">
        <v>2944</v>
      </c>
      <c r="C3140" t="s">
        <v>2932</v>
      </c>
      <c r="F3140" s="898">
        <f>'Action POLLEC 4'!G85</f>
        <v>0</v>
      </c>
    </row>
    <row r="3141" spans="1:6">
      <c r="A3141" t="s">
        <v>2988</v>
      </c>
      <c r="B3141" t="s">
        <v>2944</v>
      </c>
      <c r="C3141" t="s">
        <v>2933</v>
      </c>
      <c r="F3141" s="898">
        <f>'Action POLLEC 4'!G86</f>
        <v>0</v>
      </c>
    </row>
    <row r="3142" spans="1:6">
      <c r="A3142" t="s">
        <v>2988</v>
      </c>
      <c r="B3142" t="s">
        <v>2944</v>
      </c>
      <c r="C3142" t="s">
        <v>3071</v>
      </c>
      <c r="F3142" s="898">
        <f>'Action POLLEC 4'!G87</f>
        <v>0</v>
      </c>
    </row>
    <row r="3143" spans="1:6">
      <c r="A3143" t="s">
        <v>2988</v>
      </c>
      <c r="B3143" t="s">
        <v>2944</v>
      </c>
      <c r="C3143" t="s">
        <v>3072</v>
      </c>
      <c r="F3143" s="898">
        <f>'Action POLLEC 4'!G88</f>
        <v>0</v>
      </c>
    </row>
    <row r="3144" spans="1:6">
      <c r="A3144" t="s">
        <v>2988</v>
      </c>
      <c r="B3144" t="s">
        <v>2944</v>
      </c>
      <c r="C3144" t="s">
        <v>3073</v>
      </c>
      <c r="F3144" s="898">
        <f>'Action POLLEC 4'!G89</f>
        <v>0</v>
      </c>
    </row>
    <row r="3145" spans="1:6">
      <c r="A3145" t="s">
        <v>2988</v>
      </c>
      <c r="B3145" t="s">
        <v>2944</v>
      </c>
      <c r="C3145" t="s">
        <v>3074</v>
      </c>
      <c r="F3145" s="898">
        <f>'Action POLLEC 4'!G90</f>
        <v>0</v>
      </c>
    </row>
    <row r="3146" spans="1:6">
      <c r="A3146" t="s">
        <v>2988</v>
      </c>
      <c r="B3146" t="s">
        <v>2944</v>
      </c>
      <c r="C3146" t="s">
        <v>3075</v>
      </c>
      <c r="F3146" s="898">
        <f>'Action POLLEC 4'!G91</f>
        <v>0</v>
      </c>
    </row>
    <row r="3147" spans="1:6">
      <c r="A3147" t="s">
        <v>2988</v>
      </c>
      <c r="B3147" t="s">
        <v>2944</v>
      </c>
      <c r="C3147" t="s">
        <v>3076</v>
      </c>
      <c r="F3147" s="898">
        <f>'Action POLLEC 4'!G92</f>
        <v>0</v>
      </c>
    </row>
    <row r="3148" spans="1:6">
      <c r="A3148" t="s">
        <v>2988</v>
      </c>
      <c r="B3148" t="s">
        <v>2944</v>
      </c>
      <c r="C3148" t="s">
        <v>3077</v>
      </c>
      <c r="F3148" s="898">
        <f>'Action POLLEC 4'!G93</f>
        <v>0</v>
      </c>
    </row>
    <row r="3149" spans="1:6">
      <c r="A3149" t="s">
        <v>2988</v>
      </c>
      <c r="B3149" t="s">
        <v>2944</v>
      </c>
      <c r="C3149" t="s">
        <v>3078</v>
      </c>
      <c r="F3149" s="898">
        <f>'Action POLLEC 4'!G94</f>
        <v>0</v>
      </c>
    </row>
    <row r="3150" spans="1:6">
      <c r="A3150" t="s">
        <v>2988</v>
      </c>
      <c r="B3150" t="s">
        <v>2944</v>
      </c>
      <c r="C3150" t="s">
        <v>3079</v>
      </c>
      <c r="F3150" s="898">
        <f>'Action POLLEC 4'!G95</f>
        <v>0</v>
      </c>
    </row>
    <row r="3151" spans="1:6">
      <c r="A3151" t="s">
        <v>2988</v>
      </c>
      <c r="B3151" t="s">
        <v>2944</v>
      </c>
      <c r="C3151" t="s">
        <v>3080</v>
      </c>
      <c r="F3151" s="898">
        <f>'Action POLLEC 4'!G96</f>
        <v>0</v>
      </c>
    </row>
    <row r="3152" spans="1:6">
      <c r="A3152" t="s">
        <v>2988</v>
      </c>
      <c r="B3152" t="s">
        <v>2944</v>
      </c>
      <c r="C3152" t="s">
        <v>2934</v>
      </c>
      <c r="F3152" s="898">
        <f>'Action POLLEC 4'!H77</f>
        <v>0</v>
      </c>
    </row>
    <row r="3153" spans="1:6">
      <c r="A3153" t="s">
        <v>2988</v>
      </c>
      <c r="B3153" t="s">
        <v>2944</v>
      </c>
      <c r="C3153" t="s">
        <v>2935</v>
      </c>
      <c r="F3153" s="898">
        <f>'Action POLLEC 4'!H78</f>
        <v>0</v>
      </c>
    </row>
    <row r="3154" spans="1:6">
      <c r="A3154" t="s">
        <v>2988</v>
      </c>
      <c r="B3154" t="s">
        <v>2944</v>
      </c>
      <c r="C3154" t="s">
        <v>2936</v>
      </c>
      <c r="F3154" s="898">
        <f>'Action POLLEC 4'!H79</f>
        <v>0</v>
      </c>
    </row>
    <row r="3155" spans="1:6">
      <c r="A3155" t="s">
        <v>2988</v>
      </c>
      <c r="B3155" t="s">
        <v>2944</v>
      </c>
      <c r="C3155" t="s">
        <v>2937</v>
      </c>
      <c r="F3155" s="898">
        <f>'Action POLLEC 4'!H80</f>
        <v>0</v>
      </c>
    </row>
    <row r="3156" spans="1:6">
      <c r="A3156" t="s">
        <v>2988</v>
      </c>
      <c r="B3156" t="s">
        <v>2944</v>
      </c>
      <c r="C3156" t="s">
        <v>2938</v>
      </c>
      <c r="F3156" s="898">
        <f>'Action POLLEC 4'!H81</f>
        <v>0</v>
      </c>
    </row>
    <row r="3157" spans="1:6">
      <c r="A3157" t="s">
        <v>2988</v>
      </c>
      <c r="B3157" t="s">
        <v>2944</v>
      </c>
      <c r="C3157" t="s">
        <v>2939</v>
      </c>
      <c r="F3157" s="898">
        <f>'Action POLLEC 4'!H82</f>
        <v>0</v>
      </c>
    </row>
    <row r="3158" spans="1:6">
      <c r="A3158" t="s">
        <v>2988</v>
      </c>
      <c r="B3158" t="s">
        <v>2944</v>
      </c>
      <c r="C3158" t="s">
        <v>2940</v>
      </c>
      <c r="F3158" s="898">
        <f>'Action POLLEC 4'!H83</f>
        <v>0</v>
      </c>
    </row>
    <row r="3159" spans="1:6">
      <c r="A3159" t="s">
        <v>2988</v>
      </c>
      <c r="B3159" t="s">
        <v>2944</v>
      </c>
      <c r="C3159" t="s">
        <v>2941</v>
      </c>
      <c r="F3159" s="898">
        <f>'Action POLLEC 4'!H84</f>
        <v>0</v>
      </c>
    </row>
    <row r="3160" spans="1:6">
      <c r="A3160" t="s">
        <v>2988</v>
      </c>
      <c r="B3160" t="s">
        <v>2944</v>
      </c>
      <c r="C3160" t="s">
        <v>2942</v>
      </c>
      <c r="F3160" s="898">
        <f>'Action POLLEC 4'!H85</f>
        <v>0</v>
      </c>
    </row>
    <row r="3161" spans="1:6">
      <c r="A3161" t="s">
        <v>2988</v>
      </c>
      <c r="B3161" t="s">
        <v>2944</v>
      </c>
      <c r="C3161" t="s">
        <v>2943</v>
      </c>
      <c r="F3161" s="898">
        <f>'Action POLLEC 4'!H86</f>
        <v>0</v>
      </c>
    </row>
    <row r="3162" spans="1:6">
      <c r="A3162" t="s">
        <v>2988</v>
      </c>
      <c r="B3162" t="s">
        <v>2944</v>
      </c>
      <c r="C3162" t="s">
        <v>3081</v>
      </c>
      <c r="F3162" s="898">
        <f>'Action POLLEC 4'!H87</f>
        <v>0</v>
      </c>
    </row>
    <row r="3163" spans="1:6">
      <c r="A3163" t="s">
        <v>2988</v>
      </c>
      <c r="B3163" t="s">
        <v>2944</v>
      </c>
      <c r="C3163" t="s">
        <v>3082</v>
      </c>
      <c r="F3163" s="898">
        <f>'Action POLLEC 4'!H88</f>
        <v>0</v>
      </c>
    </row>
    <row r="3164" spans="1:6">
      <c r="A3164" t="s">
        <v>2988</v>
      </c>
      <c r="B3164" t="s">
        <v>2944</v>
      </c>
      <c r="C3164" t="s">
        <v>3083</v>
      </c>
      <c r="F3164" s="898">
        <f>'Action POLLEC 4'!H89</f>
        <v>0</v>
      </c>
    </row>
    <row r="3165" spans="1:6">
      <c r="A3165" t="s">
        <v>2988</v>
      </c>
      <c r="B3165" t="s">
        <v>2944</v>
      </c>
      <c r="C3165" t="s">
        <v>3084</v>
      </c>
      <c r="F3165" s="898">
        <f>'Action POLLEC 4'!H90</f>
        <v>0</v>
      </c>
    </row>
    <row r="3166" spans="1:6">
      <c r="A3166" t="s">
        <v>2988</v>
      </c>
      <c r="B3166" t="s">
        <v>2944</v>
      </c>
      <c r="C3166" t="s">
        <v>3085</v>
      </c>
      <c r="F3166" s="898">
        <f>'Action POLLEC 4'!H91</f>
        <v>0</v>
      </c>
    </row>
    <row r="3167" spans="1:6">
      <c r="A3167" t="s">
        <v>2988</v>
      </c>
      <c r="B3167" t="s">
        <v>2944</v>
      </c>
      <c r="C3167" t="s">
        <v>3086</v>
      </c>
      <c r="F3167" s="898">
        <f>'Action POLLEC 4'!H92</f>
        <v>0</v>
      </c>
    </row>
    <row r="3168" spans="1:6">
      <c r="A3168" t="s">
        <v>2988</v>
      </c>
      <c r="B3168" t="s">
        <v>2944</v>
      </c>
      <c r="C3168" t="s">
        <v>3087</v>
      </c>
      <c r="F3168" s="898">
        <f>'Action POLLEC 4'!H93</f>
        <v>0</v>
      </c>
    </row>
    <row r="3169" spans="1:6">
      <c r="A3169" t="s">
        <v>2988</v>
      </c>
      <c r="B3169" t="s">
        <v>2944</v>
      </c>
      <c r="C3169" t="s">
        <v>3088</v>
      </c>
      <c r="F3169" s="898">
        <f>'Action POLLEC 4'!H94</f>
        <v>0</v>
      </c>
    </row>
    <row r="3170" spans="1:6">
      <c r="A3170" t="s">
        <v>2988</v>
      </c>
      <c r="B3170" t="s">
        <v>2944</v>
      </c>
      <c r="C3170" t="s">
        <v>3089</v>
      </c>
      <c r="F3170" s="898">
        <f>'Action POLLEC 4'!H95</f>
        <v>0</v>
      </c>
    </row>
    <row r="3171" spans="1:6">
      <c r="A3171" t="s">
        <v>2988</v>
      </c>
      <c r="B3171" t="s">
        <v>2944</v>
      </c>
      <c r="C3171" t="s">
        <v>3090</v>
      </c>
      <c r="F3171" s="898">
        <f>'Action POLLEC 4'!H96</f>
        <v>0</v>
      </c>
    </row>
    <row r="3172" spans="1:6">
      <c r="A3172" t="s">
        <v>2988</v>
      </c>
      <c r="B3172" t="s">
        <v>2945</v>
      </c>
      <c r="C3172" t="s">
        <v>2882</v>
      </c>
      <c r="F3172" s="898">
        <f>'Action POLLEC 4'!$B$101</f>
        <v>0</v>
      </c>
    </row>
    <row r="3173" spans="1:6">
      <c r="A3173" t="s">
        <v>2988</v>
      </c>
      <c r="B3173" t="s">
        <v>2945</v>
      </c>
      <c r="C3173" t="s">
        <v>2883</v>
      </c>
      <c r="F3173" s="898">
        <f>'Action POLLEC 4'!$B$102</f>
        <v>0</v>
      </c>
    </row>
    <row r="3174" spans="1:6">
      <c r="A3174" t="s">
        <v>2988</v>
      </c>
      <c r="B3174" t="s">
        <v>2945</v>
      </c>
      <c r="C3174" t="s">
        <v>2884</v>
      </c>
      <c r="F3174" s="898">
        <f>'Action POLLEC 4'!$B$103</f>
        <v>0</v>
      </c>
    </row>
    <row r="3175" spans="1:6">
      <c r="A3175" t="s">
        <v>2988</v>
      </c>
      <c r="B3175" t="s">
        <v>2945</v>
      </c>
      <c r="C3175" t="s">
        <v>2885</v>
      </c>
      <c r="F3175" s="898">
        <f>'Action POLLEC 4'!$B$104</f>
        <v>0</v>
      </c>
    </row>
    <row r="3176" spans="1:6">
      <c r="A3176" t="s">
        <v>2988</v>
      </c>
      <c r="B3176" t="s">
        <v>2945</v>
      </c>
      <c r="C3176" t="s">
        <v>2886</v>
      </c>
      <c r="F3176" s="898">
        <f>'Action POLLEC 4'!$B$105</f>
        <v>0</v>
      </c>
    </row>
    <row r="3177" spans="1:6">
      <c r="A3177" t="s">
        <v>2988</v>
      </c>
      <c r="B3177" t="s">
        <v>2945</v>
      </c>
      <c r="C3177" t="s">
        <v>2887</v>
      </c>
      <c r="F3177" s="898">
        <f>'Action POLLEC 4'!$B$106</f>
        <v>0</v>
      </c>
    </row>
    <row r="3178" spans="1:6">
      <c r="A3178" t="s">
        <v>2988</v>
      </c>
      <c r="B3178" t="s">
        <v>2945</v>
      </c>
      <c r="C3178" t="s">
        <v>2888</v>
      </c>
      <c r="F3178" s="898">
        <f>'Action POLLEC 4'!$B$107</f>
        <v>0</v>
      </c>
    </row>
    <row r="3179" spans="1:6">
      <c r="A3179" t="s">
        <v>2988</v>
      </c>
      <c r="B3179" t="s">
        <v>2945</v>
      </c>
      <c r="C3179" t="s">
        <v>2889</v>
      </c>
      <c r="F3179" s="898">
        <f>'Action POLLEC 4'!$B$108</f>
        <v>0</v>
      </c>
    </row>
    <row r="3180" spans="1:6">
      <c r="A3180" t="s">
        <v>2988</v>
      </c>
      <c r="B3180" t="s">
        <v>2945</v>
      </c>
      <c r="C3180" t="s">
        <v>2890</v>
      </c>
      <c r="F3180" s="898">
        <f>'Action POLLEC 4'!$B$109</f>
        <v>0</v>
      </c>
    </row>
    <row r="3181" spans="1:6">
      <c r="A3181" t="s">
        <v>2988</v>
      </c>
      <c r="B3181" t="s">
        <v>2945</v>
      </c>
      <c r="C3181" t="s">
        <v>2891</v>
      </c>
      <c r="F3181" s="898">
        <f>'Action POLLEC 4'!$B$110</f>
        <v>0</v>
      </c>
    </row>
    <row r="3182" spans="1:6">
      <c r="A3182" t="s">
        <v>2988</v>
      </c>
      <c r="B3182" t="s">
        <v>2945</v>
      </c>
      <c r="C3182" t="s">
        <v>2946</v>
      </c>
      <c r="F3182" s="898">
        <f>'Action POLLEC 4'!$C$101</f>
        <v>0</v>
      </c>
    </row>
    <row r="3183" spans="1:6">
      <c r="A3183" t="s">
        <v>2988</v>
      </c>
      <c r="B3183" t="s">
        <v>2945</v>
      </c>
      <c r="C3183" t="s">
        <v>2947</v>
      </c>
      <c r="F3183" s="898">
        <f>'Action POLLEC 4'!$C$102</f>
        <v>0</v>
      </c>
    </row>
    <row r="3184" spans="1:6">
      <c r="A3184" t="s">
        <v>2988</v>
      </c>
      <c r="B3184" t="s">
        <v>2945</v>
      </c>
      <c r="C3184" t="s">
        <v>2948</v>
      </c>
      <c r="F3184" s="898">
        <f>'Action POLLEC 4'!$C$103</f>
        <v>0</v>
      </c>
    </row>
    <row r="3185" spans="1:6">
      <c r="A3185" t="s">
        <v>2988</v>
      </c>
      <c r="B3185" t="s">
        <v>2945</v>
      </c>
      <c r="C3185" t="s">
        <v>2949</v>
      </c>
      <c r="F3185" s="898">
        <f>'Action POLLEC 4'!$C$104</f>
        <v>0</v>
      </c>
    </row>
    <row r="3186" spans="1:6">
      <c r="A3186" t="s">
        <v>2988</v>
      </c>
      <c r="B3186" t="s">
        <v>2945</v>
      </c>
      <c r="C3186" t="s">
        <v>2950</v>
      </c>
      <c r="F3186" s="898">
        <f>'Action POLLEC 4'!$C$105</f>
        <v>0</v>
      </c>
    </row>
    <row r="3187" spans="1:6">
      <c r="A3187" t="s">
        <v>2988</v>
      </c>
      <c r="B3187" t="s">
        <v>2945</v>
      </c>
      <c r="C3187" t="s">
        <v>2951</v>
      </c>
      <c r="F3187" s="898">
        <f>'Action POLLEC 4'!$C$106</f>
        <v>0</v>
      </c>
    </row>
    <row r="3188" spans="1:6">
      <c r="A3188" t="s">
        <v>2988</v>
      </c>
      <c r="B3188" t="s">
        <v>2945</v>
      </c>
      <c r="C3188" t="s">
        <v>2952</v>
      </c>
      <c r="F3188" s="898">
        <f>'Action POLLEC 4'!$C$107</f>
        <v>0</v>
      </c>
    </row>
    <row r="3189" spans="1:6">
      <c r="A3189" t="s">
        <v>2988</v>
      </c>
      <c r="B3189" t="s">
        <v>2945</v>
      </c>
      <c r="C3189" t="s">
        <v>2953</v>
      </c>
      <c r="F3189" s="898">
        <f>'Action POLLEC 4'!$C$108</f>
        <v>0</v>
      </c>
    </row>
    <row r="3190" spans="1:6">
      <c r="A3190" t="s">
        <v>2988</v>
      </c>
      <c r="B3190" t="s">
        <v>2945</v>
      </c>
      <c r="C3190" t="s">
        <v>2954</v>
      </c>
      <c r="F3190" s="898">
        <f>'Action POLLEC 4'!$C$109</f>
        <v>0</v>
      </c>
    </row>
    <row r="3191" spans="1:6">
      <c r="A3191" t="s">
        <v>2988</v>
      </c>
      <c r="B3191" t="s">
        <v>2945</v>
      </c>
      <c r="C3191" t="s">
        <v>2955</v>
      </c>
      <c r="F3191" s="898">
        <f>'Action POLLEC 4'!$C$110</f>
        <v>0</v>
      </c>
    </row>
    <row r="3192" spans="1:6">
      <c r="A3192" t="s">
        <v>2988</v>
      </c>
      <c r="B3192" t="s">
        <v>2945</v>
      </c>
      <c r="C3192" t="s">
        <v>2956</v>
      </c>
      <c r="F3192" s="898">
        <f>'Action POLLEC 4'!$D$101</f>
        <v>0</v>
      </c>
    </row>
    <row r="3193" spans="1:6">
      <c r="A3193" t="s">
        <v>2988</v>
      </c>
      <c r="B3193" t="s">
        <v>2945</v>
      </c>
      <c r="C3193" t="s">
        <v>2957</v>
      </c>
      <c r="F3193" s="898">
        <f>'Action POLLEC 4'!$D$102</f>
        <v>0</v>
      </c>
    </row>
    <row r="3194" spans="1:6">
      <c r="A3194" t="s">
        <v>2988</v>
      </c>
      <c r="B3194" t="s">
        <v>2945</v>
      </c>
      <c r="C3194" t="s">
        <v>2958</v>
      </c>
      <c r="F3194" s="898">
        <f>'Action POLLEC 4'!$D$103</f>
        <v>0</v>
      </c>
    </row>
    <row r="3195" spans="1:6">
      <c r="A3195" t="s">
        <v>2988</v>
      </c>
      <c r="B3195" t="s">
        <v>2945</v>
      </c>
      <c r="C3195" t="s">
        <v>2959</v>
      </c>
      <c r="F3195" s="898">
        <f>'Action POLLEC 4'!$D$104</f>
        <v>0</v>
      </c>
    </row>
    <row r="3196" spans="1:6">
      <c r="A3196" t="s">
        <v>2988</v>
      </c>
      <c r="B3196" t="s">
        <v>2945</v>
      </c>
      <c r="C3196" t="s">
        <v>2960</v>
      </c>
      <c r="F3196" s="898">
        <f>'Action POLLEC 4'!$D$105</f>
        <v>0</v>
      </c>
    </row>
    <row r="3197" spans="1:6">
      <c r="A3197" t="s">
        <v>2988</v>
      </c>
      <c r="B3197" t="s">
        <v>2945</v>
      </c>
      <c r="C3197" t="s">
        <v>2961</v>
      </c>
      <c r="F3197" s="898">
        <f>'Action POLLEC 4'!$D$106</f>
        <v>0</v>
      </c>
    </row>
    <row r="3198" spans="1:6">
      <c r="A3198" t="s">
        <v>2988</v>
      </c>
      <c r="B3198" t="s">
        <v>2945</v>
      </c>
      <c r="C3198" t="s">
        <v>2962</v>
      </c>
      <c r="F3198" s="898">
        <f>'Action POLLEC 4'!$D$107</f>
        <v>0</v>
      </c>
    </row>
    <row r="3199" spans="1:6">
      <c r="A3199" t="s">
        <v>2988</v>
      </c>
      <c r="B3199" t="s">
        <v>2945</v>
      </c>
      <c r="C3199" t="s">
        <v>2963</v>
      </c>
      <c r="F3199" s="898">
        <f>'Action POLLEC 4'!$D$108</f>
        <v>0</v>
      </c>
    </row>
    <row r="3200" spans="1:6">
      <c r="A3200" t="s">
        <v>2988</v>
      </c>
      <c r="B3200" t="s">
        <v>2945</v>
      </c>
      <c r="C3200" t="s">
        <v>2964</v>
      </c>
      <c r="F3200" s="898">
        <f>'Action POLLEC 4'!$D$109</f>
        <v>0</v>
      </c>
    </row>
    <row r="3201" spans="1:6">
      <c r="A3201" t="s">
        <v>2988</v>
      </c>
      <c r="B3201" t="s">
        <v>2945</v>
      </c>
      <c r="C3201" t="s">
        <v>2965</v>
      </c>
      <c r="F3201" s="898">
        <f>'Action POLLEC 4'!$D$110</f>
        <v>0</v>
      </c>
    </row>
    <row r="3202" spans="1:6">
      <c r="A3202" t="s">
        <v>2988</v>
      </c>
      <c r="B3202" t="s">
        <v>2945</v>
      </c>
      <c r="C3202" t="s">
        <v>2966</v>
      </c>
      <c r="F3202" s="898">
        <f>'Action POLLEC 4'!$E$101</f>
        <v>0</v>
      </c>
    </row>
    <row r="3203" spans="1:6">
      <c r="A3203" t="s">
        <v>2988</v>
      </c>
      <c r="B3203" t="s">
        <v>2945</v>
      </c>
      <c r="C3203" t="s">
        <v>2967</v>
      </c>
      <c r="F3203" s="898">
        <f>'Action POLLEC 4'!$E$102</f>
        <v>0</v>
      </c>
    </row>
    <row r="3204" spans="1:6">
      <c r="A3204" t="s">
        <v>2988</v>
      </c>
      <c r="B3204" t="s">
        <v>2945</v>
      </c>
      <c r="C3204" t="s">
        <v>2968</v>
      </c>
      <c r="F3204" s="898">
        <f>'Action POLLEC 4'!$E$103</f>
        <v>0</v>
      </c>
    </row>
    <row r="3205" spans="1:6">
      <c r="A3205" t="s">
        <v>2988</v>
      </c>
      <c r="B3205" t="s">
        <v>2945</v>
      </c>
      <c r="C3205" t="s">
        <v>2969</v>
      </c>
      <c r="F3205" s="898">
        <f>'Action POLLEC 4'!$E$104</f>
        <v>0</v>
      </c>
    </row>
    <row r="3206" spans="1:6">
      <c r="A3206" t="s">
        <v>2988</v>
      </c>
      <c r="B3206" t="s">
        <v>2945</v>
      </c>
      <c r="C3206" t="s">
        <v>2970</v>
      </c>
      <c r="F3206" s="898">
        <f>'Action POLLEC 4'!$E$105</f>
        <v>0</v>
      </c>
    </row>
    <row r="3207" spans="1:6">
      <c r="A3207" t="s">
        <v>2988</v>
      </c>
      <c r="B3207" t="s">
        <v>2945</v>
      </c>
      <c r="C3207" t="s">
        <v>2971</v>
      </c>
      <c r="F3207" s="898">
        <f>'Action POLLEC 4'!$E$106</f>
        <v>0</v>
      </c>
    </row>
    <row r="3208" spans="1:6">
      <c r="A3208" t="s">
        <v>2988</v>
      </c>
      <c r="B3208" t="s">
        <v>2945</v>
      </c>
      <c r="C3208" t="s">
        <v>2972</v>
      </c>
      <c r="F3208" s="898">
        <f>'Action POLLEC 4'!$E$107</f>
        <v>0</v>
      </c>
    </row>
    <row r="3209" spans="1:6">
      <c r="A3209" t="s">
        <v>2988</v>
      </c>
      <c r="B3209" t="s">
        <v>2945</v>
      </c>
      <c r="C3209" t="s">
        <v>2973</v>
      </c>
      <c r="F3209" s="898">
        <f>'Action POLLEC 4'!$E$108</f>
        <v>0</v>
      </c>
    </row>
    <row r="3210" spans="1:6">
      <c r="A3210" t="s">
        <v>2988</v>
      </c>
      <c r="B3210" t="s">
        <v>2945</v>
      </c>
      <c r="C3210" t="s">
        <v>2974</v>
      </c>
      <c r="F3210" s="898">
        <f>'Action POLLEC 4'!$E$109</f>
        <v>0</v>
      </c>
    </row>
    <row r="3211" spans="1:6">
      <c r="A3211" t="s">
        <v>2988</v>
      </c>
      <c r="B3211" t="s">
        <v>2945</v>
      </c>
      <c r="C3211" t="s">
        <v>2975</v>
      </c>
      <c r="F3211" s="898">
        <f>'Action POLLEC 4'!$E$110</f>
        <v>0</v>
      </c>
    </row>
    <row r="3212" spans="1:6">
      <c r="A3212" t="s">
        <v>2988</v>
      </c>
      <c r="B3212" t="s">
        <v>2945</v>
      </c>
      <c r="C3212" t="s">
        <v>2866</v>
      </c>
      <c r="F3212" s="898">
        <f>'Action POLLEC 4'!$F$101</f>
        <v>0</v>
      </c>
    </row>
    <row r="3213" spans="1:6">
      <c r="A3213" t="s">
        <v>2988</v>
      </c>
      <c r="B3213" t="s">
        <v>2945</v>
      </c>
      <c r="C3213" t="s">
        <v>2867</v>
      </c>
      <c r="F3213" s="898">
        <f>'Action POLLEC 4'!$F$102</f>
        <v>0</v>
      </c>
    </row>
    <row r="3214" spans="1:6">
      <c r="A3214" t="s">
        <v>2988</v>
      </c>
      <c r="B3214" t="s">
        <v>2945</v>
      </c>
      <c r="C3214" t="s">
        <v>2868</v>
      </c>
      <c r="F3214" s="898">
        <f>'Action POLLEC 4'!$F$103</f>
        <v>0</v>
      </c>
    </row>
    <row r="3215" spans="1:6">
      <c r="A3215" t="s">
        <v>2988</v>
      </c>
      <c r="B3215" t="s">
        <v>2945</v>
      </c>
      <c r="C3215" t="s">
        <v>2869</v>
      </c>
      <c r="F3215" s="898">
        <f>'Action POLLEC 4'!$F$104</f>
        <v>0</v>
      </c>
    </row>
    <row r="3216" spans="1:6">
      <c r="A3216" t="s">
        <v>2988</v>
      </c>
      <c r="B3216" t="s">
        <v>2945</v>
      </c>
      <c r="C3216" t="s">
        <v>2870</v>
      </c>
      <c r="F3216" s="898">
        <f>'Action POLLEC 4'!$F$105</f>
        <v>0</v>
      </c>
    </row>
    <row r="3217" spans="1:6">
      <c r="A3217" t="s">
        <v>2988</v>
      </c>
      <c r="B3217" t="s">
        <v>2945</v>
      </c>
      <c r="C3217" t="s">
        <v>2871</v>
      </c>
      <c r="F3217" s="898">
        <f>'Action POLLEC 4'!$F$106</f>
        <v>0</v>
      </c>
    </row>
    <row r="3218" spans="1:6">
      <c r="A3218" t="s">
        <v>2988</v>
      </c>
      <c r="B3218" t="s">
        <v>2945</v>
      </c>
      <c r="C3218" t="s">
        <v>2872</v>
      </c>
      <c r="F3218" s="898">
        <f>'Action POLLEC 4'!$F$107</f>
        <v>0</v>
      </c>
    </row>
    <row r="3219" spans="1:6">
      <c r="A3219" t="s">
        <v>2988</v>
      </c>
      <c r="B3219" t="s">
        <v>2945</v>
      </c>
      <c r="C3219" t="s">
        <v>2873</v>
      </c>
      <c r="F3219" s="898">
        <f>'Action POLLEC 4'!$F$108</f>
        <v>0</v>
      </c>
    </row>
    <row r="3220" spans="1:6">
      <c r="A3220" t="s">
        <v>2988</v>
      </c>
      <c r="B3220" t="s">
        <v>2945</v>
      </c>
      <c r="C3220" t="s">
        <v>2912</v>
      </c>
      <c r="F3220" s="898">
        <f>'Action POLLEC 4'!$F$109</f>
        <v>0</v>
      </c>
    </row>
    <row r="3221" spans="1:6">
      <c r="A3221" t="s">
        <v>2988</v>
      </c>
      <c r="B3221" t="s">
        <v>2945</v>
      </c>
      <c r="C3221" t="s">
        <v>2913</v>
      </c>
      <c r="F3221" s="898">
        <f>'Action POLLEC 4'!$F$110</f>
        <v>0</v>
      </c>
    </row>
    <row r="3222" spans="1:6">
      <c r="A3222" t="s">
        <v>2988</v>
      </c>
      <c r="B3222" t="s">
        <v>2945</v>
      </c>
      <c r="C3222" t="s">
        <v>2914</v>
      </c>
      <c r="F3222" s="898">
        <f>'Action POLLEC 4'!$G$101</f>
        <v>0</v>
      </c>
    </row>
    <row r="3223" spans="1:6">
      <c r="A3223" t="s">
        <v>2988</v>
      </c>
      <c r="B3223" t="s">
        <v>2945</v>
      </c>
      <c r="C3223" t="s">
        <v>2915</v>
      </c>
      <c r="F3223" s="898">
        <f>'Action POLLEC 4'!$G$102</f>
        <v>0</v>
      </c>
    </row>
    <row r="3224" spans="1:6">
      <c r="A3224" t="s">
        <v>2988</v>
      </c>
      <c r="B3224" t="s">
        <v>2945</v>
      </c>
      <c r="C3224" t="s">
        <v>2916</v>
      </c>
      <c r="F3224" s="898">
        <f>'Action POLLEC 4'!$G$103</f>
        <v>0</v>
      </c>
    </row>
    <row r="3225" spans="1:6">
      <c r="A3225" t="s">
        <v>2988</v>
      </c>
      <c r="B3225" t="s">
        <v>2945</v>
      </c>
      <c r="C3225" t="s">
        <v>2917</v>
      </c>
      <c r="F3225" s="898">
        <f>'Action POLLEC 4'!$G$104</f>
        <v>0</v>
      </c>
    </row>
    <row r="3226" spans="1:6">
      <c r="A3226" t="s">
        <v>2988</v>
      </c>
      <c r="B3226" t="s">
        <v>2945</v>
      </c>
      <c r="C3226" t="s">
        <v>2918</v>
      </c>
      <c r="F3226" s="898">
        <f>'Action POLLEC 4'!$G$105</f>
        <v>0</v>
      </c>
    </row>
    <row r="3227" spans="1:6">
      <c r="A3227" t="s">
        <v>2988</v>
      </c>
      <c r="B3227" t="s">
        <v>2945</v>
      </c>
      <c r="C3227" t="s">
        <v>2919</v>
      </c>
      <c r="F3227" s="898">
        <f>'Action POLLEC 4'!$G$106</f>
        <v>0</v>
      </c>
    </row>
    <row r="3228" spans="1:6">
      <c r="A3228" t="s">
        <v>2988</v>
      </c>
      <c r="B3228" t="s">
        <v>2945</v>
      </c>
      <c r="C3228" t="s">
        <v>2920</v>
      </c>
      <c r="F3228" s="898">
        <f>'Action POLLEC 4'!$G$107</f>
        <v>0</v>
      </c>
    </row>
    <row r="3229" spans="1:6">
      <c r="A3229" t="s">
        <v>2988</v>
      </c>
      <c r="B3229" t="s">
        <v>2945</v>
      </c>
      <c r="C3229" t="s">
        <v>2921</v>
      </c>
      <c r="F3229" s="898">
        <f>'Action POLLEC 4'!$G$108</f>
        <v>0</v>
      </c>
    </row>
    <row r="3230" spans="1:6">
      <c r="A3230" t="s">
        <v>2988</v>
      </c>
      <c r="B3230" t="s">
        <v>2945</v>
      </c>
      <c r="C3230" t="s">
        <v>2922</v>
      </c>
      <c r="F3230" s="898">
        <f>'Action POLLEC 4'!$G$109</f>
        <v>0</v>
      </c>
    </row>
    <row r="3231" spans="1:6">
      <c r="A3231" t="s">
        <v>2988</v>
      </c>
      <c r="B3231" t="s">
        <v>2945</v>
      </c>
      <c r="C3231" t="s">
        <v>2923</v>
      </c>
      <c r="F3231" s="898">
        <f>'Action POLLEC 4'!$G$110</f>
        <v>0</v>
      </c>
    </row>
    <row r="3232" spans="1:6">
      <c r="A3232" t="s">
        <v>2988</v>
      </c>
      <c r="B3232" t="s">
        <v>2945</v>
      </c>
      <c r="C3232" t="s">
        <v>2976</v>
      </c>
      <c r="F3232" s="898">
        <f>'Action POLLEC 4'!$H$101</f>
        <v>0</v>
      </c>
    </row>
    <row r="3233" spans="1:6">
      <c r="A3233" t="s">
        <v>2988</v>
      </c>
      <c r="B3233" t="s">
        <v>2945</v>
      </c>
      <c r="C3233" t="s">
        <v>2977</v>
      </c>
      <c r="F3233" s="898">
        <f>'Action POLLEC 4'!$H$102</f>
        <v>0</v>
      </c>
    </row>
    <row r="3234" spans="1:6">
      <c r="A3234" t="s">
        <v>2988</v>
      </c>
      <c r="B3234" t="s">
        <v>2945</v>
      </c>
      <c r="C3234" t="s">
        <v>2978</v>
      </c>
      <c r="F3234" s="898">
        <f>'Action POLLEC 4'!$H$103</f>
        <v>0</v>
      </c>
    </row>
    <row r="3235" spans="1:6">
      <c r="A3235" t="s">
        <v>2988</v>
      </c>
      <c r="B3235" t="s">
        <v>2945</v>
      </c>
      <c r="C3235" t="s">
        <v>2979</v>
      </c>
      <c r="F3235" s="898">
        <f>'Action POLLEC 4'!$H$104</f>
        <v>0</v>
      </c>
    </row>
    <row r="3236" spans="1:6">
      <c r="A3236" t="s">
        <v>2988</v>
      </c>
      <c r="B3236" t="s">
        <v>2945</v>
      </c>
      <c r="C3236" t="s">
        <v>2980</v>
      </c>
      <c r="F3236" s="898">
        <f>'Action POLLEC 4'!$H$105</f>
        <v>0</v>
      </c>
    </row>
    <row r="3237" spans="1:6">
      <c r="A3237" t="s">
        <v>2988</v>
      </c>
      <c r="B3237" t="s">
        <v>2945</v>
      </c>
      <c r="C3237" t="s">
        <v>2981</v>
      </c>
      <c r="F3237" s="898">
        <f>'Action POLLEC 4'!$H$106</f>
        <v>0</v>
      </c>
    </row>
    <row r="3238" spans="1:6">
      <c r="A3238" t="s">
        <v>2988</v>
      </c>
      <c r="B3238" t="s">
        <v>2945</v>
      </c>
      <c r="C3238" t="s">
        <v>2982</v>
      </c>
      <c r="F3238" s="898">
        <f>'Action POLLEC 4'!$H$107</f>
        <v>0</v>
      </c>
    </row>
    <row r="3239" spans="1:6">
      <c r="A3239" t="s">
        <v>2988</v>
      </c>
      <c r="B3239" t="s">
        <v>2945</v>
      </c>
      <c r="C3239" t="s">
        <v>2983</v>
      </c>
      <c r="F3239" s="898">
        <f>'Action POLLEC 4'!$H$108</f>
        <v>0</v>
      </c>
    </row>
    <row r="3240" spans="1:6">
      <c r="A3240" t="s">
        <v>2988</v>
      </c>
      <c r="B3240" t="s">
        <v>2945</v>
      </c>
      <c r="C3240" t="s">
        <v>2984</v>
      </c>
      <c r="F3240" s="898">
        <f>'Action POLLEC 4'!$H$109</f>
        <v>0</v>
      </c>
    </row>
    <row r="3241" spans="1:6">
      <c r="A3241" t="s">
        <v>2988</v>
      </c>
      <c r="B3241" t="s">
        <v>2945</v>
      </c>
      <c r="C3241" t="s">
        <v>2985</v>
      </c>
      <c r="F3241" s="898">
        <f>'Action POLLEC 4'!$H$110</f>
        <v>0</v>
      </c>
    </row>
    <row r="3242" spans="1:6">
      <c r="A3242" t="s">
        <v>2988</v>
      </c>
      <c r="B3242" t="s">
        <v>2945</v>
      </c>
      <c r="C3242" t="s">
        <v>2934</v>
      </c>
      <c r="F3242" s="898">
        <f>'Action POLLEC 4'!$I$101</f>
        <v>0</v>
      </c>
    </row>
    <row r="3243" spans="1:6">
      <c r="A3243" t="s">
        <v>2988</v>
      </c>
      <c r="B3243" t="s">
        <v>2945</v>
      </c>
      <c r="C3243" t="s">
        <v>2935</v>
      </c>
      <c r="F3243" s="898">
        <f>'Action POLLEC 4'!$I$102</f>
        <v>0</v>
      </c>
    </row>
    <row r="3244" spans="1:6">
      <c r="A3244" t="s">
        <v>2988</v>
      </c>
      <c r="B3244" t="s">
        <v>2945</v>
      </c>
      <c r="C3244" t="s">
        <v>2936</v>
      </c>
      <c r="F3244" s="898">
        <f>'Action POLLEC 4'!$I$103</f>
        <v>0</v>
      </c>
    </row>
    <row r="3245" spans="1:6">
      <c r="A3245" t="s">
        <v>2988</v>
      </c>
      <c r="B3245" t="s">
        <v>2945</v>
      </c>
      <c r="C3245" t="s">
        <v>2937</v>
      </c>
      <c r="F3245" s="898">
        <f>'Action POLLEC 4'!$I$104</f>
        <v>0</v>
      </c>
    </row>
    <row r="3246" spans="1:6">
      <c r="A3246" t="s">
        <v>2988</v>
      </c>
      <c r="B3246" t="s">
        <v>2945</v>
      </c>
      <c r="C3246" t="s">
        <v>2938</v>
      </c>
      <c r="F3246" s="898">
        <f>'Action POLLEC 4'!$I$105</f>
        <v>0</v>
      </c>
    </row>
    <row r="3247" spans="1:6">
      <c r="A3247" t="s">
        <v>2988</v>
      </c>
      <c r="B3247" t="s">
        <v>2945</v>
      </c>
      <c r="C3247" t="s">
        <v>2939</v>
      </c>
      <c r="F3247" s="898">
        <f>'Action POLLEC 4'!$I$106</f>
        <v>0</v>
      </c>
    </row>
    <row r="3248" spans="1:6">
      <c r="A3248" t="s">
        <v>2988</v>
      </c>
      <c r="B3248" t="s">
        <v>2945</v>
      </c>
      <c r="C3248" t="s">
        <v>2940</v>
      </c>
      <c r="F3248" s="898">
        <f>'Action POLLEC 4'!$I$107</f>
        <v>0</v>
      </c>
    </row>
    <row r="3249" spans="1:6">
      <c r="A3249" t="s">
        <v>2988</v>
      </c>
      <c r="B3249" t="s">
        <v>2945</v>
      </c>
      <c r="C3249" t="s">
        <v>2941</v>
      </c>
      <c r="F3249" s="898">
        <f>'Action POLLEC 4'!$I$108</f>
        <v>0</v>
      </c>
    </row>
    <row r="3250" spans="1:6">
      <c r="A3250" t="s">
        <v>2988</v>
      </c>
      <c r="B3250" t="s">
        <v>2945</v>
      </c>
      <c r="C3250" t="s">
        <v>2942</v>
      </c>
      <c r="F3250" s="898">
        <f>'Action POLLEC 4'!$I$109</f>
        <v>0</v>
      </c>
    </row>
    <row r="3251" spans="1:6">
      <c r="A3251" t="s">
        <v>2988</v>
      </c>
      <c r="B3251" t="s">
        <v>2945</v>
      </c>
      <c r="C3251" t="s">
        <v>2943</v>
      </c>
      <c r="F3251" s="898">
        <f>'Action POLLEC 4'!$I$110</f>
        <v>0</v>
      </c>
    </row>
    <row r="3252" spans="1:6">
      <c r="A3252" t="s">
        <v>2989</v>
      </c>
      <c r="B3252" t="s">
        <v>2831</v>
      </c>
      <c r="F3252" s="898">
        <f>'Action POLLEC 5'!$F$10</f>
        <v>0</v>
      </c>
    </row>
    <row r="3253" spans="1:6">
      <c r="A3253" t="s">
        <v>2989</v>
      </c>
      <c r="B3253" t="s">
        <v>3006</v>
      </c>
      <c r="F3253" s="898" t="str">
        <f ca="1">'Action POLLEC 5'!F6</f>
        <v/>
      </c>
    </row>
    <row r="3254" spans="1:6">
      <c r="A3254" t="s">
        <v>2989</v>
      </c>
      <c r="B3254" t="s">
        <v>725</v>
      </c>
      <c r="F3254" s="898" t="str">
        <f ca="1">'Action POLLEC 5'!B19</f>
        <v>-</v>
      </c>
    </row>
    <row r="3255" spans="1:6">
      <c r="A3255" t="s">
        <v>2989</v>
      </c>
      <c r="B3255" t="s">
        <v>325</v>
      </c>
      <c r="F3255" s="898">
        <f>'Action POLLEC 5'!$B$20</f>
        <v>0</v>
      </c>
    </row>
    <row r="3256" spans="1:6">
      <c r="A3256" t="s">
        <v>2989</v>
      </c>
      <c r="B3256" t="s">
        <v>2832</v>
      </c>
      <c r="F3256" s="898">
        <f>'Action POLLEC 5'!$B$21</f>
        <v>0</v>
      </c>
    </row>
    <row r="3257" spans="1:6">
      <c r="A3257" t="s">
        <v>2989</v>
      </c>
      <c r="B3257" t="s">
        <v>2833</v>
      </c>
      <c r="F3257" s="898" t="str">
        <f ca="1">'Action POLLEC 5'!$B$26</f>
        <v>-</v>
      </c>
    </row>
    <row r="3258" spans="1:6">
      <c r="A3258" t="s">
        <v>2989</v>
      </c>
      <c r="B3258" t="s">
        <v>2834</v>
      </c>
      <c r="F3258" s="898">
        <f>'Action POLLEC 5'!$B$27</f>
        <v>0</v>
      </c>
    </row>
    <row r="3259" spans="1:6">
      <c r="A3259" t="s">
        <v>2989</v>
      </c>
      <c r="B3259" t="s">
        <v>2835</v>
      </c>
      <c r="F3259" s="898">
        <f>'Action POLLEC 5'!$B$28</f>
        <v>0</v>
      </c>
    </row>
    <row r="3260" spans="1:6">
      <c r="A3260" t="s">
        <v>2989</v>
      </c>
      <c r="B3260" t="s">
        <v>2836</v>
      </c>
      <c r="F3260" s="898">
        <f>'Action POLLEC 5'!$B$29</f>
        <v>0</v>
      </c>
    </row>
    <row r="3261" spans="1:6">
      <c r="A3261" t="s">
        <v>2989</v>
      </c>
      <c r="B3261" t="s">
        <v>2837</v>
      </c>
      <c r="F3261" s="898">
        <f>'Action POLLEC 5'!$B$30</f>
        <v>0</v>
      </c>
    </row>
    <row r="3262" spans="1:6">
      <c r="A3262" t="s">
        <v>2989</v>
      </c>
      <c r="B3262" t="s">
        <v>2838</v>
      </c>
      <c r="F3262" s="898">
        <f>'Action POLLEC 5'!$D$26</f>
        <v>0</v>
      </c>
    </row>
    <row r="3263" spans="1:6">
      <c r="A3263" t="s">
        <v>2989</v>
      </c>
      <c r="B3263" t="s">
        <v>2839</v>
      </c>
      <c r="F3263" s="898">
        <f>'Action POLLEC 5'!$D$27</f>
        <v>0</v>
      </c>
    </row>
    <row r="3264" spans="1:6">
      <c r="A3264" t="s">
        <v>2989</v>
      </c>
      <c r="B3264" t="s">
        <v>2840</v>
      </c>
      <c r="F3264" s="898">
        <f>'Action POLLEC 5'!$D$28</f>
        <v>0</v>
      </c>
    </row>
    <row r="3265" spans="1:6">
      <c r="A3265" t="s">
        <v>2989</v>
      </c>
      <c r="B3265" t="s">
        <v>2841</v>
      </c>
      <c r="F3265" s="898">
        <f>'Action POLLEC 5'!$D$29</f>
        <v>0</v>
      </c>
    </row>
    <row r="3266" spans="1:6">
      <c r="A3266" t="s">
        <v>2989</v>
      </c>
      <c r="B3266" t="s">
        <v>2842</v>
      </c>
      <c r="F3266" s="898">
        <f>'Action POLLEC 5'!$D$30</f>
        <v>0</v>
      </c>
    </row>
    <row r="3267" spans="1:6">
      <c r="A3267" t="s">
        <v>2989</v>
      </c>
      <c r="B3267" t="s">
        <v>2843</v>
      </c>
      <c r="F3267" s="898">
        <f>'Action POLLEC 5'!$F$26</f>
        <v>0</v>
      </c>
    </row>
    <row r="3268" spans="1:6">
      <c r="A3268" t="s">
        <v>2989</v>
      </c>
      <c r="B3268" t="s">
        <v>2844</v>
      </c>
      <c r="F3268" s="898">
        <f>'Action POLLEC 5'!$F$27</f>
        <v>0</v>
      </c>
    </row>
    <row r="3269" spans="1:6">
      <c r="A3269" t="s">
        <v>2989</v>
      </c>
      <c r="B3269" t="s">
        <v>2845</v>
      </c>
      <c r="F3269" s="898">
        <f>'Action POLLEC 5'!$F$28</f>
        <v>0</v>
      </c>
    </row>
    <row r="3270" spans="1:6">
      <c r="A3270" t="s">
        <v>2989</v>
      </c>
      <c r="B3270" t="s">
        <v>2846</v>
      </c>
      <c r="F3270" s="898">
        <f>'Action POLLEC 5'!$F$29</f>
        <v>0</v>
      </c>
    </row>
    <row r="3271" spans="1:6">
      <c r="A3271" t="s">
        <v>2989</v>
      </c>
      <c r="B3271" t="s">
        <v>2847</v>
      </c>
      <c r="F3271" s="898">
        <f>'Action POLLEC 5'!$F$30</f>
        <v>0</v>
      </c>
    </row>
    <row r="3272" spans="1:6">
      <c r="A3272" t="s">
        <v>2989</v>
      </c>
      <c r="B3272" t="s">
        <v>2848</v>
      </c>
      <c r="F3272" s="898">
        <f>'Action POLLEC 5'!$B$32</f>
        <v>0</v>
      </c>
    </row>
    <row r="3273" spans="1:6">
      <c r="A3273" t="s">
        <v>2989</v>
      </c>
      <c r="B3273" t="s">
        <v>2849</v>
      </c>
      <c r="F3273" s="898">
        <f>'Action POLLEC 5'!$B$33</f>
        <v>0</v>
      </c>
    </row>
    <row r="3274" spans="1:6">
      <c r="A3274" t="s">
        <v>2989</v>
      </c>
      <c r="B3274" t="s">
        <v>2850</v>
      </c>
      <c r="F3274" s="898">
        <f>'Action POLLEC 5'!$B$53</f>
        <v>0</v>
      </c>
    </row>
    <row r="3275" spans="1:6">
      <c r="A3275" t="s">
        <v>2989</v>
      </c>
      <c r="B3275" t="s">
        <v>2851</v>
      </c>
      <c r="F3275" s="898">
        <f>'Action POLLEC 5'!$B$54</f>
        <v>0</v>
      </c>
    </row>
    <row r="3276" spans="1:6">
      <c r="A3276" t="s">
        <v>2989</v>
      </c>
      <c r="B3276" t="s">
        <v>2852</v>
      </c>
      <c r="F3276" s="898">
        <f>'Action POLLEC 5'!$B$55</f>
        <v>0</v>
      </c>
    </row>
    <row r="3277" spans="1:6">
      <c r="A3277" t="s">
        <v>2989</v>
      </c>
      <c r="B3277" t="s">
        <v>2853</v>
      </c>
      <c r="F3277" s="898">
        <f>'Action POLLEC 5'!$B$56</f>
        <v>0</v>
      </c>
    </row>
    <row r="3278" spans="1:6">
      <c r="A3278" t="s">
        <v>2989</v>
      </c>
      <c r="B3278" t="s">
        <v>2854</v>
      </c>
      <c r="F3278" s="898">
        <f>'Action POLLEC 5'!$B$57</f>
        <v>0</v>
      </c>
    </row>
    <row r="3279" spans="1:6">
      <c r="A3279" t="s">
        <v>2989</v>
      </c>
      <c r="B3279" t="s">
        <v>2855</v>
      </c>
      <c r="F3279" s="898">
        <f>'Action POLLEC 5'!$B$58</f>
        <v>0</v>
      </c>
    </row>
    <row r="3280" spans="1:6">
      <c r="A3280" t="s">
        <v>2989</v>
      </c>
      <c r="B3280" t="s">
        <v>2856</v>
      </c>
      <c r="F3280" s="898">
        <f>'Action POLLEC 5'!$B$59</f>
        <v>0</v>
      </c>
    </row>
    <row r="3281" spans="1:6">
      <c r="A3281" t="s">
        <v>2989</v>
      </c>
      <c r="B3281" t="s">
        <v>2857</v>
      </c>
      <c r="F3281" s="898">
        <f>'Action POLLEC 5'!$B60</f>
        <v>0</v>
      </c>
    </row>
    <row r="3282" spans="1:6">
      <c r="A3282" t="s">
        <v>2989</v>
      </c>
      <c r="B3282" t="s">
        <v>3007</v>
      </c>
      <c r="F3282" s="898">
        <f>'Action POLLEC 5'!$B61</f>
        <v>0</v>
      </c>
    </row>
    <row r="3283" spans="1:6">
      <c r="A3283" t="s">
        <v>2989</v>
      </c>
      <c r="B3283" t="s">
        <v>3008</v>
      </c>
      <c r="F3283" s="898">
        <f>'Action POLLEC 5'!$B62</f>
        <v>0</v>
      </c>
    </row>
    <row r="3284" spans="1:6">
      <c r="A3284" t="s">
        <v>2989</v>
      </c>
      <c r="B3284" t="s">
        <v>3009</v>
      </c>
      <c r="F3284" s="898">
        <f>'Action POLLEC 5'!$B63</f>
        <v>0</v>
      </c>
    </row>
    <row r="3285" spans="1:6">
      <c r="A3285" t="s">
        <v>2989</v>
      </c>
      <c r="B3285" t="s">
        <v>3010</v>
      </c>
      <c r="F3285" s="898">
        <f>'Action POLLEC 5'!$B64</f>
        <v>0</v>
      </c>
    </row>
    <row r="3286" spans="1:6">
      <c r="A3286" t="s">
        <v>2989</v>
      </c>
      <c r="B3286" t="s">
        <v>3011</v>
      </c>
      <c r="F3286" s="898">
        <f>'Action POLLEC 5'!$B65</f>
        <v>0</v>
      </c>
    </row>
    <row r="3287" spans="1:6">
      <c r="A3287" t="s">
        <v>2989</v>
      </c>
      <c r="B3287" t="s">
        <v>3012</v>
      </c>
      <c r="F3287" s="898">
        <f>'Action POLLEC 5'!$B66</f>
        <v>0</v>
      </c>
    </row>
    <row r="3288" spans="1:6">
      <c r="A3288" t="s">
        <v>2989</v>
      </c>
      <c r="B3288" t="s">
        <v>3013</v>
      </c>
      <c r="F3288" s="898">
        <f>'Action POLLEC 5'!$B67</f>
        <v>0</v>
      </c>
    </row>
    <row r="3289" spans="1:6">
      <c r="A3289" t="s">
        <v>2989</v>
      </c>
      <c r="B3289" t="s">
        <v>2858</v>
      </c>
      <c r="F3289" s="898">
        <f>'Action POLLEC 5'!$E$53</f>
        <v>0</v>
      </c>
    </row>
    <row r="3290" spans="1:6">
      <c r="A3290" t="s">
        <v>2989</v>
      </c>
      <c r="B3290" t="s">
        <v>2859</v>
      </c>
      <c r="F3290" s="898">
        <f>'Action POLLEC 5'!$E$54</f>
        <v>0</v>
      </c>
    </row>
    <row r="3291" spans="1:6">
      <c r="A3291" t="s">
        <v>2989</v>
      </c>
      <c r="B3291" t="s">
        <v>2860</v>
      </c>
      <c r="F3291" s="898">
        <f>'Action POLLEC 5'!$E$55</f>
        <v>0</v>
      </c>
    </row>
    <row r="3292" spans="1:6">
      <c r="A3292" t="s">
        <v>2989</v>
      </c>
      <c r="B3292" t="s">
        <v>2861</v>
      </c>
      <c r="F3292" s="898">
        <f>'Action POLLEC 5'!$E$56</f>
        <v>0</v>
      </c>
    </row>
    <row r="3293" spans="1:6">
      <c r="A3293" t="s">
        <v>2989</v>
      </c>
      <c r="B3293" t="s">
        <v>2862</v>
      </c>
      <c r="F3293" s="898">
        <f>'Action POLLEC 5'!$E$57</f>
        <v>0</v>
      </c>
    </row>
    <row r="3294" spans="1:6">
      <c r="A3294" t="s">
        <v>2989</v>
      </c>
      <c r="B3294" t="s">
        <v>2863</v>
      </c>
      <c r="F3294" s="898">
        <f>'Action POLLEC 5'!$E$58</f>
        <v>0</v>
      </c>
    </row>
    <row r="3295" spans="1:6">
      <c r="A3295" t="s">
        <v>2989</v>
      </c>
      <c r="B3295" t="s">
        <v>2864</v>
      </c>
      <c r="F3295" s="898">
        <f>'Action POLLEC 5'!$E$59</f>
        <v>0</v>
      </c>
    </row>
    <row r="3296" spans="1:6">
      <c r="A3296" t="s">
        <v>2989</v>
      </c>
      <c r="B3296" t="s">
        <v>2865</v>
      </c>
      <c r="F3296" s="898">
        <f>'Action POLLEC 5'!$E60</f>
        <v>0</v>
      </c>
    </row>
    <row r="3297" spans="1:6">
      <c r="A3297" t="s">
        <v>2989</v>
      </c>
      <c r="B3297" t="s">
        <v>3091</v>
      </c>
      <c r="F3297" s="898">
        <f>'Action POLLEC 5'!$E61</f>
        <v>0</v>
      </c>
    </row>
    <row r="3298" spans="1:6">
      <c r="A3298" t="s">
        <v>2989</v>
      </c>
      <c r="B3298" t="s">
        <v>3092</v>
      </c>
      <c r="F3298" s="898">
        <f>'Action POLLEC 5'!$E62</f>
        <v>0</v>
      </c>
    </row>
    <row r="3299" spans="1:6">
      <c r="A3299" t="s">
        <v>2989</v>
      </c>
      <c r="B3299" t="s">
        <v>3093</v>
      </c>
      <c r="F3299" s="898">
        <f>'Action POLLEC 5'!$E63</f>
        <v>0</v>
      </c>
    </row>
    <row r="3300" spans="1:6">
      <c r="A3300" t="s">
        <v>2989</v>
      </c>
      <c r="B3300" t="s">
        <v>3094</v>
      </c>
      <c r="F3300" s="898">
        <f>'Action POLLEC 5'!$E64</f>
        <v>0</v>
      </c>
    </row>
    <row r="3301" spans="1:6">
      <c r="A3301" t="s">
        <v>2989</v>
      </c>
      <c r="B3301" t="s">
        <v>3095</v>
      </c>
      <c r="F3301" s="898">
        <f>'Action POLLEC 5'!$E65</f>
        <v>0</v>
      </c>
    </row>
    <row r="3302" spans="1:6">
      <c r="A3302" t="s">
        <v>2989</v>
      </c>
      <c r="B3302" t="s">
        <v>3096</v>
      </c>
      <c r="F3302" s="898">
        <f>'Action POLLEC 5'!$E66</f>
        <v>0</v>
      </c>
    </row>
    <row r="3303" spans="1:6">
      <c r="A3303" t="s">
        <v>2989</v>
      </c>
      <c r="B3303" t="s">
        <v>3097</v>
      </c>
      <c r="F3303" s="898">
        <f>'Action POLLEC 5'!$E67</f>
        <v>0</v>
      </c>
    </row>
    <row r="3304" spans="1:6">
      <c r="A3304" t="s">
        <v>2989</v>
      </c>
      <c r="B3304" t="s">
        <v>2866</v>
      </c>
      <c r="F3304" s="898">
        <f>'Action POLLEC 5'!$F$53</f>
        <v>0</v>
      </c>
    </row>
    <row r="3305" spans="1:6">
      <c r="A3305" t="s">
        <v>2989</v>
      </c>
      <c r="B3305" t="s">
        <v>2867</v>
      </c>
      <c r="F3305" s="898">
        <f>'Action POLLEC 5'!$F$54</f>
        <v>0</v>
      </c>
    </row>
    <row r="3306" spans="1:6">
      <c r="A3306" t="s">
        <v>2989</v>
      </c>
      <c r="B3306" t="s">
        <v>2868</v>
      </c>
      <c r="F3306" s="898">
        <f>'Action POLLEC 5'!$F$55</f>
        <v>0</v>
      </c>
    </row>
    <row r="3307" spans="1:6">
      <c r="A3307" t="s">
        <v>2989</v>
      </c>
      <c r="B3307" t="s">
        <v>2869</v>
      </c>
      <c r="F3307" s="898">
        <f>'Action POLLEC 5'!$F$56</f>
        <v>0</v>
      </c>
    </row>
    <row r="3308" spans="1:6">
      <c r="A3308" t="s">
        <v>2989</v>
      </c>
      <c r="B3308" t="s">
        <v>2870</v>
      </c>
      <c r="F3308" s="898">
        <f>'Action POLLEC 5'!$F$57</f>
        <v>0</v>
      </c>
    </row>
    <row r="3309" spans="1:6">
      <c r="A3309" t="s">
        <v>2989</v>
      </c>
      <c r="B3309" t="s">
        <v>2871</v>
      </c>
      <c r="F3309" s="898">
        <f>'Action POLLEC 5'!$F$58</f>
        <v>0</v>
      </c>
    </row>
    <row r="3310" spans="1:6">
      <c r="A3310" t="s">
        <v>2989</v>
      </c>
      <c r="B3310" t="s">
        <v>2872</v>
      </c>
      <c r="F3310" s="898">
        <f>'Action POLLEC 5'!$F$59</f>
        <v>0</v>
      </c>
    </row>
    <row r="3311" spans="1:6">
      <c r="A3311" t="s">
        <v>2989</v>
      </c>
      <c r="B3311" t="s">
        <v>2873</v>
      </c>
      <c r="F3311" s="898">
        <f>'Action POLLEC 5'!$F60</f>
        <v>0</v>
      </c>
    </row>
    <row r="3312" spans="1:6">
      <c r="A3312" t="s">
        <v>2989</v>
      </c>
      <c r="B3312" t="s">
        <v>2912</v>
      </c>
      <c r="F3312" s="898">
        <f>'Action POLLEC 5'!$F61</f>
        <v>0</v>
      </c>
    </row>
    <row r="3313" spans="1:6">
      <c r="A3313" t="s">
        <v>2989</v>
      </c>
      <c r="B3313" t="s">
        <v>2913</v>
      </c>
      <c r="F3313" s="898">
        <f>'Action POLLEC 5'!$F62</f>
        <v>0</v>
      </c>
    </row>
    <row r="3314" spans="1:6">
      <c r="A3314" t="s">
        <v>2989</v>
      </c>
      <c r="B3314" t="s">
        <v>3014</v>
      </c>
      <c r="F3314" s="898">
        <f>'Action POLLEC 5'!$F63</f>
        <v>0</v>
      </c>
    </row>
    <row r="3315" spans="1:6">
      <c r="A3315" t="s">
        <v>2989</v>
      </c>
      <c r="B3315" t="s">
        <v>3015</v>
      </c>
      <c r="F3315" s="898">
        <f>'Action POLLEC 5'!$F64</f>
        <v>0</v>
      </c>
    </row>
    <row r="3316" spans="1:6">
      <c r="A3316" t="s">
        <v>2989</v>
      </c>
      <c r="B3316" t="s">
        <v>3016</v>
      </c>
      <c r="F3316" s="898">
        <f>'Action POLLEC 5'!$F65</f>
        <v>0</v>
      </c>
    </row>
    <row r="3317" spans="1:6">
      <c r="A3317" t="s">
        <v>2989</v>
      </c>
      <c r="B3317" t="s">
        <v>3017</v>
      </c>
      <c r="F3317" s="898">
        <f>'Action POLLEC 5'!$F66</f>
        <v>0</v>
      </c>
    </row>
    <row r="3318" spans="1:6">
      <c r="A3318" t="s">
        <v>2989</v>
      </c>
      <c r="B3318" t="s">
        <v>3018</v>
      </c>
      <c r="F3318" s="898">
        <f>'Action POLLEC 5'!$F67</f>
        <v>0</v>
      </c>
    </row>
    <row r="3319" spans="1:6">
      <c r="A3319" t="s">
        <v>2989</v>
      </c>
      <c r="B3319" t="s">
        <v>2874</v>
      </c>
      <c r="F3319" s="898">
        <f>'Action POLLEC 5'!$G$53</f>
        <v>0</v>
      </c>
    </row>
    <row r="3320" spans="1:6">
      <c r="A3320" t="s">
        <v>2989</v>
      </c>
      <c r="B3320" t="s">
        <v>2875</v>
      </c>
      <c r="F3320" s="898">
        <f>'Action POLLEC 5'!$G$54</f>
        <v>0</v>
      </c>
    </row>
    <row r="3321" spans="1:6">
      <c r="A3321" t="s">
        <v>2989</v>
      </c>
      <c r="B3321" t="s">
        <v>2876</v>
      </c>
      <c r="F3321" s="898">
        <f>'Action POLLEC 5'!$G$55</f>
        <v>0</v>
      </c>
    </row>
    <row r="3322" spans="1:6">
      <c r="A3322" t="s">
        <v>2989</v>
      </c>
      <c r="B3322" t="s">
        <v>2877</v>
      </c>
      <c r="F3322" s="898">
        <f>'Action POLLEC 5'!$G$56</f>
        <v>0</v>
      </c>
    </row>
    <row r="3323" spans="1:6">
      <c r="A3323" t="s">
        <v>2989</v>
      </c>
      <c r="B3323" t="s">
        <v>2878</v>
      </c>
      <c r="F3323" s="898">
        <f>'Action POLLEC 5'!$G$57</f>
        <v>0</v>
      </c>
    </row>
    <row r="3324" spans="1:6">
      <c r="A3324" t="s">
        <v>2989</v>
      </c>
      <c r="B3324" t="s">
        <v>2879</v>
      </c>
      <c r="F3324" s="898">
        <f>'Action POLLEC 5'!$G$58</f>
        <v>0</v>
      </c>
    </row>
    <row r="3325" spans="1:6">
      <c r="A3325" t="s">
        <v>2989</v>
      </c>
      <c r="B3325" t="s">
        <v>2880</v>
      </c>
      <c r="F3325" s="898">
        <f>'Action POLLEC 5'!$G$59</f>
        <v>0</v>
      </c>
    </row>
    <row r="3326" spans="1:6">
      <c r="A3326" t="s">
        <v>2989</v>
      </c>
      <c r="B3326" t="s">
        <v>2881</v>
      </c>
      <c r="F3326" s="898">
        <f>'Action POLLEC 5'!$G60</f>
        <v>0</v>
      </c>
    </row>
    <row r="3327" spans="1:6">
      <c r="A3327" t="s">
        <v>2989</v>
      </c>
      <c r="B3327" t="s">
        <v>3019</v>
      </c>
      <c r="F3327" s="898">
        <f>'Action POLLEC 5'!$G61</f>
        <v>0</v>
      </c>
    </row>
    <row r="3328" spans="1:6">
      <c r="A3328" t="s">
        <v>2989</v>
      </c>
      <c r="B3328" t="s">
        <v>3020</v>
      </c>
      <c r="F3328" s="898">
        <f>'Action POLLEC 5'!$G62</f>
        <v>0</v>
      </c>
    </row>
    <row r="3329" spans="1:6">
      <c r="A3329" t="s">
        <v>2989</v>
      </c>
      <c r="B3329" t="s">
        <v>3021</v>
      </c>
      <c r="F3329" s="898">
        <f>'Action POLLEC 5'!$G63</f>
        <v>0</v>
      </c>
    </row>
    <row r="3330" spans="1:6">
      <c r="A3330" t="s">
        <v>2989</v>
      </c>
      <c r="B3330" t="s">
        <v>3022</v>
      </c>
      <c r="F3330" s="898">
        <f>'Action POLLEC 5'!$G64</f>
        <v>0</v>
      </c>
    </row>
    <row r="3331" spans="1:6">
      <c r="A3331" t="s">
        <v>2989</v>
      </c>
      <c r="B3331" t="s">
        <v>3023</v>
      </c>
      <c r="F3331" s="898">
        <f>'Action POLLEC 5'!$G65</f>
        <v>0</v>
      </c>
    </row>
    <row r="3332" spans="1:6">
      <c r="A3332" t="s">
        <v>2989</v>
      </c>
      <c r="B3332" t="s">
        <v>3024</v>
      </c>
      <c r="F3332" s="898">
        <f>'Action POLLEC 5'!$G66</f>
        <v>0</v>
      </c>
    </row>
    <row r="3333" spans="1:6">
      <c r="A3333" t="s">
        <v>2989</v>
      </c>
      <c r="B3333" t="s">
        <v>3025</v>
      </c>
      <c r="F3333" s="898">
        <f>'Action POLLEC 5'!$G67</f>
        <v>0</v>
      </c>
    </row>
    <row r="3334" spans="1:6">
      <c r="A3334" t="s">
        <v>2989</v>
      </c>
      <c r="B3334" t="s">
        <v>2944</v>
      </c>
      <c r="C3334" t="s">
        <v>2882</v>
      </c>
      <c r="F3334" s="898" t="str">
        <f ca="1">'Action POLLEC 5'!B77</f>
        <v>-</v>
      </c>
    </row>
    <row r="3335" spans="1:6">
      <c r="A3335" t="s">
        <v>2989</v>
      </c>
      <c r="B3335" t="s">
        <v>2944</v>
      </c>
      <c r="C3335" t="s">
        <v>2883</v>
      </c>
      <c r="F3335" s="898" t="str">
        <f ca="1">'Action POLLEC 5'!B78</f>
        <v>-</v>
      </c>
    </row>
    <row r="3336" spans="1:6">
      <c r="A3336" t="s">
        <v>2989</v>
      </c>
      <c r="B3336" t="s">
        <v>2944</v>
      </c>
      <c r="C3336" t="s">
        <v>2884</v>
      </c>
      <c r="F3336" s="898" t="str">
        <f ca="1">'Action POLLEC 5'!B79</f>
        <v>-</v>
      </c>
    </row>
    <row r="3337" spans="1:6">
      <c r="A3337" t="s">
        <v>2989</v>
      </c>
      <c r="B3337" t="s">
        <v>2944</v>
      </c>
      <c r="C3337" t="s">
        <v>2885</v>
      </c>
      <c r="F3337" s="898" t="str">
        <f ca="1">'Action POLLEC 5'!B80</f>
        <v>-</v>
      </c>
    </row>
    <row r="3338" spans="1:6">
      <c r="A3338" t="s">
        <v>2989</v>
      </c>
      <c r="B3338" t="s">
        <v>2944</v>
      </c>
      <c r="C3338" t="s">
        <v>2886</v>
      </c>
      <c r="F3338" s="898" t="str">
        <f ca="1">'Action POLLEC 5'!B81</f>
        <v>-</v>
      </c>
    </row>
    <row r="3339" spans="1:6">
      <c r="A3339" t="s">
        <v>2989</v>
      </c>
      <c r="B3339" t="s">
        <v>2944</v>
      </c>
      <c r="C3339" t="s">
        <v>2887</v>
      </c>
      <c r="F3339" s="898" t="str">
        <f ca="1">'Action POLLEC 5'!B82</f>
        <v>-</v>
      </c>
    </row>
    <row r="3340" spans="1:6">
      <c r="A3340" t="s">
        <v>2989</v>
      </c>
      <c r="B3340" t="s">
        <v>2944</v>
      </c>
      <c r="C3340" t="s">
        <v>2888</v>
      </c>
      <c r="F3340" s="898" t="str">
        <f ca="1">'Action POLLEC 5'!B83</f>
        <v>-</v>
      </c>
    </row>
    <row r="3341" spans="1:6">
      <c r="A3341" t="s">
        <v>2989</v>
      </c>
      <c r="B3341" t="s">
        <v>2944</v>
      </c>
      <c r="C3341" t="s">
        <v>2889</v>
      </c>
      <c r="F3341" s="898" t="str">
        <f ca="1">'Action POLLEC 5'!B84</f>
        <v>-</v>
      </c>
    </row>
    <row r="3342" spans="1:6">
      <c r="A3342" t="s">
        <v>2989</v>
      </c>
      <c r="B3342" t="s">
        <v>2944</v>
      </c>
      <c r="C3342" t="s">
        <v>2890</v>
      </c>
      <c r="F3342" s="898" t="str">
        <f ca="1">'Action POLLEC 5'!B85</f>
        <v>-</v>
      </c>
    </row>
    <row r="3343" spans="1:6">
      <c r="A3343" t="s">
        <v>2989</v>
      </c>
      <c r="B3343" t="s">
        <v>2944</v>
      </c>
      <c r="C3343" t="s">
        <v>2891</v>
      </c>
      <c r="F3343" s="898" t="str">
        <f ca="1">'Action POLLEC 5'!B86</f>
        <v>-</v>
      </c>
    </row>
    <row r="3344" spans="1:6">
      <c r="A3344" t="s">
        <v>2989</v>
      </c>
      <c r="B3344" t="s">
        <v>2944</v>
      </c>
      <c r="C3344" t="s">
        <v>3026</v>
      </c>
      <c r="F3344" s="898">
        <f>'Action POLLEC 5'!B87</f>
        <v>0</v>
      </c>
    </row>
    <row r="3345" spans="1:6">
      <c r="A3345" t="s">
        <v>2989</v>
      </c>
      <c r="B3345" t="s">
        <v>2944</v>
      </c>
      <c r="C3345" t="s">
        <v>3027</v>
      </c>
      <c r="F3345" s="898">
        <f>'Action POLLEC 5'!B88</f>
        <v>0</v>
      </c>
    </row>
    <row r="3346" spans="1:6">
      <c r="A3346" t="s">
        <v>2989</v>
      </c>
      <c r="B3346" t="s">
        <v>2944</v>
      </c>
      <c r="C3346" t="s">
        <v>3028</v>
      </c>
      <c r="F3346" s="898">
        <f>'Action POLLEC 5'!B89</f>
        <v>0</v>
      </c>
    </row>
    <row r="3347" spans="1:6">
      <c r="A3347" t="s">
        <v>2989</v>
      </c>
      <c r="B3347" t="s">
        <v>2944</v>
      </c>
      <c r="C3347" t="s">
        <v>3029</v>
      </c>
      <c r="F3347" s="898">
        <f>'Action POLLEC 5'!B90</f>
        <v>0</v>
      </c>
    </row>
    <row r="3348" spans="1:6">
      <c r="A3348" t="s">
        <v>2989</v>
      </c>
      <c r="B3348" t="s">
        <v>2944</v>
      </c>
      <c r="C3348" t="s">
        <v>3030</v>
      </c>
      <c r="F3348" s="898">
        <f>'Action POLLEC 5'!B91</f>
        <v>0</v>
      </c>
    </row>
    <row r="3349" spans="1:6">
      <c r="A3349" t="s">
        <v>2989</v>
      </c>
      <c r="B3349" t="s">
        <v>2944</v>
      </c>
      <c r="C3349" t="s">
        <v>3031</v>
      </c>
      <c r="F3349" s="898">
        <f>'Action POLLEC 5'!B92</f>
        <v>0</v>
      </c>
    </row>
    <row r="3350" spans="1:6">
      <c r="A3350" t="s">
        <v>2989</v>
      </c>
      <c r="B3350" t="s">
        <v>2944</v>
      </c>
      <c r="C3350" t="s">
        <v>3032</v>
      </c>
      <c r="F3350" s="898">
        <f>'Action POLLEC 5'!B93</f>
        <v>0</v>
      </c>
    </row>
    <row r="3351" spans="1:6">
      <c r="A3351" t="s">
        <v>2989</v>
      </c>
      <c r="B3351" t="s">
        <v>2944</v>
      </c>
      <c r="C3351" t="s">
        <v>3033</v>
      </c>
      <c r="F3351" s="898">
        <f>'Action POLLEC 5'!B94</f>
        <v>0</v>
      </c>
    </row>
    <row r="3352" spans="1:6">
      <c r="A3352" t="s">
        <v>2989</v>
      </c>
      <c r="B3352" t="s">
        <v>2944</v>
      </c>
      <c r="C3352" t="s">
        <v>3034</v>
      </c>
      <c r="F3352" s="898">
        <f>'Action POLLEC 5'!B95</f>
        <v>0</v>
      </c>
    </row>
    <row r="3353" spans="1:6">
      <c r="A3353" t="s">
        <v>2989</v>
      </c>
      <c r="B3353" t="s">
        <v>2944</v>
      </c>
      <c r="C3353" t="s">
        <v>3035</v>
      </c>
      <c r="F3353" s="898">
        <f>'Action POLLEC 5'!B96</f>
        <v>0</v>
      </c>
    </row>
    <row r="3354" spans="1:6">
      <c r="A3354" t="s">
        <v>2989</v>
      </c>
      <c r="B3354" t="s">
        <v>2944</v>
      </c>
      <c r="C3354" t="s">
        <v>2892</v>
      </c>
      <c r="F3354" s="898">
        <f>'Action POLLEC 5'!C77</f>
        <v>0</v>
      </c>
    </row>
    <row r="3355" spans="1:6">
      <c r="A3355" t="s">
        <v>2989</v>
      </c>
      <c r="B3355" t="s">
        <v>2944</v>
      </c>
      <c r="C3355" t="s">
        <v>2893</v>
      </c>
      <c r="F3355" s="898">
        <f>'Action POLLEC 5'!C78</f>
        <v>0</v>
      </c>
    </row>
    <row r="3356" spans="1:6">
      <c r="A3356" t="s">
        <v>2989</v>
      </c>
      <c r="B3356" t="s">
        <v>2944</v>
      </c>
      <c r="C3356" t="s">
        <v>2894</v>
      </c>
      <c r="F3356" s="898">
        <f>'Action POLLEC 5'!C79</f>
        <v>0</v>
      </c>
    </row>
    <row r="3357" spans="1:6">
      <c r="A3357" t="s">
        <v>2989</v>
      </c>
      <c r="B3357" t="s">
        <v>2944</v>
      </c>
      <c r="C3357" t="s">
        <v>2895</v>
      </c>
      <c r="F3357" s="898">
        <f>'Action POLLEC 5'!C80</f>
        <v>0</v>
      </c>
    </row>
    <row r="3358" spans="1:6">
      <c r="A3358" t="s">
        <v>2989</v>
      </c>
      <c r="B3358" t="s">
        <v>2944</v>
      </c>
      <c r="C3358" t="s">
        <v>2896</v>
      </c>
      <c r="F3358" s="898">
        <f>'Action POLLEC 5'!C81</f>
        <v>0</v>
      </c>
    </row>
    <row r="3359" spans="1:6">
      <c r="A3359" t="s">
        <v>2989</v>
      </c>
      <c r="B3359" t="s">
        <v>2944</v>
      </c>
      <c r="C3359" t="s">
        <v>2897</v>
      </c>
      <c r="F3359" s="898">
        <f>'Action POLLEC 5'!C82</f>
        <v>0</v>
      </c>
    </row>
    <row r="3360" spans="1:6">
      <c r="A3360" t="s">
        <v>2989</v>
      </c>
      <c r="B3360" t="s">
        <v>2944</v>
      </c>
      <c r="C3360" t="s">
        <v>2898</v>
      </c>
      <c r="F3360" s="898">
        <f>'Action POLLEC 5'!C83</f>
        <v>0</v>
      </c>
    </row>
    <row r="3361" spans="1:6">
      <c r="A3361" t="s">
        <v>2989</v>
      </c>
      <c r="B3361" t="s">
        <v>2944</v>
      </c>
      <c r="C3361" t="s">
        <v>2899</v>
      </c>
      <c r="F3361" s="898">
        <f>'Action POLLEC 5'!C84</f>
        <v>0</v>
      </c>
    </row>
    <row r="3362" spans="1:6">
      <c r="A3362" t="s">
        <v>2989</v>
      </c>
      <c r="B3362" t="s">
        <v>2944</v>
      </c>
      <c r="C3362" t="s">
        <v>2900</v>
      </c>
      <c r="F3362" s="898">
        <f>'Action POLLEC 5'!C85</f>
        <v>0</v>
      </c>
    </row>
    <row r="3363" spans="1:6">
      <c r="A3363" t="s">
        <v>2989</v>
      </c>
      <c r="B3363" t="s">
        <v>2944</v>
      </c>
      <c r="C3363" t="s">
        <v>2901</v>
      </c>
      <c r="F3363" s="898">
        <f>'Action POLLEC 5'!C86</f>
        <v>0</v>
      </c>
    </row>
    <row r="3364" spans="1:6">
      <c r="A3364" t="s">
        <v>2989</v>
      </c>
      <c r="B3364" t="s">
        <v>2944</v>
      </c>
      <c r="C3364" t="s">
        <v>3036</v>
      </c>
      <c r="F3364" s="898">
        <f>'Action POLLEC 5'!C87</f>
        <v>0</v>
      </c>
    </row>
    <row r="3365" spans="1:6">
      <c r="A3365" t="s">
        <v>2989</v>
      </c>
      <c r="B3365" t="s">
        <v>2944</v>
      </c>
      <c r="C3365" t="s">
        <v>3037</v>
      </c>
      <c r="F3365" s="898">
        <f>'Action POLLEC 5'!C88</f>
        <v>0</v>
      </c>
    </row>
    <row r="3366" spans="1:6">
      <c r="A3366" t="s">
        <v>2989</v>
      </c>
      <c r="B3366" t="s">
        <v>2944</v>
      </c>
      <c r="C3366" t="s">
        <v>3038</v>
      </c>
      <c r="F3366" s="898">
        <f>'Action POLLEC 5'!C89</f>
        <v>0</v>
      </c>
    </row>
    <row r="3367" spans="1:6">
      <c r="A3367" t="s">
        <v>2989</v>
      </c>
      <c r="B3367" t="s">
        <v>2944</v>
      </c>
      <c r="C3367" t="s">
        <v>3039</v>
      </c>
      <c r="F3367" s="898">
        <f>'Action POLLEC 5'!C90</f>
        <v>0</v>
      </c>
    </row>
    <row r="3368" spans="1:6">
      <c r="A3368" t="s">
        <v>2989</v>
      </c>
      <c r="B3368" t="s">
        <v>2944</v>
      </c>
      <c r="C3368" t="s">
        <v>3040</v>
      </c>
      <c r="F3368" s="898">
        <f>'Action POLLEC 5'!C91</f>
        <v>0</v>
      </c>
    </row>
    <row r="3369" spans="1:6">
      <c r="A3369" t="s">
        <v>2989</v>
      </c>
      <c r="B3369" t="s">
        <v>2944</v>
      </c>
      <c r="C3369" t="s">
        <v>3041</v>
      </c>
      <c r="F3369" s="898">
        <f>'Action POLLEC 5'!C92</f>
        <v>0</v>
      </c>
    </row>
    <row r="3370" spans="1:6">
      <c r="A3370" t="s">
        <v>2989</v>
      </c>
      <c r="B3370" t="s">
        <v>2944</v>
      </c>
      <c r="C3370" t="s">
        <v>3042</v>
      </c>
      <c r="F3370" s="898">
        <f>'Action POLLEC 5'!C93</f>
        <v>0</v>
      </c>
    </row>
    <row r="3371" spans="1:6">
      <c r="A3371" t="s">
        <v>2989</v>
      </c>
      <c r="B3371" t="s">
        <v>2944</v>
      </c>
      <c r="C3371" t="s">
        <v>3043</v>
      </c>
      <c r="F3371" s="898">
        <f>'Action POLLEC 5'!C94</f>
        <v>0</v>
      </c>
    </row>
    <row r="3372" spans="1:6">
      <c r="A3372" t="s">
        <v>2989</v>
      </c>
      <c r="B3372" t="s">
        <v>2944</v>
      </c>
      <c r="C3372" t="s">
        <v>3044</v>
      </c>
      <c r="F3372" s="898">
        <f>'Action POLLEC 5'!C95</f>
        <v>0</v>
      </c>
    </row>
    <row r="3373" spans="1:6">
      <c r="A3373" t="s">
        <v>2989</v>
      </c>
      <c r="B3373" t="s">
        <v>2944</v>
      </c>
      <c r="C3373" t="s">
        <v>3045</v>
      </c>
      <c r="F3373" s="898">
        <f>'Action POLLEC 5'!C96</f>
        <v>0</v>
      </c>
    </row>
    <row r="3374" spans="1:6">
      <c r="A3374" t="s">
        <v>2989</v>
      </c>
      <c r="B3374" t="s">
        <v>2944</v>
      </c>
      <c r="C3374" t="s">
        <v>2902</v>
      </c>
      <c r="F3374" s="898" t="str">
        <f ca="1">'Action POLLEC 5'!D77</f>
        <v>-</v>
      </c>
    </row>
    <row r="3375" spans="1:6">
      <c r="A3375" t="s">
        <v>2989</v>
      </c>
      <c r="B3375" t="s">
        <v>2944</v>
      </c>
      <c r="C3375" t="s">
        <v>2903</v>
      </c>
      <c r="F3375" s="898" t="str">
        <f ca="1">'Action POLLEC 5'!D78</f>
        <v>-</v>
      </c>
    </row>
    <row r="3376" spans="1:6">
      <c r="A3376" t="s">
        <v>2989</v>
      </c>
      <c r="B3376" t="s">
        <v>2944</v>
      </c>
      <c r="C3376" t="s">
        <v>2904</v>
      </c>
      <c r="F3376" s="898" t="str">
        <f ca="1">'Action POLLEC 5'!D79</f>
        <v>-</v>
      </c>
    </row>
    <row r="3377" spans="1:6">
      <c r="A3377" t="s">
        <v>2989</v>
      </c>
      <c r="B3377" t="s">
        <v>2944</v>
      </c>
      <c r="C3377" t="s">
        <v>2905</v>
      </c>
      <c r="F3377" s="898" t="str">
        <f ca="1">'Action POLLEC 5'!D80</f>
        <v>-</v>
      </c>
    </row>
    <row r="3378" spans="1:6">
      <c r="A3378" t="s">
        <v>2989</v>
      </c>
      <c r="B3378" t="s">
        <v>2944</v>
      </c>
      <c r="C3378" t="s">
        <v>2906</v>
      </c>
      <c r="F3378" s="898" t="str">
        <f ca="1">'Action POLLEC 5'!D81</f>
        <v>-</v>
      </c>
    </row>
    <row r="3379" spans="1:6">
      <c r="A3379" t="s">
        <v>2989</v>
      </c>
      <c r="B3379" t="s">
        <v>2944</v>
      </c>
      <c r="C3379" t="s">
        <v>2907</v>
      </c>
      <c r="F3379" s="898" t="str">
        <f ca="1">'Action POLLEC 5'!D82</f>
        <v>-</v>
      </c>
    </row>
    <row r="3380" spans="1:6">
      <c r="A3380" t="s">
        <v>2989</v>
      </c>
      <c r="B3380" t="s">
        <v>2944</v>
      </c>
      <c r="C3380" t="s">
        <v>2908</v>
      </c>
      <c r="F3380" s="898" t="str">
        <f ca="1">'Action POLLEC 5'!D83</f>
        <v>-</v>
      </c>
    </row>
    <row r="3381" spans="1:6">
      <c r="A3381" t="s">
        <v>2989</v>
      </c>
      <c r="B3381" t="s">
        <v>2944</v>
      </c>
      <c r="C3381" t="s">
        <v>2909</v>
      </c>
      <c r="F3381" s="898" t="str">
        <f ca="1">'Action POLLEC 5'!D84</f>
        <v>-</v>
      </c>
    </row>
    <row r="3382" spans="1:6">
      <c r="A3382" t="s">
        <v>2989</v>
      </c>
      <c r="B3382" t="s">
        <v>2944</v>
      </c>
      <c r="C3382" t="s">
        <v>2910</v>
      </c>
      <c r="F3382" s="898" t="str">
        <f ca="1">'Action POLLEC 5'!D85</f>
        <v>-</v>
      </c>
    </row>
    <row r="3383" spans="1:6">
      <c r="A3383" t="s">
        <v>2989</v>
      </c>
      <c r="B3383" t="s">
        <v>2944</v>
      </c>
      <c r="C3383" t="s">
        <v>2911</v>
      </c>
      <c r="F3383" s="898" t="str">
        <f ca="1">'Action POLLEC 5'!D86</f>
        <v>-</v>
      </c>
    </row>
    <row r="3384" spans="1:6">
      <c r="A3384" t="s">
        <v>2989</v>
      </c>
      <c r="B3384" t="s">
        <v>2944</v>
      </c>
      <c r="C3384" t="s">
        <v>3046</v>
      </c>
      <c r="F3384" s="898">
        <f>'Action POLLEC 5'!D87</f>
        <v>0</v>
      </c>
    </row>
    <row r="3385" spans="1:6">
      <c r="A3385" t="s">
        <v>2989</v>
      </c>
      <c r="B3385" t="s">
        <v>2944</v>
      </c>
      <c r="C3385" t="s">
        <v>3047</v>
      </c>
      <c r="F3385" s="898">
        <f>'Action POLLEC 5'!D88</f>
        <v>0</v>
      </c>
    </row>
    <row r="3386" spans="1:6">
      <c r="A3386" t="s">
        <v>2989</v>
      </c>
      <c r="B3386" t="s">
        <v>2944</v>
      </c>
      <c r="C3386" t="s">
        <v>3048</v>
      </c>
      <c r="F3386" s="898">
        <f>'Action POLLEC 5'!D89</f>
        <v>0</v>
      </c>
    </row>
    <row r="3387" spans="1:6">
      <c r="A3387" t="s">
        <v>2989</v>
      </c>
      <c r="B3387" t="s">
        <v>2944</v>
      </c>
      <c r="C3387" t="s">
        <v>3049</v>
      </c>
      <c r="F3387" s="898">
        <f>'Action POLLEC 5'!D90</f>
        <v>0</v>
      </c>
    </row>
    <row r="3388" spans="1:6">
      <c r="A3388" t="s">
        <v>2989</v>
      </c>
      <c r="B3388" t="s">
        <v>2944</v>
      </c>
      <c r="C3388" t="s">
        <v>3050</v>
      </c>
      <c r="F3388" s="898">
        <f>'Action POLLEC 5'!D91</f>
        <v>0</v>
      </c>
    </row>
    <row r="3389" spans="1:6">
      <c r="A3389" t="s">
        <v>2989</v>
      </c>
      <c r="B3389" t="s">
        <v>2944</v>
      </c>
      <c r="C3389" t="s">
        <v>3051</v>
      </c>
      <c r="F3389" s="898">
        <f>'Action POLLEC 5'!D92</f>
        <v>0</v>
      </c>
    </row>
    <row r="3390" spans="1:6">
      <c r="A3390" t="s">
        <v>2989</v>
      </c>
      <c r="B3390" t="s">
        <v>2944</v>
      </c>
      <c r="C3390" t="s">
        <v>3052</v>
      </c>
      <c r="F3390" s="898">
        <f>'Action POLLEC 5'!D93</f>
        <v>0</v>
      </c>
    </row>
    <row r="3391" spans="1:6">
      <c r="A3391" t="s">
        <v>2989</v>
      </c>
      <c r="B3391" t="s">
        <v>2944</v>
      </c>
      <c r="C3391" t="s">
        <v>3053</v>
      </c>
      <c r="F3391" s="898">
        <f>'Action POLLEC 5'!D94</f>
        <v>0</v>
      </c>
    </row>
    <row r="3392" spans="1:6">
      <c r="A3392" t="s">
        <v>2989</v>
      </c>
      <c r="B3392" t="s">
        <v>2944</v>
      </c>
      <c r="C3392" t="s">
        <v>3054</v>
      </c>
      <c r="F3392" s="898">
        <f>'Action POLLEC 5'!D95</f>
        <v>0</v>
      </c>
    </row>
    <row r="3393" spans="1:6">
      <c r="A3393" t="s">
        <v>2989</v>
      </c>
      <c r="B3393" t="s">
        <v>2944</v>
      </c>
      <c r="C3393" t="s">
        <v>3055</v>
      </c>
      <c r="F3393" s="898">
        <f>'Action POLLEC 5'!D96</f>
        <v>0</v>
      </c>
    </row>
    <row r="3394" spans="1:6">
      <c r="A3394" t="s">
        <v>2989</v>
      </c>
      <c r="B3394" t="s">
        <v>2944</v>
      </c>
      <c r="C3394" t="s">
        <v>2866</v>
      </c>
      <c r="F3394" s="898" t="str">
        <f ca="1">'Action POLLEC 5'!E77</f>
        <v/>
      </c>
    </row>
    <row r="3395" spans="1:6">
      <c r="A3395" t="s">
        <v>2989</v>
      </c>
      <c r="B3395" t="s">
        <v>2944</v>
      </c>
      <c r="C3395" t="s">
        <v>2867</v>
      </c>
      <c r="F3395" s="898" t="str">
        <f ca="1">'Action POLLEC 5'!E78</f>
        <v/>
      </c>
    </row>
    <row r="3396" spans="1:6">
      <c r="A3396" t="s">
        <v>2989</v>
      </c>
      <c r="B3396" t="s">
        <v>2944</v>
      </c>
      <c r="C3396" t="s">
        <v>2868</v>
      </c>
      <c r="F3396" s="898" t="str">
        <f ca="1">'Action POLLEC 5'!E79</f>
        <v/>
      </c>
    </row>
    <row r="3397" spans="1:6">
      <c r="A3397" t="s">
        <v>2989</v>
      </c>
      <c r="B3397" t="s">
        <v>2944</v>
      </c>
      <c r="C3397" t="s">
        <v>2869</v>
      </c>
      <c r="F3397" s="898" t="str">
        <f ca="1">'Action POLLEC 5'!E80</f>
        <v/>
      </c>
    </row>
    <row r="3398" spans="1:6">
      <c r="A3398" t="s">
        <v>2989</v>
      </c>
      <c r="B3398" t="s">
        <v>2944</v>
      </c>
      <c r="C3398" t="s">
        <v>2870</v>
      </c>
      <c r="F3398" s="898" t="str">
        <f ca="1">'Action POLLEC 5'!E81</f>
        <v/>
      </c>
    </row>
    <row r="3399" spans="1:6">
      <c r="A3399" t="s">
        <v>2989</v>
      </c>
      <c r="B3399" t="s">
        <v>2944</v>
      </c>
      <c r="C3399" t="s">
        <v>2871</v>
      </c>
      <c r="F3399" s="898" t="str">
        <f ca="1">'Action POLLEC 5'!E82</f>
        <v/>
      </c>
    </row>
    <row r="3400" spans="1:6">
      <c r="A3400" t="s">
        <v>2989</v>
      </c>
      <c r="B3400" t="s">
        <v>2944</v>
      </c>
      <c r="C3400" t="s">
        <v>2872</v>
      </c>
      <c r="F3400" s="898" t="str">
        <f ca="1">'Action POLLEC 5'!E83</f>
        <v/>
      </c>
    </row>
    <row r="3401" spans="1:6">
      <c r="A3401" t="s">
        <v>2989</v>
      </c>
      <c r="B3401" t="s">
        <v>2944</v>
      </c>
      <c r="C3401" t="s">
        <v>2873</v>
      </c>
      <c r="F3401" s="898" t="str">
        <f ca="1">'Action POLLEC 5'!E84</f>
        <v/>
      </c>
    </row>
    <row r="3402" spans="1:6">
      <c r="A3402" t="s">
        <v>2989</v>
      </c>
      <c r="B3402" t="s">
        <v>2944</v>
      </c>
      <c r="C3402" t="s">
        <v>2912</v>
      </c>
      <c r="F3402" s="898" t="str">
        <f ca="1">'Action POLLEC 5'!E85</f>
        <v/>
      </c>
    </row>
    <row r="3403" spans="1:6">
      <c r="A3403" t="s">
        <v>2989</v>
      </c>
      <c r="B3403" t="s">
        <v>2944</v>
      </c>
      <c r="C3403" t="s">
        <v>2913</v>
      </c>
      <c r="F3403" s="898" t="str">
        <f ca="1">'Action POLLEC 5'!E86</f>
        <v/>
      </c>
    </row>
    <row r="3404" spans="1:6">
      <c r="A3404" t="s">
        <v>2989</v>
      </c>
      <c r="B3404" t="s">
        <v>2944</v>
      </c>
      <c r="C3404" t="s">
        <v>3014</v>
      </c>
      <c r="F3404" s="898">
        <f>'Action POLLEC 5'!E87</f>
        <v>0</v>
      </c>
    </row>
    <row r="3405" spans="1:6">
      <c r="A3405" t="s">
        <v>2989</v>
      </c>
      <c r="B3405" t="s">
        <v>2944</v>
      </c>
      <c r="C3405" t="s">
        <v>3015</v>
      </c>
      <c r="F3405" s="898">
        <f>'Action POLLEC 5'!E88</f>
        <v>0</v>
      </c>
    </row>
    <row r="3406" spans="1:6">
      <c r="A3406" t="s">
        <v>2989</v>
      </c>
      <c r="B3406" t="s">
        <v>2944</v>
      </c>
      <c r="C3406" t="s">
        <v>3016</v>
      </c>
      <c r="F3406" s="898">
        <f>'Action POLLEC 5'!E89</f>
        <v>0</v>
      </c>
    </row>
    <row r="3407" spans="1:6">
      <c r="A3407" t="s">
        <v>2989</v>
      </c>
      <c r="B3407" t="s">
        <v>2944</v>
      </c>
      <c r="C3407" t="s">
        <v>3017</v>
      </c>
      <c r="F3407" s="898">
        <f>'Action POLLEC 5'!E90</f>
        <v>0</v>
      </c>
    </row>
    <row r="3408" spans="1:6">
      <c r="A3408" t="s">
        <v>2989</v>
      </c>
      <c r="B3408" t="s">
        <v>2944</v>
      </c>
      <c r="C3408" t="s">
        <v>3018</v>
      </c>
      <c r="F3408" s="898">
        <f>'Action POLLEC 5'!E91</f>
        <v>0</v>
      </c>
    </row>
    <row r="3409" spans="1:6">
      <c r="A3409" t="s">
        <v>2989</v>
      </c>
      <c r="B3409" t="s">
        <v>2944</v>
      </c>
      <c r="C3409" t="s">
        <v>3056</v>
      </c>
      <c r="F3409" s="898">
        <f>'Action POLLEC 5'!E92</f>
        <v>0</v>
      </c>
    </row>
    <row r="3410" spans="1:6">
      <c r="A3410" t="s">
        <v>2989</v>
      </c>
      <c r="B3410" t="s">
        <v>2944</v>
      </c>
      <c r="C3410" t="s">
        <v>3057</v>
      </c>
      <c r="F3410" s="898">
        <f>'Action POLLEC 5'!E93</f>
        <v>0</v>
      </c>
    </row>
    <row r="3411" spans="1:6">
      <c r="A3411" t="s">
        <v>2989</v>
      </c>
      <c r="B3411" t="s">
        <v>2944</v>
      </c>
      <c r="C3411" t="s">
        <v>3058</v>
      </c>
      <c r="F3411" s="898">
        <f>'Action POLLEC 5'!E94</f>
        <v>0</v>
      </c>
    </row>
    <row r="3412" spans="1:6">
      <c r="A3412" t="s">
        <v>2989</v>
      </c>
      <c r="B3412" t="s">
        <v>2944</v>
      </c>
      <c r="C3412" t="s">
        <v>3059</v>
      </c>
      <c r="F3412" s="898">
        <f>'Action POLLEC 5'!E95</f>
        <v>0</v>
      </c>
    </row>
    <row r="3413" spans="1:6">
      <c r="A3413" t="s">
        <v>2989</v>
      </c>
      <c r="B3413" t="s">
        <v>2944</v>
      </c>
      <c r="C3413" t="s">
        <v>3060</v>
      </c>
      <c r="F3413" s="898">
        <f>'Action POLLEC 5'!E96</f>
        <v>0</v>
      </c>
    </row>
    <row r="3414" spans="1:6">
      <c r="A3414" t="s">
        <v>2989</v>
      </c>
      <c r="B3414" t="s">
        <v>2944</v>
      </c>
      <c r="C3414" t="s">
        <v>2914</v>
      </c>
      <c r="F3414" s="898">
        <f>'Action POLLEC 5'!F77</f>
        <v>0</v>
      </c>
    </row>
    <row r="3415" spans="1:6">
      <c r="A3415" t="s">
        <v>2989</v>
      </c>
      <c r="B3415" t="s">
        <v>2944</v>
      </c>
      <c r="C3415" t="s">
        <v>2915</v>
      </c>
      <c r="F3415" s="898">
        <f>'Action POLLEC 5'!F78</f>
        <v>0</v>
      </c>
    </row>
    <row r="3416" spans="1:6">
      <c r="A3416" t="s">
        <v>2989</v>
      </c>
      <c r="B3416" t="s">
        <v>2944</v>
      </c>
      <c r="C3416" t="s">
        <v>2916</v>
      </c>
      <c r="F3416" s="898">
        <f>'Action POLLEC 5'!F79</f>
        <v>0</v>
      </c>
    </row>
    <row r="3417" spans="1:6">
      <c r="A3417" t="s">
        <v>2989</v>
      </c>
      <c r="B3417" t="s">
        <v>2944</v>
      </c>
      <c r="C3417" t="s">
        <v>2917</v>
      </c>
      <c r="F3417" s="898">
        <f>'Action POLLEC 5'!F80</f>
        <v>0</v>
      </c>
    </row>
    <row r="3418" spans="1:6">
      <c r="A3418" t="s">
        <v>2989</v>
      </c>
      <c r="B3418" t="s">
        <v>2944</v>
      </c>
      <c r="C3418" t="s">
        <v>2918</v>
      </c>
      <c r="F3418" s="898">
        <f>'Action POLLEC 5'!F81</f>
        <v>0</v>
      </c>
    </row>
    <row r="3419" spans="1:6">
      <c r="A3419" t="s">
        <v>2989</v>
      </c>
      <c r="B3419" t="s">
        <v>2944</v>
      </c>
      <c r="C3419" t="s">
        <v>2919</v>
      </c>
      <c r="F3419" s="898">
        <f>'Action POLLEC 5'!F82</f>
        <v>0</v>
      </c>
    </row>
    <row r="3420" spans="1:6">
      <c r="A3420" t="s">
        <v>2989</v>
      </c>
      <c r="B3420" t="s">
        <v>2944</v>
      </c>
      <c r="C3420" t="s">
        <v>2920</v>
      </c>
      <c r="F3420" s="898">
        <f>'Action POLLEC 5'!F83</f>
        <v>0</v>
      </c>
    </row>
    <row r="3421" spans="1:6">
      <c r="A3421" t="s">
        <v>2989</v>
      </c>
      <c r="B3421" t="s">
        <v>2944</v>
      </c>
      <c r="C3421" t="s">
        <v>2921</v>
      </c>
      <c r="F3421" s="898">
        <f>'Action POLLEC 5'!F84</f>
        <v>0</v>
      </c>
    </row>
    <row r="3422" spans="1:6">
      <c r="A3422" t="s">
        <v>2989</v>
      </c>
      <c r="B3422" t="s">
        <v>2944</v>
      </c>
      <c r="C3422" t="s">
        <v>2922</v>
      </c>
      <c r="F3422" s="898">
        <f>'Action POLLEC 5'!F85</f>
        <v>0</v>
      </c>
    </row>
    <row r="3423" spans="1:6">
      <c r="A3423" t="s">
        <v>2989</v>
      </c>
      <c r="B3423" t="s">
        <v>2944</v>
      </c>
      <c r="C3423" t="s">
        <v>2923</v>
      </c>
      <c r="F3423" s="898">
        <f>'Action POLLEC 5'!F86</f>
        <v>0</v>
      </c>
    </row>
    <row r="3424" spans="1:6">
      <c r="A3424" t="s">
        <v>2989</v>
      </c>
      <c r="B3424" t="s">
        <v>2944</v>
      </c>
      <c r="C3424" t="s">
        <v>3061</v>
      </c>
      <c r="F3424" s="898">
        <f>'Action POLLEC 5'!F87</f>
        <v>0</v>
      </c>
    </row>
    <row r="3425" spans="1:6">
      <c r="A3425" t="s">
        <v>2989</v>
      </c>
      <c r="B3425" t="s">
        <v>2944</v>
      </c>
      <c r="C3425" t="s">
        <v>3062</v>
      </c>
      <c r="F3425" s="898">
        <f>'Action POLLEC 5'!F88</f>
        <v>0</v>
      </c>
    </row>
    <row r="3426" spans="1:6">
      <c r="A3426" t="s">
        <v>2989</v>
      </c>
      <c r="B3426" t="s">
        <v>2944</v>
      </c>
      <c r="C3426" t="s">
        <v>3063</v>
      </c>
      <c r="F3426" s="898">
        <f>'Action POLLEC 5'!F89</f>
        <v>0</v>
      </c>
    </row>
    <row r="3427" spans="1:6">
      <c r="A3427" t="s">
        <v>2989</v>
      </c>
      <c r="B3427" t="s">
        <v>2944</v>
      </c>
      <c r="C3427" t="s">
        <v>3064</v>
      </c>
      <c r="F3427" s="898">
        <f>'Action POLLEC 5'!F90</f>
        <v>0</v>
      </c>
    </row>
    <row r="3428" spans="1:6">
      <c r="A3428" t="s">
        <v>2989</v>
      </c>
      <c r="B3428" t="s">
        <v>2944</v>
      </c>
      <c r="C3428" t="s">
        <v>3065</v>
      </c>
      <c r="F3428" s="898">
        <f>'Action POLLEC 5'!F91</f>
        <v>0</v>
      </c>
    </row>
    <row r="3429" spans="1:6">
      <c r="A3429" t="s">
        <v>2989</v>
      </c>
      <c r="B3429" t="s">
        <v>2944</v>
      </c>
      <c r="C3429" t="s">
        <v>3066</v>
      </c>
      <c r="F3429" s="898">
        <f>'Action POLLEC 5'!F92</f>
        <v>0</v>
      </c>
    </row>
    <row r="3430" spans="1:6">
      <c r="A3430" t="s">
        <v>2989</v>
      </c>
      <c r="B3430" t="s">
        <v>2944</v>
      </c>
      <c r="C3430" t="s">
        <v>3067</v>
      </c>
      <c r="F3430" s="898">
        <f>'Action POLLEC 5'!F93</f>
        <v>0</v>
      </c>
    </row>
    <row r="3431" spans="1:6">
      <c r="A3431" t="s">
        <v>2989</v>
      </c>
      <c r="B3431" t="s">
        <v>2944</v>
      </c>
      <c r="C3431" t="s">
        <v>3068</v>
      </c>
      <c r="F3431" s="898">
        <f>'Action POLLEC 5'!F94</f>
        <v>0</v>
      </c>
    </row>
    <row r="3432" spans="1:6">
      <c r="A3432" t="s">
        <v>2989</v>
      </c>
      <c r="B3432" t="s">
        <v>2944</v>
      </c>
      <c r="C3432" t="s">
        <v>3069</v>
      </c>
      <c r="F3432" s="898">
        <f>'Action POLLEC 5'!F95</f>
        <v>0</v>
      </c>
    </row>
    <row r="3433" spans="1:6">
      <c r="A3433" t="s">
        <v>2989</v>
      </c>
      <c r="B3433" t="s">
        <v>2944</v>
      </c>
      <c r="C3433" t="s">
        <v>3070</v>
      </c>
      <c r="F3433" s="898">
        <f>'Action POLLEC 5'!F96</f>
        <v>0</v>
      </c>
    </row>
    <row r="3434" spans="1:6">
      <c r="A3434" t="s">
        <v>2989</v>
      </c>
      <c r="B3434" t="s">
        <v>2944</v>
      </c>
      <c r="C3434" t="s">
        <v>2924</v>
      </c>
      <c r="F3434" s="898">
        <f>'Action POLLEC 5'!G77</f>
        <v>0</v>
      </c>
    </row>
    <row r="3435" spans="1:6">
      <c r="A3435" t="s">
        <v>2989</v>
      </c>
      <c r="B3435" t="s">
        <v>2944</v>
      </c>
      <c r="C3435" t="s">
        <v>2925</v>
      </c>
      <c r="F3435" s="898">
        <f>'Action POLLEC 5'!G78</f>
        <v>0</v>
      </c>
    </row>
    <row r="3436" spans="1:6">
      <c r="A3436" t="s">
        <v>2989</v>
      </c>
      <c r="B3436" t="s">
        <v>2944</v>
      </c>
      <c r="C3436" t="s">
        <v>2926</v>
      </c>
      <c r="F3436" s="898">
        <f>'Action POLLEC 5'!G79</f>
        <v>0</v>
      </c>
    </row>
    <row r="3437" spans="1:6">
      <c r="A3437" t="s">
        <v>2989</v>
      </c>
      <c r="B3437" t="s">
        <v>2944</v>
      </c>
      <c r="C3437" t="s">
        <v>2927</v>
      </c>
      <c r="F3437" s="898">
        <f>'Action POLLEC 5'!G80</f>
        <v>0</v>
      </c>
    </row>
    <row r="3438" spans="1:6">
      <c r="A3438" t="s">
        <v>2989</v>
      </c>
      <c r="B3438" t="s">
        <v>2944</v>
      </c>
      <c r="C3438" t="s">
        <v>2928</v>
      </c>
      <c r="F3438" s="898">
        <f>'Action POLLEC 5'!G81</f>
        <v>0</v>
      </c>
    </row>
    <row r="3439" spans="1:6">
      <c r="A3439" t="s">
        <v>2989</v>
      </c>
      <c r="B3439" t="s">
        <v>2944</v>
      </c>
      <c r="C3439" t="s">
        <v>2929</v>
      </c>
      <c r="F3439" s="898">
        <f>'Action POLLEC 5'!G82</f>
        <v>0</v>
      </c>
    </row>
    <row r="3440" spans="1:6">
      <c r="A3440" t="s">
        <v>2989</v>
      </c>
      <c r="B3440" t="s">
        <v>2944</v>
      </c>
      <c r="C3440" t="s">
        <v>2930</v>
      </c>
      <c r="F3440" s="898">
        <f>'Action POLLEC 5'!G83</f>
        <v>0</v>
      </c>
    </row>
    <row r="3441" spans="1:6">
      <c r="A3441" t="s">
        <v>2989</v>
      </c>
      <c r="B3441" t="s">
        <v>2944</v>
      </c>
      <c r="C3441" t="s">
        <v>2931</v>
      </c>
      <c r="F3441" s="898">
        <f>'Action POLLEC 5'!G84</f>
        <v>0</v>
      </c>
    </row>
    <row r="3442" spans="1:6">
      <c r="A3442" t="s">
        <v>2989</v>
      </c>
      <c r="B3442" t="s">
        <v>2944</v>
      </c>
      <c r="C3442" t="s">
        <v>2932</v>
      </c>
      <c r="F3442" s="898">
        <f>'Action POLLEC 5'!G85</f>
        <v>0</v>
      </c>
    </row>
    <row r="3443" spans="1:6">
      <c r="A3443" t="s">
        <v>2989</v>
      </c>
      <c r="B3443" t="s">
        <v>2944</v>
      </c>
      <c r="C3443" t="s">
        <v>2933</v>
      </c>
      <c r="F3443" s="898">
        <f>'Action POLLEC 5'!G86</f>
        <v>0</v>
      </c>
    </row>
    <row r="3444" spans="1:6">
      <c r="A3444" t="s">
        <v>2989</v>
      </c>
      <c r="B3444" t="s">
        <v>2944</v>
      </c>
      <c r="C3444" t="s">
        <v>3071</v>
      </c>
      <c r="F3444" s="898">
        <f>'Action POLLEC 5'!G87</f>
        <v>0</v>
      </c>
    </row>
    <row r="3445" spans="1:6">
      <c r="A3445" t="s">
        <v>2989</v>
      </c>
      <c r="B3445" t="s">
        <v>2944</v>
      </c>
      <c r="C3445" t="s">
        <v>3072</v>
      </c>
      <c r="F3445" s="898">
        <f>'Action POLLEC 5'!G88</f>
        <v>0</v>
      </c>
    </row>
    <row r="3446" spans="1:6">
      <c r="A3446" t="s">
        <v>2989</v>
      </c>
      <c r="B3446" t="s">
        <v>2944</v>
      </c>
      <c r="C3446" t="s">
        <v>3073</v>
      </c>
      <c r="F3446" s="898">
        <f>'Action POLLEC 5'!G89</f>
        <v>0</v>
      </c>
    </row>
    <row r="3447" spans="1:6">
      <c r="A3447" t="s">
        <v>2989</v>
      </c>
      <c r="B3447" t="s">
        <v>2944</v>
      </c>
      <c r="C3447" t="s">
        <v>3074</v>
      </c>
      <c r="F3447" s="898">
        <f>'Action POLLEC 5'!G90</f>
        <v>0</v>
      </c>
    </row>
    <row r="3448" spans="1:6">
      <c r="A3448" t="s">
        <v>2989</v>
      </c>
      <c r="B3448" t="s">
        <v>2944</v>
      </c>
      <c r="C3448" t="s">
        <v>3075</v>
      </c>
      <c r="F3448" s="898">
        <f>'Action POLLEC 5'!G91</f>
        <v>0</v>
      </c>
    </row>
    <row r="3449" spans="1:6">
      <c r="A3449" t="s">
        <v>2989</v>
      </c>
      <c r="B3449" t="s">
        <v>2944</v>
      </c>
      <c r="C3449" t="s">
        <v>3076</v>
      </c>
      <c r="F3449" s="898">
        <f>'Action POLLEC 5'!G92</f>
        <v>0</v>
      </c>
    </row>
    <row r="3450" spans="1:6">
      <c r="A3450" t="s">
        <v>2989</v>
      </c>
      <c r="B3450" t="s">
        <v>2944</v>
      </c>
      <c r="C3450" t="s">
        <v>3077</v>
      </c>
      <c r="F3450" s="898">
        <f>'Action POLLEC 5'!G93</f>
        <v>0</v>
      </c>
    </row>
    <row r="3451" spans="1:6">
      <c r="A3451" t="s">
        <v>2989</v>
      </c>
      <c r="B3451" t="s">
        <v>2944</v>
      </c>
      <c r="C3451" t="s">
        <v>3078</v>
      </c>
      <c r="F3451" s="898">
        <f>'Action POLLEC 5'!G94</f>
        <v>0</v>
      </c>
    </row>
    <row r="3452" spans="1:6">
      <c r="A3452" t="s">
        <v>2989</v>
      </c>
      <c r="B3452" t="s">
        <v>2944</v>
      </c>
      <c r="C3452" t="s">
        <v>3079</v>
      </c>
      <c r="F3452" s="898">
        <f>'Action POLLEC 5'!G95</f>
        <v>0</v>
      </c>
    </row>
    <row r="3453" spans="1:6">
      <c r="A3453" t="s">
        <v>2989</v>
      </c>
      <c r="B3453" t="s">
        <v>2944</v>
      </c>
      <c r="C3453" t="s">
        <v>3080</v>
      </c>
      <c r="F3453" s="898">
        <f>'Action POLLEC 5'!G96</f>
        <v>0</v>
      </c>
    </row>
    <row r="3454" spans="1:6">
      <c r="A3454" t="s">
        <v>2989</v>
      </c>
      <c r="B3454" t="s">
        <v>2944</v>
      </c>
      <c r="C3454" t="s">
        <v>2934</v>
      </c>
      <c r="F3454" s="898">
        <f>'Action POLLEC 5'!H77</f>
        <v>0</v>
      </c>
    </row>
    <row r="3455" spans="1:6">
      <c r="A3455" t="s">
        <v>2989</v>
      </c>
      <c r="B3455" t="s">
        <v>2944</v>
      </c>
      <c r="C3455" t="s">
        <v>2935</v>
      </c>
      <c r="F3455" s="898">
        <f>'Action POLLEC 5'!H78</f>
        <v>0</v>
      </c>
    </row>
    <row r="3456" spans="1:6">
      <c r="A3456" t="s">
        <v>2989</v>
      </c>
      <c r="B3456" t="s">
        <v>2944</v>
      </c>
      <c r="C3456" t="s">
        <v>2936</v>
      </c>
      <c r="F3456" s="898">
        <f>'Action POLLEC 5'!H79</f>
        <v>0</v>
      </c>
    </row>
    <row r="3457" spans="1:6">
      <c r="A3457" t="s">
        <v>2989</v>
      </c>
      <c r="B3457" t="s">
        <v>2944</v>
      </c>
      <c r="C3457" t="s">
        <v>2937</v>
      </c>
      <c r="F3457" s="898">
        <f>'Action POLLEC 5'!H80</f>
        <v>0</v>
      </c>
    </row>
    <row r="3458" spans="1:6">
      <c r="A3458" t="s">
        <v>2989</v>
      </c>
      <c r="B3458" t="s">
        <v>2944</v>
      </c>
      <c r="C3458" t="s">
        <v>2938</v>
      </c>
      <c r="F3458" s="898">
        <f>'Action POLLEC 5'!H81</f>
        <v>0</v>
      </c>
    </row>
    <row r="3459" spans="1:6">
      <c r="A3459" t="s">
        <v>2989</v>
      </c>
      <c r="B3459" t="s">
        <v>2944</v>
      </c>
      <c r="C3459" t="s">
        <v>2939</v>
      </c>
      <c r="F3459" s="898">
        <f>'Action POLLEC 5'!H82</f>
        <v>0</v>
      </c>
    </row>
    <row r="3460" spans="1:6">
      <c r="A3460" t="s">
        <v>2989</v>
      </c>
      <c r="B3460" t="s">
        <v>2944</v>
      </c>
      <c r="C3460" t="s">
        <v>2940</v>
      </c>
      <c r="F3460" s="898">
        <f>'Action POLLEC 5'!H83</f>
        <v>0</v>
      </c>
    </row>
    <row r="3461" spans="1:6">
      <c r="A3461" t="s">
        <v>2989</v>
      </c>
      <c r="B3461" t="s">
        <v>2944</v>
      </c>
      <c r="C3461" t="s">
        <v>2941</v>
      </c>
      <c r="F3461" s="898">
        <f>'Action POLLEC 5'!H84</f>
        <v>0</v>
      </c>
    </row>
    <row r="3462" spans="1:6">
      <c r="A3462" t="s">
        <v>2989</v>
      </c>
      <c r="B3462" t="s">
        <v>2944</v>
      </c>
      <c r="C3462" t="s">
        <v>2942</v>
      </c>
      <c r="F3462" s="898">
        <f>'Action POLLEC 5'!H85</f>
        <v>0</v>
      </c>
    </row>
    <row r="3463" spans="1:6">
      <c r="A3463" t="s">
        <v>2989</v>
      </c>
      <c r="B3463" t="s">
        <v>2944</v>
      </c>
      <c r="C3463" t="s">
        <v>2943</v>
      </c>
      <c r="F3463" s="898">
        <f>'Action POLLEC 5'!H86</f>
        <v>0</v>
      </c>
    </row>
    <row r="3464" spans="1:6">
      <c r="A3464" t="s">
        <v>2989</v>
      </c>
      <c r="B3464" t="s">
        <v>2944</v>
      </c>
      <c r="C3464" t="s">
        <v>3081</v>
      </c>
      <c r="F3464" s="898">
        <f>'Action POLLEC 5'!H87</f>
        <v>0</v>
      </c>
    </row>
    <row r="3465" spans="1:6">
      <c r="A3465" t="s">
        <v>2989</v>
      </c>
      <c r="B3465" t="s">
        <v>2944</v>
      </c>
      <c r="C3465" t="s">
        <v>3082</v>
      </c>
      <c r="F3465" s="898">
        <f>'Action POLLEC 5'!H88</f>
        <v>0</v>
      </c>
    </row>
    <row r="3466" spans="1:6">
      <c r="A3466" t="s">
        <v>2989</v>
      </c>
      <c r="B3466" t="s">
        <v>2944</v>
      </c>
      <c r="C3466" t="s">
        <v>3083</v>
      </c>
      <c r="F3466" s="898">
        <f>'Action POLLEC 5'!H89</f>
        <v>0</v>
      </c>
    </row>
    <row r="3467" spans="1:6">
      <c r="A3467" t="s">
        <v>2989</v>
      </c>
      <c r="B3467" t="s">
        <v>2944</v>
      </c>
      <c r="C3467" t="s">
        <v>3084</v>
      </c>
      <c r="F3467" s="898">
        <f>'Action POLLEC 5'!H90</f>
        <v>0</v>
      </c>
    </row>
    <row r="3468" spans="1:6">
      <c r="A3468" t="s">
        <v>2989</v>
      </c>
      <c r="B3468" t="s">
        <v>2944</v>
      </c>
      <c r="C3468" t="s">
        <v>3085</v>
      </c>
      <c r="F3468" s="898">
        <f>'Action POLLEC 5'!H91</f>
        <v>0</v>
      </c>
    </row>
    <row r="3469" spans="1:6">
      <c r="A3469" t="s">
        <v>2989</v>
      </c>
      <c r="B3469" t="s">
        <v>2944</v>
      </c>
      <c r="C3469" t="s">
        <v>3086</v>
      </c>
      <c r="F3469" s="898">
        <f>'Action POLLEC 5'!H92</f>
        <v>0</v>
      </c>
    </row>
    <row r="3470" spans="1:6">
      <c r="A3470" t="s">
        <v>2989</v>
      </c>
      <c r="B3470" t="s">
        <v>2944</v>
      </c>
      <c r="C3470" t="s">
        <v>3087</v>
      </c>
      <c r="F3470" s="898">
        <f>'Action POLLEC 5'!H93</f>
        <v>0</v>
      </c>
    </row>
    <row r="3471" spans="1:6">
      <c r="A3471" t="s">
        <v>2989</v>
      </c>
      <c r="B3471" t="s">
        <v>2944</v>
      </c>
      <c r="C3471" t="s">
        <v>3088</v>
      </c>
      <c r="F3471" s="898">
        <f>'Action POLLEC 5'!H94</f>
        <v>0</v>
      </c>
    </row>
    <row r="3472" spans="1:6">
      <c r="A3472" t="s">
        <v>2989</v>
      </c>
      <c r="B3472" t="s">
        <v>2944</v>
      </c>
      <c r="C3472" t="s">
        <v>3089</v>
      </c>
      <c r="F3472" s="898">
        <f>'Action POLLEC 5'!H95</f>
        <v>0</v>
      </c>
    </row>
    <row r="3473" spans="1:6">
      <c r="A3473" t="s">
        <v>2989</v>
      </c>
      <c r="B3473" t="s">
        <v>2944</v>
      </c>
      <c r="C3473" t="s">
        <v>3090</v>
      </c>
      <c r="F3473" s="898">
        <f>'Action POLLEC 5'!H96</f>
        <v>0</v>
      </c>
    </row>
    <row r="3474" spans="1:6">
      <c r="A3474" t="s">
        <v>2989</v>
      </c>
      <c r="B3474" t="s">
        <v>2945</v>
      </c>
      <c r="C3474" t="s">
        <v>2882</v>
      </c>
      <c r="F3474" s="898">
        <f>'Action POLLEC 5'!$B$101</f>
        <v>0</v>
      </c>
    </row>
    <row r="3475" spans="1:6">
      <c r="A3475" t="s">
        <v>2989</v>
      </c>
      <c r="B3475" t="s">
        <v>2945</v>
      </c>
      <c r="C3475" t="s">
        <v>2883</v>
      </c>
      <c r="F3475" s="898">
        <f>'Action POLLEC 5'!$B$102</f>
        <v>0</v>
      </c>
    </row>
    <row r="3476" spans="1:6">
      <c r="A3476" t="s">
        <v>2989</v>
      </c>
      <c r="B3476" t="s">
        <v>2945</v>
      </c>
      <c r="C3476" t="s">
        <v>2884</v>
      </c>
      <c r="F3476" s="898">
        <f>'Action POLLEC 5'!$B$103</f>
        <v>0</v>
      </c>
    </row>
    <row r="3477" spans="1:6">
      <c r="A3477" t="s">
        <v>2989</v>
      </c>
      <c r="B3477" t="s">
        <v>2945</v>
      </c>
      <c r="C3477" t="s">
        <v>2885</v>
      </c>
      <c r="F3477" s="898">
        <f>'Action POLLEC 5'!$B$104</f>
        <v>0</v>
      </c>
    </row>
    <row r="3478" spans="1:6">
      <c r="A3478" t="s">
        <v>2989</v>
      </c>
      <c r="B3478" t="s">
        <v>2945</v>
      </c>
      <c r="C3478" t="s">
        <v>2886</v>
      </c>
      <c r="F3478" s="898">
        <f>'Action POLLEC 5'!$B$105</f>
        <v>0</v>
      </c>
    </row>
    <row r="3479" spans="1:6">
      <c r="A3479" t="s">
        <v>2989</v>
      </c>
      <c r="B3479" t="s">
        <v>2945</v>
      </c>
      <c r="C3479" t="s">
        <v>2887</v>
      </c>
      <c r="F3479" s="898">
        <f>'Action POLLEC 5'!$B$106</f>
        <v>0</v>
      </c>
    </row>
    <row r="3480" spans="1:6">
      <c r="A3480" t="s">
        <v>2989</v>
      </c>
      <c r="B3480" t="s">
        <v>2945</v>
      </c>
      <c r="C3480" t="s">
        <v>2888</v>
      </c>
      <c r="F3480" s="898">
        <f>'Action POLLEC 5'!$B$107</f>
        <v>0</v>
      </c>
    </row>
    <row r="3481" spans="1:6">
      <c r="A3481" t="s">
        <v>2989</v>
      </c>
      <c r="B3481" t="s">
        <v>2945</v>
      </c>
      <c r="C3481" t="s">
        <v>2889</v>
      </c>
      <c r="F3481" s="898">
        <f>'Action POLLEC 5'!$B$108</f>
        <v>0</v>
      </c>
    </row>
    <row r="3482" spans="1:6">
      <c r="A3482" t="s">
        <v>2989</v>
      </c>
      <c r="B3482" t="s">
        <v>2945</v>
      </c>
      <c r="C3482" t="s">
        <v>2890</v>
      </c>
      <c r="F3482" s="898">
        <f>'Action POLLEC 5'!$B$109</f>
        <v>0</v>
      </c>
    </row>
    <row r="3483" spans="1:6">
      <c r="A3483" t="s">
        <v>2989</v>
      </c>
      <c r="B3483" t="s">
        <v>2945</v>
      </c>
      <c r="C3483" t="s">
        <v>2891</v>
      </c>
      <c r="F3483" s="898">
        <f>'Action POLLEC 5'!$B$110</f>
        <v>0</v>
      </c>
    </row>
    <row r="3484" spans="1:6">
      <c r="A3484" t="s">
        <v>2989</v>
      </c>
      <c r="B3484" t="s">
        <v>2945</v>
      </c>
      <c r="C3484" t="s">
        <v>2946</v>
      </c>
      <c r="F3484" s="898">
        <f>'Action POLLEC 5'!$C$101</f>
        <v>0</v>
      </c>
    </row>
    <row r="3485" spans="1:6">
      <c r="A3485" t="s">
        <v>2989</v>
      </c>
      <c r="B3485" t="s">
        <v>2945</v>
      </c>
      <c r="C3485" t="s">
        <v>2947</v>
      </c>
      <c r="F3485" s="898">
        <f>'Action POLLEC 5'!$C$102</f>
        <v>0</v>
      </c>
    </row>
    <row r="3486" spans="1:6">
      <c r="A3486" t="s">
        <v>2989</v>
      </c>
      <c r="B3486" t="s">
        <v>2945</v>
      </c>
      <c r="C3486" t="s">
        <v>2948</v>
      </c>
      <c r="F3486" s="898">
        <f>'Action POLLEC 5'!$C$103</f>
        <v>0</v>
      </c>
    </row>
    <row r="3487" spans="1:6">
      <c r="A3487" t="s">
        <v>2989</v>
      </c>
      <c r="B3487" t="s">
        <v>2945</v>
      </c>
      <c r="C3487" t="s">
        <v>2949</v>
      </c>
      <c r="F3487" s="898">
        <f>'Action POLLEC 5'!$C$104</f>
        <v>0</v>
      </c>
    </row>
    <row r="3488" spans="1:6">
      <c r="A3488" t="s">
        <v>2989</v>
      </c>
      <c r="B3488" t="s">
        <v>2945</v>
      </c>
      <c r="C3488" t="s">
        <v>2950</v>
      </c>
      <c r="F3488" s="898">
        <f>'Action POLLEC 5'!$C$105</f>
        <v>0</v>
      </c>
    </row>
    <row r="3489" spans="1:6">
      <c r="A3489" t="s">
        <v>2989</v>
      </c>
      <c r="B3489" t="s">
        <v>2945</v>
      </c>
      <c r="C3489" t="s">
        <v>2951</v>
      </c>
      <c r="F3489" s="898">
        <f>'Action POLLEC 5'!$C$106</f>
        <v>0</v>
      </c>
    </row>
    <row r="3490" spans="1:6">
      <c r="A3490" t="s">
        <v>2989</v>
      </c>
      <c r="B3490" t="s">
        <v>2945</v>
      </c>
      <c r="C3490" t="s">
        <v>2952</v>
      </c>
      <c r="F3490" s="898">
        <f>'Action POLLEC 5'!$C$107</f>
        <v>0</v>
      </c>
    </row>
    <row r="3491" spans="1:6">
      <c r="A3491" t="s">
        <v>2989</v>
      </c>
      <c r="B3491" t="s">
        <v>2945</v>
      </c>
      <c r="C3491" t="s">
        <v>2953</v>
      </c>
      <c r="F3491" s="898">
        <f>'Action POLLEC 5'!$C$108</f>
        <v>0</v>
      </c>
    </row>
    <row r="3492" spans="1:6">
      <c r="A3492" t="s">
        <v>2989</v>
      </c>
      <c r="B3492" t="s">
        <v>2945</v>
      </c>
      <c r="C3492" t="s">
        <v>2954</v>
      </c>
      <c r="F3492" s="898">
        <f>'Action POLLEC 5'!$C$109</f>
        <v>0</v>
      </c>
    </row>
    <row r="3493" spans="1:6">
      <c r="A3493" t="s">
        <v>2989</v>
      </c>
      <c r="B3493" t="s">
        <v>2945</v>
      </c>
      <c r="C3493" t="s">
        <v>2955</v>
      </c>
      <c r="F3493" s="898">
        <f>'Action POLLEC 5'!$C$110</f>
        <v>0</v>
      </c>
    </row>
    <row r="3494" spans="1:6">
      <c r="A3494" t="s">
        <v>2989</v>
      </c>
      <c r="B3494" t="s">
        <v>2945</v>
      </c>
      <c r="C3494" t="s">
        <v>2956</v>
      </c>
      <c r="F3494" s="898">
        <f>'Action POLLEC 5'!$D$101</f>
        <v>0</v>
      </c>
    </row>
    <row r="3495" spans="1:6">
      <c r="A3495" t="s">
        <v>2989</v>
      </c>
      <c r="B3495" t="s">
        <v>2945</v>
      </c>
      <c r="C3495" t="s">
        <v>2957</v>
      </c>
      <c r="F3495" s="898">
        <f>'Action POLLEC 5'!$D$102</f>
        <v>0</v>
      </c>
    </row>
    <row r="3496" spans="1:6">
      <c r="A3496" t="s">
        <v>2989</v>
      </c>
      <c r="B3496" t="s">
        <v>2945</v>
      </c>
      <c r="C3496" t="s">
        <v>2958</v>
      </c>
      <c r="F3496" s="898">
        <f>'Action POLLEC 5'!$D$103</f>
        <v>0</v>
      </c>
    </row>
    <row r="3497" spans="1:6">
      <c r="A3497" t="s">
        <v>2989</v>
      </c>
      <c r="B3497" t="s">
        <v>2945</v>
      </c>
      <c r="C3497" t="s">
        <v>2959</v>
      </c>
      <c r="F3497" s="898">
        <f>'Action POLLEC 5'!$D$104</f>
        <v>0</v>
      </c>
    </row>
    <row r="3498" spans="1:6">
      <c r="A3498" t="s">
        <v>2989</v>
      </c>
      <c r="B3498" t="s">
        <v>2945</v>
      </c>
      <c r="C3498" t="s">
        <v>2960</v>
      </c>
      <c r="F3498" s="898">
        <f>'Action POLLEC 5'!$D$105</f>
        <v>0</v>
      </c>
    </row>
    <row r="3499" spans="1:6">
      <c r="A3499" t="s">
        <v>2989</v>
      </c>
      <c r="B3499" t="s">
        <v>2945</v>
      </c>
      <c r="C3499" t="s">
        <v>2961</v>
      </c>
      <c r="F3499" s="898">
        <f>'Action POLLEC 5'!$D$106</f>
        <v>0</v>
      </c>
    </row>
    <row r="3500" spans="1:6">
      <c r="A3500" t="s">
        <v>2989</v>
      </c>
      <c r="B3500" t="s">
        <v>2945</v>
      </c>
      <c r="C3500" t="s">
        <v>2962</v>
      </c>
      <c r="F3500" s="898">
        <f>'Action POLLEC 5'!$D$107</f>
        <v>0</v>
      </c>
    </row>
    <row r="3501" spans="1:6">
      <c r="A3501" t="s">
        <v>2989</v>
      </c>
      <c r="B3501" t="s">
        <v>2945</v>
      </c>
      <c r="C3501" t="s">
        <v>2963</v>
      </c>
      <c r="F3501" s="898">
        <f>'Action POLLEC 5'!$D$108</f>
        <v>0</v>
      </c>
    </row>
    <row r="3502" spans="1:6">
      <c r="A3502" t="s">
        <v>2989</v>
      </c>
      <c r="B3502" t="s">
        <v>2945</v>
      </c>
      <c r="C3502" t="s">
        <v>2964</v>
      </c>
      <c r="F3502" s="898">
        <f>'Action POLLEC 5'!$D$109</f>
        <v>0</v>
      </c>
    </row>
    <row r="3503" spans="1:6">
      <c r="A3503" t="s">
        <v>2989</v>
      </c>
      <c r="B3503" t="s">
        <v>2945</v>
      </c>
      <c r="C3503" t="s">
        <v>2965</v>
      </c>
      <c r="F3503" s="898">
        <f>'Action POLLEC 5'!$D$110</f>
        <v>0</v>
      </c>
    </row>
    <row r="3504" spans="1:6">
      <c r="A3504" t="s">
        <v>2989</v>
      </c>
      <c r="B3504" t="s">
        <v>2945</v>
      </c>
      <c r="C3504" t="s">
        <v>2966</v>
      </c>
      <c r="F3504" s="898">
        <f>'Action POLLEC 5'!$E$101</f>
        <v>0</v>
      </c>
    </row>
    <row r="3505" spans="1:6">
      <c r="A3505" t="s">
        <v>2989</v>
      </c>
      <c r="B3505" t="s">
        <v>2945</v>
      </c>
      <c r="C3505" t="s">
        <v>2967</v>
      </c>
      <c r="F3505" s="898">
        <f>'Action POLLEC 5'!$E$102</f>
        <v>0</v>
      </c>
    </row>
    <row r="3506" spans="1:6">
      <c r="A3506" t="s">
        <v>2989</v>
      </c>
      <c r="B3506" t="s">
        <v>2945</v>
      </c>
      <c r="C3506" t="s">
        <v>2968</v>
      </c>
      <c r="F3506" s="898">
        <f>'Action POLLEC 5'!$E$103</f>
        <v>0</v>
      </c>
    </row>
    <row r="3507" spans="1:6">
      <c r="A3507" t="s">
        <v>2989</v>
      </c>
      <c r="B3507" t="s">
        <v>2945</v>
      </c>
      <c r="C3507" t="s">
        <v>2969</v>
      </c>
      <c r="F3507" s="898">
        <f>'Action POLLEC 5'!$E$104</f>
        <v>0</v>
      </c>
    </row>
    <row r="3508" spans="1:6">
      <c r="A3508" t="s">
        <v>2989</v>
      </c>
      <c r="B3508" t="s">
        <v>2945</v>
      </c>
      <c r="C3508" t="s">
        <v>2970</v>
      </c>
      <c r="F3508" s="898">
        <f>'Action POLLEC 5'!$E$105</f>
        <v>0</v>
      </c>
    </row>
    <row r="3509" spans="1:6">
      <c r="A3509" t="s">
        <v>2989</v>
      </c>
      <c r="B3509" t="s">
        <v>2945</v>
      </c>
      <c r="C3509" t="s">
        <v>2971</v>
      </c>
      <c r="F3509" s="898">
        <f>'Action POLLEC 5'!$E$106</f>
        <v>0</v>
      </c>
    </row>
    <row r="3510" spans="1:6">
      <c r="A3510" t="s">
        <v>2989</v>
      </c>
      <c r="B3510" t="s">
        <v>2945</v>
      </c>
      <c r="C3510" t="s">
        <v>2972</v>
      </c>
      <c r="F3510" s="898">
        <f>'Action POLLEC 5'!$E$107</f>
        <v>0</v>
      </c>
    </row>
    <row r="3511" spans="1:6">
      <c r="A3511" t="s">
        <v>2989</v>
      </c>
      <c r="B3511" t="s">
        <v>2945</v>
      </c>
      <c r="C3511" t="s">
        <v>2973</v>
      </c>
      <c r="F3511" s="898">
        <f>'Action POLLEC 5'!$E$108</f>
        <v>0</v>
      </c>
    </row>
    <row r="3512" spans="1:6">
      <c r="A3512" t="s">
        <v>2989</v>
      </c>
      <c r="B3512" t="s">
        <v>2945</v>
      </c>
      <c r="C3512" t="s">
        <v>2974</v>
      </c>
      <c r="F3512" s="898">
        <f>'Action POLLEC 5'!$E$109</f>
        <v>0</v>
      </c>
    </row>
    <row r="3513" spans="1:6">
      <c r="A3513" t="s">
        <v>2989</v>
      </c>
      <c r="B3513" t="s">
        <v>2945</v>
      </c>
      <c r="C3513" t="s">
        <v>2975</v>
      </c>
      <c r="F3513" s="898">
        <f>'Action POLLEC 5'!$E$110</f>
        <v>0</v>
      </c>
    </row>
    <row r="3514" spans="1:6">
      <c r="A3514" t="s">
        <v>2989</v>
      </c>
      <c r="B3514" t="s">
        <v>2945</v>
      </c>
      <c r="C3514" t="s">
        <v>2866</v>
      </c>
      <c r="F3514" s="898">
        <f>'Action POLLEC 5'!$F$101</f>
        <v>0</v>
      </c>
    </row>
    <row r="3515" spans="1:6">
      <c r="A3515" t="s">
        <v>2989</v>
      </c>
      <c r="B3515" t="s">
        <v>2945</v>
      </c>
      <c r="C3515" t="s">
        <v>2867</v>
      </c>
      <c r="F3515" s="898">
        <f>'Action POLLEC 5'!$F$102</f>
        <v>0</v>
      </c>
    </row>
    <row r="3516" spans="1:6">
      <c r="A3516" t="s">
        <v>2989</v>
      </c>
      <c r="B3516" t="s">
        <v>2945</v>
      </c>
      <c r="C3516" t="s">
        <v>2868</v>
      </c>
      <c r="F3516" s="898">
        <f>'Action POLLEC 5'!$F$103</f>
        <v>0</v>
      </c>
    </row>
    <row r="3517" spans="1:6">
      <c r="A3517" t="s">
        <v>2989</v>
      </c>
      <c r="B3517" t="s">
        <v>2945</v>
      </c>
      <c r="C3517" t="s">
        <v>2869</v>
      </c>
      <c r="F3517" s="898">
        <f>'Action POLLEC 5'!$F$104</f>
        <v>0</v>
      </c>
    </row>
    <row r="3518" spans="1:6">
      <c r="A3518" t="s">
        <v>2989</v>
      </c>
      <c r="B3518" t="s">
        <v>2945</v>
      </c>
      <c r="C3518" t="s">
        <v>2870</v>
      </c>
      <c r="F3518" s="898">
        <f>'Action POLLEC 5'!$F$105</f>
        <v>0</v>
      </c>
    </row>
    <row r="3519" spans="1:6">
      <c r="A3519" t="s">
        <v>2989</v>
      </c>
      <c r="B3519" t="s">
        <v>2945</v>
      </c>
      <c r="C3519" t="s">
        <v>2871</v>
      </c>
      <c r="F3519" s="898">
        <f>'Action POLLEC 5'!$F$106</f>
        <v>0</v>
      </c>
    </row>
    <row r="3520" spans="1:6">
      <c r="A3520" t="s">
        <v>2989</v>
      </c>
      <c r="B3520" t="s">
        <v>2945</v>
      </c>
      <c r="C3520" t="s">
        <v>2872</v>
      </c>
      <c r="F3520" s="898">
        <f>'Action POLLEC 5'!$F$107</f>
        <v>0</v>
      </c>
    </row>
    <row r="3521" spans="1:6">
      <c r="A3521" t="s">
        <v>2989</v>
      </c>
      <c r="B3521" t="s">
        <v>2945</v>
      </c>
      <c r="C3521" t="s">
        <v>2873</v>
      </c>
      <c r="F3521" s="898">
        <f>'Action POLLEC 5'!$F$108</f>
        <v>0</v>
      </c>
    </row>
    <row r="3522" spans="1:6">
      <c r="A3522" t="s">
        <v>2989</v>
      </c>
      <c r="B3522" t="s">
        <v>2945</v>
      </c>
      <c r="C3522" t="s">
        <v>2912</v>
      </c>
      <c r="F3522" s="898">
        <f>'Action POLLEC 5'!$F$109</f>
        <v>0</v>
      </c>
    </row>
    <row r="3523" spans="1:6">
      <c r="A3523" t="s">
        <v>2989</v>
      </c>
      <c r="B3523" t="s">
        <v>2945</v>
      </c>
      <c r="C3523" t="s">
        <v>2913</v>
      </c>
      <c r="F3523" s="898">
        <f>'Action POLLEC 5'!$F$110</f>
        <v>0</v>
      </c>
    </row>
    <row r="3524" spans="1:6">
      <c r="A3524" t="s">
        <v>2989</v>
      </c>
      <c r="B3524" t="s">
        <v>2945</v>
      </c>
      <c r="C3524" t="s">
        <v>2914</v>
      </c>
      <c r="F3524" s="898">
        <f>'Action POLLEC 5'!$G$101</f>
        <v>0</v>
      </c>
    </row>
    <row r="3525" spans="1:6">
      <c r="A3525" t="s">
        <v>2989</v>
      </c>
      <c r="B3525" t="s">
        <v>2945</v>
      </c>
      <c r="C3525" t="s">
        <v>2915</v>
      </c>
      <c r="F3525" s="898">
        <f>'Action POLLEC 5'!$G$102</f>
        <v>0</v>
      </c>
    </row>
    <row r="3526" spans="1:6">
      <c r="A3526" t="s">
        <v>2989</v>
      </c>
      <c r="B3526" t="s">
        <v>2945</v>
      </c>
      <c r="C3526" t="s">
        <v>2916</v>
      </c>
      <c r="F3526" s="898">
        <f>'Action POLLEC 5'!$G$103</f>
        <v>0</v>
      </c>
    </row>
    <row r="3527" spans="1:6">
      <c r="A3527" t="s">
        <v>2989</v>
      </c>
      <c r="B3527" t="s">
        <v>2945</v>
      </c>
      <c r="C3527" t="s">
        <v>2917</v>
      </c>
      <c r="F3527" s="898">
        <f>'Action POLLEC 5'!$G$104</f>
        <v>0</v>
      </c>
    </row>
    <row r="3528" spans="1:6">
      <c r="A3528" t="s">
        <v>2989</v>
      </c>
      <c r="B3528" t="s">
        <v>2945</v>
      </c>
      <c r="C3528" t="s">
        <v>2918</v>
      </c>
      <c r="F3528" s="898">
        <f>'Action POLLEC 5'!$G$105</f>
        <v>0</v>
      </c>
    </row>
    <row r="3529" spans="1:6">
      <c r="A3529" t="s">
        <v>2989</v>
      </c>
      <c r="B3529" t="s">
        <v>2945</v>
      </c>
      <c r="C3529" t="s">
        <v>2919</v>
      </c>
      <c r="F3529" s="898">
        <f>'Action POLLEC 5'!$G$106</f>
        <v>0</v>
      </c>
    </row>
    <row r="3530" spans="1:6">
      <c r="A3530" t="s">
        <v>2989</v>
      </c>
      <c r="B3530" t="s">
        <v>2945</v>
      </c>
      <c r="C3530" t="s">
        <v>2920</v>
      </c>
      <c r="F3530" s="898">
        <f>'Action POLLEC 5'!$G$107</f>
        <v>0</v>
      </c>
    </row>
    <row r="3531" spans="1:6">
      <c r="A3531" t="s">
        <v>2989</v>
      </c>
      <c r="B3531" t="s">
        <v>2945</v>
      </c>
      <c r="C3531" t="s">
        <v>2921</v>
      </c>
      <c r="F3531" s="898">
        <f>'Action POLLEC 5'!$G$108</f>
        <v>0</v>
      </c>
    </row>
    <row r="3532" spans="1:6">
      <c r="A3532" t="s">
        <v>2989</v>
      </c>
      <c r="B3532" t="s">
        <v>2945</v>
      </c>
      <c r="C3532" t="s">
        <v>2922</v>
      </c>
      <c r="F3532" s="898">
        <f>'Action POLLEC 5'!$G$109</f>
        <v>0</v>
      </c>
    </row>
    <row r="3533" spans="1:6">
      <c r="A3533" t="s">
        <v>2989</v>
      </c>
      <c r="B3533" t="s">
        <v>2945</v>
      </c>
      <c r="C3533" t="s">
        <v>2923</v>
      </c>
      <c r="F3533" s="898">
        <f>'Action POLLEC 5'!$G$110</f>
        <v>0</v>
      </c>
    </row>
    <row r="3534" spans="1:6">
      <c r="A3534" t="s">
        <v>2989</v>
      </c>
      <c r="B3534" t="s">
        <v>2945</v>
      </c>
      <c r="C3534" t="s">
        <v>2976</v>
      </c>
      <c r="F3534" s="898">
        <f>'Action POLLEC 5'!$H$101</f>
        <v>0</v>
      </c>
    </row>
    <row r="3535" spans="1:6">
      <c r="A3535" t="s">
        <v>2989</v>
      </c>
      <c r="B3535" t="s">
        <v>2945</v>
      </c>
      <c r="C3535" t="s">
        <v>2977</v>
      </c>
      <c r="F3535" s="898">
        <f>'Action POLLEC 5'!$H$102</f>
        <v>0</v>
      </c>
    </row>
    <row r="3536" spans="1:6">
      <c r="A3536" t="s">
        <v>2989</v>
      </c>
      <c r="B3536" t="s">
        <v>2945</v>
      </c>
      <c r="C3536" t="s">
        <v>2978</v>
      </c>
      <c r="F3536" s="898">
        <f>'Action POLLEC 5'!$H$103</f>
        <v>0</v>
      </c>
    </row>
    <row r="3537" spans="1:6">
      <c r="A3537" t="s">
        <v>2989</v>
      </c>
      <c r="B3537" t="s">
        <v>2945</v>
      </c>
      <c r="C3537" t="s">
        <v>2979</v>
      </c>
      <c r="F3537" s="898">
        <f>'Action POLLEC 5'!$H$104</f>
        <v>0</v>
      </c>
    </row>
    <row r="3538" spans="1:6">
      <c r="A3538" t="s">
        <v>2989</v>
      </c>
      <c r="B3538" t="s">
        <v>2945</v>
      </c>
      <c r="C3538" t="s">
        <v>2980</v>
      </c>
      <c r="F3538" s="898">
        <f>'Action POLLEC 5'!$H$105</f>
        <v>0</v>
      </c>
    </row>
    <row r="3539" spans="1:6">
      <c r="A3539" t="s">
        <v>2989</v>
      </c>
      <c r="B3539" t="s">
        <v>2945</v>
      </c>
      <c r="C3539" t="s">
        <v>2981</v>
      </c>
      <c r="F3539" s="898">
        <f>'Action POLLEC 5'!$H$106</f>
        <v>0</v>
      </c>
    </row>
    <row r="3540" spans="1:6">
      <c r="A3540" t="s">
        <v>2989</v>
      </c>
      <c r="B3540" t="s">
        <v>2945</v>
      </c>
      <c r="C3540" t="s">
        <v>2982</v>
      </c>
      <c r="F3540" s="898">
        <f>'Action POLLEC 5'!$H$107</f>
        <v>0</v>
      </c>
    </row>
    <row r="3541" spans="1:6">
      <c r="A3541" t="s">
        <v>2989</v>
      </c>
      <c r="B3541" t="s">
        <v>2945</v>
      </c>
      <c r="C3541" t="s">
        <v>2983</v>
      </c>
      <c r="F3541" s="898">
        <f>'Action POLLEC 5'!$H$108</f>
        <v>0</v>
      </c>
    </row>
    <row r="3542" spans="1:6">
      <c r="A3542" t="s">
        <v>2989</v>
      </c>
      <c r="B3542" t="s">
        <v>2945</v>
      </c>
      <c r="C3542" t="s">
        <v>2984</v>
      </c>
      <c r="F3542" s="898">
        <f>'Action POLLEC 5'!$H$109</f>
        <v>0</v>
      </c>
    </row>
    <row r="3543" spans="1:6">
      <c r="A3543" t="s">
        <v>2989</v>
      </c>
      <c r="B3543" t="s">
        <v>2945</v>
      </c>
      <c r="C3543" t="s">
        <v>2985</v>
      </c>
      <c r="F3543" s="898">
        <f>'Action POLLEC 5'!$H$110</f>
        <v>0</v>
      </c>
    </row>
    <row r="3544" spans="1:6">
      <c r="A3544" t="s">
        <v>2989</v>
      </c>
      <c r="B3544" t="s">
        <v>2945</v>
      </c>
      <c r="C3544" t="s">
        <v>2934</v>
      </c>
      <c r="F3544" s="898">
        <f>'Action POLLEC 5'!$I$101</f>
        <v>0</v>
      </c>
    </row>
    <row r="3545" spans="1:6">
      <c r="A3545" t="s">
        <v>2989</v>
      </c>
      <c r="B3545" t="s">
        <v>2945</v>
      </c>
      <c r="C3545" t="s">
        <v>2935</v>
      </c>
      <c r="F3545" s="898">
        <f>'Action POLLEC 5'!$I$102</f>
        <v>0</v>
      </c>
    </row>
    <row r="3546" spans="1:6">
      <c r="A3546" t="s">
        <v>2989</v>
      </c>
      <c r="B3546" t="s">
        <v>2945</v>
      </c>
      <c r="C3546" t="s">
        <v>2936</v>
      </c>
      <c r="F3546" s="898">
        <f>'Action POLLEC 5'!$I$103</f>
        <v>0</v>
      </c>
    </row>
    <row r="3547" spans="1:6">
      <c r="A3547" t="s">
        <v>2989</v>
      </c>
      <c r="B3547" t="s">
        <v>2945</v>
      </c>
      <c r="C3547" t="s">
        <v>2937</v>
      </c>
      <c r="F3547" s="898">
        <f>'Action POLLEC 5'!$I$104</f>
        <v>0</v>
      </c>
    </row>
    <row r="3548" spans="1:6">
      <c r="A3548" t="s">
        <v>2989</v>
      </c>
      <c r="B3548" t="s">
        <v>2945</v>
      </c>
      <c r="C3548" t="s">
        <v>2938</v>
      </c>
      <c r="F3548" s="898">
        <f>'Action POLLEC 5'!$I$105</f>
        <v>0</v>
      </c>
    </row>
    <row r="3549" spans="1:6">
      <c r="A3549" t="s">
        <v>2989</v>
      </c>
      <c r="B3549" t="s">
        <v>2945</v>
      </c>
      <c r="C3549" t="s">
        <v>2939</v>
      </c>
      <c r="F3549" s="898">
        <f>'Action POLLEC 5'!$I$106</f>
        <v>0</v>
      </c>
    </row>
    <row r="3550" spans="1:6">
      <c r="A3550" t="s">
        <v>2989</v>
      </c>
      <c r="B3550" t="s">
        <v>2945</v>
      </c>
      <c r="C3550" t="s">
        <v>2940</v>
      </c>
      <c r="F3550" s="898">
        <f>'Action POLLEC 5'!$I$107</f>
        <v>0</v>
      </c>
    </row>
    <row r="3551" spans="1:6">
      <c r="A3551" t="s">
        <v>2989</v>
      </c>
      <c r="B3551" t="s">
        <v>2945</v>
      </c>
      <c r="C3551" t="s">
        <v>2941</v>
      </c>
      <c r="F3551" s="898">
        <f>'Action POLLEC 5'!$I$108</f>
        <v>0</v>
      </c>
    </row>
    <row r="3552" spans="1:6">
      <c r="A3552" t="s">
        <v>2989</v>
      </c>
      <c r="B3552" t="s">
        <v>2945</v>
      </c>
      <c r="C3552" t="s">
        <v>2942</v>
      </c>
      <c r="F3552" s="898">
        <f>'Action POLLEC 5'!$I$109</f>
        <v>0</v>
      </c>
    </row>
    <row r="3553" spans="1:6">
      <c r="A3553" t="s">
        <v>2989</v>
      </c>
      <c r="B3553" t="s">
        <v>2945</v>
      </c>
      <c r="C3553" t="s">
        <v>2943</v>
      </c>
      <c r="F3553" s="898">
        <f>'Action POLLEC 5'!$I$110</f>
        <v>0</v>
      </c>
    </row>
    <row r="3554" spans="1:6">
      <c r="A3554" t="s">
        <v>2990</v>
      </c>
      <c r="B3554" t="s">
        <v>2831</v>
      </c>
      <c r="F3554" s="898">
        <f>'Action POLLEC 6'!$F$10</f>
        <v>0</v>
      </c>
    </row>
    <row r="3555" spans="1:6">
      <c r="A3555" t="s">
        <v>2990</v>
      </c>
      <c r="B3555" t="s">
        <v>3006</v>
      </c>
      <c r="F3555" s="898" t="str">
        <f ca="1">'Action POLLEC 6'!F6</f>
        <v/>
      </c>
    </row>
    <row r="3556" spans="1:6">
      <c r="A3556" t="s">
        <v>2990</v>
      </c>
      <c r="B3556" t="s">
        <v>725</v>
      </c>
      <c r="F3556" s="898" t="str">
        <f ca="1">'Action POLLEC 6'!B19</f>
        <v>-</v>
      </c>
    </row>
    <row r="3557" spans="1:6">
      <c r="A3557" t="s">
        <v>2990</v>
      </c>
      <c r="B3557" t="s">
        <v>325</v>
      </c>
      <c r="F3557" s="898">
        <f>'Action POLLEC 6'!$B$20</f>
        <v>0</v>
      </c>
    </row>
    <row r="3558" spans="1:6">
      <c r="A3558" t="s">
        <v>2990</v>
      </c>
      <c r="B3558" t="s">
        <v>2832</v>
      </c>
      <c r="F3558" s="898">
        <f>'Action POLLEC 6'!$B$21</f>
        <v>0</v>
      </c>
    </row>
    <row r="3559" spans="1:6">
      <c r="A3559" t="s">
        <v>2990</v>
      </c>
      <c r="B3559" t="s">
        <v>2833</v>
      </c>
      <c r="F3559" s="898" t="str">
        <f ca="1">'Action POLLEC 6'!$B$26</f>
        <v>-</v>
      </c>
    </row>
    <row r="3560" spans="1:6">
      <c r="A3560" t="s">
        <v>2990</v>
      </c>
      <c r="B3560" t="s">
        <v>2834</v>
      </c>
      <c r="F3560" s="898">
        <f>'Action POLLEC 6'!$B$27</f>
        <v>0</v>
      </c>
    </row>
    <row r="3561" spans="1:6">
      <c r="A3561" t="s">
        <v>2990</v>
      </c>
      <c r="B3561" t="s">
        <v>2835</v>
      </c>
      <c r="F3561" s="898">
        <f>'Action POLLEC 6'!$B$28</f>
        <v>0</v>
      </c>
    </row>
    <row r="3562" spans="1:6">
      <c r="A3562" t="s">
        <v>2990</v>
      </c>
      <c r="B3562" t="s">
        <v>2836</v>
      </c>
      <c r="F3562" s="898">
        <f>'Action POLLEC 6'!$B$29</f>
        <v>0</v>
      </c>
    </row>
    <row r="3563" spans="1:6">
      <c r="A3563" t="s">
        <v>2990</v>
      </c>
      <c r="B3563" t="s">
        <v>2837</v>
      </c>
      <c r="F3563" s="898">
        <f>'Action POLLEC 6'!$B$30</f>
        <v>0</v>
      </c>
    </row>
    <row r="3564" spans="1:6">
      <c r="A3564" t="s">
        <v>2990</v>
      </c>
      <c r="B3564" t="s">
        <v>2838</v>
      </c>
      <c r="F3564" s="898">
        <f>'Action POLLEC 6'!$D$26</f>
        <v>0</v>
      </c>
    </row>
    <row r="3565" spans="1:6">
      <c r="A3565" t="s">
        <v>2990</v>
      </c>
      <c r="B3565" t="s">
        <v>2839</v>
      </c>
      <c r="F3565" s="898">
        <f>'Action POLLEC 6'!$D$27</f>
        <v>0</v>
      </c>
    </row>
    <row r="3566" spans="1:6">
      <c r="A3566" t="s">
        <v>2990</v>
      </c>
      <c r="B3566" t="s">
        <v>2840</v>
      </c>
      <c r="F3566" s="898">
        <f>'Action POLLEC 6'!$D$28</f>
        <v>0</v>
      </c>
    </row>
    <row r="3567" spans="1:6">
      <c r="A3567" t="s">
        <v>2990</v>
      </c>
      <c r="B3567" t="s">
        <v>2841</v>
      </c>
      <c r="F3567" s="898">
        <f>'Action POLLEC 6'!$D$29</f>
        <v>0</v>
      </c>
    </row>
    <row r="3568" spans="1:6">
      <c r="A3568" t="s">
        <v>2990</v>
      </c>
      <c r="B3568" t="s">
        <v>2842</v>
      </c>
      <c r="F3568" s="898">
        <f>'Action POLLEC 6'!$D$30</f>
        <v>0</v>
      </c>
    </row>
    <row r="3569" spans="1:6">
      <c r="A3569" t="s">
        <v>2990</v>
      </c>
      <c r="B3569" t="s">
        <v>2843</v>
      </c>
      <c r="F3569" s="898">
        <f>'Action POLLEC 6'!$F$26</f>
        <v>0</v>
      </c>
    </row>
    <row r="3570" spans="1:6">
      <c r="A3570" t="s">
        <v>2990</v>
      </c>
      <c r="B3570" t="s">
        <v>2844</v>
      </c>
      <c r="F3570" s="898">
        <f>'Action POLLEC 6'!$F$27</f>
        <v>0</v>
      </c>
    </row>
    <row r="3571" spans="1:6">
      <c r="A3571" t="s">
        <v>2990</v>
      </c>
      <c r="B3571" t="s">
        <v>2845</v>
      </c>
      <c r="F3571" s="898">
        <f>'Action POLLEC 6'!$F$28</f>
        <v>0</v>
      </c>
    </row>
    <row r="3572" spans="1:6">
      <c r="A3572" t="s">
        <v>2990</v>
      </c>
      <c r="B3572" t="s">
        <v>2846</v>
      </c>
      <c r="F3572" s="898">
        <f>'Action POLLEC 6'!$F$29</f>
        <v>0</v>
      </c>
    </row>
    <row r="3573" spans="1:6">
      <c r="A3573" t="s">
        <v>2990</v>
      </c>
      <c r="B3573" t="s">
        <v>2847</v>
      </c>
      <c r="F3573" s="898">
        <f>'Action POLLEC 6'!$F$30</f>
        <v>0</v>
      </c>
    </row>
    <row r="3574" spans="1:6">
      <c r="A3574" t="s">
        <v>2990</v>
      </c>
      <c r="B3574" t="s">
        <v>2848</v>
      </c>
      <c r="F3574" s="898">
        <f>'Action POLLEC 6'!$B$32</f>
        <v>0</v>
      </c>
    </row>
    <row r="3575" spans="1:6">
      <c r="A3575" t="s">
        <v>2990</v>
      </c>
      <c r="B3575" t="s">
        <v>2849</v>
      </c>
      <c r="F3575" s="898">
        <f>'Action POLLEC 6'!$B$33</f>
        <v>0</v>
      </c>
    </row>
    <row r="3576" spans="1:6">
      <c r="A3576" t="s">
        <v>2990</v>
      </c>
      <c r="B3576" t="s">
        <v>2850</v>
      </c>
      <c r="F3576" s="898">
        <f>'Action POLLEC 6'!$B$53</f>
        <v>0</v>
      </c>
    </row>
    <row r="3577" spans="1:6">
      <c r="A3577" t="s">
        <v>2990</v>
      </c>
      <c r="B3577" t="s">
        <v>2851</v>
      </c>
      <c r="F3577" s="898">
        <f>'Action POLLEC 6'!$B$54</f>
        <v>0</v>
      </c>
    </row>
    <row r="3578" spans="1:6">
      <c r="A3578" t="s">
        <v>2990</v>
      </c>
      <c r="B3578" t="s">
        <v>2852</v>
      </c>
      <c r="F3578" s="898">
        <f>'Action POLLEC 6'!$B$55</f>
        <v>0</v>
      </c>
    </row>
    <row r="3579" spans="1:6">
      <c r="A3579" t="s">
        <v>2990</v>
      </c>
      <c r="B3579" t="s">
        <v>2853</v>
      </c>
      <c r="F3579" s="898">
        <f>'Action POLLEC 6'!$B$56</f>
        <v>0</v>
      </c>
    </row>
    <row r="3580" spans="1:6">
      <c r="A3580" t="s">
        <v>2990</v>
      </c>
      <c r="B3580" t="s">
        <v>2854</v>
      </c>
      <c r="F3580" s="898">
        <f>'Action POLLEC 6'!$B$57</f>
        <v>0</v>
      </c>
    </row>
    <row r="3581" spans="1:6">
      <c r="A3581" t="s">
        <v>2990</v>
      </c>
      <c r="B3581" t="s">
        <v>2855</v>
      </c>
      <c r="F3581" s="898">
        <f>'Action POLLEC 6'!$B$58</f>
        <v>0</v>
      </c>
    </row>
    <row r="3582" spans="1:6">
      <c r="A3582" t="s">
        <v>2990</v>
      </c>
      <c r="B3582" t="s">
        <v>2856</v>
      </c>
      <c r="F3582" s="898">
        <f>'Action POLLEC 6'!$B$59</f>
        <v>0</v>
      </c>
    </row>
    <row r="3583" spans="1:6">
      <c r="A3583" t="s">
        <v>2990</v>
      </c>
      <c r="B3583" t="s">
        <v>2857</v>
      </c>
      <c r="F3583" s="898">
        <f>'Action POLLEC 6'!$B60</f>
        <v>0</v>
      </c>
    </row>
    <row r="3584" spans="1:6">
      <c r="A3584" t="s">
        <v>2990</v>
      </c>
      <c r="B3584" t="s">
        <v>3007</v>
      </c>
      <c r="F3584" s="898">
        <f>'Action POLLEC 6'!$B61</f>
        <v>0</v>
      </c>
    </row>
    <row r="3585" spans="1:6">
      <c r="A3585" t="s">
        <v>2990</v>
      </c>
      <c r="B3585" t="s">
        <v>3008</v>
      </c>
      <c r="F3585" s="898">
        <f>'Action POLLEC 6'!$B62</f>
        <v>0</v>
      </c>
    </row>
    <row r="3586" spans="1:6">
      <c r="A3586" t="s">
        <v>2990</v>
      </c>
      <c r="B3586" t="s">
        <v>3009</v>
      </c>
      <c r="F3586" s="898">
        <f>'Action POLLEC 6'!$B63</f>
        <v>0</v>
      </c>
    </row>
    <row r="3587" spans="1:6">
      <c r="A3587" t="s">
        <v>2990</v>
      </c>
      <c r="B3587" t="s">
        <v>3010</v>
      </c>
      <c r="F3587" s="898">
        <f>'Action POLLEC 6'!$B64</f>
        <v>0</v>
      </c>
    </row>
    <row r="3588" spans="1:6">
      <c r="A3588" t="s">
        <v>2990</v>
      </c>
      <c r="B3588" t="s">
        <v>3011</v>
      </c>
      <c r="F3588" s="898">
        <f>'Action POLLEC 6'!$B65</f>
        <v>0</v>
      </c>
    </row>
    <row r="3589" spans="1:6">
      <c r="A3589" t="s">
        <v>2990</v>
      </c>
      <c r="B3589" t="s">
        <v>3012</v>
      </c>
      <c r="F3589" s="898">
        <f>'Action POLLEC 6'!$B66</f>
        <v>0</v>
      </c>
    </row>
    <row r="3590" spans="1:6">
      <c r="A3590" t="s">
        <v>2990</v>
      </c>
      <c r="B3590" t="s">
        <v>3013</v>
      </c>
      <c r="F3590" s="898">
        <f>'Action POLLEC 6'!$B67</f>
        <v>0</v>
      </c>
    </row>
    <row r="3591" spans="1:6">
      <c r="A3591" t="s">
        <v>2990</v>
      </c>
      <c r="B3591" t="s">
        <v>2858</v>
      </c>
      <c r="F3591" s="898">
        <f>'Action POLLEC 6'!$E$53</f>
        <v>0</v>
      </c>
    </row>
    <row r="3592" spans="1:6">
      <c r="A3592" t="s">
        <v>2990</v>
      </c>
      <c r="B3592" t="s">
        <v>2859</v>
      </c>
      <c r="F3592" s="898">
        <f>'Action POLLEC 6'!$E$54</f>
        <v>0</v>
      </c>
    </row>
    <row r="3593" spans="1:6">
      <c r="A3593" t="s">
        <v>2990</v>
      </c>
      <c r="B3593" t="s">
        <v>2860</v>
      </c>
      <c r="F3593" s="898">
        <f>'Action POLLEC 6'!$E$55</f>
        <v>0</v>
      </c>
    </row>
    <row r="3594" spans="1:6">
      <c r="A3594" t="s">
        <v>2990</v>
      </c>
      <c r="B3594" t="s">
        <v>2861</v>
      </c>
      <c r="F3594" s="898">
        <f>'Action POLLEC 6'!$E$56</f>
        <v>0</v>
      </c>
    </row>
    <row r="3595" spans="1:6">
      <c r="A3595" t="s">
        <v>2990</v>
      </c>
      <c r="B3595" t="s">
        <v>2862</v>
      </c>
      <c r="F3595" s="898">
        <f>'Action POLLEC 6'!$E$57</f>
        <v>0</v>
      </c>
    </row>
    <row r="3596" spans="1:6">
      <c r="A3596" t="s">
        <v>2990</v>
      </c>
      <c r="B3596" t="s">
        <v>2863</v>
      </c>
      <c r="F3596" s="898">
        <f>'Action POLLEC 6'!$E$58</f>
        <v>0</v>
      </c>
    </row>
    <row r="3597" spans="1:6">
      <c r="A3597" t="s">
        <v>2990</v>
      </c>
      <c r="B3597" t="s">
        <v>2864</v>
      </c>
      <c r="F3597" s="898">
        <f>'Action POLLEC 6'!$E$59</f>
        <v>0</v>
      </c>
    </row>
    <row r="3598" spans="1:6">
      <c r="A3598" t="s">
        <v>2990</v>
      </c>
      <c r="B3598" t="s">
        <v>2865</v>
      </c>
      <c r="F3598" s="898">
        <f>'Action POLLEC 6'!$E60</f>
        <v>0</v>
      </c>
    </row>
    <row r="3599" spans="1:6">
      <c r="A3599" t="s">
        <v>2990</v>
      </c>
      <c r="B3599" t="s">
        <v>3091</v>
      </c>
      <c r="F3599" s="898">
        <f>'Action POLLEC 6'!$E61</f>
        <v>0</v>
      </c>
    </row>
    <row r="3600" spans="1:6">
      <c r="A3600" t="s">
        <v>2990</v>
      </c>
      <c r="B3600" t="s">
        <v>3092</v>
      </c>
      <c r="F3600" s="898">
        <f>'Action POLLEC 6'!$E62</f>
        <v>0</v>
      </c>
    </row>
    <row r="3601" spans="1:6">
      <c r="A3601" t="s">
        <v>2990</v>
      </c>
      <c r="B3601" t="s">
        <v>3093</v>
      </c>
      <c r="F3601" s="898">
        <f>'Action POLLEC 6'!$E63</f>
        <v>0</v>
      </c>
    </row>
    <row r="3602" spans="1:6">
      <c r="A3602" t="s">
        <v>2990</v>
      </c>
      <c r="B3602" t="s">
        <v>3094</v>
      </c>
      <c r="F3602" s="898">
        <f>'Action POLLEC 6'!$E64</f>
        <v>0</v>
      </c>
    </row>
    <row r="3603" spans="1:6">
      <c r="A3603" t="s">
        <v>2990</v>
      </c>
      <c r="B3603" t="s">
        <v>3095</v>
      </c>
      <c r="F3603" s="898">
        <f>'Action POLLEC 6'!$E65</f>
        <v>0</v>
      </c>
    </row>
    <row r="3604" spans="1:6">
      <c r="A3604" t="s">
        <v>2990</v>
      </c>
      <c r="B3604" t="s">
        <v>3096</v>
      </c>
      <c r="F3604" s="898">
        <f>'Action POLLEC 6'!$E66</f>
        <v>0</v>
      </c>
    </row>
    <row r="3605" spans="1:6">
      <c r="A3605" t="s">
        <v>2990</v>
      </c>
      <c r="B3605" t="s">
        <v>3097</v>
      </c>
      <c r="F3605" s="898">
        <f>'Action POLLEC 6'!$E67</f>
        <v>0</v>
      </c>
    </row>
    <row r="3606" spans="1:6">
      <c r="A3606" t="s">
        <v>2990</v>
      </c>
      <c r="B3606" t="s">
        <v>2866</v>
      </c>
      <c r="F3606" s="898">
        <f>'Action POLLEC 6'!$F$53</f>
        <v>0</v>
      </c>
    </row>
    <row r="3607" spans="1:6">
      <c r="A3607" t="s">
        <v>2990</v>
      </c>
      <c r="B3607" t="s">
        <v>2867</v>
      </c>
      <c r="F3607" s="898">
        <f>'Action POLLEC 6'!$F$54</f>
        <v>0</v>
      </c>
    </row>
    <row r="3608" spans="1:6">
      <c r="A3608" t="s">
        <v>2990</v>
      </c>
      <c r="B3608" t="s">
        <v>2868</v>
      </c>
      <c r="F3608" s="898">
        <f>'Action POLLEC 6'!$F$55</f>
        <v>0</v>
      </c>
    </row>
    <row r="3609" spans="1:6">
      <c r="A3609" t="s">
        <v>2990</v>
      </c>
      <c r="B3609" t="s">
        <v>2869</v>
      </c>
      <c r="F3609" s="898">
        <f>'Action POLLEC 6'!$F$56</f>
        <v>0</v>
      </c>
    </row>
    <row r="3610" spans="1:6">
      <c r="A3610" t="s">
        <v>2990</v>
      </c>
      <c r="B3610" t="s">
        <v>2870</v>
      </c>
      <c r="F3610" s="898">
        <f>'Action POLLEC 6'!$F$57</f>
        <v>0</v>
      </c>
    </row>
    <row r="3611" spans="1:6">
      <c r="A3611" t="s">
        <v>2990</v>
      </c>
      <c r="B3611" t="s">
        <v>2871</v>
      </c>
      <c r="F3611" s="898">
        <f>'Action POLLEC 6'!$F$58</f>
        <v>0</v>
      </c>
    </row>
    <row r="3612" spans="1:6">
      <c r="A3612" t="s">
        <v>2990</v>
      </c>
      <c r="B3612" t="s">
        <v>2872</v>
      </c>
      <c r="F3612" s="898">
        <f>'Action POLLEC 6'!$F$59</f>
        <v>0</v>
      </c>
    </row>
    <row r="3613" spans="1:6">
      <c r="A3613" t="s">
        <v>2990</v>
      </c>
      <c r="B3613" t="s">
        <v>2873</v>
      </c>
      <c r="F3613" s="898">
        <f>'Action POLLEC 6'!$F60</f>
        <v>0</v>
      </c>
    </row>
    <row r="3614" spans="1:6">
      <c r="A3614" t="s">
        <v>2990</v>
      </c>
      <c r="B3614" t="s">
        <v>2912</v>
      </c>
      <c r="F3614" s="898">
        <f>'Action POLLEC 6'!$F61</f>
        <v>0</v>
      </c>
    </row>
    <row r="3615" spans="1:6">
      <c r="A3615" t="s">
        <v>2990</v>
      </c>
      <c r="B3615" t="s">
        <v>2913</v>
      </c>
      <c r="F3615" s="898">
        <f>'Action POLLEC 6'!$F62</f>
        <v>0</v>
      </c>
    </row>
    <row r="3616" spans="1:6">
      <c r="A3616" t="s">
        <v>2990</v>
      </c>
      <c r="B3616" t="s">
        <v>3014</v>
      </c>
      <c r="F3616" s="898">
        <f>'Action POLLEC 6'!$F63</f>
        <v>0</v>
      </c>
    </row>
    <row r="3617" spans="1:6">
      <c r="A3617" t="s">
        <v>2990</v>
      </c>
      <c r="B3617" t="s">
        <v>3015</v>
      </c>
      <c r="F3617" s="898">
        <f>'Action POLLEC 6'!$F64</f>
        <v>0</v>
      </c>
    </row>
    <row r="3618" spans="1:6">
      <c r="A3618" t="s">
        <v>2990</v>
      </c>
      <c r="B3618" t="s">
        <v>3016</v>
      </c>
      <c r="F3618" s="898">
        <f>'Action POLLEC 6'!$F65</f>
        <v>0</v>
      </c>
    </row>
    <row r="3619" spans="1:6">
      <c r="A3619" t="s">
        <v>2990</v>
      </c>
      <c r="B3619" t="s">
        <v>3017</v>
      </c>
      <c r="F3619" s="898">
        <f>'Action POLLEC 6'!$F66</f>
        <v>0</v>
      </c>
    </row>
    <row r="3620" spans="1:6">
      <c r="A3620" t="s">
        <v>2990</v>
      </c>
      <c r="B3620" t="s">
        <v>3018</v>
      </c>
      <c r="F3620" s="898">
        <f>'Action POLLEC 6'!$F67</f>
        <v>0</v>
      </c>
    </row>
    <row r="3621" spans="1:6">
      <c r="A3621" t="s">
        <v>2990</v>
      </c>
      <c r="B3621" t="s">
        <v>2874</v>
      </c>
      <c r="F3621" s="898">
        <f>'Action POLLEC 6'!$G$53</f>
        <v>0</v>
      </c>
    </row>
    <row r="3622" spans="1:6">
      <c r="A3622" t="s">
        <v>2990</v>
      </c>
      <c r="B3622" t="s">
        <v>2875</v>
      </c>
      <c r="F3622" s="898">
        <f>'Action POLLEC 6'!$G$54</f>
        <v>0</v>
      </c>
    </row>
    <row r="3623" spans="1:6">
      <c r="A3623" t="s">
        <v>2990</v>
      </c>
      <c r="B3623" t="s">
        <v>2876</v>
      </c>
      <c r="F3623" s="898">
        <f>'Action POLLEC 6'!$G$55</f>
        <v>0</v>
      </c>
    </row>
    <row r="3624" spans="1:6">
      <c r="A3624" t="s">
        <v>2990</v>
      </c>
      <c r="B3624" t="s">
        <v>2877</v>
      </c>
      <c r="F3624" s="898">
        <f>'Action POLLEC 6'!$G$56</f>
        <v>0</v>
      </c>
    </row>
    <row r="3625" spans="1:6">
      <c r="A3625" t="s">
        <v>2990</v>
      </c>
      <c r="B3625" t="s">
        <v>2878</v>
      </c>
      <c r="F3625" s="898">
        <f>'Action POLLEC 6'!$G$57</f>
        <v>0</v>
      </c>
    </row>
    <row r="3626" spans="1:6">
      <c r="A3626" t="s">
        <v>2990</v>
      </c>
      <c r="B3626" t="s">
        <v>2879</v>
      </c>
      <c r="F3626" s="898">
        <f>'Action POLLEC 6'!$G$58</f>
        <v>0</v>
      </c>
    </row>
    <row r="3627" spans="1:6">
      <c r="A3627" t="s">
        <v>2990</v>
      </c>
      <c r="B3627" t="s">
        <v>2880</v>
      </c>
      <c r="F3627" s="898">
        <f>'Action POLLEC 6'!$G$59</f>
        <v>0</v>
      </c>
    </row>
    <row r="3628" spans="1:6">
      <c r="A3628" t="s">
        <v>2990</v>
      </c>
      <c r="B3628" t="s">
        <v>2881</v>
      </c>
      <c r="F3628" s="898">
        <f>'Action POLLEC 6'!$G60</f>
        <v>0</v>
      </c>
    </row>
    <row r="3629" spans="1:6">
      <c r="A3629" t="s">
        <v>2990</v>
      </c>
      <c r="B3629" t="s">
        <v>3019</v>
      </c>
      <c r="F3629" s="898">
        <f>'Action POLLEC 6'!$G61</f>
        <v>0</v>
      </c>
    </row>
    <row r="3630" spans="1:6">
      <c r="A3630" t="s">
        <v>2990</v>
      </c>
      <c r="B3630" t="s">
        <v>3020</v>
      </c>
      <c r="F3630" s="898">
        <f>'Action POLLEC 6'!$G62</f>
        <v>0</v>
      </c>
    </row>
    <row r="3631" spans="1:6">
      <c r="A3631" t="s">
        <v>2990</v>
      </c>
      <c r="B3631" t="s">
        <v>3021</v>
      </c>
      <c r="F3631" s="898">
        <f>'Action POLLEC 6'!$G63</f>
        <v>0</v>
      </c>
    </row>
    <row r="3632" spans="1:6">
      <c r="A3632" t="s">
        <v>2990</v>
      </c>
      <c r="B3632" t="s">
        <v>3022</v>
      </c>
      <c r="F3632" s="898">
        <f>'Action POLLEC 6'!$G64</f>
        <v>0</v>
      </c>
    </row>
    <row r="3633" spans="1:6">
      <c r="A3633" t="s">
        <v>2990</v>
      </c>
      <c r="B3633" t="s">
        <v>3023</v>
      </c>
      <c r="F3633" s="898">
        <f>'Action POLLEC 6'!$G65</f>
        <v>0</v>
      </c>
    </row>
    <row r="3634" spans="1:6">
      <c r="A3634" t="s">
        <v>2990</v>
      </c>
      <c r="B3634" t="s">
        <v>3024</v>
      </c>
      <c r="F3634" s="898">
        <f>'Action POLLEC 6'!$G66</f>
        <v>0</v>
      </c>
    </row>
    <row r="3635" spans="1:6">
      <c r="A3635" t="s">
        <v>2990</v>
      </c>
      <c r="B3635" t="s">
        <v>3025</v>
      </c>
      <c r="F3635" s="898">
        <f>'Action POLLEC 6'!$G67</f>
        <v>0</v>
      </c>
    </row>
    <row r="3636" spans="1:6">
      <c r="A3636" t="s">
        <v>2990</v>
      </c>
      <c r="B3636" t="s">
        <v>2944</v>
      </c>
      <c r="C3636" t="s">
        <v>2882</v>
      </c>
      <c r="F3636" s="898" t="str">
        <f ca="1">'Action POLLEC 6'!B77</f>
        <v>-</v>
      </c>
    </row>
    <row r="3637" spans="1:6">
      <c r="A3637" t="s">
        <v>2990</v>
      </c>
      <c r="B3637" t="s">
        <v>2944</v>
      </c>
      <c r="C3637" t="s">
        <v>2883</v>
      </c>
      <c r="F3637" s="898" t="str">
        <f ca="1">'Action POLLEC 6'!B78</f>
        <v>-</v>
      </c>
    </row>
    <row r="3638" spans="1:6">
      <c r="A3638" t="s">
        <v>2990</v>
      </c>
      <c r="B3638" t="s">
        <v>2944</v>
      </c>
      <c r="C3638" t="s">
        <v>2884</v>
      </c>
      <c r="F3638" s="898" t="str">
        <f ca="1">'Action POLLEC 6'!B79</f>
        <v>-</v>
      </c>
    </row>
    <row r="3639" spans="1:6">
      <c r="A3639" t="s">
        <v>2990</v>
      </c>
      <c r="B3639" t="s">
        <v>2944</v>
      </c>
      <c r="C3639" t="s">
        <v>2885</v>
      </c>
      <c r="F3639" s="898" t="str">
        <f ca="1">'Action POLLEC 6'!B80</f>
        <v>-</v>
      </c>
    </row>
    <row r="3640" spans="1:6">
      <c r="A3640" t="s">
        <v>2990</v>
      </c>
      <c r="B3640" t="s">
        <v>2944</v>
      </c>
      <c r="C3640" t="s">
        <v>2886</v>
      </c>
      <c r="F3640" s="898" t="str">
        <f ca="1">'Action POLLEC 6'!B81</f>
        <v>-</v>
      </c>
    </row>
    <row r="3641" spans="1:6">
      <c r="A3641" t="s">
        <v>2990</v>
      </c>
      <c r="B3641" t="s">
        <v>2944</v>
      </c>
      <c r="C3641" t="s">
        <v>2887</v>
      </c>
      <c r="F3641" s="898" t="str">
        <f ca="1">'Action POLLEC 6'!B82</f>
        <v>-</v>
      </c>
    </row>
    <row r="3642" spans="1:6">
      <c r="A3642" t="s">
        <v>2990</v>
      </c>
      <c r="B3642" t="s">
        <v>2944</v>
      </c>
      <c r="C3642" t="s">
        <v>2888</v>
      </c>
      <c r="F3642" s="898" t="str">
        <f ca="1">'Action POLLEC 6'!B83</f>
        <v>-</v>
      </c>
    </row>
    <row r="3643" spans="1:6">
      <c r="A3643" t="s">
        <v>2990</v>
      </c>
      <c r="B3643" t="s">
        <v>2944</v>
      </c>
      <c r="C3643" t="s">
        <v>2889</v>
      </c>
      <c r="F3643" s="898" t="str">
        <f ca="1">'Action POLLEC 6'!B84</f>
        <v>-</v>
      </c>
    </row>
    <row r="3644" spans="1:6">
      <c r="A3644" t="s">
        <v>2990</v>
      </c>
      <c r="B3644" t="s">
        <v>2944</v>
      </c>
      <c r="C3644" t="s">
        <v>2890</v>
      </c>
      <c r="F3644" s="898" t="str">
        <f ca="1">'Action POLLEC 6'!B85</f>
        <v>-</v>
      </c>
    </row>
    <row r="3645" spans="1:6">
      <c r="A3645" t="s">
        <v>2990</v>
      </c>
      <c r="B3645" t="s">
        <v>2944</v>
      </c>
      <c r="C3645" t="s">
        <v>2891</v>
      </c>
      <c r="F3645" s="898" t="str">
        <f ca="1">'Action POLLEC 6'!B86</f>
        <v>-</v>
      </c>
    </row>
    <row r="3646" spans="1:6">
      <c r="A3646" t="s">
        <v>2990</v>
      </c>
      <c r="B3646" t="s">
        <v>2944</v>
      </c>
      <c r="C3646" t="s">
        <v>3026</v>
      </c>
      <c r="F3646" s="898">
        <f>'Action POLLEC 6'!B87</f>
        <v>0</v>
      </c>
    </row>
    <row r="3647" spans="1:6">
      <c r="A3647" t="s">
        <v>2990</v>
      </c>
      <c r="B3647" t="s">
        <v>2944</v>
      </c>
      <c r="C3647" t="s">
        <v>3027</v>
      </c>
      <c r="F3647" s="898">
        <f>'Action POLLEC 6'!B88</f>
        <v>0</v>
      </c>
    </row>
    <row r="3648" spans="1:6">
      <c r="A3648" t="s">
        <v>2990</v>
      </c>
      <c r="B3648" t="s">
        <v>2944</v>
      </c>
      <c r="C3648" t="s">
        <v>3028</v>
      </c>
      <c r="F3648" s="898">
        <f>'Action POLLEC 6'!B89</f>
        <v>0</v>
      </c>
    </row>
    <row r="3649" spans="1:6">
      <c r="A3649" t="s">
        <v>2990</v>
      </c>
      <c r="B3649" t="s">
        <v>2944</v>
      </c>
      <c r="C3649" t="s">
        <v>3029</v>
      </c>
      <c r="F3649" s="898">
        <f>'Action POLLEC 6'!B90</f>
        <v>0</v>
      </c>
    </row>
    <row r="3650" spans="1:6">
      <c r="A3650" t="s">
        <v>2990</v>
      </c>
      <c r="B3650" t="s">
        <v>2944</v>
      </c>
      <c r="C3650" t="s">
        <v>3030</v>
      </c>
      <c r="F3650" s="898">
        <f>'Action POLLEC 6'!B91</f>
        <v>0</v>
      </c>
    </row>
    <row r="3651" spans="1:6">
      <c r="A3651" t="s">
        <v>2990</v>
      </c>
      <c r="B3651" t="s">
        <v>2944</v>
      </c>
      <c r="C3651" t="s">
        <v>3031</v>
      </c>
      <c r="F3651" s="898">
        <f>'Action POLLEC 6'!B92</f>
        <v>0</v>
      </c>
    </row>
    <row r="3652" spans="1:6">
      <c r="A3652" t="s">
        <v>2990</v>
      </c>
      <c r="B3652" t="s">
        <v>2944</v>
      </c>
      <c r="C3652" t="s">
        <v>3032</v>
      </c>
      <c r="F3652" s="898">
        <f>'Action POLLEC 6'!B93</f>
        <v>0</v>
      </c>
    </row>
    <row r="3653" spans="1:6">
      <c r="A3653" t="s">
        <v>2990</v>
      </c>
      <c r="B3653" t="s">
        <v>2944</v>
      </c>
      <c r="C3653" t="s">
        <v>3033</v>
      </c>
      <c r="F3653" s="898">
        <f>'Action POLLEC 6'!B94</f>
        <v>0</v>
      </c>
    </row>
    <row r="3654" spans="1:6">
      <c r="A3654" t="s">
        <v>2990</v>
      </c>
      <c r="B3654" t="s">
        <v>2944</v>
      </c>
      <c r="C3654" t="s">
        <v>3034</v>
      </c>
      <c r="F3654" s="898">
        <f>'Action POLLEC 6'!B95</f>
        <v>0</v>
      </c>
    </row>
    <row r="3655" spans="1:6">
      <c r="A3655" t="s">
        <v>2990</v>
      </c>
      <c r="B3655" t="s">
        <v>2944</v>
      </c>
      <c r="C3655" t="s">
        <v>3035</v>
      </c>
      <c r="F3655" s="898">
        <f>'Action POLLEC 6'!B96</f>
        <v>0</v>
      </c>
    </row>
    <row r="3656" spans="1:6">
      <c r="A3656" t="s">
        <v>2990</v>
      </c>
      <c r="B3656" t="s">
        <v>2944</v>
      </c>
      <c r="C3656" t="s">
        <v>2892</v>
      </c>
      <c r="F3656" s="898">
        <f>'Action POLLEC 6'!C77</f>
        <v>0</v>
      </c>
    </row>
    <row r="3657" spans="1:6">
      <c r="A3657" t="s">
        <v>2990</v>
      </c>
      <c r="B3657" t="s">
        <v>2944</v>
      </c>
      <c r="C3657" t="s">
        <v>2893</v>
      </c>
      <c r="F3657" s="898">
        <f>'Action POLLEC 6'!C78</f>
        <v>0</v>
      </c>
    </row>
    <row r="3658" spans="1:6">
      <c r="A3658" t="s">
        <v>2990</v>
      </c>
      <c r="B3658" t="s">
        <v>2944</v>
      </c>
      <c r="C3658" t="s">
        <v>2894</v>
      </c>
      <c r="F3658" s="898">
        <f>'Action POLLEC 6'!C79</f>
        <v>0</v>
      </c>
    </row>
    <row r="3659" spans="1:6">
      <c r="A3659" t="s">
        <v>2990</v>
      </c>
      <c r="B3659" t="s">
        <v>2944</v>
      </c>
      <c r="C3659" t="s">
        <v>2895</v>
      </c>
      <c r="F3659" s="898">
        <f>'Action POLLEC 6'!C80</f>
        <v>0</v>
      </c>
    </row>
    <row r="3660" spans="1:6">
      <c r="A3660" t="s">
        <v>2990</v>
      </c>
      <c r="B3660" t="s">
        <v>2944</v>
      </c>
      <c r="C3660" t="s">
        <v>2896</v>
      </c>
      <c r="F3660" s="898">
        <f>'Action POLLEC 6'!C81</f>
        <v>0</v>
      </c>
    </row>
    <row r="3661" spans="1:6">
      <c r="A3661" t="s">
        <v>2990</v>
      </c>
      <c r="B3661" t="s">
        <v>2944</v>
      </c>
      <c r="C3661" t="s">
        <v>2897</v>
      </c>
      <c r="F3661" s="898">
        <f>'Action POLLEC 6'!C82</f>
        <v>0</v>
      </c>
    </row>
    <row r="3662" spans="1:6">
      <c r="A3662" t="s">
        <v>2990</v>
      </c>
      <c r="B3662" t="s">
        <v>2944</v>
      </c>
      <c r="C3662" t="s">
        <v>2898</v>
      </c>
      <c r="F3662" s="898">
        <f>'Action POLLEC 6'!C83</f>
        <v>0</v>
      </c>
    </row>
    <row r="3663" spans="1:6">
      <c r="A3663" t="s">
        <v>2990</v>
      </c>
      <c r="B3663" t="s">
        <v>2944</v>
      </c>
      <c r="C3663" t="s">
        <v>2899</v>
      </c>
      <c r="F3663" s="898">
        <f>'Action POLLEC 6'!C84</f>
        <v>0</v>
      </c>
    </row>
    <row r="3664" spans="1:6">
      <c r="A3664" t="s">
        <v>2990</v>
      </c>
      <c r="B3664" t="s">
        <v>2944</v>
      </c>
      <c r="C3664" t="s">
        <v>2900</v>
      </c>
      <c r="F3664" s="898">
        <f>'Action POLLEC 6'!C85</f>
        <v>0</v>
      </c>
    </row>
    <row r="3665" spans="1:6">
      <c r="A3665" t="s">
        <v>2990</v>
      </c>
      <c r="B3665" t="s">
        <v>2944</v>
      </c>
      <c r="C3665" t="s">
        <v>2901</v>
      </c>
      <c r="F3665" s="898">
        <f>'Action POLLEC 6'!C86</f>
        <v>0</v>
      </c>
    </row>
    <row r="3666" spans="1:6">
      <c r="A3666" t="s">
        <v>2990</v>
      </c>
      <c r="B3666" t="s">
        <v>2944</v>
      </c>
      <c r="C3666" t="s">
        <v>3036</v>
      </c>
      <c r="F3666" s="898">
        <f>'Action POLLEC 6'!C87</f>
        <v>0</v>
      </c>
    </row>
    <row r="3667" spans="1:6">
      <c r="A3667" t="s">
        <v>2990</v>
      </c>
      <c r="B3667" t="s">
        <v>2944</v>
      </c>
      <c r="C3667" t="s">
        <v>3037</v>
      </c>
      <c r="F3667" s="898">
        <f>'Action POLLEC 6'!C88</f>
        <v>0</v>
      </c>
    </row>
    <row r="3668" spans="1:6">
      <c r="A3668" t="s">
        <v>2990</v>
      </c>
      <c r="B3668" t="s">
        <v>2944</v>
      </c>
      <c r="C3668" t="s">
        <v>3038</v>
      </c>
      <c r="F3668" s="898">
        <f>'Action POLLEC 6'!C89</f>
        <v>0</v>
      </c>
    </row>
    <row r="3669" spans="1:6">
      <c r="A3669" t="s">
        <v>2990</v>
      </c>
      <c r="B3669" t="s">
        <v>2944</v>
      </c>
      <c r="C3669" t="s">
        <v>3039</v>
      </c>
      <c r="F3669" s="898">
        <f>'Action POLLEC 6'!C90</f>
        <v>0</v>
      </c>
    </row>
    <row r="3670" spans="1:6">
      <c r="A3670" t="s">
        <v>2990</v>
      </c>
      <c r="B3670" t="s">
        <v>2944</v>
      </c>
      <c r="C3670" t="s">
        <v>3040</v>
      </c>
      <c r="F3670" s="898">
        <f>'Action POLLEC 6'!C91</f>
        <v>0</v>
      </c>
    </row>
    <row r="3671" spans="1:6">
      <c r="A3671" t="s">
        <v>2990</v>
      </c>
      <c r="B3671" t="s">
        <v>2944</v>
      </c>
      <c r="C3671" t="s">
        <v>3041</v>
      </c>
      <c r="F3671" s="898">
        <f>'Action POLLEC 6'!C92</f>
        <v>0</v>
      </c>
    </row>
    <row r="3672" spans="1:6">
      <c r="A3672" t="s">
        <v>2990</v>
      </c>
      <c r="B3672" t="s">
        <v>2944</v>
      </c>
      <c r="C3672" t="s">
        <v>3042</v>
      </c>
      <c r="F3672" s="898">
        <f>'Action POLLEC 6'!C93</f>
        <v>0</v>
      </c>
    </row>
    <row r="3673" spans="1:6">
      <c r="A3673" t="s">
        <v>2990</v>
      </c>
      <c r="B3673" t="s">
        <v>2944</v>
      </c>
      <c r="C3673" t="s">
        <v>3043</v>
      </c>
      <c r="F3673" s="898">
        <f>'Action POLLEC 6'!C94</f>
        <v>0</v>
      </c>
    </row>
    <row r="3674" spans="1:6">
      <c r="A3674" t="s">
        <v>2990</v>
      </c>
      <c r="B3674" t="s">
        <v>2944</v>
      </c>
      <c r="C3674" t="s">
        <v>3044</v>
      </c>
      <c r="F3674" s="898">
        <f>'Action POLLEC 6'!C95</f>
        <v>0</v>
      </c>
    </row>
    <row r="3675" spans="1:6">
      <c r="A3675" t="s">
        <v>2990</v>
      </c>
      <c r="B3675" t="s">
        <v>2944</v>
      </c>
      <c r="C3675" t="s">
        <v>3045</v>
      </c>
      <c r="F3675" s="898">
        <f>'Action POLLEC 6'!C96</f>
        <v>0</v>
      </c>
    </row>
    <row r="3676" spans="1:6">
      <c r="A3676" t="s">
        <v>2990</v>
      </c>
      <c r="B3676" t="s">
        <v>2944</v>
      </c>
      <c r="C3676" t="s">
        <v>2902</v>
      </c>
      <c r="F3676" s="898" t="str">
        <f ca="1">'Action POLLEC 6'!D77</f>
        <v>-</v>
      </c>
    </row>
    <row r="3677" spans="1:6">
      <c r="A3677" t="s">
        <v>2990</v>
      </c>
      <c r="B3677" t="s">
        <v>2944</v>
      </c>
      <c r="C3677" t="s">
        <v>2903</v>
      </c>
      <c r="F3677" s="898" t="str">
        <f ca="1">'Action POLLEC 6'!D78</f>
        <v>-</v>
      </c>
    </row>
    <row r="3678" spans="1:6">
      <c r="A3678" t="s">
        <v>2990</v>
      </c>
      <c r="B3678" t="s">
        <v>2944</v>
      </c>
      <c r="C3678" t="s">
        <v>2904</v>
      </c>
      <c r="F3678" s="898" t="str">
        <f ca="1">'Action POLLEC 6'!D79</f>
        <v>-</v>
      </c>
    </row>
    <row r="3679" spans="1:6">
      <c r="A3679" t="s">
        <v>2990</v>
      </c>
      <c r="B3679" t="s">
        <v>2944</v>
      </c>
      <c r="C3679" t="s">
        <v>2905</v>
      </c>
      <c r="F3679" s="898" t="str">
        <f ca="1">'Action POLLEC 6'!D80</f>
        <v>-</v>
      </c>
    </row>
    <row r="3680" spans="1:6">
      <c r="A3680" t="s">
        <v>2990</v>
      </c>
      <c r="B3680" t="s">
        <v>2944</v>
      </c>
      <c r="C3680" t="s">
        <v>2906</v>
      </c>
      <c r="F3680" s="898" t="str">
        <f ca="1">'Action POLLEC 6'!D81</f>
        <v>-</v>
      </c>
    </row>
    <row r="3681" spans="1:6">
      <c r="A3681" t="s">
        <v>2990</v>
      </c>
      <c r="B3681" t="s">
        <v>2944</v>
      </c>
      <c r="C3681" t="s">
        <v>2907</v>
      </c>
      <c r="F3681" s="898" t="str">
        <f ca="1">'Action POLLEC 6'!D82</f>
        <v>-</v>
      </c>
    </row>
    <row r="3682" spans="1:6">
      <c r="A3682" t="s">
        <v>2990</v>
      </c>
      <c r="B3682" t="s">
        <v>2944</v>
      </c>
      <c r="C3682" t="s">
        <v>2908</v>
      </c>
      <c r="F3682" s="898" t="str">
        <f ca="1">'Action POLLEC 6'!D83</f>
        <v>-</v>
      </c>
    </row>
    <row r="3683" spans="1:6">
      <c r="A3683" t="s">
        <v>2990</v>
      </c>
      <c r="B3683" t="s">
        <v>2944</v>
      </c>
      <c r="C3683" t="s">
        <v>2909</v>
      </c>
      <c r="F3683" s="898" t="str">
        <f ca="1">'Action POLLEC 6'!D84</f>
        <v>-</v>
      </c>
    </row>
    <row r="3684" spans="1:6">
      <c r="A3684" t="s">
        <v>2990</v>
      </c>
      <c r="B3684" t="s">
        <v>2944</v>
      </c>
      <c r="C3684" t="s">
        <v>2910</v>
      </c>
      <c r="F3684" s="898" t="str">
        <f ca="1">'Action POLLEC 6'!D85</f>
        <v>-</v>
      </c>
    </row>
    <row r="3685" spans="1:6">
      <c r="A3685" t="s">
        <v>2990</v>
      </c>
      <c r="B3685" t="s">
        <v>2944</v>
      </c>
      <c r="C3685" t="s">
        <v>2911</v>
      </c>
      <c r="F3685" s="898" t="str">
        <f ca="1">'Action POLLEC 6'!D86</f>
        <v>-</v>
      </c>
    </row>
    <row r="3686" spans="1:6">
      <c r="A3686" t="s">
        <v>2990</v>
      </c>
      <c r="B3686" t="s">
        <v>2944</v>
      </c>
      <c r="C3686" t="s">
        <v>3046</v>
      </c>
      <c r="F3686" s="898">
        <f>'Action POLLEC 6'!D87</f>
        <v>0</v>
      </c>
    </row>
    <row r="3687" spans="1:6">
      <c r="A3687" t="s">
        <v>2990</v>
      </c>
      <c r="B3687" t="s">
        <v>2944</v>
      </c>
      <c r="C3687" t="s">
        <v>3047</v>
      </c>
      <c r="F3687" s="898">
        <f>'Action POLLEC 6'!D88</f>
        <v>0</v>
      </c>
    </row>
    <row r="3688" spans="1:6">
      <c r="A3688" t="s">
        <v>2990</v>
      </c>
      <c r="B3688" t="s">
        <v>2944</v>
      </c>
      <c r="C3688" t="s">
        <v>3048</v>
      </c>
      <c r="F3688" s="898">
        <f>'Action POLLEC 6'!D89</f>
        <v>0</v>
      </c>
    </row>
    <row r="3689" spans="1:6">
      <c r="A3689" t="s">
        <v>2990</v>
      </c>
      <c r="B3689" t="s">
        <v>2944</v>
      </c>
      <c r="C3689" t="s">
        <v>3049</v>
      </c>
      <c r="F3689" s="898">
        <f>'Action POLLEC 6'!D90</f>
        <v>0</v>
      </c>
    </row>
    <row r="3690" spans="1:6">
      <c r="A3690" t="s">
        <v>2990</v>
      </c>
      <c r="B3690" t="s">
        <v>2944</v>
      </c>
      <c r="C3690" t="s">
        <v>3050</v>
      </c>
      <c r="F3690" s="898">
        <f>'Action POLLEC 6'!D91</f>
        <v>0</v>
      </c>
    </row>
    <row r="3691" spans="1:6">
      <c r="A3691" t="s">
        <v>2990</v>
      </c>
      <c r="B3691" t="s">
        <v>2944</v>
      </c>
      <c r="C3691" t="s">
        <v>3051</v>
      </c>
      <c r="F3691" s="898">
        <f>'Action POLLEC 6'!D92</f>
        <v>0</v>
      </c>
    </row>
    <row r="3692" spans="1:6">
      <c r="A3692" t="s">
        <v>2990</v>
      </c>
      <c r="B3692" t="s">
        <v>2944</v>
      </c>
      <c r="C3692" t="s">
        <v>3052</v>
      </c>
      <c r="F3692" s="898">
        <f>'Action POLLEC 6'!D93</f>
        <v>0</v>
      </c>
    </row>
    <row r="3693" spans="1:6">
      <c r="A3693" t="s">
        <v>2990</v>
      </c>
      <c r="B3693" t="s">
        <v>2944</v>
      </c>
      <c r="C3693" t="s">
        <v>3053</v>
      </c>
      <c r="F3693" s="898">
        <f>'Action POLLEC 6'!D94</f>
        <v>0</v>
      </c>
    </row>
    <row r="3694" spans="1:6">
      <c r="A3694" t="s">
        <v>2990</v>
      </c>
      <c r="B3694" t="s">
        <v>2944</v>
      </c>
      <c r="C3694" t="s">
        <v>3054</v>
      </c>
      <c r="F3694" s="898">
        <f>'Action POLLEC 6'!D95</f>
        <v>0</v>
      </c>
    </row>
    <row r="3695" spans="1:6">
      <c r="A3695" t="s">
        <v>2990</v>
      </c>
      <c r="B3695" t="s">
        <v>2944</v>
      </c>
      <c r="C3695" t="s">
        <v>3055</v>
      </c>
      <c r="F3695" s="898">
        <f>'Action POLLEC 6'!D96</f>
        <v>0</v>
      </c>
    </row>
    <row r="3696" spans="1:6">
      <c r="A3696" t="s">
        <v>2990</v>
      </c>
      <c r="B3696" t="s">
        <v>2944</v>
      </c>
      <c r="C3696" t="s">
        <v>2866</v>
      </c>
      <c r="F3696" s="898" t="str">
        <f ca="1">'Action POLLEC 6'!E77</f>
        <v/>
      </c>
    </row>
    <row r="3697" spans="1:6">
      <c r="A3697" t="s">
        <v>2990</v>
      </c>
      <c r="B3697" t="s">
        <v>2944</v>
      </c>
      <c r="C3697" t="s">
        <v>2867</v>
      </c>
      <c r="F3697" s="898" t="str">
        <f ca="1">'Action POLLEC 6'!E78</f>
        <v/>
      </c>
    </row>
    <row r="3698" spans="1:6">
      <c r="A3698" t="s">
        <v>2990</v>
      </c>
      <c r="B3698" t="s">
        <v>2944</v>
      </c>
      <c r="C3698" t="s">
        <v>2868</v>
      </c>
      <c r="F3698" s="898" t="str">
        <f ca="1">'Action POLLEC 6'!E79</f>
        <v/>
      </c>
    </row>
    <row r="3699" spans="1:6">
      <c r="A3699" t="s">
        <v>2990</v>
      </c>
      <c r="B3699" t="s">
        <v>2944</v>
      </c>
      <c r="C3699" t="s">
        <v>2869</v>
      </c>
      <c r="F3699" s="898" t="str">
        <f ca="1">'Action POLLEC 6'!E80</f>
        <v/>
      </c>
    </row>
    <row r="3700" spans="1:6">
      <c r="A3700" t="s">
        <v>2990</v>
      </c>
      <c r="B3700" t="s">
        <v>2944</v>
      </c>
      <c r="C3700" t="s">
        <v>2870</v>
      </c>
      <c r="F3700" s="898" t="str">
        <f ca="1">'Action POLLEC 6'!E81</f>
        <v/>
      </c>
    </row>
    <row r="3701" spans="1:6">
      <c r="A3701" t="s">
        <v>2990</v>
      </c>
      <c r="B3701" t="s">
        <v>2944</v>
      </c>
      <c r="C3701" t="s">
        <v>2871</v>
      </c>
      <c r="F3701" s="898" t="str">
        <f ca="1">'Action POLLEC 6'!E82</f>
        <v/>
      </c>
    </row>
    <row r="3702" spans="1:6">
      <c r="A3702" t="s">
        <v>2990</v>
      </c>
      <c r="B3702" t="s">
        <v>2944</v>
      </c>
      <c r="C3702" t="s">
        <v>2872</v>
      </c>
      <c r="F3702" s="898" t="str">
        <f ca="1">'Action POLLEC 6'!E83</f>
        <v/>
      </c>
    </row>
    <row r="3703" spans="1:6">
      <c r="A3703" t="s">
        <v>2990</v>
      </c>
      <c r="B3703" t="s">
        <v>2944</v>
      </c>
      <c r="C3703" t="s">
        <v>2873</v>
      </c>
      <c r="F3703" s="898" t="str">
        <f ca="1">'Action POLLEC 6'!E84</f>
        <v/>
      </c>
    </row>
    <row r="3704" spans="1:6">
      <c r="A3704" t="s">
        <v>2990</v>
      </c>
      <c r="B3704" t="s">
        <v>2944</v>
      </c>
      <c r="C3704" t="s">
        <v>2912</v>
      </c>
      <c r="F3704" s="898" t="str">
        <f ca="1">'Action POLLEC 6'!E85</f>
        <v/>
      </c>
    </row>
    <row r="3705" spans="1:6">
      <c r="A3705" t="s">
        <v>2990</v>
      </c>
      <c r="B3705" t="s">
        <v>2944</v>
      </c>
      <c r="C3705" t="s">
        <v>2913</v>
      </c>
      <c r="F3705" s="898" t="str">
        <f ca="1">'Action POLLEC 6'!E86</f>
        <v/>
      </c>
    </row>
    <row r="3706" spans="1:6">
      <c r="A3706" t="s">
        <v>2990</v>
      </c>
      <c r="B3706" t="s">
        <v>2944</v>
      </c>
      <c r="C3706" t="s">
        <v>3014</v>
      </c>
      <c r="F3706" s="898">
        <f>'Action POLLEC 6'!E87</f>
        <v>0</v>
      </c>
    </row>
    <row r="3707" spans="1:6">
      <c r="A3707" t="s">
        <v>2990</v>
      </c>
      <c r="B3707" t="s">
        <v>2944</v>
      </c>
      <c r="C3707" t="s">
        <v>3015</v>
      </c>
      <c r="F3707" s="898">
        <f>'Action POLLEC 6'!E88</f>
        <v>0</v>
      </c>
    </row>
    <row r="3708" spans="1:6">
      <c r="A3708" t="s">
        <v>2990</v>
      </c>
      <c r="B3708" t="s">
        <v>2944</v>
      </c>
      <c r="C3708" t="s">
        <v>3016</v>
      </c>
      <c r="F3708" s="898">
        <f>'Action POLLEC 6'!E89</f>
        <v>0</v>
      </c>
    </row>
    <row r="3709" spans="1:6">
      <c r="A3709" t="s">
        <v>2990</v>
      </c>
      <c r="B3709" t="s">
        <v>2944</v>
      </c>
      <c r="C3709" t="s">
        <v>3017</v>
      </c>
      <c r="F3709" s="898">
        <f>'Action POLLEC 6'!E90</f>
        <v>0</v>
      </c>
    </row>
    <row r="3710" spans="1:6">
      <c r="A3710" t="s">
        <v>2990</v>
      </c>
      <c r="B3710" t="s">
        <v>2944</v>
      </c>
      <c r="C3710" t="s">
        <v>3018</v>
      </c>
      <c r="F3710" s="898">
        <f>'Action POLLEC 6'!E91</f>
        <v>0</v>
      </c>
    </row>
    <row r="3711" spans="1:6">
      <c r="A3711" t="s">
        <v>2990</v>
      </c>
      <c r="B3711" t="s">
        <v>2944</v>
      </c>
      <c r="C3711" t="s">
        <v>3056</v>
      </c>
      <c r="F3711" s="898">
        <f>'Action POLLEC 6'!E92</f>
        <v>0</v>
      </c>
    </row>
    <row r="3712" spans="1:6">
      <c r="A3712" t="s">
        <v>2990</v>
      </c>
      <c r="B3712" t="s">
        <v>2944</v>
      </c>
      <c r="C3712" t="s">
        <v>3057</v>
      </c>
      <c r="F3712" s="898">
        <f>'Action POLLEC 6'!E93</f>
        <v>0</v>
      </c>
    </row>
    <row r="3713" spans="1:6">
      <c r="A3713" t="s">
        <v>2990</v>
      </c>
      <c r="B3713" t="s">
        <v>2944</v>
      </c>
      <c r="C3713" t="s">
        <v>3058</v>
      </c>
      <c r="F3713" s="898">
        <f>'Action POLLEC 6'!E94</f>
        <v>0</v>
      </c>
    </row>
    <row r="3714" spans="1:6">
      <c r="A3714" t="s">
        <v>2990</v>
      </c>
      <c r="B3714" t="s">
        <v>2944</v>
      </c>
      <c r="C3714" t="s">
        <v>3059</v>
      </c>
      <c r="F3714" s="898">
        <f>'Action POLLEC 6'!E95</f>
        <v>0</v>
      </c>
    </row>
    <row r="3715" spans="1:6">
      <c r="A3715" t="s">
        <v>2990</v>
      </c>
      <c r="B3715" t="s">
        <v>2944</v>
      </c>
      <c r="C3715" t="s">
        <v>3060</v>
      </c>
      <c r="F3715" s="898">
        <f>'Action POLLEC 6'!E96</f>
        <v>0</v>
      </c>
    </row>
    <row r="3716" spans="1:6">
      <c r="A3716" t="s">
        <v>2990</v>
      </c>
      <c r="B3716" t="s">
        <v>2944</v>
      </c>
      <c r="C3716" t="s">
        <v>2914</v>
      </c>
      <c r="F3716" s="898">
        <f>'Action POLLEC 6'!F77</f>
        <v>0</v>
      </c>
    </row>
    <row r="3717" spans="1:6">
      <c r="A3717" t="s">
        <v>2990</v>
      </c>
      <c r="B3717" t="s">
        <v>2944</v>
      </c>
      <c r="C3717" t="s">
        <v>2915</v>
      </c>
      <c r="F3717" s="898">
        <f>'Action POLLEC 6'!F78</f>
        <v>0</v>
      </c>
    </row>
    <row r="3718" spans="1:6">
      <c r="A3718" t="s">
        <v>2990</v>
      </c>
      <c r="B3718" t="s">
        <v>2944</v>
      </c>
      <c r="C3718" t="s">
        <v>2916</v>
      </c>
      <c r="F3718" s="898">
        <f>'Action POLLEC 6'!F79</f>
        <v>0</v>
      </c>
    </row>
    <row r="3719" spans="1:6">
      <c r="A3719" t="s">
        <v>2990</v>
      </c>
      <c r="B3719" t="s">
        <v>2944</v>
      </c>
      <c r="C3719" t="s">
        <v>2917</v>
      </c>
      <c r="F3719" s="898">
        <f>'Action POLLEC 6'!F80</f>
        <v>0</v>
      </c>
    </row>
    <row r="3720" spans="1:6">
      <c r="A3720" t="s">
        <v>2990</v>
      </c>
      <c r="B3720" t="s">
        <v>2944</v>
      </c>
      <c r="C3720" t="s">
        <v>2918</v>
      </c>
      <c r="F3720" s="898">
        <f>'Action POLLEC 6'!F81</f>
        <v>0</v>
      </c>
    </row>
    <row r="3721" spans="1:6">
      <c r="A3721" t="s">
        <v>2990</v>
      </c>
      <c r="B3721" t="s">
        <v>2944</v>
      </c>
      <c r="C3721" t="s">
        <v>2919</v>
      </c>
      <c r="F3721" s="898">
        <f>'Action POLLEC 6'!F82</f>
        <v>0</v>
      </c>
    </row>
    <row r="3722" spans="1:6">
      <c r="A3722" t="s">
        <v>2990</v>
      </c>
      <c r="B3722" t="s">
        <v>2944</v>
      </c>
      <c r="C3722" t="s">
        <v>2920</v>
      </c>
      <c r="F3722" s="898">
        <f>'Action POLLEC 6'!F83</f>
        <v>0</v>
      </c>
    </row>
    <row r="3723" spans="1:6">
      <c r="A3723" t="s">
        <v>2990</v>
      </c>
      <c r="B3723" t="s">
        <v>2944</v>
      </c>
      <c r="C3723" t="s">
        <v>2921</v>
      </c>
      <c r="F3723" s="898">
        <f>'Action POLLEC 6'!F84</f>
        <v>0</v>
      </c>
    </row>
    <row r="3724" spans="1:6">
      <c r="A3724" t="s">
        <v>2990</v>
      </c>
      <c r="B3724" t="s">
        <v>2944</v>
      </c>
      <c r="C3724" t="s">
        <v>2922</v>
      </c>
      <c r="F3724" s="898">
        <f>'Action POLLEC 6'!F85</f>
        <v>0</v>
      </c>
    </row>
    <row r="3725" spans="1:6">
      <c r="A3725" t="s">
        <v>2990</v>
      </c>
      <c r="B3725" t="s">
        <v>2944</v>
      </c>
      <c r="C3725" t="s">
        <v>2923</v>
      </c>
      <c r="F3725" s="898">
        <f>'Action POLLEC 6'!F86</f>
        <v>0</v>
      </c>
    </row>
    <row r="3726" spans="1:6">
      <c r="A3726" t="s">
        <v>2990</v>
      </c>
      <c r="B3726" t="s">
        <v>2944</v>
      </c>
      <c r="C3726" t="s">
        <v>3061</v>
      </c>
      <c r="F3726" s="898">
        <f>'Action POLLEC 6'!F87</f>
        <v>0</v>
      </c>
    </row>
    <row r="3727" spans="1:6">
      <c r="A3727" t="s">
        <v>2990</v>
      </c>
      <c r="B3727" t="s">
        <v>2944</v>
      </c>
      <c r="C3727" t="s">
        <v>3062</v>
      </c>
      <c r="F3727" s="898">
        <f>'Action POLLEC 6'!F88</f>
        <v>0</v>
      </c>
    </row>
    <row r="3728" spans="1:6">
      <c r="A3728" t="s">
        <v>2990</v>
      </c>
      <c r="B3728" t="s">
        <v>2944</v>
      </c>
      <c r="C3728" t="s">
        <v>3063</v>
      </c>
      <c r="F3728" s="898">
        <f>'Action POLLEC 6'!F89</f>
        <v>0</v>
      </c>
    </row>
    <row r="3729" spans="1:6">
      <c r="A3729" t="s">
        <v>2990</v>
      </c>
      <c r="B3729" t="s">
        <v>2944</v>
      </c>
      <c r="C3729" t="s">
        <v>3064</v>
      </c>
      <c r="F3729" s="898">
        <f>'Action POLLEC 6'!F90</f>
        <v>0</v>
      </c>
    </row>
    <row r="3730" spans="1:6">
      <c r="A3730" t="s">
        <v>2990</v>
      </c>
      <c r="B3730" t="s">
        <v>2944</v>
      </c>
      <c r="C3730" t="s">
        <v>3065</v>
      </c>
      <c r="F3730" s="898">
        <f>'Action POLLEC 6'!F91</f>
        <v>0</v>
      </c>
    </row>
    <row r="3731" spans="1:6">
      <c r="A3731" t="s">
        <v>2990</v>
      </c>
      <c r="B3731" t="s">
        <v>2944</v>
      </c>
      <c r="C3731" t="s">
        <v>3066</v>
      </c>
      <c r="F3731" s="898">
        <f>'Action POLLEC 6'!F92</f>
        <v>0</v>
      </c>
    </row>
    <row r="3732" spans="1:6">
      <c r="A3732" t="s">
        <v>2990</v>
      </c>
      <c r="B3732" t="s">
        <v>2944</v>
      </c>
      <c r="C3732" t="s">
        <v>3067</v>
      </c>
      <c r="F3732" s="898">
        <f>'Action POLLEC 6'!F93</f>
        <v>0</v>
      </c>
    </row>
    <row r="3733" spans="1:6">
      <c r="A3733" t="s">
        <v>2990</v>
      </c>
      <c r="B3733" t="s">
        <v>2944</v>
      </c>
      <c r="C3733" t="s">
        <v>3068</v>
      </c>
      <c r="F3733" s="898">
        <f>'Action POLLEC 6'!F94</f>
        <v>0</v>
      </c>
    </row>
    <row r="3734" spans="1:6">
      <c r="A3734" t="s">
        <v>2990</v>
      </c>
      <c r="B3734" t="s">
        <v>2944</v>
      </c>
      <c r="C3734" t="s">
        <v>3069</v>
      </c>
      <c r="F3734" s="898">
        <f>'Action POLLEC 6'!F95</f>
        <v>0</v>
      </c>
    </row>
    <row r="3735" spans="1:6">
      <c r="A3735" t="s">
        <v>2990</v>
      </c>
      <c r="B3735" t="s">
        <v>2944</v>
      </c>
      <c r="C3735" t="s">
        <v>3070</v>
      </c>
      <c r="F3735" s="898">
        <f>'Action POLLEC 6'!F96</f>
        <v>0</v>
      </c>
    </row>
    <row r="3736" spans="1:6">
      <c r="A3736" t="s">
        <v>2990</v>
      </c>
      <c r="B3736" t="s">
        <v>2944</v>
      </c>
      <c r="C3736" t="s">
        <v>2924</v>
      </c>
      <c r="F3736" s="898">
        <f>'Action POLLEC 6'!G77</f>
        <v>0</v>
      </c>
    </row>
    <row r="3737" spans="1:6">
      <c r="A3737" t="s">
        <v>2990</v>
      </c>
      <c r="B3737" t="s">
        <v>2944</v>
      </c>
      <c r="C3737" t="s">
        <v>2925</v>
      </c>
      <c r="F3737" s="898">
        <f>'Action POLLEC 6'!G78</f>
        <v>0</v>
      </c>
    </row>
    <row r="3738" spans="1:6">
      <c r="A3738" t="s">
        <v>2990</v>
      </c>
      <c r="B3738" t="s">
        <v>2944</v>
      </c>
      <c r="C3738" t="s">
        <v>2926</v>
      </c>
      <c r="F3738" s="898">
        <f>'Action POLLEC 6'!G79</f>
        <v>0</v>
      </c>
    </row>
    <row r="3739" spans="1:6">
      <c r="A3739" t="s">
        <v>2990</v>
      </c>
      <c r="B3739" t="s">
        <v>2944</v>
      </c>
      <c r="C3739" t="s">
        <v>2927</v>
      </c>
      <c r="F3739" s="898">
        <f>'Action POLLEC 6'!G80</f>
        <v>0</v>
      </c>
    </row>
    <row r="3740" spans="1:6">
      <c r="A3740" t="s">
        <v>2990</v>
      </c>
      <c r="B3740" t="s">
        <v>2944</v>
      </c>
      <c r="C3740" t="s">
        <v>2928</v>
      </c>
      <c r="F3740" s="898">
        <f>'Action POLLEC 6'!G81</f>
        <v>0</v>
      </c>
    </row>
    <row r="3741" spans="1:6">
      <c r="A3741" t="s">
        <v>2990</v>
      </c>
      <c r="B3741" t="s">
        <v>2944</v>
      </c>
      <c r="C3741" t="s">
        <v>2929</v>
      </c>
      <c r="F3741" s="898">
        <f>'Action POLLEC 6'!G82</f>
        <v>0</v>
      </c>
    </row>
    <row r="3742" spans="1:6">
      <c r="A3742" t="s">
        <v>2990</v>
      </c>
      <c r="B3742" t="s">
        <v>2944</v>
      </c>
      <c r="C3742" t="s">
        <v>2930</v>
      </c>
      <c r="F3742" s="898">
        <f>'Action POLLEC 6'!G83</f>
        <v>0</v>
      </c>
    </row>
    <row r="3743" spans="1:6">
      <c r="A3743" t="s">
        <v>2990</v>
      </c>
      <c r="B3743" t="s">
        <v>2944</v>
      </c>
      <c r="C3743" t="s">
        <v>2931</v>
      </c>
      <c r="F3743" s="898">
        <f>'Action POLLEC 6'!G84</f>
        <v>0</v>
      </c>
    </row>
    <row r="3744" spans="1:6">
      <c r="A3744" t="s">
        <v>2990</v>
      </c>
      <c r="B3744" t="s">
        <v>2944</v>
      </c>
      <c r="C3744" t="s">
        <v>2932</v>
      </c>
      <c r="F3744" s="898">
        <f>'Action POLLEC 6'!G85</f>
        <v>0</v>
      </c>
    </row>
    <row r="3745" spans="1:6">
      <c r="A3745" t="s">
        <v>2990</v>
      </c>
      <c r="B3745" t="s">
        <v>2944</v>
      </c>
      <c r="C3745" t="s">
        <v>2933</v>
      </c>
      <c r="F3745" s="898">
        <f>'Action POLLEC 6'!G86</f>
        <v>0</v>
      </c>
    </row>
    <row r="3746" spans="1:6">
      <c r="A3746" t="s">
        <v>2990</v>
      </c>
      <c r="B3746" t="s">
        <v>2944</v>
      </c>
      <c r="C3746" t="s">
        <v>3071</v>
      </c>
      <c r="F3746" s="898">
        <f>'Action POLLEC 6'!G87</f>
        <v>0</v>
      </c>
    </row>
    <row r="3747" spans="1:6">
      <c r="A3747" t="s">
        <v>2990</v>
      </c>
      <c r="B3747" t="s">
        <v>2944</v>
      </c>
      <c r="C3747" t="s">
        <v>3072</v>
      </c>
      <c r="F3747" s="898">
        <f>'Action POLLEC 6'!G88</f>
        <v>0</v>
      </c>
    </row>
    <row r="3748" spans="1:6">
      <c r="A3748" t="s">
        <v>2990</v>
      </c>
      <c r="B3748" t="s">
        <v>2944</v>
      </c>
      <c r="C3748" t="s">
        <v>3073</v>
      </c>
      <c r="F3748" s="898">
        <f>'Action POLLEC 6'!G89</f>
        <v>0</v>
      </c>
    </row>
    <row r="3749" spans="1:6">
      <c r="A3749" t="s">
        <v>2990</v>
      </c>
      <c r="B3749" t="s">
        <v>2944</v>
      </c>
      <c r="C3749" t="s">
        <v>3074</v>
      </c>
      <c r="F3749" s="898">
        <f>'Action POLLEC 6'!G90</f>
        <v>0</v>
      </c>
    </row>
    <row r="3750" spans="1:6">
      <c r="A3750" t="s">
        <v>2990</v>
      </c>
      <c r="B3750" t="s">
        <v>2944</v>
      </c>
      <c r="C3750" t="s">
        <v>3075</v>
      </c>
      <c r="F3750" s="898">
        <f>'Action POLLEC 6'!G91</f>
        <v>0</v>
      </c>
    </row>
    <row r="3751" spans="1:6">
      <c r="A3751" t="s">
        <v>2990</v>
      </c>
      <c r="B3751" t="s">
        <v>2944</v>
      </c>
      <c r="C3751" t="s">
        <v>3076</v>
      </c>
      <c r="F3751" s="898">
        <f>'Action POLLEC 6'!G92</f>
        <v>0</v>
      </c>
    </row>
    <row r="3752" spans="1:6">
      <c r="A3752" t="s">
        <v>2990</v>
      </c>
      <c r="B3752" t="s">
        <v>2944</v>
      </c>
      <c r="C3752" t="s">
        <v>3077</v>
      </c>
      <c r="F3752" s="898">
        <f>'Action POLLEC 6'!G93</f>
        <v>0</v>
      </c>
    </row>
    <row r="3753" spans="1:6">
      <c r="A3753" t="s">
        <v>2990</v>
      </c>
      <c r="B3753" t="s">
        <v>2944</v>
      </c>
      <c r="C3753" t="s">
        <v>3078</v>
      </c>
      <c r="F3753" s="898">
        <f>'Action POLLEC 6'!G94</f>
        <v>0</v>
      </c>
    </row>
    <row r="3754" spans="1:6">
      <c r="A3754" t="s">
        <v>2990</v>
      </c>
      <c r="B3754" t="s">
        <v>2944</v>
      </c>
      <c r="C3754" t="s">
        <v>3079</v>
      </c>
      <c r="F3754" s="898">
        <f>'Action POLLEC 6'!G95</f>
        <v>0</v>
      </c>
    </row>
    <row r="3755" spans="1:6">
      <c r="A3755" t="s">
        <v>2990</v>
      </c>
      <c r="B3755" t="s">
        <v>2944</v>
      </c>
      <c r="C3755" t="s">
        <v>3080</v>
      </c>
      <c r="F3755" s="898">
        <f>'Action POLLEC 6'!G96</f>
        <v>0</v>
      </c>
    </row>
    <row r="3756" spans="1:6">
      <c r="A3756" t="s">
        <v>2990</v>
      </c>
      <c r="B3756" t="s">
        <v>2944</v>
      </c>
      <c r="C3756" t="s">
        <v>2934</v>
      </c>
      <c r="F3756" s="898">
        <f>'Action POLLEC 6'!H77</f>
        <v>0</v>
      </c>
    </row>
    <row r="3757" spans="1:6">
      <c r="A3757" t="s">
        <v>2990</v>
      </c>
      <c r="B3757" t="s">
        <v>2944</v>
      </c>
      <c r="C3757" t="s">
        <v>2935</v>
      </c>
      <c r="F3757" s="898">
        <f>'Action POLLEC 6'!H78</f>
        <v>0</v>
      </c>
    </row>
    <row r="3758" spans="1:6">
      <c r="A3758" t="s">
        <v>2990</v>
      </c>
      <c r="B3758" t="s">
        <v>2944</v>
      </c>
      <c r="C3758" t="s">
        <v>2936</v>
      </c>
      <c r="F3758" s="898">
        <f>'Action POLLEC 6'!H79</f>
        <v>0</v>
      </c>
    </row>
    <row r="3759" spans="1:6">
      <c r="A3759" t="s">
        <v>2990</v>
      </c>
      <c r="B3759" t="s">
        <v>2944</v>
      </c>
      <c r="C3759" t="s">
        <v>2937</v>
      </c>
      <c r="F3759" s="898">
        <f>'Action POLLEC 6'!H80</f>
        <v>0</v>
      </c>
    </row>
    <row r="3760" spans="1:6">
      <c r="A3760" t="s">
        <v>2990</v>
      </c>
      <c r="B3760" t="s">
        <v>2944</v>
      </c>
      <c r="C3760" t="s">
        <v>2938</v>
      </c>
      <c r="F3760" s="898">
        <f>'Action POLLEC 6'!H81</f>
        <v>0</v>
      </c>
    </row>
    <row r="3761" spans="1:6">
      <c r="A3761" t="s">
        <v>2990</v>
      </c>
      <c r="B3761" t="s">
        <v>2944</v>
      </c>
      <c r="C3761" t="s">
        <v>2939</v>
      </c>
      <c r="F3761" s="898">
        <f>'Action POLLEC 6'!H82</f>
        <v>0</v>
      </c>
    </row>
    <row r="3762" spans="1:6">
      <c r="A3762" t="s">
        <v>2990</v>
      </c>
      <c r="B3762" t="s">
        <v>2944</v>
      </c>
      <c r="C3762" t="s">
        <v>2940</v>
      </c>
      <c r="F3762" s="898">
        <f>'Action POLLEC 6'!H83</f>
        <v>0</v>
      </c>
    </row>
    <row r="3763" spans="1:6">
      <c r="A3763" t="s">
        <v>2990</v>
      </c>
      <c r="B3763" t="s">
        <v>2944</v>
      </c>
      <c r="C3763" t="s">
        <v>2941</v>
      </c>
      <c r="F3763" s="898">
        <f>'Action POLLEC 6'!H84</f>
        <v>0</v>
      </c>
    </row>
    <row r="3764" spans="1:6">
      <c r="A3764" t="s">
        <v>2990</v>
      </c>
      <c r="B3764" t="s">
        <v>2944</v>
      </c>
      <c r="C3764" t="s">
        <v>2942</v>
      </c>
      <c r="F3764" s="898">
        <f>'Action POLLEC 6'!H85</f>
        <v>0</v>
      </c>
    </row>
    <row r="3765" spans="1:6">
      <c r="A3765" t="s">
        <v>2990</v>
      </c>
      <c r="B3765" t="s">
        <v>2944</v>
      </c>
      <c r="C3765" t="s">
        <v>2943</v>
      </c>
      <c r="F3765" s="898">
        <f>'Action POLLEC 6'!H86</f>
        <v>0</v>
      </c>
    </row>
    <row r="3766" spans="1:6">
      <c r="A3766" t="s">
        <v>2990</v>
      </c>
      <c r="B3766" t="s">
        <v>2944</v>
      </c>
      <c r="C3766" t="s">
        <v>3081</v>
      </c>
      <c r="F3766" s="898">
        <f>'Action POLLEC 6'!H87</f>
        <v>0</v>
      </c>
    </row>
    <row r="3767" spans="1:6">
      <c r="A3767" t="s">
        <v>2990</v>
      </c>
      <c r="B3767" t="s">
        <v>2944</v>
      </c>
      <c r="C3767" t="s">
        <v>3082</v>
      </c>
      <c r="F3767" s="898">
        <f>'Action POLLEC 6'!H88</f>
        <v>0</v>
      </c>
    </row>
    <row r="3768" spans="1:6">
      <c r="A3768" t="s">
        <v>2990</v>
      </c>
      <c r="B3768" t="s">
        <v>2944</v>
      </c>
      <c r="C3768" t="s">
        <v>3083</v>
      </c>
      <c r="F3768" s="898">
        <f>'Action POLLEC 6'!H89</f>
        <v>0</v>
      </c>
    </row>
    <row r="3769" spans="1:6">
      <c r="A3769" t="s">
        <v>2990</v>
      </c>
      <c r="B3769" t="s">
        <v>2944</v>
      </c>
      <c r="C3769" t="s">
        <v>3084</v>
      </c>
      <c r="F3769" s="898">
        <f>'Action POLLEC 6'!H90</f>
        <v>0</v>
      </c>
    </row>
    <row r="3770" spans="1:6">
      <c r="A3770" t="s">
        <v>2990</v>
      </c>
      <c r="B3770" t="s">
        <v>2944</v>
      </c>
      <c r="C3770" t="s">
        <v>3085</v>
      </c>
      <c r="F3770" s="898">
        <f>'Action POLLEC 6'!H91</f>
        <v>0</v>
      </c>
    </row>
    <row r="3771" spans="1:6">
      <c r="A3771" t="s">
        <v>2990</v>
      </c>
      <c r="B3771" t="s">
        <v>2944</v>
      </c>
      <c r="C3771" t="s">
        <v>3086</v>
      </c>
      <c r="F3771" s="898">
        <f>'Action POLLEC 6'!H92</f>
        <v>0</v>
      </c>
    </row>
    <row r="3772" spans="1:6">
      <c r="A3772" t="s">
        <v>2990</v>
      </c>
      <c r="B3772" t="s">
        <v>2944</v>
      </c>
      <c r="C3772" t="s">
        <v>3087</v>
      </c>
      <c r="F3772" s="898">
        <f>'Action POLLEC 6'!H93</f>
        <v>0</v>
      </c>
    </row>
    <row r="3773" spans="1:6">
      <c r="A3773" t="s">
        <v>2990</v>
      </c>
      <c r="B3773" t="s">
        <v>2944</v>
      </c>
      <c r="C3773" t="s">
        <v>3088</v>
      </c>
      <c r="F3773" s="898">
        <f>'Action POLLEC 6'!H94</f>
        <v>0</v>
      </c>
    </row>
    <row r="3774" spans="1:6">
      <c r="A3774" t="s">
        <v>2990</v>
      </c>
      <c r="B3774" t="s">
        <v>2944</v>
      </c>
      <c r="C3774" t="s">
        <v>3089</v>
      </c>
      <c r="F3774" s="898">
        <f>'Action POLLEC 6'!H95</f>
        <v>0</v>
      </c>
    </row>
    <row r="3775" spans="1:6">
      <c r="A3775" t="s">
        <v>2990</v>
      </c>
      <c r="B3775" t="s">
        <v>2944</v>
      </c>
      <c r="C3775" t="s">
        <v>3090</v>
      </c>
      <c r="F3775" s="898">
        <f>'Action POLLEC 6'!H96</f>
        <v>0</v>
      </c>
    </row>
    <row r="3776" spans="1:6">
      <c r="A3776" t="s">
        <v>2990</v>
      </c>
      <c r="B3776" t="s">
        <v>2945</v>
      </c>
      <c r="C3776" t="s">
        <v>2882</v>
      </c>
      <c r="F3776" s="898">
        <f>'Action POLLEC 6'!$B$101</f>
        <v>0</v>
      </c>
    </row>
    <row r="3777" spans="1:6">
      <c r="A3777" t="s">
        <v>2990</v>
      </c>
      <c r="B3777" t="s">
        <v>2945</v>
      </c>
      <c r="C3777" t="s">
        <v>2883</v>
      </c>
      <c r="F3777" s="898">
        <f>'Action POLLEC 6'!$B$102</f>
        <v>0</v>
      </c>
    </row>
    <row r="3778" spans="1:6">
      <c r="A3778" t="s">
        <v>2990</v>
      </c>
      <c r="B3778" t="s">
        <v>2945</v>
      </c>
      <c r="C3778" t="s">
        <v>2884</v>
      </c>
      <c r="F3778" s="898">
        <f>'Action POLLEC 6'!$B$103</f>
        <v>0</v>
      </c>
    </row>
    <row r="3779" spans="1:6">
      <c r="A3779" t="s">
        <v>2990</v>
      </c>
      <c r="B3779" t="s">
        <v>2945</v>
      </c>
      <c r="C3779" t="s">
        <v>2885</v>
      </c>
      <c r="F3779" s="898">
        <f>'Action POLLEC 6'!$B$104</f>
        <v>0</v>
      </c>
    </row>
    <row r="3780" spans="1:6">
      <c r="A3780" t="s">
        <v>2990</v>
      </c>
      <c r="B3780" t="s">
        <v>2945</v>
      </c>
      <c r="C3780" t="s">
        <v>2886</v>
      </c>
      <c r="F3780" s="898">
        <f>'Action POLLEC 6'!$B$105</f>
        <v>0</v>
      </c>
    </row>
    <row r="3781" spans="1:6">
      <c r="A3781" t="s">
        <v>2990</v>
      </c>
      <c r="B3781" t="s">
        <v>2945</v>
      </c>
      <c r="C3781" t="s">
        <v>2887</v>
      </c>
      <c r="F3781" s="898">
        <f>'Action POLLEC 6'!$B$106</f>
        <v>0</v>
      </c>
    </row>
    <row r="3782" spans="1:6">
      <c r="A3782" t="s">
        <v>2990</v>
      </c>
      <c r="B3782" t="s">
        <v>2945</v>
      </c>
      <c r="C3782" t="s">
        <v>2888</v>
      </c>
      <c r="F3782" s="898">
        <f>'Action POLLEC 6'!$B$107</f>
        <v>0</v>
      </c>
    </row>
    <row r="3783" spans="1:6">
      <c r="A3783" t="s">
        <v>2990</v>
      </c>
      <c r="B3783" t="s">
        <v>2945</v>
      </c>
      <c r="C3783" t="s">
        <v>2889</v>
      </c>
      <c r="F3783" s="898">
        <f>'Action POLLEC 6'!$B$108</f>
        <v>0</v>
      </c>
    </row>
    <row r="3784" spans="1:6">
      <c r="A3784" t="s">
        <v>2990</v>
      </c>
      <c r="B3784" t="s">
        <v>2945</v>
      </c>
      <c r="C3784" t="s">
        <v>2890</v>
      </c>
      <c r="F3784" s="898">
        <f>'Action POLLEC 6'!$B$109</f>
        <v>0</v>
      </c>
    </row>
    <row r="3785" spans="1:6">
      <c r="A3785" t="s">
        <v>2990</v>
      </c>
      <c r="B3785" t="s">
        <v>2945</v>
      </c>
      <c r="C3785" t="s">
        <v>2891</v>
      </c>
      <c r="F3785" s="898">
        <f>'Action POLLEC 6'!$B$110</f>
        <v>0</v>
      </c>
    </row>
    <row r="3786" spans="1:6">
      <c r="A3786" t="s">
        <v>2990</v>
      </c>
      <c r="B3786" t="s">
        <v>2945</v>
      </c>
      <c r="C3786" t="s">
        <v>2946</v>
      </c>
      <c r="F3786" s="898">
        <f>'Action POLLEC 6'!$C$101</f>
        <v>0</v>
      </c>
    </row>
    <row r="3787" spans="1:6">
      <c r="A3787" t="s">
        <v>2990</v>
      </c>
      <c r="B3787" t="s">
        <v>2945</v>
      </c>
      <c r="C3787" t="s">
        <v>2947</v>
      </c>
      <c r="F3787" s="898">
        <f>'Action POLLEC 6'!$C$102</f>
        <v>0</v>
      </c>
    </row>
    <row r="3788" spans="1:6">
      <c r="A3788" t="s">
        <v>2990</v>
      </c>
      <c r="B3788" t="s">
        <v>2945</v>
      </c>
      <c r="C3788" t="s">
        <v>2948</v>
      </c>
      <c r="F3788" s="898">
        <f>'Action POLLEC 6'!$C$103</f>
        <v>0</v>
      </c>
    </row>
    <row r="3789" spans="1:6">
      <c r="A3789" t="s">
        <v>2990</v>
      </c>
      <c r="B3789" t="s">
        <v>2945</v>
      </c>
      <c r="C3789" t="s">
        <v>2949</v>
      </c>
      <c r="F3789" s="898">
        <f>'Action POLLEC 6'!$C$104</f>
        <v>0</v>
      </c>
    </row>
    <row r="3790" spans="1:6">
      <c r="A3790" t="s">
        <v>2990</v>
      </c>
      <c r="B3790" t="s">
        <v>2945</v>
      </c>
      <c r="C3790" t="s">
        <v>2950</v>
      </c>
      <c r="F3790" s="898">
        <f>'Action POLLEC 6'!$C$105</f>
        <v>0</v>
      </c>
    </row>
    <row r="3791" spans="1:6">
      <c r="A3791" t="s">
        <v>2990</v>
      </c>
      <c r="B3791" t="s">
        <v>2945</v>
      </c>
      <c r="C3791" t="s">
        <v>2951</v>
      </c>
      <c r="F3791" s="898">
        <f>'Action POLLEC 6'!$C$106</f>
        <v>0</v>
      </c>
    </row>
    <row r="3792" spans="1:6">
      <c r="A3792" t="s">
        <v>2990</v>
      </c>
      <c r="B3792" t="s">
        <v>2945</v>
      </c>
      <c r="C3792" t="s">
        <v>2952</v>
      </c>
      <c r="F3792" s="898">
        <f>'Action POLLEC 6'!$C$107</f>
        <v>0</v>
      </c>
    </row>
    <row r="3793" spans="1:6">
      <c r="A3793" t="s">
        <v>2990</v>
      </c>
      <c r="B3793" t="s">
        <v>2945</v>
      </c>
      <c r="C3793" t="s">
        <v>2953</v>
      </c>
      <c r="F3793" s="898">
        <f>'Action POLLEC 6'!$C$108</f>
        <v>0</v>
      </c>
    </row>
    <row r="3794" spans="1:6">
      <c r="A3794" t="s">
        <v>2990</v>
      </c>
      <c r="B3794" t="s">
        <v>2945</v>
      </c>
      <c r="C3794" t="s">
        <v>2954</v>
      </c>
      <c r="F3794" s="898">
        <f>'Action POLLEC 6'!$C$109</f>
        <v>0</v>
      </c>
    </row>
    <row r="3795" spans="1:6">
      <c r="A3795" t="s">
        <v>2990</v>
      </c>
      <c r="B3795" t="s">
        <v>2945</v>
      </c>
      <c r="C3795" t="s">
        <v>2955</v>
      </c>
      <c r="F3795" s="898">
        <f>'Action POLLEC 6'!$C$110</f>
        <v>0</v>
      </c>
    </row>
    <row r="3796" spans="1:6">
      <c r="A3796" t="s">
        <v>2990</v>
      </c>
      <c r="B3796" t="s">
        <v>2945</v>
      </c>
      <c r="C3796" t="s">
        <v>2956</v>
      </c>
      <c r="F3796" s="898">
        <f>'Action POLLEC 6'!$D$101</f>
        <v>0</v>
      </c>
    </row>
    <row r="3797" spans="1:6">
      <c r="A3797" t="s">
        <v>2990</v>
      </c>
      <c r="B3797" t="s">
        <v>2945</v>
      </c>
      <c r="C3797" t="s">
        <v>2957</v>
      </c>
      <c r="F3797" s="898">
        <f>'Action POLLEC 6'!$D$102</f>
        <v>0</v>
      </c>
    </row>
    <row r="3798" spans="1:6">
      <c r="A3798" t="s">
        <v>2990</v>
      </c>
      <c r="B3798" t="s">
        <v>2945</v>
      </c>
      <c r="C3798" t="s">
        <v>2958</v>
      </c>
      <c r="F3798" s="898">
        <f>'Action POLLEC 6'!$D$103</f>
        <v>0</v>
      </c>
    </row>
    <row r="3799" spans="1:6">
      <c r="A3799" t="s">
        <v>2990</v>
      </c>
      <c r="B3799" t="s">
        <v>2945</v>
      </c>
      <c r="C3799" t="s">
        <v>2959</v>
      </c>
      <c r="F3799" s="898">
        <f>'Action POLLEC 6'!$D$104</f>
        <v>0</v>
      </c>
    </row>
    <row r="3800" spans="1:6">
      <c r="A3800" t="s">
        <v>2990</v>
      </c>
      <c r="B3800" t="s">
        <v>2945</v>
      </c>
      <c r="C3800" t="s">
        <v>2960</v>
      </c>
      <c r="F3800" s="898">
        <f>'Action POLLEC 6'!$D$105</f>
        <v>0</v>
      </c>
    </row>
    <row r="3801" spans="1:6">
      <c r="A3801" t="s">
        <v>2990</v>
      </c>
      <c r="B3801" t="s">
        <v>2945</v>
      </c>
      <c r="C3801" t="s">
        <v>2961</v>
      </c>
      <c r="F3801" s="898">
        <f>'Action POLLEC 6'!$D$106</f>
        <v>0</v>
      </c>
    </row>
    <row r="3802" spans="1:6">
      <c r="A3802" t="s">
        <v>2990</v>
      </c>
      <c r="B3802" t="s">
        <v>2945</v>
      </c>
      <c r="C3802" t="s">
        <v>2962</v>
      </c>
      <c r="F3802" s="898">
        <f>'Action POLLEC 6'!$D$107</f>
        <v>0</v>
      </c>
    </row>
    <row r="3803" spans="1:6">
      <c r="A3803" t="s">
        <v>2990</v>
      </c>
      <c r="B3803" t="s">
        <v>2945</v>
      </c>
      <c r="C3803" t="s">
        <v>2963</v>
      </c>
      <c r="F3803" s="898">
        <f>'Action POLLEC 6'!$D$108</f>
        <v>0</v>
      </c>
    </row>
    <row r="3804" spans="1:6">
      <c r="A3804" t="s">
        <v>2990</v>
      </c>
      <c r="B3804" t="s">
        <v>2945</v>
      </c>
      <c r="C3804" t="s">
        <v>2964</v>
      </c>
      <c r="F3804" s="898">
        <f>'Action POLLEC 6'!$D$109</f>
        <v>0</v>
      </c>
    </row>
    <row r="3805" spans="1:6">
      <c r="A3805" t="s">
        <v>2990</v>
      </c>
      <c r="B3805" t="s">
        <v>2945</v>
      </c>
      <c r="C3805" t="s">
        <v>2965</v>
      </c>
      <c r="F3805" s="898">
        <f>'Action POLLEC 6'!$D$110</f>
        <v>0</v>
      </c>
    </row>
    <row r="3806" spans="1:6">
      <c r="A3806" t="s">
        <v>2990</v>
      </c>
      <c r="B3806" t="s">
        <v>2945</v>
      </c>
      <c r="C3806" t="s">
        <v>2966</v>
      </c>
      <c r="F3806" s="898">
        <f>'Action POLLEC 6'!$E$101</f>
        <v>0</v>
      </c>
    </row>
    <row r="3807" spans="1:6">
      <c r="A3807" t="s">
        <v>2990</v>
      </c>
      <c r="B3807" t="s">
        <v>2945</v>
      </c>
      <c r="C3807" t="s">
        <v>2967</v>
      </c>
      <c r="F3807" s="898">
        <f>'Action POLLEC 6'!$E$102</f>
        <v>0</v>
      </c>
    </row>
    <row r="3808" spans="1:6">
      <c r="A3808" t="s">
        <v>2990</v>
      </c>
      <c r="B3808" t="s">
        <v>2945</v>
      </c>
      <c r="C3808" t="s">
        <v>2968</v>
      </c>
      <c r="F3808" s="898">
        <f>'Action POLLEC 6'!$E$103</f>
        <v>0</v>
      </c>
    </row>
    <row r="3809" spans="1:6">
      <c r="A3809" t="s">
        <v>2990</v>
      </c>
      <c r="B3809" t="s">
        <v>2945</v>
      </c>
      <c r="C3809" t="s">
        <v>2969</v>
      </c>
      <c r="F3809" s="898">
        <f>'Action POLLEC 6'!$E$104</f>
        <v>0</v>
      </c>
    </row>
    <row r="3810" spans="1:6">
      <c r="A3810" t="s">
        <v>2990</v>
      </c>
      <c r="B3810" t="s">
        <v>2945</v>
      </c>
      <c r="C3810" t="s">
        <v>2970</v>
      </c>
      <c r="F3810" s="898">
        <f>'Action POLLEC 6'!$E$105</f>
        <v>0</v>
      </c>
    </row>
    <row r="3811" spans="1:6">
      <c r="A3811" t="s">
        <v>2990</v>
      </c>
      <c r="B3811" t="s">
        <v>2945</v>
      </c>
      <c r="C3811" t="s">
        <v>2971</v>
      </c>
      <c r="F3811" s="898">
        <f>'Action POLLEC 6'!$E$106</f>
        <v>0</v>
      </c>
    </row>
    <row r="3812" spans="1:6">
      <c r="A3812" t="s">
        <v>2990</v>
      </c>
      <c r="B3812" t="s">
        <v>2945</v>
      </c>
      <c r="C3812" t="s">
        <v>2972</v>
      </c>
      <c r="F3812" s="898">
        <f>'Action POLLEC 6'!$E$107</f>
        <v>0</v>
      </c>
    </row>
    <row r="3813" spans="1:6">
      <c r="A3813" t="s">
        <v>2990</v>
      </c>
      <c r="B3813" t="s">
        <v>2945</v>
      </c>
      <c r="C3813" t="s">
        <v>2973</v>
      </c>
      <c r="F3813" s="898">
        <f>'Action POLLEC 6'!$E$108</f>
        <v>0</v>
      </c>
    </row>
    <row r="3814" spans="1:6">
      <c r="A3814" t="s">
        <v>2990</v>
      </c>
      <c r="B3814" t="s">
        <v>2945</v>
      </c>
      <c r="C3814" t="s">
        <v>2974</v>
      </c>
      <c r="F3814" s="898">
        <f>'Action POLLEC 6'!$E$109</f>
        <v>0</v>
      </c>
    </row>
    <row r="3815" spans="1:6">
      <c r="A3815" t="s">
        <v>2990</v>
      </c>
      <c r="B3815" t="s">
        <v>2945</v>
      </c>
      <c r="C3815" t="s">
        <v>2975</v>
      </c>
      <c r="F3815" s="898">
        <f>'Action POLLEC 6'!$E$110</f>
        <v>0</v>
      </c>
    </row>
    <row r="3816" spans="1:6">
      <c r="A3816" t="s">
        <v>2990</v>
      </c>
      <c r="B3816" t="s">
        <v>2945</v>
      </c>
      <c r="C3816" t="s">
        <v>2866</v>
      </c>
      <c r="F3816" s="898">
        <f>'Action POLLEC 6'!$F$101</f>
        <v>0</v>
      </c>
    </row>
    <row r="3817" spans="1:6">
      <c r="A3817" t="s">
        <v>2990</v>
      </c>
      <c r="B3817" t="s">
        <v>2945</v>
      </c>
      <c r="C3817" t="s">
        <v>2867</v>
      </c>
      <c r="F3817" s="898">
        <f>'Action POLLEC 6'!$F$102</f>
        <v>0</v>
      </c>
    </row>
    <row r="3818" spans="1:6">
      <c r="A3818" t="s">
        <v>2990</v>
      </c>
      <c r="B3818" t="s">
        <v>2945</v>
      </c>
      <c r="C3818" t="s">
        <v>2868</v>
      </c>
      <c r="F3818" s="898">
        <f>'Action POLLEC 6'!$F$103</f>
        <v>0</v>
      </c>
    </row>
    <row r="3819" spans="1:6">
      <c r="A3819" t="s">
        <v>2990</v>
      </c>
      <c r="B3819" t="s">
        <v>2945</v>
      </c>
      <c r="C3819" t="s">
        <v>2869</v>
      </c>
      <c r="F3819" s="898">
        <f>'Action POLLEC 6'!$F$104</f>
        <v>0</v>
      </c>
    </row>
    <row r="3820" spans="1:6">
      <c r="A3820" t="s">
        <v>2990</v>
      </c>
      <c r="B3820" t="s">
        <v>2945</v>
      </c>
      <c r="C3820" t="s">
        <v>2870</v>
      </c>
      <c r="F3820" s="898">
        <f>'Action POLLEC 6'!$F$105</f>
        <v>0</v>
      </c>
    </row>
    <row r="3821" spans="1:6">
      <c r="A3821" t="s">
        <v>2990</v>
      </c>
      <c r="B3821" t="s">
        <v>2945</v>
      </c>
      <c r="C3821" t="s">
        <v>2871</v>
      </c>
      <c r="F3821" s="898">
        <f>'Action POLLEC 6'!$F$106</f>
        <v>0</v>
      </c>
    </row>
    <row r="3822" spans="1:6">
      <c r="A3822" t="s">
        <v>2990</v>
      </c>
      <c r="B3822" t="s">
        <v>2945</v>
      </c>
      <c r="C3822" t="s">
        <v>2872</v>
      </c>
      <c r="F3822" s="898">
        <f>'Action POLLEC 6'!$F$107</f>
        <v>0</v>
      </c>
    </row>
    <row r="3823" spans="1:6">
      <c r="A3823" t="s">
        <v>2990</v>
      </c>
      <c r="B3823" t="s">
        <v>2945</v>
      </c>
      <c r="C3823" t="s">
        <v>2873</v>
      </c>
      <c r="F3823" s="898">
        <f>'Action POLLEC 6'!$F$108</f>
        <v>0</v>
      </c>
    </row>
    <row r="3824" spans="1:6">
      <c r="A3824" t="s">
        <v>2990</v>
      </c>
      <c r="B3824" t="s">
        <v>2945</v>
      </c>
      <c r="C3824" t="s">
        <v>2912</v>
      </c>
      <c r="F3824" s="898">
        <f>'Action POLLEC 6'!$F$109</f>
        <v>0</v>
      </c>
    </row>
    <row r="3825" spans="1:6">
      <c r="A3825" t="s">
        <v>2990</v>
      </c>
      <c r="B3825" t="s">
        <v>2945</v>
      </c>
      <c r="C3825" t="s">
        <v>2913</v>
      </c>
      <c r="F3825" s="898">
        <f>'Action POLLEC 6'!$F$110</f>
        <v>0</v>
      </c>
    </row>
    <row r="3826" spans="1:6">
      <c r="A3826" t="s">
        <v>2990</v>
      </c>
      <c r="B3826" t="s">
        <v>2945</v>
      </c>
      <c r="C3826" t="s">
        <v>2914</v>
      </c>
      <c r="F3826" s="898">
        <f>'Action POLLEC 6'!$G$101</f>
        <v>0</v>
      </c>
    </row>
    <row r="3827" spans="1:6">
      <c r="A3827" t="s">
        <v>2990</v>
      </c>
      <c r="B3827" t="s">
        <v>2945</v>
      </c>
      <c r="C3827" t="s">
        <v>2915</v>
      </c>
      <c r="F3827" s="898">
        <f>'Action POLLEC 6'!$G$102</f>
        <v>0</v>
      </c>
    </row>
    <row r="3828" spans="1:6">
      <c r="A3828" t="s">
        <v>2990</v>
      </c>
      <c r="B3828" t="s">
        <v>2945</v>
      </c>
      <c r="C3828" t="s">
        <v>2916</v>
      </c>
      <c r="F3828" s="898">
        <f>'Action POLLEC 6'!$G$103</f>
        <v>0</v>
      </c>
    </row>
    <row r="3829" spans="1:6">
      <c r="A3829" t="s">
        <v>2990</v>
      </c>
      <c r="B3829" t="s">
        <v>2945</v>
      </c>
      <c r="C3829" t="s">
        <v>2917</v>
      </c>
      <c r="F3829" s="898">
        <f>'Action POLLEC 6'!$G$104</f>
        <v>0</v>
      </c>
    </row>
    <row r="3830" spans="1:6">
      <c r="A3830" t="s">
        <v>2990</v>
      </c>
      <c r="B3830" t="s">
        <v>2945</v>
      </c>
      <c r="C3830" t="s">
        <v>2918</v>
      </c>
      <c r="F3830" s="898">
        <f>'Action POLLEC 6'!$G$105</f>
        <v>0</v>
      </c>
    </row>
    <row r="3831" spans="1:6">
      <c r="A3831" t="s">
        <v>2990</v>
      </c>
      <c r="B3831" t="s">
        <v>2945</v>
      </c>
      <c r="C3831" t="s">
        <v>2919</v>
      </c>
      <c r="F3831" s="898">
        <f>'Action POLLEC 6'!$G$106</f>
        <v>0</v>
      </c>
    </row>
    <row r="3832" spans="1:6">
      <c r="A3832" t="s">
        <v>2990</v>
      </c>
      <c r="B3832" t="s">
        <v>2945</v>
      </c>
      <c r="C3832" t="s">
        <v>2920</v>
      </c>
      <c r="F3832" s="898">
        <f>'Action POLLEC 6'!$G$107</f>
        <v>0</v>
      </c>
    </row>
    <row r="3833" spans="1:6">
      <c r="A3833" t="s">
        <v>2990</v>
      </c>
      <c r="B3833" t="s">
        <v>2945</v>
      </c>
      <c r="C3833" t="s">
        <v>2921</v>
      </c>
      <c r="F3833" s="898">
        <f>'Action POLLEC 6'!$G$108</f>
        <v>0</v>
      </c>
    </row>
    <row r="3834" spans="1:6">
      <c r="A3834" t="s">
        <v>2990</v>
      </c>
      <c r="B3834" t="s">
        <v>2945</v>
      </c>
      <c r="C3834" t="s">
        <v>2922</v>
      </c>
      <c r="F3834" s="898">
        <f>'Action POLLEC 6'!$G$109</f>
        <v>0</v>
      </c>
    </row>
    <row r="3835" spans="1:6">
      <c r="A3835" t="s">
        <v>2990</v>
      </c>
      <c r="B3835" t="s">
        <v>2945</v>
      </c>
      <c r="C3835" t="s">
        <v>2923</v>
      </c>
      <c r="F3835" s="898">
        <f>'Action POLLEC 6'!$G$110</f>
        <v>0</v>
      </c>
    </row>
    <row r="3836" spans="1:6">
      <c r="A3836" t="s">
        <v>2990</v>
      </c>
      <c r="B3836" t="s">
        <v>2945</v>
      </c>
      <c r="C3836" t="s">
        <v>2976</v>
      </c>
      <c r="F3836" s="898">
        <f>'Action POLLEC 6'!$H$101</f>
        <v>0</v>
      </c>
    </row>
    <row r="3837" spans="1:6">
      <c r="A3837" t="s">
        <v>2990</v>
      </c>
      <c r="B3837" t="s">
        <v>2945</v>
      </c>
      <c r="C3837" t="s">
        <v>2977</v>
      </c>
      <c r="F3837" s="898">
        <f>'Action POLLEC 6'!$H$102</f>
        <v>0</v>
      </c>
    </row>
    <row r="3838" spans="1:6">
      <c r="A3838" t="s">
        <v>2990</v>
      </c>
      <c r="B3838" t="s">
        <v>2945</v>
      </c>
      <c r="C3838" t="s">
        <v>2978</v>
      </c>
      <c r="F3838" s="898">
        <f>'Action POLLEC 6'!$H$103</f>
        <v>0</v>
      </c>
    </row>
    <row r="3839" spans="1:6">
      <c r="A3839" t="s">
        <v>2990</v>
      </c>
      <c r="B3839" t="s">
        <v>2945</v>
      </c>
      <c r="C3839" t="s">
        <v>2979</v>
      </c>
      <c r="F3839" s="898">
        <f>'Action POLLEC 6'!$H$104</f>
        <v>0</v>
      </c>
    </row>
    <row r="3840" spans="1:6">
      <c r="A3840" t="s">
        <v>2990</v>
      </c>
      <c r="B3840" t="s">
        <v>2945</v>
      </c>
      <c r="C3840" t="s">
        <v>2980</v>
      </c>
      <c r="F3840" s="898">
        <f>'Action POLLEC 6'!$H$105</f>
        <v>0</v>
      </c>
    </row>
    <row r="3841" spans="1:6">
      <c r="A3841" t="s">
        <v>2990</v>
      </c>
      <c r="B3841" t="s">
        <v>2945</v>
      </c>
      <c r="C3841" t="s">
        <v>2981</v>
      </c>
      <c r="F3841" s="898">
        <f>'Action POLLEC 6'!$H$106</f>
        <v>0</v>
      </c>
    </row>
    <row r="3842" spans="1:6">
      <c r="A3842" t="s">
        <v>2990</v>
      </c>
      <c r="B3842" t="s">
        <v>2945</v>
      </c>
      <c r="C3842" t="s">
        <v>2982</v>
      </c>
      <c r="F3842" s="898">
        <f>'Action POLLEC 6'!$H$107</f>
        <v>0</v>
      </c>
    </row>
    <row r="3843" spans="1:6">
      <c r="A3843" t="s">
        <v>2990</v>
      </c>
      <c r="B3843" t="s">
        <v>2945</v>
      </c>
      <c r="C3843" t="s">
        <v>2983</v>
      </c>
      <c r="F3843" s="898">
        <f>'Action POLLEC 6'!$H$108</f>
        <v>0</v>
      </c>
    </row>
    <row r="3844" spans="1:6">
      <c r="A3844" t="s">
        <v>2990</v>
      </c>
      <c r="B3844" t="s">
        <v>2945</v>
      </c>
      <c r="C3844" t="s">
        <v>2984</v>
      </c>
      <c r="F3844" s="898">
        <f>'Action POLLEC 6'!$H$109</f>
        <v>0</v>
      </c>
    </row>
    <row r="3845" spans="1:6">
      <c r="A3845" t="s">
        <v>2990</v>
      </c>
      <c r="B3845" t="s">
        <v>2945</v>
      </c>
      <c r="C3845" t="s">
        <v>2985</v>
      </c>
      <c r="F3845" s="898">
        <f>'Action POLLEC 6'!$H$110</f>
        <v>0</v>
      </c>
    </row>
    <row r="3846" spans="1:6">
      <c r="A3846" t="s">
        <v>2990</v>
      </c>
      <c r="B3846" t="s">
        <v>2945</v>
      </c>
      <c r="C3846" t="s">
        <v>2934</v>
      </c>
      <c r="F3846" s="898">
        <f>'Action POLLEC 6'!$I$101</f>
        <v>0</v>
      </c>
    </row>
    <row r="3847" spans="1:6">
      <c r="A3847" t="s">
        <v>2990</v>
      </c>
      <c r="B3847" t="s">
        <v>2945</v>
      </c>
      <c r="C3847" t="s">
        <v>2935</v>
      </c>
      <c r="F3847" s="898">
        <f>'Action POLLEC 6'!$I$102</f>
        <v>0</v>
      </c>
    </row>
    <row r="3848" spans="1:6">
      <c r="A3848" t="s">
        <v>2990</v>
      </c>
      <c r="B3848" t="s">
        <v>2945</v>
      </c>
      <c r="C3848" t="s">
        <v>2936</v>
      </c>
      <c r="F3848" s="898">
        <f>'Action POLLEC 6'!$I$103</f>
        <v>0</v>
      </c>
    </row>
    <row r="3849" spans="1:6">
      <c r="A3849" t="s">
        <v>2990</v>
      </c>
      <c r="B3849" t="s">
        <v>2945</v>
      </c>
      <c r="C3849" t="s">
        <v>2937</v>
      </c>
      <c r="F3849" s="898">
        <f>'Action POLLEC 6'!$I$104</f>
        <v>0</v>
      </c>
    </row>
    <row r="3850" spans="1:6">
      <c r="A3850" t="s">
        <v>2990</v>
      </c>
      <c r="B3850" t="s">
        <v>2945</v>
      </c>
      <c r="C3850" t="s">
        <v>2938</v>
      </c>
      <c r="F3850" s="898">
        <f>'Action POLLEC 6'!$I$105</f>
        <v>0</v>
      </c>
    </row>
    <row r="3851" spans="1:6">
      <c r="A3851" t="s">
        <v>2990</v>
      </c>
      <c r="B3851" t="s">
        <v>2945</v>
      </c>
      <c r="C3851" t="s">
        <v>2939</v>
      </c>
      <c r="F3851" s="898">
        <f>'Action POLLEC 6'!$I$106</f>
        <v>0</v>
      </c>
    </row>
    <row r="3852" spans="1:6">
      <c r="A3852" t="s">
        <v>2990</v>
      </c>
      <c r="B3852" t="s">
        <v>2945</v>
      </c>
      <c r="C3852" t="s">
        <v>2940</v>
      </c>
      <c r="F3852" s="898">
        <f>'Action POLLEC 6'!$I$107</f>
        <v>0</v>
      </c>
    </row>
    <row r="3853" spans="1:6">
      <c r="A3853" t="s">
        <v>2990</v>
      </c>
      <c r="B3853" t="s">
        <v>2945</v>
      </c>
      <c r="C3853" t="s">
        <v>2941</v>
      </c>
      <c r="F3853" s="898">
        <f>'Action POLLEC 6'!$I$108</f>
        <v>0</v>
      </c>
    </row>
    <row r="3854" spans="1:6">
      <c r="A3854" t="s">
        <v>2990</v>
      </c>
      <c r="B3854" t="s">
        <v>2945</v>
      </c>
      <c r="C3854" t="s">
        <v>2942</v>
      </c>
      <c r="F3854" s="898">
        <f>'Action POLLEC 6'!$I$109</f>
        <v>0</v>
      </c>
    </row>
    <row r="3855" spans="1:6">
      <c r="A3855" t="s">
        <v>2990</v>
      </c>
      <c r="B3855" t="s">
        <v>2945</v>
      </c>
      <c r="C3855" t="s">
        <v>2943</v>
      </c>
      <c r="F3855" s="898">
        <f>'Action POLLEC 6'!$I$110</f>
        <v>0</v>
      </c>
    </row>
  </sheetData>
  <autoFilter ref="A1:F3855" xr:uid="{7A67DE1E-8A98-4E26-90D4-C5FE3A97B3A3}">
    <sortState xmlns:xlrd2="http://schemas.microsoft.com/office/spreadsheetml/2017/richdata2" ref="A2:F319">
      <sortCondition ref="A1"/>
    </sortState>
  </autoFilter>
  <phoneticPr fontId="18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theme="8" tint="0.79998168889431442"/>
  </sheetPr>
  <dimension ref="A1:M76"/>
  <sheetViews>
    <sheetView showGridLines="0" tabSelected="1" zoomScaleNormal="100" workbookViewId="0">
      <selection activeCell="E29" sqref="E29"/>
    </sheetView>
  </sheetViews>
  <sheetFormatPr baseColWidth="10" defaultColWidth="9.109375" defaultRowHeight="14.4"/>
  <cols>
    <col min="1" max="1" width="9.109375" style="1" customWidth="1"/>
    <col min="2" max="2" width="29.5546875" style="1" customWidth="1"/>
    <col min="3" max="3" width="8.5546875" style="1" customWidth="1"/>
    <col min="4" max="4" width="27.5546875" style="1" customWidth="1"/>
    <col min="5" max="5" width="35.88671875" style="1" customWidth="1"/>
    <col min="6" max="6" width="9.109375" style="1" customWidth="1"/>
    <col min="7" max="7" width="11.5546875" style="1" customWidth="1"/>
    <col min="8" max="8" width="5.6640625" style="1" customWidth="1"/>
    <col min="9" max="9" width="21.5546875" style="1" customWidth="1"/>
    <col min="10" max="10" width="3.5546875" style="1" customWidth="1"/>
    <col min="11" max="11" width="19.44140625" style="1" bestFit="1" customWidth="1"/>
    <col min="12" max="12" width="19" style="1" customWidth="1"/>
    <col min="13" max="16384" width="9.109375" style="1"/>
  </cols>
  <sheetData>
    <row r="1" spans="1:13">
      <c r="A1" s="233"/>
      <c r="B1" s="233"/>
      <c r="C1" s="233"/>
      <c r="D1" s="233"/>
      <c r="E1" s="233"/>
      <c r="F1" s="233"/>
      <c r="G1" s="233"/>
      <c r="H1" s="233"/>
      <c r="I1" s="233"/>
      <c r="J1" s="233"/>
      <c r="K1" s="233"/>
      <c r="L1" s="233"/>
    </row>
    <row r="2" spans="1:13">
      <c r="A2" s="259"/>
      <c r="B2" s="259"/>
      <c r="C2" s="259"/>
      <c r="D2" s="259"/>
      <c r="E2" s="259"/>
      <c r="F2" s="259"/>
      <c r="G2" s="259"/>
      <c r="H2" s="259"/>
      <c r="I2" s="260" t="s">
        <v>3109</v>
      </c>
      <c r="J2" s="259"/>
      <c r="K2" s="233"/>
      <c r="L2" s="233"/>
    </row>
    <row r="3" spans="1:13">
      <c r="A3" s="259"/>
      <c r="B3" s="259"/>
      <c r="C3" s="259"/>
      <c r="D3" s="259"/>
      <c r="E3" s="259"/>
      <c r="F3" s="259"/>
      <c r="G3" s="259"/>
      <c r="H3" s="259"/>
      <c r="I3" s="259"/>
      <c r="J3" s="259"/>
      <c r="K3" s="261"/>
      <c r="L3" s="233"/>
    </row>
    <row r="4" spans="1:13">
      <c r="A4" s="259"/>
      <c r="B4" s="259"/>
      <c r="C4" s="259"/>
      <c r="D4" s="259"/>
      <c r="E4" s="259"/>
      <c r="F4" s="259"/>
      <c r="G4" s="259"/>
      <c r="H4" s="259"/>
      <c r="I4" s="259"/>
      <c r="J4" s="259"/>
      <c r="K4" s="262"/>
      <c r="L4" s="233"/>
    </row>
    <row r="5" spans="1:13">
      <c r="A5" s="259"/>
      <c r="B5" s="259"/>
      <c r="C5" s="259"/>
      <c r="D5" s="259"/>
      <c r="E5" s="259"/>
      <c r="F5" s="259"/>
      <c r="G5" s="259"/>
      <c r="H5" s="337"/>
      <c r="I5" s="259"/>
      <c r="J5" s="259"/>
      <c r="K5" s="263"/>
      <c r="L5" s="233"/>
    </row>
    <row r="6" spans="1:13">
      <c r="A6" s="259"/>
      <c r="B6" s="259"/>
      <c r="C6" s="259"/>
      <c r="D6" s="259"/>
      <c r="E6" s="259"/>
      <c r="F6" s="259"/>
      <c r="G6" s="259"/>
      <c r="H6" s="337"/>
      <c r="I6" s="259"/>
      <c r="J6" s="259"/>
      <c r="K6" s="263"/>
      <c r="L6" s="233"/>
    </row>
    <row r="7" spans="1:13">
      <c r="A7" s="259"/>
      <c r="B7" s="259"/>
      <c r="C7" s="259"/>
      <c r="D7" s="259"/>
      <c r="E7" s="259"/>
      <c r="F7" s="259"/>
      <c r="G7" s="259"/>
      <c r="H7" s="337"/>
      <c r="I7" s="259"/>
      <c r="J7" s="259"/>
      <c r="K7" s="263"/>
      <c r="L7" s="233"/>
    </row>
    <row r="8" spans="1:13">
      <c r="A8" s="259"/>
      <c r="B8" s="259"/>
      <c r="C8" s="259"/>
      <c r="D8" s="259"/>
      <c r="E8" s="259"/>
      <c r="F8" s="259"/>
      <c r="G8" s="259"/>
      <c r="H8" s="337"/>
      <c r="I8" s="259"/>
      <c r="J8" s="259"/>
      <c r="K8" s="263"/>
      <c r="L8" s="233"/>
    </row>
    <row r="9" spans="1:13">
      <c r="A9" s="259"/>
      <c r="B9" s="259"/>
      <c r="C9" s="259"/>
      <c r="D9" s="259"/>
      <c r="E9" s="259"/>
      <c r="F9" s="259"/>
      <c r="G9" s="259"/>
      <c r="H9" s="337"/>
      <c r="I9" s="259"/>
      <c r="J9" s="259"/>
      <c r="K9" s="263"/>
      <c r="L9" s="233"/>
    </row>
    <row r="10" spans="1:13">
      <c r="A10" s="259"/>
      <c r="B10" s="259"/>
      <c r="C10" s="259"/>
      <c r="D10" s="259"/>
      <c r="E10" s="259"/>
      <c r="F10" s="259"/>
      <c r="G10" s="259"/>
      <c r="H10" s="337"/>
      <c r="I10" s="259"/>
      <c r="J10" s="259"/>
      <c r="K10" s="263"/>
      <c r="L10" s="233"/>
    </row>
    <row r="11" spans="1:13">
      <c r="A11" s="259"/>
      <c r="B11" s="259"/>
      <c r="C11" s="259"/>
      <c r="D11" s="259"/>
      <c r="E11" s="259"/>
      <c r="F11" s="259"/>
      <c r="G11" s="259"/>
      <c r="H11" s="337"/>
      <c r="I11" s="259"/>
      <c r="J11" s="259"/>
      <c r="K11" s="263"/>
      <c r="L11" s="233"/>
      <c r="M11" s="68"/>
    </row>
    <row r="12" spans="1:13">
      <c r="A12" s="259"/>
      <c r="B12" s="259"/>
      <c r="C12" s="259"/>
      <c r="D12" s="259"/>
      <c r="E12" s="259"/>
      <c r="F12" s="259"/>
      <c r="G12" s="259"/>
      <c r="H12" s="337"/>
      <c r="I12" s="259"/>
      <c r="J12" s="259"/>
      <c r="K12" s="263"/>
      <c r="L12" s="233"/>
    </row>
    <row r="13" spans="1:13">
      <c r="A13" s="259"/>
      <c r="B13" s="259"/>
      <c r="C13" s="259"/>
      <c r="D13" s="259"/>
      <c r="E13" s="259"/>
      <c r="F13" s="259"/>
      <c r="G13" s="259"/>
      <c r="H13" s="337"/>
      <c r="I13" s="259"/>
      <c r="J13" s="259"/>
      <c r="K13" s="263"/>
      <c r="L13" s="233"/>
    </row>
    <row r="14" spans="1:13">
      <c r="A14" s="259"/>
      <c r="B14" s="259"/>
      <c r="C14" s="259"/>
      <c r="D14" s="259"/>
      <c r="E14" s="259"/>
      <c r="F14" s="259"/>
      <c r="G14" s="259"/>
      <c r="H14" s="337"/>
      <c r="I14" s="259"/>
      <c r="J14" s="259"/>
      <c r="K14" s="263"/>
      <c r="L14" s="233"/>
    </row>
    <row r="15" spans="1:13" ht="15.75" customHeight="1">
      <c r="A15" s="1886" t="s">
        <v>3108</v>
      </c>
      <c r="B15" s="1886"/>
      <c r="C15" s="1886"/>
      <c r="D15" s="1886"/>
      <c r="E15" s="1886"/>
      <c r="F15" s="1886"/>
      <c r="G15" s="1886"/>
      <c r="H15" s="547"/>
      <c r="I15" s="397"/>
      <c r="J15" s="396"/>
      <c r="K15" s="264"/>
      <c r="L15" s="233"/>
    </row>
    <row r="16" spans="1:13" ht="15.75" customHeight="1">
      <c r="A16" s="1886"/>
      <c r="B16" s="1886"/>
      <c r="C16" s="1886"/>
      <c r="D16" s="1886"/>
      <c r="E16" s="1886"/>
      <c r="F16" s="1886"/>
      <c r="G16" s="1886"/>
      <c r="H16" s="547"/>
      <c r="I16" s="397"/>
      <c r="J16" s="396"/>
      <c r="K16" s="264"/>
      <c r="L16" s="233"/>
    </row>
    <row r="17" spans="1:12" ht="36.75" customHeight="1">
      <c r="A17" s="1886"/>
      <c r="B17" s="1886"/>
      <c r="C17" s="1886"/>
      <c r="D17" s="1886"/>
      <c r="E17" s="1886"/>
      <c r="F17" s="1886"/>
      <c r="G17" s="1886"/>
      <c r="H17" s="547"/>
      <c r="I17" s="397"/>
      <c r="J17" s="259"/>
      <c r="K17" s="265"/>
      <c r="L17" s="233"/>
    </row>
    <row r="18" spans="1:12">
      <c r="A18" s="259"/>
      <c r="B18" s="259"/>
      <c r="C18" s="259"/>
      <c r="D18" s="259"/>
      <c r="E18" s="259"/>
      <c r="F18" s="259"/>
      <c r="G18" s="259"/>
      <c r="H18" s="337"/>
      <c r="I18" s="259"/>
      <c r="J18" s="259"/>
      <c r="K18" s="265"/>
      <c r="L18" s="233"/>
    </row>
    <row r="19" spans="1:12">
      <c r="A19" s="259"/>
      <c r="B19" s="259"/>
      <c r="C19" s="259"/>
      <c r="D19" s="259"/>
      <c r="E19" s="259"/>
      <c r="F19" s="259"/>
      <c r="G19" s="259"/>
      <c r="H19" s="337"/>
      <c r="I19" s="259"/>
      <c r="J19" s="259"/>
      <c r="K19" s="233"/>
      <c r="L19" s="233"/>
    </row>
    <row r="20" spans="1:12">
      <c r="A20" s="259"/>
      <c r="B20" s="259"/>
      <c r="C20" s="259"/>
      <c r="D20" s="259"/>
      <c r="E20" s="259"/>
      <c r="F20" s="259"/>
      <c r="G20" s="259"/>
      <c r="H20" s="337"/>
      <c r="I20" s="259"/>
      <c r="J20" s="259"/>
      <c r="K20" s="233"/>
      <c r="L20" s="233"/>
    </row>
    <row r="21" spans="1:12">
      <c r="A21" s="259"/>
      <c r="B21" s="259"/>
      <c r="C21" s="259"/>
      <c r="D21" s="259"/>
      <c r="E21" s="259"/>
      <c r="F21" s="259"/>
      <c r="G21" s="259"/>
      <c r="H21" s="337"/>
      <c r="I21" s="259"/>
      <c r="J21" s="259"/>
      <c r="K21" s="233"/>
      <c r="L21" s="233"/>
    </row>
    <row r="22" spans="1:12">
      <c r="A22" s="259"/>
      <c r="B22" s="259"/>
      <c r="C22" s="259"/>
      <c r="D22" s="259"/>
      <c r="E22" s="259"/>
      <c r="F22" s="259"/>
      <c r="G22" s="259"/>
      <c r="H22" s="337"/>
      <c r="I22" s="259"/>
      <c r="J22" s="259"/>
      <c r="K22" s="233"/>
      <c r="L22" s="233"/>
    </row>
    <row r="23" spans="1:12">
      <c r="A23" s="259"/>
      <c r="B23" s="259"/>
      <c r="C23"/>
      <c r="D23" s="259"/>
      <c r="E23" s="259"/>
      <c r="F23" s="259"/>
      <c r="G23" s="259"/>
      <c r="H23" s="337"/>
      <c r="I23" s="259"/>
      <c r="J23" s="259"/>
      <c r="K23" s="233"/>
      <c r="L23" s="233"/>
    </row>
    <row r="24" spans="1:12">
      <c r="A24" s="259"/>
      <c r="B24" s="259"/>
      <c r="C24" s="259"/>
      <c r="D24" s="259"/>
      <c r="E24" s="259"/>
      <c r="F24" s="259"/>
      <c r="G24" s="259"/>
      <c r="H24" s="337"/>
      <c r="I24" s="259"/>
      <c r="J24" s="259"/>
      <c r="K24" s="233"/>
      <c r="L24" s="233"/>
    </row>
    <row r="25" spans="1:12">
      <c r="A25" s="259"/>
      <c r="B25" s="259"/>
      <c r="C25" s="259"/>
      <c r="D25" s="259"/>
      <c r="E25" s="259"/>
      <c r="F25" s="259"/>
      <c r="G25" s="259"/>
      <c r="H25" s="337"/>
      <c r="I25" s="259"/>
      <c r="J25" s="259"/>
      <c r="K25" s="233"/>
      <c r="L25" s="233"/>
    </row>
    <row r="26" spans="1:12">
      <c r="A26" s="259"/>
      <c r="B26" s="259"/>
      <c r="C26" s="259"/>
      <c r="D26" s="259"/>
      <c r="E26" s="259"/>
      <c r="F26" s="1705" t="s">
        <v>2220</v>
      </c>
      <c r="G26" s="1705" t="s">
        <v>2482</v>
      </c>
      <c r="H26" s="259"/>
      <c r="I26" s="259"/>
      <c r="J26" s="259"/>
      <c r="K26" s="233"/>
      <c r="L26" s="233"/>
    </row>
    <row r="27" spans="1:12" ht="18">
      <c r="A27" s="259"/>
      <c r="B27" s="259"/>
      <c r="C27"/>
      <c r="D27" s="69" t="s">
        <v>3</v>
      </c>
      <c r="E27" s="997"/>
      <c r="F27" s="1705" t="str">
        <f>IF(ISNA(VLOOKUP(E27,Communes!A3:B264,2,0)),"",VLOOKUP(E27,Communes!A3:B264,2,0))</f>
        <v/>
      </c>
      <c r="G27" s="1705" t="str">
        <f>IF(ISNA(VLOOKUP(E27,Communes!A3:B264,2,0)),"",VLOOKUP(E27,Communes!A3:C264,3,0))</f>
        <v/>
      </c>
      <c r="H27" s="259"/>
      <c r="I27" s="259"/>
      <c r="J27" s="259"/>
      <c r="K27" s="233"/>
      <c r="L27" s="233"/>
    </row>
    <row r="28" spans="1:12" ht="18">
      <c r="A28" s="259"/>
      <c r="B28" s="259"/>
      <c r="C28"/>
      <c r="D28" s="69" t="s">
        <v>4</v>
      </c>
      <c r="E28" s="230">
        <v>2006</v>
      </c>
      <c r="F28" s="371" t="s">
        <v>2074</v>
      </c>
      <c r="G28" s="259"/>
      <c r="H28" s="259"/>
      <c r="I28" s="259"/>
      <c r="J28" s="259"/>
      <c r="K28" s="233"/>
      <c r="L28" s="233"/>
    </row>
    <row r="29" spans="1:12" ht="18">
      <c r="A29" s="259"/>
      <c r="B29" s="259"/>
      <c r="C29"/>
      <c r="D29" s="69" t="s">
        <v>5</v>
      </c>
      <c r="E29" s="997"/>
      <c r="F29" s="371" t="s">
        <v>2073</v>
      </c>
      <c r="G29" s="259"/>
      <c r="H29" s="259"/>
      <c r="I29" s="259"/>
      <c r="J29" s="259"/>
      <c r="K29" s="233"/>
      <c r="L29" s="233"/>
    </row>
    <row r="30" spans="1:12" ht="18">
      <c r="A30" s="259"/>
      <c r="B30" s="259"/>
      <c r="C30"/>
      <c r="D30" s="69" t="s">
        <v>6</v>
      </c>
      <c r="E30" s="997"/>
      <c r="F30" s="371" t="s">
        <v>7</v>
      </c>
      <c r="G30" s="259"/>
      <c r="H30" s="259"/>
      <c r="I30" s="259"/>
      <c r="J30" s="259"/>
      <c r="K30" s="233"/>
      <c r="L30" s="233"/>
    </row>
    <row r="31" spans="1:12" ht="28.8">
      <c r="A31" s="259"/>
      <c r="B31" s="1658" t="s">
        <v>2121</v>
      </c>
      <c r="C31"/>
      <c r="D31" s="69" t="s">
        <v>8</v>
      </c>
      <c r="E31" s="390"/>
      <c r="F31" s="371" t="s">
        <v>9</v>
      </c>
      <c r="G31" s="259"/>
      <c r="H31" s="259"/>
      <c r="I31" s="259"/>
      <c r="J31" s="259"/>
      <c r="K31" s="233"/>
      <c r="L31" s="233"/>
    </row>
    <row r="32" spans="1:12">
      <c r="A32" s="259"/>
      <c r="B32" s="1657"/>
      <c r="C32" s="259"/>
      <c r="D32" s="259"/>
      <c r="E32" s="259"/>
      <c r="F32" s="259"/>
      <c r="G32" s="259"/>
      <c r="H32" s="259"/>
      <c r="I32" s="259"/>
      <c r="J32" s="259"/>
      <c r="K32" s="233"/>
      <c r="L32" s="233"/>
    </row>
    <row r="33" spans="1:12" ht="18">
      <c r="A33" s="259"/>
      <c r="B33" s="259"/>
      <c r="C33" s="259"/>
      <c r="D33" s="1321" t="s">
        <v>10</v>
      </c>
      <c r="E33" s="1638" t="s">
        <v>2094</v>
      </c>
      <c r="F33" s="1322"/>
      <c r="G33" s="1322"/>
      <c r="H33" s="259"/>
      <c r="I33" s="259"/>
      <c r="J33" s="259"/>
      <c r="K33" s="233"/>
      <c r="L33" s="233"/>
    </row>
    <row r="34" spans="1:12">
      <c r="A34" s="259"/>
      <c r="B34" s="259"/>
      <c r="C34" s="259"/>
      <c r="D34" s="259"/>
      <c r="E34" s="608"/>
      <c r="F34" s="616"/>
      <c r="G34" s="259"/>
      <c r="H34" s="259"/>
      <c r="I34" s="259"/>
      <c r="J34" s="259"/>
      <c r="K34" s="233"/>
      <c r="L34" s="233"/>
    </row>
    <row r="35" spans="1:12">
      <c r="A35" s="259"/>
      <c r="B35" s="259"/>
      <c r="C35" s="259"/>
      <c r="D35" s="259"/>
      <c r="E35" s="259"/>
      <c r="F35" s="259"/>
      <c r="G35" s="259"/>
      <c r="H35" s="259"/>
      <c r="I35" s="259"/>
      <c r="J35" s="259"/>
      <c r="K35" s="233"/>
      <c r="L35" s="233"/>
    </row>
    <row r="36" spans="1:12" ht="15" thickBot="1">
      <c r="A36" s="259"/>
      <c r="B36" s="259"/>
      <c r="C36" s="259"/>
      <c r="D36" s="259"/>
      <c r="E36" s="259"/>
      <c r="F36" s="259"/>
      <c r="G36" s="259"/>
      <c r="H36" s="259"/>
      <c r="I36" s="259"/>
      <c r="J36" s="259"/>
      <c r="K36" s="233"/>
      <c r="L36" s="233"/>
    </row>
    <row r="37" spans="1:12" ht="18">
      <c r="A37"/>
      <c r="B37" s="541" t="s">
        <v>11</v>
      </c>
      <c r="C37" s="542"/>
      <c r="D37" s="542"/>
      <c r="E37" s="542"/>
      <c r="F37" s="542"/>
      <c r="G37" s="542"/>
      <c r="H37" s="542"/>
      <c r="I37" s="542"/>
      <c r="J37" s="542"/>
      <c r="K37" s="543"/>
      <c r="L37"/>
    </row>
    <row r="38" spans="1:12">
      <c r="A38"/>
      <c r="B38" s="544" t="s">
        <v>12</v>
      </c>
      <c r="C38" s="545"/>
      <c r="D38" s="545"/>
      <c r="E38" s="545"/>
      <c r="F38" s="545"/>
      <c r="G38" s="545"/>
      <c r="H38" s="545"/>
      <c r="I38" s="545"/>
      <c r="J38" s="545"/>
      <c r="K38" s="546"/>
      <c r="L38"/>
    </row>
    <row r="39" spans="1:12">
      <c r="A39"/>
      <c r="B39" s="544" t="s">
        <v>2092</v>
      </c>
      <c r="C39" s="545"/>
      <c r="D39" s="545"/>
      <c r="E39" s="545"/>
      <c r="F39" s="545"/>
      <c r="G39" s="545"/>
      <c r="H39" s="545"/>
      <c r="I39" s="545"/>
      <c r="J39" s="545"/>
      <c r="K39" s="546"/>
      <c r="L39"/>
    </row>
    <row r="40" spans="1:12" ht="29.1" customHeight="1">
      <c r="A40"/>
      <c r="B40" s="1641" t="s">
        <v>3107</v>
      </c>
      <c r="C40" s="1627"/>
      <c r="D40" s="1628"/>
      <c r="E40" s="1628"/>
      <c r="F40" s="1628"/>
      <c r="G40" s="1628"/>
      <c r="H40" s="1628"/>
      <c r="I40" s="1628"/>
      <c r="J40" s="1628"/>
      <c r="K40" s="1629"/>
      <c r="L40"/>
    </row>
    <row r="41" spans="1:12" ht="4.2" customHeight="1">
      <c r="A41"/>
      <c r="B41" s="1009"/>
      <c r="C41" s="346"/>
      <c r="D41" s="346"/>
      <c r="E41" s="346"/>
      <c r="F41" s="346"/>
      <c r="G41" s="346"/>
      <c r="H41" s="346"/>
      <c r="I41" s="346"/>
      <c r="J41" s="346"/>
      <c r="K41" s="605"/>
      <c r="L41"/>
    </row>
    <row r="42" spans="1:12">
      <c r="A42"/>
      <c r="B42" s="1635" t="s">
        <v>2099</v>
      </c>
      <c r="C42" s="1881" t="s">
        <v>2090</v>
      </c>
      <c r="D42" s="1881"/>
      <c r="E42" s="1881"/>
      <c r="F42" s="1881"/>
      <c r="G42" s="1881"/>
      <c r="H42" s="1881"/>
      <c r="I42" s="1881"/>
      <c r="J42" s="1881"/>
      <c r="K42" s="1630"/>
      <c r="L42"/>
    </row>
    <row r="43" spans="1:12" ht="28.95" customHeight="1">
      <c r="A43"/>
      <c r="B43" s="1636" t="s">
        <v>2126</v>
      </c>
      <c r="C43" s="1887" t="s">
        <v>2091</v>
      </c>
      <c r="D43" s="1887"/>
      <c r="E43" s="1887"/>
      <c r="F43" s="1887"/>
      <c r="G43" s="1887"/>
      <c r="H43" s="1887"/>
      <c r="I43" s="1887"/>
      <c r="J43" s="1887"/>
      <c r="K43" s="1639"/>
      <c r="L43"/>
    </row>
    <row r="44" spans="1:12">
      <c r="A44"/>
      <c r="B44" s="1635" t="s">
        <v>2994</v>
      </c>
      <c r="C44" s="1890" t="s">
        <v>2993</v>
      </c>
      <c r="D44" s="1890"/>
      <c r="E44" s="1890"/>
      <c r="F44" s="1890"/>
      <c r="G44" s="1890"/>
      <c r="H44" s="1890"/>
      <c r="I44" s="1890"/>
      <c r="J44" s="1890"/>
      <c r="K44" s="1639"/>
      <c r="L44"/>
    </row>
    <row r="45" spans="1:12">
      <c r="A45"/>
      <c r="B45" s="1636" t="s">
        <v>2995</v>
      </c>
      <c r="C45" s="1887" t="s">
        <v>2993</v>
      </c>
      <c r="D45" s="1887"/>
      <c r="E45" s="1887"/>
      <c r="F45" s="1887"/>
      <c r="G45" s="1887"/>
      <c r="H45" s="1887"/>
      <c r="I45" s="1887"/>
      <c r="J45" s="1887"/>
      <c r="K45" s="1639"/>
      <c r="L45"/>
    </row>
    <row r="46" spans="1:12">
      <c r="A46"/>
      <c r="B46" s="1654" t="s">
        <v>2113</v>
      </c>
      <c r="C46" s="1889" t="s">
        <v>2998</v>
      </c>
      <c r="D46" s="1889"/>
      <c r="E46" s="1889"/>
      <c r="F46" s="1889"/>
      <c r="G46" s="1889"/>
      <c r="H46" s="1889"/>
      <c r="I46" s="1889"/>
      <c r="J46" s="1889"/>
      <c r="K46" s="1639"/>
      <c r="L46"/>
    </row>
    <row r="47" spans="1:12" ht="29.4" customHeight="1">
      <c r="A47"/>
      <c r="B47" s="1654"/>
      <c r="C47" s="1891" t="s">
        <v>2999</v>
      </c>
      <c r="D47" s="1891"/>
      <c r="E47" s="1891"/>
      <c r="F47" s="1891"/>
      <c r="G47" s="1891"/>
      <c r="H47" s="1891"/>
      <c r="I47" s="1891"/>
      <c r="J47" s="1891"/>
      <c r="K47" s="1639"/>
      <c r="L47"/>
    </row>
    <row r="48" spans="1:12" ht="29.4" customHeight="1">
      <c r="A48"/>
      <c r="B48" s="1653" t="s">
        <v>2114</v>
      </c>
      <c r="C48" s="1887" t="s">
        <v>2127</v>
      </c>
      <c r="D48" s="1887"/>
      <c r="E48" s="1887"/>
      <c r="F48" s="1887"/>
      <c r="G48" s="1887"/>
      <c r="H48" s="1887"/>
      <c r="I48" s="1887"/>
      <c r="J48" s="1887"/>
      <c r="K48" s="1639"/>
      <c r="L48"/>
    </row>
    <row r="49" spans="1:12">
      <c r="A49"/>
      <c r="B49" s="1635" t="s">
        <v>2100</v>
      </c>
      <c r="C49" s="1888" t="s">
        <v>2093</v>
      </c>
      <c r="D49" s="1888"/>
      <c r="E49" s="1888"/>
      <c r="F49" s="1888"/>
      <c r="G49" s="1888"/>
      <c r="H49" s="1888"/>
      <c r="I49" s="1888"/>
      <c r="J49" s="1888"/>
      <c r="K49" s="1630"/>
      <c r="L49"/>
    </row>
    <row r="50" spans="1:12" ht="45" customHeight="1">
      <c r="A50"/>
      <c r="B50" s="1637" t="s">
        <v>2101</v>
      </c>
      <c r="C50" s="1883" t="s">
        <v>2996</v>
      </c>
      <c r="D50" s="1883"/>
      <c r="E50" s="1883"/>
      <c r="F50" s="1883"/>
      <c r="G50" s="1883"/>
      <c r="H50" s="1883"/>
      <c r="I50" s="1883"/>
      <c r="J50" s="1883"/>
      <c r="K50" s="1640"/>
      <c r="L50"/>
    </row>
    <row r="51" spans="1:12">
      <c r="A51"/>
      <c r="B51" s="1637"/>
      <c r="C51" s="1892" t="s">
        <v>2997</v>
      </c>
      <c r="D51" s="1892"/>
      <c r="E51" s="1892"/>
      <c r="F51" s="1892"/>
      <c r="G51" s="1892"/>
      <c r="H51" s="1892"/>
      <c r="I51" s="1892"/>
      <c r="J51" s="1892"/>
      <c r="K51" s="1640"/>
      <c r="L51"/>
    </row>
    <row r="52" spans="1:12" ht="30" customHeight="1">
      <c r="A52"/>
      <c r="B52" s="1880" t="s">
        <v>2102</v>
      </c>
      <c r="C52" s="1879" t="s">
        <v>2125</v>
      </c>
      <c r="D52" s="1879"/>
      <c r="E52" s="1879"/>
      <c r="F52" s="1879"/>
      <c r="G52" s="1879"/>
      <c r="H52" s="1879"/>
      <c r="I52" s="1879"/>
      <c r="J52" s="1879"/>
      <c r="K52" s="1640"/>
      <c r="L52"/>
    </row>
    <row r="53" spans="1:12">
      <c r="A53"/>
      <c r="B53" s="1880"/>
      <c r="C53" s="1879" t="s">
        <v>2095</v>
      </c>
      <c r="D53" s="1879"/>
      <c r="E53" s="1879"/>
      <c r="F53" s="1879"/>
      <c r="G53" s="1879"/>
      <c r="H53" s="1879"/>
      <c r="I53" s="1879"/>
      <c r="J53" s="1879"/>
      <c r="K53" s="1630"/>
      <c r="L53"/>
    </row>
    <row r="54" spans="1:12" ht="14.4" customHeight="1">
      <c r="A54"/>
      <c r="B54" s="1880"/>
      <c r="C54" s="1879" t="s">
        <v>2096</v>
      </c>
      <c r="D54" s="1879"/>
      <c r="E54" s="1879"/>
      <c r="F54" s="1879"/>
      <c r="G54" s="1879"/>
      <c r="H54" s="1879"/>
      <c r="I54" s="1879"/>
      <c r="J54" s="1879"/>
      <c r="K54" s="1630"/>
      <c r="L54"/>
    </row>
    <row r="55" spans="1:12" ht="29.4" customHeight="1">
      <c r="A55"/>
      <c r="B55" s="1880"/>
      <c r="C55" s="1879" t="s">
        <v>2128</v>
      </c>
      <c r="D55" s="1879"/>
      <c r="E55" s="1879"/>
      <c r="F55" s="1879"/>
      <c r="G55" s="1879"/>
      <c r="H55" s="1879"/>
      <c r="I55" s="1879"/>
      <c r="J55" s="1879"/>
      <c r="K55" s="1630"/>
      <c r="L55"/>
    </row>
    <row r="56" spans="1:12">
      <c r="A56"/>
      <c r="B56" s="1880"/>
      <c r="C56" s="1879" t="s">
        <v>2097</v>
      </c>
      <c r="D56" s="1879"/>
      <c r="E56" s="1879"/>
      <c r="F56" s="1879"/>
      <c r="G56" s="1879"/>
      <c r="H56" s="1879"/>
      <c r="I56" s="1879"/>
      <c r="J56" s="1879"/>
      <c r="K56" s="1630"/>
      <c r="L56"/>
    </row>
    <row r="57" spans="1:12" ht="30.6" customHeight="1">
      <c r="A57"/>
      <c r="B57" s="1880"/>
      <c r="C57" s="1879" t="s">
        <v>3001</v>
      </c>
      <c r="D57" s="1879"/>
      <c r="E57" s="1879"/>
      <c r="F57" s="1879"/>
      <c r="G57" s="1879"/>
      <c r="H57" s="1879"/>
      <c r="I57" s="1879"/>
      <c r="J57" s="1879"/>
      <c r="K57" s="1630"/>
      <c r="L57"/>
    </row>
    <row r="58" spans="1:12">
      <c r="A58"/>
      <c r="B58" s="1880"/>
      <c r="C58" s="1879" t="s">
        <v>3000</v>
      </c>
      <c r="D58" s="1879"/>
      <c r="E58" s="1879"/>
      <c r="F58" s="1879"/>
      <c r="G58" s="1879"/>
      <c r="H58" s="1879"/>
      <c r="I58" s="1879"/>
      <c r="J58" s="1879"/>
      <c r="K58" s="1630"/>
      <c r="L58"/>
    </row>
    <row r="59" spans="1:12">
      <c r="A59"/>
      <c r="B59" s="1880"/>
      <c r="C59" s="1879" t="s">
        <v>2098</v>
      </c>
      <c r="D59" s="1879"/>
      <c r="E59" s="1879"/>
      <c r="F59" s="1879"/>
      <c r="G59" s="1879"/>
      <c r="H59" s="1879"/>
      <c r="I59" s="1879"/>
      <c r="J59" s="1879"/>
      <c r="K59" s="1630"/>
      <c r="L59"/>
    </row>
    <row r="60" spans="1:12" ht="32.4" customHeight="1">
      <c r="A60"/>
      <c r="B60" s="1880"/>
      <c r="C60" s="1881" t="s">
        <v>3005</v>
      </c>
      <c r="D60" s="1881"/>
      <c r="E60" s="1881"/>
      <c r="F60" s="1881"/>
      <c r="G60" s="1881"/>
      <c r="H60" s="1881"/>
      <c r="I60" s="1881"/>
      <c r="J60" s="1881"/>
      <c r="K60" s="1630"/>
      <c r="L60"/>
    </row>
    <row r="61" spans="1:12">
      <c r="A61"/>
      <c r="B61" s="1655" t="s">
        <v>2115</v>
      </c>
      <c r="C61" s="1884" t="s">
        <v>2116</v>
      </c>
      <c r="D61" s="1884"/>
      <c r="E61" s="1884"/>
      <c r="F61" s="1884"/>
      <c r="G61" s="1884"/>
      <c r="H61" s="1884"/>
      <c r="I61" s="1884"/>
      <c r="J61" s="1884"/>
      <c r="K61" s="1630"/>
      <c r="L61"/>
    </row>
    <row r="62" spans="1:12" ht="28.95" customHeight="1">
      <c r="A62"/>
      <c r="B62" s="1885" t="s">
        <v>2103</v>
      </c>
      <c r="C62" s="1879" t="s">
        <v>2104</v>
      </c>
      <c r="D62" s="1879"/>
      <c r="E62" s="1879"/>
      <c r="F62" s="1879"/>
      <c r="G62" s="1879"/>
      <c r="H62" s="1879"/>
      <c r="I62" s="1879"/>
      <c r="J62" s="1879"/>
      <c r="K62" s="1634"/>
      <c r="L62"/>
    </row>
    <row r="63" spans="1:12">
      <c r="A63"/>
      <c r="B63" s="1885"/>
      <c r="C63" s="1879" t="s">
        <v>2105</v>
      </c>
      <c r="D63" s="1879"/>
      <c r="E63" s="1879"/>
      <c r="F63" s="1879"/>
      <c r="G63" s="1879"/>
      <c r="H63" s="1879"/>
      <c r="I63" s="1879"/>
      <c r="J63" s="1879"/>
      <c r="K63" s="1630"/>
      <c r="L63"/>
    </row>
    <row r="64" spans="1:12">
      <c r="A64"/>
      <c r="B64" s="1885"/>
      <c r="C64" s="1882" t="s">
        <v>2106</v>
      </c>
      <c r="D64" s="1882"/>
      <c r="E64" s="1882"/>
      <c r="F64" s="1882"/>
      <c r="G64" s="1882"/>
      <c r="H64" s="1882"/>
      <c r="I64" s="1882"/>
      <c r="J64" s="1882"/>
      <c r="K64" s="1630"/>
      <c r="L64"/>
    </row>
    <row r="65" spans="1:12">
      <c r="A65"/>
      <c r="B65" s="1636" t="s">
        <v>2129</v>
      </c>
      <c r="C65" s="1883" t="s">
        <v>3002</v>
      </c>
      <c r="D65" s="1883"/>
      <c r="E65" s="1883"/>
      <c r="F65" s="1883"/>
      <c r="G65" s="1883"/>
      <c r="H65" s="1883"/>
      <c r="I65" s="1883"/>
      <c r="J65" s="1883"/>
      <c r="K65" s="1634"/>
      <c r="L65"/>
    </row>
    <row r="66" spans="1:12" ht="28.8" customHeight="1">
      <c r="A66"/>
      <c r="B66" s="1636"/>
      <c r="C66" s="1893" t="s">
        <v>3004</v>
      </c>
      <c r="D66" s="1893"/>
      <c r="E66" s="1893"/>
      <c r="F66" s="1893"/>
      <c r="G66" s="1893"/>
      <c r="H66" s="1893"/>
      <c r="I66" s="1893"/>
      <c r="J66" s="1893"/>
      <c r="K66" s="1634"/>
      <c r="L66"/>
    </row>
    <row r="67" spans="1:12">
      <c r="A67"/>
      <c r="B67" s="1636"/>
      <c r="C67" s="1892" t="s">
        <v>3003</v>
      </c>
      <c r="D67" s="1892"/>
      <c r="E67" s="1892"/>
      <c r="F67" s="1892"/>
      <c r="G67" s="1892"/>
      <c r="H67" s="1892"/>
      <c r="I67" s="1892"/>
      <c r="J67" s="1892"/>
      <c r="K67" s="1634"/>
      <c r="L67"/>
    </row>
    <row r="68" spans="1:12">
      <c r="A68"/>
      <c r="B68" s="1635" t="s">
        <v>2117</v>
      </c>
      <c r="C68" s="1888" t="s">
        <v>2118</v>
      </c>
      <c r="D68" s="1888"/>
      <c r="E68" s="1888"/>
      <c r="F68" s="1888"/>
      <c r="G68" s="1888"/>
      <c r="H68" s="1888"/>
      <c r="I68" s="1888"/>
      <c r="J68" s="1888"/>
      <c r="K68" s="1630"/>
      <c r="L68"/>
    </row>
    <row r="69" spans="1:12">
      <c r="A69"/>
      <c r="B69" s="1636" t="s">
        <v>3101</v>
      </c>
      <c r="C69" s="1883" t="s">
        <v>3106</v>
      </c>
      <c r="D69" s="1883"/>
      <c r="E69" s="1883"/>
      <c r="F69" s="1883"/>
      <c r="G69" s="1883"/>
      <c r="H69" s="1883"/>
      <c r="I69" s="1883"/>
      <c r="J69" s="1883"/>
      <c r="K69" s="1630"/>
      <c r="L69"/>
    </row>
    <row r="70" spans="1:12" ht="14.4" customHeight="1">
      <c r="A70"/>
      <c r="B70" s="1635"/>
      <c r="C70" s="1893" t="s">
        <v>3102</v>
      </c>
      <c r="D70" s="1893"/>
      <c r="E70" s="1893"/>
      <c r="F70" s="1893"/>
      <c r="G70" s="1893"/>
      <c r="H70" s="1893"/>
      <c r="I70" s="1893"/>
      <c r="J70" s="1893"/>
      <c r="K70" s="1630"/>
      <c r="L70"/>
    </row>
    <row r="71" spans="1:12">
      <c r="A71"/>
      <c r="B71" s="1635"/>
      <c r="C71" s="1893" t="s">
        <v>3103</v>
      </c>
      <c r="D71" s="1893"/>
      <c r="E71" s="1893"/>
      <c r="F71" s="1893"/>
      <c r="G71" s="1893"/>
      <c r="H71" s="1893"/>
      <c r="I71" s="1893"/>
      <c r="J71" s="1893"/>
      <c r="K71" s="1630"/>
      <c r="L71"/>
    </row>
    <row r="72" spans="1:12" hidden="1">
      <c r="A72"/>
      <c r="B72" s="1635"/>
      <c r="C72" s="1792"/>
      <c r="D72" s="1792"/>
      <c r="E72" s="1792"/>
      <c r="F72" s="1792"/>
      <c r="G72" s="1792"/>
      <c r="H72" s="1792"/>
      <c r="I72" s="1792"/>
      <c r="J72" s="1792"/>
      <c r="K72" s="1630"/>
      <c r="L72"/>
    </row>
    <row r="73" spans="1:12" hidden="1">
      <c r="A73"/>
      <c r="B73" s="1635"/>
      <c r="C73" s="1759"/>
      <c r="D73" s="1759"/>
      <c r="E73" s="1759"/>
      <c r="F73" s="1759"/>
      <c r="G73" s="1759"/>
      <c r="H73" s="1759"/>
      <c r="I73" s="1759"/>
      <c r="J73" s="1759"/>
      <c r="K73" s="1630"/>
      <c r="L73"/>
    </row>
    <row r="74" spans="1:12">
      <c r="A74"/>
      <c r="B74" s="1793" t="s">
        <v>2119</v>
      </c>
      <c r="C74" s="1878" t="s">
        <v>2120</v>
      </c>
      <c r="D74" s="1878"/>
      <c r="E74" s="1878"/>
      <c r="F74" s="1878"/>
      <c r="G74" s="1878"/>
      <c r="H74" s="1878"/>
      <c r="I74" s="1878"/>
      <c r="J74" s="1878"/>
      <c r="K74" s="1630"/>
      <c r="L74"/>
    </row>
    <row r="75" spans="1:12" ht="15" thickBot="1">
      <c r="A75"/>
      <c r="B75" s="1631"/>
      <c r="C75" s="1632"/>
      <c r="D75" s="1632"/>
      <c r="E75" s="1632"/>
      <c r="F75" s="1632"/>
      <c r="G75" s="1632"/>
      <c r="H75" s="1632"/>
      <c r="I75" s="1632"/>
      <c r="J75" s="1632"/>
      <c r="K75" s="1633"/>
      <c r="L75"/>
    </row>
    <row r="76" spans="1:12">
      <c r="A76"/>
      <c r="B76"/>
      <c r="C76"/>
      <c r="D76"/>
      <c r="E76"/>
      <c r="F76"/>
      <c r="G76"/>
      <c r="H76"/>
      <c r="I76"/>
      <c r="J76"/>
      <c r="K76"/>
      <c r="L76"/>
    </row>
  </sheetData>
  <sheetProtection algorithmName="SHA-512" hashValue="XHTfGOwp6E1A8EatTtKoY4Qlnz7EyWM+a1SkCRv9a3CVx+ZdYVxzp8RiZfT0QlNipu8EBlk84r6RhCVPRKju7g==" saltValue="66gaHxZA32web5vxyta+FQ==" spinCount="100000" sheet="1" objects="1" scenarios="1"/>
  <mergeCells count="34">
    <mergeCell ref="C51:J51"/>
    <mergeCell ref="C57:J57"/>
    <mergeCell ref="C69:J69"/>
    <mergeCell ref="C70:J70"/>
    <mergeCell ref="C71:J71"/>
    <mergeCell ref="C67:J67"/>
    <mergeCell ref="C66:J66"/>
    <mergeCell ref="C68:J68"/>
    <mergeCell ref="A15:G17"/>
    <mergeCell ref="C42:J42"/>
    <mergeCell ref="C43:J43"/>
    <mergeCell ref="C49:J49"/>
    <mergeCell ref="C50:J50"/>
    <mergeCell ref="C46:J46"/>
    <mergeCell ref="C48:J48"/>
    <mergeCell ref="C44:J44"/>
    <mergeCell ref="C45:J45"/>
    <mergeCell ref="C47:J47"/>
    <mergeCell ref="C74:J74"/>
    <mergeCell ref="C52:J52"/>
    <mergeCell ref="B52:B60"/>
    <mergeCell ref="C60:J60"/>
    <mergeCell ref="C62:J62"/>
    <mergeCell ref="C63:J63"/>
    <mergeCell ref="C64:J64"/>
    <mergeCell ref="C65:J65"/>
    <mergeCell ref="C54:J54"/>
    <mergeCell ref="C55:J55"/>
    <mergeCell ref="C56:J56"/>
    <mergeCell ref="C58:J58"/>
    <mergeCell ref="C59:J59"/>
    <mergeCell ref="C53:J53"/>
    <mergeCell ref="C61:J61"/>
    <mergeCell ref="B62:B64"/>
  </mergeCells>
  <phoneticPr fontId="98" type="noConversion"/>
  <dataValidations count="5">
    <dataValidation type="list" showInputMessage="1" showErrorMessage="1" sqref="E27" xr:uid="{00000000-0002-0000-0000-000000000000}">
      <formula1>Liste_communes</formula1>
    </dataValidation>
    <dataValidation type="list" allowBlank="1" showInputMessage="1" showErrorMessage="1" sqref="E29:E31" xr:uid="{00000000-0002-0000-0000-000001000000}">
      <formula1>Annee_2</formula1>
    </dataValidation>
    <dataValidation type="list" showInputMessage="1" showErrorMessage="1" sqref="E28" xr:uid="{00000000-0002-0000-0000-000002000000}">
      <formula1>Année</formula1>
    </dataValidation>
    <dataValidation showInputMessage="1" showErrorMessage="1" sqref="D28:D31" xr:uid="{00000000-0002-0000-0000-000003000000}"/>
    <dataValidation type="whole" allowBlank="1" showInputMessage="1" showErrorMessage="1" errorTitle="Nombre de fiches actions" error="Le transfert est possible à partir de 2 fiches actions. _x000a__x000a_L'outil ne permet pas de gérer plus de 45 fiches actions" sqref="B32" xr:uid="{DD5F5D4C-ADF9-46CC-A713-2535502A5A11}">
      <formula1>2</formula1>
      <formula2>45</formula2>
    </dataValidation>
  </dataValidations>
  <hyperlinks>
    <hyperlink ref="F77" r:id="rId1" display="www.innergies.be" xr:uid="{00000000-0004-0000-0000-000000000000}"/>
    <hyperlink ref="F76" r:id="rId2" display="info@innergies.be" xr:uid="{00000000-0004-0000-0000-000001000000}"/>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Button 1">
              <controlPr defaultSize="0" print="0" autoFill="0" autoPict="0" macro="[0]!Import_2023">
                <anchor moveWithCells="1" sizeWithCells="1">
                  <from>
                    <xdr:col>0</xdr:col>
                    <xdr:colOff>495300</xdr:colOff>
                    <xdr:row>26</xdr:row>
                    <xdr:rowOff>76200</xdr:rowOff>
                  </from>
                  <to>
                    <xdr:col>2</xdr:col>
                    <xdr:colOff>190500</xdr:colOff>
                    <xdr:row>29</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0">
    <tabColor theme="8" tint="0.79998168889431442"/>
  </sheetPr>
  <dimension ref="A1:R121"/>
  <sheetViews>
    <sheetView showGridLines="0" zoomScale="90" zoomScaleNormal="90" workbookViewId="0">
      <selection activeCell="B2" sqref="B2"/>
    </sheetView>
  </sheetViews>
  <sheetFormatPr baseColWidth="10" defaultColWidth="9.109375" defaultRowHeight="14.4"/>
  <cols>
    <col min="1" max="1" width="3.5546875" style="1" customWidth="1"/>
    <col min="2" max="2" width="17.109375" style="1" customWidth="1"/>
    <col min="3" max="3" width="1.88671875" style="1" customWidth="1"/>
    <col min="4" max="4" width="4.44140625" style="404" customWidth="1"/>
    <col min="5" max="5" width="101.5546875" style="1" customWidth="1"/>
    <col min="6" max="6" width="9.109375" style="1" customWidth="1"/>
    <col min="7" max="9" width="21.5546875" style="1" customWidth="1"/>
    <col min="10" max="10" width="3.5546875" style="1" customWidth="1"/>
    <col min="11" max="11" width="19.44140625" style="1" bestFit="1" customWidth="1"/>
    <col min="12" max="12" width="19" style="1" customWidth="1"/>
    <col min="13" max="17" width="9.109375" style="1"/>
    <col min="18" max="18" width="19.5546875" style="1" customWidth="1"/>
    <col min="19" max="16384" width="9.109375" style="1"/>
  </cols>
  <sheetData>
    <row r="1" spans="1:18" s="395" customFormat="1" ht="59.25" customHeight="1">
      <c r="A1" s="1101"/>
      <c r="B1" s="1101"/>
      <c r="C1" s="1101"/>
      <c r="D1" s="1102"/>
      <c r="E1" s="1101"/>
      <c r="F1" s="1101"/>
      <c r="G1" s="1101"/>
      <c r="H1" s="1101"/>
      <c r="I1" s="1101"/>
      <c r="J1" s="1101"/>
      <c r="K1" s="1101"/>
      <c r="L1" s="1101"/>
      <c r="M1" s="1103"/>
      <c r="N1" s="1103"/>
      <c r="O1" s="1103"/>
      <c r="P1" s="1103"/>
      <c r="Q1" s="1103"/>
      <c r="R1" s="1103"/>
    </row>
    <row r="2" spans="1:18">
      <c r="A2" s="259"/>
      <c r="B2" s="259"/>
      <c r="C2" s="259"/>
      <c r="D2" s="402"/>
      <c r="E2" s="259"/>
      <c r="F2" s="259"/>
      <c r="G2" s="259"/>
      <c r="H2" s="259"/>
      <c r="I2" s="260"/>
      <c r="J2" s="259"/>
      <c r="K2" s="233"/>
      <c r="L2" s="233"/>
      <c r="M2" s="45"/>
      <c r="N2" s="45"/>
      <c r="O2" s="45"/>
      <c r="P2" s="45"/>
      <c r="Q2" s="45"/>
      <c r="R2" s="45"/>
    </row>
    <row r="3" spans="1:18" ht="31.2">
      <c r="A3" s="259"/>
      <c r="B3" s="421" t="s">
        <v>14</v>
      </c>
      <c r="C3" s="259"/>
      <c r="D3" s="402"/>
      <c r="E3" s="259"/>
      <c r="F3" s="259"/>
      <c r="G3" s="421" t="s">
        <v>15</v>
      </c>
      <c r="H3" s="1894" t="s">
        <v>16</v>
      </c>
      <c r="I3" s="1894"/>
      <c r="J3" s="1894"/>
      <c r="K3" s="1894"/>
      <c r="L3" s="233"/>
      <c r="M3" s="45"/>
      <c r="N3" s="45"/>
      <c r="O3" s="45"/>
      <c r="P3" s="45"/>
      <c r="Q3" s="45"/>
      <c r="R3" s="45"/>
    </row>
    <row r="4" spans="1:18" ht="32.4" customHeight="1">
      <c r="A4" s="259"/>
      <c r="B4" s="1898" t="s">
        <v>17</v>
      </c>
      <c r="C4" s="1898"/>
      <c r="D4" s="1898"/>
      <c r="E4" s="1898"/>
      <c r="F4" s="1898"/>
      <c r="G4" s="259"/>
      <c r="H4" s="1895" t="s">
        <v>18</v>
      </c>
      <c r="I4" s="1895"/>
      <c r="J4" s="1895"/>
      <c r="K4" s="1895"/>
      <c r="L4" s="233"/>
      <c r="M4" s="45"/>
      <c r="N4" s="45"/>
      <c r="O4" s="45"/>
      <c r="P4" s="45"/>
      <c r="Q4" s="45"/>
      <c r="R4" s="45"/>
    </row>
    <row r="5" spans="1:18" ht="15.6">
      <c r="A5" s="259"/>
      <c r="B5" s="418"/>
      <c r="C5" s="418"/>
      <c r="D5" s="418"/>
      <c r="E5" s="1899" t="s">
        <v>19</v>
      </c>
      <c r="F5" s="1899"/>
      <c r="G5" s="259"/>
      <c r="H5" s="259"/>
      <c r="I5" s="259"/>
      <c r="J5" s="259"/>
      <c r="K5" s="261"/>
      <c r="L5" s="233"/>
      <c r="M5" s="45"/>
      <c r="N5" s="45"/>
      <c r="O5" s="45"/>
      <c r="P5" s="45"/>
      <c r="Q5" s="45"/>
      <c r="R5" s="45"/>
    </row>
    <row r="6" spans="1:18">
      <c r="A6" s="259"/>
      <c r="B6" s="259"/>
      <c r="C6" s="259"/>
      <c r="D6" s="402"/>
      <c r="E6" s="259"/>
      <c r="F6" s="259"/>
      <c r="G6" s="259"/>
      <c r="H6" s="259"/>
      <c r="I6" s="259"/>
      <c r="J6" s="259"/>
      <c r="K6" s="262"/>
      <c r="L6" s="233"/>
      <c r="M6" s="45"/>
      <c r="N6" s="45"/>
      <c r="O6" s="45"/>
      <c r="P6" s="45"/>
      <c r="Q6" s="45"/>
      <c r="R6" s="45"/>
    </row>
    <row r="7" spans="1:18">
      <c r="A7" s="259"/>
      <c r="B7" s="1900" t="s">
        <v>20</v>
      </c>
      <c r="C7" s="407"/>
      <c r="D7" s="408" t="s">
        <v>21</v>
      </c>
      <c r="E7" s="409" t="s">
        <v>22</v>
      </c>
      <c r="F7" s="414" t="s">
        <v>23</v>
      </c>
      <c r="G7" s="400"/>
      <c r="H7" s="400"/>
      <c r="I7" s="400"/>
      <c r="J7" s="400"/>
      <c r="K7" s="336"/>
      <c r="L7" s="233"/>
      <c r="M7" s="45"/>
      <c r="N7" s="45"/>
      <c r="O7" s="45"/>
      <c r="P7" s="45"/>
      <c r="Q7" s="45"/>
      <c r="R7" s="45"/>
    </row>
    <row r="8" spans="1:18" ht="16.5" customHeight="1">
      <c r="A8" s="259"/>
      <c r="B8" s="1900"/>
      <c r="C8" s="400"/>
      <c r="D8" s="988" t="s">
        <v>24</v>
      </c>
      <c r="E8" s="989" t="s">
        <v>25</v>
      </c>
      <c r="F8" s="414" t="s">
        <v>23</v>
      </c>
      <c r="G8" s="400"/>
      <c r="H8" s="400"/>
      <c r="I8" s="400"/>
      <c r="J8" s="400"/>
      <c r="K8" s="336"/>
      <c r="L8" s="233"/>
      <c r="M8" s="45"/>
      <c r="N8" s="45"/>
      <c r="O8" s="45"/>
      <c r="P8" s="45"/>
      <c r="Q8" s="45"/>
      <c r="R8" s="45"/>
    </row>
    <row r="9" spans="1:18">
      <c r="A9" s="259"/>
      <c r="B9" s="1900"/>
      <c r="C9" s="407"/>
      <c r="D9" s="408" t="s">
        <v>26</v>
      </c>
      <c r="E9" s="409" t="s">
        <v>27</v>
      </c>
      <c r="F9" s="414" t="s">
        <v>23</v>
      </c>
      <c r="G9" s="400"/>
      <c r="H9" s="400"/>
      <c r="I9" s="400"/>
      <c r="J9" s="400"/>
      <c r="K9" s="336"/>
      <c r="L9" s="233"/>
      <c r="M9" s="45"/>
      <c r="N9" s="45"/>
      <c r="O9" s="45"/>
      <c r="P9" s="45"/>
      <c r="Q9" s="45"/>
      <c r="R9" s="45"/>
    </row>
    <row r="10" spans="1:18">
      <c r="A10" s="259"/>
      <c r="B10" s="1900"/>
      <c r="C10" s="400"/>
      <c r="D10" s="988" t="s">
        <v>28</v>
      </c>
      <c r="E10" s="989" t="s">
        <v>29</v>
      </c>
      <c r="F10" s="414" t="s">
        <v>23</v>
      </c>
      <c r="G10" s="400"/>
      <c r="H10" s="400"/>
      <c r="I10" s="400"/>
      <c r="J10" s="400"/>
      <c r="K10" s="336"/>
      <c r="L10" s="233"/>
      <c r="M10" s="45"/>
      <c r="N10" s="45"/>
      <c r="O10" s="45"/>
      <c r="P10" s="45"/>
      <c r="Q10" s="45"/>
      <c r="R10" s="45"/>
    </row>
    <row r="11" spans="1:18">
      <c r="A11" s="259"/>
      <c r="B11" s="1900"/>
      <c r="C11" s="407"/>
      <c r="D11" s="408" t="s">
        <v>30</v>
      </c>
      <c r="E11" s="409" t="s">
        <v>31</v>
      </c>
      <c r="F11" s="414" t="s">
        <v>23</v>
      </c>
      <c r="G11" s="400"/>
      <c r="H11" s="400"/>
      <c r="I11" s="400"/>
      <c r="J11" s="400"/>
      <c r="K11" s="336"/>
      <c r="L11" s="233"/>
      <c r="M11" s="45"/>
      <c r="N11" s="45"/>
      <c r="O11" s="45"/>
      <c r="P11" s="45"/>
      <c r="Q11" s="45"/>
      <c r="R11" s="45"/>
    </row>
    <row r="12" spans="1:18">
      <c r="A12" s="259"/>
      <c r="B12" s="1896" t="s">
        <v>32</v>
      </c>
      <c r="C12" s="259"/>
      <c r="D12" s="988" t="s">
        <v>33</v>
      </c>
      <c r="E12" s="989" t="s">
        <v>34</v>
      </c>
      <c r="F12" s="415" t="s">
        <v>23</v>
      </c>
      <c r="G12" s="259"/>
      <c r="H12" s="259"/>
      <c r="I12" s="259"/>
      <c r="J12" s="259"/>
      <c r="K12" s="263"/>
      <c r="L12" s="233"/>
      <c r="M12" s="45"/>
      <c r="N12" s="45"/>
      <c r="O12" s="45"/>
      <c r="P12" s="45"/>
      <c r="Q12" s="45"/>
      <c r="R12" s="45"/>
    </row>
    <row r="13" spans="1:18">
      <c r="A13" s="259"/>
      <c r="B13" s="1896"/>
      <c r="C13" s="399"/>
      <c r="D13" s="408" t="s">
        <v>35</v>
      </c>
      <c r="E13" s="409" t="s">
        <v>36</v>
      </c>
      <c r="F13" s="415" t="s">
        <v>23</v>
      </c>
      <c r="G13" s="259"/>
      <c r="H13" s="259"/>
      <c r="I13" s="259"/>
      <c r="J13" s="259"/>
      <c r="K13" s="263"/>
      <c r="L13" s="233"/>
      <c r="M13" s="394"/>
      <c r="N13" s="45"/>
      <c r="O13" s="45"/>
      <c r="P13" s="45"/>
      <c r="Q13" s="45"/>
      <c r="R13" s="45"/>
    </row>
    <row r="14" spans="1:18" ht="20.25" customHeight="1">
      <c r="A14" s="259"/>
      <c r="B14" s="1896"/>
      <c r="C14" s="259"/>
      <c r="D14" s="988" t="s">
        <v>37</v>
      </c>
      <c r="E14" s="989" t="s">
        <v>38</v>
      </c>
      <c r="F14" s="415" t="s">
        <v>23</v>
      </c>
      <c r="G14" s="259"/>
      <c r="H14" s="259"/>
      <c r="I14" s="259"/>
      <c r="J14" s="259"/>
      <c r="K14" s="263"/>
      <c r="L14" s="233"/>
      <c r="M14" s="45"/>
      <c r="N14" s="45"/>
      <c r="O14" s="45"/>
      <c r="P14" s="45"/>
      <c r="Q14" s="45"/>
      <c r="R14" s="45"/>
    </row>
    <row r="15" spans="1:18">
      <c r="A15" s="259"/>
      <c r="B15" s="1896"/>
      <c r="C15" s="399"/>
      <c r="D15" s="408" t="s">
        <v>39</v>
      </c>
      <c r="E15" s="409" t="s">
        <v>40</v>
      </c>
      <c r="F15" s="415" t="s">
        <v>23</v>
      </c>
      <c r="G15" s="259"/>
      <c r="H15" s="259"/>
      <c r="I15" s="259"/>
      <c r="J15" s="259"/>
      <c r="K15" s="263"/>
      <c r="L15" s="233"/>
      <c r="M15" s="45"/>
      <c r="N15" s="45"/>
      <c r="O15" s="45"/>
      <c r="P15" s="45"/>
      <c r="Q15" s="45"/>
      <c r="R15" s="45"/>
    </row>
    <row r="16" spans="1:18">
      <c r="A16" s="259"/>
      <c r="B16" s="1896"/>
      <c r="C16" s="259"/>
      <c r="D16" s="988" t="s">
        <v>41</v>
      </c>
      <c r="E16" s="989" t="s">
        <v>42</v>
      </c>
      <c r="F16" s="398"/>
      <c r="G16" s="259"/>
      <c r="H16" s="259"/>
      <c r="I16" s="259"/>
      <c r="J16" s="259"/>
      <c r="K16" s="263"/>
      <c r="L16" s="233"/>
      <c r="M16" s="45"/>
      <c r="N16" s="45"/>
      <c r="O16" s="45"/>
      <c r="P16" s="45"/>
      <c r="Q16" s="45"/>
      <c r="R16" s="45"/>
    </row>
    <row r="17" spans="1:18" ht="15.75" customHeight="1">
      <c r="A17" s="397"/>
      <c r="B17" s="1896"/>
      <c r="C17" s="397"/>
      <c r="D17" s="993"/>
      <c r="E17" s="990" t="s">
        <v>43</v>
      </c>
      <c r="F17" s="415" t="s">
        <v>23</v>
      </c>
      <c r="G17" s="397"/>
      <c r="H17" s="397"/>
      <c r="I17" s="397"/>
      <c r="J17" s="396"/>
      <c r="K17" s="264"/>
      <c r="L17" s="233"/>
      <c r="M17" s="45"/>
      <c r="N17" s="45"/>
      <c r="O17" s="45"/>
      <c r="P17" s="45"/>
      <c r="Q17" s="45"/>
      <c r="R17" s="45"/>
    </row>
    <row r="18" spans="1:18" ht="19.5" customHeight="1">
      <c r="A18" s="397"/>
      <c r="B18" s="1896"/>
      <c r="C18" s="410"/>
      <c r="D18" s="994"/>
      <c r="E18" s="411" t="s">
        <v>44</v>
      </c>
      <c r="F18" s="415" t="s">
        <v>23</v>
      </c>
      <c r="G18" s="397"/>
      <c r="H18" s="397"/>
      <c r="I18" s="397"/>
      <c r="J18" s="396"/>
      <c r="K18" s="264"/>
      <c r="L18" s="233"/>
      <c r="M18" s="45"/>
      <c r="N18" s="45"/>
      <c r="O18" s="45"/>
      <c r="P18" s="45"/>
      <c r="Q18" s="45"/>
      <c r="R18" s="45"/>
    </row>
    <row r="19" spans="1:18" ht="16.5" customHeight="1">
      <c r="A19" s="397"/>
      <c r="B19" s="1896"/>
      <c r="C19" s="397"/>
      <c r="D19" s="995"/>
      <c r="E19" s="990" t="s">
        <v>45</v>
      </c>
      <c r="F19" s="1897" t="s">
        <v>23</v>
      </c>
      <c r="G19" s="397"/>
      <c r="H19" s="397"/>
      <c r="I19" s="397"/>
      <c r="J19" s="259"/>
      <c r="K19" s="265"/>
      <c r="L19" s="233"/>
      <c r="M19" s="45"/>
      <c r="N19" s="45"/>
      <c r="O19" s="45"/>
      <c r="P19" s="45"/>
      <c r="Q19" s="45"/>
      <c r="R19" s="45"/>
    </row>
    <row r="20" spans="1:18">
      <c r="A20" s="259"/>
      <c r="B20" s="1896"/>
      <c r="C20" s="259"/>
      <c r="D20" s="995"/>
      <c r="E20" s="991" t="s">
        <v>46</v>
      </c>
      <c r="F20" s="1897"/>
      <c r="G20" s="259"/>
      <c r="H20" s="259"/>
      <c r="I20" s="259"/>
      <c r="J20" s="259"/>
      <c r="K20" s="265"/>
      <c r="L20" s="233"/>
      <c r="M20" s="45"/>
      <c r="N20" s="45"/>
      <c r="O20" s="45"/>
      <c r="P20" s="45"/>
      <c r="Q20" s="45"/>
      <c r="R20" s="45"/>
    </row>
    <row r="21" spans="1:18">
      <c r="A21" s="259"/>
      <c r="B21" s="1896"/>
      <c r="C21" s="259"/>
      <c r="D21" s="995"/>
      <c r="E21" s="991" t="s">
        <v>47</v>
      </c>
      <c r="F21" s="1897"/>
      <c r="G21" s="259"/>
      <c r="H21" s="259"/>
      <c r="I21" s="259"/>
      <c r="J21" s="259"/>
      <c r="K21" s="233"/>
      <c r="L21" s="233"/>
      <c r="M21" s="45"/>
      <c r="N21" s="45"/>
      <c r="O21" s="45"/>
      <c r="P21" s="45"/>
      <c r="Q21" s="45"/>
      <c r="R21" s="45"/>
    </row>
    <row r="22" spans="1:18" ht="18.75" customHeight="1">
      <c r="A22" s="259"/>
      <c r="B22" s="1901" t="s">
        <v>48</v>
      </c>
      <c r="C22" s="412"/>
      <c r="D22" s="408" t="s">
        <v>49</v>
      </c>
      <c r="E22" s="409" t="s">
        <v>50</v>
      </c>
      <c r="F22" s="416" t="s">
        <v>23</v>
      </c>
      <c r="G22" s="259"/>
      <c r="H22" s="259"/>
      <c r="I22" s="259"/>
      <c r="J22" s="259"/>
      <c r="K22" s="233"/>
      <c r="L22" s="233"/>
      <c r="M22" s="45"/>
      <c r="N22" s="45"/>
      <c r="O22" s="45"/>
      <c r="P22" s="45"/>
      <c r="Q22" s="45"/>
      <c r="R22" s="45"/>
    </row>
    <row r="23" spans="1:18">
      <c r="A23" s="259"/>
      <c r="B23" s="1901"/>
      <c r="C23" s="401"/>
      <c r="D23" s="992" t="s">
        <v>51</v>
      </c>
      <c r="E23" s="405" t="s">
        <v>52</v>
      </c>
      <c r="F23" s="416" t="s">
        <v>23</v>
      </c>
      <c r="G23" s="259"/>
      <c r="H23" s="259"/>
      <c r="I23" s="259"/>
      <c r="J23" s="259"/>
      <c r="K23" s="233"/>
      <c r="L23" s="233"/>
      <c r="M23" s="45"/>
      <c r="N23" s="45"/>
      <c r="O23" s="45"/>
      <c r="P23" s="45"/>
      <c r="Q23" s="45"/>
      <c r="R23" s="45"/>
    </row>
    <row r="24" spans="1:18" ht="28.8">
      <c r="A24" s="259"/>
      <c r="B24" s="1902" t="s">
        <v>13</v>
      </c>
      <c r="C24" s="399"/>
      <c r="D24" s="408" t="s">
        <v>53</v>
      </c>
      <c r="E24" s="409" t="s">
        <v>54</v>
      </c>
      <c r="F24" s="417" t="s">
        <v>23</v>
      </c>
      <c r="G24" s="259"/>
      <c r="H24" s="259"/>
      <c r="I24" s="259"/>
      <c r="J24" s="259"/>
      <c r="K24" s="233"/>
      <c r="L24" s="233"/>
      <c r="M24" s="45"/>
      <c r="N24" s="45"/>
      <c r="O24" s="45"/>
      <c r="P24" s="45"/>
      <c r="Q24" s="45"/>
      <c r="R24" s="45"/>
    </row>
    <row r="25" spans="1:18" ht="28.8">
      <c r="A25" s="259"/>
      <c r="B25" s="1902"/>
      <c r="C25" s="913"/>
      <c r="D25" s="992" t="s">
        <v>55</v>
      </c>
      <c r="E25" s="405" t="s">
        <v>56</v>
      </c>
      <c r="F25" s="417" t="s">
        <v>23</v>
      </c>
      <c r="G25" s="259"/>
      <c r="H25" s="259"/>
      <c r="I25" s="259"/>
      <c r="J25" s="259"/>
      <c r="K25" s="233"/>
      <c r="L25" s="233"/>
      <c r="M25" s="45"/>
      <c r="N25" s="45"/>
      <c r="O25" s="45"/>
      <c r="P25" s="45"/>
      <c r="Q25" s="45"/>
      <c r="R25" s="45"/>
    </row>
    <row r="26" spans="1:18" ht="28.8">
      <c r="A26" s="259"/>
      <c r="B26" s="1896" t="s">
        <v>57</v>
      </c>
      <c r="C26" s="983"/>
      <c r="D26" s="408" t="s">
        <v>58</v>
      </c>
      <c r="E26" s="409" t="s">
        <v>59</v>
      </c>
      <c r="F26" s="415" t="s">
        <v>23</v>
      </c>
      <c r="G26" s="259"/>
      <c r="H26" s="259"/>
      <c r="I26" s="259"/>
      <c r="J26" s="259"/>
      <c r="K26" s="233"/>
      <c r="L26" s="233"/>
      <c r="M26" s="45"/>
      <c r="N26" s="45"/>
      <c r="O26" s="45"/>
      <c r="P26" s="45"/>
      <c r="Q26" s="45"/>
      <c r="R26" s="45"/>
    </row>
    <row r="27" spans="1:18">
      <c r="A27" s="259"/>
      <c r="B27" s="1896"/>
      <c r="C27" s="984"/>
      <c r="D27" s="992" t="s">
        <v>60</v>
      </c>
      <c r="E27" s="405" t="s">
        <v>61</v>
      </c>
      <c r="F27" s="415" t="s">
        <v>23</v>
      </c>
      <c r="G27" s="259"/>
      <c r="H27" s="259"/>
      <c r="I27" s="259"/>
      <c r="J27" s="259"/>
      <c r="K27" s="233"/>
      <c r="L27" s="233"/>
      <c r="M27" s="45"/>
      <c r="N27" s="45"/>
      <c r="O27" s="45"/>
      <c r="P27" s="45"/>
      <c r="Q27" s="45"/>
      <c r="R27" s="45"/>
    </row>
    <row r="28" spans="1:18">
      <c r="A28" s="259"/>
      <c r="B28" s="1896"/>
      <c r="C28" s="983"/>
      <c r="D28" s="408" t="s">
        <v>62</v>
      </c>
      <c r="E28" s="409" t="s">
        <v>63</v>
      </c>
      <c r="F28" s="415" t="s">
        <v>23</v>
      </c>
      <c r="G28" s="259"/>
      <c r="H28" s="259"/>
      <c r="I28" s="259"/>
      <c r="J28" s="259"/>
      <c r="K28" s="233"/>
      <c r="L28" s="233"/>
      <c r="M28" s="45"/>
      <c r="N28" s="45"/>
      <c r="O28" s="45"/>
      <c r="P28" s="45"/>
      <c r="Q28" s="45"/>
      <c r="R28" s="45"/>
    </row>
    <row r="29" spans="1:18">
      <c r="A29" s="259"/>
      <c r="B29" s="1896"/>
      <c r="C29" s="420"/>
      <c r="D29" s="996" t="s">
        <v>64</v>
      </c>
      <c r="E29" s="985" t="s">
        <v>65</v>
      </c>
      <c r="F29" s="1897" t="s">
        <v>23</v>
      </c>
      <c r="G29" s="259"/>
      <c r="H29" s="259"/>
      <c r="I29" s="259"/>
      <c r="J29" s="259"/>
      <c r="K29" s="233"/>
      <c r="L29" s="233"/>
      <c r="M29" s="45"/>
      <c r="N29" s="45"/>
      <c r="O29" s="45"/>
      <c r="P29" s="45"/>
      <c r="Q29" s="45"/>
      <c r="R29" s="45"/>
    </row>
    <row r="30" spans="1:18">
      <c r="A30" s="259"/>
      <c r="B30" s="1896"/>
      <c r="C30" s="420"/>
      <c r="D30" s="993"/>
      <c r="E30" s="986" t="s">
        <v>66</v>
      </c>
      <c r="F30" s="1897"/>
      <c r="G30" s="259"/>
      <c r="H30" s="259"/>
      <c r="I30" s="259"/>
      <c r="J30" s="259"/>
      <c r="K30" s="233"/>
      <c r="L30" s="233"/>
      <c r="M30" s="45"/>
      <c r="N30" s="45"/>
      <c r="O30" s="45"/>
      <c r="P30" s="45"/>
      <c r="Q30" s="45"/>
      <c r="R30" s="45"/>
    </row>
    <row r="31" spans="1:18">
      <c r="A31" s="45"/>
      <c r="B31" s="1896"/>
      <c r="C31" s="419"/>
      <c r="D31" s="993"/>
      <c r="E31" s="987" t="s">
        <v>67</v>
      </c>
      <c r="F31" s="1897"/>
      <c r="G31" s="45"/>
      <c r="H31" s="45"/>
      <c r="I31" s="45"/>
      <c r="J31" s="45"/>
      <c r="K31" s="45"/>
      <c r="L31" s="45"/>
      <c r="M31" s="45"/>
      <c r="N31" s="45"/>
      <c r="O31" s="45"/>
      <c r="P31" s="45"/>
      <c r="Q31" s="45"/>
      <c r="R31" s="45"/>
    </row>
    <row r="32" spans="1:18">
      <c r="A32" s="45"/>
      <c r="B32" s="1896"/>
      <c r="C32" s="419"/>
      <c r="D32" s="993"/>
      <c r="E32" s="987" t="s">
        <v>68</v>
      </c>
      <c r="F32" s="1897"/>
      <c r="G32" s="45"/>
      <c r="H32" s="45"/>
      <c r="I32" s="45"/>
      <c r="J32" s="45"/>
      <c r="K32" s="45"/>
      <c r="L32" s="45"/>
      <c r="M32" s="45"/>
      <c r="N32" s="45"/>
      <c r="O32" s="45"/>
      <c r="P32" s="45"/>
      <c r="Q32" s="45"/>
      <c r="R32" s="45"/>
    </row>
    <row r="33" spans="1:18">
      <c r="A33" s="45"/>
      <c r="B33" s="1896"/>
      <c r="C33" s="419"/>
      <c r="D33" s="993"/>
      <c r="E33" s="987" t="s">
        <v>69</v>
      </c>
      <c r="F33" s="1897"/>
      <c r="G33" s="45"/>
      <c r="H33" s="45"/>
      <c r="I33" s="45"/>
      <c r="J33" s="45"/>
      <c r="K33" s="45"/>
      <c r="L33" s="45"/>
      <c r="M33" s="45"/>
      <c r="N33" s="45"/>
      <c r="O33" s="45"/>
      <c r="P33" s="45"/>
      <c r="Q33" s="45"/>
      <c r="R33" s="45"/>
    </row>
    <row r="34" spans="1:18" ht="28.8">
      <c r="A34" s="45"/>
      <c r="B34" s="406" t="s">
        <v>13</v>
      </c>
      <c r="C34" s="413"/>
      <c r="D34" s="408" t="s">
        <v>70</v>
      </c>
      <c r="E34" s="409" t="s">
        <v>71</v>
      </c>
      <c r="F34" s="1000" t="s">
        <v>23</v>
      </c>
      <c r="G34" s="45"/>
      <c r="H34" s="45"/>
      <c r="I34" s="45"/>
      <c r="J34" s="45"/>
      <c r="K34" s="45"/>
      <c r="L34" s="45"/>
      <c r="M34" s="45"/>
      <c r="N34" s="45"/>
      <c r="O34" s="45"/>
      <c r="P34" s="45"/>
      <c r="Q34" s="45"/>
      <c r="R34" s="45"/>
    </row>
    <row r="35" spans="1:18">
      <c r="A35" s="45"/>
      <c r="B35" s="45"/>
      <c r="C35" s="45"/>
      <c r="D35" s="403"/>
      <c r="E35" s="45"/>
      <c r="F35" s="45"/>
      <c r="G35" s="45"/>
      <c r="H35" s="45"/>
      <c r="I35" s="45"/>
      <c r="J35" s="45"/>
      <c r="K35" s="45"/>
      <c r="L35" s="45"/>
      <c r="M35" s="45"/>
      <c r="N35" s="45"/>
      <c r="O35" s="45"/>
      <c r="P35" s="45"/>
      <c r="Q35" s="45"/>
      <c r="R35" s="45"/>
    </row>
    <row r="36" spans="1:18">
      <c r="A36" s="45"/>
      <c r="B36" s="45"/>
      <c r="C36" s="45"/>
      <c r="D36" s="403"/>
      <c r="E36" s="45"/>
      <c r="F36" s="45"/>
      <c r="G36" s="45"/>
      <c r="H36" s="45"/>
      <c r="I36" s="45"/>
      <c r="J36" s="45"/>
      <c r="K36" s="45"/>
      <c r="L36" s="45"/>
      <c r="M36" s="45"/>
      <c r="N36" s="45"/>
      <c r="O36" s="45"/>
      <c r="P36" s="45"/>
      <c r="Q36" s="45"/>
      <c r="R36" s="45"/>
    </row>
    <row r="37" spans="1:18">
      <c r="A37" s="45"/>
      <c r="B37" s="45"/>
      <c r="C37" s="45"/>
      <c r="D37" s="403"/>
      <c r="E37" s="45"/>
      <c r="F37" s="45"/>
      <c r="G37" s="45"/>
      <c r="H37" s="45"/>
      <c r="I37" s="45"/>
      <c r="J37" s="45"/>
      <c r="K37" s="45"/>
      <c r="L37" s="45"/>
      <c r="M37" s="45"/>
      <c r="N37" s="45"/>
      <c r="O37" s="45"/>
      <c r="P37" s="45"/>
      <c r="Q37" s="45"/>
      <c r="R37" s="45"/>
    </row>
    <row r="38" spans="1:18">
      <c r="A38" s="45"/>
      <c r="B38" s="45"/>
      <c r="C38" s="45"/>
      <c r="D38" s="403"/>
      <c r="E38" s="45"/>
      <c r="F38" s="45"/>
      <c r="G38" s="45"/>
      <c r="H38" s="45"/>
      <c r="I38" s="45"/>
      <c r="J38" s="45"/>
      <c r="K38" s="45"/>
      <c r="L38" s="45"/>
      <c r="M38" s="45"/>
      <c r="N38" s="45"/>
      <c r="O38" s="45"/>
      <c r="P38" s="45"/>
      <c r="Q38" s="45"/>
      <c r="R38" s="45"/>
    </row>
    <row r="39" spans="1:18">
      <c r="A39" s="45"/>
      <c r="B39" s="45"/>
      <c r="C39" s="45"/>
      <c r="D39" s="403"/>
      <c r="E39" s="45"/>
      <c r="F39" s="45"/>
      <c r="G39" s="45"/>
      <c r="H39" s="45"/>
      <c r="I39" s="45"/>
      <c r="J39" s="45"/>
      <c r="K39" s="45"/>
      <c r="L39" s="45"/>
      <c r="M39" s="45"/>
      <c r="N39" s="45"/>
      <c r="O39" s="45"/>
      <c r="P39" s="45"/>
      <c r="Q39" s="45"/>
      <c r="R39" s="45"/>
    </row>
    <row r="40" spans="1:18">
      <c r="A40" s="45"/>
      <c r="B40" s="45"/>
      <c r="C40" s="45"/>
      <c r="D40" s="403"/>
      <c r="E40" s="45"/>
      <c r="F40" s="45"/>
      <c r="G40" s="45"/>
      <c r="H40" s="45"/>
      <c r="I40" s="45"/>
      <c r="J40" s="45"/>
      <c r="K40" s="45"/>
      <c r="L40" s="45"/>
      <c r="M40" s="45"/>
      <c r="N40" s="45"/>
      <c r="O40" s="45"/>
      <c r="P40" s="45"/>
      <c r="Q40" s="45"/>
      <c r="R40" s="45"/>
    </row>
    <row r="41" spans="1:18">
      <c r="A41" s="45"/>
      <c r="B41" s="45"/>
      <c r="C41" s="45"/>
      <c r="D41" s="403"/>
      <c r="E41" s="45"/>
      <c r="F41" s="45"/>
      <c r="G41" s="45"/>
      <c r="H41" s="45"/>
      <c r="I41" s="45"/>
      <c r="J41" s="45"/>
      <c r="K41" s="45"/>
      <c r="L41" s="45"/>
      <c r="M41" s="45"/>
      <c r="N41" s="45"/>
      <c r="O41" s="45"/>
      <c r="P41" s="45"/>
      <c r="Q41" s="45"/>
      <c r="R41" s="45"/>
    </row>
    <row r="42" spans="1:18">
      <c r="A42" s="45"/>
      <c r="B42" s="45"/>
      <c r="C42" s="45"/>
      <c r="D42" s="403"/>
      <c r="E42" s="45"/>
      <c r="F42" s="45"/>
      <c r="G42" s="45"/>
      <c r="H42" s="45"/>
      <c r="I42" s="45"/>
      <c r="J42" s="45"/>
      <c r="K42" s="45"/>
      <c r="L42" s="45"/>
      <c r="M42" s="45"/>
      <c r="N42" s="45"/>
      <c r="O42" s="45"/>
      <c r="P42" s="45"/>
      <c r="Q42" s="45"/>
      <c r="R42" s="45"/>
    </row>
    <row r="43" spans="1:18">
      <c r="A43" s="45"/>
      <c r="B43" s="45"/>
      <c r="C43" s="45"/>
      <c r="D43" s="403"/>
      <c r="E43" s="45"/>
      <c r="F43" s="45"/>
      <c r="G43" s="45"/>
      <c r="H43" s="45"/>
      <c r="I43" s="45"/>
      <c r="J43" s="45"/>
      <c r="K43" s="45"/>
      <c r="L43" s="45"/>
      <c r="M43" s="45"/>
      <c r="N43" s="45"/>
      <c r="O43" s="45"/>
      <c r="P43" s="45"/>
      <c r="Q43" s="45"/>
      <c r="R43" s="45"/>
    </row>
    <row r="44" spans="1:18">
      <c r="A44" s="45"/>
      <c r="B44" s="45"/>
      <c r="C44" s="45"/>
      <c r="D44" s="403"/>
      <c r="E44" s="45"/>
      <c r="F44" s="45"/>
      <c r="G44" s="45"/>
      <c r="H44" s="45"/>
      <c r="I44" s="45"/>
      <c r="J44" s="45"/>
      <c r="K44" s="45"/>
      <c r="L44" s="45"/>
      <c r="M44" s="45"/>
      <c r="N44" s="45"/>
      <c r="O44" s="45"/>
      <c r="P44" s="45"/>
      <c r="Q44" s="45"/>
      <c r="R44" s="45"/>
    </row>
    <row r="45" spans="1:18">
      <c r="A45" s="45"/>
      <c r="B45" s="45"/>
      <c r="C45" s="45"/>
      <c r="D45" s="403"/>
      <c r="E45" s="45"/>
      <c r="F45" s="45"/>
      <c r="G45" s="45"/>
      <c r="H45" s="45"/>
      <c r="I45" s="45"/>
      <c r="J45" s="45"/>
      <c r="K45" s="45"/>
      <c r="L45" s="45"/>
      <c r="M45" s="45"/>
      <c r="N45" s="45"/>
      <c r="O45" s="45"/>
      <c r="P45" s="45"/>
      <c r="Q45" s="45"/>
      <c r="R45" s="45"/>
    </row>
    <row r="46" spans="1:18">
      <c r="A46" s="45"/>
      <c r="B46" s="45"/>
      <c r="C46" s="45"/>
      <c r="D46" s="403"/>
      <c r="E46" s="45"/>
      <c r="F46" s="45"/>
      <c r="G46" s="45"/>
      <c r="H46" s="45"/>
      <c r="I46" s="45"/>
      <c r="J46" s="45"/>
      <c r="K46" s="45"/>
      <c r="L46" s="45"/>
      <c r="M46" s="45"/>
      <c r="N46" s="45"/>
      <c r="O46" s="45"/>
      <c r="P46" s="45"/>
      <c r="Q46" s="45"/>
      <c r="R46" s="45"/>
    </row>
    <row r="47" spans="1:18">
      <c r="A47" s="45"/>
      <c r="B47" s="45"/>
      <c r="C47" s="45"/>
      <c r="D47" s="403"/>
      <c r="E47" s="45"/>
      <c r="F47" s="45"/>
      <c r="G47" s="45"/>
      <c r="H47" s="45"/>
      <c r="I47" s="45"/>
      <c r="J47" s="45"/>
      <c r="K47" s="45"/>
      <c r="L47" s="45"/>
      <c r="M47" s="45"/>
      <c r="N47" s="45"/>
      <c r="O47" s="45"/>
      <c r="P47" s="45"/>
      <c r="Q47" s="45"/>
      <c r="R47" s="45"/>
    </row>
    <row r="48" spans="1:18">
      <c r="A48" s="45"/>
      <c r="B48" s="45"/>
      <c r="C48" s="45"/>
      <c r="D48" s="403"/>
      <c r="E48" s="45"/>
      <c r="F48" s="45"/>
      <c r="G48" s="45"/>
      <c r="H48" s="45"/>
      <c r="I48" s="45"/>
      <c r="J48" s="45"/>
      <c r="K48" s="45"/>
      <c r="L48" s="45"/>
      <c r="M48" s="45"/>
      <c r="N48" s="45"/>
      <c r="O48" s="45"/>
      <c r="P48" s="45"/>
      <c r="Q48" s="45"/>
      <c r="R48" s="45"/>
    </row>
    <row r="49" spans="1:18">
      <c r="A49" s="45"/>
      <c r="B49" s="45"/>
      <c r="C49" s="45"/>
      <c r="D49" s="403"/>
      <c r="E49" s="45"/>
      <c r="F49" s="45"/>
      <c r="G49" s="45"/>
      <c r="H49" s="45"/>
      <c r="I49" s="45"/>
      <c r="J49" s="45"/>
      <c r="K49" s="45"/>
      <c r="L49" s="45"/>
      <c r="M49" s="45"/>
      <c r="N49" s="45"/>
      <c r="O49" s="45"/>
      <c r="P49" s="45"/>
      <c r="Q49" s="45"/>
      <c r="R49" s="45"/>
    </row>
    <row r="50" spans="1:18">
      <c r="A50" s="45"/>
      <c r="B50" s="45"/>
      <c r="C50" s="45"/>
      <c r="D50" s="403"/>
      <c r="E50" s="45"/>
      <c r="F50" s="45"/>
      <c r="G50" s="45"/>
      <c r="H50" s="45"/>
      <c r="I50" s="45"/>
      <c r="J50" s="45"/>
      <c r="K50" s="45"/>
      <c r="L50" s="45"/>
      <c r="M50" s="45"/>
      <c r="N50" s="45"/>
      <c r="O50" s="45"/>
      <c r="P50" s="45"/>
      <c r="Q50" s="45"/>
      <c r="R50" s="45"/>
    </row>
    <row r="51" spans="1:18">
      <c r="A51" s="45"/>
      <c r="B51" s="45"/>
      <c r="C51" s="45"/>
      <c r="D51" s="403"/>
      <c r="E51" s="45"/>
      <c r="F51" s="45"/>
      <c r="G51" s="45"/>
      <c r="H51" s="45"/>
      <c r="I51" s="45"/>
      <c r="J51" s="45"/>
      <c r="K51" s="45"/>
      <c r="L51" s="45"/>
      <c r="M51" s="45"/>
      <c r="N51" s="45"/>
      <c r="O51" s="45"/>
      <c r="P51" s="45"/>
      <c r="Q51" s="45"/>
      <c r="R51" s="45"/>
    </row>
    <row r="52" spans="1:18">
      <c r="A52" s="45"/>
      <c r="B52" s="45"/>
      <c r="C52" s="45"/>
      <c r="D52" s="403"/>
      <c r="E52" s="45"/>
      <c r="F52" s="45"/>
      <c r="G52" s="45"/>
      <c r="H52" s="45"/>
      <c r="I52" s="45"/>
      <c r="J52" s="45"/>
      <c r="K52" s="45"/>
      <c r="L52" s="45"/>
      <c r="M52" s="45"/>
      <c r="N52" s="45"/>
      <c r="O52" s="45"/>
      <c r="P52" s="45"/>
      <c r="Q52" s="45"/>
      <c r="R52" s="45"/>
    </row>
    <row r="53" spans="1:18">
      <c r="A53" s="45"/>
      <c r="B53" s="45"/>
      <c r="C53" s="45"/>
      <c r="D53" s="403"/>
      <c r="E53" s="45"/>
      <c r="F53" s="45"/>
      <c r="G53" s="45"/>
      <c r="H53" s="45"/>
      <c r="I53" s="45"/>
      <c r="J53" s="45"/>
      <c r="K53" s="45"/>
      <c r="L53" s="45"/>
      <c r="M53" s="45"/>
      <c r="N53" s="45"/>
      <c r="O53" s="45"/>
      <c r="P53" s="45"/>
      <c r="Q53" s="45"/>
      <c r="R53" s="45"/>
    </row>
    <row r="54" spans="1:18">
      <c r="A54" s="45"/>
      <c r="B54" s="45"/>
      <c r="C54" s="45"/>
      <c r="D54" s="403"/>
      <c r="E54" s="45"/>
      <c r="F54" s="45"/>
      <c r="G54" s="45"/>
      <c r="H54" s="45"/>
      <c r="I54" s="45"/>
      <c r="J54" s="45"/>
      <c r="K54" s="45"/>
      <c r="L54" s="45"/>
      <c r="M54" s="45"/>
      <c r="N54" s="45"/>
      <c r="O54" s="45"/>
      <c r="P54" s="45"/>
      <c r="Q54" s="45"/>
      <c r="R54" s="45"/>
    </row>
    <row r="55" spans="1:18">
      <c r="A55" s="45"/>
      <c r="B55" s="45"/>
      <c r="C55" s="45"/>
      <c r="D55" s="403"/>
      <c r="E55" s="45"/>
      <c r="F55" s="45"/>
      <c r="G55" s="45"/>
      <c r="H55" s="45"/>
      <c r="I55" s="45"/>
      <c r="J55" s="45"/>
      <c r="K55" s="45"/>
      <c r="L55" s="45"/>
      <c r="M55" s="45"/>
      <c r="N55" s="45"/>
      <c r="O55" s="45"/>
      <c r="P55" s="45"/>
      <c r="Q55" s="45"/>
      <c r="R55" s="45"/>
    </row>
    <row r="56" spans="1:18">
      <c r="A56" s="45"/>
      <c r="B56" s="45"/>
      <c r="C56" s="45"/>
      <c r="D56" s="403"/>
      <c r="E56" s="45"/>
      <c r="F56" s="45"/>
      <c r="G56" s="45"/>
      <c r="H56" s="45"/>
      <c r="I56" s="45"/>
      <c r="J56" s="45"/>
      <c r="K56" s="45"/>
      <c r="L56" s="45"/>
      <c r="M56" s="45"/>
      <c r="N56" s="45"/>
      <c r="O56" s="45"/>
      <c r="P56" s="45"/>
      <c r="Q56" s="45"/>
      <c r="R56" s="45"/>
    </row>
    <row r="57" spans="1:18">
      <c r="A57" s="45"/>
      <c r="B57" s="45"/>
      <c r="C57" s="45"/>
      <c r="D57" s="403"/>
      <c r="E57" s="45"/>
      <c r="F57" s="45"/>
      <c r="G57" s="45"/>
      <c r="H57" s="45"/>
      <c r="I57" s="45"/>
      <c r="J57" s="45"/>
      <c r="K57" s="45"/>
      <c r="L57" s="45"/>
      <c r="M57" s="45"/>
      <c r="N57" s="45"/>
      <c r="O57" s="45"/>
      <c r="P57" s="45"/>
      <c r="Q57" s="45"/>
      <c r="R57" s="45"/>
    </row>
    <row r="58" spans="1:18">
      <c r="A58" s="45"/>
      <c r="B58" s="45"/>
      <c r="C58" s="45"/>
      <c r="D58" s="403"/>
      <c r="E58" s="45"/>
      <c r="F58" s="45"/>
      <c r="G58" s="45"/>
      <c r="H58" s="45"/>
      <c r="I58" s="45"/>
      <c r="J58" s="45"/>
      <c r="K58" s="45"/>
      <c r="L58" s="45"/>
      <c r="M58" s="45"/>
      <c r="N58" s="45"/>
      <c r="O58" s="45"/>
      <c r="P58" s="45"/>
      <c r="Q58" s="45"/>
      <c r="R58" s="45"/>
    </row>
    <row r="59" spans="1:18">
      <c r="A59" s="45"/>
      <c r="B59" s="45"/>
      <c r="C59" s="45"/>
      <c r="D59" s="403"/>
      <c r="E59" s="45"/>
      <c r="F59" s="45"/>
      <c r="G59" s="45"/>
      <c r="H59" s="45"/>
      <c r="I59" s="45"/>
      <c r="J59" s="45"/>
      <c r="K59" s="45"/>
      <c r="L59" s="45"/>
      <c r="M59" s="45"/>
      <c r="N59" s="45"/>
      <c r="O59" s="45"/>
      <c r="P59" s="45"/>
      <c r="Q59" s="45"/>
      <c r="R59" s="45"/>
    </row>
    <row r="60" spans="1:18">
      <c r="A60" s="45"/>
      <c r="B60" s="45"/>
      <c r="C60" s="45"/>
      <c r="D60" s="403"/>
      <c r="E60" s="45"/>
      <c r="F60" s="45"/>
      <c r="G60" s="45"/>
      <c r="H60" s="45"/>
      <c r="I60" s="45"/>
      <c r="J60" s="45"/>
      <c r="K60" s="45"/>
      <c r="L60" s="45"/>
      <c r="M60" s="45"/>
      <c r="N60" s="45"/>
      <c r="O60" s="45"/>
      <c r="P60" s="45"/>
      <c r="Q60" s="45"/>
      <c r="R60" s="45"/>
    </row>
    <row r="61" spans="1:18">
      <c r="A61" s="45"/>
      <c r="B61" s="45"/>
      <c r="C61" s="45"/>
      <c r="D61" s="403"/>
      <c r="E61" s="45"/>
      <c r="F61" s="45"/>
      <c r="G61" s="45"/>
      <c r="H61" s="45"/>
      <c r="I61" s="45"/>
      <c r="J61" s="45"/>
      <c r="K61" s="45"/>
      <c r="L61" s="45"/>
      <c r="M61" s="45"/>
      <c r="N61" s="45"/>
      <c r="O61" s="45"/>
      <c r="P61" s="45"/>
      <c r="Q61" s="45"/>
      <c r="R61" s="45"/>
    </row>
    <row r="62" spans="1:18">
      <c r="A62" s="45"/>
      <c r="B62" s="45"/>
      <c r="C62" s="45"/>
      <c r="D62" s="403"/>
      <c r="E62" s="45"/>
      <c r="F62" s="45"/>
      <c r="G62" s="45"/>
      <c r="H62" s="45"/>
      <c r="I62" s="45"/>
      <c r="J62" s="45"/>
      <c r="K62" s="45"/>
      <c r="L62" s="45"/>
      <c r="M62" s="45"/>
      <c r="N62" s="45"/>
      <c r="O62" s="45"/>
      <c r="P62" s="45"/>
      <c r="Q62" s="45"/>
      <c r="R62" s="45"/>
    </row>
    <row r="63" spans="1:18">
      <c r="A63" s="45"/>
      <c r="B63" s="45"/>
      <c r="C63" s="45"/>
      <c r="D63" s="403"/>
      <c r="E63" s="45"/>
      <c r="F63" s="45"/>
      <c r="G63" s="45"/>
      <c r="H63" s="45"/>
      <c r="I63" s="45"/>
      <c r="J63" s="45"/>
      <c r="K63" s="45"/>
      <c r="L63" s="45"/>
      <c r="M63" s="45"/>
      <c r="N63" s="45"/>
      <c r="O63" s="45"/>
      <c r="P63" s="45"/>
      <c r="Q63" s="45"/>
      <c r="R63" s="45"/>
    </row>
    <row r="64" spans="1:18">
      <c r="A64" s="45"/>
      <c r="B64" s="45"/>
      <c r="C64" s="45"/>
      <c r="D64" s="403"/>
      <c r="E64" s="45"/>
      <c r="F64" s="45"/>
      <c r="G64" s="45"/>
      <c r="H64" s="45"/>
      <c r="I64" s="45"/>
      <c r="J64" s="45"/>
      <c r="K64" s="45"/>
      <c r="L64" s="45"/>
      <c r="M64" s="45"/>
      <c r="N64" s="45"/>
      <c r="O64" s="45"/>
      <c r="P64" s="45"/>
      <c r="Q64" s="45"/>
      <c r="R64" s="45"/>
    </row>
    <row r="65" spans="1:18">
      <c r="A65" s="45"/>
      <c r="B65" s="45"/>
      <c r="C65" s="45"/>
      <c r="D65" s="403"/>
      <c r="E65" s="45"/>
      <c r="F65" s="45"/>
      <c r="G65" s="45"/>
      <c r="H65" s="45"/>
      <c r="I65" s="45"/>
      <c r="J65" s="45"/>
      <c r="K65" s="45"/>
      <c r="L65" s="45"/>
      <c r="M65" s="45"/>
      <c r="N65" s="45"/>
      <c r="O65" s="45"/>
      <c r="P65" s="45"/>
      <c r="Q65" s="45"/>
      <c r="R65" s="45"/>
    </row>
    <row r="66" spans="1:18">
      <c r="A66" s="45"/>
      <c r="B66" s="45"/>
      <c r="C66" s="45"/>
      <c r="D66" s="403"/>
      <c r="E66" s="45"/>
      <c r="F66" s="45"/>
      <c r="G66" s="45"/>
      <c r="H66" s="45"/>
      <c r="I66" s="45"/>
      <c r="J66" s="45"/>
      <c r="K66" s="45"/>
      <c r="L66" s="45"/>
      <c r="M66" s="45"/>
      <c r="N66" s="45"/>
      <c r="O66" s="45"/>
      <c r="P66" s="45"/>
      <c r="Q66" s="45"/>
      <c r="R66" s="45"/>
    </row>
    <row r="67" spans="1:18">
      <c r="A67" s="45"/>
      <c r="B67" s="45"/>
      <c r="C67" s="45"/>
      <c r="D67" s="403"/>
      <c r="E67" s="45"/>
      <c r="F67" s="45"/>
      <c r="G67" s="45"/>
      <c r="H67" s="45"/>
      <c r="I67" s="45"/>
      <c r="J67" s="45"/>
      <c r="K67" s="45"/>
      <c r="L67" s="45"/>
      <c r="M67" s="45"/>
      <c r="N67" s="45"/>
      <c r="O67" s="45"/>
      <c r="P67" s="45"/>
      <c r="Q67" s="45"/>
      <c r="R67" s="45"/>
    </row>
    <row r="68" spans="1:18">
      <c r="A68" s="45"/>
      <c r="B68" s="45"/>
      <c r="C68" s="45"/>
      <c r="D68" s="403"/>
      <c r="E68" s="45"/>
      <c r="F68" s="45"/>
      <c r="G68" s="45"/>
      <c r="H68" s="45"/>
      <c r="I68" s="45"/>
      <c r="J68" s="45"/>
      <c r="K68" s="45"/>
      <c r="L68" s="45"/>
      <c r="M68" s="45"/>
      <c r="N68" s="45"/>
      <c r="O68" s="45"/>
      <c r="P68" s="45"/>
      <c r="Q68" s="45"/>
      <c r="R68" s="45"/>
    </row>
    <row r="69" spans="1:18">
      <c r="A69" s="45"/>
      <c r="B69" s="45"/>
      <c r="C69" s="45"/>
      <c r="D69" s="403"/>
      <c r="E69" s="45"/>
      <c r="F69" s="45"/>
      <c r="G69" s="45"/>
      <c r="H69" s="45"/>
      <c r="I69" s="45"/>
      <c r="J69" s="45"/>
      <c r="K69" s="45"/>
      <c r="L69" s="45"/>
      <c r="M69" s="45"/>
      <c r="N69" s="45"/>
      <c r="O69" s="45"/>
      <c r="P69" s="45"/>
      <c r="Q69" s="45"/>
      <c r="R69" s="45"/>
    </row>
    <row r="70" spans="1:18">
      <c r="A70" s="45"/>
      <c r="B70" s="45"/>
      <c r="C70" s="45"/>
      <c r="D70" s="403"/>
      <c r="E70" s="45"/>
      <c r="F70" s="45"/>
      <c r="G70" s="45"/>
      <c r="H70" s="45"/>
      <c r="I70" s="45"/>
      <c r="J70" s="45"/>
      <c r="K70" s="45"/>
      <c r="L70" s="45"/>
      <c r="M70" s="45"/>
      <c r="N70" s="45"/>
      <c r="O70" s="45"/>
      <c r="P70" s="45"/>
      <c r="Q70" s="45"/>
      <c r="R70" s="45"/>
    </row>
    <row r="71" spans="1:18">
      <c r="A71" s="45"/>
      <c r="B71" s="45"/>
      <c r="C71" s="45"/>
      <c r="D71" s="403"/>
      <c r="E71" s="45"/>
      <c r="F71" s="45"/>
      <c r="G71" s="45"/>
      <c r="H71" s="45"/>
      <c r="I71" s="45"/>
      <c r="J71" s="45"/>
      <c r="K71" s="45"/>
      <c r="L71" s="45"/>
      <c r="M71" s="45"/>
      <c r="N71" s="45"/>
      <c r="O71" s="45"/>
      <c r="P71" s="45"/>
      <c r="Q71" s="45"/>
      <c r="R71" s="45"/>
    </row>
    <row r="72" spans="1:18">
      <c r="A72" s="45"/>
      <c r="B72" s="45"/>
      <c r="C72" s="45"/>
      <c r="D72" s="403"/>
      <c r="E72" s="45"/>
      <c r="F72" s="45"/>
      <c r="G72" s="45"/>
      <c r="H72" s="45"/>
      <c r="I72" s="45"/>
      <c r="J72" s="45"/>
      <c r="K72" s="45"/>
      <c r="L72" s="45"/>
      <c r="M72" s="45"/>
      <c r="N72" s="45"/>
      <c r="O72" s="45"/>
      <c r="P72" s="45"/>
      <c r="Q72" s="45"/>
      <c r="R72" s="45"/>
    </row>
    <row r="73" spans="1:18">
      <c r="A73" s="45"/>
      <c r="B73" s="45"/>
      <c r="C73" s="45"/>
      <c r="D73" s="403"/>
      <c r="E73" s="45"/>
      <c r="F73" s="45"/>
      <c r="G73" s="45"/>
      <c r="H73" s="45"/>
      <c r="I73" s="45"/>
      <c r="J73" s="45"/>
      <c r="K73" s="45"/>
      <c r="L73" s="45"/>
      <c r="M73" s="45"/>
      <c r="N73" s="45"/>
      <c r="O73" s="45"/>
      <c r="P73" s="45"/>
      <c r="Q73" s="45"/>
      <c r="R73" s="45"/>
    </row>
    <row r="74" spans="1:18">
      <c r="A74" s="45"/>
      <c r="B74" s="45"/>
      <c r="C74" s="45"/>
      <c r="D74" s="403"/>
      <c r="E74" s="45"/>
      <c r="F74" s="45"/>
      <c r="G74" s="45"/>
      <c r="H74" s="45"/>
      <c r="I74" s="45"/>
      <c r="J74" s="45"/>
      <c r="K74" s="45"/>
      <c r="L74" s="45"/>
      <c r="M74" s="45"/>
      <c r="N74" s="45"/>
      <c r="O74" s="45"/>
      <c r="P74" s="45"/>
      <c r="Q74" s="45"/>
      <c r="R74" s="45"/>
    </row>
    <row r="75" spans="1:18">
      <c r="A75" s="45"/>
      <c r="B75" s="45"/>
      <c r="C75" s="45"/>
      <c r="D75" s="403"/>
      <c r="E75" s="45"/>
      <c r="F75" s="45"/>
      <c r="G75" s="45"/>
      <c r="H75" s="45"/>
      <c r="I75" s="45"/>
      <c r="J75" s="45"/>
      <c r="K75" s="45"/>
      <c r="L75" s="45"/>
      <c r="M75" s="45"/>
      <c r="N75" s="45"/>
      <c r="O75" s="45"/>
      <c r="P75" s="45"/>
      <c r="Q75" s="45"/>
      <c r="R75" s="45"/>
    </row>
    <row r="76" spans="1:18">
      <c r="A76" s="45"/>
      <c r="B76" s="45"/>
      <c r="C76" s="45"/>
      <c r="D76" s="403"/>
      <c r="E76" s="45"/>
      <c r="F76" s="45"/>
      <c r="G76" s="45"/>
      <c r="H76" s="45"/>
      <c r="I76" s="45"/>
      <c r="J76" s="45"/>
      <c r="K76" s="45"/>
      <c r="L76" s="45"/>
      <c r="M76" s="45"/>
      <c r="N76" s="45"/>
      <c r="O76" s="45"/>
      <c r="P76" s="45"/>
      <c r="Q76" s="45"/>
      <c r="R76" s="45"/>
    </row>
    <row r="77" spans="1:18">
      <c r="A77" s="45"/>
      <c r="B77" s="45"/>
      <c r="C77" s="45"/>
      <c r="D77" s="403"/>
      <c r="E77" s="45"/>
      <c r="F77" s="45"/>
      <c r="G77" s="45"/>
      <c r="H77" s="45"/>
      <c r="I77" s="45"/>
      <c r="J77" s="45"/>
      <c r="K77" s="45"/>
      <c r="L77" s="45"/>
      <c r="M77" s="45"/>
      <c r="N77" s="45"/>
      <c r="O77" s="45"/>
      <c r="P77" s="45"/>
      <c r="Q77" s="45"/>
      <c r="R77" s="45"/>
    </row>
    <row r="78" spans="1:18">
      <c r="A78" s="45"/>
      <c r="B78" s="45"/>
      <c r="C78" s="45"/>
      <c r="D78" s="403"/>
      <c r="E78" s="45"/>
      <c r="F78" s="45"/>
      <c r="G78" s="45"/>
      <c r="H78" s="45"/>
      <c r="I78" s="45"/>
      <c r="J78" s="45"/>
      <c r="K78" s="45"/>
      <c r="L78" s="45"/>
      <c r="M78" s="45"/>
      <c r="N78" s="45"/>
      <c r="O78" s="45"/>
      <c r="P78" s="45"/>
      <c r="Q78" s="45"/>
      <c r="R78" s="45"/>
    </row>
    <row r="79" spans="1:18">
      <c r="A79" s="45"/>
      <c r="B79" s="45"/>
      <c r="C79" s="45"/>
      <c r="D79" s="403"/>
      <c r="E79" s="45"/>
      <c r="F79" s="45"/>
      <c r="G79" s="45"/>
      <c r="H79" s="45"/>
      <c r="I79" s="45"/>
      <c r="J79" s="45"/>
      <c r="K79" s="45"/>
      <c r="L79" s="45"/>
      <c r="M79" s="45"/>
      <c r="N79" s="45"/>
      <c r="O79" s="45"/>
      <c r="P79" s="45"/>
      <c r="Q79" s="45"/>
      <c r="R79" s="45"/>
    </row>
    <row r="80" spans="1:18">
      <c r="A80" s="45"/>
      <c r="B80" s="45"/>
      <c r="C80" s="45"/>
      <c r="D80" s="403"/>
      <c r="E80" s="45"/>
      <c r="F80" s="45"/>
      <c r="G80" s="45"/>
      <c r="H80" s="45"/>
      <c r="I80" s="45"/>
      <c r="J80" s="45"/>
      <c r="K80" s="45"/>
      <c r="L80" s="45"/>
      <c r="M80" s="45"/>
      <c r="N80" s="45"/>
      <c r="O80" s="45"/>
      <c r="P80" s="45"/>
      <c r="Q80" s="45"/>
      <c r="R80" s="45"/>
    </row>
    <row r="81" spans="1:18">
      <c r="A81" s="45"/>
      <c r="B81" s="45"/>
      <c r="C81" s="45"/>
      <c r="D81" s="403"/>
      <c r="E81" s="45"/>
      <c r="F81" s="45"/>
      <c r="G81" s="45"/>
      <c r="H81" s="45"/>
      <c r="I81" s="45"/>
      <c r="J81" s="45"/>
      <c r="K81" s="45"/>
      <c r="L81" s="45"/>
      <c r="M81" s="45"/>
      <c r="N81" s="45"/>
      <c r="O81" s="45"/>
      <c r="P81" s="45"/>
      <c r="Q81" s="45"/>
      <c r="R81" s="45"/>
    </row>
    <row r="82" spans="1:18">
      <c r="A82" s="45"/>
      <c r="B82" s="45"/>
      <c r="C82" s="45"/>
      <c r="D82" s="403"/>
      <c r="E82" s="45"/>
      <c r="F82" s="45"/>
      <c r="G82" s="45"/>
      <c r="H82" s="45"/>
      <c r="I82" s="45"/>
      <c r="J82" s="45"/>
      <c r="K82" s="45"/>
      <c r="L82" s="45"/>
      <c r="M82" s="45"/>
      <c r="N82" s="45"/>
      <c r="O82" s="45"/>
      <c r="P82" s="45"/>
      <c r="Q82" s="45"/>
      <c r="R82" s="45"/>
    </row>
    <row r="83" spans="1:18">
      <c r="A83" s="45"/>
      <c r="B83" s="45"/>
      <c r="C83" s="45"/>
      <c r="D83" s="403"/>
      <c r="E83" s="45"/>
      <c r="F83" s="45"/>
      <c r="G83" s="45"/>
      <c r="H83" s="45"/>
      <c r="I83" s="45"/>
      <c r="J83" s="45"/>
      <c r="K83" s="45"/>
      <c r="L83" s="45"/>
      <c r="M83" s="45"/>
      <c r="N83" s="45"/>
      <c r="O83" s="45"/>
      <c r="P83" s="45"/>
      <c r="Q83" s="45"/>
      <c r="R83" s="45"/>
    </row>
    <row r="84" spans="1:18">
      <c r="A84" s="45"/>
      <c r="B84" s="45"/>
      <c r="C84" s="45"/>
      <c r="D84" s="403"/>
      <c r="E84" s="45"/>
      <c r="F84" s="45"/>
      <c r="G84" s="45"/>
      <c r="H84" s="45"/>
      <c r="I84" s="45"/>
      <c r="J84" s="45"/>
      <c r="K84" s="45"/>
      <c r="L84" s="45"/>
      <c r="M84" s="45"/>
      <c r="N84" s="45"/>
      <c r="O84" s="45"/>
      <c r="P84" s="45"/>
      <c r="Q84" s="45"/>
      <c r="R84" s="45"/>
    </row>
    <row r="85" spans="1:18">
      <c r="A85" s="45"/>
      <c r="B85" s="45"/>
      <c r="C85" s="45"/>
      <c r="D85" s="403"/>
      <c r="E85" s="45"/>
      <c r="F85" s="45"/>
      <c r="G85" s="45"/>
      <c r="H85" s="45"/>
      <c r="I85" s="45"/>
      <c r="J85" s="45"/>
      <c r="K85" s="45"/>
      <c r="L85" s="45"/>
      <c r="M85" s="45"/>
      <c r="N85" s="45"/>
      <c r="O85" s="45"/>
      <c r="P85" s="45"/>
      <c r="Q85" s="45"/>
      <c r="R85" s="45"/>
    </row>
    <row r="86" spans="1:18">
      <c r="A86" s="45"/>
      <c r="B86" s="45"/>
      <c r="C86" s="45"/>
      <c r="D86" s="403"/>
      <c r="E86" s="45"/>
      <c r="F86" s="45"/>
      <c r="G86" s="45"/>
      <c r="H86" s="45"/>
      <c r="I86" s="45"/>
      <c r="J86" s="45"/>
      <c r="K86" s="45"/>
      <c r="L86" s="45"/>
      <c r="M86" s="45"/>
      <c r="N86" s="45"/>
      <c r="O86" s="45"/>
      <c r="P86" s="45"/>
      <c r="Q86" s="45"/>
      <c r="R86" s="45"/>
    </row>
    <row r="87" spans="1:18">
      <c r="A87" s="45"/>
      <c r="B87" s="45"/>
      <c r="C87" s="45"/>
      <c r="D87" s="403"/>
      <c r="E87" s="45"/>
      <c r="F87" s="45"/>
      <c r="G87" s="45"/>
      <c r="H87" s="45"/>
      <c r="I87" s="45"/>
      <c r="J87" s="45"/>
      <c r="K87" s="45"/>
      <c r="L87" s="45"/>
      <c r="M87" s="45"/>
      <c r="N87" s="45"/>
      <c r="O87" s="45"/>
      <c r="P87" s="45"/>
      <c r="Q87" s="45"/>
      <c r="R87" s="45"/>
    </row>
    <row r="88" spans="1:18">
      <c r="A88" s="45"/>
      <c r="B88" s="45"/>
      <c r="C88" s="45"/>
      <c r="D88" s="403"/>
      <c r="E88" s="45"/>
      <c r="F88" s="45"/>
      <c r="G88" s="45"/>
      <c r="H88" s="45"/>
      <c r="I88" s="45"/>
      <c r="J88" s="45"/>
      <c r="K88" s="45"/>
      <c r="L88" s="45"/>
      <c r="M88" s="45"/>
      <c r="N88" s="45"/>
      <c r="O88" s="45"/>
      <c r="P88" s="45"/>
      <c r="Q88" s="45"/>
      <c r="R88" s="45"/>
    </row>
    <row r="89" spans="1:18">
      <c r="A89" s="45"/>
      <c r="B89" s="45"/>
      <c r="C89" s="45"/>
      <c r="D89" s="403"/>
      <c r="E89" s="45"/>
      <c r="F89" s="45"/>
      <c r="G89" s="45"/>
      <c r="H89" s="45"/>
      <c r="I89" s="45"/>
      <c r="J89" s="45"/>
      <c r="K89" s="45"/>
      <c r="L89" s="45"/>
      <c r="M89" s="45"/>
      <c r="N89" s="45"/>
      <c r="O89" s="45"/>
      <c r="P89" s="45"/>
      <c r="Q89" s="45"/>
      <c r="R89" s="45"/>
    </row>
    <row r="90" spans="1:18">
      <c r="A90" s="45"/>
      <c r="B90" s="45"/>
      <c r="C90" s="45"/>
      <c r="D90" s="403"/>
      <c r="E90" s="45"/>
      <c r="F90" s="45"/>
      <c r="G90" s="45"/>
      <c r="H90" s="45"/>
      <c r="I90" s="45"/>
      <c r="J90" s="45"/>
      <c r="K90" s="45"/>
      <c r="L90" s="45"/>
      <c r="M90" s="45"/>
      <c r="N90" s="45"/>
      <c r="O90" s="45"/>
      <c r="P90" s="45"/>
      <c r="Q90" s="45"/>
      <c r="R90" s="45"/>
    </row>
    <row r="91" spans="1:18">
      <c r="A91" s="45"/>
      <c r="B91" s="45"/>
      <c r="C91" s="45"/>
      <c r="D91" s="403"/>
      <c r="E91" s="45"/>
      <c r="F91" s="45"/>
      <c r="G91" s="45"/>
      <c r="H91" s="45"/>
      <c r="I91" s="45"/>
      <c r="J91" s="45"/>
      <c r="K91" s="45"/>
      <c r="L91" s="45"/>
      <c r="M91" s="45"/>
      <c r="N91" s="45"/>
      <c r="O91" s="45"/>
      <c r="P91" s="45"/>
      <c r="Q91" s="45"/>
      <c r="R91" s="45"/>
    </row>
    <row r="92" spans="1:18">
      <c r="A92" s="45"/>
      <c r="B92" s="45"/>
      <c r="C92" s="45"/>
      <c r="D92" s="403"/>
      <c r="E92" s="45"/>
      <c r="F92" s="45"/>
      <c r="G92" s="45"/>
      <c r="H92" s="45"/>
      <c r="I92" s="45"/>
      <c r="J92" s="45"/>
      <c r="K92" s="45"/>
      <c r="L92" s="45"/>
      <c r="M92" s="45"/>
      <c r="N92" s="45"/>
      <c r="O92" s="45"/>
      <c r="P92" s="45"/>
      <c r="Q92" s="45"/>
      <c r="R92" s="45"/>
    </row>
    <row r="93" spans="1:18">
      <c r="A93" s="45"/>
      <c r="B93" s="45"/>
      <c r="C93" s="45"/>
      <c r="D93" s="403"/>
      <c r="E93" s="45"/>
      <c r="F93" s="45"/>
      <c r="G93" s="45"/>
      <c r="H93" s="45"/>
      <c r="I93" s="45"/>
      <c r="J93" s="45"/>
      <c r="K93" s="45"/>
      <c r="L93" s="45"/>
      <c r="M93" s="45"/>
      <c r="N93" s="45"/>
      <c r="O93" s="45"/>
      <c r="P93" s="45"/>
      <c r="Q93" s="45"/>
      <c r="R93" s="45"/>
    </row>
    <row r="94" spans="1:18">
      <c r="A94" s="45"/>
      <c r="B94" s="45"/>
      <c r="C94" s="45"/>
      <c r="D94" s="403"/>
      <c r="E94" s="45"/>
      <c r="F94" s="45"/>
      <c r="G94" s="45"/>
      <c r="H94" s="45"/>
      <c r="I94" s="45"/>
      <c r="J94" s="45"/>
      <c r="K94" s="45"/>
      <c r="L94" s="45"/>
      <c r="M94" s="45"/>
      <c r="N94" s="45"/>
      <c r="O94" s="45"/>
      <c r="P94" s="45"/>
      <c r="Q94" s="45"/>
      <c r="R94" s="45"/>
    </row>
    <row r="95" spans="1:18">
      <c r="A95" s="45"/>
      <c r="B95" s="45"/>
      <c r="C95" s="45"/>
      <c r="D95" s="403"/>
      <c r="E95" s="45"/>
      <c r="F95" s="45"/>
      <c r="G95" s="45"/>
      <c r="H95" s="45"/>
      <c r="I95" s="45"/>
      <c r="J95" s="45"/>
      <c r="K95" s="45"/>
      <c r="L95" s="45"/>
      <c r="M95" s="45"/>
      <c r="N95" s="45"/>
      <c r="O95" s="45"/>
      <c r="P95" s="45"/>
      <c r="Q95" s="45"/>
      <c r="R95" s="45"/>
    </row>
    <row r="96" spans="1:18">
      <c r="A96" s="45"/>
      <c r="B96" s="45"/>
      <c r="C96" s="45"/>
      <c r="D96" s="403"/>
      <c r="E96" s="45"/>
      <c r="F96" s="45"/>
      <c r="G96" s="45"/>
      <c r="H96" s="45"/>
      <c r="I96" s="45"/>
      <c r="J96" s="45"/>
      <c r="K96" s="45"/>
      <c r="L96" s="45"/>
      <c r="M96" s="45"/>
      <c r="N96" s="45"/>
      <c r="O96" s="45"/>
      <c r="P96" s="45"/>
      <c r="Q96" s="45"/>
      <c r="R96" s="45"/>
    </row>
    <row r="97" spans="1:18">
      <c r="A97" s="45"/>
      <c r="B97" s="45"/>
      <c r="C97" s="45"/>
      <c r="D97" s="403"/>
      <c r="E97" s="45"/>
      <c r="F97" s="45"/>
      <c r="G97" s="45"/>
      <c r="H97" s="45"/>
      <c r="I97" s="45"/>
      <c r="J97" s="45"/>
      <c r="K97" s="45"/>
      <c r="L97" s="45"/>
      <c r="M97" s="45"/>
      <c r="N97" s="45"/>
      <c r="O97" s="45"/>
      <c r="P97" s="45"/>
      <c r="Q97" s="45"/>
      <c r="R97" s="45"/>
    </row>
    <row r="98" spans="1:18">
      <c r="A98" s="45"/>
      <c r="B98" s="45"/>
      <c r="C98" s="45"/>
      <c r="D98" s="403"/>
      <c r="E98" s="45"/>
      <c r="F98" s="45"/>
      <c r="G98" s="45"/>
      <c r="H98" s="45"/>
      <c r="I98" s="45"/>
      <c r="J98" s="45"/>
      <c r="K98" s="45"/>
      <c r="L98" s="45"/>
      <c r="M98" s="45"/>
      <c r="N98" s="45"/>
      <c r="O98" s="45"/>
      <c r="P98" s="45"/>
      <c r="Q98" s="45"/>
      <c r="R98" s="45"/>
    </row>
    <row r="99" spans="1:18">
      <c r="A99" s="45"/>
      <c r="B99" s="45"/>
      <c r="C99" s="45"/>
      <c r="D99" s="403"/>
      <c r="E99" s="45"/>
      <c r="F99" s="45"/>
      <c r="G99" s="45"/>
      <c r="H99" s="45"/>
      <c r="I99" s="45"/>
      <c r="J99" s="45"/>
      <c r="K99" s="45"/>
      <c r="L99" s="45"/>
      <c r="M99" s="45"/>
      <c r="N99" s="45"/>
      <c r="O99" s="45"/>
      <c r="P99" s="45"/>
      <c r="Q99" s="45"/>
      <c r="R99" s="45"/>
    </row>
    <row r="100" spans="1:18">
      <c r="A100" s="45"/>
      <c r="B100" s="45"/>
      <c r="C100" s="45"/>
      <c r="D100" s="403"/>
      <c r="E100" s="45"/>
      <c r="F100" s="45"/>
      <c r="G100" s="45"/>
      <c r="H100" s="45"/>
      <c r="I100" s="45"/>
      <c r="J100" s="45"/>
      <c r="K100" s="45"/>
      <c r="L100" s="45"/>
      <c r="M100" s="45"/>
      <c r="N100" s="45"/>
      <c r="O100" s="45"/>
      <c r="P100" s="45"/>
      <c r="Q100" s="45"/>
      <c r="R100" s="45"/>
    </row>
    <row r="101" spans="1:18">
      <c r="A101" s="45"/>
      <c r="B101" s="45"/>
      <c r="C101" s="45"/>
      <c r="D101" s="403"/>
      <c r="E101" s="45"/>
      <c r="F101" s="45"/>
      <c r="G101" s="45"/>
      <c r="H101" s="45"/>
      <c r="I101" s="45"/>
      <c r="J101" s="45"/>
      <c r="K101" s="45"/>
      <c r="L101" s="45"/>
      <c r="M101" s="45"/>
      <c r="N101" s="45"/>
      <c r="O101" s="45"/>
      <c r="P101" s="45"/>
      <c r="Q101" s="45"/>
      <c r="R101" s="45"/>
    </row>
    <row r="102" spans="1:18">
      <c r="A102" s="45"/>
      <c r="B102" s="45"/>
      <c r="C102" s="45"/>
      <c r="D102" s="403"/>
      <c r="E102" s="45"/>
      <c r="F102" s="45"/>
      <c r="G102" s="45"/>
      <c r="H102" s="45"/>
      <c r="I102" s="45"/>
      <c r="J102" s="45"/>
      <c r="K102" s="45"/>
      <c r="L102" s="45"/>
      <c r="M102" s="45"/>
      <c r="N102" s="45"/>
      <c r="O102" s="45"/>
      <c r="P102" s="45"/>
      <c r="Q102" s="45"/>
      <c r="R102" s="45"/>
    </row>
    <row r="103" spans="1:18">
      <c r="A103" s="45"/>
      <c r="B103" s="45"/>
      <c r="C103" s="45"/>
      <c r="D103" s="403"/>
      <c r="E103" s="45"/>
      <c r="F103" s="45"/>
      <c r="G103" s="45"/>
      <c r="H103" s="45"/>
      <c r="I103" s="45"/>
      <c r="J103" s="45"/>
      <c r="K103" s="45"/>
      <c r="L103" s="45"/>
      <c r="M103" s="45"/>
      <c r="N103" s="45"/>
      <c r="O103" s="45"/>
      <c r="P103" s="45"/>
      <c r="Q103" s="45"/>
      <c r="R103" s="45"/>
    </row>
    <row r="104" spans="1:18">
      <c r="A104" s="45"/>
      <c r="B104" s="45"/>
      <c r="C104" s="45"/>
      <c r="D104" s="403"/>
      <c r="E104" s="45"/>
      <c r="F104" s="45"/>
      <c r="G104" s="45"/>
      <c r="H104" s="45"/>
      <c r="I104" s="45"/>
      <c r="J104" s="45"/>
      <c r="K104" s="45"/>
      <c r="L104" s="45"/>
      <c r="M104" s="45"/>
      <c r="N104" s="45"/>
      <c r="O104" s="45"/>
      <c r="P104" s="45"/>
      <c r="Q104" s="45"/>
      <c r="R104" s="45"/>
    </row>
    <row r="105" spans="1:18">
      <c r="A105" s="45"/>
      <c r="B105" s="45"/>
      <c r="C105" s="45"/>
      <c r="D105" s="403"/>
      <c r="E105" s="45"/>
      <c r="F105" s="45"/>
      <c r="G105" s="45"/>
      <c r="H105" s="45"/>
      <c r="I105" s="45"/>
      <c r="J105" s="45"/>
      <c r="K105" s="45"/>
      <c r="L105" s="45"/>
      <c r="M105" s="45"/>
      <c r="N105" s="45"/>
      <c r="O105" s="45"/>
      <c r="P105" s="45"/>
      <c r="Q105" s="45"/>
      <c r="R105" s="45"/>
    </row>
    <row r="106" spans="1:18">
      <c r="A106" s="45"/>
      <c r="B106" s="45"/>
      <c r="C106" s="45"/>
      <c r="D106" s="403"/>
      <c r="E106" s="45"/>
      <c r="F106" s="45"/>
      <c r="G106" s="45"/>
      <c r="H106" s="45"/>
      <c r="I106" s="45"/>
      <c r="J106" s="45"/>
      <c r="K106" s="45"/>
      <c r="L106" s="45"/>
      <c r="M106" s="45"/>
      <c r="N106" s="45"/>
      <c r="O106" s="45"/>
      <c r="P106" s="45"/>
      <c r="Q106" s="45"/>
      <c r="R106" s="45"/>
    </row>
    <row r="107" spans="1:18">
      <c r="A107" s="45"/>
      <c r="B107" s="45"/>
      <c r="C107" s="45"/>
      <c r="D107" s="403"/>
      <c r="E107" s="45"/>
      <c r="F107" s="45"/>
      <c r="G107" s="45"/>
      <c r="H107" s="45"/>
      <c r="I107" s="45"/>
      <c r="J107" s="45"/>
      <c r="K107" s="45"/>
      <c r="L107" s="45"/>
      <c r="M107" s="45"/>
      <c r="N107" s="45"/>
      <c r="O107" s="45"/>
      <c r="P107" s="45"/>
      <c r="Q107" s="45"/>
      <c r="R107" s="45"/>
    </row>
    <row r="108" spans="1:18">
      <c r="A108" s="45"/>
      <c r="B108" s="45"/>
      <c r="C108" s="45"/>
      <c r="D108" s="403"/>
      <c r="E108" s="45"/>
      <c r="F108" s="45"/>
      <c r="G108" s="45"/>
      <c r="H108" s="45"/>
      <c r="I108" s="45"/>
      <c r="J108" s="45"/>
      <c r="K108" s="45"/>
      <c r="L108" s="45"/>
      <c r="M108" s="45"/>
      <c r="N108" s="45"/>
      <c r="O108" s="45"/>
      <c r="P108" s="45"/>
      <c r="Q108" s="45"/>
      <c r="R108" s="45"/>
    </row>
    <row r="109" spans="1:18">
      <c r="A109" s="45"/>
      <c r="B109" s="45"/>
      <c r="C109" s="45"/>
      <c r="D109" s="403"/>
      <c r="E109" s="45"/>
      <c r="F109" s="45"/>
      <c r="G109" s="45"/>
      <c r="H109" s="45"/>
      <c r="I109" s="45"/>
      <c r="J109" s="45"/>
      <c r="K109" s="45"/>
      <c r="L109" s="45"/>
      <c r="M109" s="45"/>
      <c r="N109" s="45"/>
      <c r="O109" s="45"/>
      <c r="P109" s="45"/>
      <c r="Q109" s="45"/>
      <c r="R109" s="45"/>
    </row>
    <row r="110" spans="1:18">
      <c r="A110" s="45"/>
      <c r="B110" s="45"/>
      <c r="C110" s="45"/>
      <c r="D110" s="403"/>
      <c r="E110" s="45"/>
      <c r="F110" s="45"/>
      <c r="G110" s="45"/>
      <c r="H110" s="45"/>
      <c r="I110" s="45"/>
      <c r="J110" s="45"/>
      <c r="K110" s="45"/>
      <c r="L110" s="45"/>
      <c r="M110" s="45"/>
      <c r="N110" s="45"/>
      <c r="O110" s="45"/>
      <c r="P110" s="45"/>
      <c r="Q110" s="45"/>
      <c r="R110" s="45"/>
    </row>
    <row r="111" spans="1:18">
      <c r="A111" s="45"/>
      <c r="B111" s="45"/>
      <c r="C111" s="45"/>
      <c r="D111" s="403"/>
      <c r="E111" s="45"/>
      <c r="F111" s="45"/>
      <c r="G111" s="45"/>
      <c r="H111" s="45"/>
      <c r="I111" s="45"/>
      <c r="J111" s="45"/>
      <c r="K111" s="45"/>
      <c r="L111" s="45"/>
      <c r="M111" s="45"/>
      <c r="N111" s="45"/>
      <c r="O111" s="45"/>
      <c r="P111" s="45"/>
      <c r="Q111" s="45"/>
      <c r="R111" s="45"/>
    </row>
    <row r="112" spans="1:18">
      <c r="A112" s="45"/>
      <c r="B112" s="45"/>
      <c r="C112" s="45"/>
      <c r="D112" s="403"/>
      <c r="E112" s="45"/>
      <c r="F112" s="45"/>
      <c r="G112" s="45"/>
      <c r="H112" s="45"/>
      <c r="I112" s="45"/>
      <c r="J112" s="45"/>
      <c r="K112" s="45"/>
      <c r="L112" s="45"/>
      <c r="M112" s="45"/>
      <c r="N112" s="45"/>
      <c r="O112" s="45"/>
      <c r="P112" s="45"/>
      <c r="Q112" s="45"/>
      <c r="R112" s="45"/>
    </row>
    <row r="113" spans="1:18">
      <c r="A113" s="45"/>
      <c r="B113" s="45"/>
      <c r="C113" s="45"/>
      <c r="D113" s="403"/>
      <c r="E113" s="45"/>
      <c r="F113" s="45"/>
      <c r="G113" s="45"/>
      <c r="H113" s="45"/>
      <c r="I113" s="45"/>
      <c r="J113" s="45"/>
      <c r="K113" s="45"/>
      <c r="L113" s="45"/>
      <c r="M113" s="45"/>
      <c r="N113" s="45"/>
      <c r="O113" s="45"/>
      <c r="P113" s="45"/>
      <c r="Q113" s="45"/>
      <c r="R113" s="45"/>
    </row>
    <row r="114" spans="1:18">
      <c r="A114" s="45"/>
      <c r="B114" s="45"/>
      <c r="C114" s="45"/>
      <c r="D114" s="403"/>
      <c r="E114" s="45"/>
      <c r="F114" s="45"/>
      <c r="G114" s="45"/>
      <c r="H114" s="45"/>
      <c r="I114" s="45"/>
      <c r="J114" s="45"/>
      <c r="K114" s="45"/>
      <c r="L114" s="45"/>
      <c r="M114" s="45"/>
      <c r="N114" s="45"/>
      <c r="O114" s="45"/>
      <c r="P114" s="45"/>
      <c r="Q114" s="45"/>
      <c r="R114" s="45"/>
    </row>
    <row r="115" spans="1:18">
      <c r="A115" s="45"/>
      <c r="B115" s="45"/>
      <c r="C115" s="45"/>
      <c r="D115" s="403"/>
      <c r="E115" s="45"/>
      <c r="F115" s="45"/>
      <c r="G115" s="45"/>
      <c r="H115" s="45"/>
      <c r="I115" s="45"/>
      <c r="J115" s="45"/>
      <c r="K115" s="45"/>
      <c r="L115" s="45"/>
      <c r="M115" s="45"/>
      <c r="N115" s="45"/>
      <c r="O115" s="45"/>
      <c r="P115" s="45"/>
      <c r="Q115" s="45"/>
      <c r="R115" s="45"/>
    </row>
    <row r="116" spans="1:18">
      <c r="A116" s="45"/>
      <c r="B116" s="45"/>
      <c r="C116" s="45"/>
      <c r="D116" s="403"/>
      <c r="E116" s="45"/>
      <c r="F116" s="45"/>
      <c r="G116" s="45"/>
      <c r="H116" s="45"/>
      <c r="I116" s="45"/>
      <c r="J116" s="45"/>
      <c r="K116" s="45"/>
      <c r="L116" s="45"/>
      <c r="M116" s="45"/>
      <c r="N116" s="45"/>
      <c r="O116" s="45"/>
      <c r="P116" s="45"/>
      <c r="Q116" s="45"/>
      <c r="R116" s="45"/>
    </row>
    <row r="117" spans="1:18">
      <c r="A117" s="45"/>
      <c r="B117" s="45"/>
      <c r="C117" s="45"/>
      <c r="D117" s="403"/>
      <c r="E117" s="45"/>
      <c r="F117" s="45"/>
      <c r="G117" s="45"/>
      <c r="H117" s="45"/>
      <c r="I117" s="45"/>
      <c r="J117" s="45"/>
      <c r="K117" s="45"/>
      <c r="L117" s="45"/>
      <c r="M117" s="45"/>
      <c r="N117" s="45"/>
      <c r="O117" s="45"/>
      <c r="P117" s="45"/>
      <c r="Q117" s="45"/>
      <c r="R117" s="45"/>
    </row>
    <row r="118" spans="1:18">
      <c r="A118" s="45"/>
      <c r="B118" s="45"/>
      <c r="C118" s="45"/>
      <c r="D118" s="403"/>
      <c r="E118" s="45"/>
      <c r="F118" s="45"/>
      <c r="G118" s="45"/>
      <c r="H118" s="45"/>
      <c r="I118" s="45"/>
      <c r="J118" s="45"/>
      <c r="K118" s="45"/>
      <c r="L118" s="45"/>
      <c r="M118" s="45"/>
      <c r="N118" s="45"/>
      <c r="O118" s="45"/>
      <c r="P118" s="45"/>
      <c r="Q118" s="45"/>
      <c r="R118" s="45"/>
    </row>
    <row r="119" spans="1:18">
      <c r="A119" s="45"/>
      <c r="B119" s="45"/>
      <c r="C119" s="45"/>
      <c r="D119" s="403"/>
      <c r="E119" s="45"/>
      <c r="F119" s="45"/>
      <c r="G119" s="45"/>
      <c r="H119" s="45"/>
      <c r="I119" s="45"/>
      <c r="J119" s="45"/>
      <c r="K119" s="45"/>
      <c r="L119" s="45"/>
      <c r="M119" s="45"/>
      <c r="N119" s="45"/>
      <c r="O119" s="45"/>
      <c r="P119" s="45"/>
      <c r="Q119" s="45"/>
      <c r="R119" s="45"/>
    </row>
    <row r="120" spans="1:18">
      <c r="A120" s="45"/>
      <c r="B120" s="45"/>
      <c r="C120" s="45"/>
      <c r="D120" s="403"/>
      <c r="E120" s="45"/>
      <c r="F120" s="45"/>
      <c r="G120" s="45"/>
      <c r="H120" s="45"/>
      <c r="I120" s="45"/>
      <c r="J120" s="45"/>
      <c r="K120" s="45"/>
      <c r="L120" s="45"/>
      <c r="M120" s="45"/>
      <c r="N120" s="45"/>
      <c r="O120" s="45"/>
      <c r="P120" s="45"/>
      <c r="Q120" s="45"/>
      <c r="R120" s="45"/>
    </row>
    <row r="121" spans="1:18">
      <c r="A121" s="45"/>
      <c r="B121" s="45"/>
      <c r="C121" s="45"/>
      <c r="D121" s="403"/>
      <c r="E121" s="45"/>
      <c r="F121" s="45"/>
      <c r="G121" s="45"/>
      <c r="H121" s="45"/>
      <c r="I121" s="45"/>
      <c r="J121" s="45"/>
      <c r="K121" s="45"/>
      <c r="L121" s="45"/>
      <c r="M121" s="45"/>
      <c r="N121" s="45"/>
      <c r="O121" s="45"/>
      <c r="P121" s="45"/>
      <c r="Q121" s="45"/>
      <c r="R121" s="45"/>
    </row>
  </sheetData>
  <sheetProtection algorithmName="SHA-512" hashValue="Bz+DC2EQMJztWmp5wrwG+DGOdZrsnOnqHxF8z/9JfyzunPBwVXVzyl6eO+lgSrZeheB6JJnP3252lII/JcNZaw==" saltValue="EAHdy70F5wHNbyVCQMHMtw==" spinCount="100000" sheet="1" formatRows="0"/>
  <mergeCells count="11">
    <mergeCell ref="H3:K3"/>
    <mergeCell ref="H4:K4"/>
    <mergeCell ref="B26:B33"/>
    <mergeCell ref="F19:F21"/>
    <mergeCell ref="F29:F33"/>
    <mergeCell ref="B4:F4"/>
    <mergeCell ref="E5:F5"/>
    <mergeCell ref="B7:B11"/>
    <mergeCell ref="B12:B21"/>
    <mergeCell ref="B22:B23"/>
    <mergeCell ref="B24:B25"/>
  </mergeCells>
  <hyperlinks>
    <hyperlink ref="F39" r:id="rId1" display="info@innergies.be" xr:uid="{00000000-0004-0000-0100-000000000000}"/>
    <hyperlink ref="F40" r:id="rId2" display="www.innergies.be" xr:uid="{00000000-0004-0000-0100-000001000000}"/>
    <hyperlink ref="F8" location="Accueil!E29" display="Go" xr:uid="{00000000-0004-0000-0100-000003000000}"/>
    <hyperlink ref="F9" location="'Données territoriales'!A1" display="Go" xr:uid="{00000000-0004-0000-0100-000004000000}"/>
    <hyperlink ref="F10" location="'Données patrimoniales'!A2" display="Go" xr:uid="{00000000-0004-0000-0100-000005000000}"/>
    <hyperlink ref="F11" location="'Bilan territorial'!A1" display="Go" xr:uid="{00000000-0004-0000-0100-000006000000}"/>
    <hyperlink ref="F12" location="'Potentiel EnR'!C16" display="Go" xr:uid="{00000000-0004-0000-0100-000007000000}"/>
    <hyperlink ref="F13" location="Vision!B12" display="Go" xr:uid="{00000000-0004-0000-0100-000008000000}"/>
    <hyperlink ref="F14" location="Objectifs!C9" display="Go" xr:uid="{00000000-0004-0000-0100-000009000000}"/>
    <hyperlink ref="F15" location="Suivi!B9" display="Go" xr:uid="{00000000-0004-0000-0100-00000A000000}"/>
    <hyperlink ref="F17" location="'A1'!A5" display="Go" xr:uid="{00000000-0004-0000-0100-00000B000000}"/>
    <hyperlink ref="F18" location="'A1'!B13" display="Go" xr:uid="{00000000-0004-0000-0100-00000C000000}"/>
    <hyperlink ref="F19:F21" location="'A1'!B7" display="Go" xr:uid="{00000000-0004-0000-0100-00000D000000}"/>
    <hyperlink ref="F22" location="'Actions VS Objectifs'!A1" display="Go" xr:uid="{00000000-0004-0000-0100-00000E000000}"/>
    <hyperlink ref="F23" location="Planning!A1" display="Go" xr:uid="{00000000-0004-0000-0100-00000F000000}"/>
    <hyperlink ref="F25" location="Rapportage!A1" display="Go" xr:uid="{00000000-0004-0000-0100-000010000000}"/>
    <hyperlink ref="F26" location="'Données territoriales'!A1" display="Go" xr:uid="{00000000-0004-0000-0100-000011000000}"/>
    <hyperlink ref="F28" location="Objectifs!G9" display="Go" xr:uid="{00000000-0004-0000-0100-000012000000}"/>
    <hyperlink ref="F29:F33" location="'A1'!E6" display="Go" xr:uid="{00000000-0004-0000-0100-000013000000}"/>
    <hyperlink ref="F34" location="'Rapportage POLLEC'!A1" display="Go" xr:uid="{00000000-0004-0000-0100-000014000000}"/>
    <hyperlink ref="E5:F5" r:id="rId3" display="Plus d'infos" xr:uid="{00000000-0004-0000-0100-000015000000}"/>
    <hyperlink ref="F7" location="Accueil!E27" display="Go" xr:uid="{00000000-0004-0000-0100-000002000000}"/>
    <hyperlink ref="F24" location="'Rapportage POLLEC'!A1" display="Go" xr:uid="{262A74E9-BE35-4477-820F-83BA2AEB5C2E}"/>
    <hyperlink ref="F27" location="Accueil!G9" display="Go" xr:uid="{BEF5AEF7-B9F8-4A02-B705-254F6B73F5BE}"/>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35C96-5B3D-4D7C-BB90-D44B6D661B7A}">
  <sheetPr codeName="Feuil31">
    <tabColor theme="7" tint="-0.249977111117893"/>
  </sheetPr>
  <dimension ref="B2:Z304"/>
  <sheetViews>
    <sheetView showGridLines="0" topLeftCell="B1" zoomScale="90" zoomScaleNormal="90" workbookViewId="0">
      <pane xSplit="2" ySplit="4" topLeftCell="D5" activePane="bottomRight" state="frozen"/>
      <selection activeCell="B1" sqref="B1"/>
      <selection pane="topRight" activeCell="D1" sqref="D1"/>
      <selection pane="bottomLeft" activeCell="B5" sqref="B5"/>
      <selection pane="bottomRight" activeCell="A5" sqref="A5"/>
    </sheetView>
  </sheetViews>
  <sheetFormatPr baseColWidth="10" defaultRowHeight="14.4"/>
  <cols>
    <col min="1" max="1" width="3.44140625" customWidth="1"/>
    <col min="3" max="3" width="77.88671875" bestFit="1" customWidth="1"/>
    <col min="4" max="4" width="17.33203125" customWidth="1"/>
    <col min="5" max="5" width="24.33203125" customWidth="1"/>
    <col min="6" max="6" width="13.88671875" customWidth="1"/>
    <col min="7" max="7" width="21.88671875" customWidth="1"/>
    <col min="8" max="8" width="22.109375" customWidth="1"/>
    <col min="10" max="10" width="20.77734375" customWidth="1"/>
    <col min="15" max="15" width="26.44140625" customWidth="1"/>
    <col min="18" max="18" width="17.5546875" customWidth="1"/>
    <col min="19" max="19" width="19.6640625" customWidth="1"/>
    <col min="20" max="20" width="23.33203125" customWidth="1"/>
    <col min="21" max="21" width="29.88671875" customWidth="1"/>
    <col min="22" max="22" width="15" customWidth="1"/>
    <col min="23" max="23" width="16.5546875" customWidth="1"/>
    <col min="25" max="25" width="18.6640625" customWidth="1"/>
  </cols>
  <sheetData>
    <row r="2" spans="2:26" ht="24.6">
      <c r="B2" s="1690" t="s">
        <v>2217</v>
      </c>
    </row>
    <row r="3" spans="2:26">
      <c r="S3" s="1665"/>
      <c r="T3" s="1665"/>
      <c r="U3" s="1665"/>
      <c r="V3" s="1665"/>
      <c r="W3" s="1665"/>
      <c r="X3" s="1665"/>
      <c r="Y3" s="1665"/>
      <c r="Z3" s="1665"/>
    </row>
    <row r="4" spans="2:26" ht="86.4">
      <c r="B4" s="1798" t="s">
        <v>3098</v>
      </c>
      <c r="C4" s="1798" t="s">
        <v>78</v>
      </c>
      <c r="D4" s="1798" t="s">
        <v>3104</v>
      </c>
      <c r="E4" s="1798" t="s">
        <v>3105</v>
      </c>
      <c r="F4" s="1798" t="s">
        <v>2202</v>
      </c>
      <c r="G4" s="1799" t="s">
        <v>2203</v>
      </c>
      <c r="H4" s="1800" t="s">
        <v>3099</v>
      </c>
      <c r="I4" s="1801" t="s">
        <v>2211</v>
      </c>
      <c r="J4" s="1802" t="s">
        <v>2204</v>
      </c>
      <c r="K4" s="1802" t="s">
        <v>2205</v>
      </c>
      <c r="L4" s="1802" t="s">
        <v>2206</v>
      </c>
      <c r="M4" s="1802" t="s">
        <v>1205</v>
      </c>
      <c r="N4" s="1802" t="s">
        <v>2207</v>
      </c>
      <c r="O4" s="1802" t="s">
        <v>2208</v>
      </c>
      <c r="P4" s="1802" t="s">
        <v>2209</v>
      </c>
      <c r="Q4" s="1801" t="s">
        <v>2210</v>
      </c>
      <c r="R4" s="1802" t="s">
        <v>2212</v>
      </c>
      <c r="S4" s="1803" t="s">
        <v>2806</v>
      </c>
      <c r="T4" s="1803" t="s">
        <v>2213</v>
      </c>
      <c r="U4" s="1803" t="s">
        <v>2214</v>
      </c>
      <c r="V4" s="1803" t="s">
        <v>2215</v>
      </c>
      <c r="W4" s="1803" t="s">
        <v>857</v>
      </c>
      <c r="X4" s="1803" t="s">
        <v>614</v>
      </c>
      <c r="Y4" s="1803" t="s">
        <v>154</v>
      </c>
      <c r="Z4" s="1803" t="s">
        <v>2216</v>
      </c>
    </row>
    <row r="5" spans="2:26">
      <c r="B5" s="1794"/>
      <c r="C5" s="1794"/>
      <c r="D5" s="1794"/>
      <c r="E5" s="1794"/>
      <c r="F5" s="1794"/>
      <c r="G5" s="1794"/>
      <c r="H5" s="1794"/>
      <c r="I5" s="1794"/>
      <c r="J5" s="1794"/>
      <c r="K5" s="1794"/>
      <c r="L5" s="1794"/>
      <c r="M5" s="1794"/>
      <c r="N5" s="1794"/>
      <c r="O5" s="1794"/>
      <c r="P5" s="1794"/>
      <c r="Q5" s="1794"/>
      <c r="R5" s="1794"/>
      <c r="S5" s="1794"/>
      <c r="T5" s="1794"/>
      <c r="U5" s="1794"/>
      <c r="V5" s="1794"/>
      <c r="W5" s="1794"/>
      <c r="X5" s="1794"/>
      <c r="Y5" s="1794"/>
      <c r="Z5" s="1794"/>
    </row>
    <row r="6" spans="2:26">
      <c r="B6" s="1794"/>
      <c r="C6" s="1794"/>
      <c r="D6" s="1794"/>
      <c r="E6" s="1794"/>
      <c r="F6" s="1794"/>
      <c r="G6" s="1794"/>
      <c r="H6" s="1794"/>
      <c r="I6" s="1794"/>
      <c r="J6" s="1794"/>
      <c r="K6" s="1794"/>
      <c r="L6" s="1794"/>
      <c r="M6" s="1794"/>
      <c r="N6" s="1794"/>
      <c r="O6" s="1794"/>
      <c r="P6" s="1794"/>
      <c r="Q6" s="1794"/>
      <c r="R6" s="1794"/>
      <c r="S6" s="1794"/>
      <c r="T6" s="1794"/>
      <c r="U6" s="1794"/>
      <c r="V6" s="1794"/>
      <c r="W6" s="1794"/>
      <c r="X6" s="1794"/>
      <c r="Y6" s="1794"/>
      <c r="Z6" s="1794"/>
    </row>
    <row r="7" spans="2:26">
      <c r="B7" s="1794"/>
      <c r="C7" s="1794"/>
      <c r="D7" s="1794"/>
      <c r="E7" s="1794"/>
      <c r="F7" s="1794"/>
      <c r="G7" s="1794"/>
      <c r="H7" s="1794"/>
      <c r="I7" s="1794"/>
      <c r="J7" s="1794"/>
      <c r="K7" s="1794"/>
      <c r="L7" s="1794"/>
      <c r="M7" s="1794"/>
      <c r="N7" s="1794"/>
      <c r="O7" s="1794"/>
      <c r="P7" s="1794"/>
      <c r="Q7" s="1794"/>
      <c r="R7" s="1794"/>
      <c r="S7" s="1794"/>
      <c r="T7" s="1794"/>
      <c r="U7" s="1794"/>
      <c r="V7" s="1794"/>
      <c r="W7" s="1794"/>
      <c r="X7" s="1794"/>
      <c r="Y7" s="1794"/>
      <c r="Z7" s="1794"/>
    </row>
    <row r="8" spans="2:26">
      <c r="B8" s="1794"/>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row>
    <row r="9" spans="2:26">
      <c r="B9" s="1794"/>
      <c r="C9" s="1794"/>
      <c r="D9" s="1794"/>
      <c r="E9" s="1794"/>
      <c r="F9" s="1794"/>
      <c r="G9" s="1794"/>
      <c r="H9" s="1794"/>
      <c r="I9" s="1794"/>
      <c r="J9" s="1794"/>
      <c r="K9" s="1794"/>
      <c r="L9" s="1794"/>
      <c r="M9" s="1794"/>
      <c r="N9" s="1794"/>
      <c r="O9" s="1794"/>
      <c r="P9" s="1794"/>
      <c r="Q9" s="1794"/>
      <c r="R9" s="1794"/>
      <c r="S9" s="1794"/>
      <c r="T9" s="1794"/>
      <c r="U9" s="1794"/>
      <c r="V9" s="1794"/>
      <c r="W9" s="1794"/>
      <c r="X9" s="1794"/>
      <c r="Y9" s="1794"/>
      <c r="Z9" s="1794"/>
    </row>
    <row r="10" spans="2:26">
      <c r="B10" s="1794"/>
      <c r="C10" s="1794"/>
      <c r="D10" s="1794"/>
      <c r="E10" s="1794"/>
      <c r="F10" s="1794"/>
      <c r="G10" s="1794"/>
      <c r="H10" s="1794"/>
      <c r="I10" s="1794"/>
      <c r="J10" s="1794"/>
      <c r="K10" s="1794"/>
      <c r="L10" s="1794"/>
      <c r="M10" s="1794"/>
      <c r="N10" s="1794"/>
      <c r="O10" s="1794"/>
      <c r="P10" s="1794"/>
      <c r="Q10" s="1794"/>
      <c r="R10" s="1794"/>
      <c r="S10" s="1794"/>
      <c r="T10" s="1794"/>
      <c r="U10" s="1794"/>
      <c r="V10" s="1794"/>
      <c r="W10" s="1794"/>
      <c r="X10" s="1794"/>
      <c r="Y10" s="1794"/>
      <c r="Z10" s="1794"/>
    </row>
    <row r="11" spans="2:26">
      <c r="B11" s="1794"/>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row>
    <row r="12" spans="2:26">
      <c r="B12" s="1794"/>
      <c r="C12" s="1794"/>
      <c r="D12" s="1794"/>
      <c r="E12" s="1794"/>
      <c r="F12" s="1794"/>
      <c r="G12" s="1794"/>
      <c r="H12" s="1794"/>
      <c r="I12" s="1794"/>
      <c r="J12" s="1794"/>
      <c r="K12" s="1794"/>
      <c r="L12" s="1794"/>
      <c r="M12" s="1794"/>
      <c r="N12" s="1794"/>
      <c r="O12" s="1794"/>
      <c r="P12" s="1794"/>
      <c r="Q12" s="1794"/>
      <c r="R12" s="1794"/>
      <c r="S12" s="1794"/>
      <c r="T12" s="1794"/>
      <c r="U12" s="1794"/>
      <c r="V12" s="1794"/>
      <c r="W12" s="1794"/>
      <c r="X12" s="1794"/>
      <c r="Y12" s="1794"/>
      <c r="Z12" s="1794"/>
    </row>
    <row r="13" spans="2:26">
      <c r="B13" s="1794"/>
      <c r="C13" s="1794"/>
      <c r="D13" s="1794"/>
      <c r="E13" s="1794"/>
      <c r="F13" s="1794"/>
      <c r="G13" s="1794"/>
      <c r="H13" s="1794"/>
      <c r="I13" s="1794"/>
      <c r="J13" s="1794"/>
      <c r="K13" s="1794"/>
      <c r="L13" s="1794"/>
      <c r="M13" s="1794"/>
      <c r="N13" s="1794"/>
      <c r="O13" s="1794"/>
      <c r="P13" s="1794"/>
      <c r="Q13" s="1794"/>
      <c r="R13" s="1794"/>
      <c r="S13" s="1794"/>
      <c r="T13" s="1794"/>
      <c r="U13" s="1794"/>
      <c r="V13" s="1794"/>
      <c r="W13" s="1794"/>
      <c r="X13" s="1794"/>
      <c r="Y13" s="1794"/>
      <c r="Z13" s="1794"/>
    </row>
    <row r="14" spans="2:26">
      <c r="B14" s="1794"/>
      <c r="C14" s="1794"/>
      <c r="D14" s="1794"/>
      <c r="E14" s="1794"/>
      <c r="F14" s="1794"/>
      <c r="G14" s="1794"/>
      <c r="H14" s="1794"/>
      <c r="I14" s="1794"/>
      <c r="J14" s="1794"/>
      <c r="K14" s="1794"/>
      <c r="L14" s="1794"/>
      <c r="M14" s="1794"/>
      <c r="N14" s="1794"/>
      <c r="O14" s="1794"/>
      <c r="P14" s="1794"/>
      <c r="Q14" s="1794"/>
      <c r="R14" s="1794"/>
      <c r="S14" s="1794"/>
      <c r="T14" s="1794"/>
      <c r="U14" s="1794"/>
      <c r="V14" s="1794"/>
      <c r="W14" s="1794"/>
      <c r="X14" s="1794"/>
      <c r="Y14" s="1794"/>
      <c r="Z14" s="1794"/>
    </row>
    <row r="15" spans="2:26">
      <c r="B15" s="1794"/>
      <c r="C15" s="1794"/>
      <c r="D15" s="1794"/>
      <c r="E15" s="1794"/>
      <c r="F15" s="1794"/>
      <c r="G15" s="1794"/>
      <c r="H15" s="1794"/>
      <c r="I15" s="1794"/>
      <c r="J15" s="1794"/>
      <c r="K15" s="1794"/>
      <c r="L15" s="1794"/>
      <c r="M15" s="1794"/>
      <c r="N15" s="1794"/>
      <c r="O15" s="1794"/>
      <c r="P15" s="1794"/>
      <c r="Q15" s="1794"/>
      <c r="R15" s="1794"/>
      <c r="S15" s="1794"/>
      <c r="T15" s="1794"/>
      <c r="U15" s="1794"/>
      <c r="V15" s="1794"/>
      <c r="W15" s="1794"/>
      <c r="X15" s="1794"/>
      <c r="Y15" s="1794"/>
      <c r="Z15" s="1794"/>
    </row>
    <row r="16" spans="2:26">
      <c r="B16" s="1794"/>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row>
    <row r="17" spans="2:26">
      <c r="B17" s="1794"/>
      <c r="C17" s="1794"/>
      <c r="D17" s="1794"/>
      <c r="E17" s="1794"/>
      <c r="F17" s="1794"/>
      <c r="G17" s="1794"/>
      <c r="H17" s="1794"/>
      <c r="I17" s="1794"/>
      <c r="J17" s="1794"/>
      <c r="K17" s="1794"/>
      <c r="L17" s="1794"/>
      <c r="M17" s="1794"/>
      <c r="N17" s="1794"/>
      <c r="O17" s="1794"/>
      <c r="P17" s="1794"/>
      <c r="Q17" s="1794"/>
      <c r="R17" s="1794"/>
      <c r="S17" s="1794"/>
      <c r="T17" s="1794"/>
      <c r="U17" s="1794"/>
      <c r="V17" s="1794"/>
      <c r="W17" s="1794"/>
      <c r="X17" s="1794"/>
      <c r="Y17" s="1794"/>
      <c r="Z17" s="1794"/>
    </row>
    <row r="18" spans="2:26">
      <c r="B18" s="1794"/>
      <c r="C18" s="1794"/>
      <c r="D18" s="1794"/>
      <c r="E18" s="1794"/>
      <c r="F18" s="1794"/>
      <c r="G18" s="1794"/>
      <c r="H18" s="1794"/>
      <c r="I18" s="1794"/>
      <c r="J18" s="1794"/>
      <c r="K18" s="1794"/>
      <c r="L18" s="1794"/>
      <c r="M18" s="1794"/>
      <c r="N18" s="1794"/>
      <c r="O18" s="1794"/>
      <c r="P18" s="1794"/>
      <c r="Q18" s="1794"/>
      <c r="R18" s="1794"/>
      <c r="S18" s="1794"/>
      <c r="T18" s="1794"/>
      <c r="U18" s="1794"/>
      <c r="V18" s="1794"/>
      <c r="W18" s="1794"/>
      <c r="X18" s="1794"/>
      <c r="Y18" s="1794"/>
      <c r="Z18" s="1794"/>
    </row>
    <row r="19" spans="2:26">
      <c r="B19" s="1794"/>
      <c r="C19" s="1794"/>
      <c r="D19" s="1794"/>
      <c r="E19" s="1794"/>
      <c r="F19" s="1794"/>
      <c r="G19" s="1794"/>
      <c r="H19" s="1794"/>
      <c r="I19" s="1794"/>
      <c r="J19" s="1794"/>
      <c r="K19" s="1794"/>
      <c r="L19" s="1794"/>
      <c r="M19" s="1794"/>
      <c r="N19" s="1794"/>
      <c r="O19" s="1794"/>
      <c r="P19" s="1794"/>
      <c r="Q19" s="1794"/>
      <c r="R19" s="1794"/>
      <c r="S19" s="1794"/>
      <c r="T19" s="1794"/>
      <c r="U19" s="1794"/>
      <c r="V19" s="1794"/>
      <c r="W19" s="1794"/>
      <c r="X19" s="1794"/>
      <c r="Y19" s="1794"/>
      <c r="Z19" s="1794"/>
    </row>
    <row r="20" spans="2:26">
      <c r="B20" s="1794"/>
      <c r="C20" s="1794"/>
      <c r="D20" s="1794"/>
      <c r="E20" s="1794"/>
      <c r="F20" s="1794"/>
      <c r="G20" s="1794"/>
      <c r="H20" s="1794"/>
      <c r="I20" s="1794"/>
      <c r="J20" s="1794"/>
      <c r="K20" s="1794"/>
      <c r="L20" s="1794"/>
      <c r="M20" s="1794"/>
      <c r="N20" s="1794"/>
      <c r="O20" s="1794"/>
      <c r="P20" s="1794"/>
      <c r="Q20" s="1794"/>
      <c r="R20" s="1794"/>
      <c r="S20" s="1794"/>
      <c r="T20" s="1794"/>
      <c r="U20" s="1794"/>
      <c r="V20" s="1794"/>
      <c r="W20" s="1794"/>
      <c r="X20" s="1794"/>
      <c r="Y20" s="1794"/>
      <c r="Z20" s="1794"/>
    </row>
    <row r="21" spans="2:26">
      <c r="B21" s="1794"/>
      <c r="C21" s="1794"/>
      <c r="D21" s="1794"/>
      <c r="E21" s="1794"/>
      <c r="F21" s="1794"/>
      <c r="G21" s="1794"/>
      <c r="H21" s="1794"/>
      <c r="I21" s="1794"/>
      <c r="J21" s="1794"/>
      <c r="K21" s="1794"/>
      <c r="L21" s="1794"/>
      <c r="M21" s="1794"/>
      <c r="N21" s="1794"/>
      <c r="O21" s="1794"/>
      <c r="P21" s="1794"/>
      <c r="Q21" s="1794"/>
      <c r="R21" s="1794"/>
      <c r="S21" s="1794"/>
      <c r="T21" s="1794"/>
      <c r="U21" s="1794"/>
      <c r="V21" s="1794"/>
      <c r="W21" s="1794"/>
      <c r="X21" s="1794"/>
      <c r="Y21" s="1794"/>
      <c r="Z21" s="1794"/>
    </row>
    <row r="22" spans="2:26">
      <c r="B22" s="1794"/>
      <c r="C22" s="1794"/>
      <c r="D22" s="1794"/>
      <c r="E22" s="1794"/>
      <c r="F22" s="1794"/>
      <c r="G22" s="1794"/>
      <c r="H22" s="1794"/>
      <c r="I22" s="1794"/>
      <c r="J22" s="1794"/>
      <c r="K22" s="1794"/>
      <c r="L22" s="1794"/>
      <c r="M22" s="1794"/>
      <c r="N22" s="1794"/>
      <c r="O22" s="1794"/>
      <c r="P22" s="1794"/>
      <c r="Q22" s="1794"/>
      <c r="R22" s="1794"/>
      <c r="S22" s="1794"/>
      <c r="T22" s="1794"/>
      <c r="U22" s="1794"/>
      <c r="V22" s="1794"/>
      <c r="W22" s="1794"/>
      <c r="X22" s="1794"/>
      <c r="Y22" s="1794"/>
      <c r="Z22" s="1794"/>
    </row>
    <row r="23" spans="2:26">
      <c r="B23" s="1794"/>
      <c r="C23" s="1794"/>
      <c r="D23" s="1794"/>
      <c r="E23" s="1794"/>
      <c r="F23" s="1794"/>
      <c r="G23" s="1794"/>
      <c r="H23" s="1794"/>
      <c r="I23" s="1794"/>
      <c r="J23" s="1794"/>
      <c r="K23" s="1794"/>
      <c r="L23" s="1794"/>
      <c r="M23" s="1794"/>
      <c r="N23" s="1794"/>
      <c r="O23" s="1794"/>
      <c r="P23" s="1794"/>
      <c r="Q23" s="1794"/>
      <c r="R23" s="1794"/>
      <c r="S23" s="1794"/>
      <c r="T23" s="1794"/>
      <c r="U23" s="1794"/>
      <c r="V23" s="1794"/>
      <c r="W23" s="1794"/>
      <c r="X23" s="1794"/>
      <c r="Y23" s="1794"/>
      <c r="Z23" s="1794"/>
    </row>
    <row r="24" spans="2:26">
      <c r="B24" s="1794"/>
      <c r="C24" s="1794"/>
      <c r="D24" s="1794"/>
      <c r="E24" s="1794"/>
      <c r="F24" s="1794"/>
      <c r="G24" s="1794"/>
      <c r="H24" s="1794"/>
      <c r="I24" s="1794"/>
      <c r="J24" s="1794"/>
      <c r="K24" s="1794"/>
      <c r="L24" s="1794"/>
      <c r="M24" s="1794"/>
      <c r="N24" s="1794"/>
      <c r="O24" s="1794"/>
      <c r="P24" s="1794"/>
      <c r="Q24" s="1794"/>
      <c r="R24" s="1794"/>
      <c r="S24" s="1794"/>
      <c r="T24" s="1794"/>
      <c r="U24" s="1794"/>
      <c r="V24" s="1794"/>
      <c r="W24" s="1794"/>
      <c r="X24" s="1794"/>
      <c r="Y24" s="1794"/>
      <c r="Z24" s="1794"/>
    </row>
    <row r="25" spans="2:26">
      <c r="B25" s="1794"/>
      <c r="C25" s="1794"/>
      <c r="D25" s="1794"/>
      <c r="E25" s="1794"/>
      <c r="F25" s="1794"/>
      <c r="G25" s="1794"/>
      <c r="H25" s="1794"/>
      <c r="I25" s="1794"/>
      <c r="J25" s="1794"/>
      <c r="K25" s="1794"/>
      <c r="L25" s="1794"/>
      <c r="M25" s="1794"/>
      <c r="N25" s="1794"/>
      <c r="O25" s="1794"/>
      <c r="P25" s="1794"/>
      <c r="Q25" s="1794"/>
      <c r="R25" s="1794"/>
      <c r="S25" s="1794"/>
      <c r="T25" s="1794"/>
      <c r="U25" s="1794"/>
      <c r="V25" s="1794"/>
      <c r="W25" s="1794"/>
      <c r="X25" s="1794"/>
      <c r="Y25" s="1794"/>
      <c r="Z25" s="1794"/>
    </row>
    <row r="26" spans="2:26">
      <c r="B26" s="1794"/>
      <c r="C26" s="1794"/>
      <c r="D26" s="1794"/>
      <c r="E26" s="1794"/>
      <c r="F26" s="1794"/>
      <c r="G26" s="1794"/>
      <c r="H26" s="1794"/>
      <c r="I26" s="1794"/>
      <c r="J26" s="1794"/>
      <c r="K26" s="1794"/>
      <c r="L26" s="1794"/>
      <c r="M26" s="1794"/>
      <c r="N26" s="1794"/>
      <c r="O26" s="1794"/>
      <c r="P26" s="1794"/>
      <c r="Q26" s="1794"/>
      <c r="R26" s="1794"/>
      <c r="S26" s="1794"/>
      <c r="T26" s="1794"/>
      <c r="U26" s="1794"/>
      <c r="V26" s="1794"/>
      <c r="W26" s="1794"/>
      <c r="X26" s="1794"/>
      <c r="Y26" s="1794"/>
      <c r="Z26" s="1794"/>
    </row>
    <row r="27" spans="2:26">
      <c r="B27" s="1794"/>
      <c r="C27" s="1794"/>
      <c r="D27" s="1794"/>
      <c r="E27" s="1794"/>
      <c r="F27" s="1794"/>
      <c r="G27" s="1794"/>
      <c r="H27" s="1794"/>
      <c r="I27" s="1794"/>
      <c r="J27" s="1794"/>
      <c r="K27" s="1794"/>
      <c r="L27" s="1794"/>
      <c r="M27" s="1794"/>
      <c r="N27" s="1794"/>
      <c r="O27" s="1794"/>
      <c r="P27" s="1794"/>
      <c r="Q27" s="1794"/>
      <c r="R27" s="1794"/>
      <c r="S27" s="1794"/>
      <c r="T27" s="1794"/>
      <c r="U27" s="1794"/>
      <c r="V27" s="1794"/>
      <c r="W27" s="1794"/>
      <c r="X27" s="1794"/>
      <c r="Y27" s="1794"/>
      <c r="Z27" s="1794"/>
    </row>
    <row r="28" spans="2:26">
      <c r="B28" s="1794"/>
      <c r="C28" s="1794"/>
      <c r="D28" s="1794"/>
      <c r="E28" s="1794"/>
      <c r="F28" s="1794"/>
      <c r="G28" s="1794"/>
      <c r="H28" s="1794"/>
      <c r="I28" s="1794"/>
      <c r="J28" s="1794"/>
      <c r="K28" s="1794"/>
      <c r="L28" s="1794"/>
      <c r="M28" s="1794"/>
      <c r="N28" s="1794"/>
      <c r="O28" s="1794"/>
      <c r="P28" s="1794"/>
      <c r="Q28" s="1794"/>
      <c r="R28" s="1794"/>
      <c r="S28" s="1794"/>
      <c r="T28" s="1794"/>
      <c r="U28" s="1794"/>
      <c r="V28" s="1794"/>
      <c r="W28" s="1794"/>
      <c r="X28" s="1794"/>
      <c r="Y28" s="1794"/>
      <c r="Z28" s="1794"/>
    </row>
    <row r="29" spans="2:26">
      <c r="B29" s="1794"/>
      <c r="C29" s="1794"/>
      <c r="D29" s="1794"/>
      <c r="E29" s="1794"/>
      <c r="F29" s="1794"/>
      <c r="G29" s="1794"/>
      <c r="H29" s="1794"/>
      <c r="I29" s="1794"/>
      <c r="J29" s="1794"/>
      <c r="K29" s="1794"/>
      <c r="L29" s="1794"/>
      <c r="M29" s="1794"/>
      <c r="N29" s="1794"/>
      <c r="O29" s="1794"/>
      <c r="P29" s="1794"/>
      <c r="Q29" s="1794"/>
      <c r="R29" s="1794"/>
      <c r="S29" s="1794"/>
      <c r="T29" s="1794"/>
      <c r="U29" s="1794"/>
      <c r="V29" s="1794"/>
      <c r="W29" s="1794"/>
      <c r="X29" s="1794"/>
      <c r="Y29" s="1794"/>
      <c r="Z29" s="1794"/>
    </row>
    <row r="30" spans="2:26">
      <c r="B30" s="1794"/>
      <c r="C30" s="1794"/>
      <c r="D30" s="1794"/>
      <c r="E30" s="1794"/>
      <c r="F30" s="1794"/>
      <c r="G30" s="1794"/>
      <c r="H30" s="1794"/>
      <c r="I30" s="1794"/>
      <c r="J30" s="1794"/>
      <c r="K30" s="1794"/>
      <c r="L30" s="1794"/>
      <c r="M30" s="1794"/>
      <c r="N30" s="1794"/>
      <c r="O30" s="1794"/>
      <c r="P30" s="1794"/>
      <c r="Q30" s="1794"/>
      <c r="R30" s="1794"/>
      <c r="S30" s="1794"/>
      <c r="T30" s="1794"/>
      <c r="U30" s="1794"/>
      <c r="V30" s="1794"/>
      <c r="W30" s="1794"/>
      <c r="X30" s="1794"/>
      <c r="Y30" s="1794"/>
      <c r="Z30" s="1794"/>
    </row>
    <row r="31" spans="2:26">
      <c r="B31" s="1794"/>
      <c r="C31" s="1794"/>
      <c r="D31" s="1794"/>
      <c r="E31" s="1794"/>
      <c r="F31" s="1794"/>
      <c r="G31" s="1794"/>
      <c r="H31" s="1794"/>
      <c r="I31" s="1794"/>
      <c r="J31" s="1794"/>
      <c r="K31" s="1794"/>
      <c r="L31" s="1794"/>
      <c r="M31" s="1794"/>
      <c r="N31" s="1794"/>
      <c r="O31" s="1794"/>
      <c r="P31" s="1794"/>
      <c r="Q31" s="1794"/>
      <c r="R31" s="1794"/>
      <c r="S31" s="1794"/>
      <c r="T31" s="1794"/>
      <c r="U31" s="1794"/>
      <c r="V31" s="1794"/>
      <c r="W31" s="1794"/>
      <c r="X31" s="1794"/>
      <c r="Y31" s="1794"/>
      <c r="Z31" s="1794"/>
    </row>
    <row r="32" spans="2:26">
      <c r="B32" s="1794"/>
      <c r="C32" s="1794"/>
      <c r="D32" s="1794"/>
      <c r="E32" s="1794"/>
      <c r="F32" s="1794"/>
      <c r="G32" s="1794"/>
      <c r="H32" s="1794"/>
      <c r="I32" s="1794"/>
      <c r="J32" s="1794"/>
      <c r="K32" s="1794"/>
      <c r="L32" s="1794"/>
      <c r="M32" s="1794"/>
      <c r="N32" s="1794"/>
      <c r="O32" s="1794"/>
      <c r="P32" s="1794"/>
      <c r="Q32" s="1794"/>
      <c r="R32" s="1794"/>
      <c r="S32" s="1794"/>
      <c r="T32" s="1794"/>
      <c r="U32" s="1794"/>
      <c r="V32" s="1794"/>
      <c r="W32" s="1794"/>
      <c r="X32" s="1794"/>
      <c r="Y32" s="1794"/>
      <c r="Z32" s="1794"/>
    </row>
    <row r="33" spans="2:26">
      <c r="B33" s="1794"/>
      <c r="C33" s="1794"/>
      <c r="D33" s="1794"/>
      <c r="E33" s="1794"/>
      <c r="F33" s="1794"/>
      <c r="G33" s="1794"/>
      <c r="H33" s="1794"/>
      <c r="I33" s="1794"/>
      <c r="J33" s="1794"/>
      <c r="K33" s="1794"/>
      <c r="L33" s="1794"/>
      <c r="M33" s="1794"/>
      <c r="N33" s="1794"/>
      <c r="O33" s="1794"/>
      <c r="P33" s="1794"/>
      <c r="Q33" s="1794"/>
      <c r="R33" s="1794"/>
      <c r="S33" s="1794"/>
      <c r="T33" s="1794"/>
      <c r="U33" s="1794"/>
      <c r="V33" s="1794"/>
      <c r="W33" s="1794"/>
      <c r="X33" s="1794"/>
      <c r="Y33" s="1794"/>
      <c r="Z33" s="1794"/>
    </row>
    <row r="34" spans="2:26">
      <c r="B34" s="1794"/>
      <c r="C34" s="1794"/>
      <c r="D34" s="1794"/>
      <c r="E34" s="1794"/>
      <c r="F34" s="1794"/>
      <c r="G34" s="1794"/>
      <c r="H34" s="1794"/>
      <c r="I34" s="1794"/>
      <c r="J34" s="1794"/>
      <c r="K34" s="1794"/>
      <c r="L34" s="1794"/>
      <c r="M34" s="1794"/>
      <c r="N34" s="1794"/>
      <c r="O34" s="1794"/>
      <c r="P34" s="1794"/>
      <c r="Q34" s="1794"/>
      <c r="R34" s="1794"/>
      <c r="S34" s="1794"/>
      <c r="T34" s="1794"/>
      <c r="U34" s="1794"/>
      <c r="V34" s="1794"/>
      <c r="W34" s="1794"/>
      <c r="X34" s="1794"/>
      <c r="Y34" s="1794"/>
      <c r="Z34" s="1794"/>
    </row>
    <row r="35" spans="2:26">
      <c r="B35" s="1794"/>
      <c r="C35" s="1794"/>
      <c r="D35" s="1794"/>
      <c r="E35" s="1794"/>
      <c r="F35" s="1794"/>
      <c r="G35" s="1794"/>
      <c r="H35" s="1794"/>
      <c r="I35" s="1794"/>
      <c r="J35" s="1794"/>
      <c r="K35" s="1794"/>
      <c r="L35" s="1794"/>
      <c r="M35" s="1794"/>
      <c r="N35" s="1794"/>
      <c r="O35" s="1794"/>
      <c r="P35" s="1794"/>
      <c r="Q35" s="1794"/>
      <c r="R35" s="1794"/>
      <c r="S35" s="1794"/>
      <c r="T35" s="1794"/>
      <c r="U35" s="1794"/>
      <c r="V35" s="1794"/>
      <c r="W35" s="1794"/>
      <c r="X35" s="1794"/>
      <c r="Y35" s="1794"/>
      <c r="Z35" s="1794"/>
    </row>
    <row r="36" spans="2:26">
      <c r="B36" s="1794"/>
      <c r="C36" s="1794"/>
      <c r="D36" s="1794"/>
      <c r="E36" s="1794"/>
      <c r="F36" s="1794"/>
      <c r="G36" s="1794"/>
      <c r="H36" s="1794"/>
      <c r="I36" s="1794"/>
      <c r="J36" s="1794"/>
      <c r="K36" s="1794"/>
      <c r="L36" s="1794"/>
      <c r="M36" s="1794"/>
      <c r="N36" s="1794"/>
      <c r="O36" s="1794"/>
      <c r="P36" s="1794"/>
      <c r="Q36" s="1794"/>
      <c r="R36" s="1794"/>
      <c r="S36" s="1794"/>
      <c r="T36" s="1794"/>
      <c r="U36" s="1794"/>
      <c r="V36" s="1794"/>
      <c r="W36" s="1794"/>
      <c r="X36" s="1794"/>
      <c r="Y36" s="1794"/>
      <c r="Z36" s="1794"/>
    </row>
    <row r="37" spans="2:26">
      <c r="B37" s="1794"/>
      <c r="C37" s="1794"/>
      <c r="D37" s="1794"/>
      <c r="E37" s="1794"/>
      <c r="F37" s="1794"/>
      <c r="G37" s="1794"/>
      <c r="H37" s="1794"/>
      <c r="I37" s="1794"/>
      <c r="J37" s="1794"/>
      <c r="K37" s="1794"/>
      <c r="L37" s="1794"/>
      <c r="M37" s="1794"/>
      <c r="N37" s="1794"/>
      <c r="O37" s="1794"/>
      <c r="P37" s="1794"/>
      <c r="Q37" s="1794"/>
      <c r="R37" s="1794"/>
      <c r="S37" s="1794"/>
      <c r="T37" s="1794"/>
      <c r="U37" s="1794"/>
      <c r="V37" s="1794"/>
      <c r="W37" s="1794"/>
      <c r="X37" s="1794"/>
      <c r="Y37" s="1794"/>
      <c r="Z37" s="1794"/>
    </row>
    <row r="38" spans="2:26">
      <c r="B38" s="1794"/>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row>
    <row r="39" spans="2:26">
      <c r="B39" s="1794"/>
      <c r="C39" s="1794"/>
      <c r="D39" s="1794"/>
      <c r="E39" s="1794"/>
      <c r="F39" s="1794"/>
      <c r="G39" s="1794"/>
      <c r="H39" s="1794"/>
      <c r="I39" s="1794"/>
      <c r="J39" s="1794"/>
      <c r="K39" s="1794"/>
      <c r="L39" s="1794"/>
      <c r="M39" s="1794"/>
      <c r="N39" s="1794"/>
      <c r="O39" s="1794"/>
      <c r="P39" s="1794"/>
      <c r="Q39" s="1794"/>
      <c r="R39" s="1794"/>
      <c r="S39" s="1794"/>
      <c r="T39" s="1794"/>
      <c r="U39" s="1794"/>
      <c r="V39" s="1794"/>
      <c r="W39" s="1794"/>
      <c r="X39" s="1794"/>
      <c r="Y39" s="1794"/>
      <c r="Z39" s="1794"/>
    </row>
    <row r="40" spans="2:26">
      <c r="B40" s="1794"/>
      <c r="C40" s="1794"/>
      <c r="D40" s="1794"/>
      <c r="E40" s="1794"/>
      <c r="F40" s="1794"/>
      <c r="G40" s="1794"/>
      <c r="H40" s="1794"/>
      <c r="I40" s="1794"/>
      <c r="J40" s="1794"/>
      <c r="K40" s="1794"/>
      <c r="L40" s="1794"/>
      <c r="M40" s="1794"/>
      <c r="N40" s="1794"/>
      <c r="O40" s="1794"/>
      <c r="P40" s="1794"/>
      <c r="Q40" s="1794"/>
      <c r="R40" s="1794"/>
      <c r="S40" s="1794"/>
      <c r="T40" s="1794"/>
      <c r="U40" s="1794"/>
      <c r="V40" s="1794"/>
      <c r="W40" s="1794"/>
      <c r="X40" s="1794"/>
      <c r="Y40" s="1794"/>
      <c r="Z40" s="1794"/>
    </row>
    <row r="41" spans="2:26">
      <c r="B41" s="1794"/>
      <c r="C41" s="1794"/>
      <c r="D41" s="1794"/>
      <c r="E41" s="1794"/>
      <c r="F41" s="1794"/>
      <c r="G41" s="1794"/>
      <c r="H41" s="1794"/>
      <c r="I41" s="1794"/>
      <c r="J41" s="1794"/>
      <c r="K41" s="1794"/>
      <c r="L41" s="1794"/>
      <c r="M41" s="1794"/>
      <c r="N41" s="1794"/>
      <c r="O41" s="1794"/>
      <c r="P41" s="1794"/>
      <c r="Q41" s="1794"/>
      <c r="R41" s="1794"/>
      <c r="S41" s="1794"/>
      <c r="T41" s="1794"/>
      <c r="U41" s="1794"/>
      <c r="V41" s="1794"/>
      <c r="W41" s="1794"/>
      <c r="X41" s="1794"/>
      <c r="Y41" s="1794"/>
      <c r="Z41" s="1794"/>
    </row>
    <row r="42" spans="2:26">
      <c r="B42" s="1794"/>
      <c r="C42" s="1794"/>
      <c r="D42" s="1794"/>
      <c r="E42" s="1794"/>
      <c r="F42" s="1794"/>
      <c r="G42" s="1794"/>
      <c r="H42" s="1794"/>
      <c r="I42" s="1794"/>
      <c r="J42" s="1794"/>
      <c r="K42" s="1794"/>
      <c r="L42" s="1794"/>
      <c r="M42" s="1794"/>
      <c r="N42" s="1794"/>
      <c r="O42" s="1794"/>
      <c r="P42" s="1794"/>
      <c r="Q42" s="1794"/>
      <c r="R42" s="1794"/>
      <c r="S42" s="1794"/>
      <c r="T42" s="1794"/>
      <c r="U42" s="1794"/>
      <c r="V42" s="1794"/>
      <c r="W42" s="1794"/>
      <c r="X42" s="1794"/>
      <c r="Y42" s="1794"/>
      <c r="Z42" s="1794"/>
    </row>
    <row r="43" spans="2:26">
      <c r="B43" s="1794"/>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row>
    <row r="44" spans="2:26">
      <c r="B44" s="1794"/>
      <c r="C44" s="1794"/>
      <c r="D44" s="1794"/>
      <c r="E44" s="1794"/>
      <c r="F44" s="1794"/>
      <c r="G44" s="1794"/>
      <c r="H44" s="1794"/>
      <c r="I44" s="1794"/>
      <c r="J44" s="1794"/>
      <c r="K44" s="1794"/>
      <c r="L44" s="1794"/>
      <c r="M44" s="1794"/>
      <c r="N44" s="1794"/>
      <c r="O44" s="1794"/>
      <c r="P44" s="1794"/>
      <c r="Q44" s="1794"/>
      <c r="R44" s="1794"/>
      <c r="S44" s="1794"/>
      <c r="T44" s="1794"/>
      <c r="U44" s="1794"/>
      <c r="V44" s="1794"/>
      <c r="W44" s="1794"/>
      <c r="X44" s="1794"/>
      <c r="Y44" s="1794"/>
      <c r="Z44" s="1794"/>
    </row>
    <row r="45" spans="2:26">
      <c r="B45" s="1794"/>
      <c r="C45" s="1794"/>
      <c r="D45" s="1794"/>
      <c r="E45" s="1794"/>
      <c r="F45" s="1794"/>
      <c r="G45" s="1794"/>
      <c r="H45" s="1794"/>
      <c r="I45" s="1794"/>
      <c r="J45" s="1794"/>
      <c r="K45" s="1794"/>
      <c r="L45" s="1794"/>
      <c r="M45" s="1794"/>
      <c r="N45" s="1794"/>
      <c r="O45" s="1794"/>
      <c r="P45" s="1794"/>
      <c r="Q45" s="1794"/>
      <c r="R45" s="1794"/>
      <c r="S45" s="1794"/>
      <c r="T45" s="1794"/>
      <c r="U45" s="1794"/>
      <c r="V45" s="1794"/>
      <c r="W45" s="1794"/>
      <c r="X45" s="1794"/>
      <c r="Y45" s="1794"/>
      <c r="Z45" s="1794"/>
    </row>
    <row r="46" spans="2:26">
      <c r="B46" s="1794"/>
      <c r="C46" s="1794"/>
      <c r="D46" s="1794"/>
      <c r="E46" s="1794"/>
      <c r="F46" s="1794"/>
      <c r="G46" s="1794"/>
      <c r="H46" s="1794"/>
      <c r="I46" s="1794"/>
      <c r="J46" s="1794"/>
      <c r="K46" s="1794"/>
      <c r="L46" s="1794"/>
      <c r="M46" s="1794"/>
      <c r="N46" s="1794"/>
      <c r="O46" s="1794"/>
      <c r="P46" s="1794"/>
      <c r="Q46" s="1794"/>
      <c r="R46" s="1794"/>
      <c r="S46" s="1794"/>
      <c r="T46" s="1794"/>
      <c r="U46" s="1794"/>
      <c r="V46" s="1794"/>
      <c r="W46" s="1794"/>
      <c r="X46" s="1794"/>
      <c r="Y46" s="1794"/>
      <c r="Z46" s="1794"/>
    </row>
    <row r="47" spans="2:26">
      <c r="B47" s="1794"/>
      <c r="C47" s="1794"/>
      <c r="D47" s="1794"/>
      <c r="E47" s="1794"/>
      <c r="F47" s="1794"/>
      <c r="G47" s="1794"/>
      <c r="H47" s="1794"/>
      <c r="I47" s="1794"/>
      <c r="J47" s="1794"/>
      <c r="K47" s="1794"/>
      <c r="L47" s="1794"/>
      <c r="M47" s="1794"/>
      <c r="N47" s="1794"/>
      <c r="O47" s="1794"/>
      <c r="P47" s="1794"/>
      <c r="Q47" s="1794"/>
      <c r="R47" s="1794"/>
      <c r="S47" s="1794"/>
      <c r="T47" s="1794"/>
      <c r="U47" s="1794"/>
      <c r="V47" s="1794"/>
      <c r="W47" s="1794"/>
      <c r="X47" s="1794"/>
      <c r="Y47" s="1794"/>
      <c r="Z47" s="1794"/>
    </row>
    <row r="48" spans="2:26">
      <c r="B48" s="1794"/>
      <c r="C48" s="1794"/>
      <c r="D48" s="1794"/>
      <c r="E48" s="1794"/>
      <c r="F48" s="1794"/>
      <c r="G48" s="1794"/>
      <c r="H48" s="1794"/>
      <c r="I48" s="1794"/>
      <c r="J48" s="1794"/>
      <c r="K48" s="1794"/>
      <c r="L48" s="1794"/>
      <c r="M48" s="1794"/>
      <c r="N48" s="1794"/>
      <c r="O48" s="1794"/>
      <c r="P48" s="1794"/>
      <c r="Q48" s="1794"/>
      <c r="R48" s="1794"/>
      <c r="S48" s="1794"/>
      <c r="T48" s="1794"/>
      <c r="U48" s="1794"/>
      <c r="V48" s="1794"/>
      <c r="W48" s="1794"/>
      <c r="X48" s="1794"/>
      <c r="Y48" s="1794"/>
      <c r="Z48" s="1794"/>
    </row>
    <row r="49" spans="2:26">
      <c r="B49" s="1794"/>
      <c r="C49" s="1794"/>
      <c r="D49" s="1794"/>
      <c r="E49" s="1794"/>
      <c r="F49" s="1794"/>
      <c r="G49" s="1794"/>
      <c r="H49" s="1794"/>
      <c r="I49" s="1794"/>
      <c r="J49" s="1794"/>
      <c r="K49" s="1794"/>
      <c r="L49" s="1794"/>
      <c r="M49" s="1794"/>
      <c r="N49" s="1794"/>
      <c r="O49" s="1794"/>
      <c r="P49" s="1794"/>
      <c r="Q49" s="1794"/>
      <c r="R49" s="1794"/>
      <c r="S49" s="1794"/>
      <c r="T49" s="1794"/>
      <c r="U49" s="1794"/>
      <c r="V49" s="1794"/>
      <c r="W49" s="1794"/>
      <c r="X49" s="1794"/>
      <c r="Y49" s="1794"/>
      <c r="Z49" s="1794"/>
    </row>
    <row r="50" spans="2:26">
      <c r="B50" s="1794"/>
      <c r="C50" s="1794"/>
      <c r="D50" s="1794"/>
      <c r="E50" s="1794"/>
      <c r="F50" s="1794"/>
      <c r="G50" s="1794"/>
      <c r="H50" s="1794"/>
      <c r="I50" s="1794"/>
      <c r="J50" s="1794"/>
      <c r="K50" s="1794"/>
      <c r="L50" s="1794"/>
      <c r="M50" s="1794"/>
      <c r="N50" s="1794"/>
      <c r="O50" s="1794"/>
      <c r="P50" s="1794"/>
      <c r="Q50" s="1794"/>
      <c r="R50" s="1794"/>
      <c r="S50" s="1794"/>
      <c r="T50" s="1794"/>
      <c r="U50" s="1794"/>
      <c r="V50" s="1794"/>
      <c r="W50" s="1794"/>
      <c r="X50" s="1794"/>
      <c r="Y50" s="1794"/>
      <c r="Z50" s="1794"/>
    </row>
    <row r="51" spans="2:26">
      <c r="B51" s="1794"/>
      <c r="C51" s="1794"/>
      <c r="D51" s="1794"/>
      <c r="E51" s="1794"/>
      <c r="F51" s="1794"/>
      <c r="G51" s="1794"/>
      <c r="H51" s="1794"/>
      <c r="I51" s="1794"/>
      <c r="J51" s="1794"/>
      <c r="K51" s="1794"/>
      <c r="L51" s="1794"/>
      <c r="M51" s="1794"/>
      <c r="N51" s="1794"/>
      <c r="O51" s="1794"/>
      <c r="P51" s="1794"/>
      <c r="Q51" s="1794"/>
      <c r="R51" s="1794"/>
      <c r="S51" s="1794"/>
      <c r="T51" s="1794"/>
      <c r="U51" s="1794"/>
      <c r="V51" s="1794"/>
      <c r="W51" s="1794"/>
      <c r="X51" s="1794"/>
      <c r="Y51" s="1794"/>
      <c r="Z51" s="1794"/>
    </row>
    <row r="52" spans="2:26">
      <c r="B52" s="1794"/>
      <c r="C52" s="1794"/>
      <c r="D52" s="1794"/>
      <c r="E52" s="1794"/>
      <c r="F52" s="1794"/>
      <c r="G52" s="1794"/>
      <c r="H52" s="1794"/>
      <c r="I52" s="1794"/>
      <c r="J52" s="1794"/>
      <c r="K52" s="1794"/>
      <c r="L52" s="1794"/>
      <c r="M52" s="1794"/>
      <c r="N52" s="1794"/>
      <c r="O52" s="1794"/>
      <c r="P52" s="1794"/>
      <c r="Q52" s="1794"/>
      <c r="R52" s="1794"/>
      <c r="S52" s="1794"/>
      <c r="T52" s="1794"/>
      <c r="U52" s="1794"/>
      <c r="V52" s="1794"/>
      <c r="W52" s="1794"/>
      <c r="X52" s="1794"/>
      <c r="Y52" s="1794"/>
      <c r="Z52" s="1794"/>
    </row>
    <row r="53" spans="2:26">
      <c r="B53" s="1794"/>
      <c r="C53" s="1794"/>
      <c r="D53" s="1794"/>
      <c r="E53" s="1794"/>
      <c r="F53" s="1794"/>
      <c r="G53" s="1794"/>
      <c r="H53" s="1794"/>
      <c r="I53" s="1794"/>
      <c r="J53" s="1794"/>
      <c r="K53" s="1794"/>
      <c r="L53" s="1794"/>
      <c r="M53" s="1794"/>
      <c r="N53" s="1794"/>
      <c r="O53" s="1794"/>
      <c r="P53" s="1794"/>
      <c r="Q53" s="1794"/>
      <c r="R53" s="1794"/>
      <c r="S53" s="1794"/>
      <c r="T53" s="1794"/>
      <c r="U53" s="1794"/>
      <c r="V53" s="1794"/>
      <c r="W53" s="1794"/>
      <c r="X53" s="1794"/>
      <c r="Y53" s="1794"/>
      <c r="Z53" s="1794"/>
    </row>
    <row r="54" spans="2:26">
      <c r="B54" s="1794"/>
      <c r="C54" s="1794"/>
      <c r="D54" s="1794"/>
      <c r="E54" s="1794"/>
      <c r="F54" s="1794"/>
      <c r="G54" s="1794"/>
      <c r="H54" s="1794"/>
      <c r="I54" s="1794"/>
      <c r="J54" s="1794"/>
      <c r="K54" s="1794"/>
      <c r="L54" s="1794"/>
      <c r="M54" s="1794"/>
      <c r="N54" s="1794"/>
      <c r="O54" s="1794"/>
      <c r="P54" s="1794"/>
      <c r="Q54" s="1794"/>
      <c r="R54" s="1794"/>
      <c r="S54" s="1794"/>
      <c r="T54" s="1794"/>
      <c r="U54" s="1794"/>
      <c r="V54" s="1794"/>
      <c r="W54" s="1794"/>
      <c r="X54" s="1794"/>
      <c r="Y54" s="1794"/>
      <c r="Z54" s="1794"/>
    </row>
    <row r="55" spans="2:26">
      <c r="B55" s="1794"/>
      <c r="C55" s="1794"/>
      <c r="D55" s="1794"/>
      <c r="E55" s="1794"/>
      <c r="F55" s="1794"/>
      <c r="G55" s="1794"/>
      <c r="H55" s="1794"/>
      <c r="I55" s="1794"/>
      <c r="J55" s="1794"/>
      <c r="K55" s="1794"/>
      <c r="L55" s="1794"/>
      <c r="M55" s="1794"/>
      <c r="N55" s="1794"/>
      <c r="O55" s="1794"/>
      <c r="P55" s="1794"/>
      <c r="Q55" s="1794"/>
      <c r="R55" s="1794"/>
      <c r="S55" s="1794"/>
      <c r="T55" s="1794"/>
      <c r="U55" s="1794"/>
      <c r="V55" s="1794"/>
      <c r="W55" s="1794"/>
      <c r="X55" s="1794"/>
      <c r="Y55" s="1794"/>
      <c r="Z55" s="1794"/>
    </row>
    <row r="56" spans="2:26">
      <c r="B56" s="1794"/>
      <c r="C56" s="1794"/>
      <c r="D56" s="1794"/>
      <c r="E56" s="1794"/>
      <c r="F56" s="1794"/>
      <c r="G56" s="1794"/>
      <c r="H56" s="1794"/>
      <c r="I56" s="1794"/>
      <c r="J56" s="1794"/>
      <c r="K56" s="1794"/>
      <c r="L56" s="1794"/>
      <c r="M56" s="1794"/>
      <c r="N56" s="1794"/>
      <c r="O56" s="1794"/>
      <c r="P56" s="1794"/>
      <c r="Q56" s="1794"/>
      <c r="R56" s="1794"/>
      <c r="S56" s="1794"/>
      <c r="T56" s="1794"/>
      <c r="U56" s="1794"/>
      <c r="V56" s="1794"/>
      <c r="W56" s="1794"/>
      <c r="X56" s="1794"/>
      <c r="Y56" s="1794"/>
      <c r="Z56" s="1794"/>
    </row>
    <row r="57" spans="2:26">
      <c r="B57" s="1794"/>
      <c r="C57" s="1794"/>
      <c r="D57" s="1794"/>
      <c r="E57" s="1794"/>
      <c r="F57" s="1794"/>
      <c r="G57" s="1794"/>
      <c r="H57" s="1794"/>
      <c r="I57" s="1794"/>
      <c r="J57" s="1794"/>
      <c r="K57" s="1794"/>
      <c r="L57" s="1794"/>
      <c r="M57" s="1794"/>
      <c r="N57" s="1794"/>
      <c r="O57" s="1794"/>
      <c r="P57" s="1794"/>
      <c r="Q57" s="1794"/>
      <c r="R57" s="1794"/>
      <c r="S57" s="1794"/>
      <c r="T57" s="1794"/>
      <c r="U57" s="1794"/>
      <c r="V57" s="1794"/>
      <c r="W57" s="1794"/>
      <c r="X57" s="1794"/>
      <c r="Y57" s="1794"/>
      <c r="Z57" s="1794"/>
    </row>
    <row r="58" spans="2:26">
      <c r="B58" s="1794"/>
      <c r="C58" s="1794"/>
      <c r="D58" s="1794"/>
      <c r="E58" s="1794"/>
      <c r="F58" s="1794"/>
      <c r="G58" s="1794"/>
      <c r="H58" s="1794"/>
      <c r="I58" s="1794"/>
      <c r="J58" s="1794"/>
      <c r="K58" s="1794"/>
      <c r="L58" s="1794"/>
      <c r="M58" s="1794"/>
      <c r="N58" s="1794"/>
      <c r="O58" s="1794"/>
      <c r="P58" s="1794"/>
      <c r="Q58" s="1794"/>
      <c r="R58" s="1794"/>
      <c r="S58" s="1794"/>
      <c r="T58" s="1794"/>
      <c r="U58" s="1794"/>
      <c r="V58" s="1794"/>
      <c r="W58" s="1794"/>
      <c r="X58" s="1794"/>
      <c r="Y58" s="1794"/>
      <c r="Z58" s="1794"/>
    </row>
    <row r="59" spans="2:26">
      <c r="B59" s="1794"/>
      <c r="C59" s="1794"/>
      <c r="D59" s="1794"/>
      <c r="E59" s="1794"/>
      <c r="F59" s="1794"/>
      <c r="G59" s="1794"/>
      <c r="H59" s="1794"/>
      <c r="I59" s="1794"/>
      <c r="J59" s="1794"/>
      <c r="K59" s="1794"/>
      <c r="L59" s="1794"/>
      <c r="M59" s="1794"/>
      <c r="N59" s="1794"/>
      <c r="O59" s="1794"/>
      <c r="P59" s="1794"/>
      <c r="Q59" s="1794"/>
      <c r="R59" s="1794"/>
      <c r="S59" s="1794"/>
      <c r="T59" s="1794"/>
      <c r="U59" s="1794"/>
      <c r="V59" s="1794"/>
      <c r="W59" s="1794"/>
      <c r="X59" s="1794"/>
      <c r="Y59" s="1794"/>
      <c r="Z59" s="1794"/>
    </row>
    <row r="60" spans="2:26">
      <c r="B60" s="1794"/>
      <c r="C60" s="1794"/>
      <c r="D60" s="1794"/>
      <c r="E60" s="1794"/>
      <c r="F60" s="1794"/>
      <c r="G60" s="1794"/>
      <c r="H60" s="1794"/>
      <c r="I60" s="1794"/>
      <c r="J60" s="1794"/>
      <c r="K60" s="1794"/>
      <c r="L60" s="1794"/>
      <c r="M60" s="1794"/>
      <c r="N60" s="1794"/>
      <c r="O60" s="1794"/>
      <c r="P60" s="1794"/>
      <c r="Q60" s="1794"/>
      <c r="R60" s="1794"/>
      <c r="S60" s="1794"/>
      <c r="T60" s="1794"/>
      <c r="U60" s="1794"/>
      <c r="V60" s="1794"/>
      <c r="W60" s="1794"/>
      <c r="X60" s="1794"/>
      <c r="Y60" s="1794"/>
      <c r="Z60" s="1794"/>
    </row>
    <row r="61" spans="2:26">
      <c r="B61" s="1794"/>
      <c r="C61" s="1794"/>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row>
    <row r="62" spans="2:26">
      <c r="B62" s="1794"/>
      <c r="C62" s="1794"/>
      <c r="D62" s="1794"/>
      <c r="E62" s="1794"/>
      <c r="F62" s="1794"/>
      <c r="G62" s="1794"/>
      <c r="H62" s="1794"/>
      <c r="I62" s="1794"/>
      <c r="J62" s="1794"/>
      <c r="K62" s="1794"/>
      <c r="L62" s="1794"/>
      <c r="M62" s="1794"/>
      <c r="N62" s="1794"/>
      <c r="O62" s="1794"/>
      <c r="P62" s="1794"/>
      <c r="Q62" s="1794"/>
      <c r="R62" s="1794"/>
      <c r="S62" s="1794"/>
      <c r="T62" s="1794"/>
      <c r="U62" s="1794"/>
      <c r="V62" s="1794"/>
      <c r="W62" s="1794"/>
      <c r="X62" s="1794"/>
      <c r="Y62" s="1794"/>
      <c r="Z62" s="1794"/>
    </row>
    <row r="63" spans="2:26">
      <c r="B63" s="1794"/>
      <c r="C63" s="1794"/>
      <c r="D63" s="1794"/>
      <c r="E63" s="1794"/>
      <c r="F63" s="1794"/>
      <c r="G63" s="1794"/>
      <c r="H63" s="1794"/>
      <c r="I63" s="1794"/>
      <c r="J63" s="1794"/>
      <c r="K63" s="1794"/>
      <c r="L63" s="1794"/>
      <c r="M63" s="1794"/>
      <c r="N63" s="1794"/>
      <c r="O63" s="1794"/>
      <c r="P63" s="1794"/>
      <c r="Q63" s="1794"/>
      <c r="R63" s="1794"/>
      <c r="S63" s="1794"/>
      <c r="T63" s="1794"/>
      <c r="U63" s="1794"/>
      <c r="V63" s="1794"/>
      <c r="W63" s="1794"/>
      <c r="X63" s="1794"/>
      <c r="Y63" s="1794"/>
      <c r="Z63" s="1794"/>
    </row>
    <row r="64" spans="2:26">
      <c r="B64" s="1794"/>
      <c r="C64" s="1794"/>
      <c r="D64" s="1794"/>
      <c r="E64" s="1794"/>
      <c r="F64" s="1794"/>
      <c r="G64" s="1794"/>
      <c r="H64" s="1794"/>
      <c r="I64" s="1794"/>
      <c r="J64" s="1794"/>
      <c r="K64" s="1794"/>
      <c r="L64" s="1794"/>
      <c r="M64" s="1794"/>
      <c r="N64" s="1794"/>
      <c r="O64" s="1794"/>
      <c r="P64" s="1794"/>
      <c r="Q64" s="1794"/>
      <c r="R64" s="1794"/>
      <c r="S64" s="1794"/>
      <c r="T64" s="1794"/>
      <c r="U64" s="1794"/>
      <c r="V64" s="1794"/>
      <c r="W64" s="1794"/>
      <c r="X64" s="1794"/>
      <c r="Y64" s="1794"/>
      <c r="Z64" s="1794"/>
    </row>
    <row r="65" spans="2:26">
      <c r="B65" s="1794"/>
      <c r="C65" s="1794"/>
      <c r="D65" s="1794"/>
      <c r="E65" s="1794"/>
      <c r="F65" s="1794"/>
      <c r="G65" s="1794"/>
      <c r="H65" s="1794"/>
      <c r="I65" s="1794"/>
      <c r="J65" s="1794"/>
      <c r="K65" s="1794"/>
      <c r="L65" s="1794"/>
      <c r="M65" s="1794"/>
      <c r="N65" s="1794"/>
      <c r="O65" s="1794"/>
      <c r="P65" s="1794"/>
      <c r="Q65" s="1794"/>
      <c r="R65" s="1794"/>
      <c r="S65" s="1794"/>
      <c r="T65" s="1794"/>
      <c r="U65" s="1794"/>
      <c r="V65" s="1794"/>
      <c r="W65" s="1794"/>
      <c r="X65" s="1794"/>
      <c r="Y65" s="1794"/>
      <c r="Z65" s="1794"/>
    </row>
    <row r="66" spans="2:26">
      <c r="B66" s="1794"/>
      <c r="C66" s="1794"/>
      <c r="D66" s="1794"/>
      <c r="E66" s="1794"/>
      <c r="F66" s="1794"/>
      <c r="G66" s="1794"/>
      <c r="H66" s="1794"/>
      <c r="I66" s="1794"/>
      <c r="J66" s="1794"/>
      <c r="K66" s="1794"/>
      <c r="L66" s="1794"/>
      <c r="M66" s="1794"/>
      <c r="N66" s="1794"/>
      <c r="O66" s="1794"/>
      <c r="P66" s="1794"/>
      <c r="Q66" s="1794"/>
      <c r="R66" s="1794"/>
      <c r="S66" s="1794"/>
      <c r="T66" s="1794"/>
      <c r="U66" s="1794"/>
      <c r="V66" s="1794"/>
      <c r="W66" s="1794"/>
      <c r="X66" s="1794"/>
      <c r="Y66" s="1794"/>
      <c r="Z66" s="1794"/>
    </row>
    <row r="67" spans="2:26">
      <c r="B67" s="1794"/>
      <c r="C67" s="1794"/>
      <c r="D67" s="1794"/>
      <c r="E67" s="1794"/>
      <c r="F67" s="1794"/>
      <c r="G67" s="1794"/>
      <c r="H67" s="1794"/>
      <c r="I67" s="1794"/>
      <c r="J67" s="1794"/>
      <c r="K67" s="1794"/>
      <c r="L67" s="1794"/>
      <c r="M67" s="1794"/>
      <c r="N67" s="1794"/>
      <c r="O67" s="1794"/>
      <c r="P67" s="1794"/>
      <c r="Q67" s="1794"/>
      <c r="R67" s="1794"/>
      <c r="S67" s="1794"/>
      <c r="T67" s="1794"/>
      <c r="U67" s="1794"/>
      <c r="V67" s="1794"/>
      <c r="W67" s="1794"/>
      <c r="X67" s="1794"/>
      <c r="Y67" s="1794"/>
      <c r="Z67" s="1794"/>
    </row>
    <row r="68" spans="2:26">
      <c r="B68" s="1794"/>
      <c r="C68" s="1794"/>
      <c r="D68" s="1794"/>
      <c r="E68" s="1794"/>
      <c r="F68" s="1794"/>
      <c r="G68" s="1794"/>
      <c r="H68" s="1794"/>
      <c r="I68" s="1794"/>
      <c r="J68" s="1794"/>
      <c r="K68" s="1794"/>
      <c r="L68" s="1794"/>
      <c r="M68" s="1794"/>
      <c r="N68" s="1794"/>
      <c r="O68" s="1794"/>
      <c r="P68" s="1794"/>
      <c r="Q68" s="1794"/>
      <c r="R68" s="1794"/>
      <c r="S68" s="1794"/>
      <c r="T68" s="1794"/>
      <c r="U68" s="1794"/>
      <c r="V68" s="1794"/>
      <c r="W68" s="1794"/>
      <c r="X68" s="1794"/>
      <c r="Y68" s="1794"/>
      <c r="Z68" s="1794"/>
    </row>
    <row r="69" spans="2:26">
      <c r="B69" s="1794"/>
      <c r="C69" s="1794"/>
      <c r="D69" s="1794"/>
      <c r="E69" s="1794"/>
      <c r="F69" s="1794"/>
      <c r="G69" s="1794"/>
      <c r="H69" s="1794"/>
      <c r="I69" s="1794"/>
      <c r="J69" s="1794"/>
      <c r="K69" s="1794"/>
      <c r="L69" s="1794"/>
      <c r="M69" s="1794"/>
      <c r="N69" s="1794"/>
      <c r="O69" s="1794"/>
      <c r="P69" s="1794"/>
      <c r="Q69" s="1794"/>
      <c r="R69" s="1794"/>
      <c r="S69" s="1794"/>
      <c r="T69" s="1794"/>
      <c r="U69" s="1794"/>
      <c r="V69" s="1794"/>
      <c r="W69" s="1794"/>
      <c r="X69" s="1794"/>
      <c r="Y69" s="1794"/>
      <c r="Z69" s="1794"/>
    </row>
    <row r="70" spans="2:26">
      <c r="B70" s="1794"/>
      <c r="C70" s="1794"/>
      <c r="D70" s="1794"/>
      <c r="E70" s="1794"/>
      <c r="F70" s="1794"/>
      <c r="G70" s="1794"/>
      <c r="H70" s="1794"/>
      <c r="I70" s="1794"/>
      <c r="J70" s="1794"/>
      <c r="K70" s="1794"/>
      <c r="L70" s="1794"/>
      <c r="M70" s="1794"/>
      <c r="N70" s="1794"/>
      <c r="O70" s="1794"/>
      <c r="P70" s="1794"/>
      <c r="Q70" s="1794"/>
      <c r="R70" s="1794"/>
      <c r="S70" s="1794"/>
      <c r="T70" s="1794"/>
      <c r="U70" s="1794"/>
      <c r="V70" s="1794"/>
      <c r="W70" s="1794"/>
      <c r="X70" s="1794"/>
      <c r="Y70" s="1794"/>
      <c r="Z70" s="1794"/>
    </row>
    <row r="71" spans="2:26">
      <c r="B71" s="1794"/>
      <c r="C71" s="1794"/>
      <c r="D71" s="1794"/>
      <c r="E71" s="1794"/>
      <c r="F71" s="1794"/>
      <c r="G71" s="1794"/>
      <c r="H71" s="1794"/>
      <c r="I71" s="1794"/>
      <c r="J71" s="1794"/>
      <c r="K71" s="1794"/>
      <c r="L71" s="1794"/>
      <c r="M71" s="1794"/>
      <c r="N71" s="1794"/>
      <c r="O71" s="1794"/>
      <c r="P71" s="1794"/>
      <c r="Q71" s="1794"/>
      <c r="R71" s="1794"/>
      <c r="S71" s="1794"/>
      <c r="T71" s="1794"/>
      <c r="U71" s="1794"/>
      <c r="V71" s="1794"/>
      <c r="W71" s="1794"/>
      <c r="X71" s="1794"/>
      <c r="Y71" s="1794"/>
      <c r="Z71" s="1794"/>
    </row>
    <row r="72" spans="2:26">
      <c r="B72" s="1794"/>
      <c r="C72" s="1794"/>
      <c r="D72" s="1794"/>
      <c r="E72" s="1794"/>
      <c r="F72" s="1794"/>
      <c r="G72" s="1794"/>
      <c r="H72" s="1794"/>
      <c r="I72" s="1794"/>
      <c r="J72" s="1794"/>
      <c r="K72" s="1794"/>
      <c r="L72" s="1794"/>
      <c r="M72" s="1794"/>
      <c r="N72" s="1794"/>
      <c r="O72" s="1794"/>
      <c r="P72" s="1794"/>
      <c r="Q72" s="1794"/>
      <c r="R72" s="1794"/>
      <c r="S72" s="1794"/>
      <c r="T72" s="1794"/>
      <c r="U72" s="1794"/>
      <c r="V72" s="1794"/>
      <c r="W72" s="1794"/>
      <c r="X72" s="1794"/>
      <c r="Y72" s="1794"/>
      <c r="Z72" s="1794"/>
    </row>
    <row r="73" spans="2:26">
      <c r="B73" s="1794"/>
      <c r="C73" s="1794"/>
      <c r="D73" s="1794"/>
      <c r="E73" s="1794"/>
      <c r="F73" s="1794"/>
      <c r="G73" s="1794"/>
      <c r="H73" s="1794"/>
      <c r="I73" s="1794"/>
      <c r="J73" s="1794"/>
      <c r="K73" s="1794"/>
      <c r="L73" s="1794"/>
      <c r="M73" s="1794"/>
      <c r="N73" s="1794"/>
      <c r="O73" s="1794"/>
      <c r="P73" s="1794"/>
      <c r="Q73" s="1794"/>
      <c r="R73" s="1794"/>
      <c r="S73" s="1794"/>
      <c r="T73" s="1794"/>
      <c r="U73" s="1794"/>
      <c r="V73" s="1794"/>
      <c r="W73" s="1794"/>
      <c r="X73" s="1794"/>
      <c r="Y73" s="1794"/>
      <c r="Z73" s="1794"/>
    </row>
    <row r="74" spans="2:26">
      <c r="B74" s="1794"/>
      <c r="C74" s="1794"/>
      <c r="D74" s="1794"/>
      <c r="E74" s="1794"/>
      <c r="F74" s="1794"/>
      <c r="G74" s="1794"/>
      <c r="H74" s="1794"/>
      <c r="I74" s="1794"/>
      <c r="J74" s="1794"/>
      <c r="K74" s="1794"/>
      <c r="L74" s="1794"/>
      <c r="M74" s="1794"/>
      <c r="N74" s="1794"/>
      <c r="O74" s="1794"/>
      <c r="P74" s="1794"/>
      <c r="Q74" s="1794"/>
      <c r="R74" s="1794"/>
      <c r="S74" s="1794"/>
      <c r="T74" s="1794"/>
      <c r="U74" s="1794"/>
      <c r="V74" s="1794"/>
      <c r="W74" s="1794"/>
      <c r="X74" s="1794"/>
      <c r="Y74" s="1794"/>
      <c r="Z74" s="1794"/>
    </row>
    <row r="75" spans="2:26">
      <c r="B75" s="1794"/>
      <c r="C75" s="1794"/>
      <c r="D75" s="1794"/>
      <c r="E75" s="1794"/>
      <c r="F75" s="1794"/>
      <c r="G75" s="1794"/>
      <c r="H75" s="1794"/>
      <c r="I75" s="1794"/>
      <c r="J75" s="1794"/>
      <c r="K75" s="1794"/>
      <c r="L75" s="1794"/>
      <c r="M75" s="1794"/>
      <c r="N75" s="1794"/>
      <c r="O75" s="1794"/>
      <c r="P75" s="1794"/>
      <c r="Q75" s="1794"/>
      <c r="R75" s="1794"/>
      <c r="S75" s="1794"/>
      <c r="T75" s="1794"/>
      <c r="U75" s="1794"/>
      <c r="V75" s="1794"/>
      <c r="W75" s="1794"/>
      <c r="X75" s="1794"/>
      <c r="Y75" s="1794"/>
      <c r="Z75" s="1794"/>
    </row>
    <row r="76" spans="2:26">
      <c r="B76" s="1794"/>
      <c r="C76" s="1794"/>
      <c r="D76" s="1794"/>
      <c r="E76" s="1794"/>
      <c r="F76" s="1794"/>
      <c r="G76" s="1794"/>
      <c r="H76" s="1794"/>
      <c r="I76" s="1794"/>
      <c r="J76" s="1794"/>
      <c r="K76" s="1794"/>
      <c r="L76" s="1794"/>
      <c r="M76" s="1794"/>
      <c r="N76" s="1794"/>
      <c r="O76" s="1794"/>
      <c r="P76" s="1794"/>
      <c r="Q76" s="1794"/>
      <c r="R76" s="1794"/>
      <c r="S76" s="1794"/>
      <c r="T76" s="1794"/>
      <c r="U76" s="1794"/>
      <c r="V76" s="1794"/>
      <c r="W76" s="1794"/>
      <c r="X76" s="1794"/>
      <c r="Y76" s="1794"/>
      <c r="Z76" s="1794"/>
    </row>
    <row r="77" spans="2:26">
      <c r="B77" s="1794"/>
      <c r="C77" s="1794"/>
      <c r="D77" s="1794"/>
      <c r="E77" s="1794"/>
      <c r="F77" s="1794"/>
      <c r="G77" s="1794"/>
      <c r="H77" s="1794"/>
      <c r="I77" s="1794"/>
      <c r="J77" s="1794"/>
      <c r="K77" s="1794"/>
      <c r="L77" s="1794"/>
      <c r="M77" s="1794"/>
      <c r="N77" s="1794"/>
      <c r="O77" s="1794"/>
      <c r="P77" s="1794"/>
      <c r="Q77" s="1794"/>
      <c r="R77" s="1794"/>
      <c r="S77" s="1794"/>
      <c r="T77" s="1794"/>
      <c r="U77" s="1794"/>
      <c r="V77" s="1794"/>
      <c r="W77" s="1794"/>
      <c r="X77" s="1794"/>
      <c r="Y77" s="1794"/>
      <c r="Z77" s="1794"/>
    </row>
    <row r="78" spans="2:26">
      <c r="B78" s="1794"/>
      <c r="C78" s="1794"/>
      <c r="D78" s="1794"/>
      <c r="E78" s="1794"/>
      <c r="F78" s="1794"/>
      <c r="G78" s="1794"/>
      <c r="H78" s="1794"/>
      <c r="I78" s="1794"/>
      <c r="J78" s="1794"/>
      <c r="K78" s="1794"/>
      <c r="L78" s="1794"/>
      <c r="M78" s="1794"/>
      <c r="N78" s="1794"/>
      <c r="O78" s="1794"/>
      <c r="P78" s="1794"/>
      <c r="Q78" s="1794"/>
      <c r="R78" s="1794"/>
      <c r="S78" s="1794"/>
      <c r="T78" s="1794"/>
      <c r="U78" s="1794"/>
      <c r="V78" s="1794"/>
      <c r="W78" s="1794"/>
      <c r="X78" s="1794"/>
      <c r="Y78" s="1794"/>
      <c r="Z78" s="1794"/>
    </row>
    <row r="79" spans="2:26">
      <c r="B79" s="1794"/>
      <c r="C79" s="1794"/>
      <c r="D79" s="1794"/>
      <c r="E79" s="1794"/>
      <c r="F79" s="1794"/>
      <c r="G79" s="1794"/>
      <c r="H79" s="1794"/>
      <c r="I79" s="1794"/>
      <c r="J79" s="1794"/>
      <c r="K79" s="1794"/>
      <c r="L79" s="1794"/>
      <c r="M79" s="1794"/>
      <c r="N79" s="1794"/>
      <c r="O79" s="1794"/>
      <c r="P79" s="1794"/>
      <c r="Q79" s="1794"/>
      <c r="R79" s="1794"/>
      <c r="S79" s="1794"/>
      <c r="T79" s="1794"/>
      <c r="U79" s="1794"/>
      <c r="V79" s="1794"/>
      <c r="W79" s="1794"/>
      <c r="X79" s="1794"/>
      <c r="Y79" s="1794"/>
      <c r="Z79" s="1794"/>
    </row>
    <row r="80" spans="2:26">
      <c r="B80" s="1794"/>
      <c r="C80" s="1794"/>
      <c r="D80" s="1794"/>
      <c r="E80" s="1794"/>
      <c r="F80" s="1794"/>
      <c r="G80" s="1794"/>
      <c r="H80" s="1794"/>
      <c r="I80" s="1794"/>
      <c r="J80" s="1794"/>
      <c r="K80" s="1794"/>
      <c r="L80" s="1794"/>
      <c r="M80" s="1794"/>
      <c r="N80" s="1794"/>
      <c r="O80" s="1794"/>
      <c r="P80" s="1794"/>
      <c r="Q80" s="1794"/>
      <c r="R80" s="1794"/>
      <c r="S80" s="1794"/>
      <c r="T80" s="1794"/>
      <c r="U80" s="1794"/>
      <c r="V80" s="1794"/>
      <c r="W80" s="1794"/>
      <c r="X80" s="1794"/>
      <c r="Y80" s="1794"/>
      <c r="Z80" s="1794"/>
    </row>
    <row r="81" spans="2:26">
      <c r="B81" s="1794"/>
      <c r="C81" s="1794"/>
      <c r="D81" s="1794"/>
      <c r="E81" s="1794"/>
      <c r="F81" s="1794"/>
      <c r="G81" s="1794"/>
      <c r="H81" s="1794"/>
      <c r="I81" s="1794"/>
      <c r="J81" s="1794"/>
      <c r="K81" s="1794"/>
      <c r="L81" s="1794"/>
      <c r="M81" s="1794"/>
      <c r="N81" s="1794"/>
      <c r="O81" s="1794"/>
      <c r="P81" s="1794"/>
      <c r="Q81" s="1794"/>
      <c r="R81" s="1794"/>
      <c r="S81" s="1794"/>
      <c r="T81" s="1794"/>
      <c r="U81" s="1794"/>
      <c r="V81" s="1794"/>
      <c r="W81" s="1794"/>
      <c r="X81" s="1794"/>
      <c r="Y81" s="1794"/>
      <c r="Z81" s="1794"/>
    </row>
    <row r="82" spans="2:26">
      <c r="B82" s="1794"/>
      <c r="C82" s="1794"/>
      <c r="D82" s="1794"/>
      <c r="E82" s="1794"/>
      <c r="F82" s="1794"/>
      <c r="G82" s="1794"/>
      <c r="H82" s="1794"/>
      <c r="I82" s="1794"/>
      <c r="J82" s="1794"/>
      <c r="K82" s="1794"/>
      <c r="L82" s="1794"/>
      <c r="M82" s="1794"/>
      <c r="N82" s="1794"/>
      <c r="O82" s="1794"/>
      <c r="P82" s="1794"/>
      <c r="Q82" s="1794"/>
      <c r="R82" s="1794"/>
      <c r="S82" s="1794"/>
      <c r="T82" s="1794"/>
      <c r="U82" s="1794"/>
      <c r="V82" s="1794"/>
      <c r="W82" s="1794"/>
      <c r="X82" s="1794"/>
      <c r="Y82" s="1794"/>
      <c r="Z82" s="1794"/>
    </row>
    <row r="83" spans="2:26">
      <c r="B83" s="1794"/>
      <c r="C83" s="1794"/>
      <c r="D83" s="1794"/>
      <c r="E83" s="1794"/>
      <c r="F83" s="1794"/>
      <c r="G83" s="1794"/>
      <c r="H83" s="1794"/>
      <c r="I83" s="1794"/>
      <c r="J83" s="1794"/>
      <c r="K83" s="1794"/>
      <c r="L83" s="1794"/>
      <c r="M83" s="1794"/>
      <c r="N83" s="1794"/>
      <c r="O83" s="1794"/>
      <c r="P83" s="1794"/>
      <c r="Q83" s="1794"/>
      <c r="R83" s="1794"/>
      <c r="S83" s="1794"/>
      <c r="T83" s="1794"/>
      <c r="U83" s="1794"/>
      <c r="V83" s="1794"/>
      <c r="W83" s="1794"/>
      <c r="X83" s="1794"/>
      <c r="Y83" s="1794"/>
      <c r="Z83" s="1794"/>
    </row>
    <row r="84" spans="2:26">
      <c r="B84" s="1794"/>
      <c r="C84" s="1794"/>
      <c r="D84" s="1794"/>
      <c r="E84" s="1794"/>
      <c r="F84" s="1794"/>
      <c r="G84" s="1794"/>
      <c r="H84" s="1794"/>
      <c r="I84" s="1794"/>
      <c r="J84" s="1794"/>
      <c r="K84" s="1794"/>
      <c r="L84" s="1794"/>
      <c r="M84" s="1794"/>
      <c r="N84" s="1794"/>
      <c r="O84" s="1794"/>
      <c r="P84" s="1794"/>
      <c r="Q84" s="1794"/>
      <c r="R84" s="1794"/>
      <c r="S84" s="1794"/>
      <c r="T84" s="1794"/>
      <c r="U84" s="1794"/>
      <c r="V84" s="1794"/>
      <c r="W84" s="1794"/>
      <c r="X84" s="1794"/>
      <c r="Y84" s="1794"/>
      <c r="Z84" s="1794"/>
    </row>
    <row r="85" spans="2:26">
      <c r="B85" s="1794"/>
      <c r="C85" s="1794"/>
      <c r="D85" s="1794"/>
      <c r="E85" s="1794"/>
      <c r="F85" s="1794"/>
      <c r="G85" s="1794"/>
      <c r="H85" s="1794"/>
      <c r="I85" s="1794"/>
      <c r="J85" s="1794"/>
      <c r="K85" s="1794"/>
      <c r="L85" s="1794"/>
      <c r="M85" s="1794"/>
      <c r="N85" s="1794"/>
      <c r="O85" s="1794"/>
      <c r="P85" s="1794"/>
      <c r="Q85" s="1794"/>
      <c r="R85" s="1794"/>
      <c r="S85" s="1794"/>
      <c r="T85" s="1794"/>
      <c r="U85" s="1794"/>
      <c r="V85" s="1794"/>
      <c r="W85" s="1794"/>
      <c r="X85" s="1794"/>
      <c r="Y85" s="1794"/>
      <c r="Z85" s="1794"/>
    </row>
    <row r="86" spans="2:26">
      <c r="B86" s="1794"/>
      <c r="C86" s="1794"/>
      <c r="D86" s="1794"/>
      <c r="E86" s="1794"/>
      <c r="F86" s="1794"/>
      <c r="G86" s="1794"/>
      <c r="H86" s="1794"/>
      <c r="I86" s="1794"/>
      <c r="J86" s="1794"/>
      <c r="K86" s="1794"/>
      <c r="L86" s="1794"/>
      <c r="M86" s="1794"/>
      <c r="N86" s="1794"/>
      <c r="O86" s="1794"/>
      <c r="P86" s="1794"/>
      <c r="Q86" s="1794"/>
      <c r="R86" s="1794"/>
      <c r="S86" s="1794"/>
      <c r="T86" s="1794"/>
      <c r="U86" s="1794"/>
      <c r="V86" s="1794"/>
      <c r="W86" s="1794"/>
      <c r="X86" s="1794"/>
      <c r="Y86" s="1794"/>
      <c r="Z86" s="1794"/>
    </row>
    <row r="87" spans="2:26">
      <c r="B87" s="1794"/>
      <c r="C87" s="1794"/>
      <c r="D87" s="1794"/>
      <c r="E87" s="1794"/>
      <c r="F87" s="1794"/>
      <c r="G87" s="1794"/>
      <c r="H87" s="1794"/>
      <c r="I87" s="1794"/>
      <c r="J87" s="1794"/>
      <c r="K87" s="1794"/>
      <c r="L87" s="1794"/>
      <c r="M87" s="1794"/>
      <c r="N87" s="1794"/>
      <c r="O87" s="1794"/>
      <c r="P87" s="1794"/>
      <c r="Q87" s="1794"/>
      <c r="R87" s="1794"/>
      <c r="S87" s="1794"/>
      <c r="T87" s="1794"/>
      <c r="U87" s="1794"/>
      <c r="V87" s="1794"/>
      <c r="W87" s="1794"/>
      <c r="X87" s="1794"/>
      <c r="Y87" s="1794"/>
      <c r="Z87" s="1794"/>
    </row>
    <row r="88" spans="2:26">
      <c r="B88" s="1794"/>
      <c r="C88" s="1794"/>
      <c r="D88" s="1794"/>
      <c r="E88" s="1794"/>
      <c r="F88" s="1794"/>
      <c r="G88" s="1794"/>
      <c r="H88" s="1794"/>
      <c r="I88" s="1794"/>
      <c r="J88" s="1794"/>
      <c r="K88" s="1794"/>
      <c r="L88" s="1794"/>
      <c r="M88" s="1794"/>
      <c r="N88" s="1794"/>
      <c r="O88" s="1794"/>
      <c r="P88" s="1794"/>
      <c r="Q88" s="1794"/>
      <c r="R88" s="1794"/>
      <c r="S88" s="1794"/>
      <c r="T88" s="1794"/>
      <c r="U88" s="1794"/>
      <c r="V88" s="1794"/>
      <c r="W88" s="1794"/>
      <c r="X88" s="1794"/>
      <c r="Y88" s="1794"/>
      <c r="Z88" s="1794"/>
    </row>
    <row r="89" spans="2:26">
      <c r="B89" s="1794"/>
      <c r="C89" s="1794"/>
      <c r="D89" s="1794"/>
      <c r="E89" s="1794"/>
      <c r="F89" s="1794"/>
      <c r="G89" s="1794"/>
      <c r="H89" s="1794"/>
      <c r="I89" s="1794"/>
      <c r="J89" s="1794"/>
      <c r="K89" s="1794"/>
      <c r="L89" s="1794"/>
      <c r="M89" s="1794"/>
      <c r="N89" s="1794"/>
      <c r="O89" s="1794"/>
      <c r="P89" s="1794"/>
      <c r="Q89" s="1794"/>
      <c r="R89" s="1794"/>
      <c r="S89" s="1794"/>
      <c r="T89" s="1794"/>
      <c r="U89" s="1794"/>
      <c r="V89" s="1794"/>
      <c r="W89" s="1794"/>
      <c r="X89" s="1794"/>
      <c r="Y89" s="1794"/>
      <c r="Z89" s="1794"/>
    </row>
    <row r="90" spans="2:26">
      <c r="B90" s="1794"/>
      <c r="C90" s="1794"/>
      <c r="D90" s="1794"/>
      <c r="E90" s="1794"/>
      <c r="F90" s="1794"/>
      <c r="G90" s="1794"/>
      <c r="H90" s="1794"/>
      <c r="I90" s="1794"/>
      <c r="J90" s="1794"/>
      <c r="K90" s="1794"/>
      <c r="L90" s="1794"/>
      <c r="M90" s="1794"/>
      <c r="N90" s="1794"/>
      <c r="O90" s="1794"/>
      <c r="P90" s="1794"/>
      <c r="Q90" s="1794"/>
      <c r="R90" s="1794"/>
      <c r="S90" s="1794"/>
      <c r="T90" s="1794"/>
      <c r="U90" s="1794"/>
      <c r="V90" s="1794"/>
      <c r="W90" s="1794"/>
      <c r="X90" s="1794"/>
      <c r="Y90" s="1794"/>
      <c r="Z90" s="1794"/>
    </row>
    <row r="91" spans="2:26">
      <c r="B91" s="1794"/>
      <c r="C91" s="1794"/>
      <c r="D91" s="1794"/>
      <c r="E91" s="1794"/>
      <c r="F91" s="1794"/>
      <c r="G91" s="1794"/>
      <c r="H91" s="1794"/>
      <c r="I91" s="1794"/>
      <c r="J91" s="1794"/>
      <c r="K91" s="1794"/>
      <c r="L91" s="1794"/>
      <c r="M91" s="1794"/>
      <c r="N91" s="1794"/>
      <c r="O91" s="1794"/>
      <c r="P91" s="1794"/>
      <c r="Q91" s="1794"/>
      <c r="R91" s="1794"/>
      <c r="S91" s="1794"/>
      <c r="T91" s="1794"/>
      <c r="U91" s="1794"/>
      <c r="V91" s="1794"/>
      <c r="W91" s="1794"/>
      <c r="X91" s="1794"/>
      <c r="Y91" s="1794"/>
      <c r="Z91" s="1794"/>
    </row>
    <row r="92" spans="2:26">
      <c r="B92" s="1794"/>
      <c r="C92" s="1794"/>
      <c r="D92" s="1794"/>
      <c r="E92" s="1794"/>
      <c r="F92" s="1794"/>
      <c r="G92" s="1794"/>
      <c r="H92" s="1794"/>
      <c r="I92" s="1794"/>
      <c r="J92" s="1794"/>
      <c r="K92" s="1794"/>
      <c r="L92" s="1794"/>
      <c r="M92" s="1794"/>
      <c r="N92" s="1794"/>
      <c r="O92" s="1794"/>
      <c r="P92" s="1794"/>
      <c r="Q92" s="1794"/>
      <c r="R92" s="1794"/>
      <c r="S92" s="1794"/>
      <c r="T92" s="1794"/>
      <c r="U92" s="1794"/>
      <c r="V92" s="1794"/>
      <c r="W92" s="1794"/>
      <c r="X92" s="1794"/>
      <c r="Y92" s="1794"/>
      <c r="Z92" s="1794"/>
    </row>
    <row r="93" spans="2:26">
      <c r="B93" s="1794"/>
      <c r="C93" s="1794"/>
      <c r="D93" s="1794"/>
      <c r="E93" s="1794"/>
      <c r="F93" s="1794"/>
      <c r="G93" s="1794"/>
      <c r="H93" s="1794"/>
      <c r="I93" s="1794"/>
      <c r="J93" s="1794"/>
      <c r="K93" s="1794"/>
      <c r="L93" s="1794"/>
      <c r="M93" s="1794"/>
      <c r="N93" s="1794"/>
      <c r="O93" s="1794"/>
      <c r="P93" s="1794"/>
      <c r="Q93" s="1794"/>
      <c r="R93" s="1794"/>
      <c r="S93" s="1794"/>
      <c r="T93" s="1794"/>
      <c r="U93" s="1794"/>
      <c r="V93" s="1794"/>
      <c r="W93" s="1794"/>
      <c r="X93" s="1794"/>
      <c r="Y93" s="1794"/>
      <c r="Z93" s="1794"/>
    </row>
    <row r="94" spans="2:26">
      <c r="B94" s="1794"/>
      <c r="C94" s="1794"/>
      <c r="D94" s="1794"/>
      <c r="E94" s="1794"/>
      <c r="F94" s="1794"/>
      <c r="G94" s="1794"/>
      <c r="H94" s="1794"/>
      <c r="I94" s="1794"/>
      <c r="J94" s="1794"/>
      <c r="K94" s="1794"/>
      <c r="L94" s="1794"/>
      <c r="M94" s="1794"/>
      <c r="N94" s="1794"/>
      <c r="O94" s="1794"/>
      <c r="P94" s="1794"/>
      <c r="Q94" s="1794"/>
      <c r="R94" s="1794"/>
      <c r="S94" s="1794"/>
      <c r="T94" s="1794"/>
      <c r="U94" s="1794"/>
      <c r="V94" s="1794"/>
      <c r="W94" s="1794"/>
      <c r="X94" s="1794"/>
      <c r="Y94" s="1794"/>
      <c r="Z94" s="1794"/>
    </row>
    <row r="95" spans="2:26">
      <c r="B95" s="1794"/>
      <c r="C95" s="1794"/>
      <c r="D95" s="1794"/>
      <c r="E95" s="1794"/>
      <c r="F95" s="1794"/>
      <c r="G95" s="1794"/>
      <c r="H95" s="1794"/>
      <c r="I95" s="1794"/>
      <c r="J95" s="1794"/>
      <c r="K95" s="1794"/>
      <c r="L95" s="1794"/>
      <c r="M95" s="1794"/>
      <c r="N95" s="1794"/>
      <c r="O95" s="1794"/>
      <c r="P95" s="1794"/>
      <c r="Q95" s="1794"/>
      <c r="R95" s="1794"/>
      <c r="S95" s="1794"/>
      <c r="T95" s="1794"/>
      <c r="U95" s="1794"/>
      <c r="V95" s="1794"/>
      <c r="W95" s="1794"/>
      <c r="X95" s="1794"/>
      <c r="Y95" s="1794"/>
      <c r="Z95" s="1794"/>
    </row>
    <row r="96" spans="2:26">
      <c r="B96" s="1794"/>
      <c r="C96" s="1794"/>
      <c r="D96" s="1794"/>
      <c r="E96" s="1794"/>
      <c r="F96" s="1794"/>
      <c r="G96" s="1794"/>
      <c r="H96" s="1794"/>
      <c r="I96" s="1794"/>
      <c r="J96" s="1794"/>
      <c r="K96" s="1794"/>
      <c r="L96" s="1794"/>
      <c r="M96" s="1794"/>
      <c r="N96" s="1794"/>
      <c r="O96" s="1794"/>
      <c r="P96" s="1794"/>
      <c r="Q96" s="1794"/>
      <c r="R96" s="1794"/>
      <c r="S96" s="1794"/>
      <c r="T96" s="1794"/>
      <c r="U96" s="1794"/>
      <c r="V96" s="1794"/>
      <c r="W96" s="1794"/>
      <c r="X96" s="1794"/>
      <c r="Y96" s="1794"/>
      <c r="Z96" s="1794"/>
    </row>
    <row r="97" spans="2:26">
      <c r="B97" s="1794"/>
      <c r="C97" s="1794"/>
      <c r="D97" s="1794"/>
      <c r="E97" s="1794"/>
      <c r="F97" s="1794"/>
      <c r="G97" s="1794"/>
      <c r="H97" s="1794"/>
      <c r="I97" s="1794"/>
      <c r="J97" s="1794"/>
      <c r="K97" s="1794"/>
      <c r="L97" s="1794"/>
      <c r="M97" s="1794"/>
      <c r="N97" s="1794"/>
      <c r="O97" s="1794"/>
      <c r="P97" s="1794"/>
      <c r="Q97" s="1794"/>
      <c r="R97" s="1794"/>
      <c r="S97" s="1794"/>
      <c r="T97" s="1794"/>
      <c r="U97" s="1794"/>
      <c r="V97" s="1794"/>
      <c r="W97" s="1794"/>
      <c r="X97" s="1794"/>
      <c r="Y97" s="1794"/>
      <c r="Z97" s="1794"/>
    </row>
    <row r="98" spans="2:26">
      <c r="B98" s="1794"/>
      <c r="C98" s="1794"/>
      <c r="D98" s="1794"/>
      <c r="E98" s="1794"/>
      <c r="F98" s="1794"/>
      <c r="G98" s="1794"/>
      <c r="H98" s="1794"/>
      <c r="I98" s="1794"/>
      <c r="J98" s="1794"/>
      <c r="K98" s="1794"/>
      <c r="L98" s="1794"/>
      <c r="M98" s="1794"/>
      <c r="N98" s="1794"/>
      <c r="O98" s="1794"/>
      <c r="P98" s="1794"/>
      <c r="Q98" s="1794"/>
      <c r="R98" s="1794"/>
      <c r="S98" s="1794"/>
      <c r="T98" s="1794"/>
      <c r="U98" s="1794"/>
      <c r="V98" s="1794"/>
      <c r="W98" s="1794"/>
      <c r="X98" s="1794"/>
      <c r="Y98" s="1794"/>
      <c r="Z98" s="1794"/>
    </row>
    <row r="99" spans="2:26">
      <c r="B99" s="1794"/>
      <c r="C99" s="1794"/>
      <c r="D99" s="1794"/>
      <c r="E99" s="1794"/>
      <c r="F99" s="1794"/>
      <c r="G99" s="1794"/>
      <c r="H99" s="1794"/>
      <c r="I99" s="1794"/>
      <c r="J99" s="1794"/>
      <c r="K99" s="1794"/>
      <c r="L99" s="1794"/>
      <c r="M99" s="1794"/>
      <c r="N99" s="1794"/>
      <c r="O99" s="1794"/>
      <c r="P99" s="1794"/>
      <c r="Q99" s="1794"/>
      <c r="R99" s="1794"/>
      <c r="S99" s="1794"/>
      <c r="T99" s="1794"/>
      <c r="U99" s="1794"/>
      <c r="V99" s="1794"/>
      <c r="W99" s="1794"/>
      <c r="X99" s="1794"/>
      <c r="Y99" s="1794"/>
      <c r="Z99" s="1794"/>
    </row>
    <row r="100" spans="2:26">
      <c r="B100" s="1794"/>
      <c r="C100" s="1794"/>
      <c r="D100" s="1794"/>
      <c r="E100" s="1794"/>
      <c r="F100" s="1794"/>
      <c r="G100" s="1794"/>
      <c r="H100" s="1794"/>
      <c r="I100" s="1794"/>
      <c r="J100" s="1794"/>
      <c r="K100" s="1794"/>
      <c r="L100" s="1794"/>
      <c r="M100" s="1794"/>
      <c r="N100" s="1794"/>
      <c r="O100" s="1794"/>
      <c r="P100" s="1794"/>
      <c r="Q100" s="1794"/>
      <c r="R100" s="1794"/>
      <c r="S100" s="1794"/>
      <c r="T100" s="1794"/>
      <c r="U100" s="1794"/>
      <c r="V100" s="1794"/>
      <c r="W100" s="1794"/>
      <c r="X100" s="1794"/>
      <c r="Y100" s="1794"/>
      <c r="Z100" s="1794"/>
    </row>
    <row r="101" spans="2:26">
      <c r="B101" s="1794"/>
      <c r="C101" s="1794"/>
      <c r="D101" s="1794"/>
      <c r="E101" s="1794"/>
      <c r="F101" s="1794"/>
      <c r="G101" s="1794"/>
      <c r="H101" s="1794"/>
      <c r="I101" s="1794"/>
      <c r="J101" s="1794"/>
      <c r="K101" s="1794"/>
      <c r="L101" s="1794"/>
      <c r="M101" s="1794"/>
      <c r="N101" s="1794"/>
      <c r="O101" s="1794"/>
      <c r="P101" s="1794"/>
      <c r="Q101" s="1794"/>
      <c r="R101" s="1794"/>
      <c r="S101" s="1794"/>
      <c r="T101" s="1794"/>
      <c r="U101" s="1794"/>
      <c r="V101" s="1794"/>
      <c r="W101" s="1794"/>
      <c r="X101" s="1794"/>
      <c r="Y101" s="1794"/>
      <c r="Z101" s="1794"/>
    </row>
    <row r="102" spans="2:26">
      <c r="B102" s="1794"/>
      <c r="C102" s="1794"/>
      <c r="D102" s="1794"/>
      <c r="E102" s="1794"/>
      <c r="F102" s="1794"/>
      <c r="G102" s="1794"/>
      <c r="H102" s="1794"/>
      <c r="I102" s="1794"/>
      <c r="J102" s="1794"/>
      <c r="K102" s="1794"/>
      <c r="L102" s="1794"/>
      <c r="M102" s="1794"/>
      <c r="N102" s="1794"/>
      <c r="O102" s="1794"/>
      <c r="P102" s="1794"/>
      <c r="Q102" s="1794"/>
      <c r="R102" s="1794"/>
      <c r="S102" s="1794"/>
      <c r="T102" s="1794"/>
      <c r="U102" s="1794"/>
      <c r="V102" s="1794"/>
      <c r="W102" s="1794"/>
      <c r="X102" s="1794"/>
      <c r="Y102" s="1794"/>
      <c r="Z102" s="1794"/>
    </row>
    <row r="103" spans="2:26">
      <c r="B103" s="1794"/>
      <c r="C103" s="1794"/>
      <c r="D103" s="1794"/>
      <c r="E103" s="1794"/>
      <c r="F103" s="1794"/>
      <c r="G103" s="1794"/>
      <c r="H103" s="1794"/>
      <c r="I103" s="1794"/>
      <c r="J103" s="1794"/>
      <c r="K103" s="1794"/>
      <c r="L103" s="1794"/>
      <c r="M103" s="1794"/>
      <c r="N103" s="1794"/>
      <c r="O103" s="1794"/>
      <c r="P103" s="1794"/>
      <c r="Q103" s="1794"/>
      <c r="R103" s="1794"/>
      <c r="S103" s="1794"/>
      <c r="T103" s="1794"/>
      <c r="U103" s="1794"/>
      <c r="V103" s="1794"/>
      <c r="W103" s="1794"/>
      <c r="X103" s="1794"/>
      <c r="Y103" s="1794"/>
      <c r="Z103" s="1794"/>
    </row>
    <row r="104" spans="2:26">
      <c r="B104" s="1794"/>
      <c r="C104" s="1794"/>
      <c r="D104" s="1794"/>
      <c r="E104" s="1794"/>
      <c r="F104" s="1794"/>
      <c r="G104" s="1794"/>
      <c r="H104" s="1794"/>
      <c r="I104" s="1794"/>
      <c r="J104" s="1794"/>
      <c r="K104" s="1794"/>
      <c r="L104" s="1794"/>
      <c r="M104" s="1794"/>
      <c r="N104" s="1794"/>
      <c r="O104" s="1794"/>
      <c r="P104" s="1794"/>
      <c r="Q104" s="1794"/>
      <c r="R104" s="1794"/>
      <c r="S104" s="1794"/>
      <c r="T104" s="1794"/>
      <c r="U104" s="1794"/>
      <c r="V104" s="1794"/>
      <c r="W104" s="1794"/>
      <c r="X104" s="1794"/>
      <c r="Y104" s="1794"/>
      <c r="Z104" s="1794"/>
    </row>
    <row r="105" spans="2:26">
      <c r="B105" s="1794"/>
      <c r="C105" s="1794"/>
      <c r="D105" s="1794"/>
      <c r="E105" s="1794"/>
      <c r="F105" s="1794"/>
      <c r="G105" s="1794"/>
      <c r="H105" s="1794"/>
      <c r="I105" s="1794"/>
      <c r="J105" s="1794"/>
      <c r="K105" s="1794"/>
      <c r="L105" s="1794"/>
      <c r="M105" s="1794"/>
      <c r="N105" s="1794"/>
      <c r="O105" s="1794"/>
      <c r="P105" s="1794"/>
      <c r="Q105" s="1794"/>
      <c r="R105" s="1794"/>
      <c r="S105" s="1794"/>
      <c r="T105" s="1794"/>
      <c r="U105" s="1794"/>
      <c r="V105" s="1794"/>
      <c r="W105" s="1794"/>
      <c r="X105" s="1794"/>
      <c r="Y105" s="1794"/>
      <c r="Z105" s="1794"/>
    </row>
    <row r="106" spans="2:26">
      <c r="B106" s="1794"/>
      <c r="C106" s="1794"/>
      <c r="D106" s="1794"/>
      <c r="E106" s="1794"/>
      <c r="F106" s="1794"/>
      <c r="G106" s="1794"/>
      <c r="H106" s="1794"/>
      <c r="I106" s="1794"/>
      <c r="J106" s="1794"/>
      <c r="K106" s="1794"/>
      <c r="L106" s="1794"/>
      <c r="M106" s="1794"/>
      <c r="N106" s="1794"/>
      <c r="O106" s="1794"/>
      <c r="P106" s="1794"/>
      <c r="Q106" s="1794"/>
      <c r="R106" s="1794"/>
      <c r="S106" s="1794"/>
      <c r="T106" s="1794"/>
      <c r="U106" s="1794"/>
      <c r="V106" s="1794"/>
      <c r="W106" s="1794"/>
      <c r="X106" s="1794"/>
      <c r="Y106" s="1794"/>
      <c r="Z106" s="1794"/>
    </row>
    <row r="107" spans="2:26">
      <c r="B107" s="1794"/>
      <c r="C107" s="1794"/>
      <c r="D107" s="1794"/>
      <c r="E107" s="1794"/>
      <c r="F107" s="1794"/>
      <c r="G107" s="1794"/>
      <c r="H107" s="1794"/>
      <c r="I107" s="1794"/>
      <c r="J107" s="1794"/>
      <c r="K107" s="1794"/>
      <c r="L107" s="1794"/>
      <c r="M107" s="1794"/>
      <c r="N107" s="1794"/>
      <c r="O107" s="1794"/>
      <c r="P107" s="1794"/>
      <c r="Q107" s="1794"/>
      <c r="R107" s="1794"/>
      <c r="S107" s="1794"/>
      <c r="T107" s="1794"/>
      <c r="U107" s="1794"/>
      <c r="V107" s="1794"/>
      <c r="W107" s="1794"/>
      <c r="X107" s="1794"/>
      <c r="Y107" s="1794"/>
      <c r="Z107" s="1794"/>
    </row>
    <row r="108" spans="2:26">
      <c r="B108" s="1794"/>
      <c r="C108" s="1794"/>
      <c r="D108" s="1794"/>
      <c r="E108" s="1794"/>
      <c r="F108" s="1794"/>
      <c r="G108" s="1794"/>
      <c r="H108" s="1794"/>
      <c r="I108" s="1794"/>
      <c r="J108" s="1794"/>
      <c r="K108" s="1794"/>
      <c r="L108" s="1794"/>
      <c r="M108" s="1794"/>
      <c r="N108" s="1794"/>
      <c r="O108" s="1794"/>
      <c r="P108" s="1794"/>
      <c r="Q108" s="1794"/>
      <c r="R108" s="1794"/>
      <c r="S108" s="1794"/>
      <c r="T108" s="1794"/>
      <c r="U108" s="1794"/>
      <c r="V108" s="1794"/>
      <c r="W108" s="1794"/>
      <c r="X108" s="1794"/>
      <c r="Y108" s="1794"/>
      <c r="Z108" s="1794"/>
    </row>
    <row r="109" spans="2:26">
      <c r="B109" s="1794"/>
      <c r="C109" s="1794"/>
      <c r="D109" s="1794"/>
      <c r="E109" s="1794"/>
      <c r="F109" s="1794"/>
      <c r="G109" s="1794"/>
      <c r="H109" s="1794"/>
      <c r="I109" s="1794"/>
      <c r="J109" s="1794"/>
      <c r="K109" s="1794"/>
      <c r="L109" s="1794"/>
      <c r="M109" s="1794"/>
      <c r="N109" s="1794"/>
      <c r="O109" s="1794"/>
      <c r="P109" s="1794"/>
      <c r="Q109" s="1794"/>
      <c r="R109" s="1794"/>
      <c r="S109" s="1794"/>
      <c r="T109" s="1794"/>
      <c r="U109" s="1794"/>
      <c r="V109" s="1794"/>
      <c r="W109" s="1794"/>
      <c r="X109" s="1794"/>
      <c r="Y109" s="1794"/>
      <c r="Z109" s="1794"/>
    </row>
    <row r="110" spans="2:26">
      <c r="B110" s="1794"/>
      <c r="C110" s="1794"/>
      <c r="D110" s="1794"/>
      <c r="E110" s="1794"/>
      <c r="F110" s="1794"/>
      <c r="G110" s="1794"/>
      <c r="H110" s="1794"/>
      <c r="I110" s="1794"/>
      <c r="J110" s="1794"/>
      <c r="K110" s="1794"/>
      <c r="L110" s="1794"/>
      <c r="M110" s="1794"/>
      <c r="N110" s="1794"/>
      <c r="O110" s="1794"/>
      <c r="P110" s="1794"/>
      <c r="Q110" s="1794"/>
      <c r="R110" s="1794"/>
      <c r="S110" s="1794"/>
      <c r="T110" s="1794"/>
      <c r="U110" s="1794"/>
      <c r="V110" s="1794"/>
      <c r="W110" s="1794"/>
      <c r="X110" s="1794"/>
      <c r="Y110" s="1794"/>
      <c r="Z110" s="1794"/>
    </row>
    <row r="111" spans="2:26">
      <c r="B111" s="1794"/>
      <c r="C111" s="1794"/>
      <c r="D111" s="1794"/>
      <c r="E111" s="1794"/>
      <c r="F111" s="1794"/>
      <c r="G111" s="1794"/>
      <c r="H111" s="1794"/>
      <c r="I111" s="1794"/>
      <c r="J111" s="1794"/>
      <c r="K111" s="1794"/>
      <c r="L111" s="1794"/>
      <c r="M111" s="1794"/>
      <c r="N111" s="1794"/>
      <c r="O111" s="1794"/>
      <c r="P111" s="1794"/>
      <c r="Q111" s="1794"/>
      <c r="R111" s="1794"/>
      <c r="S111" s="1794"/>
      <c r="T111" s="1794"/>
      <c r="U111" s="1794"/>
      <c r="V111" s="1794"/>
      <c r="W111" s="1794"/>
      <c r="X111" s="1794"/>
      <c r="Y111" s="1794"/>
      <c r="Z111" s="1794"/>
    </row>
    <row r="112" spans="2:26">
      <c r="B112" s="1794"/>
      <c r="C112" s="1794"/>
      <c r="D112" s="1794"/>
      <c r="E112" s="1794"/>
      <c r="F112" s="1794"/>
      <c r="G112" s="1794"/>
      <c r="H112" s="1794"/>
      <c r="I112" s="1794"/>
      <c r="J112" s="1794"/>
      <c r="K112" s="1794"/>
      <c r="L112" s="1794"/>
      <c r="M112" s="1794"/>
      <c r="N112" s="1794"/>
      <c r="O112" s="1794"/>
      <c r="P112" s="1794"/>
      <c r="Q112" s="1794"/>
      <c r="R112" s="1794"/>
      <c r="S112" s="1794"/>
      <c r="T112" s="1794"/>
      <c r="U112" s="1794"/>
      <c r="V112" s="1794"/>
      <c r="W112" s="1794"/>
      <c r="X112" s="1794"/>
      <c r="Y112" s="1794"/>
      <c r="Z112" s="1794"/>
    </row>
    <row r="113" spans="2:26">
      <c r="B113" s="1794"/>
      <c r="C113" s="1794"/>
      <c r="D113" s="1794"/>
      <c r="E113" s="1794"/>
      <c r="F113" s="1794"/>
      <c r="G113" s="1794"/>
      <c r="H113" s="1794"/>
      <c r="I113" s="1794"/>
      <c r="J113" s="1794"/>
      <c r="K113" s="1794"/>
      <c r="L113" s="1794"/>
      <c r="M113" s="1794"/>
      <c r="N113" s="1794"/>
      <c r="O113" s="1794"/>
      <c r="P113" s="1794"/>
      <c r="Q113" s="1794"/>
      <c r="R113" s="1794"/>
      <c r="S113" s="1794"/>
      <c r="T113" s="1794"/>
      <c r="U113" s="1794"/>
      <c r="V113" s="1794"/>
      <c r="W113" s="1794"/>
      <c r="X113" s="1794"/>
      <c r="Y113" s="1794"/>
      <c r="Z113" s="1794"/>
    </row>
    <row r="114" spans="2:26">
      <c r="B114" s="1794"/>
      <c r="C114" s="1794"/>
      <c r="D114" s="1794"/>
      <c r="E114" s="1794"/>
      <c r="F114" s="1794"/>
      <c r="G114" s="1794"/>
      <c r="H114" s="1794"/>
      <c r="I114" s="1794"/>
      <c r="J114" s="1794"/>
      <c r="K114" s="1794"/>
      <c r="L114" s="1794"/>
      <c r="M114" s="1794"/>
      <c r="N114" s="1794"/>
      <c r="O114" s="1794"/>
      <c r="P114" s="1794"/>
      <c r="Q114" s="1794"/>
      <c r="R114" s="1794"/>
      <c r="S114" s="1794"/>
      <c r="T114" s="1794"/>
      <c r="U114" s="1794"/>
      <c r="V114" s="1794"/>
      <c r="W114" s="1794"/>
      <c r="X114" s="1794"/>
      <c r="Y114" s="1794"/>
      <c r="Z114" s="1794"/>
    </row>
    <row r="115" spans="2:26">
      <c r="B115" s="1794"/>
      <c r="C115" s="1794"/>
      <c r="D115" s="1794"/>
      <c r="E115" s="1794"/>
      <c r="F115" s="1794"/>
      <c r="G115" s="1794"/>
      <c r="H115" s="1794"/>
      <c r="I115" s="1794"/>
      <c r="J115" s="1794"/>
      <c r="K115" s="1794"/>
      <c r="L115" s="1794"/>
      <c r="M115" s="1794"/>
      <c r="N115" s="1794"/>
      <c r="O115" s="1794"/>
      <c r="P115" s="1794"/>
      <c r="Q115" s="1794"/>
      <c r="R115" s="1794"/>
      <c r="S115" s="1794"/>
      <c r="T115" s="1794"/>
      <c r="U115" s="1794"/>
      <c r="V115" s="1794"/>
      <c r="W115" s="1794"/>
      <c r="X115" s="1794"/>
      <c r="Y115" s="1794"/>
      <c r="Z115" s="1794"/>
    </row>
    <row r="116" spans="2:26">
      <c r="B116" s="1794"/>
      <c r="C116" s="1794"/>
      <c r="D116" s="1794"/>
      <c r="E116" s="1794"/>
      <c r="F116" s="1794"/>
      <c r="G116" s="1794"/>
      <c r="H116" s="1794"/>
      <c r="I116" s="1794"/>
      <c r="J116" s="1794"/>
      <c r="K116" s="1794"/>
      <c r="L116" s="1794"/>
      <c r="M116" s="1794"/>
      <c r="N116" s="1794"/>
      <c r="O116" s="1794"/>
      <c r="P116" s="1794"/>
      <c r="Q116" s="1794"/>
      <c r="R116" s="1794"/>
      <c r="S116" s="1794"/>
      <c r="T116" s="1794"/>
      <c r="U116" s="1794"/>
      <c r="V116" s="1794"/>
      <c r="W116" s="1794"/>
      <c r="X116" s="1794"/>
      <c r="Y116" s="1794"/>
      <c r="Z116" s="1794"/>
    </row>
    <row r="117" spans="2:26">
      <c r="B117" s="1794"/>
      <c r="C117" s="1794"/>
      <c r="D117" s="1794"/>
      <c r="E117" s="1794"/>
      <c r="F117" s="1794"/>
      <c r="G117" s="1794"/>
      <c r="H117" s="1794"/>
      <c r="I117" s="1794"/>
      <c r="J117" s="1794"/>
      <c r="K117" s="1794"/>
      <c r="L117" s="1794"/>
      <c r="M117" s="1794"/>
      <c r="N117" s="1794"/>
      <c r="O117" s="1794"/>
      <c r="P117" s="1794"/>
      <c r="Q117" s="1794"/>
      <c r="R117" s="1794"/>
      <c r="S117" s="1794"/>
      <c r="T117" s="1794"/>
      <c r="U117" s="1794"/>
      <c r="V117" s="1794"/>
      <c r="W117" s="1794"/>
      <c r="X117" s="1794"/>
      <c r="Y117" s="1794"/>
      <c r="Z117" s="1794"/>
    </row>
    <row r="118" spans="2:26">
      <c r="B118" s="1794"/>
      <c r="C118" s="1794"/>
      <c r="D118" s="1794"/>
      <c r="E118" s="1794"/>
      <c r="F118" s="1794"/>
      <c r="G118" s="1794"/>
      <c r="H118" s="1794"/>
      <c r="I118" s="1794"/>
      <c r="J118" s="1794"/>
      <c r="K118" s="1794"/>
      <c r="L118" s="1794"/>
      <c r="M118" s="1794"/>
      <c r="N118" s="1794"/>
      <c r="O118" s="1794"/>
      <c r="P118" s="1794"/>
      <c r="Q118" s="1794"/>
      <c r="R118" s="1794"/>
      <c r="S118" s="1794"/>
      <c r="T118" s="1794"/>
      <c r="U118" s="1794"/>
      <c r="V118" s="1794"/>
      <c r="W118" s="1794"/>
      <c r="X118" s="1794"/>
      <c r="Y118" s="1794"/>
      <c r="Z118" s="1794"/>
    </row>
    <row r="119" spans="2:26">
      <c r="B119" s="1794"/>
      <c r="C119" s="1794"/>
      <c r="D119" s="1794"/>
      <c r="E119" s="1794"/>
      <c r="F119" s="1794"/>
      <c r="G119" s="1794"/>
      <c r="H119" s="1794"/>
      <c r="I119" s="1794"/>
      <c r="J119" s="1794"/>
      <c r="K119" s="1794"/>
      <c r="L119" s="1794"/>
      <c r="M119" s="1794"/>
      <c r="N119" s="1794"/>
      <c r="O119" s="1794"/>
      <c r="P119" s="1794"/>
      <c r="Q119" s="1794"/>
      <c r="R119" s="1794"/>
      <c r="S119" s="1794"/>
      <c r="T119" s="1794"/>
      <c r="U119" s="1794"/>
      <c r="V119" s="1794"/>
      <c r="W119" s="1794"/>
      <c r="X119" s="1794"/>
      <c r="Y119" s="1794"/>
      <c r="Z119" s="1794"/>
    </row>
    <row r="120" spans="2:26">
      <c r="B120" s="1794"/>
      <c r="C120" s="1794"/>
      <c r="D120" s="1794"/>
      <c r="E120" s="1794"/>
      <c r="F120" s="1794"/>
      <c r="G120" s="1794"/>
      <c r="H120" s="1794"/>
      <c r="I120" s="1794"/>
      <c r="J120" s="1794"/>
      <c r="K120" s="1794"/>
      <c r="L120" s="1794"/>
      <c r="M120" s="1794"/>
      <c r="N120" s="1794"/>
      <c r="O120" s="1794"/>
      <c r="P120" s="1794"/>
      <c r="Q120" s="1794"/>
      <c r="R120" s="1794"/>
      <c r="S120" s="1794"/>
      <c r="T120" s="1794"/>
      <c r="U120" s="1794"/>
      <c r="V120" s="1794"/>
      <c r="W120" s="1794"/>
      <c r="X120" s="1794"/>
      <c r="Y120" s="1794"/>
      <c r="Z120" s="1794"/>
    </row>
    <row r="121" spans="2:26">
      <c r="B121" s="1794"/>
      <c r="C121" s="1794"/>
      <c r="D121" s="1794"/>
      <c r="E121" s="1794"/>
      <c r="F121" s="1794"/>
      <c r="G121" s="1794"/>
      <c r="H121" s="1794"/>
      <c r="I121" s="1794"/>
      <c r="J121" s="1794"/>
      <c r="K121" s="1794"/>
      <c r="L121" s="1794"/>
      <c r="M121" s="1794"/>
      <c r="N121" s="1794"/>
      <c r="O121" s="1794"/>
      <c r="P121" s="1794"/>
      <c r="Q121" s="1794"/>
      <c r="R121" s="1794"/>
      <c r="S121" s="1794"/>
      <c r="T121" s="1794"/>
      <c r="U121" s="1794"/>
      <c r="V121" s="1794"/>
      <c r="W121" s="1794"/>
      <c r="X121" s="1794"/>
      <c r="Y121" s="1794"/>
      <c r="Z121" s="1794"/>
    </row>
    <row r="122" spans="2:26">
      <c r="B122" s="1794"/>
      <c r="C122" s="1794"/>
      <c r="D122" s="1794"/>
      <c r="E122" s="1794"/>
      <c r="F122" s="1794"/>
      <c r="G122" s="1794"/>
      <c r="H122" s="1794"/>
      <c r="I122" s="1794"/>
      <c r="J122" s="1794"/>
      <c r="K122" s="1794"/>
      <c r="L122" s="1794"/>
      <c r="M122" s="1794"/>
      <c r="N122" s="1794"/>
      <c r="O122" s="1794"/>
      <c r="P122" s="1794"/>
      <c r="Q122" s="1794"/>
      <c r="R122" s="1794"/>
      <c r="S122" s="1794"/>
      <c r="T122" s="1794"/>
      <c r="U122" s="1794"/>
      <c r="V122" s="1794"/>
      <c r="W122" s="1794"/>
      <c r="X122" s="1794"/>
      <c r="Y122" s="1794"/>
      <c r="Z122" s="1794"/>
    </row>
    <row r="123" spans="2:26">
      <c r="B123" s="1794"/>
      <c r="C123" s="1794"/>
      <c r="D123" s="1794"/>
      <c r="E123" s="1794"/>
      <c r="F123" s="1794"/>
      <c r="G123" s="1794"/>
      <c r="H123" s="1794"/>
      <c r="I123" s="1794"/>
      <c r="J123" s="1794"/>
      <c r="K123" s="1794"/>
      <c r="L123" s="1794"/>
      <c r="M123" s="1794"/>
      <c r="N123" s="1794"/>
      <c r="O123" s="1794"/>
      <c r="P123" s="1794"/>
      <c r="Q123" s="1794"/>
      <c r="R123" s="1794"/>
      <c r="S123" s="1794"/>
      <c r="T123" s="1794"/>
      <c r="U123" s="1794"/>
      <c r="V123" s="1794"/>
      <c r="W123" s="1794"/>
      <c r="X123" s="1794"/>
      <c r="Y123" s="1794"/>
      <c r="Z123" s="1794"/>
    </row>
    <row r="124" spans="2:26">
      <c r="B124" s="1794"/>
      <c r="C124" s="1794"/>
      <c r="D124" s="1794"/>
      <c r="E124" s="1794"/>
      <c r="F124" s="1794"/>
      <c r="G124" s="1794"/>
      <c r="H124" s="1794"/>
      <c r="I124" s="1794"/>
      <c r="J124" s="1794"/>
      <c r="K124" s="1794"/>
      <c r="L124" s="1794"/>
      <c r="M124" s="1794"/>
      <c r="N124" s="1794"/>
      <c r="O124" s="1794"/>
      <c r="P124" s="1794"/>
      <c r="Q124" s="1794"/>
      <c r="R124" s="1794"/>
      <c r="S124" s="1794"/>
      <c r="T124" s="1794"/>
      <c r="U124" s="1794"/>
      <c r="V124" s="1794"/>
      <c r="W124" s="1794"/>
      <c r="X124" s="1794"/>
      <c r="Y124" s="1794"/>
      <c r="Z124" s="1794"/>
    </row>
    <row r="125" spans="2:26">
      <c r="B125" s="1794"/>
      <c r="C125" s="1794"/>
      <c r="D125" s="1794"/>
      <c r="E125" s="1794"/>
      <c r="F125" s="1794"/>
      <c r="G125" s="1794"/>
      <c r="H125" s="1794"/>
      <c r="I125" s="1794"/>
      <c r="J125" s="1794"/>
      <c r="K125" s="1794"/>
      <c r="L125" s="1794"/>
      <c r="M125" s="1794"/>
      <c r="N125" s="1794"/>
      <c r="O125" s="1794"/>
      <c r="P125" s="1794"/>
      <c r="Q125" s="1794"/>
      <c r="R125" s="1794"/>
      <c r="S125" s="1794"/>
      <c r="T125" s="1794"/>
      <c r="U125" s="1794"/>
      <c r="V125" s="1794"/>
      <c r="W125" s="1794"/>
      <c r="X125" s="1794"/>
      <c r="Y125" s="1794"/>
      <c r="Z125" s="1794"/>
    </row>
    <row r="126" spans="2:26">
      <c r="B126" s="1794"/>
      <c r="C126" s="1794"/>
      <c r="D126" s="1794"/>
      <c r="E126" s="1794"/>
      <c r="F126" s="1794"/>
      <c r="G126" s="1794"/>
      <c r="H126" s="1794"/>
      <c r="I126" s="1794"/>
      <c r="J126" s="1794"/>
      <c r="K126" s="1794"/>
      <c r="L126" s="1794"/>
      <c r="M126" s="1794"/>
      <c r="N126" s="1794"/>
      <c r="O126" s="1794"/>
      <c r="P126" s="1794"/>
      <c r="Q126" s="1794"/>
      <c r="R126" s="1794"/>
      <c r="S126" s="1794"/>
      <c r="T126" s="1794"/>
      <c r="U126" s="1794"/>
      <c r="V126" s="1794"/>
      <c r="W126" s="1794"/>
      <c r="X126" s="1794"/>
      <c r="Y126" s="1794"/>
      <c r="Z126" s="1794"/>
    </row>
    <row r="127" spans="2:26">
      <c r="B127" s="1794"/>
      <c r="C127" s="1794"/>
      <c r="D127" s="1794"/>
      <c r="E127" s="1794"/>
      <c r="F127" s="1794"/>
      <c r="G127" s="1794"/>
      <c r="H127" s="1794"/>
      <c r="I127" s="1794"/>
      <c r="J127" s="1794"/>
      <c r="K127" s="1794"/>
      <c r="L127" s="1794"/>
      <c r="M127" s="1794"/>
      <c r="N127" s="1794"/>
      <c r="O127" s="1794"/>
      <c r="P127" s="1794"/>
      <c r="Q127" s="1794"/>
      <c r="R127" s="1794"/>
      <c r="S127" s="1794"/>
      <c r="T127" s="1794"/>
      <c r="U127" s="1794"/>
      <c r="V127" s="1794"/>
      <c r="W127" s="1794"/>
      <c r="X127" s="1794"/>
      <c r="Y127" s="1794"/>
      <c r="Z127" s="1794"/>
    </row>
    <row r="128" spans="2:26">
      <c r="B128" s="1794"/>
      <c r="C128" s="1794"/>
      <c r="D128" s="1794"/>
      <c r="E128" s="1794"/>
      <c r="F128" s="1794"/>
      <c r="G128" s="1794"/>
      <c r="H128" s="1794"/>
      <c r="I128" s="1794"/>
      <c r="J128" s="1794"/>
      <c r="K128" s="1794"/>
      <c r="L128" s="1794"/>
      <c r="M128" s="1794"/>
      <c r="N128" s="1794"/>
      <c r="O128" s="1794"/>
      <c r="P128" s="1794"/>
      <c r="Q128" s="1794"/>
      <c r="R128" s="1794"/>
      <c r="S128" s="1794"/>
      <c r="T128" s="1794"/>
      <c r="U128" s="1794"/>
      <c r="V128" s="1794"/>
      <c r="W128" s="1794"/>
      <c r="X128" s="1794"/>
      <c r="Y128" s="1794"/>
      <c r="Z128" s="1794"/>
    </row>
    <row r="129" spans="2:26">
      <c r="B129" s="1794"/>
      <c r="C129" s="1794"/>
      <c r="D129" s="1794"/>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row>
    <row r="130" spans="2:26">
      <c r="B130" s="1794"/>
      <c r="C130" s="1794"/>
      <c r="D130" s="1794"/>
      <c r="E130" s="1794"/>
      <c r="F130" s="1794"/>
      <c r="G130" s="1794"/>
      <c r="H130" s="1794"/>
      <c r="I130" s="1794"/>
      <c r="J130" s="1794"/>
      <c r="K130" s="1794"/>
      <c r="L130" s="1794"/>
      <c r="M130" s="1794"/>
      <c r="N130" s="1794"/>
      <c r="O130" s="1794"/>
      <c r="P130" s="1794"/>
      <c r="Q130" s="1794"/>
      <c r="R130" s="1794"/>
      <c r="S130" s="1794"/>
      <c r="T130" s="1794"/>
      <c r="U130" s="1794"/>
      <c r="V130" s="1794"/>
      <c r="W130" s="1794"/>
      <c r="X130" s="1794"/>
      <c r="Y130" s="1794"/>
      <c r="Z130" s="1794"/>
    </row>
    <row r="131" spans="2:26">
      <c r="B131" s="1794"/>
      <c r="C131" s="1794"/>
      <c r="D131" s="1794"/>
      <c r="E131" s="1794"/>
      <c r="F131" s="1794"/>
      <c r="G131" s="1794"/>
      <c r="H131" s="1794"/>
      <c r="I131" s="1794"/>
      <c r="J131" s="1794"/>
      <c r="K131" s="1794"/>
      <c r="L131" s="1794"/>
      <c r="M131" s="1794"/>
      <c r="N131" s="1794"/>
      <c r="O131" s="1794"/>
      <c r="P131" s="1794"/>
      <c r="Q131" s="1794"/>
      <c r="R131" s="1794"/>
      <c r="S131" s="1794"/>
      <c r="T131" s="1794"/>
      <c r="U131" s="1794"/>
      <c r="V131" s="1794"/>
      <c r="W131" s="1794"/>
      <c r="X131" s="1794"/>
      <c r="Y131" s="1794"/>
      <c r="Z131" s="1794"/>
    </row>
    <row r="132" spans="2:26">
      <c r="B132" s="1794"/>
      <c r="C132" s="1794"/>
      <c r="D132" s="1794"/>
      <c r="E132" s="1794"/>
      <c r="F132" s="1794"/>
      <c r="G132" s="1794"/>
      <c r="H132" s="1794"/>
      <c r="I132" s="1794"/>
      <c r="J132" s="1794"/>
      <c r="K132" s="1794"/>
      <c r="L132" s="1794"/>
      <c r="M132" s="1794"/>
      <c r="N132" s="1794"/>
      <c r="O132" s="1794"/>
      <c r="P132" s="1794"/>
      <c r="Q132" s="1794"/>
      <c r="R132" s="1794"/>
      <c r="S132" s="1794"/>
      <c r="T132" s="1794"/>
      <c r="U132" s="1794"/>
      <c r="V132" s="1794"/>
      <c r="W132" s="1794"/>
      <c r="X132" s="1794"/>
      <c r="Y132" s="1794"/>
      <c r="Z132" s="1794"/>
    </row>
    <row r="133" spans="2:26">
      <c r="B133" s="1794"/>
      <c r="C133" s="1794"/>
      <c r="D133" s="1794"/>
      <c r="E133" s="1794"/>
      <c r="F133" s="1794"/>
      <c r="G133" s="1794"/>
      <c r="H133" s="1794"/>
      <c r="I133" s="1794"/>
      <c r="J133" s="1794"/>
      <c r="K133" s="1794"/>
      <c r="L133" s="1794"/>
      <c r="M133" s="1794"/>
      <c r="N133" s="1794"/>
      <c r="O133" s="1794"/>
      <c r="P133" s="1794"/>
      <c r="Q133" s="1794"/>
      <c r="R133" s="1794"/>
      <c r="S133" s="1794"/>
      <c r="T133" s="1794"/>
      <c r="U133" s="1794"/>
      <c r="V133" s="1794"/>
      <c r="W133" s="1794"/>
      <c r="X133" s="1794"/>
      <c r="Y133" s="1794"/>
      <c r="Z133" s="1794"/>
    </row>
    <row r="134" spans="2:26">
      <c r="B134" s="1794"/>
      <c r="C134" s="1794"/>
      <c r="D134" s="1794"/>
      <c r="E134" s="1794"/>
      <c r="F134" s="1794"/>
      <c r="G134" s="1794"/>
      <c r="H134" s="1794"/>
      <c r="I134" s="1794"/>
      <c r="J134" s="1794"/>
      <c r="K134" s="1794"/>
      <c r="L134" s="1794"/>
      <c r="M134" s="1794"/>
      <c r="N134" s="1794"/>
      <c r="O134" s="1794"/>
      <c r="P134" s="1794"/>
      <c r="Q134" s="1794"/>
      <c r="R134" s="1794"/>
      <c r="S134" s="1794"/>
      <c r="T134" s="1794"/>
      <c r="U134" s="1794"/>
      <c r="V134" s="1794"/>
      <c r="W134" s="1794"/>
      <c r="X134" s="1794"/>
      <c r="Y134" s="1794"/>
      <c r="Z134" s="1794"/>
    </row>
    <row r="135" spans="2:26">
      <c r="B135" s="1794"/>
      <c r="C135" s="1794"/>
      <c r="D135" s="1794"/>
      <c r="E135" s="1794"/>
      <c r="F135" s="1794"/>
      <c r="G135" s="1794"/>
      <c r="H135" s="1794"/>
      <c r="I135" s="1794"/>
      <c r="J135" s="1794"/>
      <c r="K135" s="1794"/>
      <c r="L135" s="1794"/>
      <c r="M135" s="1794"/>
      <c r="N135" s="1794"/>
      <c r="O135" s="1794"/>
      <c r="P135" s="1794"/>
      <c r="Q135" s="1794"/>
      <c r="R135" s="1794"/>
      <c r="S135" s="1794"/>
      <c r="T135" s="1794"/>
      <c r="U135" s="1794"/>
      <c r="V135" s="1794"/>
      <c r="W135" s="1794"/>
      <c r="X135" s="1794"/>
      <c r="Y135" s="1794"/>
      <c r="Z135" s="1794"/>
    </row>
    <row r="136" spans="2:26">
      <c r="B136" s="1794"/>
      <c r="C136" s="1794"/>
      <c r="D136" s="1794"/>
      <c r="E136" s="1794"/>
      <c r="F136" s="1794"/>
      <c r="G136" s="1794"/>
      <c r="H136" s="1794"/>
      <c r="I136" s="1794"/>
      <c r="J136" s="1794"/>
      <c r="K136" s="1794"/>
      <c r="L136" s="1794"/>
      <c r="M136" s="1794"/>
      <c r="N136" s="1794"/>
      <c r="O136" s="1794"/>
      <c r="P136" s="1794"/>
      <c r="Q136" s="1794"/>
      <c r="R136" s="1794"/>
      <c r="S136" s="1794"/>
      <c r="T136" s="1794"/>
      <c r="U136" s="1794"/>
      <c r="V136" s="1794"/>
      <c r="W136" s="1794"/>
      <c r="X136" s="1794"/>
      <c r="Y136" s="1794"/>
      <c r="Z136" s="1794"/>
    </row>
    <row r="137" spans="2:26">
      <c r="B137" s="1794"/>
      <c r="C137" s="1794"/>
      <c r="D137" s="1794"/>
      <c r="E137" s="1794"/>
      <c r="F137" s="1794"/>
      <c r="G137" s="1794"/>
      <c r="H137" s="1794"/>
      <c r="I137" s="1794"/>
      <c r="J137" s="1794"/>
      <c r="K137" s="1794"/>
      <c r="L137" s="1794"/>
      <c r="M137" s="1794"/>
      <c r="N137" s="1794"/>
      <c r="O137" s="1794"/>
      <c r="P137" s="1794"/>
      <c r="Q137" s="1794"/>
      <c r="R137" s="1794"/>
      <c r="S137" s="1794"/>
      <c r="T137" s="1794"/>
      <c r="U137" s="1794"/>
      <c r="V137" s="1794"/>
      <c r="W137" s="1794"/>
      <c r="X137" s="1794"/>
      <c r="Y137" s="1794"/>
      <c r="Z137" s="1794"/>
    </row>
    <row r="138" spans="2:26">
      <c r="B138" s="1794"/>
      <c r="C138" s="1794"/>
      <c r="D138" s="1794"/>
      <c r="E138" s="1794"/>
      <c r="F138" s="1794"/>
      <c r="G138" s="1794"/>
      <c r="H138" s="1794"/>
      <c r="I138" s="1794"/>
      <c r="J138" s="1794"/>
      <c r="K138" s="1794"/>
      <c r="L138" s="1794"/>
      <c r="M138" s="1794"/>
      <c r="N138" s="1794"/>
      <c r="O138" s="1794"/>
      <c r="P138" s="1794"/>
      <c r="Q138" s="1794"/>
      <c r="R138" s="1794"/>
      <c r="S138" s="1794"/>
      <c r="T138" s="1794"/>
      <c r="U138" s="1794"/>
      <c r="V138" s="1794"/>
      <c r="W138" s="1794"/>
      <c r="X138" s="1794"/>
      <c r="Y138" s="1794"/>
      <c r="Z138" s="1794"/>
    </row>
    <row r="139" spans="2:26">
      <c r="B139" s="1794"/>
      <c r="C139" s="1794"/>
      <c r="D139" s="1794"/>
      <c r="E139" s="1794"/>
      <c r="F139" s="1794"/>
      <c r="G139" s="1794"/>
      <c r="H139" s="1794"/>
      <c r="I139" s="1794"/>
      <c r="J139" s="1794"/>
      <c r="K139" s="1794"/>
      <c r="L139" s="1794"/>
      <c r="M139" s="1794"/>
      <c r="N139" s="1794"/>
      <c r="O139" s="1794"/>
      <c r="P139" s="1794"/>
      <c r="Q139" s="1794"/>
      <c r="R139" s="1794"/>
      <c r="S139" s="1794"/>
      <c r="T139" s="1794"/>
      <c r="U139" s="1794"/>
      <c r="V139" s="1794"/>
      <c r="W139" s="1794"/>
      <c r="X139" s="1794"/>
      <c r="Y139" s="1794"/>
      <c r="Z139" s="1794"/>
    </row>
    <row r="140" spans="2:26">
      <c r="B140" s="1794"/>
      <c r="C140" s="1794"/>
      <c r="D140" s="1794"/>
      <c r="E140" s="1794"/>
      <c r="F140" s="1794"/>
      <c r="G140" s="1794"/>
      <c r="H140" s="1794"/>
      <c r="I140" s="1794"/>
      <c r="J140" s="1794"/>
      <c r="K140" s="1794"/>
      <c r="L140" s="1794"/>
      <c r="M140" s="1794"/>
      <c r="N140" s="1794"/>
      <c r="O140" s="1794"/>
      <c r="P140" s="1794"/>
      <c r="Q140" s="1794"/>
      <c r="R140" s="1794"/>
      <c r="S140" s="1794"/>
      <c r="T140" s="1794"/>
      <c r="U140" s="1794"/>
      <c r="V140" s="1794"/>
      <c r="W140" s="1794"/>
      <c r="X140" s="1794"/>
      <c r="Y140" s="1794"/>
      <c r="Z140" s="1794"/>
    </row>
    <row r="141" spans="2:26">
      <c r="B141" s="1794"/>
      <c r="C141" s="1794"/>
      <c r="D141" s="1794"/>
      <c r="E141" s="1794"/>
      <c r="F141" s="1794"/>
      <c r="G141" s="1794"/>
      <c r="H141" s="1794"/>
      <c r="I141" s="1794"/>
      <c r="J141" s="1794"/>
      <c r="K141" s="1794"/>
      <c r="L141" s="1794"/>
      <c r="M141" s="1794"/>
      <c r="N141" s="1794"/>
      <c r="O141" s="1794"/>
      <c r="P141" s="1794"/>
      <c r="Q141" s="1794"/>
      <c r="R141" s="1794"/>
      <c r="S141" s="1794"/>
      <c r="T141" s="1794"/>
      <c r="U141" s="1794"/>
      <c r="V141" s="1794"/>
      <c r="W141" s="1794"/>
      <c r="X141" s="1794"/>
      <c r="Y141" s="1794"/>
      <c r="Z141" s="1794"/>
    </row>
    <row r="142" spans="2:26">
      <c r="B142" s="1794"/>
      <c r="C142" s="1794"/>
      <c r="D142" s="1794"/>
      <c r="E142" s="1794"/>
      <c r="F142" s="1794"/>
      <c r="G142" s="1794"/>
      <c r="H142" s="1794"/>
      <c r="I142" s="1794"/>
      <c r="J142" s="1794"/>
      <c r="K142" s="1794"/>
      <c r="L142" s="1794"/>
      <c r="M142" s="1794"/>
      <c r="N142" s="1794"/>
      <c r="O142" s="1794"/>
      <c r="P142" s="1794"/>
      <c r="Q142" s="1794"/>
      <c r="R142" s="1794"/>
      <c r="S142" s="1794"/>
      <c r="T142" s="1794"/>
      <c r="U142" s="1794"/>
      <c r="V142" s="1794"/>
      <c r="W142" s="1794"/>
      <c r="X142" s="1794"/>
      <c r="Y142" s="1794"/>
      <c r="Z142" s="1794"/>
    </row>
    <row r="143" spans="2:26">
      <c r="B143" s="1794"/>
      <c r="C143" s="1794"/>
      <c r="D143" s="1794"/>
      <c r="E143" s="1794"/>
      <c r="F143" s="1794"/>
      <c r="G143" s="1794"/>
      <c r="H143" s="1794"/>
      <c r="I143" s="1794"/>
      <c r="J143" s="1794"/>
      <c r="K143" s="1794"/>
      <c r="L143" s="1794"/>
      <c r="M143" s="1794"/>
      <c r="N143" s="1794"/>
      <c r="O143" s="1794"/>
      <c r="P143" s="1794"/>
      <c r="Q143" s="1794"/>
      <c r="R143" s="1794"/>
      <c r="S143" s="1794"/>
      <c r="T143" s="1794"/>
      <c r="U143" s="1794"/>
      <c r="V143" s="1794"/>
      <c r="W143" s="1794"/>
      <c r="X143" s="1794"/>
      <c r="Y143" s="1794"/>
      <c r="Z143" s="1794"/>
    </row>
    <row r="144" spans="2:26">
      <c r="B144" s="1794"/>
      <c r="C144" s="1794"/>
      <c r="D144" s="1794"/>
      <c r="E144" s="1794"/>
      <c r="F144" s="1794"/>
      <c r="G144" s="1794"/>
      <c r="H144" s="1794"/>
      <c r="I144" s="1794"/>
      <c r="J144" s="1794"/>
      <c r="K144" s="1794"/>
      <c r="L144" s="1794"/>
      <c r="M144" s="1794"/>
      <c r="N144" s="1794"/>
      <c r="O144" s="1794"/>
      <c r="P144" s="1794"/>
      <c r="Q144" s="1794"/>
      <c r="R144" s="1794"/>
      <c r="S144" s="1794"/>
      <c r="T144" s="1794"/>
      <c r="U144" s="1794"/>
      <c r="V144" s="1794"/>
      <c r="W144" s="1794"/>
      <c r="X144" s="1794"/>
      <c r="Y144" s="1794"/>
      <c r="Z144" s="1794"/>
    </row>
    <row r="145" spans="2:26">
      <c r="B145" s="1794"/>
      <c r="C145" s="1794"/>
      <c r="D145" s="1794"/>
      <c r="E145" s="1794"/>
      <c r="F145" s="1794"/>
      <c r="G145" s="1794"/>
      <c r="H145" s="1794"/>
      <c r="I145" s="1794"/>
      <c r="J145" s="1794"/>
      <c r="K145" s="1794"/>
      <c r="L145" s="1794"/>
      <c r="M145" s="1794"/>
      <c r="N145" s="1794"/>
      <c r="O145" s="1794"/>
      <c r="P145" s="1794"/>
      <c r="Q145" s="1794"/>
      <c r="R145" s="1794"/>
      <c r="S145" s="1794"/>
      <c r="T145" s="1794"/>
      <c r="U145" s="1794"/>
      <c r="V145" s="1794"/>
      <c r="W145" s="1794"/>
      <c r="X145" s="1794"/>
      <c r="Y145" s="1794"/>
      <c r="Z145" s="1794"/>
    </row>
    <row r="146" spans="2:26">
      <c r="B146" s="1794"/>
      <c r="C146" s="1794"/>
      <c r="D146" s="1794"/>
      <c r="E146" s="1794"/>
      <c r="F146" s="1794"/>
      <c r="G146" s="1794"/>
      <c r="H146" s="1794"/>
      <c r="I146" s="1794"/>
      <c r="J146" s="1794"/>
      <c r="K146" s="1794"/>
      <c r="L146" s="1794"/>
      <c r="M146" s="1794"/>
      <c r="N146" s="1794"/>
      <c r="O146" s="1794"/>
      <c r="P146" s="1794"/>
      <c r="Q146" s="1794"/>
      <c r="R146" s="1794"/>
      <c r="S146" s="1794"/>
      <c r="T146" s="1794"/>
      <c r="U146" s="1794"/>
      <c r="V146" s="1794"/>
      <c r="W146" s="1794"/>
      <c r="X146" s="1794"/>
      <c r="Y146" s="1794"/>
      <c r="Z146" s="1794"/>
    </row>
    <row r="147" spans="2:26">
      <c r="B147" s="1794"/>
      <c r="C147" s="1794"/>
      <c r="D147" s="1794"/>
      <c r="E147" s="1794"/>
      <c r="F147" s="1794"/>
      <c r="G147" s="1794"/>
      <c r="H147" s="1794"/>
      <c r="I147" s="1794"/>
      <c r="J147" s="1794"/>
      <c r="K147" s="1794"/>
      <c r="L147" s="1794"/>
      <c r="M147" s="1794"/>
      <c r="N147" s="1794"/>
      <c r="O147" s="1794"/>
      <c r="P147" s="1794"/>
      <c r="Q147" s="1794"/>
      <c r="R147" s="1794"/>
      <c r="S147" s="1794"/>
      <c r="T147" s="1794"/>
      <c r="U147" s="1794"/>
      <c r="V147" s="1794"/>
      <c r="W147" s="1794"/>
      <c r="X147" s="1794"/>
      <c r="Y147" s="1794"/>
      <c r="Z147" s="1794"/>
    </row>
    <row r="148" spans="2:26">
      <c r="B148" s="1794"/>
      <c r="C148" s="1794"/>
      <c r="D148" s="1794"/>
      <c r="E148" s="1794"/>
      <c r="F148" s="1794"/>
      <c r="G148" s="1794"/>
      <c r="H148" s="1794"/>
      <c r="I148" s="1794"/>
      <c r="J148" s="1794"/>
      <c r="K148" s="1794"/>
      <c r="L148" s="1794"/>
      <c r="M148" s="1794"/>
      <c r="N148" s="1794"/>
      <c r="O148" s="1794"/>
      <c r="P148" s="1794"/>
      <c r="Q148" s="1794"/>
      <c r="R148" s="1794"/>
      <c r="S148" s="1794"/>
      <c r="T148" s="1794"/>
      <c r="U148" s="1794"/>
      <c r="V148" s="1794"/>
      <c r="W148" s="1794"/>
      <c r="X148" s="1794"/>
      <c r="Y148" s="1794"/>
      <c r="Z148" s="1794"/>
    </row>
    <row r="149" spans="2:26">
      <c r="B149" s="1794"/>
      <c r="C149" s="1794"/>
      <c r="D149" s="1794"/>
      <c r="E149" s="1794"/>
      <c r="F149" s="1794"/>
      <c r="G149" s="1794"/>
      <c r="H149" s="1794"/>
      <c r="I149" s="1794"/>
      <c r="J149" s="1794"/>
      <c r="K149" s="1794"/>
      <c r="L149" s="1794"/>
      <c r="M149" s="1794"/>
      <c r="N149" s="1794"/>
      <c r="O149" s="1794"/>
      <c r="P149" s="1794"/>
      <c r="Q149" s="1794"/>
      <c r="R149" s="1794"/>
      <c r="S149" s="1794"/>
      <c r="T149" s="1794"/>
      <c r="U149" s="1794"/>
      <c r="V149" s="1794"/>
      <c r="W149" s="1794"/>
      <c r="X149" s="1794"/>
      <c r="Y149" s="1794"/>
      <c r="Z149" s="1794"/>
    </row>
    <row r="150" spans="2:26">
      <c r="B150" s="1794"/>
      <c r="C150" s="1794"/>
      <c r="D150" s="1794"/>
      <c r="E150" s="1794"/>
      <c r="F150" s="1794"/>
      <c r="G150" s="1794"/>
      <c r="H150" s="1794"/>
      <c r="I150" s="1794"/>
      <c r="J150" s="1794"/>
      <c r="K150" s="1794"/>
      <c r="L150" s="1794"/>
      <c r="M150" s="1794"/>
      <c r="N150" s="1794"/>
      <c r="O150" s="1794"/>
      <c r="P150" s="1794"/>
      <c r="Q150" s="1794"/>
      <c r="R150" s="1794"/>
      <c r="S150" s="1794"/>
      <c r="T150" s="1794"/>
      <c r="U150" s="1794"/>
      <c r="V150" s="1794"/>
      <c r="W150" s="1794"/>
      <c r="X150" s="1794"/>
      <c r="Y150" s="1794"/>
      <c r="Z150" s="1794"/>
    </row>
    <row r="151" spans="2:26">
      <c r="B151" s="1794"/>
      <c r="C151" s="1794"/>
      <c r="D151" s="1794"/>
      <c r="E151" s="1794"/>
      <c r="F151" s="1794"/>
      <c r="G151" s="1794"/>
      <c r="H151" s="1794"/>
      <c r="I151" s="1794"/>
      <c r="J151" s="1794"/>
      <c r="K151" s="1794"/>
      <c r="L151" s="1794"/>
      <c r="M151" s="1794"/>
      <c r="N151" s="1794"/>
      <c r="O151" s="1794"/>
      <c r="P151" s="1794"/>
      <c r="Q151" s="1794"/>
      <c r="R151" s="1794"/>
      <c r="S151" s="1794"/>
      <c r="T151" s="1794"/>
      <c r="U151" s="1794"/>
      <c r="V151" s="1794"/>
      <c r="W151" s="1794"/>
      <c r="X151" s="1794"/>
      <c r="Y151" s="1794"/>
      <c r="Z151" s="1794"/>
    </row>
    <row r="152" spans="2:26">
      <c r="B152" s="1794"/>
      <c r="C152" s="1794"/>
      <c r="D152" s="1794"/>
      <c r="E152" s="1794"/>
      <c r="F152" s="1794"/>
      <c r="G152" s="1794"/>
      <c r="H152" s="1794"/>
      <c r="I152" s="1794"/>
      <c r="J152" s="1794"/>
      <c r="K152" s="1794"/>
      <c r="L152" s="1794"/>
      <c r="M152" s="1794"/>
      <c r="N152" s="1794"/>
      <c r="O152" s="1794"/>
      <c r="P152" s="1794"/>
      <c r="Q152" s="1794"/>
      <c r="R152" s="1794"/>
      <c r="S152" s="1794"/>
      <c r="T152" s="1794"/>
      <c r="U152" s="1794"/>
      <c r="V152" s="1794"/>
      <c r="W152" s="1794"/>
      <c r="X152" s="1794"/>
      <c r="Y152" s="1794"/>
      <c r="Z152" s="1794"/>
    </row>
    <row r="153" spans="2:26">
      <c r="B153" s="1794"/>
      <c r="C153" s="1794"/>
      <c r="D153" s="1794"/>
      <c r="E153" s="1794"/>
      <c r="F153" s="1794"/>
      <c r="G153" s="1794"/>
      <c r="H153" s="1794"/>
      <c r="I153" s="1794"/>
      <c r="J153" s="1794"/>
      <c r="K153" s="1794"/>
      <c r="L153" s="1794"/>
      <c r="M153" s="1794"/>
      <c r="N153" s="1794"/>
      <c r="O153" s="1794"/>
      <c r="P153" s="1794"/>
      <c r="Q153" s="1794"/>
      <c r="R153" s="1794"/>
      <c r="S153" s="1794"/>
      <c r="T153" s="1794"/>
      <c r="U153" s="1794"/>
      <c r="V153" s="1794"/>
      <c r="W153" s="1794"/>
      <c r="X153" s="1794"/>
      <c r="Y153" s="1794"/>
      <c r="Z153" s="1794"/>
    </row>
    <row r="154" spans="2:26">
      <c r="B154" s="1794"/>
      <c r="C154" s="1794"/>
      <c r="D154" s="1794"/>
      <c r="E154" s="1794"/>
      <c r="F154" s="1794"/>
      <c r="G154" s="1794"/>
      <c r="H154" s="1794"/>
      <c r="I154" s="1794"/>
      <c r="J154" s="1794"/>
      <c r="K154" s="1794"/>
      <c r="L154" s="1794"/>
      <c r="M154" s="1794"/>
      <c r="N154" s="1794"/>
      <c r="O154" s="1794"/>
      <c r="P154" s="1794"/>
      <c r="Q154" s="1794"/>
      <c r="R154" s="1794"/>
      <c r="S154" s="1794"/>
      <c r="T154" s="1794"/>
      <c r="U154" s="1794"/>
      <c r="V154" s="1794"/>
      <c r="W154" s="1794"/>
      <c r="X154" s="1794"/>
      <c r="Y154" s="1794"/>
      <c r="Z154" s="1794"/>
    </row>
    <row r="155" spans="2:26">
      <c r="B155" s="1794"/>
      <c r="C155" s="1794"/>
      <c r="D155" s="1794"/>
      <c r="E155" s="1794"/>
      <c r="F155" s="1794"/>
      <c r="G155" s="1794"/>
      <c r="H155" s="1794"/>
      <c r="I155" s="1794"/>
      <c r="J155" s="1794"/>
      <c r="K155" s="1794"/>
      <c r="L155" s="1794"/>
      <c r="M155" s="1794"/>
      <c r="N155" s="1794"/>
      <c r="O155" s="1794"/>
      <c r="P155" s="1794"/>
      <c r="Q155" s="1794"/>
      <c r="R155" s="1794"/>
      <c r="S155" s="1794"/>
      <c r="T155" s="1794"/>
      <c r="U155" s="1794"/>
      <c r="V155" s="1794"/>
      <c r="W155" s="1794"/>
      <c r="X155" s="1794"/>
      <c r="Y155" s="1794"/>
      <c r="Z155" s="1794"/>
    </row>
    <row r="156" spans="2:26">
      <c r="B156" s="1794"/>
      <c r="C156" s="1794"/>
      <c r="D156" s="1794"/>
      <c r="E156" s="1794"/>
      <c r="F156" s="1794"/>
      <c r="G156" s="1794"/>
      <c r="H156" s="1794"/>
      <c r="I156" s="1794"/>
      <c r="J156" s="1794"/>
      <c r="K156" s="1794"/>
      <c r="L156" s="1794"/>
      <c r="M156" s="1794"/>
      <c r="N156" s="1794"/>
      <c r="O156" s="1794"/>
      <c r="P156" s="1794"/>
      <c r="Q156" s="1794"/>
      <c r="R156" s="1794"/>
      <c r="S156" s="1794"/>
      <c r="T156" s="1794"/>
      <c r="U156" s="1794"/>
      <c r="V156" s="1794"/>
      <c r="W156" s="1794"/>
      <c r="X156" s="1794"/>
      <c r="Y156" s="1794"/>
      <c r="Z156" s="1794"/>
    </row>
    <row r="157" spans="2:26">
      <c r="B157" s="1794"/>
      <c r="C157" s="1794"/>
      <c r="D157" s="1794"/>
      <c r="E157" s="1794"/>
      <c r="F157" s="1794"/>
      <c r="G157" s="1794"/>
      <c r="H157" s="1794"/>
      <c r="I157" s="1794"/>
      <c r="J157" s="1794"/>
      <c r="K157" s="1794"/>
      <c r="L157" s="1794"/>
      <c r="M157" s="1794"/>
      <c r="N157" s="1794"/>
      <c r="O157" s="1794"/>
      <c r="P157" s="1794"/>
      <c r="Q157" s="1794"/>
      <c r="R157" s="1794"/>
      <c r="S157" s="1794"/>
      <c r="T157" s="1794"/>
      <c r="U157" s="1794"/>
      <c r="V157" s="1794"/>
      <c r="W157" s="1794"/>
      <c r="X157" s="1794"/>
      <c r="Y157" s="1794"/>
      <c r="Z157" s="1794"/>
    </row>
    <row r="158" spans="2:26">
      <c r="B158" s="1794"/>
      <c r="C158" s="1794"/>
      <c r="D158" s="1794"/>
      <c r="E158" s="1794"/>
      <c r="F158" s="1794"/>
      <c r="G158" s="1794"/>
      <c r="H158" s="1794"/>
      <c r="I158" s="1794"/>
      <c r="J158" s="1794"/>
      <c r="K158" s="1794"/>
      <c r="L158" s="1794"/>
      <c r="M158" s="1794"/>
      <c r="N158" s="1794"/>
      <c r="O158" s="1794"/>
      <c r="P158" s="1794"/>
      <c r="Q158" s="1794"/>
      <c r="R158" s="1794"/>
      <c r="S158" s="1794"/>
      <c r="T158" s="1794"/>
      <c r="U158" s="1794"/>
      <c r="V158" s="1794"/>
      <c r="W158" s="1794"/>
      <c r="X158" s="1794"/>
      <c r="Y158" s="1794"/>
      <c r="Z158" s="1794"/>
    </row>
    <row r="159" spans="2:26">
      <c r="B159" s="1794"/>
      <c r="C159" s="1794"/>
      <c r="D159" s="1794"/>
      <c r="E159" s="1794"/>
      <c r="F159" s="1794"/>
      <c r="G159" s="1794"/>
      <c r="H159" s="1794"/>
      <c r="I159" s="1794"/>
      <c r="J159" s="1794"/>
      <c r="K159" s="1794"/>
      <c r="L159" s="1794"/>
      <c r="M159" s="1794"/>
      <c r="N159" s="1794"/>
      <c r="O159" s="1794"/>
      <c r="P159" s="1794"/>
      <c r="Q159" s="1794"/>
      <c r="R159" s="1794"/>
      <c r="S159" s="1794"/>
      <c r="T159" s="1794"/>
      <c r="U159" s="1794"/>
      <c r="V159" s="1794"/>
      <c r="W159" s="1794"/>
      <c r="X159" s="1794"/>
      <c r="Y159" s="1794"/>
      <c r="Z159" s="1794"/>
    </row>
    <row r="160" spans="2:26">
      <c r="B160" s="1794"/>
      <c r="C160" s="1794"/>
      <c r="D160" s="1794"/>
      <c r="E160" s="1794"/>
      <c r="F160" s="1794"/>
      <c r="G160" s="1794"/>
      <c r="H160" s="1794"/>
      <c r="I160" s="1794"/>
      <c r="J160" s="1794"/>
      <c r="K160" s="1794"/>
      <c r="L160" s="1794"/>
      <c r="M160" s="1794"/>
      <c r="N160" s="1794"/>
      <c r="O160" s="1794"/>
      <c r="P160" s="1794"/>
      <c r="Q160" s="1794"/>
      <c r="R160" s="1794"/>
      <c r="S160" s="1794"/>
      <c r="T160" s="1794"/>
      <c r="U160" s="1794"/>
      <c r="V160" s="1794"/>
      <c r="W160" s="1794"/>
      <c r="X160" s="1794"/>
      <c r="Y160" s="1794"/>
      <c r="Z160" s="1794"/>
    </row>
    <row r="161" spans="2:26">
      <c r="B161" s="1794"/>
      <c r="C161" s="1794"/>
      <c r="D161" s="1794"/>
      <c r="E161" s="1794"/>
      <c r="F161" s="1794"/>
      <c r="G161" s="1794"/>
      <c r="H161" s="1794"/>
      <c r="I161" s="1794"/>
      <c r="J161" s="1794"/>
      <c r="K161" s="1794"/>
      <c r="L161" s="1794"/>
      <c r="M161" s="1794"/>
      <c r="N161" s="1794"/>
      <c r="O161" s="1794"/>
      <c r="P161" s="1794"/>
      <c r="Q161" s="1794"/>
      <c r="R161" s="1794"/>
      <c r="S161" s="1794"/>
      <c r="T161" s="1794"/>
      <c r="U161" s="1794"/>
      <c r="V161" s="1794"/>
      <c r="W161" s="1794"/>
      <c r="X161" s="1794"/>
      <c r="Y161" s="1794"/>
      <c r="Z161" s="1794"/>
    </row>
    <row r="162" spans="2:26">
      <c r="B162" s="1794"/>
      <c r="C162" s="1794"/>
      <c r="D162" s="1794"/>
      <c r="E162" s="1794"/>
      <c r="F162" s="1794"/>
      <c r="G162" s="1794"/>
      <c r="H162" s="1794"/>
      <c r="I162" s="1794"/>
      <c r="J162" s="1794"/>
      <c r="K162" s="1794"/>
      <c r="L162" s="1794"/>
      <c r="M162" s="1794"/>
      <c r="N162" s="1794"/>
      <c r="O162" s="1794"/>
      <c r="P162" s="1794"/>
      <c r="Q162" s="1794"/>
      <c r="R162" s="1794"/>
      <c r="S162" s="1794"/>
      <c r="T162" s="1794"/>
      <c r="U162" s="1794"/>
      <c r="V162" s="1794"/>
      <c r="W162" s="1794"/>
      <c r="X162" s="1794"/>
      <c r="Y162" s="1794"/>
      <c r="Z162" s="1794"/>
    </row>
    <row r="163" spans="2:26">
      <c r="B163" s="1794"/>
      <c r="C163" s="1794"/>
      <c r="D163" s="1794"/>
      <c r="E163" s="1794"/>
      <c r="F163" s="1794"/>
      <c r="G163" s="1794"/>
      <c r="H163" s="1794"/>
      <c r="I163" s="1794"/>
      <c r="J163" s="1794"/>
      <c r="K163" s="1794"/>
      <c r="L163" s="1794"/>
      <c r="M163" s="1794"/>
      <c r="N163" s="1794"/>
      <c r="O163" s="1794"/>
      <c r="P163" s="1794"/>
      <c r="Q163" s="1794"/>
      <c r="R163" s="1794"/>
      <c r="S163" s="1794"/>
      <c r="T163" s="1794"/>
      <c r="U163" s="1794"/>
      <c r="V163" s="1794"/>
      <c r="W163" s="1794"/>
      <c r="X163" s="1794"/>
      <c r="Y163" s="1794"/>
      <c r="Z163" s="1794"/>
    </row>
    <row r="164" spans="2:26">
      <c r="B164" s="1794"/>
      <c r="C164" s="1794"/>
      <c r="D164" s="1794"/>
      <c r="E164" s="1794"/>
      <c r="F164" s="1794"/>
      <c r="G164" s="1794"/>
      <c r="H164" s="1794"/>
      <c r="I164" s="1794"/>
      <c r="J164" s="1794"/>
      <c r="K164" s="1794"/>
      <c r="L164" s="1794"/>
      <c r="M164" s="1794"/>
      <c r="N164" s="1794"/>
      <c r="O164" s="1794"/>
      <c r="P164" s="1794"/>
      <c r="Q164" s="1794"/>
      <c r="R164" s="1794"/>
      <c r="S164" s="1794"/>
      <c r="T164" s="1794"/>
      <c r="U164" s="1794"/>
      <c r="V164" s="1794"/>
      <c r="W164" s="1794"/>
      <c r="X164" s="1794"/>
      <c r="Y164" s="1794"/>
      <c r="Z164" s="1794"/>
    </row>
    <row r="165" spans="2:26">
      <c r="B165" s="1794"/>
      <c r="C165" s="1794"/>
      <c r="D165" s="1794"/>
      <c r="E165" s="1794"/>
      <c r="F165" s="1794"/>
      <c r="G165" s="1794"/>
      <c r="H165" s="1794"/>
      <c r="I165" s="1794"/>
      <c r="J165" s="1794"/>
      <c r="K165" s="1794"/>
      <c r="L165" s="1794"/>
      <c r="M165" s="1794"/>
      <c r="N165" s="1794"/>
      <c r="O165" s="1794"/>
      <c r="P165" s="1794"/>
      <c r="Q165" s="1794"/>
      <c r="R165" s="1794"/>
      <c r="S165" s="1794"/>
      <c r="T165" s="1794"/>
      <c r="U165" s="1794"/>
      <c r="V165" s="1794"/>
      <c r="W165" s="1794"/>
      <c r="X165" s="1794"/>
      <c r="Y165" s="1794"/>
      <c r="Z165" s="1794"/>
    </row>
    <row r="166" spans="2:26">
      <c r="B166" s="1794"/>
      <c r="C166" s="1794"/>
      <c r="D166" s="1794"/>
      <c r="E166" s="1794"/>
      <c r="F166" s="1794"/>
      <c r="G166" s="1794"/>
      <c r="H166" s="1794"/>
      <c r="I166" s="1794"/>
      <c r="J166" s="1794"/>
      <c r="K166" s="1794"/>
      <c r="L166" s="1794"/>
      <c r="M166" s="1794"/>
      <c r="N166" s="1794"/>
      <c r="O166" s="1794"/>
      <c r="P166" s="1794"/>
      <c r="Q166" s="1794"/>
      <c r="R166" s="1794"/>
      <c r="S166" s="1794"/>
      <c r="T166" s="1794"/>
      <c r="U166" s="1794"/>
      <c r="V166" s="1794"/>
      <c r="W166" s="1794"/>
      <c r="X166" s="1794"/>
      <c r="Y166" s="1794"/>
      <c r="Z166" s="1794"/>
    </row>
    <row r="167" spans="2:26">
      <c r="B167" s="1794"/>
      <c r="C167" s="1794"/>
      <c r="D167" s="1794"/>
      <c r="E167" s="1794"/>
      <c r="F167" s="1794"/>
      <c r="G167" s="1794"/>
      <c r="H167" s="1794"/>
      <c r="I167" s="1794"/>
      <c r="J167" s="1794"/>
      <c r="K167" s="1794"/>
      <c r="L167" s="1794"/>
      <c r="M167" s="1794"/>
      <c r="N167" s="1794"/>
      <c r="O167" s="1794"/>
      <c r="P167" s="1794"/>
      <c r="Q167" s="1794"/>
      <c r="R167" s="1794"/>
      <c r="S167" s="1794"/>
      <c r="T167" s="1794"/>
      <c r="U167" s="1794"/>
      <c r="V167" s="1794"/>
      <c r="W167" s="1794"/>
      <c r="X167" s="1794"/>
      <c r="Y167" s="1794"/>
      <c r="Z167" s="1794"/>
    </row>
    <row r="168" spans="2:26">
      <c r="B168" s="1794"/>
      <c r="C168" s="1794"/>
      <c r="D168" s="1794"/>
      <c r="E168" s="1794"/>
      <c r="F168" s="1794"/>
      <c r="G168" s="1794"/>
      <c r="H168" s="1794"/>
      <c r="I168" s="1794"/>
      <c r="J168" s="1794"/>
      <c r="K168" s="1794"/>
      <c r="L168" s="1794"/>
      <c r="M168" s="1794"/>
      <c r="N168" s="1794"/>
      <c r="O168" s="1794"/>
      <c r="P168" s="1794"/>
      <c r="Q168" s="1794"/>
      <c r="R168" s="1794"/>
      <c r="S168" s="1794"/>
      <c r="T168" s="1794"/>
      <c r="U168" s="1794"/>
      <c r="V168" s="1794"/>
      <c r="W168" s="1794"/>
      <c r="X168" s="1794"/>
      <c r="Y168" s="1794"/>
      <c r="Z168" s="1794"/>
    </row>
    <row r="169" spans="2:26">
      <c r="B169" s="1794"/>
      <c r="C169" s="1794"/>
      <c r="D169" s="1794"/>
      <c r="E169" s="1794"/>
      <c r="F169" s="1794"/>
      <c r="G169" s="1794"/>
      <c r="H169" s="1794"/>
      <c r="I169" s="1794"/>
      <c r="J169" s="1794"/>
      <c r="K169" s="1794"/>
      <c r="L169" s="1794"/>
      <c r="M169" s="1794"/>
      <c r="N169" s="1794"/>
      <c r="O169" s="1794"/>
      <c r="P169" s="1794"/>
      <c r="Q169" s="1794"/>
      <c r="R169" s="1794"/>
      <c r="S169" s="1794"/>
      <c r="T169" s="1794"/>
      <c r="U169" s="1794"/>
      <c r="V169" s="1794"/>
      <c r="W169" s="1794"/>
      <c r="X169" s="1794"/>
      <c r="Y169" s="1794"/>
      <c r="Z169" s="1794"/>
    </row>
    <row r="170" spans="2:26">
      <c r="B170" s="1794"/>
      <c r="C170" s="1794"/>
      <c r="D170" s="1794"/>
      <c r="E170" s="1794"/>
      <c r="F170" s="1794"/>
      <c r="G170" s="1794"/>
      <c r="H170" s="1794"/>
      <c r="I170" s="1794"/>
      <c r="J170" s="1794"/>
      <c r="K170" s="1794"/>
      <c r="L170" s="1794"/>
      <c r="M170" s="1794"/>
      <c r="N170" s="1794"/>
      <c r="O170" s="1794"/>
      <c r="P170" s="1794"/>
      <c r="Q170" s="1794"/>
      <c r="R170" s="1794"/>
      <c r="S170" s="1794"/>
      <c r="T170" s="1794"/>
      <c r="U170" s="1794"/>
      <c r="V170" s="1794"/>
      <c r="W170" s="1794"/>
      <c r="X170" s="1794"/>
      <c r="Y170" s="1794"/>
      <c r="Z170" s="1794"/>
    </row>
    <row r="171" spans="2:26">
      <c r="B171" s="1794"/>
      <c r="C171" s="1794"/>
      <c r="D171" s="1794"/>
      <c r="E171" s="1794"/>
      <c r="F171" s="1794"/>
      <c r="G171" s="1794"/>
      <c r="H171" s="1794"/>
      <c r="I171" s="1794"/>
      <c r="J171" s="1794"/>
      <c r="K171" s="1794"/>
      <c r="L171" s="1794"/>
      <c r="M171" s="1794"/>
      <c r="N171" s="1794"/>
      <c r="O171" s="1794"/>
      <c r="P171" s="1794"/>
      <c r="Q171" s="1794"/>
      <c r="R171" s="1794"/>
      <c r="S171" s="1794"/>
      <c r="T171" s="1794"/>
      <c r="U171" s="1794"/>
      <c r="V171" s="1794"/>
      <c r="W171" s="1794"/>
      <c r="X171" s="1794"/>
      <c r="Y171" s="1794"/>
      <c r="Z171" s="1794"/>
    </row>
    <row r="172" spans="2:26">
      <c r="B172" s="1794"/>
      <c r="C172" s="1794"/>
      <c r="D172" s="1794"/>
      <c r="E172" s="1794"/>
      <c r="F172" s="1794"/>
      <c r="G172" s="1794"/>
      <c r="H172" s="1794"/>
      <c r="I172" s="1794"/>
      <c r="J172" s="1794"/>
      <c r="K172" s="1794"/>
      <c r="L172" s="1794"/>
      <c r="M172" s="1794"/>
      <c r="N172" s="1794"/>
      <c r="O172" s="1794"/>
      <c r="P172" s="1794"/>
      <c r="Q172" s="1794"/>
      <c r="R172" s="1794"/>
      <c r="S172" s="1794"/>
      <c r="T172" s="1794"/>
      <c r="U172" s="1794"/>
      <c r="V172" s="1794"/>
      <c r="W172" s="1794"/>
      <c r="X172" s="1794"/>
      <c r="Y172" s="1794"/>
      <c r="Z172" s="1794"/>
    </row>
    <row r="173" spans="2:26">
      <c r="B173" s="1794"/>
      <c r="C173" s="1794"/>
      <c r="D173" s="1794"/>
      <c r="E173" s="1794"/>
      <c r="F173" s="1794"/>
      <c r="G173" s="1794"/>
      <c r="H173" s="1794"/>
      <c r="I173" s="1794"/>
      <c r="J173" s="1794"/>
      <c r="K173" s="1794"/>
      <c r="L173" s="1794"/>
      <c r="M173" s="1794"/>
      <c r="N173" s="1794"/>
      <c r="O173" s="1794"/>
      <c r="P173" s="1794"/>
      <c r="Q173" s="1794"/>
      <c r="R173" s="1794"/>
      <c r="S173" s="1794"/>
      <c r="T173" s="1794"/>
      <c r="U173" s="1794"/>
      <c r="V173" s="1794"/>
      <c r="W173" s="1794"/>
      <c r="X173" s="1794"/>
      <c r="Y173" s="1794"/>
      <c r="Z173" s="1794"/>
    </row>
    <row r="174" spans="2:26">
      <c r="B174" s="1794"/>
      <c r="C174" s="1794"/>
      <c r="D174" s="1794"/>
      <c r="E174" s="1794"/>
      <c r="F174" s="1794"/>
      <c r="G174" s="1794"/>
      <c r="H174" s="1794"/>
      <c r="I174" s="1794"/>
      <c r="J174" s="1794"/>
      <c r="K174" s="1794"/>
      <c r="L174" s="1794"/>
      <c r="M174" s="1794"/>
      <c r="N174" s="1794"/>
      <c r="O174" s="1794"/>
      <c r="P174" s="1794"/>
      <c r="Q174" s="1794"/>
      <c r="R174" s="1794"/>
      <c r="S174" s="1794"/>
      <c r="T174" s="1794"/>
      <c r="U174" s="1794"/>
      <c r="V174" s="1794"/>
      <c r="W174" s="1794"/>
      <c r="X174" s="1794"/>
      <c r="Y174" s="1794"/>
      <c r="Z174" s="1794"/>
    </row>
    <row r="175" spans="2:26">
      <c r="B175" s="1794"/>
      <c r="C175" s="1794"/>
      <c r="D175" s="1794"/>
      <c r="E175" s="1794"/>
      <c r="F175" s="1794"/>
      <c r="G175" s="1794"/>
      <c r="H175" s="1794"/>
      <c r="I175" s="1794"/>
      <c r="J175" s="1794"/>
      <c r="K175" s="1794"/>
      <c r="L175" s="1794"/>
      <c r="M175" s="1794"/>
      <c r="N175" s="1794"/>
      <c r="O175" s="1794"/>
      <c r="P175" s="1794"/>
      <c r="Q175" s="1794"/>
      <c r="R175" s="1794"/>
      <c r="S175" s="1794"/>
      <c r="T175" s="1794"/>
      <c r="U175" s="1794"/>
      <c r="V175" s="1794"/>
      <c r="W175" s="1794"/>
      <c r="X175" s="1794"/>
      <c r="Y175" s="1794"/>
      <c r="Z175" s="1794"/>
    </row>
    <row r="176" spans="2:26">
      <c r="B176" s="1794"/>
      <c r="C176" s="1794"/>
      <c r="D176" s="1794"/>
      <c r="E176" s="1794"/>
      <c r="F176" s="1794"/>
      <c r="G176" s="1794"/>
      <c r="H176" s="1794"/>
      <c r="I176" s="1794"/>
      <c r="J176" s="1794"/>
      <c r="K176" s="1794"/>
      <c r="L176" s="1794"/>
      <c r="M176" s="1794"/>
      <c r="N176" s="1794"/>
      <c r="O176" s="1794"/>
      <c r="P176" s="1794"/>
      <c r="Q176" s="1794"/>
      <c r="R176" s="1794"/>
      <c r="S176" s="1794"/>
      <c r="T176" s="1794"/>
      <c r="U176" s="1794"/>
      <c r="V176" s="1794"/>
      <c r="W176" s="1794"/>
      <c r="X176" s="1794"/>
      <c r="Y176" s="1794"/>
      <c r="Z176" s="1794"/>
    </row>
    <row r="177" spans="2:26">
      <c r="B177" s="1794"/>
      <c r="C177" s="1794"/>
      <c r="D177" s="1794"/>
      <c r="E177" s="1794"/>
      <c r="F177" s="1794"/>
      <c r="G177" s="1794"/>
      <c r="H177" s="1794"/>
      <c r="I177" s="1794"/>
      <c r="J177" s="1794"/>
      <c r="K177" s="1794"/>
      <c r="L177" s="1794"/>
      <c r="M177" s="1794"/>
      <c r="N177" s="1794"/>
      <c r="O177" s="1794"/>
      <c r="P177" s="1794"/>
      <c r="Q177" s="1794"/>
      <c r="R177" s="1794"/>
      <c r="S177" s="1794"/>
      <c r="T177" s="1794"/>
      <c r="U177" s="1794"/>
      <c r="V177" s="1794"/>
      <c r="W177" s="1794"/>
      <c r="X177" s="1794"/>
      <c r="Y177" s="1794"/>
      <c r="Z177" s="1794"/>
    </row>
    <row r="178" spans="2:26">
      <c r="B178" s="1794"/>
      <c r="C178" s="1794"/>
      <c r="D178" s="1794"/>
      <c r="E178" s="1794"/>
      <c r="F178" s="1794"/>
      <c r="G178" s="1794"/>
      <c r="H178" s="1794"/>
      <c r="I178" s="1794"/>
      <c r="J178" s="1794"/>
      <c r="K178" s="1794"/>
      <c r="L178" s="1794"/>
      <c r="M178" s="1794"/>
      <c r="N178" s="1794"/>
      <c r="O178" s="1794"/>
      <c r="P178" s="1794"/>
      <c r="Q178" s="1794"/>
      <c r="R178" s="1794"/>
      <c r="S178" s="1794"/>
      <c r="T178" s="1794"/>
      <c r="U178" s="1794"/>
      <c r="V178" s="1794"/>
      <c r="W178" s="1794"/>
      <c r="X178" s="1794"/>
      <c r="Y178" s="1794"/>
      <c r="Z178" s="1794"/>
    </row>
    <row r="179" spans="2:26">
      <c r="B179" s="1794"/>
      <c r="C179" s="1794"/>
      <c r="D179" s="1794"/>
      <c r="E179" s="1794"/>
      <c r="F179" s="1794"/>
      <c r="G179" s="1794"/>
      <c r="H179" s="1794"/>
      <c r="I179" s="1794"/>
      <c r="J179" s="1794"/>
      <c r="K179" s="1794"/>
      <c r="L179" s="1794"/>
      <c r="M179" s="1794"/>
      <c r="N179" s="1794"/>
      <c r="O179" s="1794"/>
      <c r="P179" s="1794"/>
      <c r="Q179" s="1794"/>
      <c r="R179" s="1794"/>
      <c r="S179" s="1794"/>
      <c r="T179" s="1794"/>
      <c r="U179" s="1794"/>
      <c r="V179" s="1794"/>
      <c r="W179" s="1794"/>
      <c r="X179" s="1794"/>
      <c r="Y179" s="1794"/>
      <c r="Z179" s="1794"/>
    </row>
    <row r="180" spans="2:26">
      <c r="B180" s="1794"/>
      <c r="C180" s="1794"/>
      <c r="D180" s="1794"/>
      <c r="E180" s="1794"/>
      <c r="F180" s="1794"/>
      <c r="G180" s="1794"/>
      <c r="H180" s="1794"/>
      <c r="I180" s="1794"/>
      <c r="J180" s="1794"/>
      <c r="K180" s="1794"/>
      <c r="L180" s="1794"/>
      <c r="M180" s="1794"/>
      <c r="N180" s="1794"/>
      <c r="O180" s="1794"/>
      <c r="P180" s="1794"/>
      <c r="Q180" s="1794"/>
      <c r="R180" s="1794"/>
      <c r="S180" s="1794"/>
      <c r="T180" s="1794"/>
      <c r="U180" s="1794"/>
      <c r="V180" s="1794"/>
      <c r="W180" s="1794"/>
      <c r="X180" s="1794"/>
      <c r="Y180" s="1794"/>
      <c r="Z180" s="1794"/>
    </row>
    <row r="181" spans="2:26">
      <c r="B181" s="1794"/>
      <c r="C181" s="1794"/>
      <c r="D181" s="1794"/>
      <c r="E181" s="1794"/>
      <c r="F181" s="1794"/>
      <c r="G181" s="1794"/>
      <c r="H181" s="1794"/>
      <c r="I181" s="1794"/>
      <c r="J181" s="1794"/>
      <c r="K181" s="1794"/>
      <c r="L181" s="1794"/>
      <c r="M181" s="1794"/>
      <c r="N181" s="1794"/>
      <c r="O181" s="1794"/>
      <c r="P181" s="1794"/>
      <c r="Q181" s="1794"/>
      <c r="R181" s="1794"/>
      <c r="S181" s="1794"/>
      <c r="T181" s="1794"/>
      <c r="U181" s="1794"/>
      <c r="V181" s="1794"/>
      <c r="W181" s="1794"/>
      <c r="X181" s="1794"/>
      <c r="Y181" s="1794"/>
      <c r="Z181" s="1794"/>
    </row>
    <row r="182" spans="2:26">
      <c r="B182" s="1794"/>
      <c r="C182" s="1794"/>
      <c r="D182" s="1794"/>
      <c r="E182" s="1794"/>
      <c r="F182" s="1794"/>
      <c r="G182" s="1794"/>
      <c r="H182" s="1794"/>
      <c r="I182" s="1794"/>
      <c r="J182" s="1794"/>
      <c r="K182" s="1794"/>
      <c r="L182" s="1794"/>
      <c r="M182" s="1794"/>
      <c r="N182" s="1794"/>
      <c r="O182" s="1794"/>
      <c r="P182" s="1794"/>
      <c r="Q182" s="1794"/>
      <c r="R182" s="1794"/>
      <c r="S182" s="1794"/>
      <c r="T182" s="1794"/>
      <c r="U182" s="1794"/>
      <c r="V182" s="1794"/>
      <c r="W182" s="1794"/>
      <c r="X182" s="1794"/>
      <c r="Y182" s="1794"/>
      <c r="Z182" s="1794"/>
    </row>
    <row r="183" spans="2:26">
      <c r="B183" s="1794"/>
      <c r="C183" s="1794"/>
      <c r="D183" s="1794"/>
      <c r="E183" s="1794"/>
      <c r="F183" s="1794"/>
      <c r="G183" s="1794"/>
      <c r="H183" s="1794"/>
      <c r="I183" s="1794"/>
      <c r="J183" s="1794"/>
      <c r="K183" s="1794"/>
      <c r="L183" s="1794"/>
      <c r="M183" s="1794"/>
      <c r="N183" s="1794"/>
      <c r="O183" s="1794"/>
      <c r="P183" s="1794"/>
      <c r="Q183" s="1794"/>
      <c r="R183" s="1794"/>
      <c r="S183" s="1794"/>
      <c r="T183" s="1794"/>
      <c r="U183" s="1794"/>
      <c r="V183" s="1794"/>
      <c r="W183" s="1794"/>
      <c r="X183" s="1794"/>
      <c r="Y183" s="1794"/>
      <c r="Z183" s="1794"/>
    </row>
    <row r="184" spans="2:26">
      <c r="B184" s="1794"/>
      <c r="C184" s="1794"/>
      <c r="D184" s="1794"/>
      <c r="E184" s="1794"/>
      <c r="F184" s="1794"/>
      <c r="G184" s="1794"/>
      <c r="H184" s="1794"/>
      <c r="I184" s="1794"/>
      <c r="J184" s="1794"/>
      <c r="K184" s="1794"/>
      <c r="L184" s="1794"/>
      <c r="M184" s="1794"/>
      <c r="N184" s="1794"/>
      <c r="O184" s="1794"/>
      <c r="P184" s="1794"/>
      <c r="Q184" s="1794"/>
      <c r="R184" s="1794"/>
      <c r="S184" s="1794"/>
      <c r="T184" s="1794"/>
      <c r="U184" s="1794"/>
      <c r="V184" s="1794"/>
      <c r="W184" s="1794"/>
      <c r="X184" s="1794"/>
      <c r="Y184" s="1794"/>
      <c r="Z184" s="1794"/>
    </row>
    <row r="185" spans="2:26">
      <c r="B185" s="1794"/>
      <c r="C185" s="1794"/>
      <c r="D185" s="1794"/>
      <c r="E185" s="1794"/>
      <c r="F185" s="1794"/>
      <c r="G185" s="1794"/>
      <c r="H185" s="1794"/>
      <c r="I185" s="1794"/>
      <c r="J185" s="1794"/>
      <c r="K185" s="1794"/>
      <c r="L185" s="1794"/>
      <c r="M185" s="1794"/>
      <c r="N185" s="1794"/>
      <c r="O185" s="1794"/>
      <c r="P185" s="1794"/>
      <c r="Q185" s="1794"/>
      <c r="R185" s="1794"/>
      <c r="S185" s="1794"/>
      <c r="T185" s="1794"/>
      <c r="U185" s="1794"/>
      <c r="V185" s="1794"/>
      <c r="W185" s="1794"/>
      <c r="X185" s="1794"/>
      <c r="Y185" s="1794"/>
      <c r="Z185" s="1794"/>
    </row>
    <row r="186" spans="2:26">
      <c r="B186" s="1794"/>
      <c r="C186" s="1794"/>
      <c r="D186" s="1794"/>
      <c r="E186" s="1794"/>
      <c r="F186" s="1794"/>
      <c r="G186" s="1794"/>
      <c r="H186" s="1794"/>
      <c r="I186" s="1794"/>
      <c r="J186" s="1794"/>
      <c r="K186" s="1794"/>
      <c r="L186" s="1794"/>
      <c r="M186" s="1794"/>
      <c r="N186" s="1794"/>
      <c r="O186" s="1794"/>
      <c r="P186" s="1794"/>
      <c r="Q186" s="1794"/>
      <c r="R186" s="1794"/>
      <c r="S186" s="1794"/>
      <c r="T186" s="1794"/>
      <c r="U186" s="1794"/>
      <c r="V186" s="1794"/>
      <c r="W186" s="1794"/>
      <c r="X186" s="1794"/>
      <c r="Y186" s="1794"/>
      <c r="Z186" s="1794"/>
    </row>
    <row r="187" spans="2:26">
      <c r="B187" s="1794"/>
      <c r="C187" s="1794"/>
      <c r="D187" s="1794"/>
      <c r="E187" s="1794"/>
      <c r="F187" s="1794"/>
      <c r="G187" s="1794"/>
      <c r="H187" s="1794"/>
      <c r="I187" s="1794"/>
      <c r="J187" s="1794"/>
      <c r="K187" s="1794"/>
      <c r="L187" s="1794"/>
      <c r="M187" s="1794"/>
      <c r="N187" s="1794"/>
      <c r="O187" s="1794"/>
      <c r="P187" s="1794"/>
      <c r="Q187" s="1794"/>
      <c r="R187" s="1794"/>
      <c r="S187" s="1794"/>
      <c r="T187" s="1794"/>
      <c r="U187" s="1794"/>
      <c r="V187" s="1794"/>
      <c r="W187" s="1794"/>
      <c r="X187" s="1794"/>
      <c r="Y187" s="1794"/>
      <c r="Z187" s="1794"/>
    </row>
    <row r="188" spans="2:26">
      <c r="B188" s="1794"/>
      <c r="C188" s="1794"/>
      <c r="D188" s="1794"/>
      <c r="E188" s="1794"/>
      <c r="F188" s="1794"/>
      <c r="G188" s="1794"/>
      <c r="H188" s="1794"/>
      <c r="I188" s="1794"/>
      <c r="J188" s="1794"/>
      <c r="K188" s="1794"/>
      <c r="L188" s="1794"/>
      <c r="M188" s="1794"/>
      <c r="N188" s="1794"/>
      <c r="O188" s="1794"/>
      <c r="P188" s="1794"/>
      <c r="Q188" s="1794"/>
      <c r="R188" s="1794"/>
      <c r="S188" s="1794"/>
      <c r="T188" s="1794"/>
      <c r="U188" s="1794"/>
      <c r="V188" s="1794"/>
      <c r="W188" s="1794"/>
      <c r="X188" s="1794"/>
      <c r="Y188" s="1794"/>
      <c r="Z188" s="1794"/>
    </row>
    <row r="189" spans="2:26">
      <c r="B189" s="1794"/>
      <c r="C189" s="1794"/>
      <c r="D189" s="1794"/>
      <c r="E189" s="1794"/>
      <c r="F189" s="1794"/>
      <c r="G189" s="1794"/>
      <c r="H189" s="1794"/>
      <c r="I189" s="1794"/>
      <c r="J189" s="1794"/>
      <c r="K189" s="1794"/>
      <c r="L189" s="1794"/>
      <c r="M189" s="1794"/>
      <c r="N189" s="1794"/>
      <c r="O189" s="1794"/>
      <c r="P189" s="1794"/>
      <c r="Q189" s="1794"/>
      <c r="R189" s="1794"/>
      <c r="S189" s="1794"/>
      <c r="T189" s="1794"/>
      <c r="U189" s="1794"/>
      <c r="V189" s="1794"/>
      <c r="W189" s="1794"/>
      <c r="X189" s="1794"/>
      <c r="Y189" s="1794"/>
      <c r="Z189" s="1794"/>
    </row>
    <row r="190" spans="2:26">
      <c r="B190" s="1794"/>
      <c r="C190" s="1794"/>
      <c r="D190" s="1794"/>
      <c r="E190" s="1794"/>
      <c r="F190" s="1794"/>
      <c r="G190" s="1794"/>
      <c r="H190" s="1794"/>
      <c r="I190" s="1794"/>
      <c r="J190" s="1794"/>
      <c r="K190" s="1794"/>
      <c r="L190" s="1794"/>
      <c r="M190" s="1794"/>
      <c r="N190" s="1794"/>
      <c r="O190" s="1794"/>
      <c r="P190" s="1794"/>
      <c r="Q190" s="1794"/>
      <c r="R190" s="1794"/>
      <c r="S190" s="1794"/>
      <c r="T190" s="1794"/>
      <c r="U190" s="1794"/>
      <c r="V190" s="1794"/>
      <c r="W190" s="1794"/>
      <c r="X190" s="1794"/>
      <c r="Y190" s="1794"/>
      <c r="Z190" s="1794"/>
    </row>
    <row r="191" spans="2:26">
      <c r="B191" s="1794"/>
      <c r="C191" s="1794"/>
      <c r="D191" s="1794"/>
      <c r="E191" s="1794"/>
      <c r="F191" s="1794"/>
      <c r="G191" s="1794"/>
      <c r="H191" s="1794"/>
      <c r="I191" s="1794"/>
      <c r="J191" s="1794"/>
      <c r="K191" s="1794"/>
      <c r="L191" s="1794"/>
      <c r="M191" s="1794"/>
      <c r="N191" s="1794"/>
      <c r="O191" s="1794"/>
      <c r="P191" s="1794"/>
      <c r="Q191" s="1794"/>
      <c r="R191" s="1794"/>
      <c r="S191" s="1794"/>
      <c r="T191" s="1794"/>
      <c r="U191" s="1794"/>
      <c r="V191" s="1794"/>
      <c r="W191" s="1794"/>
      <c r="X191" s="1794"/>
      <c r="Y191" s="1794"/>
      <c r="Z191" s="1794"/>
    </row>
    <row r="192" spans="2:26">
      <c r="B192" s="1794"/>
      <c r="C192" s="1794"/>
      <c r="D192" s="1794"/>
      <c r="E192" s="1794"/>
      <c r="F192" s="1794"/>
      <c r="G192" s="1794"/>
      <c r="H192" s="1794"/>
      <c r="I192" s="1794"/>
      <c r="J192" s="1794"/>
      <c r="K192" s="1794"/>
      <c r="L192" s="1794"/>
      <c r="M192" s="1794"/>
      <c r="N192" s="1794"/>
      <c r="O192" s="1794"/>
      <c r="P192" s="1794"/>
      <c r="Q192" s="1794"/>
      <c r="R192" s="1794"/>
      <c r="S192" s="1794"/>
      <c r="T192" s="1794"/>
      <c r="U192" s="1794"/>
      <c r="V192" s="1794"/>
      <c r="W192" s="1794"/>
      <c r="X192" s="1794"/>
      <c r="Y192" s="1794"/>
      <c r="Z192" s="1794"/>
    </row>
    <row r="193" spans="2:26">
      <c r="B193" s="1794"/>
      <c r="C193" s="1794"/>
      <c r="D193" s="1794"/>
      <c r="E193" s="1794"/>
      <c r="F193" s="1794"/>
      <c r="G193" s="1794"/>
      <c r="H193" s="1794"/>
      <c r="I193" s="1794"/>
      <c r="J193" s="1794"/>
      <c r="K193" s="1794"/>
      <c r="L193" s="1794"/>
      <c r="M193" s="1794"/>
      <c r="N193" s="1794"/>
      <c r="O193" s="1794"/>
      <c r="P193" s="1794"/>
      <c r="Q193" s="1794"/>
      <c r="R193" s="1794"/>
      <c r="S193" s="1794"/>
      <c r="T193" s="1794"/>
      <c r="U193" s="1794"/>
      <c r="V193" s="1794"/>
      <c r="W193" s="1794"/>
      <c r="X193" s="1794"/>
      <c r="Y193" s="1794"/>
      <c r="Z193" s="1794"/>
    </row>
    <row r="194" spans="2:26">
      <c r="B194" s="1794"/>
      <c r="C194" s="1794"/>
      <c r="D194" s="1794"/>
      <c r="E194" s="1794"/>
      <c r="F194" s="1794"/>
      <c r="G194" s="1794"/>
      <c r="H194" s="1794"/>
      <c r="I194" s="1794"/>
      <c r="J194" s="1794"/>
      <c r="K194" s="1794"/>
      <c r="L194" s="1794"/>
      <c r="M194" s="1794"/>
      <c r="N194" s="1794"/>
      <c r="O194" s="1794"/>
      <c r="P194" s="1794"/>
      <c r="Q194" s="1794"/>
      <c r="R194" s="1794"/>
      <c r="S194" s="1794"/>
      <c r="T194" s="1794"/>
      <c r="U194" s="1794"/>
      <c r="V194" s="1794"/>
      <c r="W194" s="1794"/>
      <c r="X194" s="1794"/>
      <c r="Y194" s="1794"/>
      <c r="Z194" s="1794"/>
    </row>
    <row r="195" spans="2:26">
      <c r="B195" s="1794"/>
      <c r="C195" s="1794"/>
      <c r="D195" s="1794"/>
      <c r="E195" s="1794"/>
      <c r="F195" s="1794"/>
      <c r="G195" s="1794"/>
      <c r="H195" s="1794"/>
      <c r="I195" s="1794"/>
      <c r="J195" s="1794"/>
      <c r="K195" s="1794"/>
      <c r="L195" s="1794"/>
      <c r="M195" s="1794"/>
      <c r="N195" s="1794"/>
      <c r="O195" s="1794"/>
      <c r="P195" s="1794"/>
      <c r="Q195" s="1794"/>
      <c r="R195" s="1794"/>
      <c r="S195" s="1794"/>
      <c r="T195" s="1794"/>
      <c r="U195" s="1794"/>
      <c r="V195" s="1794"/>
      <c r="W195" s="1794"/>
      <c r="X195" s="1794"/>
      <c r="Y195" s="1794"/>
      <c r="Z195" s="1794"/>
    </row>
    <row r="196" spans="2:26">
      <c r="B196" s="1794"/>
      <c r="C196" s="1794"/>
      <c r="D196" s="1794"/>
      <c r="E196" s="1794"/>
      <c r="F196" s="1794"/>
      <c r="G196" s="1794"/>
      <c r="H196" s="1794"/>
      <c r="I196" s="1794"/>
      <c r="J196" s="1794"/>
      <c r="K196" s="1794"/>
      <c r="L196" s="1794"/>
      <c r="M196" s="1794"/>
      <c r="N196" s="1794"/>
      <c r="O196" s="1794"/>
      <c r="P196" s="1794"/>
      <c r="Q196" s="1794"/>
      <c r="R196" s="1794"/>
      <c r="S196" s="1794"/>
      <c r="T196" s="1794"/>
      <c r="U196" s="1794"/>
      <c r="V196" s="1794"/>
      <c r="W196" s="1794"/>
      <c r="X196" s="1794"/>
      <c r="Y196" s="1794"/>
      <c r="Z196" s="1794"/>
    </row>
    <row r="197" spans="2:26">
      <c r="B197" s="1794"/>
      <c r="C197" s="1794"/>
      <c r="D197" s="1794"/>
      <c r="E197" s="1794"/>
      <c r="F197" s="1794"/>
      <c r="G197" s="1794"/>
      <c r="H197" s="1794"/>
      <c r="I197" s="1794"/>
      <c r="J197" s="1794"/>
      <c r="K197" s="1794"/>
      <c r="L197" s="1794"/>
      <c r="M197" s="1794"/>
      <c r="N197" s="1794"/>
      <c r="O197" s="1794"/>
      <c r="P197" s="1794"/>
      <c r="Q197" s="1794"/>
      <c r="R197" s="1794"/>
      <c r="S197" s="1794"/>
      <c r="T197" s="1794"/>
      <c r="U197" s="1794"/>
      <c r="V197" s="1794"/>
      <c r="W197" s="1794"/>
      <c r="X197" s="1794"/>
      <c r="Y197" s="1794"/>
      <c r="Z197" s="1794"/>
    </row>
    <row r="198" spans="2:26">
      <c r="B198" s="1794"/>
      <c r="C198" s="1794"/>
      <c r="D198" s="1794"/>
      <c r="E198" s="1794"/>
      <c r="F198" s="1794"/>
      <c r="G198" s="1794"/>
      <c r="H198" s="1794"/>
      <c r="I198" s="1794"/>
      <c r="J198" s="1794"/>
      <c r="K198" s="1794"/>
      <c r="L198" s="1794"/>
      <c r="M198" s="1794"/>
      <c r="N198" s="1794"/>
      <c r="O198" s="1794"/>
      <c r="P198" s="1794"/>
      <c r="Q198" s="1794"/>
      <c r="R198" s="1794"/>
      <c r="S198" s="1794"/>
      <c r="T198" s="1794"/>
      <c r="U198" s="1794"/>
      <c r="V198" s="1794"/>
      <c r="W198" s="1794"/>
      <c r="X198" s="1794"/>
      <c r="Y198" s="1794"/>
      <c r="Z198" s="1794"/>
    </row>
    <row r="199" spans="2:26">
      <c r="B199" s="1794"/>
      <c r="C199" s="1794"/>
      <c r="D199" s="1794"/>
      <c r="E199" s="1794"/>
      <c r="F199" s="1794"/>
      <c r="G199" s="1794"/>
      <c r="H199" s="1794"/>
      <c r="I199" s="1794"/>
      <c r="J199" s="1794"/>
      <c r="K199" s="1794"/>
      <c r="L199" s="1794"/>
      <c r="M199" s="1794"/>
      <c r="N199" s="1794"/>
      <c r="O199" s="1794"/>
      <c r="P199" s="1794"/>
      <c r="Q199" s="1794"/>
      <c r="R199" s="1794"/>
      <c r="S199" s="1794"/>
      <c r="T199" s="1794"/>
      <c r="U199" s="1794"/>
      <c r="V199" s="1794"/>
      <c r="W199" s="1794"/>
      <c r="X199" s="1794"/>
      <c r="Y199" s="1794"/>
      <c r="Z199" s="1794"/>
    </row>
    <row r="200" spans="2:26">
      <c r="B200" s="1794"/>
      <c r="C200" s="1794"/>
      <c r="D200" s="1794"/>
      <c r="E200" s="1794"/>
      <c r="F200" s="1794"/>
      <c r="G200" s="1794"/>
      <c r="H200" s="1794"/>
      <c r="I200" s="1794"/>
      <c r="J200" s="1794"/>
      <c r="K200" s="1794"/>
      <c r="L200" s="1794"/>
      <c r="M200" s="1794"/>
      <c r="N200" s="1794"/>
      <c r="O200" s="1794"/>
      <c r="P200" s="1794"/>
      <c r="Q200" s="1794"/>
      <c r="R200" s="1794"/>
      <c r="S200" s="1794"/>
      <c r="T200" s="1794"/>
      <c r="U200" s="1794"/>
      <c r="V200" s="1794"/>
      <c r="W200" s="1794"/>
      <c r="X200" s="1794"/>
      <c r="Y200" s="1794"/>
      <c r="Z200" s="1794"/>
    </row>
    <row r="201" spans="2:26">
      <c r="B201" s="1794"/>
      <c r="C201" s="1794"/>
      <c r="D201" s="1794"/>
      <c r="E201" s="1794"/>
      <c r="F201" s="1794"/>
      <c r="G201" s="1794"/>
      <c r="H201" s="1794"/>
      <c r="I201" s="1794"/>
      <c r="J201" s="1794"/>
      <c r="K201" s="1794"/>
      <c r="L201" s="1794"/>
      <c r="M201" s="1794"/>
      <c r="N201" s="1794"/>
      <c r="O201" s="1794"/>
      <c r="P201" s="1794"/>
      <c r="Q201" s="1794"/>
      <c r="R201" s="1794"/>
      <c r="S201" s="1794"/>
      <c r="T201" s="1794"/>
      <c r="U201" s="1794"/>
      <c r="V201" s="1794"/>
      <c r="W201" s="1794"/>
      <c r="X201" s="1794"/>
      <c r="Y201" s="1794"/>
      <c r="Z201" s="1794"/>
    </row>
    <row r="202" spans="2:26">
      <c r="B202" s="1794"/>
      <c r="C202" s="1794"/>
      <c r="D202" s="1794"/>
      <c r="E202" s="1794"/>
      <c r="F202" s="1794"/>
      <c r="G202" s="1794"/>
      <c r="H202" s="1794"/>
      <c r="I202" s="1794"/>
      <c r="J202" s="1794"/>
      <c r="K202" s="1794"/>
      <c r="L202" s="1794"/>
      <c r="M202" s="1794"/>
      <c r="N202" s="1794"/>
      <c r="O202" s="1794"/>
      <c r="P202" s="1794"/>
      <c r="Q202" s="1794"/>
      <c r="R202" s="1794"/>
      <c r="S202" s="1794"/>
      <c r="T202" s="1794"/>
      <c r="U202" s="1794"/>
      <c r="V202" s="1794"/>
      <c r="W202" s="1794"/>
      <c r="X202" s="1794"/>
      <c r="Y202" s="1794"/>
      <c r="Z202" s="1794"/>
    </row>
    <row r="203" spans="2:26">
      <c r="B203" s="1794"/>
      <c r="C203" s="1794"/>
      <c r="D203" s="1794"/>
      <c r="E203" s="1794"/>
      <c r="F203" s="1794"/>
      <c r="G203" s="1794"/>
      <c r="H203" s="1794"/>
      <c r="I203" s="1794"/>
      <c r="J203" s="1794"/>
      <c r="K203" s="1794"/>
      <c r="L203" s="1794"/>
      <c r="M203" s="1794"/>
      <c r="N203" s="1794"/>
      <c r="O203" s="1794"/>
      <c r="P203" s="1794"/>
      <c r="Q203" s="1794"/>
      <c r="R203" s="1794"/>
      <c r="S203" s="1794"/>
      <c r="T203" s="1794"/>
      <c r="U203" s="1794"/>
      <c r="V203" s="1794"/>
      <c r="W203" s="1794"/>
      <c r="X203" s="1794"/>
      <c r="Y203" s="1794"/>
      <c r="Z203" s="1794"/>
    </row>
    <row r="204" spans="2:26">
      <c r="B204" s="1794"/>
      <c r="C204" s="1794"/>
      <c r="D204" s="1794"/>
      <c r="E204" s="1794"/>
      <c r="F204" s="1794"/>
      <c r="G204" s="1794"/>
      <c r="H204" s="1794"/>
      <c r="I204" s="1794"/>
      <c r="J204" s="1794"/>
      <c r="K204" s="1794"/>
      <c r="L204" s="1794"/>
      <c r="M204" s="1794"/>
      <c r="N204" s="1794"/>
      <c r="O204" s="1794"/>
      <c r="P204" s="1794"/>
      <c r="Q204" s="1794"/>
      <c r="R204" s="1794"/>
      <c r="S204" s="1794"/>
      <c r="T204" s="1794"/>
      <c r="U204" s="1794"/>
      <c r="V204" s="1794"/>
      <c r="W204" s="1794"/>
      <c r="X204" s="1794"/>
      <c r="Y204" s="1794"/>
      <c r="Z204" s="1794"/>
    </row>
    <row r="205" spans="2:26">
      <c r="B205" s="1794"/>
      <c r="C205" s="1794"/>
      <c r="D205" s="1794"/>
      <c r="E205" s="1794"/>
      <c r="F205" s="1794"/>
      <c r="G205" s="1794"/>
      <c r="H205" s="1794"/>
      <c r="I205" s="1794"/>
      <c r="J205" s="1794"/>
      <c r="K205" s="1794"/>
      <c r="L205" s="1794"/>
      <c r="M205" s="1794"/>
      <c r="N205" s="1794"/>
      <c r="O205" s="1794"/>
      <c r="P205" s="1794"/>
      <c r="Q205" s="1794"/>
      <c r="R205" s="1794"/>
      <c r="S205" s="1794"/>
      <c r="T205" s="1794"/>
      <c r="U205" s="1794"/>
      <c r="V205" s="1794"/>
      <c r="W205" s="1794"/>
      <c r="X205" s="1794"/>
      <c r="Y205" s="1794"/>
      <c r="Z205" s="1794"/>
    </row>
    <row r="206" spans="2:26">
      <c r="B206" s="1794"/>
      <c r="C206" s="1794"/>
      <c r="D206" s="1794"/>
      <c r="E206" s="1794"/>
      <c r="F206" s="1794"/>
      <c r="G206" s="1794"/>
      <c r="H206" s="1794"/>
      <c r="I206" s="1794"/>
      <c r="J206" s="1794"/>
      <c r="K206" s="1794"/>
      <c r="L206" s="1794"/>
      <c r="M206" s="1794"/>
      <c r="N206" s="1794"/>
      <c r="O206" s="1794"/>
      <c r="P206" s="1794"/>
      <c r="Q206" s="1794"/>
      <c r="R206" s="1794"/>
      <c r="S206" s="1794"/>
      <c r="T206" s="1794"/>
      <c r="U206" s="1794"/>
      <c r="V206" s="1794"/>
      <c r="W206" s="1794"/>
      <c r="X206" s="1794"/>
      <c r="Y206" s="1794"/>
      <c r="Z206" s="1794"/>
    </row>
    <row r="207" spans="2:26">
      <c r="B207" s="1794"/>
      <c r="C207" s="1794"/>
      <c r="D207" s="1794"/>
      <c r="E207" s="1794"/>
      <c r="F207" s="1794"/>
      <c r="G207" s="1794"/>
      <c r="H207" s="1794"/>
      <c r="I207" s="1794"/>
      <c r="J207" s="1794"/>
      <c r="K207" s="1794"/>
      <c r="L207" s="1794"/>
      <c r="M207" s="1794"/>
      <c r="N207" s="1794"/>
      <c r="O207" s="1794"/>
      <c r="P207" s="1794"/>
      <c r="Q207" s="1794"/>
      <c r="R207" s="1794"/>
      <c r="S207" s="1794"/>
      <c r="T207" s="1794"/>
      <c r="U207" s="1794"/>
      <c r="V207" s="1794"/>
      <c r="W207" s="1794"/>
      <c r="X207" s="1794"/>
      <c r="Y207" s="1794"/>
      <c r="Z207" s="1794"/>
    </row>
    <row r="208" spans="2:26">
      <c r="B208" s="1794"/>
      <c r="C208" s="1794"/>
      <c r="D208" s="1794"/>
      <c r="E208" s="1794"/>
      <c r="F208" s="1794"/>
      <c r="G208" s="1794"/>
      <c r="H208" s="1794"/>
      <c r="I208" s="1794"/>
      <c r="J208" s="1794"/>
      <c r="K208" s="1794"/>
      <c r="L208" s="1794"/>
      <c r="M208" s="1794"/>
      <c r="N208" s="1794"/>
      <c r="O208" s="1794"/>
      <c r="P208" s="1794"/>
      <c r="Q208" s="1794"/>
      <c r="R208" s="1794"/>
      <c r="S208" s="1794"/>
      <c r="T208" s="1794"/>
      <c r="U208" s="1794"/>
      <c r="V208" s="1794"/>
      <c r="W208" s="1794"/>
      <c r="X208" s="1794"/>
      <c r="Y208" s="1794"/>
      <c r="Z208" s="1794"/>
    </row>
    <row r="209" spans="2:26">
      <c r="B209" s="1794"/>
      <c r="C209" s="1794"/>
      <c r="D209" s="1794"/>
      <c r="E209" s="1794"/>
      <c r="F209" s="1794"/>
      <c r="G209" s="1794"/>
      <c r="H209" s="1794"/>
      <c r="I209" s="1794"/>
      <c r="J209" s="1794"/>
      <c r="K209" s="1794"/>
      <c r="L209" s="1794"/>
      <c r="M209" s="1794"/>
      <c r="N209" s="1794"/>
      <c r="O209" s="1794"/>
      <c r="P209" s="1794"/>
      <c r="Q209" s="1794"/>
      <c r="R209" s="1794"/>
      <c r="S209" s="1794"/>
      <c r="T209" s="1794"/>
      <c r="U209" s="1794"/>
      <c r="V209" s="1794"/>
      <c r="W209" s="1794"/>
      <c r="X209" s="1794"/>
      <c r="Y209" s="1794"/>
      <c r="Z209" s="1794"/>
    </row>
    <row r="210" spans="2:26">
      <c r="B210" s="1794"/>
      <c r="C210" s="1794"/>
      <c r="D210" s="1794"/>
      <c r="E210" s="1794"/>
      <c r="F210" s="1794"/>
      <c r="G210" s="1794"/>
      <c r="H210" s="1794"/>
      <c r="I210" s="1794"/>
      <c r="J210" s="1794"/>
      <c r="K210" s="1794"/>
      <c r="L210" s="1794"/>
      <c r="M210" s="1794"/>
      <c r="N210" s="1794"/>
      <c r="O210" s="1794"/>
      <c r="P210" s="1794"/>
      <c r="Q210" s="1794"/>
      <c r="R210" s="1794"/>
      <c r="S210" s="1794"/>
      <c r="T210" s="1794"/>
      <c r="U210" s="1794"/>
      <c r="V210" s="1794"/>
      <c r="W210" s="1794"/>
      <c r="X210" s="1794"/>
      <c r="Y210" s="1794"/>
      <c r="Z210" s="1794"/>
    </row>
    <row r="211" spans="2:26">
      <c r="B211" s="1794"/>
      <c r="C211" s="1794"/>
      <c r="D211" s="1794"/>
      <c r="E211" s="1794"/>
      <c r="F211" s="1794"/>
      <c r="G211" s="1794"/>
      <c r="H211" s="1794"/>
      <c r="I211" s="1794"/>
      <c r="J211" s="1794"/>
      <c r="K211" s="1794"/>
      <c r="L211" s="1794"/>
      <c r="M211" s="1794"/>
      <c r="N211" s="1794"/>
      <c r="O211" s="1794"/>
      <c r="P211" s="1794"/>
      <c r="Q211" s="1794"/>
      <c r="R211" s="1794"/>
      <c r="S211" s="1794"/>
      <c r="T211" s="1794"/>
      <c r="U211" s="1794"/>
      <c r="V211" s="1794"/>
      <c r="W211" s="1794"/>
      <c r="X211" s="1794"/>
      <c r="Y211" s="1794"/>
      <c r="Z211" s="1794"/>
    </row>
    <row r="212" spans="2:26">
      <c r="B212" s="1794"/>
      <c r="C212" s="1794"/>
      <c r="D212" s="1794"/>
      <c r="E212" s="1794"/>
      <c r="F212" s="1794"/>
      <c r="G212" s="1794"/>
      <c r="H212" s="1794"/>
      <c r="I212" s="1794"/>
      <c r="J212" s="1794"/>
      <c r="K212" s="1794"/>
      <c r="L212" s="1794"/>
      <c r="M212" s="1794"/>
      <c r="N212" s="1794"/>
      <c r="O212" s="1794"/>
      <c r="P212" s="1794"/>
      <c r="Q212" s="1794"/>
      <c r="R212" s="1794"/>
      <c r="S212" s="1794"/>
      <c r="T212" s="1794"/>
      <c r="U212" s="1794"/>
      <c r="V212" s="1794"/>
      <c r="W212" s="1794"/>
      <c r="X212" s="1794"/>
      <c r="Y212" s="1794"/>
      <c r="Z212" s="1794"/>
    </row>
    <row r="213" spans="2:26">
      <c r="B213" s="1794"/>
      <c r="C213" s="1794"/>
      <c r="D213" s="1794"/>
      <c r="E213" s="1794"/>
      <c r="F213" s="1794"/>
      <c r="G213" s="1794"/>
      <c r="H213" s="1794"/>
      <c r="I213" s="1794"/>
      <c r="J213" s="1794"/>
      <c r="K213" s="1794"/>
      <c r="L213" s="1794"/>
      <c r="M213" s="1794"/>
      <c r="N213" s="1794"/>
      <c r="O213" s="1794"/>
      <c r="P213" s="1794"/>
      <c r="Q213" s="1794"/>
      <c r="R213" s="1794"/>
      <c r="S213" s="1794"/>
      <c r="T213" s="1794"/>
      <c r="U213" s="1794"/>
      <c r="V213" s="1794"/>
      <c r="W213" s="1794"/>
      <c r="X213" s="1794"/>
      <c r="Y213" s="1794"/>
      <c r="Z213" s="1794"/>
    </row>
    <row r="214" spans="2:26">
      <c r="B214" s="1794"/>
      <c r="C214" s="1794"/>
      <c r="D214" s="1794"/>
      <c r="E214" s="1794"/>
      <c r="F214" s="1794"/>
      <c r="G214" s="1794"/>
      <c r="H214" s="1794"/>
      <c r="I214" s="1794"/>
      <c r="J214" s="1794"/>
      <c r="K214" s="1794"/>
      <c r="L214" s="1794"/>
      <c r="M214" s="1794"/>
      <c r="N214" s="1794"/>
      <c r="O214" s="1794"/>
      <c r="P214" s="1794"/>
      <c r="Q214" s="1794"/>
      <c r="R214" s="1794"/>
      <c r="S214" s="1794"/>
      <c r="T214" s="1794"/>
      <c r="U214" s="1794"/>
      <c r="V214" s="1794"/>
      <c r="W214" s="1794"/>
      <c r="X214" s="1794"/>
      <c r="Y214" s="1794"/>
      <c r="Z214" s="1794"/>
    </row>
    <row r="215" spans="2:26">
      <c r="B215" s="1794"/>
      <c r="C215" s="1794"/>
      <c r="D215" s="1794"/>
      <c r="E215" s="1794"/>
      <c r="F215" s="1794"/>
      <c r="G215" s="1794"/>
      <c r="H215" s="1794"/>
      <c r="I215" s="1794"/>
      <c r="J215" s="1794"/>
      <c r="K215" s="1794"/>
      <c r="L215" s="1794"/>
      <c r="M215" s="1794"/>
      <c r="N215" s="1794"/>
      <c r="O215" s="1794"/>
      <c r="P215" s="1794"/>
      <c r="Q215" s="1794"/>
      <c r="R215" s="1794"/>
      <c r="S215" s="1794"/>
      <c r="T215" s="1794"/>
      <c r="U215" s="1794"/>
      <c r="V215" s="1794"/>
      <c r="W215" s="1794"/>
      <c r="X215" s="1794"/>
      <c r="Y215" s="1794"/>
      <c r="Z215" s="1794"/>
    </row>
    <row r="216" spans="2:26">
      <c r="B216" s="1794"/>
      <c r="C216" s="1794"/>
      <c r="D216" s="1794"/>
      <c r="E216" s="1794"/>
      <c r="F216" s="1794"/>
      <c r="G216" s="1794"/>
      <c r="H216" s="1794"/>
      <c r="I216" s="1794"/>
      <c r="J216" s="1794"/>
      <c r="K216" s="1794"/>
      <c r="L216" s="1794"/>
      <c r="M216" s="1794"/>
      <c r="N216" s="1794"/>
      <c r="O216" s="1794"/>
      <c r="P216" s="1794"/>
      <c r="Q216" s="1794"/>
      <c r="R216" s="1794"/>
      <c r="S216" s="1794"/>
      <c r="T216" s="1794"/>
      <c r="U216" s="1794"/>
      <c r="V216" s="1794"/>
      <c r="W216" s="1794"/>
      <c r="X216" s="1794"/>
      <c r="Y216" s="1794"/>
      <c r="Z216" s="1794"/>
    </row>
    <row r="217" spans="2:26">
      <c r="B217" s="1794"/>
      <c r="C217" s="1794"/>
      <c r="D217" s="1794"/>
      <c r="E217" s="1794"/>
      <c r="F217" s="1794"/>
      <c r="G217" s="1794"/>
      <c r="H217" s="1794"/>
      <c r="I217" s="1794"/>
      <c r="J217" s="1794"/>
      <c r="K217" s="1794"/>
      <c r="L217" s="1794"/>
      <c r="M217" s="1794"/>
      <c r="N217" s="1794"/>
      <c r="O217" s="1794"/>
      <c r="P217" s="1794"/>
      <c r="Q217" s="1794"/>
      <c r="R217" s="1794"/>
      <c r="S217" s="1794"/>
      <c r="T217" s="1794"/>
      <c r="U217" s="1794"/>
      <c r="V217" s="1794"/>
      <c r="W217" s="1794"/>
      <c r="X217" s="1794"/>
      <c r="Y217" s="1794"/>
      <c r="Z217" s="1794"/>
    </row>
    <row r="218" spans="2:26">
      <c r="B218" s="1794"/>
      <c r="C218" s="1794"/>
      <c r="D218" s="1794"/>
      <c r="E218" s="1794"/>
      <c r="F218" s="1794"/>
      <c r="G218" s="1794"/>
      <c r="H218" s="1794"/>
      <c r="I218" s="1794"/>
      <c r="J218" s="1794"/>
      <c r="K218" s="1794"/>
      <c r="L218" s="1794"/>
      <c r="M218" s="1794"/>
      <c r="N218" s="1794"/>
      <c r="O218" s="1794"/>
      <c r="P218" s="1794"/>
      <c r="Q218" s="1794"/>
      <c r="R218" s="1794"/>
      <c r="S218" s="1794"/>
      <c r="T218" s="1794"/>
      <c r="U218" s="1794"/>
      <c r="V218" s="1794"/>
      <c r="W218" s="1794"/>
      <c r="X218" s="1794"/>
      <c r="Y218" s="1794"/>
      <c r="Z218" s="1794"/>
    </row>
    <row r="219" spans="2:26">
      <c r="B219" s="1794"/>
      <c r="C219" s="1794"/>
      <c r="D219" s="1794"/>
      <c r="E219" s="1794"/>
      <c r="F219" s="1794"/>
      <c r="G219" s="1794"/>
      <c r="H219" s="1794"/>
      <c r="I219" s="1794"/>
      <c r="J219" s="1794"/>
      <c r="K219" s="1794"/>
      <c r="L219" s="1794"/>
      <c r="M219" s="1794"/>
      <c r="N219" s="1794"/>
      <c r="O219" s="1794"/>
      <c r="P219" s="1794"/>
      <c r="Q219" s="1794"/>
      <c r="R219" s="1794"/>
      <c r="S219" s="1794"/>
      <c r="T219" s="1794"/>
      <c r="U219" s="1794"/>
      <c r="V219" s="1794"/>
      <c r="W219" s="1794"/>
      <c r="X219" s="1794"/>
      <c r="Y219" s="1794"/>
      <c r="Z219" s="1794"/>
    </row>
    <row r="220" spans="2:26">
      <c r="B220" s="1794"/>
      <c r="C220" s="1794"/>
      <c r="D220" s="1794"/>
      <c r="E220" s="1794"/>
      <c r="F220" s="1794"/>
      <c r="G220" s="1794"/>
      <c r="H220" s="1794"/>
      <c r="I220" s="1794"/>
      <c r="J220" s="1794"/>
      <c r="K220" s="1794"/>
      <c r="L220" s="1794"/>
      <c r="M220" s="1794"/>
      <c r="N220" s="1794"/>
      <c r="O220" s="1794"/>
      <c r="P220" s="1794"/>
      <c r="Q220" s="1794"/>
      <c r="R220" s="1794"/>
      <c r="S220" s="1794"/>
      <c r="T220" s="1794"/>
      <c r="U220" s="1794"/>
      <c r="V220" s="1794"/>
      <c r="W220" s="1794"/>
      <c r="X220" s="1794"/>
      <c r="Y220" s="1794"/>
      <c r="Z220" s="1794"/>
    </row>
    <row r="221" spans="2:26">
      <c r="B221" s="1794"/>
      <c r="C221" s="1794"/>
      <c r="D221" s="1794"/>
      <c r="E221" s="1794"/>
      <c r="F221" s="1794"/>
      <c r="G221" s="1794"/>
      <c r="H221" s="1794"/>
      <c r="I221" s="1794"/>
      <c r="J221" s="1794"/>
      <c r="K221" s="1794"/>
      <c r="L221" s="1794"/>
      <c r="M221" s="1794"/>
      <c r="N221" s="1794"/>
      <c r="O221" s="1794"/>
      <c r="P221" s="1794"/>
      <c r="Q221" s="1794"/>
      <c r="R221" s="1794"/>
      <c r="S221" s="1794"/>
      <c r="T221" s="1794"/>
      <c r="U221" s="1794"/>
      <c r="V221" s="1794"/>
      <c r="W221" s="1794"/>
      <c r="X221" s="1794"/>
      <c r="Y221" s="1794"/>
      <c r="Z221" s="1794"/>
    </row>
    <row r="222" spans="2:26">
      <c r="B222" s="1794"/>
      <c r="C222" s="1794"/>
      <c r="D222" s="1794"/>
      <c r="E222" s="1794"/>
      <c r="F222" s="1794"/>
      <c r="G222" s="1794"/>
      <c r="H222" s="1794"/>
      <c r="I222" s="1794"/>
      <c r="J222" s="1794"/>
      <c r="K222" s="1794"/>
      <c r="L222" s="1794"/>
      <c r="M222" s="1794"/>
      <c r="N222" s="1794"/>
      <c r="O222" s="1794"/>
      <c r="P222" s="1794"/>
      <c r="Q222" s="1794"/>
      <c r="R222" s="1794"/>
      <c r="S222" s="1794"/>
      <c r="T222" s="1794"/>
      <c r="U222" s="1794"/>
      <c r="V222" s="1794"/>
      <c r="W222" s="1794"/>
      <c r="X222" s="1794"/>
      <c r="Y222" s="1794"/>
      <c r="Z222" s="1794"/>
    </row>
    <row r="223" spans="2:26">
      <c r="B223" s="1794"/>
      <c r="C223" s="1794"/>
      <c r="D223" s="1794"/>
      <c r="E223" s="1794"/>
      <c r="F223" s="1794"/>
      <c r="G223" s="1794"/>
      <c r="H223" s="1794"/>
      <c r="I223" s="1794"/>
      <c r="J223" s="1794"/>
      <c r="K223" s="1794"/>
      <c r="L223" s="1794"/>
      <c r="M223" s="1794"/>
      <c r="N223" s="1794"/>
      <c r="O223" s="1794"/>
      <c r="P223" s="1794"/>
      <c r="Q223" s="1794"/>
      <c r="R223" s="1794"/>
      <c r="S223" s="1794"/>
      <c r="T223" s="1794"/>
      <c r="U223" s="1794"/>
      <c r="V223" s="1794"/>
      <c r="W223" s="1794"/>
      <c r="X223" s="1794"/>
      <c r="Y223" s="1794"/>
      <c r="Z223" s="1794"/>
    </row>
    <row r="224" spans="2:26">
      <c r="B224" s="1794"/>
      <c r="C224" s="1794"/>
      <c r="D224" s="1794"/>
      <c r="E224" s="1794"/>
      <c r="F224" s="1794"/>
      <c r="G224" s="1794"/>
      <c r="H224" s="1794"/>
      <c r="I224" s="1794"/>
      <c r="J224" s="1794"/>
      <c r="K224" s="1794"/>
      <c r="L224" s="1794"/>
      <c r="M224" s="1794"/>
      <c r="N224" s="1794"/>
      <c r="O224" s="1794"/>
      <c r="P224" s="1794"/>
      <c r="Q224" s="1794"/>
      <c r="R224" s="1794"/>
      <c r="S224" s="1794"/>
      <c r="T224" s="1794"/>
      <c r="U224" s="1794"/>
      <c r="V224" s="1794"/>
      <c r="W224" s="1794"/>
      <c r="X224" s="1794"/>
      <c r="Y224" s="1794"/>
      <c r="Z224" s="1794"/>
    </row>
    <row r="225" spans="2:26">
      <c r="B225" s="1794"/>
      <c r="C225" s="1794"/>
      <c r="D225" s="1794"/>
      <c r="E225" s="1794"/>
      <c r="F225" s="1794"/>
      <c r="G225" s="1794"/>
      <c r="H225" s="1794"/>
      <c r="I225" s="1794"/>
      <c r="J225" s="1794"/>
      <c r="K225" s="1794"/>
      <c r="L225" s="1794"/>
      <c r="M225" s="1794"/>
      <c r="N225" s="1794"/>
      <c r="O225" s="1794"/>
      <c r="P225" s="1794"/>
      <c r="Q225" s="1794"/>
      <c r="R225" s="1794"/>
      <c r="S225" s="1794"/>
      <c r="T225" s="1794"/>
      <c r="U225" s="1794"/>
      <c r="V225" s="1794"/>
      <c r="W225" s="1794"/>
      <c r="X225" s="1794"/>
      <c r="Y225" s="1794"/>
      <c r="Z225" s="1794"/>
    </row>
    <row r="226" spans="2:26">
      <c r="B226" s="1794"/>
      <c r="C226" s="1794"/>
      <c r="D226" s="1794"/>
      <c r="E226" s="1794"/>
      <c r="F226" s="1794"/>
      <c r="G226" s="1794"/>
      <c r="H226" s="1794"/>
      <c r="I226" s="1794"/>
      <c r="J226" s="1794"/>
      <c r="K226" s="1794"/>
      <c r="L226" s="1794"/>
      <c r="M226" s="1794"/>
      <c r="N226" s="1794"/>
      <c r="O226" s="1794"/>
      <c r="P226" s="1794"/>
      <c r="Q226" s="1794"/>
      <c r="R226" s="1794"/>
      <c r="S226" s="1794"/>
      <c r="T226" s="1794"/>
      <c r="U226" s="1794"/>
      <c r="V226" s="1794"/>
      <c r="W226" s="1794"/>
      <c r="X226" s="1794"/>
      <c r="Y226" s="1794"/>
      <c r="Z226" s="1794"/>
    </row>
    <row r="227" spans="2:26">
      <c r="B227" s="1794"/>
      <c r="C227" s="1794"/>
      <c r="D227" s="1794"/>
      <c r="E227" s="1794"/>
      <c r="F227" s="1794"/>
      <c r="G227" s="1794"/>
      <c r="H227" s="1794"/>
      <c r="I227" s="1794"/>
      <c r="J227" s="1794"/>
      <c r="K227" s="1794"/>
      <c r="L227" s="1794"/>
      <c r="M227" s="1794"/>
      <c r="N227" s="1794"/>
      <c r="O227" s="1794"/>
      <c r="P227" s="1794"/>
      <c r="Q227" s="1794"/>
      <c r="R227" s="1794"/>
      <c r="S227" s="1794"/>
      <c r="T227" s="1794"/>
      <c r="U227" s="1794"/>
      <c r="V227" s="1794"/>
      <c r="W227" s="1794"/>
      <c r="X227" s="1794"/>
      <c r="Y227" s="1794"/>
      <c r="Z227" s="1794"/>
    </row>
    <row r="228" spans="2:26">
      <c r="B228" s="1794"/>
      <c r="C228" s="1794"/>
      <c r="D228" s="1794"/>
      <c r="E228" s="1794"/>
      <c r="F228" s="1794"/>
      <c r="G228" s="1794"/>
      <c r="H228" s="1794"/>
      <c r="I228" s="1794"/>
      <c r="J228" s="1794"/>
      <c r="K228" s="1794"/>
      <c r="L228" s="1794"/>
      <c r="M228" s="1794"/>
      <c r="N228" s="1794"/>
      <c r="O228" s="1794"/>
      <c r="P228" s="1794"/>
      <c r="Q228" s="1794"/>
      <c r="R228" s="1794"/>
      <c r="S228" s="1794"/>
      <c r="T228" s="1794"/>
      <c r="U228" s="1794"/>
      <c r="V228" s="1794"/>
      <c r="W228" s="1794"/>
      <c r="X228" s="1794"/>
      <c r="Y228" s="1794"/>
      <c r="Z228" s="1794"/>
    </row>
    <row r="229" spans="2:26">
      <c r="B229" s="1794"/>
      <c r="C229" s="1794"/>
      <c r="D229" s="1794"/>
      <c r="E229" s="1794"/>
      <c r="F229" s="1794"/>
      <c r="G229" s="1794"/>
      <c r="H229" s="1794"/>
      <c r="I229" s="1794"/>
      <c r="J229" s="1794"/>
      <c r="K229" s="1794"/>
      <c r="L229" s="1794"/>
      <c r="M229" s="1794"/>
      <c r="N229" s="1794"/>
      <c r="O229" s="1794"/>
      <c r="P229" s="1794"/>
      <c r="Q229" s="1794"/>
      <c r="R229" s="1794"/>
      <c r="S229" s="1794"/>
      <c r="T229" s="1794"/>
      <c r="U229" s="1794"/>
      <c r="V229" s="1794"/>
      <c r="W229" s="1794"/>
      <c r="X229" s="1794"/>
      <c r="Y229" s="1794"/>
      <c r="Z229" s="1794"/>
    </row>
    <row r="230" spans="2:26">
      <c r="B230" s="1794"/>
      <c r="C230" s="1794"/>
      <c r="D230" s="1794"/>
      <c r="E230" s="1794"/>
      <c r="F230" s="1794"/>
      <c r="G230" s="1794"/>
      <c r="H230" s="1794"/>
      <c r="I230" s="1794"/>
      <c r="J230" s="1794"/>
      <c r="K230" s="1794"/>
      <c r="L230" s="1794"/>
      <c r="M230" s="1794"/>
      <c r="N230" s="1794"/>
      <c r="O230" s="1794"/>
      <c r="P230" s="1794"/>
      <c r="Q230" s="1794"/>
      <c r="R230" s="1794"/>
      <c r="S230" s="1794"/>
      <c r="T230" s="1794"/>
      <c r="U230" s="1794"/>
      <c r="V230" s="1794"/>
      <c r="W230" s="1794"/>
      <c r="X230" s="1794"/>
      <c r="Y230" s="1794"/>
      <c r="Z230" s="1794"/>
    </row>
    <row r="231" spans="2:26">
      <c r="B231" s="1794"/>
      <c r="C231" s="1794"/>
      <c r="D231" s="1794"/>
      <c r="E231" s="1794"/>
      <c r="F231" s="1794"/>
      <c r="G231" s="1794"/>
      <c r="H231" s="1794"/>
      <c r="I231" s="1794"/>
      <c r="J231" s="1794"/>
      <c r="K231" s="1794"/>
      <c r="L231" s="1794"/>
      <c r="M231" s="1794"/>
      <c r="N231" s="1794"/>
      <c r="O231" s="1794"/>
      <c r="P231" s="1794"/>
      <c r="Q231" s="1794"/>
      <c r="R231" s="1794"/>
      <c r="S231" s="1794"/>
      <c r="T231" s="1794"/>
      <c r="U231" s="1794"/>
      <c r="V231" s="1794"/>
      <c r="W231" s="1794"/>
      <c r="X231" s="1794"/>
      <c r="Y231" s="1794"/>
      <c r="Z231" s="1794"/>
    </row>
    <row r="232" spans="2:26">
      <c r="B232" s="1794"/>
      <c r="C232" s="1794"/>
      <c r="D232" s="1794"/>
      <c r="E232" s="1794"/>
      <c r="F232" s="1794"/>
      <c r="G232" s="1794"/>
      <c r="H232" s="1794"/>
      <c r="I232" s="1794"/>
      <c r="J232" s="1794"/>
      <c r="K232" s="1794"/>
      <c r="L232" s="1794"/>
      <c r="M232" s="1794"/>
      <c r="N232" s="1794"/>
      <c r="O232" s="1794"/>
      <c r="P232" s="1794"/>
      <c r="Q232" s="1794"/>
      <c r="R232" s="1794"/>
      <c r="S232" s="1794"/>
      <c r="T232" s="1794"/>
      <c r="U232" s="1794"/>
      <c r="V232" s="1794"/>
      <c r="W232" s="1794"/>
      <c r="X232" s="1794"/>
      <c r="Y232" s="1794"/>
      <c r="Z232" s="1794"/>
    </row>
    <row r="233" spans="2:26">
      <c r="B233" s="1794"/>
      <c r="C233" s="1794"/>
      <c r="D233" s="1794"/>
      <c r="E233" s="1794"/>
      <c r="F233" s="1794"/>
      <c r="G233" s="1794"/>
      <c r="H233" s="1794"/>
      <c r="I233" s="1794"/>
      <c r="J233" s="1794"/>
      <c r="K233" s="1794"/>
      <c r="L233" s="1794"/>
      <c r="M233" s="1794"/>
      <c r="N233" s="1794"/>
      <c r="O233" s="1794"/>
      <c r="P233" s="1794"/>
      <c r="Q233" s="1794"/>
      <c r="R233" s="1794"/>
      <c r="S233" s="1794"/>
      <c r="T233" s="1794"/>
      <c r="U233" s="1794"/>
      <c r="V233" s="1794"/>
      <c r="W233" s="1794"/>
      <c r="X233" s="1794"/>
      <c r="Y233" s="1794"/>
      <c r="Z233" s="1794"/>
    </row>
    <row r="234" spans="2:26">
      <c r="B234" s="1794"/>
      <c r="C234" s="1794"/>
      <c r="D234" s="1794"/>
      <c r="E234" s="1794"/>
      <c r="F234" s="1794"/>
      <c r="G234" s="1794"/>
      <c r="H234" s="1794"/>
      <c r="I234" s="1794"/>
      <c r="J234" s="1794"/>
      <c r="K234" s="1794"/>
      <c r="L234" s="1794"/>
      <c r="M234" s="1794"/>
      <c r="N234" s="1794"/>
      <c r="O234" s="1794"/>
      <c r="P234" s="1794"/>
      <c r="Q234" s="1794"/>
      <c r="R234" s="1794"/>
      <c r="S234" s="1794"/>
      <c r="T234" s="1794"/>
      <c r="U234" s="1794"/>
      <c r="V234" s="1794"/>
      <c r="W234" s="1794"/>
      <c r="X234" s="1794"/>
      <c r="Y234" s="1794"/>
      <c r="Z234" s="1794"/>
    </row>
    <row r="235" spans="2:26">
      <c r="B235" s="1794"/>
      <c r="C235" s="1794"/>
      <c r="D235" s="1794"/>
      <c r="E235" s="1794"/>
      <c r="F235" s="1794"/>
      <c r="G235" s="1794"/>
      <c r="H235" s="1794"/>
      <c r="I235" s="1794"/>
      <c r="J235" s="1794"/>
      <c r="K235" s="1794"/>
      <c r="L235" s="1794"/>
      <c r="M235" s="1794"/>
      <c r="N235" s="1794"/>
      <c r="O235" s="1794"/>
      <c r="P235" s="1794"/>
      <c r="Q235" s="1794"/>
      <c r="R235" s="1794"/>
      <c r="S235" s="1794"/>
      <c r="T235" s="1794"/>
      <c r="U235" s="1794"/>
      <c r="V235" s="1794"/>
      <c r="W235" s="1794"/>
      <c r="X235" s="1794"/>
      <c r="Y235" s="1794"/>
      <c r="Z235" s="1794"/>
    </row>
    <row r="236" spans="2:26">
      <c r="B236" s="1794"/>
      <c r="C236" s="1794"/>
      <c r="D236" s="1794"/>
      <c r="E236" s="1794"/>
      <c r="F236" s="1794"/>
      <c r="G236" s="1794"/>
      <c r="H236" s="1794"/>
      <c r="I236" s="1794"/>
      <c r="J236" s="1794"/>
      <c r="K236" s="1794"/>
      <c r="L236" s="1794"/>
      <c r="M236" s="1794"/>
      <c r="N236" s="1794"/>
      <c r="O236" s="1794"/>
      <c r="P236" s="1794"/>
      <c r="Q236" s="1794"/>
      <c r="R236" s="1794"/>
      <c r="S236" s="1794"/>
      <c r="T236" s="1794"/>
      <c r="U236" s="1794"/>
      <c r="V236" s="1794"/>
      <c r="W236" s="1794"/>
      <c r="X236" s="1794"/>
      <c r="Y236" s="1794"/>
      <c r="Z236" s="1794"/>
    </row>
    <row r="237" spans="2:26">
      <c r="B237" s="1794"/>
      <c r="C237" s="1794"/>
      <c r="D237" s="1794"/>
      <c r="E237" s="1794"/>
      <c r="F237" s="1794"/>
      <c r="G237" s="1794"/>
      <c r="H237" s="1794"/>
      <c r="I237" s="1794"/>
      <c r="J237" s="1794"/>
      <c r="K237" s="1794"/>
      <c r="L237" s="1794"/>
      <c r="M237" s="1794"/>
      <c r="N237" s="1794"/>
      <c r="O237" s="1794"/>
      <c r="P237" s="1794"/>
      <c r="Q237" s="1794"/>
      <c r="R237" s="1794"/>
      <c r="S237" s="1794"/>
      <c r="T237" s="1794"/>
      <c r="U237" s="1794"/>
      <c r="V237" s="1794"/>
      <c r="W237" s="1794"/>
      <c r="X237" s="1794"/>
      <c r="Y237" s="1794"/>
      <c r="Z237" s="1794"/>
    </row>
    <row r="238" spans="2:26">
      <c r="B238" s="1794"/>
      <c r="C238" s="1794"/>
      <c r="D238" s="1794"/>
      <c r="E238" s="1794"/>
      <c r="F238" s="1794"/>
      <c r="G238" s="1794"/>
      <c r="H238" s="1794"/>
      <c r="I238" s="1794"/>
      <c r="J238" s="1794"/>
      <c r="K238" s="1794"/>
      <c r="L238" s="1794"/>
      <c r="M238" s="1794"/>
      <c r="N238" s="1794"/>
      <c r="O238" s="1794"/>
      <c r="P238" s="1794"/>
      <c r="Q238" s="1794"/>
      <c r="R238" s="1794"/>
      <c r="S238" s="1794"/>
      <c r="T238" s="1794"/>
      <c r="U238" s="1794"/>
      <c r="V238" s="1794"/>
      <c r="W238" s="1794"/>
      <c r="X238" s="1794"/>
      <c r="Y238" s="1794"/>
      <c r="Z238" s="1794"/>
    </row>
    <row r="239" spans="2:26">
      <c r="B239" s="1794"/>
      <c r="C239" s="1794"/>
      <c r="D239" s="1794"/>
      <c r="E239" s="1794"/>
      <c r="F239" s="1794"/>
      <c r="G239" s="1794"/>
      <c r="H239" s="1794"/>
      <c r="I239" s="1794"/>
      <c r="J239" s="1794"/>
      <c r="K239" s="1794"/>
      <c r="L239" s="1794"/>
      <c r="M239" s="1794"/>
      <c r="N239" s="1794"/>
      <c r="O239" s="1794"/>
      <c r="P239" s="1794"/>
      <c r="Q239" s="1794"/>
      <c r="R239" s="1794"/>
      <c r="S239" s="1794"/>
      <c r="T239" s="1794"/>
      <c r="U239" s="1794"/>
      <c r="V239" s="1794"/>
      <c r="W239" s="1794"/>
      <c r="X239" s="1794"/>
      <c r="Y239" s="1794"/>
      <c r="Z239" s="1794"/>
    </row>
    <row r="240" spans="2:26">
      <c r="B240" s="1794"/>
      <c r="C240" s="1794"/>
      <c r="D240" s="1794"/>
      <c r="E240" s="1794"/>
      <c r="F240" s="1794"/>
      <c r="G240" s="1794"/>
      <c r="H240" s="1794"/>
      <c r="I240" s="1794"/>
      <c r="J240" s="1794"/>
      <c r="K240" s="1794"/>
      <c r="L240" s="1794"/>
      <c r="M240" s="1794"/>
      <c r="N240" s="1794"/>
      <c r="O240" s="1794"/>
      <c r="P240" s="1794"/>
      <c r="Q240" s="1794"/>
      <c r="R240" s="1794"/>
      <c r="S240" s="1794"/>
      <c r="T240" s="1794"/>
      <c r="U240" s="1794"/>
      <c r="V240" s="1794"/>
      <c r="W240" s="1794"/>
      <c r="X240" s="1794"/>
      <c r="Y240" s="1794"/>
      <c r="Z240" s="1794"/>
    </row>
    <row r="241" spans="2:26">
      <c r="B241" s="1794"/>
      <c r="C241" s="1794"/>
      <c r="D241" s="1794"/>
      <c r="E241" s="1794"/>
      <c r="F241" s="1794"/>
      <c r="G241" s="1794"/>
      <c r="H241" s="1794"/>
      <c r="I241" s="1794"/>
      <c r="J241" s="1794"/>
      <c r="K241" s="1794"/>
      <c r="L241" s="1794"/>
      <c r="M241" s="1794"/>
      <c r="N241" s="1794"/>
      <c r="O241" s="1794"/>
      <c r="P241" s="1794"/>
      <c r="Q241" s="1794"/>
      <c r="R241" s="1794"/>
      <c r="S241" s="1794"/>
      <c r="T241" s="1794"/>
      <c r="U241" s="1794"/>
      <c r="V241" s="1794"/>
      <c r="W241" s="1794"/>
      <c r="X241" s="1794"/>
      <c r="Y241" s="1794"/>
      <c r="Z241" s="1794"/>
    </row>
    <row r="242" spans="2:26">
      <c r="B242" s="1794"/>
      <c r="C242" s="1794"/>
      <c r="D242" s="1794"/>
      <c r="E242" s="1794"/>
      <c r="F242" s="1794"/>
      <c r="G242" s="1794"/>
      <c r="H242" s="1794"/>
      <c r="I242" s="1794"/>
      <c r="J242" s="1794"/>
      <c r="K242" s="1794"/>
      <c r="L242" s="1794"/>
      <c r="M242" s="1794"/>
      <c r="N242" s="1794"/>
      <c r="O242" s="1794"/>
      <c r="P242" s="1794"/>
      <c r="Q242" s="1794"/>
      <c r="R242" s="1794"/>
      <c r="S242" s="1794"/>
      <c r="T242" s="1794"/>
      <c r="U242" s="1794"/>
      <c r="V242" s="1794"/>
      <c r="W242" s="1794"/>
      <c r="X242" s="1794"/>
      <c r="Y242" s="1794"/>
      <c r="Z242" s="1794"/>
    </row>
    <row r="243" spans="2:26">
      <c r="B243" s="1794"/>
      <c r="C243" s="1794"/>
      <c r="D243" s="1794"/>
      <c r="E243" s="1794"/>
      <c r="F243" s="1794"/>
      <c r="G243" s="1794"/>
      <c r="H243" s="1794"/>
      <c r="I243" s="1794"/>
      <c r="J243" s="1794"/>
      <c r="K243" s="1794"/>
      <c r="L243" s="1794"/>
      <c r="M243" s="1794"/>
      <c r="N243" s="1794"/>
      <c r="O243" s="1794"/>
      <c r="P243" s="1794"/>
      <c r="Q243" s="1794"/>
      <c r="R243" s="1794"/>
      <c r="S243" s="1794"/>
      <c r="T243" s="1794"/>
      <c r="U243" s="1794"/>
      <c r="V243" s="1794"/>
      <c r="W243" s="1794"/>
      <c r="X243" s="1794"/>
      <c r="Y243" s="1794"/>
      <c r="Z243" s="1794"/>
    </row>
    <row r="244" spans="2:26">
      <c r="B244" s="1794"/>
      <c r="C244" s="1794"/>
      <c r="D244" s="1794"/>
      <c r="E244" s="1794"/>
      <c r="F244" s="1794"/>
      <c r="G244" s="1794"/>
      <c r="H244" s="1794"/>
      <c r="I244" s="1794"/>
      <c r="J244" s="1794"/>
      <c r="K244" s="1794"/>
      <c r="L244" s="1794"/>
      <c r="M244" s="1794"/>
      <c r="N244" s="1794"/>
      <c r="O244" s="1794"/>
      <c r="P244" s="1794"/>
      <c r="Q244" s="1794"/>
      <c r="R244" s="1794"/>
      <c r="S244" s="1794"/>
      <c r="T244" s="1794"/>
      <c r="U244" s="1794"/>
      <c r="V244" s="1794"/>
      <c r="W244" s="1794"/>
      <c r="X244" s="1794"/>
      <c r="Y244" s="1794"/>
      <c r="Z244" s="1794"/>
    </row>
    <row r="245" spans="2:26">
      <c r="B245" s="1794"/>
      <c r="C245" s="1794"/>
      <c r="D245" s="1794"/>
      <c r="E245" s="1794"/>
      <c r="F245" s="1794"/>
      <c r="G245" s="1794"/>
      <c r="H245" s="1794"/>
      <c r="I245" s="1794"/>
      <c r="J245" s="1794"/>
      <c r="K245" s="1794"/>
      <c r="L245" s="1794"/>
      <c r="M245" s="1794"/>
      <c r="N245" s="1794"/>
      <c r="O245" s="1794"/>
      <c r="P245" s="1794"/>
      <c r="Q245" s="1794"/>
      <c r="R245" s="1794"/>
      <c r="S245" s="1794"/>
      <c r="T245" s="1794"/>
      <c r="U245" s="1794"/>
      <c r="V245" s="1794"/>
      <c r="W245" s="1794"/>
      <c r="X245" s="1794"/>
      <c r="Y245" s="1794"/>
      <c r="Z245" s="1794"/>
    </row>
    <row r="246" spans="2:26">
      <c r="B246" s="1794"/>
      <c r="C246" s="1794"/>
      <c r="D246" s="1794"/>
      <c r="E246" s="1794"/>
      <c r="F246" s="1794"/>
      <c r="G246" s="1794"/>
      <c r="H246" s="1794"/>
      <c r="I246" s="1794"/>
      <c r="J246" s="1794"/>
      <c r="K246" s="1794"/>
      <c r="L246" s="1794"/>
      <c r="M246" s="1794"/>
      <c r="N246" s="1794"/>
      <c r="O246" s="1794"/>
      <c r="P246" s="1794"/>
      <c r="Q246" s="1794"/>
      <c r="R246" s="1794"/>
      <c r="S246" s="1794"/>
      <c r="T246" s="1794"/>
      <c r="U246" s="1794"/>
      <c r="V246" s="1794"/>
      <c r="W246" s="1794"/>
      <c r="X246" s="1794"/>
      <c r="Y246" s="1794"/>
      <c r="Z246" s="1794"/>
    </row>
    <row r="247" spans="2:26">
      <c r="B247" s="1794"/>
      <c r="C247" s="1794"/>
      <c r="D247" s="1794"/>
      <c r="E247" s="1794"/>
      <c r="F247" s="1794"/>
      <c r="G247" s="1794"/>
      <c r="H247" s="1794"/>
      <c r="I247" s="1794"/>
      <c r="J247" s="1794"/>
      <c r="K247" s="1794"/>
      <c r="L247" s="1794"/>
      <c r="M247" s="1794"/>
      <c r="N247" s="1794"/>
      <c r="O247" s="1794"/>
      <c r="P247" s="1794"/>
      <c r="Q247" s="1794"/>
      <c r="R247" s="1794"/>
      <c r="S247" s="1794"/>
      <c r="T247" s="1794"/>
      <c r="U247" s="1794"/>
      <c r="V247" s="1794"/>
      <c r="W247" s="1794"/>
      <c r="X247" s="1794"/>
      <c r="Y247" s="1794"/>
      <c r="Z247" s="1794"/>
    </row>
    <row r="248" spans="2:26">
      <c r="B248" s="1794"/>
      <c r="C248" s="1794"/>
      <c r="D248" s="1794"/>
      <c r="E248" s="1794"/>
      <c r="F248" s="1794"/>
      <c r="G248" s="1794"/>
      <c r="H248" s="1794"/>
      <c r="I248" s="1794"/>
      <c r="J248" s="1794"/>
      <c r="K248" s="1794"/>
      <c r="L248" s="1794"/>
      <c r="M248" s="1794"/>
      <c r="N248" s="1794"/>
      <c r="O248" s="1794"/>
      <c r="P248" s="1794"/>
      <c r="Q248" s="1794"/>
      <c r="R248" s="1794"/>
      <c r="S248" s="1794"/>
      <c r="T248" s="1794"/>
      <c r="U248" s="1794"/>
      <c r="V248" s="1794"/>
      <c r="W248" s="1794"/>
      <c r="X248" s="1794"/>
      <c r="Y248" s="1794"/>
      <c r="Z248" s="1794"/>
    </row>
    <row r="249" spans="2:26">
      <c r="B249" s="1794"/>
      <c r="C249" s="1794"/>
      <c r="D249" s="1794"/>
      <c r="E249" s="1794"/>
      <c r="F249" s="1794"/>
      <c r="G249" s="1794"/>
      <c r="H249" s="1794"/>
      <c r="I249" s="1794"/>
      <c r="J249" s="1794"/>
      <c r="K249" s="1794"/>
      <c r="L249" s="1794"/>
      <c r="M249" s="1794"/>
      <c r="N249" s="1794"/>
      <c r="O249" s="1794"/>
      <c r="P249" s="1794"/>
      <c r="Q249" s="1794"/>
      <c r="R249" s="1794"/>
      <c r="S249" s="1794"/>
      <c r="T249" s="1794"/>
      <c r="U249" s="1794"/>
      <c r="V249" s="1794"/>
      <c r="W249" s="1794"/>
      <c r="X249" s="1794"/>
      <c r="Y249" s="1794"/>
      <c r="Z249" s="1794"/>
    </row>
    <row r="250" spans="2:26">
      <c r="B250" s="1794"/>
      <c r="C250" s="1794"/>
      <c r="D250" s="1794"/>
      <c r="E250" s="1794"/>
      <c r="F250" s="1794"/>
      <c r="G250" s="1794"/>
      <c r="H250" s="1794"/>
      <c r="I250" s="1794"/>
      <c r="J250" s="1794"/>
      <c r="K250" s="1794"/>
      <c r="L250" s="1794"/>
      <c r="M250" s="1794"/>
      <c r="N250" s="1794"/>
      <c r="O250" s="1794"/>
      <c r="P250" s="1794"/>
      <c r="Q250" s="1794"/>
      <c r="R250" s="1794"/>
      <c r="S250" s="1794"/>
      <c r="T250" s="1794"/>
      <c r="U250" s="1794"/>
      <c r="V250" s="1794"/>
      <c r="W250" s="1794"/>
      <c r="X250" s="1794"/>
      <c r="Y250" s="1794"/>
      <c r="Z250" s="1794"/>
    </row>
    <row r="251" spans="2:26">
      <c r="B251" s="1794"/>
      <c r="C251" s="1794"/>
      <c r="D251" s="1794"/>
      <c r="E251" s="1794"/>
      <c r="F251" s="1794"/>
      <c r="G251" s="1794"/>
      <c r="H251" s="1794"/>
      <c r="I251" s="1794"/>
      <c r="J251" s="1794"/>
      <c r="K251" s="1794"/>
      <c r="L251" s="1794"/>
      <c r="M251" s="1794"/>
      <c r="N251" s="1794"/>
      <c r="O251" s="1794"/>
      <c r="P251" s="1794"/>
      <c r="Q251" s="1794"/>
      <c r="R251" s="1794"/>
      <c r="S251" s="1794"/>
      <c r="T251" s="1794"/>
      <c r="U251" s="1794"/>
      <c r="V251" s="1794"/>
      <c r="W251" s="1794"/>
      <c r="X251" s="1794"/>
      <c r="Y251" s="1794"/>
      <c r="Z251" s="1794"/>
    </row>
    <row r="252" spans="2:26">
      <c r="B252" s="1794"/>
      <c r="C252" s="1794"/>
      <c r="D252" s="1794"/>
      <c r="E252" s="1794"/>
      <c r="F252" s="1794"/>
      <c r="G252" s="1794"/>
      <c r="H252" s="1794"/>
      <c r="I252" s="1794"/>
      <c r="J252" s="1794"/>
      <c r="K252" s="1794"/>
      <c r="L252" s="1794"/>
      <c r="M252" s="1794"/>
      <c r="N252" s="1794"/>
      <c r="O252" s="1794"/>
      <c r="P252" s="1794"/>
      <c r="Q252" s="1794"/>
      <c r="R252" s="1794"/>
      <c r="S252" s="1794"/>
      <c r="T252" s="1794"/>
      <c r="U252" s="1794"/>
      <c r="V252" s="1794"/>
      <c r="W252" s="1794"/>
      <c r="X252" s="1794"/>
      <c r="Y252" s="1794"/>
      <c r="Z252" s="1794"/>
    </row>
    <row r="253" spans="2:26">
      <c r="B253" s="1794"/>
      <c r="C253" s="1794"/>
      <c r="D253" s="1794"/>
      <c r="E253" s="1794"/>
      <c r="F253" s="1794"/>
      <c r="G253" s="1794"/>
      <c r="H253" s="1794"/>
      <c r="I253" s="1794"/>
      <c r="J253" s="1794"/>
      <c r="K253" s="1794"/>
      <c r="L253" s="1794"/>
      <c r="M253" s="1794"/>
      <c r="N253" s="1794"/>
      <c r="O253" s="1794"/>
      <c r="P253" s="1794"/>
      <c r="Q253" s="1794"/>
      <c r="R253" s="1794"/>
      <c r="S253" s="1794"/>
      <c r="T253" s="1794"/>
      <c r="U253" s="1794"/>
      <c r="V253" s="1794"/>
      <c r="W253" s="1794"/>
      <c r="X253" s="1794"/>
      <c r="Y253" s="1794"/>
      <c r="Z253" s="1794"/>
    </row>
    <row r="254" spans="2:26">
      <c r="B254" s="1794"/>
      <c r="C254" s="1794"/>
      <c r="D254" s="1794"/>
      <c r="E254" s="1794"/>
      <c r="F254" s="1794"/>
      <c r="G254" s="1794"/>
      <c r="H254" s="1794"/>
      <c r="I254" s="1794"/>
      <c r="J254" s="1794"/>
      <c r="K254" s="1794"/>
      <c r="L254" s="1794"/>
      <c r="M254" s="1794"/>
      <c r="N254" s="1794"/>
      <c r="O254" s="1794"/>
      <c r="P254" s="1794"/>
      <c r="Q254" s="1794"/>
      <c r="R254" s="1794"/>
      <c r="S254" s="1794"/>
      <c r="T254" s="1794"/>
      <c r="U254" s="1794"/>
      <c r="V254" s="1794"/>
      <c r="W254" s="1794"/>
      <c r="X254" s="1794"/>
      <c r="Y254" s="1794"/>
      <c r="Z254" s="1794"/>
    </row>
    <row r="255" spans="2:26">
      <c r="B255" s="1794"/>
      <c r="C255" s="1794"/>
      <c r="D255" s="1794"/>
      <c r="E255" s="1794"/>
      <c r="F255" s="1794"/>
      <c r="G255" s="1794"/>
      <c r="H255" s="1794"/>
      <c r="I255" s="1794"/>
      <c r="J255" s="1794"/>
      <c r="K255" s="1794"/>
      <c r="L255" s="1794"/>
      <c r="M255" s="1794"/>
      <c r="N255" s="1794"/>
      <c r="O255" s="1794"/>
      <c r="P255" s="1794"/>
      <c r="Q255" s="1794"/>
      <c r="R255" s="1794"/>
      <c r="S255" s="1794"/>
      <c r="T255" s="1794"/>
      <c r="U255" s="1794"/>
      <c r="V255" s="1794"/>
      <c r="W255" s="1794"/>
      <c r="X255" s="1794"/>
      <c r="Y255" s="1794"/>
      <c r="Z255" s="1794"/>
    </row>
    <row r="256" spans="2:26">
      <c r="B256" s="1794"/>
      <c r="C256" s="1794"/>
      <c r="D256" s="1794"/>
      <c r="E256" s="1794"/>
      <c r="F256" s="1794"/>
      <c r="G256" s="1794"/>
      <c r="H256" s="1794"/>
      <c r="I256" s="1794"/>
      <c r="J256" s="1794"/>
      <c r="K256" s="1794"/>
      <c r="L256" s="1794"/>
      <c r="M256" s="1794"/>
      <c r="N256" s="1794"/>
      <c r="O256" s="1794"/>
      <c r="P256" s="1794"/>
      <c r="Q256" s="1794"/>
      <c r="R256" s="1794"/>
      <c r="S256" s="1794"/>
      <c r="T256" s="1794"/>
      <c r="U256" s="1794"/>
      <c r="V256" s="1794"/>
      <c r="W256" s="1794"/>
      <c r="X256" s="1794"/>
      <c r="Y256" s="1794"/>
      <c r="Z256" s="1794"/>
    </row>
    <row r="257" spans="2:26">
      <c r="B257" s="1794"/>
      <c r="C257" s="1794"/>
      <c r="D257" s="1794"/>
      <c r="E257" s="1794"/>
      <c r="F257" s="1794"/>
      <c r="G257" s="1794"/>
      <c r="H257" s="1794"/>
      <c r="I257" s="1794"/>
      <c r="J257" s="1794"/>
      <c r="K257" s="1794"/>
      <c r="L257" s="1794"/>
      <c r="M257" s="1794"/>
      <c r="N257" s="1794"/>
      <c r="O257" s="1794"/>
      <c r="P257" s="1794"/>
      <c r="Q257" s="1794"/>
      <c r="R257" s="1794"/>
      <c r="S257" s="1794"/>
      <c r="T257" s="1794"/>
      <c r="U257" s="1794"/>
      <c r="V257" s="1794"/>
      <c r="W257" s="1794"/>
      <c r="X257" s="1794"/>
      <c r="Y257" s="1794"/>
      <c r="Z257" s="1794"/>
    </row>
    <row r="258" spans="2:26">
      <c r="B258" s="1794"/>
      <c r="C258" s="1794"/>
      <c r="D258" s="1794"/>
      <c r="E258" s="1794"/>
      <c r="F258" s="1794"/>
      <c r="G258" s="1794"/>
      <c r="H258" s="1794"/>
      <c r="I258" s="1794"/>
      <c r="J258" s="1794"/>
      <c r="K258" s="1794"/>
      <c r="L258" s="1794"/>
      <c r="M258" s="1794"/>
      <c r="N258" s="1794"/>
      <c r="O258" s="1794"/>
      <c r="P258" s="1794"/>
      <c r="Q258" s="1794"/>
      <c r="R258" s="1794"/>
      <c r="S258" s="1794"/>
      <c r="T258" s="1794"/>
      <c r="U258" s="1794"/>
      <c r="V258" s="1794"/>
      <c r="W258" s="1794"/>
      <c r="X258" s="1794"/>
      <c r="Y258" s="1794"/>
      <c r="Z258" s="1794"/>
    </row>
    <row r="259" spans="2:26">
      <c r="B259" s="1794"/>
      <c r="C259" s="1794"/>
      <c r="D259" s="1794"/>
      <c r="E259" s="1794"/>
      <c r="F259" s="1794"/>
      <c r="G259" s="1794"/>
      <c r="H259" s="1794"/>
      <c r="I259" s="1794"/>
      <c r="J259" s="1794"/>
      <c r="K259" s="1794"/>
      <c r="L259" s="1794"/>
      <c r="M259" s="1794"/>
      <c r="N259" s="1794"/>
      <c r="O259" s="1794"/>
      <c r="P259" s="1794"/>
      <c r="Q259" s="1794"/>
      <c r="R259" s="1794"/>
      <c r="S259" s="1794"/>
      <c r="T259" s="1794"/>
      <c r="U259" s="1794"/>
      <c r="V259" s="1794"/>
      <c r="W259" s="1794"/>
      <c r="X259" s="1794"/>
      <c r="Y259" s="1794"/>
      <c r="Z259" s="1794"/>
    </row>
    <row r="260" spans="2:26">
      <c r="B260" s="1794"/>
      <c r="C260" s="1794"/>
      <c r="D260" s="1794"/>
      <c r="E260" s="1794"/>
      <c r="F260" s="1794"/>
      <c r="G260" s="1794"/>
      <c r="H260" s="1794"/>
      <c r="I260" s="1794"/>
      <c r="J260" s="1794"/>
      <c r="K260" s="1794"/>
      <c r="L260" s="1794"/>
      <c r="M260" s="1794"/>
      <c r="N260" s="1794"/>
      <c r="O260" s="1794"/>
      <c r="P260" s="1794"/>
      <c r="Q260" s="1794"/>
      <c r="R260" s="1794"/>
      <c r="S260" s="1794"/>
      <c r="T260" s="1794"/>
      <c r="U260" s="1794"/>
      <c r="V260" s="1794"/>
      <c r="W260" s="1794"/>
      <c r="X260" s="1794"/>
      <c r="Y260" s="1794"/>
      <c r="Z260" s="1794"/>
    </row>
    <row r="261" spans="2:26">
      <c r="B261" s="1794"/>
      <c r="C261" s="1794"/>
      <c r="D261" s="1794"/>
      <c r="E261" s="1794"/>
      <c r="F261" s="1794"/>
      <c r="G261" s="1794"/>
      <c r="H261" s="1794"/>
      <c r="I261" s="1794"/>
      <c r="J261" s="1794"/>
      <c r="K261" s="1794"/>
      <c r="L261" s="1794"/>
      <c r="M261" s="1794"/>
      <c r="N261" s="1794"/>
      <c r="O261" s="1794"/>
      <c r="P261" s="1794"/>
      <c r="Q261" s="1794"/>
      <c r="R261" s="1794"/>
      <c r="S261" s="1794"/>
      <c r="T261" s="1794"/>
      <c r="U261" s="1794"/>
      <c r="V261" s="1794"/>
      <c r="W261" s="1794"/>
      <c r="X261" s="1794"/>
      <c r="Y261" s="1794"/>
      <c r="Z261" s="1794"/>
    </row>
    <row r="262" spans="2:26">
      <c r="B262" s="1794"/>
      <c r="C262" s="1794"/>
      <c r="D262" s="1794"/>
      <c r="E262" s="1794"/>
      <c r="F262" s="1794"/>
      <c r="G262" s="1794"/>
      <c r="H262" s="1794"/>
      <c r="I262" s="1794"/>
      <c r="J262" s="1794"/>
      <c r="K262" s="1794"/>
      <c r="L262" s="1794"/>
      <c r="M262" s="1794"/>
      <c r="N262" s="1794"/>
      <c r="O262" s="1794"/>
      <c r="P262" s="1794"/>
      <c r="Q262" s="1794"/>
      <c r="R262" s="1794"/>
      <c r="S262" s="1794"/>
      <c r="T262" s="1794"/>
      <c r="U262" s="1794"/>
      <c r="V262" s="1794"/>
      <c r="W262" s="1794"/>
      <c r="X262" s="1794"/>
      <c r="Y262" s="1794"/>
      <c r="Z262" s="1794"/>
    </row>
    <row r="263" spans="2:26">
      <c r="B263" s="1794"/>
      <c r="C263" s="1794"/>
      <c r="D263" s="1794"/>
      <c r="E263" s="1794"/>
      <c r="F263" s="1794"/>
      <c r="G263" s="1794"/>
      <c r="H263" s="1794"/>
      <c r="I263" s="1794"/>
      <c r="J263" s="1794"/>
      <c r="K263" s="1794"/>
      <c r="L263" s="1794"/>
      <c r="M263" s="1794"/>
      <c r="N263" s="1794"/>
      <c r="O263" s="1794"/>
      <c r="P263" s="1794"/>
      <c r="Q263" s="1794"/>
      <c r="R263" s="1794"/>
      <c r="S263" s="1794"/>
      <c r="T263" s="1794"/>
      <c r="U263" s="1794"/>
      <c r="V263" s="1794"/>
      <c r="W263" s="1794"/>
      <c r="X263" s="1794"/>
      <c r="Y263" s="1794"/>
      <c r="Z263" s="1794"/>
    </row>
    <row r="264" spans="2:26">
      <c r="B264" s="1794"/>
      <c r="C264" s="1794"/>
      <c r="D264" s="1794"/>
      <c r="E264" s="1794"/>
      <c r="F264" s="1794"/>
      <c r="G264" s="1794"/>
      <c r="H264" s="1794"/>
      <c r="I264" s="1794"/>
      <c r="J264" s="1794"/>
      <c r="K264" s="1794"/>
      <c r="L264" s="1794"/>
      <c r="M264" s="1794"/>
      <c r="N264" s="1794"/>
      <c r="O264" s="1794"/>
      <c r="P264" s="1794"/>
      <c r="Q264" s="1794"/>
      <c r="R264" s="1794"/>
      <c r="S264" s="1794"/>
      <c r="T264" s="1794"/>
      <c r="U264" s="1794"/>
      <c r="V264" s="1794"/>
      <c r="W264" s="1794"/>
      <c r="X264" s="1794"/>
      <c r="Y264" s="1794"/>
      <c r="Z264" s="1794"/>
    </row>
    <row r="265" spans="2:26">
      <c r="B265" s="1794"/>
      <c r="C265" s="1794"/>
      <c r="D265" s="1794"/>
      <c r="E265" s="1794"/>
      <c r="F265" s="1794"/>
      <c r="G265" s="1794"/>
      <c r="H265" s="1794"/>
      <c r="I265" s="1794"/>
      <c r="J265" s="1794"/>
      <c r="K265" s="1794"/>
      <c r="L265" s="1794"/>
      <c r="M265" s="1794"/>
      <c r="N265" s="1794"/>
      <c r="O265" s="1794"/>
      <c r="P265" s="1794"/>
      <c r="Q265" s="1794"/>
      <c r="R265" s="1794"/>
      <c r="S265" s="1794"/>
      <c r="T265" s="1794"/>
      <c r="U265" s="1794"/>
      <c r="V265" s="1794"/>
      <c r="W265" s="1794"/>
      <c r="X265" s="1794"/>
      <c r="Y265" s="1794"/>
      <c r="Z265" s="1794"/>
    </row>
    <row r="266" spans="2:26">
      <c r="B266" s="1794"/>
      <c r="C266" s="1794"/>
      <c r="D266" s="1794"/>
      <c r="E266" s="1794"/>
      <c r="F266" s="1794"/>
      <c r="G266" s="1794"/>
      <c r="H266" s="1794"/>
      <c r="I266" s="1794"/>
      <c r="J266" s="1794"/>
      <c r="K266" s="1794"/>
      <c r="L266" s="1794"/>
      <c r="M266" s="1794"/>
      <c r="N266" s="1794"/>
      <c r="O266" s="1794"/>
      <c r="P266" s="1794"/>
      <c r="Q266" s="1794"/>
      <c r="R266" s="1794"/>
      <c r="S266" s="1794"/>
      <c r="T266" s="1794"/>
      <c r="U266" s="1794"/>
      <c r="V266" s="1794"/>
      <c r="W266" s="1794"/>
      <c r="X266" s="1794"/>
      <c r="Y266" s="1794"/>
      <c r="Z266" s="1794"/>
    </row>
    <row r="267" spans="2:26">
      <c r="B267" s="1794"/>
      <c r="C267" s="1794"/>
      <c r="D267" s="1794"/>
      <c r="E267" s="1794"/>
      <c r="F267" s="1794"/>
      <c r="G267" s="1794"/>
      <c r="H267" s="1794"/>
      <c r="I267" s="1794"/>
      <c r="J267" s="1794"/>
      <c r="K267" s="1794"/>
      <c r="L267" s="1794"/>
      <c r="M267" s="1794"/>
      <c r="N267" s="1794"/>
      <c r="O267" s="1794"/>
      <c r="P267" s="1794"/>
      <c r="Q267" s="1794"/>
      <c r="R267" s="1794"/>
      <c r="S267" s="1794"/>
      <c r="T267" s="1794"/>
      <c r="U267" s="1794"/>
      <c r="V267" s="1794"/>
      <c r="W267" s="1794"/>
      <c r="X267" s="1794"/>
      <c r="Y267" s="1794"/>
      <c r="Z267" s="1794"/>
    </row>
    <row r="268" spans="2:26">
      <c r="B268" s="1794"/>
      <c r="C268" s="1794"/>
      <c r="D268" s="1794"/>
      <c r="E268" s="1794"/>
      <c r="F268" s="1794"/>
      <c r="G268" s="1794"/>
      <c r="H268" s="1794"/>
      <c r="I268" s="1794"/>
      <c r="J268" s="1794"/>
      <c r="K268" s="1794"/>
      <c r="L268" s="1794"/>
      <c r="M268" s="1794"/>
      <c r="N268" s="1794"/>
      <c r="O268" s="1794"/>
      <c r="P268" s="1794"/>
      <c r="Q268" s="1794"/>
      <c r="R268" s="1794"/>
      <c r="S268" s="1794"/>
      <c r="T268" s="1794"/>
      <c r="U268" s="1794"/>
      <c r="V268" s="1794"/>
      <c r="W268" s="1794"/>
      <c r="X268" s="1794"/>
      <c r="Y268" s="1794"/>
      <c r="Z268" s="1794"/>
    </row>
    <row r="269" spans="2:26">
      <c r="B269" s="1794"/>
      <c r="C269" s="1794"/>
      <c r="D269" s="1794"/>
      <c r="E269" s="1794"/>
      <c r="F269" s="1794"/>
      <c r="G269" s="1794"/>
      <c r="H269" s="1794"/>
      <c r="I269" s="1794"/>
      <c r="J269" s="1794"/>
      <c r="K269" s="1794"/>
      <c r="L269" s="1794"/>
      <c r="M269" s="1794"/>
      <c r="N269" s="1794"/>
      <c r="O269" s="1794"/>
      <c r="P269" s="1794"/>
      <c r="Q269" s="1794"/>
      <c r="R269" s="1794"/>
      <c r="S269" s="1794"/>
      <c r="T269" s="1794"/>
      <c r="U269" s="1794"/>
      <c r="V269" s="1794"/>
      <c r="W269" s="1794"/>
      <c r="X269" s="1794"/>
      <c r="Y269" s="1794"/>
      <c r="Z269" s="1794"/>
    </row>
    <row r="270" spans="2:26">
      <c r="B270" s="1794"/>
      <c r="C270" s="1794"/>
      <c r="D270" s="1794"/>
      <c r="E270" s="1794"/>
      <c r="F270" s="1794"/>
      <c r="G270" s="1794"/>
      <c r="H270" s="1794"/>
      <c r="I270" s="1794"/>
      <c r="J270" s="1794"/>
      <c r="K270" s="1794"/>
      <c r="L270" s="1794"/>
      <c r="M270" s="1794"/>
      <c r="N270" s="1794"/>
      <c r="O270" s="1794"/>
      <c r="P270" s="1794"/>
      <c r="Q270" s="1794"/>
      <c r="R270" s="1794"/>
      <c r="S270" s="1794"/>
      <c r="T270" s="1794"/>
      <c r="U270" s="1794"/>
      <c r="V270" s="1794"/>
      <c r="W270" s="1794"/>
      <c r="X270" s="1794"/>
      <c r="Y270" s="1794"/>
      <c r="Z270" s="1794"/>
    </row>
    <row r="271" spans="2:26">
      <c r="B271" s="1794"/>
      <c r="C271" s="1794"/>
      <c r="D271" s="1794"/>
      <c r="E271" s="1794"/>
      <c r="F271" s="1794"/>
      <c r="G271" s="1794"/>
      <c r="H271" s="1794"/>
      <c r="I271" s="1794"/>
      <c r="J271" s="1794"/>
      <c r="K271" s="1794"/>
      <c r="L271" s="1794"/>
      <c r="M271" s="1794"/>
      <c r="N271" s="1794"/>
      <c r="O271" s="1794"/>
      <c r="P271" s="1794"/>
      <c r="Q271" s="1794"/>
      <c r="R271" s="1794"/>
      <c r="S271" s="1794"/>
      <c r="T271" s="1794"/>
      <c r="U271" s="1794"/>
      <c r="V271" s="1794"/>
      <c r="W271" s="1794"/>
      <c r="X271" s="1794"/>
      <c r="Y271" s="1794"/>
      <c r="Z271" s="1794"/>
    </row>
    <row r="272" spans="2:26">
      <c r="B272" s="1794"/>
      <c r="C272" s="1794"/>
      <c r="D272" s="1794"/>
      <c r="E272" s="1794"/>
      <c r="F272" s="1794"/>
      <c r="G272" s="1794"/>
      <c r="H272" s="1794"/>
      <c r="I272" s="1794"/>
      <c r="J272" s="1794"/>
      <c r="K272" s="1794"/>
      <c r="L272" s="1794"/>
      <c r="M272" s="1794"/>
      <c r="N272" s="1794"/>
      <c r="O272" s="1794"/>
      <c r="P272" s="1794"/>
      <c r="Q272" s="1794"/>
      <c r="R272" s="1794"/>
      <c r="S272" s="1794"/>
      <c r="T272" s="1794"/>
      <c r="U272" s="1794"/>
      <c r="V272" s="1794"/>
      <c r="W272" s="1794"/>
      <c r="X272" s="1794"/>
      <c r="Y272" s="1794"/>
      <c r="Z272" s="1794"/>
    </row>
    <row r="273" spans="2:26">
      <c r="B273" s="1794"/>
      <c r="C273" s="1794"/>
      <c r="D273" s="1794"/>
      <c r="E273" s="1794"/>
      <c r="F273" s="1794"/>
      <c r="G273" s="1794"/>
      <c r="H273" s="1794"/>
      <c r="I273" s="1794"/>
      <c r="J273" s="1794"/>
      <c r="K273" s="1794"/>
      <c r="L273" s="1794"/>
      <c r="M273" s="1794"/>
      <c r="N273" s="1794"/>
      <c r="O273" s="1794"/>
      <c r="P273" s="1794"/>
      <c r="Q273" s="1794"/>
      <c r="R273" s="1794"/>
      <c r="S273" s="1794"/>
      <c r="T273" s="1794"/>
      <c r="U273" s="1794"/>
      <c r="V273" s="1794"/>
      <c r="W273" s="1794"/>
      <c r="X273" s="1794"/>
      <c r="Y273" s="1794"/>
      <c r="Z273" s="1794"/>
    </row>
    <row r="274" spans="2:26">
      <c r="B274" s="1794"/>
      <c r="C274" s="1794"/>
      <c r="D274" s="1794"/>
      <c r="E274" s="1794"/>
      <c r="F274" s="1794"/>
      <c r="G274" s="1794"/>
      <c r="H274" s="1794"/>
      <c r="I274" s="1794"/>
      <c r="J274" s="1794"/>
      <c r="K274" s="1794"/>
      <c r="L274" s="1794"/>
      <c r="M274" s="1794"/>
      <c r="N274" s="1794"/>
      <c r="O274" s="1794"/>
      <c r="P274" s="1794"/>
      <c r="Q274" s="1794"/>
      <c r="R274" s="1794"/>
      <c r="S274" s="1794"/>
      <c r="T274" s="1794"/>
      <c r="U274" s="1794"/>
      <c r="V274" s="1794"/>
      <c r="W274" s="1794"/>
      <c r="X274" s="1794"/>
      <c r="Y274" s="1794"/>
      <c r="Z274" s="1794"/>
    </row>
    <row r="275" spans="2:26">
      <c r="B275" s="1794"/>
      <c r="C275" s="1794"/>
      <c r="D275" s="1794"/>
      <c r="E275" s="1794"/>
      <c r="F275" s="1794"/>
      <c r="G275" s="1794"/>
      <c r="H275" s="1794"/>
      <c r="I275" s="1794"/>
      <c r="J275" s="1794"/>
      <c r="K275" s="1794"/>
      <c r="L275" s="1794"/>
      <c r="M275" s="1794"/>
      <c r="N275" s="1794"/>
      <c r="O275" s="1794"/>
      <c r="P275" s="1794"/>
      <c r="Q275" s="1794"/>
      <c r="R275" s="1794"/>
      <c r="S275" s="1794"/>
      <c r="T275" s="1794"/>
      <c r="U275" s="1794"/>
      <c r="V275" s="1794"/>
      <c r="W275" s="1794"/>
      <c r="X275" s="1794"/>
      <c r="Y275" s="1794"/>
      <c r="Z275" s="1794"/>
    </row>
    <row r="276" spans="2:26">
      <c r="B276" s="1794"/>
      <c r="C276" s="1794"/>
      <c r="D276" s="1794"/>
      <c r="E276" s="1794"/>
      <c r="F276" s="1794"/>
      <c r="G276" s="1794"/>
      <c r="H276" s="1794"/>
      <c r="I276" s="1794"/>
      <c r="J276" s="1794"/>
      <c r="K276" s="1794"/>
      <c r="L276" s="1794"/>
      <c r="M276" s="1794"/>
      <c r="N276" s="1794"/>
      <c r="O276" s="1794"/>
      <c r="P276" s="1794"/>
      <c r="Q276" s="1794"/>
      <c r="R276" s="1794"/>
      <c r="S276" s="1794"/>
      <c r="T276" s="1794"/>
      <c r="U276" s="1794"/>
      <c r="V276" s="1794"/>
      <c r="W276" s="1794"/>
      <c r="X276" s="1794"/>
      <c r="Y276" s="1794"/>
      <c r="Z276" s="1794"/>
    </row>
    <row r="277" spans="2:26">
      <c r="B277" s="1794"/>
      <c r="C277" s="1794"/>
      <c r="D277" s="1794"/>
      <c r="E277" s="1794"/>
      <c r="F277" s="1794"/>
      <c r="G277" s="1794"/>
      <c r="H277" s="1794"/>
      <c r="I277" s="1794"/>
      <c r="J277" s="1794"/>
      <c r="K277" s="1794"/>
      <c r="L277" s="1794"/>
      <c r="M277" s="1794"/>
      <c r="N277" s="1794"/>
      <c r="O277" s="1794"/>
      <c r="P277" s="1794"/>
      <c r="Q277" s="1794"/>
      <c r="R277" s="1794"/>
      <c r="S277" s="1794"/>
      <c r="T277" s="1794"/>
      <c r="U277" s="1794"/>
      <c r="V277" s="1794"/>
      <c r="W277" s="1794"/>
      <c r="X277" s="1794"/>
      <c r="Y277" s="1794"/>
      <c r="Z277" s="1794"/>
    </row>
    <row r="278" spans="2:26">
      <c r="B278" s="1794"/>
      <c r="C278" s="1794"/>
      <c r="D278" s="1794"/>
      <c r="E278" s="1794"/>
      <c r="F278" s="1794"/>
      <c r="G278" s="1794"/>
      <c r="H278" s="1794"/>
      <c r="I278" s="1794"/>
      <c r="J278" s="1794"/>
      <c r="K278" s="1794"/>
      <c r="L278" s="1794"/>
      <c r="M278" s="1794"/>
      <c r="N278" s="1794"/>
      <c r="O278" s="1794"/>
      <c r="P278" s="1794"/>
      <c r="Q278" s="1794"/>
      <c r="R278" s="1794"/>
      <c r="S278" s="1794"/>
      <c r="T278" s="1794"/>
      <c r="U278" s="1794"/>
      <c r="V278" s="1794"/>
      <c r="W278" s="1794"/>
      <c r="X278" s="1794"/>
      <c r="Y278" s="1794"/>
      <c r="Z278" s="1794"/>
    </row>
    <row r="279" spans="2:26">
      <c r="B279" s="1794"/>
      <c r="C279" s="1794"/>
      <c r="D279" s="1794"/>
      <c r="E279" s="1794"/>
      <c r="F279" s="1794"/>
      <c r="G279" s="1794"/>
      <c r="H279" s="1794"/>
      <c r="I279" s="1794"/>
      <c r="J279" s="1794"/>
      <c r="K279" s="1794"/>
      <c r="L279" s="1794"/>
      <c r="M279" s="1794"/>
      <c r="N279" s="1794"/>
      <c r="O279" s="1794"/>
      <c r="P279" s="1794"/>
      <c r="Q279" s="1794"/>
      <c r="R279" s="1794"/>
      <c r="S279" s="1794"/>
      <c r="T279" s="1794"/>
      <c r="U279" s="1794"/>
      <c r="V279" s="1794"/>
      <c r="W279" s="1794"/>
      <c r="X279" s="1794"/>
      <c r="Y279" s="1794"/>
      <c r="Z279" s="1794"/>
    </row>
    <row r="280" spans="2:26">
      <c r="B280" s="1794"/>
      <c r="C280" s="1794"/>
      <c r="D280" s="1794"/>
      <c r="E280" s="1794"/>
      <c r="F280" s="1794"/>
      <c r="G280" s="1794"/>
      <c r="H280" s="1794"/>
      <c r="I280" s="1794"/>
      <c r="J280" s="1794"/>
      <c r="K280" s="1794"/>
      <c r="L280" s="1794"/>
      <c r="M280" s="1794"/>
      <c r="N280" s="1794"/>
      <c r="O280" s="1794"/>
      <c r="P280" s="1794"/>
      <c r="Q280" s="1794"/>
      <c r="R280" s="1794"/>
      <c r="S280" s="1794"/>
      <c r="T280" s="1794"/>
      <c r="U280" s="1794"/>
      <c r="V280" s="1794"/>
      <c r="W280" s="1794"/>
      <c r="X280" s="1794"/>
      <c r="Y280" s="1794"/>
      <c r="Z280" s="1794"/>
    </row>
    <row r="281" spans="2:26">
      <c r="B281" s="1794"/>
      <c r="C281" s="1794"/>
      <c r="D281" s="1794"/>
      <c r="E281" s="1794"/>
      <c r="F281" s="1794"/>
      <c r="G281" s="1794"/>
      <c r="H281" s="1794"/>
      <c r="I281" s="1794"/>
      <c r="J281" s="1794"/>
      <c r="K281" s="1794"/>
      <c r="L281" s="1794"/>
      <c r="M281" s="1794"/>
      <c r="N281" s="1794"/>
      <c r="O281" s="1794"/>
      <c r="P281" s="1794"/>
      <c r="Q281" s="1794"/>
      <c r="R281" s="1794"/>
      <c r="S281" s="1794"/>
      <c r="T281" s="1794"/>
      <c r="U281" s="1794"/>
      <c r="V281" s="1794"/>
      <c r="W281" s="1794"/>
      <c r="X281" s="1794"/>
      <c r="Y281" s="1794"/>
      <c r="Z281" s="1794"/>
    </row>
    <row r="282" spans="2:26">
      <c r="B282" s="1794"/>
      <c r="C282" s="1794"/>
      <c r="D282" s="1794"/>
      <c r="E282" s="1794"/>
      <c r="F282" s="1794"/>
      <c r="G282" s="1794"/>
      <c r="H282" s="1794"/>
      <c r="I282" s="1794"/>
      <c r="J282" s="1794"/>
      <c r="K282" s="1794"/>
      <c r="L282" s="1794"/>
      <c r="M282" s="1794"/>
      <c r="N282" s="1794"/>
      <c r="O282" s="1794"/>
      <c r="P282" s="1794"/>
      <c r="Q282" s="1794"/>
      <c r="R282" s="1794"/>
      <c r="S282" s="1794"/>
      <c r="T282" s="1794"/>
      <c r="U282" s="1794"/>
      <c r="V282" s="1794"/>
      <c r="W282" s="1794"/>
      <c r="X282" s="1794"/>
      <c r="Y282" s="1794"/>
      <c r="Z282" s="1794"/>
    </row>
    <row r="283" spans="2:26">
      <c r="B283" s="1794"/>
      <c r="C283" s="1794"/>
      <c r="D283" s="1794"/>
      <c r="E283" s="1794"/>
      <c r="F283" s="1794"/>
      <c r="G283" s="1794"/>
      <c r="H283" s="1794"/>
      <c r="I283" s="1794"/>
      <c r="J283" s="1794"/>
      <c r="K283" s="1794"/>
      <c r="L283" s="1794"/>
      <c r="M283" s="1794"/>
      <c r="N283" s="1794"/>
      <c r="O283" s="1794"/>
      <c r="P283" s="1794"/>
      <c r="Q283" s="1794"/>
      <c r="R283" s="1794"/>
      <c r="S283" s="1794"/>
      <c r="T283" s="1794"/>
      <c r="U283" s="1794"/>
      <c r="V283" s="1794"/>
      <c r="W283" s="1794"/>
      <c r="X283" s="1794"/>
      <c r="Y283" s="1794"/>
      <c r="Z283" s="1794"/>
    </row>
    <row r="284" spans="2:26">
      <c r="B284" s="1794"/>
      <c r="C284" s="1794"/>
      <c r="D284" s="1794"/>
      <c r="E284" s="1794"/>
      <c r="F284" s="1794"/>
      <c r="G284" s="1794"/>
      <c r="H284" s="1794"/>
      <c r="I284" s="1794"/>
      <c r="J284" s="1794"/>
      <c r="K284" s="1794"/>
      <c r="L284" s="1794"/>
      <c r="M284" s="1794"/>
      <c r="N284" s="1794"/>
      <c r="O284" s="1794"/>
      <c r="P284" s="1794"/>
      <c r="Q284" s="1794"/>
      <c r="R284" s="1794"/>
      <c r="S284" s="1794"/>
      <c r="T284" s="1794"/>
      <c r="U284" s="1794"/>
      <c r="V284" s="1794"/>
      <c r="W284" s="1794"/>
      <c r="X284" s="1794"/>
      <c r="Y284" s="1794"/>
      <c r="Z284" s="1794"/>
    </row>
    <row r="285" spans="2:26">
      <c r="B285" s="1794"/>
      <c r="C285" s="1794"/>
      <c r="D285" s="1794"/>
      <c r="E285" s="1794"/>
      <c r="F285" s="1794"/>
      <c r="G285" s="1794"/>
      <c r="H285" s="1794"/>
      <c r="I285" s="1794"/>
      <c r="J285" s="1794"/>
      <c r="K285" s="1794"/>
      <c r="L285" s="1794"/>
      <c r="M285" s="1794"/>
      <c r="N285" s="1794"/>
      <c r="O285" s="1794"/>
      <c r="P285" s="1794"/>
      <c r="Q285" s="1794"/>
      <c r="R285" s="1794"/>
      <c r="S285" s="1794"/>
      <c r="T285" s="1794"/>
      <c r="U285" s="1794"/>
      <c r="V285" s="1794"/>
      <c r="W285" s="1794"/>
      <c r="X285" s="1794"/>
      <c r="Y285" s="1794"/>
      <c r="Z285" s="1794"/>
    </row>
    <row r="286" spans="2:26">
      <c r="B286" s="1794"/>
      <c r="C286" s="1794"/>
      <c r="D286" s="1794"/>
      <c r="E286" s="1794"/>
      <c r="F286" s="1794"/>
      <c r="G286" s="1794"/>
      <c r="H286" s="1794"/>
      <c r="I286" s="1794"/>
      <c r="J286" s="1794"/>
      <c r="K286" s="1794"/>
      <c r="L286" s="1794"/>
      <c r="M286" s="1794"/>
      <c r="N286" s="1794"/>
      <c r="O286" s="1794"/>
      <c r="P286" s="1794"/>
      <c r="Q286" s="1794"/>
      <c r="R286" s="1794"/>
      <c r="S286" s="1794"/>
      <c r="T286" s="1794"/>
      <c r="U286" s="1794"/>
      <c r="V286" s="1794"/>
      <c r="W286" s="1794"/>
      <c r="X286" s="1794"/>
      <c r="Y286" s="1794"/>
      <c r="Z286" s="1794"/>
    </row>
    <row r="287" spans="2:26">
      <c r="B287" s="1794"/>
      <c r="C287" s="1794"/>
      <c r="D287" s="1794"/>
      <c r="E287" s="1794"/>
      <c r="F287" s="1794"/>
      <c r="G287" s="1794"/>
      <c r="H287" s="1794"/>
      <c r="I287" s="1794"/>
      <c r="J287" s="1794"/>
      <c r="K287" s="1794"/>
      <c r="L287" s="1794"/>
      <c r="M287" s="1794"/>
      <c r="N287" s="1794"/>
      <c r="O287" s="1794"/>
      <c r="P287" s="1794"/>
      <c r="Q287" s="1794"/>
      <c r="R287" s="1794"/>
      <c r="S287" s="1794"/>
      <c r="T287" s="1794"/>
      <c r="U287" s="1794"/>
      <c r="V287" s="1794"/>
      <c r="W287" s="1794"/>
      <c r="X287" s="1794"/>
      <c r="Y287" s="1794"/>
      <c r="Z287" s="1794"/>
    </row>
    <row r="288" spans="2:26">
      <c r="B288" s="1794"/>
      <c r="C288" s="1794"/>
      <c r="D288" s="1794"/>
      <c r="E288" s="1794"/>
      <c r="F288" s="1794"/>
      <c r="G288" s="1794"/>
      <c r="H288" s="1794"/>
      <c r="I288" s="1794"/>
      <c r="J288" s="1794"/>
      <c r="K288" s="1794"/>
      <c r="L288" s="1794"/>
      <c r="M288" s="1794"/>
      <c r="N288" s="1794"/>
      <c r="O288" s="1794"/>
      <c r="P288" s="1794"/>
      <c r="Q288" s="1794"/>
      <c r="R288" s="1794"/>
      <c r="S288" s="1794"/>
      <c r="T288" s="1794"/>
      <c r="U288" s="1794"/>
      <c r="V288" s="1794"/>
      <c r="W288" s="1794"/>
      <c r="X288" s="1794"/>
      <c r="Y288" s="1794"/>
      <c r="Z288" s="1794"/>
    </row>
    <row r="289" spans="2:26">
      <c r="B289" s="1794"/>
      <c r="C289" s="1794"/>
      <c r="D289" s="1794"/>
      <c r="E289" s="1794"/>
      <c r="F289" s="1794"/>
      <c r="G289" s="1794"/>
      <c r="H289" s="1794"/>
      <c r="I289" s="1794"/>
      <c r="J289" s="1794"/>
      <c r="K289" s="1794"/>
      <c r="L289" s="1794"/>
      <c r="M289" s="1794"/>
      <c r="N289" s="1794"/>
      <c r="O289" s="1794"/>
      <c r="P289" s="1794"/>
      <c r="Q289" s="1794"/>
      <c r="R289" s="1794"/>
      <c r="S289" s="1794"/>
      <c r="T289" s="1794"/>
      <c r="U289" s="1794"/>
      <c r="V289" s="1794"/>
      <c r="W289" s="1794"/>
      <c r="X289" s="1794"/>
      <c r="Y289" s="1794"/>
      <c r="Z289" s="1794"/>
    </row>
    <row r="290" spans="2:26">
      <c r="B290" s="1794"/>
      <c r="C290" s="1794"/>
      <c r="D290" s="1794"/>
      <c r="E290" s="1794"/>
      <c r="F290" s="1794"/>
      <c r="G290" s="1794"/>
      <c r="H290" s="1794"/>
      <c r="I290" s="1794"/>
      <c r="J290" s="1794"/>
      <c r="K290" s="1794"/>
      <c r="L290" s="1794"/>
      <c r="M290" s="1794"/>
      <c r="N290" s="1794"/>
      <c r="O290" s="1794"/>
      <c r="P290" s="1794"/>
      <c r="Q290" s="1794"/>
      <c r="R290" s="1794"/>
      <c r="S290" s="1794"/>
      <c r="T290" s="1794"/>
      <c r="U290" s="1794"/>
      <c r="V290" s="1794"/>
      <c r="W290" s="1794"/>
      <c r="X290" s="1794"/>
      <c r="Y290" s="1794"/>
      <c r="Z290" s="1794"/>
    </row>
    <row r="291" spans="2:26">
      <c r="B291" s="1794"/>
      <c r="C291" s="1794"/>
      <c r="D291" s="1794"/>
      <c r="E291" s="1794"/>
      <c r="F291" s="1794"/>
      <c r="G291" s="1794"/>
      <c r="H291" s="1794"/>
      <c r="I291" s="1794"/>
      <c r="J291" s="1794"/>
      <c r="K291" s="1794"/>
      <c r="L291" s="1794"/>
      <c r="M291" s="1794"/>
      <c r="N291" s="1794"/>
      <c r="O291" s="1794"/>
      <c r="P291" s="1794"/>
      <c r="Q291" s="1794"/>
      <c r="R291" s="1794"/>
      <c r="S291" s="1794"/>
      <c r="T291" s="1794"/>
      <c r="U291" s="1794"/>
      <c r="V291" s="1794"/>
      <c r="W291" s="1794"/>
      <c r="X291" s="1794"/>
      <c r="Y291" s="1794"/>
      <c r="Z291" s="1794"/>
    </row>
    <row r="292" spans="2:26">
      <c r="B292" s="1794"/>
      <c r="C292" s="1794"/>
      <c r="D292" s="1794"/>
      <c r="E292" s="1794"/>
      <c r="F292" s="1794"/>
      <c r="G292" s="1794"/>
      <c r="H292" s="1794"/>
      <c r="I292" s="1794"/>
      <c r="J292" s="1794"/>
      <c r="K292" s="1794"/>
      <c r="L292" s="1794"/>
      <c r="M292" s="1794"/>
      <c r="N292" s="1794"/>
      <c r="O292" s="1794"/>
      <c r="P292" s="1794"/>
      <c r="Q292" s="1794"/>
      <c r="R292" s="1794"/>
      <c r="S292" s="1794"/>
      <c r="T292" s="1794"/>
      <c r="U292" s="1794"/>
      <c r="V292" s="1794"/>
      <c r="W292" s="1794"/>
      <c r="X292" s="1794"/>
      <c r="Y292" s="1794"/>
      <c r="Z292" s="1794"/>
    </row>
    <row r="293" spans="2:26">
      <c r="B293" s="1794"/>
      <c r="C293" s="1794"/>
      <c r="D293" s="1794"/>
      <c r="E293" s="1794"/>
      <c r="F293" s="1794"/>
      <c r="G293" s="1794"/>
      <c r="H293" s="1794"/>
      <c r="I293" s="1794"/>
      <c r="J293" s="1794"/>
      <c r="K293" s="1794"/>
      <c r="L293" s="1794"/>
      <c r="M293" s="1794"/>
      <c r="N293" s="1794"/>
      <c r="O293" s="1794"/>
      <c r="P293" s="1794"/>
      <c r="Q293" s="1794"/>
      <c r="R293" s="1794"/>
      <c r="S293" s="1794"/>
      <c r="T293" s="1794"/>
      <c r="U293" s="1794"/>
      <c r="V293" s="1794"/>
      <c r="W293" s="1794"/>
      <c r="X293" s="1794"/>
      <c r="Y293" s="1794"/>
      <c r="Z293" s="1794"/>
    </row>
    <row r="294" spans="2:26">
      <c r="B294" s="1794"/>
      <c r="C294" s="1794"/>
      <c r="D294" s="1794"/>
      <c r="E294" s="1794"/>
      <c r="F294" s="1794"/>
      <c r="G294" s="1794"/>
      <c r="H294" s="1794"/>
      <c r="I294" s="1794"/>
      <c r="J294" s="1794"/>
      <c r="K294" s="1794"/>
      <c r="L294" s="1794"/>
      <c r="M294" s="1794"/>
      <c r="N294" s="1794"/>
      <c r="O294" s="1794"/>
      <c r="P294" s="1794"/>
      <c r="Q294" s="1794"/>
      <c r="R294" s="1794"/>
      <c r="S294" s="1794"/>
      <c r="T294" s="1794"/>
      <c r="U294" s="1794"/>
      <c r="V294" s="1794"/>
      <c r="W294" s="1794"/>
      <c r="X294" s="1794"/>
      <c r="Y294" s="1794"/>
      <c r="Z294" s="1794"/>
    </row>
    <row r="295" spans="2:26">
      <c r="B295" s="1794"/>
      <c r="C295" s="1794"/>
      <c r="D295" s="1794"/>
      <c r="E295" s="1794"/>
      <c r="F295" s="1794"/>
      <c r="G295" s="1794"/>
      <c r="H295" s="1794"/>
      <c r="I295" s="1794"/>
      <c r="J295" s="1794"/>
      <c r="K295" s="1794"/>
      <c r="L295" s="1794"/>
      <c r="M295" s="1794"/>
      <c r="N295" s="1794"/>
      <c r="O295" s="1794"/>
      <c r="P295" s="1794"/>
      <c r="Q295" s="1794"/>
      <c r="R295" s="1794"/>
      <c r="S295" s="1794"/>
      <c r="T295" s="1794"/>
      <c r="U295" s="1794"/>
      <c r="V295" s="1794"/>
      <c r="W295" s="1794"/>
      <c r="X295" s="1794"/>
      <c r="Y295" s="1794"/>
      <c r="Z295" s="1794"/>
    </row>
    <row r="296" spans="2:26">
      <c r="B296" s="1794"/>
      <c r="C296" s="1794"/>
      <c r="D296" s="1794"/>
      <c r="E296" s="1794"/>
      <c r="F296" s="1794"/>
      <c r="G296" s="1794"/>
      <c r="H296" s="1794"/>
      <c r="I296" s="1794"/>
      <c r="J296" s="1794"/>
      <c r="K296" s="1794"/>
      <c r="L296" s="1794"/>
      <c r="M296" s="1794"/>
      <c r="N296" s="1794"/>
      <c r="O296" s="1794"/>
      <c r="P296" s="1794"/>
      <c r="Q296" s="1794"/>
      <c r="R296" s="1794"/>
      <c r="S296" s="1794"/>
      <c r="T296" s="1794"/>
      <c r="U296" s="1794"/>
      <c r="V296" s="1794"/>
      <c r="W296" s="1794"/>
      <c r="X296" s="1794"/>
      <c r="Y296" s="1794"/>
      <c r="Z296" s="1794"/>
    </row>
    <row r="297" spans="2:26">
      <c r="B297" s="1794"/>
      <c r="C297" s="1794"/>
      <c r="D297" s="1794"/>
      <c r="E297" s="1794"/>
      <c r="F297" s="1794"/>
      <c r="G297" s="1794"/>
      <c r="H297" s="1794"/>
      <c r="I297" s="1794"/>
      <c r="J297" s="1794"/>
      <c r="K297" s="1794"/>
      <c r="L297" s="1794"/>
      <c r="M297" s="1794"/>
      <c r="N297" s="1794"/>
      <c r="O297" s="1794"/>
      <c r="P297" s="1794"/>
      <c r="Q297" s="1794"/>
      <c r="R297" s="1794"/>
      <c r="S297" s="1794"/>
      <c r="T297" s="1794"/>
      <c r="U297" s="1794"/>
      <c r="V297" s="1794"/>
      <c r="W297" s="1794"/>
      <c r="X297" s="1794"/>
      <c r="Y297" s="1794"/>
      <c r="Z297" s="1794"/>
    </row>
    <row r="298" spans="2:26">
      <c r="B298" s="1794"/>
      <c r="C298" s="1794"/>
      <c r="D298" s="1794"/>
      <c r="E298" s="1794"/>
      <c r="F298" s="1794"/>
      <c r="G298" s="1794"/>
      <c r="H298" s="1794"/>
      <c r="I298" s="1794"/>
      <c r="J298" s="1794"/>
      <c r="K298" s="1794"/>
      <c r="L298" s="1794"/>
      <c r="M298" s="1794"/>
      <c r="N298" s="1794"/>
      <c r="O298" s="1794"/>
      <c r="P298" s="1794"/>
      <c r="Q298" s="1794"/>
      <c r="R298" s="1794"/>
      <c r="S298" s="1794"/>
      <c r="T298" s="1794"/>
      <c r="U298" s="1794"/>
      <c r="V298" s="1794"/>
      <c r="W298" s="1794"/>
      <c r="X298" s="1794"/>
      <c r="Y298" s="1794"/>
      <c r="Z298" s="1794"/>
    </row>
    <row r="299" spans="2:26">
      <c r="B299" s="1794"/>
      <c r="C299" s="1794"/>
      <c r="D299" s="1794"/>
      <c r="E299" s="1794"/>
      <c r="F299" s="1794"/>
      <c r="G299" s="1794"/>
      <c r="H299" s="1794"/>
      <c r="I299" s="1794"/>
      <c r="J299" s="1794"/>
      <c r="K299" s="1794"/>
      <c r="L299" s="1794"/>
      <c r="M299" s="1794"/>
      <c r="N299" s="1794"/>
      <c r="O299" s="1794"/>
      <c r="P299" s="1794"/>
      <c r="Q299" s="1794"/>
      <c r="R299" s="1794"/>
      <c r="S299" s="1794"/>
      <c r="T299" s="1794"/>
      <c r="U299" s="1794"/>
      <c r="V299" s="1794"/>
      <c r="W299" s="1794"/>
      <c r="X299" s="1794"/>
      <c r="Y299" s="1794"/>
      <c r="Z299" s="1794"/>
    </row>
    <row r="300" spans="2:26">
      <c r="B300" s="1794"/>
      <c r="C300" s="1794"/>
      <c r="D300" s="1794"/>
      <c r="E300" s="1794"/>
      <c r="F300" s="1794"/>
      <c r="G300" s="1794"/>
      <c r="H300" s="1794"/>
      <c r="I300" s="1794"/>
      <c r="J300" s="1794"/>
      <c r="K300" s="1794"/>
      <c r="L300" s="1794"/>
      <c r="M300" s="1794"/>
      <c r="N300" s="1794"/>
      <c r="O300" s="1794"/>
      <c r="P300" s="1794"/>
      <c r="Q300" s="1794"/>
      <c r="R300" s="1794"/>
      <c r="S300" s="1794"/>
      <c r="T300" s="1794"/>
      <c r="U300" s="1794"/>
      <c r="V300" s="1794"/>
      <c r="W300" s="1794"/>
      <c r="X300" s="1794"/>
      <c r="Y300" s="1794"/>
      <c r="Z300" s="1794"/>
    </row>
    <row r="301" spans="2:26">
      <c r="B301" s="1794"/>
      <c r="C301" s="1794"/>
      <c r="D301" s="1794"/>
      <c r="E301" s="1794"/>
      <c r="F301" s="1794"/>
      <c r="G301" s="1794"/>
      <c r="H301" s="1794"/>
      <c r="I301" s="1794"/>
      <c r="J301" s="1794"/>
      <c r="K301" s="1794"/>
      <c r="L301" s="1794"/>
      <c r="M301" s="1794"/>
      <c r="N301" s="1794"/>
      <c r="O301" s="1794"/>
      <c r="P301" s="1794"/>
      <c r="Q301" s="1794"/>
      <c r="R301" s="1794"/>
      <c r="S301" s="1794"/>
      <c r="T301" s="1794"/>
      <c r="U301" s="1794"/>
      <c r="V301" s="1794"/>
      <c r="W301" s="1794"/>
      <c r="X301" s="1794"/>
      <c r="Y301" s="1794"/>
      <c r="Z301" s="1794"/>
    </row>
    <row r="302" spans="2:26">
      <c r="B302" s="1794"/>
      <c r="C302" s="1794"/>
      <c r="D302" s="1794"/>
      <c r="E302" s="1794"/>
      <c r="F302" s="1794"/>
      <c r="G302" s="1794"/>
      <c r="H302" s="1794"/>
      <c r="I302" s="1794"/>
      <c r="J302" s="1794"/>
      <c r="K302" s="1794"/>
      <c r="L302" s="1794"/>
      <c r="M302" s="1794"/>
      <c r="N302" s="1794"/>
      <c r="O302" s="1794"/>
      <c r="P302" s="1794"/>
      <c r="Q302" s="1794"/>
      <c r="R302" s="1794"/>
      <c r="S302" s="1794"/>
      <c r="T302" s="1794"/>
      <c r="U302" s="1794"/>
      <c r="V302" s="1794"/>
      <c r="W302" s="1794"/>
      <c r="X302" s="1794"/>
      <c r="Y302" s="1794"/>
      <c r="Z302" s="1794"/>
    </row>
    <row r="303" spans="2:26">
      <c r="B303" s="1794"/>
      <c r="C303" s="1794"/>
      <c r="D303" s="1794"/>
      <c r="E303" s="1794"/>
      <c r="F303" s="1794"/>
      <c r="G303" s="1794"/>
      <c r="H303" s="1794"/>
      <c r="I303" s="1794"/>
      <c r="J303" s="1794"/>
      <c r="K303" s="1794"/>
      <c r="L303" s="1794"/>
      <c r="M303" s="1794"/>
      <c r="N303" s="1794"/>
      <c r="O303" s="1794"/>
      <c r="P303" s="1794"/>
      <c r="Q303" s="1794"/>
      <c r="R303" s="1794"/>
      <c r="S303" s="1794"/>
      <c r="T303" s="1794"/>
      <c r="U303" s="1794"/>
      <c r="V303" s="1794"/>
      <c r="W303" s="1794"/>
      <c r="X303" s="1794"/>
      <c r="Y303" s="1794"/>
      <c r="Z303" s="1794"/>
    </row>
    <row r="304" spans="2:26">
      <c r="B304" s="1804"/>
      <c r="C304" s="1804"/>
      <c r="D304" s="1804"/>
      <c r="E304" s="1804"/>
      <c r="F304" s="1804"/>
      <c r="G304" s="1804"/>
      <c r="H304" s="1804"/>
      <c r="I304" s="1804"/>
      <c r="J304" s="1804"/>
      <c r="K304" s="1804"/>
      <c r="L304" s="1804"/>
      <c r="M304" s="1804"/>
      <c r="N304" s="1804"/>
      <c r="O304" s="1804"/>
      <c r="P304" s="1804"/>
      <c r="Q304" s="1804"/>
      <c r="R304" s="1804"/>
      <c r="S304" s="1804"/>
      <c r="T304" s="1804"/>
      <c r="U304" s="1804"/>
      <c r="V304" s="1804"/>
      <c r="W304" s="1804"/>
      <c r="X304" s="1804"/>
      <c r="Y304" s="1804"/>
      <c r="Z304" s="1804"/>
    </row>
  </sheetData>
  <sheetProtection algorithmName="SHA-512" hashValue="/36RBil18CxHNNc+QzZelbNMo8SJjDKE1AzXi6tcLWwYEFG4wl6WBRXt594ttaV3ofTTuHHypBydDTA06NF+iA==" saltValue="x+WBRkM8HvXnydkSEhlZHw==" spinCount="100000" sheet="1" objects="1" scenarios="1" formatCells="0" formatColumns="0"/>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538948" r:id="rId3" name="Button 4">
              <controlPr defaultSize="0" print="0" autoFill="0" autoPict="0" macro="[0]!Import_liste_batiments">
                <anchor moveWithCells="1" sizeWithCells="1">
                  <from>
                    <xdr:col>2</xdr:col>
                    <xdr:colOff>3147060</xdr:colOff>
                    <xdr:row>1</xdr:row>
                    <xdr:rowOff>38100</xdr:rowOff>
                  </from>
                  <to>
                    <xdr:col>2</xdr:col>
                    <xdr:colOff>5280660</xdr:colOff>
                    <xdr:row>2</xdr:row>
                    <xdr:rowOff>38100</xdr:rowOff>
                  </to>
                </anchor>
              </controlPr>
            </control>
          </mc:Choice>
        </mc:AlternateContent>
      </controls>
    </mc:Choice>
  </mc:AlternateContent>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69A64-AFE1-4071-B07F-0086E62CE23C}">
  <sheetPr codeName="Feuil38">
    <tabColor theme="7" tint="-0.249977111117893"/>
  </sheetPr>
  <dimension ref="B2:H29"/>
  <sheetViews>
    <sheetView showGridLines="0" topLeftCell="A6" workbookViewId="0">
      <selection activeCell="D27" sqref="D27"/>
    </sheetView>
  </sheetViews>
  <sheetFormatPr baseColWidth="10" defaultRowHeight="13.8"/>
  <cols>
    <col min="1" max="1" width="4.44140625" style="1683" customWidth="1"/>
    <col min="2" max="2" width="58.21875" style="1683" customWidth="1"/>
    <col min="3" max="3" width="52.44140625" style="1683" customWidth="1"/>
    <col min="4" max="4" width="44.109375" style="1683" customWidth="1"/>
    <col min="5" max="5" width="11.44140625" style="1683" bestFit="1" customWidth="1"/>
    <col min="6" max="16384" width="11.5546875" style="1683"/>
  </cols>
  <sheetData>
    <row r="2" spans="2:5" ht="24.6">
      <c r="B2" s="1690" t="s">
        <v>2498</v>
      </c>
    </row>
    <row r="3" spans="2:5" ht="7.8" customHeight="1"/>
    <row r="4" spans="2:5">
      <c r="B4" s="1693" t="s">
        <v>2483</v>
      </c>
      <c r="C4" s="1691"/>
    </row>
    <row r="5" spans="2:5">
      <c r="B5" s="1809" t="s">
        <v>1079</v>
      </c>
      <c r="C5" s="1810" t="s">
        <v>2484</v>
      </c>
      <c r="D5" s="1810" t="s">
        <v>2485</v>
      </c>
      <c r="E5" s="1811" t="s">
        <v>2486</v>
      </c>
    </row>
    <row r="6" spans="2:5">
      <c r="B6" s="1805"/>
      <c r="C6" s="1795"/>
      <c r="D6" s="1795"/>
      <c r="E6" s="1807"/>
    </row>
    <row r="7" spans="2:5">
      <c r="B7" s="1806"/>
      <c r="C7" s="1796"/>
      <c r="D7" s="1796"/>
      <c r="E7" s="1808"/>
    </row>
    <row r="8" spans="2:5">
      <c r="B8" s="1806"/>
      <c r="C8" s="1796"/>
      <c r="D8" s="1796"/>
      <c r="E8" s="1808"/>
    </row>
    <row r="9" spans="2:5">
      <c r="B9" s="1806"/>
      <c r="C9" s="1796"/>
      <c r="D9" s="1796"/>
      <c r="E9" s="1808"/>
    </row>
    <row r="10" spans="2:5">
      <c r="B10" s="1812"/>
      <c r="C10" s="1797"/>
      <c r="D10" s="1797"/>
      <c r="E10" s="1813"/>
    </row>
    <row r="12" spans="2:5">
      <c r="B12" s="1693" t="s">
        <v>2487</v>
      </c>
    </row>
    <row r="13" spans="2:5">
      <c r="B13" s="1814" t="s">
        <v>2488</v>
      </c>
      <c r="C13" s="1814" t="s">
        <v>2486</v>
      </c>
      <c r="D13" s="1814" t="s">
        <v>2489</v>
      </c>
    </row>
    <row r="14" spans="2:5">
      <c r="B14" s="1795"/>
      <c r="C14" s="1795"/>
      <c r="D14" s="1795"/>
    </row>
    <row r="15" spans="2:5">
      <c r="B15" s="1796"/>
      <c r="C15" s="1796"/>
      <c r="D15" s="1796"/>
    </row>
    <row r="16" spans="2:5">
      <c r="B16" s="1796"/>
      <c r="C16" s="1796"/>
      <c r="D16" s="1796"/>
    </row>
    <row r="17" spans="2:8">
      <c r="B17" s="1796"/>
      <c r="C17" s="1796"/>
      <c r="D17" s="1796"/>
    </row>
    <row r="18" spans="2:8">
      <c r="B18" s="1797"/>
      <c r="C18" s="1797"/>
      <c r="D18" s="1797"/>
    </row>
    <row r="20" spans="2:8">
      <c r="B20" s="1693" t="s">
        <v>2490</v>
      </c>
    </row>
    <row r="21" spans="2:8" ht="14.4">
      <c r="B21" s="1695" t="s">
        <v>2491</v>
      </c>
    </row>
    <row r="22" spans="2:8">
      <c r="B22" s="1692"/>
      <c r="C22" s="1815" t="s">
        <v>2492</v>
      </c>
      <c r="D22" s="1816" t="s">
        <v>2493</v>
      </c>
    </row>
    <row r="23" spans="2:8">
      <c r="B23" s="1696" t="s">
        <v>2494</v>
      </c>
      <c r="C23" s="1806"/>
      <c r="D23" s="1808"/>
    </row>
    <row r="24" spans="2:8">
      <c r="B24" s="1697" t="s">
        <v>2495</v>
      </c>
      <c r="C24" s="1806"/>
      <c r="D24" s="1808"/>
    </row>
    <row r="25" spans="2:8">
      <c r="B25" s="1698" t="s">
        <v>2496</v>
      </c>
      <c r="C25" s="1812"/>
      <c r="D25" s="1813"/>
    </row>
    <row r="27" spans="2:8">
      <c r="B27" s="1694" t="s">
        <v>2497</v>
      </c>
    </row>
    <row r="28" spans="2:8">
      <c r="B28" s="1699" t="s">
        <v>2499</v>
      </c>
      <c r="C28" s="1797"/>
    </row>
    <row r="29" spans="2:8" ht="41.4" customHeight="1">
      <c r="B29" s="1700" t="s">
        <v>91</v>
      </c>
      <c r="C29" s="1903"/>
      <c r="D29" s="1903"/>
      <c r="E29" s="1903"/>
      <c r="F29" s="1903"/>
      <c r="G29" s="1903"/>
      <c r="H29" s="1903"/>
    </row>
  </sheetData>
  <sheetProtection algorithmName="SHA-512" hashValue="69mXKMOsnSo+dIObBVi/Wps+NPXZ/sqfSDHm/ZEL3/y/ni5BAPSuJBtJOc8sqD01fxGIsILB1/xAKGy6LDVQDQ==" saltValue="CofOl9BPPsEVjI8n/CFtAg==" spinCount="100000" sheet="1" objects="1" scenarios="1"/>
  <mergeCells count="1">
    <mergeCell ref="C29:H29"/>
  </mergeCells>
  <dataValidations count="7">
    <dataValidation type="list" showInputMessage="1" showErrorMessage="1" sqref="B6:B10" xr:uid="{15BEF661-1DA7-49CA-88F8-9B1BBC69E1E8}">
      <formula1>Type_projet</formula1>
    </dataValidation>
    <dataValidation type="list" showInputMessage="1" showErrorMessage="1" sqref="D6:D10" xr:uid="{87CC3E8F-6E74-481D-9337-78F4101B2BA0}">
      <formula1>Implication</formula1>
    </dataValidation>
    <dataValidation type="list" showInputMessage="1" showErrorMessage="1" sqref="E6:E10" xr:uid="{5CDC86F5-8EA4-4C15-ACDC-B8E37A980817}">
      <formula1>Statut</formula1>
    </dataValidation>
    <dataValidation type="list" showInputMessage="1" showErrorMessage="1" sqref="B14:B18" xr:uid="{769550D6-6C0E-47CD-ABF5-CF8E1F956058}">
      <formula1>type_reseau</formula1>
    </dataValidation>
    <dataValidation type="list" showInputMessage="1" showErrorMessage="1" sqref="C14:C18" xr:uid="{99B12800-BA2C-4283-B8ED-B10A194E5873}">
      <formula1>statut_projet</formula1>
    </dataValidation>
    <dataValidation type="whole" operator="greaterThanOrEqual" showInputMessage="1" showErrorMessage="1" sqref="C23:D25" xr:uid="{32B2ECA0-A316-403E-B892-1A1DF80DCA6A}">
      <formula1>0</formula1>
    </dataValidation>
    <dataValidation type="list" allowBlank="1" showInputMessage="1" showErrorMessage="1" sqref="C28" xr:uid="{866DC3AE-30D7-408B-93BD-7B9E5FF3A20E}">
      <formula1>interet</formula1>
    </dataValidation>
  </dataValidations>
  <pageMargins left="0.7" right="0.7" top="0.75" bottom="0.75"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5">
    <tabColor theme="8" tint="-0.499984740745262"/>
  </sheetPr>
  <dimension ref="A1:CK373"/>
  <sheetViews>
    <sheetView showGridLines="0" zoomScale="80" zoomScaleNormal="80" workbookViewId="0">
      <pane ySplit="1" topLeftCell="A312" activePane="bottomLeft" state="frozen"/>
      <selection activeCell="D90" sqref="D90"/>
      <selection pane="bottomLeft" activeCell="C336" sqref="C336"/>
    </sheetView>
  </sheetViews>
  <sheetFormatPr baseColWidth="10" defaultColWidth="11.44140625" defaultRowHeight="14.4"/>
  <cols>
    <col min="1" max="1" width="18.5546875" customWidth="1"/>
    <col min="2" max="2" width="40.6640625" customWidth="1"/>
    <col min="3" max="3" width="54.5546875" customWidth="1"/>
    <col min="4" max="4" width="20.5546875" bestFit="1" customWidth="1"/>
    <col min="11" max="11" width="13.109375" customWidth="1"/>
    <col min="28" max="28" width="24.88671875" hidden="1" customWidth="1"/>
    <col min="29" max="29" width="17.44140625" hidden="1" customWidth="1"/>
    <col min="30" max="30" width="19.109375" hidden="1" customWidth="1"/>
    <col min="31" max="31" width="19.5546875" hidden="1" customWidth="1"/>
    <col min="32" max="32" width="28.5546875" hidden="1" customWidth="1"/>
    <col min="33" max="33" width="29.5546875" hidden="1" customWidth="1"/>
    <col min="34" max="55" width="11.44140625" hidden="1" customWidth="1"/>
  </cols>
  <sheetData>
    <row r="1" spans="1:89" s="190" customFormat="1" ht="64.5" customHeight="1">
      <c r="A1" s="946"/>
      <c r="B1" s="946"/>
      <c r="C1" s="946"/>
      <c r="D1" s="946"/>
      <c r="E1" s="946"/>
      <c r="F1" s="946"/>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c r="AG1" s="946"/>
      <c r="AH1" s="946"/>
      <c r="AI1" s="946"/>
      <c r="AJ1" s="946"/>
      <c r="AK1" s="946"/>
      <c r="AL1" s="946"/>
      <c r="AM1" s="946"/>
      <c r="AN1" s="946"/>
      <c r="AO1" s="946"/>
      <c r="AP1" s="946"/>
      <c r="AQ1" s="946"/>
      <c r="AR1" s="946"/>
      <c r="AS1" s="946"/>
      <c r="AT1" s="946"/>
      <c r="AU1" s="946"/>
      <c r="AV1" s="946"/>
      <c r="AW1" s="946"/>
      <c r="AX1" s="946"/>
      <c r="AY1" s="946"/>
      <c r="AZ1" s="946"/>
      <c r="BA1" s="946"/>
      <c r="BB1" s="946"/>
      <c r="BC1" s="946"/>
      <c r="BD1" s="946"/>
      <c r="BE1" s="946"/>
      <c r="BF1" s="946"/>
      <c r="BG1" s="946"/>
      <c r="BH1" s="946"/>
      <c r="BI1" s="946"/>
      <c r="BJ1" s="946"/>
      <c r="BK1" s="946"/>
      <c r="BL1" s="946"/>
      <c r="BM1" s="946"/>
      <c r="BN1" s="946"/>
      <c r="BO1" s="946"/>
      <c r="BP1" s="946"/>
      <c r="BQ1" s="946"/>
      <c r="BR1" s="946"/>
      <c r="BS1" s="946"/>
      <c r="BT1" s="946"/>
      <c r="BU1" s="946"/>
      <c r="BV1" s="946"/>
      <c r="BW1" s="946"/>
      <c r="BX1" s="946"/>
      <c r="BY1" s="946"/>
      <c r="BZ1" s="946"/>
      <c r="CA1" s="946"/>
      <c r="CB1" s="946"/>
      <c r="CC1" s="946"/>
      <c r="CD1" s="946"/>
      <c r="CE1" s="946"/>
      <c r="CF1" s="946"/>
      <c r="CG1" s="946"/>
      <c r="CH1" s="946"/>
      <c r="CI1" s="946"/>
      <c r="CJ1" s="946"/>
      <c r="CK1" s="946"/>
    </row>
    <row r="2" spans="1:89" ht="24" customHeight="1">
      <c r="I2" s="998" t="s">
        <v>15</v>
      </c>
      <c r="J2" s="1912" t="s">
        <v>72</v>
      </c>
      <c r="K2" s="1912"/>
      <c r="L2" s="1912"/>
      <c r="M2" s="1912"/>
      <c r="N2" s="1912"/>
    </row>
    <row r="3" spans="1:89" ht="20.25" customHeight="1">
      <c r="B3" s="1328" t="s">
        <v>73</v>
      </c>
      <c r="C3" s="1684"/>
      <c r="D3" s="1329"/>
      <c r="E3" s="1329"/>
      <c r="F3" s="1329"/>
      <c r="G3" s="1329"/>
      <c r="H3" s="1330"/>
      <c r="J3" s="1913" t="s">
        <v>74</v>
      </c>
      <c r="K3" s="1913"/>
      <c r="L3" s="1913"/>
      <c r="M3" s="1913"/>
      <c r="N3" s="1913"/>
    </row>
    <row r="4" spans="1:89" ht="118.95" customHeight="1">
      <c r="B4" s="548"/>
      <c r="C4" s="946"/>
      <c r="D4" s="946"/>
      <c r="E4" s="946"/>
      <c r="F4" s="946"/>
      <c r="G4" s="946"/>
      <c r="H4" s="549"/>
    </row>
    <row r="5" spans="1:89" ht="19.5" customHeight="1">
      <c r="J5" s="823" t="s">
        <v>2130</v>
      </c>
      <c r="N5" s="1660"/>
    </row>
    <row r="6" spans="1:89" s="3" customFormat="1" ht="18">
      <c r="A6" s="71" t="s">
        <v>75</v>
      </c>
      <c r="B6" s="70"/>
      <c r="C6" s="70"/>
      <c r="D6" s="70"/>
      <c r="E6" s="70"/>
      <c r="F6" s="70"/>
      <c r="G6" s="70"/>
      <c r="H6" s="70"/>
      <c r="I6" s="70"/>
      <c r="J6" s="70"/>
      <c r="K6" s="70"/>
      <c r="L6" s="70"/>
      <c r="M6" s="70"/>
      <c r="N6" s="70"/>
      <c r="O6" s="70"/>
      <c r="P6" s="70"/>
      <c r="Q6" s="70"/>
      <c r="R6" s="72"/>
      <c r="S6" s="73"/>
      <c r="T6" s="73"/>
      <c r="U6" s="73"/>
      <c r="V6" s="73"/>
      <c r="W6" s="73"/>
      <c r="X6" s="73"/>
      <c r="Y6" s="73"/>
      <c r="Z6" s="73"/>
      <c r="AA6" s="73"/>
      <c r="AB6"/>
      <c r="AC6"/>
      <c r="AD6"/>
      <c r="AE6"/>
      <c r="AF6"/>
      <c r="AG6"/>
      <c r="AH6" s="70" t="s">
        <v>76</v>
      </c>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row>
    <row r="7" spans="1:89" s="3" customFormat="1" ht="28.8">
      <c r="A7" s="1818" t="s">
        <v>77</v>
      </c>
      <c r="B7" s="1819" t="s">
        <v>3100</v>
      </c>
      <c r="C7" s="1820" t="s">
        <v>2218</v>
      </c>
      <c r="D7" s="1821" t="s">
        <v>79</v>
      </c>
      <c r="E7" s="1821" t="s">
        <v>80</v>
      </c>
      <c r="F7" s="1822" t="s">
        <v>119</v>
      </c>
      <c r="G7" s="1822" t="s">
        <v>120</v>
      </c>
      <c r="H7" s="1822" t="s">
        <v>121</v>
      </c>
      <c r="I7" s="1822" t="s">
        <v>122</v>
      </c>
      <c r="J7" s="1822" t="s">
        <v>123</v>
      </c>
      <c r="K7" s="1822" t="s">
        <v>124</v>
      </c>
      <c r="L7" s="1822" t="s">
        <v>125</v>
      </c>
      <c r="M7" s="1822" t="s">
        <v>126</v>
      </c>
      <c r="N7" s="1822" t="s">
        <v>127</v>
      </c>
      <c r="O7" s="1822" t="s">
        <v>128</v>
      </c>
      <c r="P7" s="1822" t="s">
        <v>129</v>
      </c>
      <c r="Q7" s="1822" t="s">
        <v>130</v>
      </c>
      <c r="R7" s="1822" t="s">
        <v>131</v>
      </c>
      <c r="S7" s="1822" t="s">
        <v>132</v>
      </c>
      <c r="T7" s="1822" t="s">
        <v>133</v>
      </c>
      <c r="U7" s="1822" t="s">
        <v>134</v>
      </c>
      <c r="V7" s="1822" t="s">
        <v>135</v>
      </c>
      <c r="W7" s="1822" t="s">
        <v>136</v>
      </c>
      <c r="X7" s="1822" t="s">
        <v>137</v>
      </c>
      <c r="Y7" s="1822" t="s">
        <v>138</v>
      </c>
      <c r="Z7" s="1822" t="s">
        <v>139</v>
      </c>
      <c r="AA7" s="1823" t="s">
        <v>140</v>
      </c>
      <c r="AB7" s="1331" t="s">
        <v>81</v>
      </c>
      <c r="AC7" s="1331" t="s">
        <v>82</v>
      </c>
      <c r="AD7" s="1331" t="s">
        <v>83</v>
      </c>
      <c r="AE7" s="1331" t="s">
        <v>84</v>
      </c>
      <c r="AF7" s="1331" t="s">
        <v>85</v>
      </c>
      <c r="AG7"/>
      <c r="AH7" s="1331">
        <v>2006</v>
      </c>
      <c r="AI7" s="1331">
        <v>2010</v>
      </c>
      <c r="AJ7" s="1331">
        <v>2011</v>
      </c>
      <c r="AK7" s="1331">
        <v>2012</v>
      </c>
      <c r="AL7" s="1331">
        <v>2013</v>
      </c>
      <c r="AM7" s="1331">
        <v>2014</v>
      </c>
      <c r="AN7" s="1331">
        <v>2015</v>
      </c>
      <c r="AO7" s="1331">
        <v>2016</v>
      </c>
      <c r="AP7" s="1331">
        <v>2017</v>
      </c>
      <c r="AQ7" s="1331">
        <v>2018</v>
      </c>
      <c r="AR7" s="1331">
        <v>2019</v>
      </c>
      <c r="AS7" s="1331">
        <v>2020</v>
      </c>
      <c r="AT7" s="1331">
        <v>2021</v>
      </c>
      <c r="AU7" s="1331">
        <v>2022</v>
      </c>
      <c r="AV7" s="1331">
        <v>2023</v>
      </c>
      <c r="AW7" s="1331">
        <v>2024</v>
      </c>
      <c r="AX7" s="1331">
        <v>2025</v>
      </c>
      <c r="AY7" s="1331">
        <v>2026</v>
      </c>
      <c r="AZ7" s="1331">
        <v>2027</v>
      </c>
      <c r="BA7" s="1331">
        <v>2028</v>
      </c>
      <c r="BB7" s="1331">
        <v>2029</v>
      </c>
      <c r="BC7" s="1331">
        <v>2030</v>
      </c>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row>
    <row r="8" spans="1:89" s="3" customFormat="1">
      <c r="A8" s="1817">
        <v>1</v>
      </c>
      <c r="B8" s="1790"/>
      <c r="C8" s="1333"/>
      <c r="D8" s="1334"/>
      <c r="E8" s="1332" t="str">
        <f>IF(ISNA(VLOOKUP(D8,Hypothèses!$D$6:$G$16,4,0)),"",VLOOKUP(D8,Hypothèses!$D$6:$G$16,4,0))</f>
        <v/>
      </c>
      <c r="F8" s="1842"/>
      <c r="G8" s="1843"/>
      <c r="H8" s="1843"/>
      <c r="I8" s="1843"/>
      <c r="J8" s="1843"/>
      <c r="K8" s="1843"/>
      <c r="L8" s="1843"/>
      <c r="M8" s="1843"/>
      <c r="N8" s="1843"/>
      <c r="O8" s="1843"/>
      <c r="P8" s="1843"/>
      <c r="Q8" s="1843"/>
      <c r="R8" s="1843"/>
      <c r="S8" s="1843"/>
      <c r="T8" s="1843"/>
      <c r="U8" s="1843"/>
      <c r="V8" s="1843"/>
      <c r="W8" s="1843"/>
      <c r="X8" s="1843"/>
      <c r="Y8" s="1843"/>
      <c r="Z8" s="1843"/>
      <c r="AA8" s="1844"/>
      <c r="AB8" s="1335"/>
      <c r="AC8" s="1335"/>
      <c r="AD8" s="1335"/>
      <c r="AE8" s="1335"/>
      <c r="AF8" s="1335"/>
      <c r="AG8"/>
      <c r="AH8" s="1335">
        <f>IF(ISNA(F8*VLOOKUP($D8,Hypothèses!$D$6:$F$14,3,0)),0,F8*VLOOKUP($D8,Hypothèses!$D$6:$F$14,3,0))</f>
        <v>0</v>
      </c>
      <c r="AI8" s="1335">
        <f>IF(ISNA(G8*VLOOKUP($D8,Hypothèses!$D$6:$F$14,3,0)),0,G8*VLOOKUP($D8,Hypothèses!$D$6:$F$14,3,0))</f>
        <v>0</v>
      </c>
      <c r="AJ8" s="1335">
        <f>IF(ISNA(H8*VLOOKUP($D8,Hypothèses!$D$6:$F$14,3,0)),0,H8*VLOOKUP($D8,Hypothèses!$D$6:$F$14,3,0))</f>
        <v>0</v>
      </c>
      <c r="AK8" s="1335">
        <f>IF(ISNA(I8*VLOOKUP($D8,Hypothèses!$D$6:$F$14,3,0)),0,I8*VLOOKUP($D8,Hypothèses!$D$6:$F$14,3,0))</f>
        <v>0</v>
      </c>
      <c r="AL8" s="1335">
        <f>IF(ISNA(J8*VLOOKUP($D8,Hypothèses!$D$6:$F$14,3,0)),0,J8*VLOOKUP($D8,Hypothèses!$D$6:$F$14,3,0))</f>
        <v>0</v>
      </c>
      <c r="AM8" s="1335">
        <f>IF(ISNA(K8*VLOOKUP($D8,Hypothèses!$D$6:$F$14,3,0)),0,K8*VLOOKUP($D8,Hypothèses!$D$6:$F$14,3,0))</f>
        <v>0</v>
      </c>
      <c r="AN8" s="1335">
        <f>IF(ISNA(L8*VLOOKUP($D8,Hypothèses!$D$6:$F$14,3,0)),0,L8*VLOOKUP($D8,Hypothèses!$D$6:$F$14,3,0))</f>
        <v>0</v>
      </c>
      <c r="AO8" s="1335">
        <f>IF(ISNA(M8*VLOOKUP($D8,Hypothèses!$D$6:$F$14,3,0)),0,M8*VLOOKUP($D8,Hypothèses!$D$6:$F$14,3,0))</f>
        <v>0</v>
      </c>
      <c r="AP8" s="1335">
        <f>IF(ISNA(N8*VLOOKUP($D8,Hypothèses!$D$6:$F$14,3,0)),0,N8*VLOOKUP($D8,Hypothèses!$D$6:$F$14,3,0))</f>
        <v>0</v>
      </c>
      <c r="AQ8" s="1335">
        <f>IF(ISNA(O8*VLOOKUP($D8,Hypothèses!$D$6:$F$14,3,0)),0,O8*VLOOKUP($D8,Hypothèses!$D$6:$F$14,3,0))</f>
        <v>0</v>
      </c>
      <c r="AR8" s="1335">
        <f>IF(ISNA(P8*VLOOKUP($D8,Hypothèses!$D$6:$F$14,3,0)),0,P8*VLOOKUP($D8,Hypothèses!$D$6:$F$14,3,0))</f>
        <v>0</v>
      </c>
      <c r="AS8" s="1335">
        <f>IF(ISNA(Q8*VLOOKUP($D8,Hypothèses!$D$6:$F$14,3,0)),0,Q8*VLOOKUP($D8,Hypothèses!$D$6:$F$14,3,0))</f>
        <v>0</v>
      </c>
      <c r="AT8" s="1335">
        <f>IF(ISNA(R8*VLOOKUP($D8,Hypothèses!$D$6:$F$14,3,0)),0,R8*VLOOKUP($D8,Hypothèses!$D$6:$F$14,3,0))</f>
        <v>0</v>
      </c>
      <c r="AU8" s="1335">
        <f>IF(ISNA(S8*VLOOKUP($D8,Hypothèses!$D$6:$F$14,3,0)),0,S8*VLOOKUP($D8,Hypothèses!$D$6:$F$14,3,0))</f>
        <v>0</v>
      </c>
      <c r="AV8" s="1335">
        <f>IF(ISNA(T8*VLOOKUP($D8,Hypothèses!$D$6:$F$14,3,0)),0,T8*VLOOKUP($D8,Hypothèses!$D$6:$F$14,3,0))</f>
        <v>0</v>
      </c>
      <c r="AW8" s="1335">
        <f>IF(ISNA(U8*VLOOKUP($D8,Hypothèses!$D$6:$F$14,3,0)),0,U8*VLOOKUP($D8,Hypothèses!$D$6:$F$14,3,0))</f>
        <v>0</v>
      </c>
      <c r="AX8" s="1335">
        <f>IF(ISNA(V8*VLOOKUP($D8,Hypothèses!$D$6:$F$14,3,0)),0,V8*VLOOKUP($D8,Hypothèses!$D$6:$F$14,3,0))</f>
        <v>0</v>
      </c>
      <c r="AY8" s="1335">
        <f>IF(ISNA(W8*VLOOKUP($D8,Hypothèses!$D$6:$F$14,3,0)),0,W8*VLOOKUP($D8,Hypothèses!$D$6:$F$14,3,0))</f>
        <v>0</v>
      </c>
      <c r="AZ8" s="1335">
        <f>IF(ISNA(X8*VLOOKUP($D8,Hypothèses!$D$6:$F$14,3,0)),0,X8*VLOOKUP($D8,Hypothèses!$D$6:$F$14,3,0))</f>
        <v>0</v>
      </c>
      <c r="BA8" s="1335">
        <f>IF(ISNA(Y8*VLOOKUP($D8,Hypothèses!$D$6:$F$14,3,0)),0,Y8*VLOOKUP($D8,Hypothèses!$D$6:$F$14,3,0))</f>
        <v>0</v>
      </c>
      <c r="BB8" s="1335">
        <f>IF(ISNA(Z8*VLOOKUP($D8,Hypothèses!$D$6:$F$14,3,0)),0,Z8*VLOOKUP($D8,Hypothèses!$D$6:$F$14,3,0))</f>
        <v>0</v>
      </c>
      <c r="BC8" s="1335">
        <f>IF(ISNA(AA8*VLOOKUP($D8,Hypothèses!$D$6:$F$14,3,0)),0,AA8*VLOOKUP($D8,Hypothèses!$D$6:$F$14,3,0))</f>
        <v>0</v>
      </c>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row>
    <row r="9" spans="1:89" s="3" customFormat="1">
      <c r="A9" s="1817">
        <v>2</v>
      </c>
      <c r="B9" s="1790"/>
      <c r="C9" s="1333"/>
      <c r="D9" s="1334"/>
      <c r="E9" s="1332" t="str">
        <f>IF(ISNA(VLOOKUP(D9,Hypothèses!$D$6:$G$16,4,0)),"",VLOOKUP(D9,Hypothèses!$D$6:$G$16,4,0))</f>
        <v/>
      </c>
      <c r="F9" s="1842"/>
      <c r="G9" s="1843"/>
      <c r="H9" s="1843"/>
      <c r="I9" s="1843"/>
      <c r="J9" s="1843"/>
      <c r="K9" s="1843"/>
      <c r="L9" s="1843"/>
      <c r="M9" s="1843"/>
      <c r="N9" s="1843"/>
      <c r="O9" s="1843"/>
      <c r="P9" s="1843"/>
      <c r="Q9" s="1843"/>
      <c r="R9" s="1843"/>
      <c r="S9" s="1843"/>
      <c r="T9" s="1843"/>
      <c r="U9" s="1843"/>
      <c r="V9" s="1843"/>
      <c r="W9" s="1843"/>
      <c r="X9" s="1843"/>
      <c r="Y9" s="1843"/>
      <c r="Z9" s="1843"/>
      <c r="AA9" s="1844"/>
      <c r="AB9" s="1335"/>
      <c r="AC9" s="1335"/>
      <c r="AD9" s="1335"/>
      <c r="AE9" s="1335"/>
      <c r="AF9" s="1335"/>
      <c r="AG9"/>
      <c r="AH9" s="1335">
        <f>IF(ISNA(F9*VLOOKUP($D9,Hypothèses!$D$6:$F$14,3,0)),0,F9*VLOOKUP($D9,Hypothèses!$D$6:$F$14,3,0))</f>
        <v>0</v>
      </c>
      <c r="AI9" s="1335">
        <f>IF(ISNA(G9*VLOOKUP($D9,Hypothèses!$D$6:$F$14,3,0)),0,G9*VLOOKUP($D9,Hypothèses!$D$6:$F$14,3,0))</f>
        <v>0</v>
      </c>
      <c r="AJ9" s="1335">
        <f>IF(ISNA(H9*VLOOKUP($D9,Hypothèses!$D$6:$F$14,3,0)),0,H9*VLOOKUP($D9,Hypothèses!$D$6:$F$14,3,0))</f>
        <v>0</v>
      </c>
      <c r="AK9" s="1335">
        <f>IF(ISNA(I9*VLOOKUP($D9,Hypothèses!$D$6:$F$14,3,0)),0,I9*VLOOKUP($D9,Hypothèses!$D$6:$F$14,3,0))</f>
        <v>0</v>
      </c>
      <c r="AL9" s="1335">
        <f>IF(ISNA(J9*VLOOKUP($D9,Hypothèses!$D$6:$F$14,3,0)),0,J9*VLOOKUP($D9,Hypothèses!$D$6:$F$14,3,0))</f>
        <v>0</v>
      </c>
      <c r="AM9" s="1335">
        <f>IF(ISNA(K9*VLOOKUP($D9,Hypothèses!$D$6:$F$14,3,0)),0,K9*VLOOKUP($D9,Hypothèses!$D$6:$F$14,3,0))</f>
        <v>0</v>
      </c>
      <c r="AN9" s="1335">
        <f>IF(ISNA(L9*VLOOKUP($D9,Hypothèses!$D$6:$F$14,3,0)),0,L9*VLOOKUP($D9,Hypothèses!$D$6:$F$14,3,0))</f>
        <v>0</v>
      </c>
      <c r="AO9" s="1335">
        <f>IF(ISNA(M9*VLOOKUP($D9,Hypothèses!$D$6:$F$14,3,0)),0,M9*VLOOKUP($D9,Hypothèses!$D$6:$F$14,3,0))</f>
        <v>0</v>
      </c>
      <c r="AP9" s="1335">
        <f>IF(ISNA(N9*VLOOKUP($D9,Hypothèses!$D$6:$F$14,3,0)),0,N9*VLOOKUP($D9,Hypothèses!$D$6:$F$14,3,0))</f>
        <v>0</v>
      </c>
      <c r="AQ9" s="1335">
        <f>IF(ISNA(O9*VLOOKUP($D9,Hypothèses!$D$6:$F$14,3,0)),0,O9*VLOOKUP($D9,Hypothèses!$D$6:$F$14,3,0))</f>
        <v>0</v>
      </c>
      <c r="AR9" s="1335">
        <f>IF(ISNA(P9*VLOOKUP($D9,Hypothèses!$D$6:$F$14,3,0)),0,P9*VLOOKUP($D9,Hypothèses!$D$6:$F$14,3,0))</f>
        <v>0</v>
      </c>
      <c r="AS9" s="1335">
        <f>IF(ISNA(Q9*VLOOKUP($D9,Hypothèses!$D$6:$F$14,3,0)),0,Q9*VLOOKUP($D9,Hypothèses!$D$6:$F$14,3,0))</f>
        <v>0</v>
      </c>
      <c r="AT9" s="1335">
        <f>IF(ISNA(R9*VLOOKUP($D9,Hypothèses!$D$6:$F$14,3,0)),0,R9*VLOOKUP($D9,Hypothèses!$D$6:$F$14,3,0))</f>
        <v>0</v>
      </c>
      <c r="AU9" s="1335">
        <f>IF(ISNA(S9*VLOOKUP($D9,Hypothèses!$D$6:$F$14,3,0)),0,S9*VLOOKUP($D9,Hypothèses!$D$6:$F$14,3,0))</f>
        <v>0</v>
      </c>
      <c r="AV9" s="1335">
        <f>IF(ISNA(T9*VLOOKUP($D9,Hypothèses!$D$6:$F$14,3,0)),0,T9*VLOOKUP($D9,Hypothèses!$D$6:$F$14,3,0))</f>
        <v>0</v>
      </c>
      <c r="AW9" s="1335">
        <f>IF(ISNA(U9*VLOOKUP($D9,Hypothèses!$D$6:$F$14,3,0)),0,U9*VLOOKUP($D9,Hypothèses!$D$6:$F$14,3,0))</f>
        <v>0</v>
      </c>
      <c r="AX9" s="1335">
        <f>IF(ISNA(V9*VLOOKUP($D9,Hypothèses!$D$6:$F$14,3,0)),0,V9*VLOOKUP($D9,Hypothèses!$D$6:$F$14,3,0))</f>
        <v>0</v>
      </c>
      <c r="AY9" s="1335">
        <f>IF(ISNA(W9*VLOOKUP($D9,Hypothèses!$D$6:$F$14,3,0)),0,W9*VLOOKUP($D9,Hypothèses!$D$6:$F$14,3,0))</f>
        <v>0</v>
      </c>
      <c r="AZ9" s="1335">
        <f>IF(ISNA(X9*VLOOKUP($D9,Hypothèses!$D$6:$F$14,3,0)),0,X9*VLOOKUP($D9,Hypothèses!$D$6:$F$14,3,0))</f>
        <v>0</v>
      </c>
      <c r="BA9" s="1335">
        <f>IF(ISNA(Y9*VLOOKUP($D9,Hypothèses!$D$6:$F$14,3,0)),0,Y9*VLOOKUP($D9,Hypothèses!$D$6:$F$14,3,0))</f>
        <v>0</v>
      </c>
      <c r="BB9" s="1335">
        <f>IF(ISNA(Z9*VLOOKUP($D9,Hypothèses!$D$6:$F$14,3,0)),0,Z9*VLOOKUP($D9,Hypothèses!$D$6:$F$14,3,0))</f>
        <v>0</v>
      </c>
      <c r="BC9" s="1335">
        <f>IF(ISNA(AA9*VLOOKUP($D9,Hypothèses!$D$6:$F$14,3,0)),0,AA9*VLOOKUP($D9,Hypothèses!$D$6:$F$14,3,0))</f>
        <v>0</v>
      </c>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row>
    <row r="10" spans="1:89" s="3" customFormat="1">
      <c r="A10" s="1817">
        <v>3</v>
      </c>
      <c r="B10" s="1790"/>
      <c r="C10" s="1333"/>
      <c r="D10" s="1334"/>
      <c r="E10" s="1332" t="str">
        <f>IF(ISNA(VLOOKUP(D10,Hypothèses!$D$6:$G$16,4,0)),"",VLOOKUP(D10,Hypothèses!$D$6:$G$16,4,0))</f>
        <v/>
      </c>
      <c r="F10" s="1842"/>
      <c r="G10" s="1843"/>
      <c r="H10" s="1843"/>
      <c r="I10" s="1843"/>
      <c r="J10" s="1843"/>
      <c r="K10" s="1843"/>
      <c r="L10" s="1843"/>
      <c r="M10" s="1843"/>
      <c r="N10" s="1843"/>
      <c r="O10" s="1843"/>
      <c r="P10" s="1843"/>
      <c r="Q10" s="1843"/>
      <c r="R10" s="1843"/>
      <c r="S10" s="1843"/>
      <c r="T10" s="1843"/>
      <c r="U10" s="1843"/>
      <c r="V10" s="1843"/>
      <c r="W10" s="1843"/>
      <c r="X10" s="1843"/>
      <c r="Y10" s="1843"/>
      <c r="Z10" s="1843"/>
      <c r="AA10" s="1844"/>
      <c r="AB10" s="1335"/>
      <c r="AC10" s="1335"/>
      <c r="AD10" s="1335"/>
      <c r="AE10" s="1335"/>
      <c r="AF10" s="1335"/>
      <c r="AG10"/>
      <c r="AH10" s="1335">
        <f>IF(ISNA(F10*VLOOKUP($D10,Hypothèses!$D$6:$F$14,3,0)),0,F10*VLOOKUP($D10,Hypothèses!$D$6:$F$14,3,0))</f>
        <v>0</v>
      </c>
      <c r="AI10" s="1335">
        <f>IF(ISNA(G10*VLOOKUP($D10,Hypothèses!$D$6:$F$14,3,0)),0,G10*VLOOKUP($D10,Hypothèses!$D$6:$F$14,3,0))</f>
        <v>0</v>
      </c>
      <c r="AJ10" s="1335">
        <f>IF(ISNA(H10*VLOOKUP($D10,Hypothèses!$D$6:$F$14,3,0)),0,H10*VLOOKUP($D10,Hypothèses!$D$6:$F$14,3,0))</f>
        <v>0</v>
      </c>
      <c r="AK10" s="1335">
        <f>IF(ISNA(I10*VLOOKUP($D10,Hypothèses!$D$6:$F$14,3,0)),0,I10*VLOOKUP($D10,Hypothèses!$D$6:$F$14,3,0))</f>
        <v>0</v>
      </c>
      <c r="AL10" s="1335">
        <f>IF(ISNA(J10*VLOOKUP($D10,Hypothèses!$D$6:$F$14,3,0)),0,J10*VLOOKUP($D10,Hypothèses!$D$6:$F$14,3,0))</f>
        <v>0</v>
      </c>
      <c r="AM10" s="1335">
        <f>IF(ISNA(K10*VLOOKUP($D10,Hypothèses!$D$6:$F$14,3,0)),0,K10*VLOOKUP($D10,Hypothèses!$D$6:$F$14,3,0))</f>
        <v>0</v>
      </c>
      <c r="AN10" s="1335">
        <f>IF(ISNA(L10*VLOOKUP($D10,Hypothèses!$D$6:$F$14,3,0)),0,L10*VLOOKUP($D10,Hypothèses!$D$6:$F$14,3,0))</f>
        <v>0</v>
      </c>
      <c r="AO10" s="1335">
        <f>IF(ISNA(M10*VLOOKUP($D10,Hypothèses!$D$6:$F$14,3,0)),0,M10*VLOOKUP($D10,Hypothèses!$D$6:$F$14,3,0))</f>
        <v>0</v>
      </c>
      <c r="AP10" s="1335">
        <f>IF(ISNA(N10*VLOOKUP($D10,Hypothèses!$D$6:$F$14,3,0)),0,N10*VLOOKUP($D10,Hypothèses!$D$6:$F$14,3,0))</f>
        <v>0</v>
      </c>
      <c r="AQ10" s="1335">
        <f>IF(ISNA(O10*VLOOKUP($D10,Hypothèses!$D$6:$F$14,3,0)),0,O10*VLOOKUP($D10,Hypothèses!$D$6:$F$14,3,0))</f>
        <v>0</v>
      </c>
      <c r="AR10" s="1335">
        <f>IF(ISNA(P10*VLOOKUP($D10,Hypothèses!$D$6:$F$14,3,0)),0,P10*VLOOKUP($D10,Hypothèses!$D$6:$F$14,3,0))</f>
        <v>0</v>
      </c>
      <c r="AS10" s="1335">
        <f>IF(ISNA(Q10*VLOOKUP($D10,Hypothèses!$D$6:$F$14,3,0)),0,Q10*VLOOKUP($D10,Hypothèses!$D$6:$F$14,3,0))</f>
        <v>0</v>
      </c>
      <c r="AT10" s="1335">
        <f>IF(ISNA(R10*VLOOKUP($D10,Hypothèses!$D$6:$F$14,3,0)),0,R10*VLOOKUP($D10,Hypothèses!$D$6:$F$14,3,0))</f>
        <v>0</v>
      </c>
      <c r="AU10" s="1335">
        <f>IF(ISNA(S10*VLOOKUP($D10,Hypothèses!$D$6:$F$14,3,0)),0,S10*VLOOKUP($D10,Hypothèses!$D$6:$F$14,3,0))</f>
        <v>0</v>
      </c>
      <c r="AV10" s="1335">
        <f>IF(ISNA(T10*VLOOKUP($D10,Hypothèses!$D$6:$F$14,3,0)),0,T10*VLOOKUP($D10,Hypothèses!$D$6:$F$14,3,0))</f>
        <v>0</v>
      </c>
      <c r="AW10" s="1335">
        <f>IF(ISNA(U10*VLOOKUP($D10,Hypothèses!$D$6:$F$14,3,0)),0,U10*VLOOKUP($D10,Hypothèses!$D$6:$F$14,3,0))</f>
        <v>0</v>
      </c>
      <c r="AX10" s="1335">
        <f>IF(ISNA(V10*VLOOKUP($D10,Hypothèses!$D$6:$F$14,3,0)),0,V10*VLOOKUP($D10,Hypothèses!$D$6:$F$14,3,0))</f>
        <v>0</v>
      </c>
      <c r="AY10" s="1335">
        <f>IF(ISNA(W10*VLOOKUP($D10,Hypothèses!$D$6:$F$14,3,0)),0,W10*VLOOKUP($D10,Hypothèses!$D$6:$F$14,3,0))</f>
        <v>0</v>
      </c>
      <c r="AZ10" s="1335">
        <f>IF(ISNA(X10*VLOOKUP($D10,Hypothèses!$D$6:$F$14,3,0)),0,X10*VLOOKUP($D10,Hypothèses!$D$6:$F$14,3,0))</f>
        <v>0</v>
      </c>
      <c r="BA10" s="1335">
        <f>IF(ISNA(Y10*VLOOKUP($D10,Hypothèses!$D$6:$F$14,3,0)),0,Y10*VLOOKUP($D10,Hypothèses!$D$6:$F$14,3,0))</f>
        <v>0</v>
      </c>
      <c r="BB10" s="1335">
        <f>IF(ISNA(Z10*VLOOKUP($D10,Hypothèses!$D$6:$F$14,3,0)),0,Z10*VLOOKUP($D10,Hypothèses!$D$6:$F$14,3,0))</f>
        <v>0</v>
      </c>
      <c r="BC10" s="1335">
        <f>IF(ISNA(AA10*VLOOKUP($D10,Hypothèses!$D$6:$F$14,3,0)),0,AA10*VLOOKUP($D10,Hypothèses!$D$6:$F$14,3,0))</f>
        <v>0</v>
      </c>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row>
    <row r="11" spans="1:89" s="3" customFormat="1">
      <c r="A11" s="1817">
        <v>4</v>
      </c>
      <c r="B11" s="1790"/>
      <c r="C11" s="1333"/>
      <c r="D11" s="1334"/>
      <c r="E11" s="1332" t="str">
        <f>IF(ISNA(VLOOKUP(D11,Hypothèses!$D$6:$G$16,4,0)),"",VLOOKUP(D11,Hypothèses!$D$6:$G$16,4,0))</f>
        <v/>
      </c>
      <c r="F11" s="1842"/>
      <c r="G11" s="1843"/>
      <c r="H11" s="1843"/>
      <c r="I11" s="1843"/>
      <c r="J11" s="1843"/>
      <c r="K11" s="1843"/>
      <c r="L11" s="1843"/>
      <c r="M11" s="1843"/>
      <c r="N11" s="1843"/>
      <c r="O11" s="1843"/>
      <c r="P11" s="1843"/>
      <c r="Q11" s="1843"/>
      <c r="R11" s="1843"/>
      <c r="S11" s="1843"/>
      <c r="T11" s="1843"/>
      <c r="U11" s="1843"/>
      <c r="V11" s="1843"/>
      <c r="W11" s="1843"/>
      <c r="X11" s="1843"/>
      <c r="Y11" s="1843"/>
      <c r="Z11" s="1843"/>
      <c r="AA11" s="1844"/>
      <c r="AB11" s="1335"/>
      <c r="AC11" s="1335"/>
      <c r="AD11" s="1335"/>
      <c r="AE11" s="1335"/>
      <c r="AF11" s="1335"/>
      <c r="AG11"/>
      <c r="AH11" s="1335">
        <f>IF(ISNA(F11*VLOOKUP($D11,Hypothèses!$D$6:$F$14,3,0)),0,F11*VLOOKUP($D11,Hypothèses!$D$6:$F$14,3,0))</f>
        <v>0</v>
      </c>
      <c r="AI11" s="1335">
        <f>IF(ISNA(G11*VLOOKUP($D11,Hypothèses!$D$6:$F$14,3,0)),0,G11*VLOOKUP($D11,Hypothèses!$D$6:$F$14,3,0))</f>
        <v>0</v>
      </c>
      <c r="AJ11" s="1335">
        <f>IF(ISNA(H11*VLOOKUP($D11,Hypothèses!$D$6:$F$14,3,0)),0,H11*VLOOKUP($D11,Hypothèses!$D$6:$F$14,3,0))</f>
        <v>0</v>
      </c>
      <c r="AK11" s="1335">
        <f>IF(ISNA(I11*VLOOKUP($D11,Hypothèses!$D$6:$F$14,3,0)),0,I11*VLOOKUP($D11,Hypothèses!$D$6:$F$14,3,0))</f>
        <v>0</v>
      </c>
      <c r="AL11" s="1335">
        <f>IF(ISNA(J11*VLOOKUP($D11,Hypothèses!$D$6:$F$14,3,0)),0,J11*VLOOKUP($D11,Hypothèses!$D$6:$F$14,3,0))</f>
        <v>0</v>
      </c>
      <c r="AM11" s="1335">
        <f>IF(ISNA(K11*VLOOKUP($D11,Hypothèses!$D$6:$F$14,3,0)),0,K11*VLOOKUP($D11,Hypothèses!$D$6:$F$14,3,0))</f>
        <v>0</v>
      </c>
      <c r="AN11" s="1335">
        <f>IF(ISNA(L11*VLOOKUP($D11,Hypothèses!$D$6:$F$14,3,0)),0,L11*VLOOKUP($D11,Hypothèses!$D$6:$F$14,3,0))</f>
        <v>0</v>
      </c>
      <c r="AO11" s="1335">
        <f>IF(ISNA(M11*VLOOKUP($D11,Hypothèses!$D$6:$F$14,3,0)),0,M11*VLOOKUP($D11,Hypothèses!$D$6:$F$14,3,0))</f>
        <v>0</v>
      </c>
      <c r="AP11" s="1335">
        <f>IF(ISNA(N11*VLOOKUP($D11,Hypothèses!$D$6:$F$14,3,0)),0,N11*VLOOKUP($D11,Hypothèses!$D$6:$F$14,3,0))</f>
        <v>0</v>
      </c>
      <c r="AQ11" s="1335">
        <f>IF(ISNA(O11*VLOOKUP($D11,Hypothèses!$D$6:$F$14,3,0)),0,O11*VLOOKUP($D11,Hypothèses!$D$6:$F$14,3,0))</f>
        <v>0</v>
      </c>
      <c r="AR11" s="1335">
        <f>IF(ISNA(P11*VLOOKUP($D11,Hypothèses!$D$6:$F$14,3,0)),0,P11*VLOOKUP($D11,Hypothèses!$D$6:$F$14,3,0))</f>
        <v>0</v>
      </c>
      <c r="AS11" s="1335">
        <f>IF(ISNA(Q11*VLOOKUP($D11,Hypothèses!$D$6:$F$14,3,0)),0,Q11*VLOOKUP($D11,Hypothèses!$D$6:$F$14,3,0))</f>
        <v>0</v>
      </c>
      <c r="AT11" s="1335">
        <f>IF(ISNA(R11*VLOOKUP($D11,Hypothèses!$D$6:$F$14,3,0)),0,R11*VLOOKUP($D11,Hypothèses!$D$6:$F$14,3,0))</f>
        <v>0</v>
      </c>
      <c r="AU11" s="1335">
        <f>IF(ISNA(S11*VLOOKUP($D11,Hypothèses!$D$6:$F$14,3,0)),0,S11*VLOOKUP($D11,Hypothèses!$D$6:$F$14,3,0))</f>
        <v>0</v>
      </c>
      <c r="AV11" s="1335">
        <f>IF(ISNA(T11*VLOOKUP($D11,Hypothèses!$D$6:$F$14,3,0)),0,T11*VLOOKUP($D11,Hypothèses!$D$6:$F$14,3,0))</f>
        <v>0</v>
      </c>
      <c r="AW11" s="1335">
        <f>IF(ISNA(U11*VLOOKUP($D11,Hypothèses!$D$6:$F$14,3,0)),0,U11*VLOOKUP($D11,Hypothèses!$D$6:$F$14,3,0))</f>
        <v>0</v>
      </c>
      <c r="AX11" s="1335">
        <f>IF(ISNA(V11*VLOOKUP($D11,Hypothèses!$D$6:$F$14,3,0)),0,V11*VLOOKUP($D11,Hypothèses!$D$6:$F$14,3,0))</f>
        <v>0</v>
      </c>
      <c r="AY11" s="1335">
        <f>IF(ISNA(W11*VLOOKUP($D11,Hypothèses!$D$6:$F$14,3,0)),0,W11*VLOOKUP($D11,Hypothèses!$D$6:$F$14,3,0))</f>
        <v>0</v>
      </c>
      <c r="AZ11" s="1335">
        <f>IF(ISNA(X11*VLOOKUP($D11,Hypothèses!$D$6:$F$14,3,0)),0,X11*VLOOKUP($D11,Hypothèses!$D$6:$F$14,3,0))</f>
        <v>0</v>
      </c>
      <c r="BA11" s="1335">
        <f>IF(ISNA(Y11*VLOOKUP($D11,Hypothèses!$D$6:$F$14,3,0)),0,Y11*VLOOKUP($D11,Hypothèses!$D$6:$F$14,3,0))</f>
        <v>0</v>
      </c>
      <c r="BB11" s="1335">
        <f>IF(ISNA(Z11*VLOOKUP($D11,Hypothèses!$D$6:$F$14,3,0)),0,Z11*VLOOKUP($D11,Hypothèses!$D$6:$F$14,3,0))</f>
        <v>0</v>
      </c>
      <c r="BC11" s="1335">
        <f>IF(ISNA(AA11*VLOOKUP($D11,Hypothèses!$D$6:$F$14,3,0)),0,AA11*VLOOKUP($D11,Hypothèses!$D$6:$F$14,3,0))</f>
        <v>0</v>
      </c>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row>
    <row r="12" spans="1:89" s="3" customFormat="1">
      <c r="A12" s="1817">
        <v>5</v>
      </c>
      <c r="B12" s="1790"/>
      <c r="C12" s="1333"/>
      <c r="D12" s="1334"/>
      <c r="E12" s="1332" t="str">
        <f>IF(ISNA(VLOOKUP(D12,Hypothèses!$D$6:$G$16,4,0)),"",VLOOKUP(D12,Hypothèses!$D$6:$G$16,4,0))</f>
        <v/>
      </c>
      <c r="F12" s="1842"/>
      <c r="G12" s="1843"/>
      <c r="H12" s="1843"/>
      <c r="I12" s="1843"/>
      <c r="J12" s="1843"/>
      <c r="K12" s="1843"/>
      <c r="L12" s="1843"/>
      <c r="M12" s="1843"/>
      <c r="N12" s="1843"/>
      <c r="O12" s="1843"/>
      <c r="P12" s="1843"/>
      <c r="Q12" s="1843"/>
      <c r="R12" s="1843"/>
      <c r="S12" s="1843"/>
      <c r="T12" s="1843"/>
      <c r="U12" s="1843"/>
      <c r="V12" s="1843"/>
      <c r="W12" s="1843"/>
      <c r="X12" s="1843"/>
      <c r="Y12" s="1843"/>
      <c r="Z12" s="1843"/>
      <c r="AA12" s="1844"/>
      <c r="AB12" s="1335"/>
      <c r="AC12" s="1335"/>
      <c r="AD12" s="1335"/>
      <c r="AE12" s="1335"/>
      <c r="AF12" s="1335"/>
      <c r="AG12"/>
      <c r="AH12" s="1335">
        <f>IF(ISNA(F12*VLOOKUP($D12,Hypothèses!$D$6:$F$14,3,0)),0,F12*VLOOKUP($D12,Hypothèses!$D$6:$F$14,3,0))</f>
        <v>0</v>
      </c>
      <c r="AI12" s="1335">
        <f>IF(ISNA(G12*VLOOKUP($D12,Hypothèses!$D$6:$F$14,3,0)),0,G12*VLOOKUP($D12,Hypothèses!$D$6:$F$14,3,0))</f>
        <v>0</v>
      </c>
      <c r="AJ12" s="1335">
        <f>IF(ISNA(H12*VLOOKUP($D12,Hypothèses!$D$6:$F$14,3,0)),0,H12*VLOOKUP($D12,Hypothèses!$D$6:$F$14,3,0))</f>
        <v>0</v>
      </c>
      <c r="AK12" s="1335">
        <f>IF(ISNA(I12*VLOOKUP($D12,Hypothèses!$D$6:$F$14,3,0)),0,I12*VLOOKUP($D12,Hypothèses!$D$6:$F$14,3,0))</f>
        <v>0</v>
      </c>
      <c r="AL12" s="1335">
        <f>IF(ISNA(J12*VLOOKUP($D12,Hypothèses!$D$6:$F$14,3,0)),0,J12*VLOOKUP($D12,Hypothèses!$D$6:$F$14,3,0))</f>
        <v>0</v>
      </c>
      <c r="AM12" s="1335">
        <f>IF(ISNA(K12*VLOOKUP($D12,Hypothèses!$D$6:$F$14,3,0)),0,K12*VLOOKUP($D12,Hypothèses!$D$6:$F$14,3,0))</f>
        <v>0</v>
      </c>
      <c r="AN12" s="1335">
        <f>IF(ISNA(L12*VLOOKUP($D12,Hypothèses!$D$6:$F$14,3,0)),0,L12*VLOOKUP($D12,Hypothèses!$D$6:$F$14,3,0))</f>
        <v>0</v>
      </c>
      <c r="AO12" s="1335">
        <f>IF(ISNA(M12*VLOOKUP($D12,Hypothèses!$D$6:$F$14,3,0)),0,M12*VLOOKUP($D12,Hypothèses!$D$6:$F$14,3,0))</f>
        <v>0</v>
      </c>
      <c r="AP12" s="1335">
        <f>IF(ISNA(N12*VLOOKUP($D12,Hypothèses!$D$6:$F$14,3,0)),0,N12*VLOOKUP($D12,Hypothèses!$D$6:$F$14,3,0))</f>
        <v>0</v>
      </c>
      <c r="AQ12" s="1335">
        <f>IF(ISNA(O12*VLOOKUP($D12,Hypothèses!$D$6:$F$14,3,0)),0,O12*VLOOKUP($D12,Hypothèses!$D$6:$F$14,3,0))</f>
        <v>0</v>
      </c>
      <c r="AR12" s="1335">
        <f>IF(ISNA(P12*VLOOKUP($D12,Hypothèses!$D$6:$F$14,3,0)),0,P12*VLOOKUP($D12,Hypothèses!$D$6:$F$14,3,0))</f>
        <v>0</v>
      </c>
      <c r="AS12" s="1335">
        <f>IF(ISNA(Q12*VLOOKUP($D12,Hypothèses!$D$6:$F$14,3,0)),0,Q12*VLOOKUP($D12,Hypothèses!$D$6:$F$14,3,0))</f>
        <v>0</v>
      </c>
      <c r="AT12" s="1335">
        <f>IF(ISNA(R12*VLOOKUP($D12,Hypothèses!$D$6:$F$14,3,0)),0,R12*VLOOKUP($D12,Hypothèses!$D$6:$F$14,3,0))</f>
        <v>0</v>
      </c>
      <c r="AU12" s="1335">
        <f>IF(ISNA(S12*VLOOKUP($D12,Hypothèses!$D$6:$F$14,3,0)),0,S12*VLOOKUP($D12,Hypothèses!$D$6:$F$14,3,0))</f>
        <v>0</v>
      </c>
      <c r="AV12" s="1335">
        <f>IF(ISNA(T12*VLOOKUP($D12,Hypothèses!$D$6:$F$14,3,0)),0,T12*VLOOKUP($D12,Hypothèses!$D$6:$F$14,3,0))</f>
        <v>0</v>
      </c>
      <c r="AW12" s="1335">
        <f>IF(ISNA(U12*VLOOKUP($D12,Hypothèses!$D$6:$F$14,3,0)),0,U12*VLOOKUP($D12,Hypothèses!$D$6:$F$14,3,0))</f>
        <v>0</v>
      </c>
      <c r="AX12" s="1335">
        <f>IF(ISNA(V12*VLOOKUP($D12,Hypothèses!$D$6:$F$14,3,0)),0,V12*VLOOKUP($D12,Hypothèses!$D$6:$F$14,3,0))</f>
        <v>0</v>
      </c>
      <c r="AY12" s="1335">
        <f>IF(ISNA(W12*VLOOKUP($D12,Hypothèses!$D$6:$F$14,3,0)),0,W12*VLOOKUP($D12,Hypothèses!$D$6:$F$14,3,0))</f>
        <v>0</v>
      </c>
      <c r="AZ12" s="1335">
        <f>IF(ISNA(X12*VLOOKUP($D12,Hypothèses!$D$6:$F$14,3,0)),0,X12*VLOOKUP($D12,Hypothèses!$D$6:$F$14,3,0))</f>
        <v>0</v>
      </c>
      <c r="BA12" s="1335">
        <f>IF(ISNA(Y12*VLOOKUP($D12,Hypothèses!$D$6:$F$14,3,0)),0,Y12*VLOOKUP($D12,Hypothèses!$D$6:$F$14,3,0))</f>
        <v>0</v>
      </c>
      <c r="BB12" s="1335">
        <f>IF(ISNA(Z12*VLOOKUP($D12,Hypothèses!$D$6:$F$14,3,0)),0,Z12*VLOOKUP($D12,Hypothèses!$D$6:$F$14,3,0))</f>
        <v>0</v>
      </c>
      <c r="BC12" s="1335">
        <f>IF(ISNA(AA12*VLOOKUP($D12,Hypothèses!$D$6:$F$14,3,0)),0,AA12*VLOOKUP($D12,Hypothèses!$D$6:$F$14,3,0))</f>
        <v>0</v>
      </c>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row>
    <row r="13" spans="1:89" s="3" customFormat="1">
      <c r="A13" s="1817">
        <v>6</v>
      </c>
      <c r="B13" s="1790"/>
      <c r="C13" s="1333"/>
      <c r="D13" s="1334"/>
      <c r="E13" s="1332" t="str">
        <f>IF(ISNA(VLOOKUP(D13,Hypothèses!$D$6:$G$16,4,0)),"",VLOOKUP(D13,Hypothèses!$D$6:$G$16,4,0))</f>
        <v/>
      </c>
      <c r="F13" s="1842"/>
      <c r="G13" s="1843"/>
      <c r="H13" s="1843"/>
      <c r="I13" s="1843"/>
      <c r="J13" s="1843"/>
      <c r="K13" s="1843"/>
      <c r="L13" s="1843"/>
      <c r="M13" s="1843"/>
      <c r="N13" s="1843"/>
      <c r="O13" s="1843"/>
      <c r="P13" s="1843"/>
      <c r="Q13" s="1843"/>
      <c r="R13" s="1843"/>
      <c r="S13" s="1843"/>
      <c r="T13" s="1843"/>
      <c r="U13" s="1843"/>
      <c r="V13" s="1843"/>
      <c r="W13" s="1843"/>
      <c r="X13" s="1843"/>
      <c r="Y13" s="1843"/>
      <c r="Z13" s="1843"/>
      <c r="AA13" s="1844"/>
      <c r="AB13" s="1335"/>
      <c r="AC13" s="1335"/>
      <c r="AD13" s="1335"/>
      <c r="AE13" s="1335"/>
      <c r="AF13" s="1335"/>
      <c r="AG13"/>
      <c r="AH13" s="1335">
        <f>IF(ISNA(F13*VLOOKUP($D13,Hypothèses!$D$6:$F$14,3,0)),0,F13*VLOOKUP($D13,Hypothèses!$D$6:$F$14,3,0))</f>
        <v>0</v>
      </c>
      <c r="AI13" s="1335">
        <f>IF(ISNA(G13*VLOOKUP($D13,Hypothèses!$D$6:$F$14,3,0)),0,G13*VLOOKUP($D13,Hypothèses!$D$6:$F$14,3,0))</f>
        <v>0</v>
      </c>
      <c r="AJ13" s="1335">
        <f>IF(ISNA(H13*VLOOKUP($D13,Hypothèses!$D$6:$F$14,3,0)),0,H13*VLOOKUP($D13,Hypothèses!$D$6:$F$14,3,0))</f>
        <v>0</v>
      </c>
      <c r="AK13" s="1335">
        <f>IF(ISNA(I13*VLOOKUP($D13,Hypothèses!$D$6:$F$14,3,0)),0,I13*VLOOKUP($D13,Hypothèses!$D$6:$F$14,3,0))</f>
        <v>0</v>
      </c>
      <c r="AL13" s="1335">
        <f>IF(ISNA(J13*VLOOKUP($D13,Hypothèses!$D$6:$F$14,3,0)),0,J13*VLOOKUP($D13,Hypothèses!$D$6:$F$14,3,0))</f>
        <v>0</v>
      </c>
      <c r="AM13" s="1335">
        <f>IF(ISNA(K13*VLOOKUP($D13,Hypothèses!$D$6:$F$14,3,0)),0,K13*VLOOKUP($D13,Hypothèses!$D$6:$F$14,3,0))</f>
        <v>0</v>
      </c>
      <c r="AN13" s="1335">
        <f>IF(ISNA(L13*VLOOKUP($D13,Hypothèses!$D$6:$F$14,3,0)),0,L13*VLOOKUP($D13,Hypothèses!$D$6:$F$14,3,0))</f>
        <v>0</v>
      </c>
      <c r="AO13" s="1335">
        <f>IF(ISNA(M13*VLOOKUP($D13,Hypothèses!$D$6:$F$14,3,0)),0,M13*VLOOKUP($D13,Hypothèses!$D$6:$F$14,3,0))</f>
        <v>0</v>
      </c>
      <c r="AP13" s="1335">
        <f>IF(ISNA(N13*VLOOKUP($D13,Hypothèses!$D$6:$F$14,3,0)),0,N13*VLOOKUP($D13,Hypothèses!$D$6:$F$14,3,0))</f>
        <v>0</v>
      </c>
      <c r="AQ13" s="1335">
        <f>IF(ISNA(O13*VLOOKUP($D13,Hypothèses!$D$6:$F$14,3,0)),0,O13*VLOOKUP($D13,Hypothèses!$D$6:$F$14,3,0))</f>
        <v>0</v>
      </c>
      <c r="AR13" s="1335">
        <f>IF(ISNA(P13*VLOOKUP($D13,Hypothèses!$D$6:$F$14,3,0)),0,P13*VLOOKUP($D13,Hypothèses!$D$6:$F$14,3,0))</f>
        <v>0</v>
      </c>
      <c r="AS13" s="1335">
        <f>IF(ISNA(Q13*VLOOKUP($D13,Hypothèses!$D$6:$F$14,3,0)),0,Q13*VLOOKUP($D13,Hypothèses!$D$6:$F$14,3,0))</f>
        <v>0</v>
      </c>
      <c r="AT13" s="1335">
        <f>IF(ISNA(R13*VLOOKUP($D13,Hypothèses!$D$6:$F$14,3,0)),0,R13*VLOOKUP($D13,Hypothèses!$D$6:$F$14,3,0))</f>
        <v>0</v>
      </c>
      <c r="AU13" s="1335">
        <f>IF(ISNA(S13*VLOOKUP($D13,Hypothèses!$D$6:$F$14,3,0)),0,S13*VLOOKUP($D13,Hypothèses!$D$6:$F$14,3,0))</f>
        <v>0</v>
      </c>
      <c r="AV13" s="1335">
        <f>IF(ISNA(T13*VLOOKUP($D13,Hypothèses!$D$6:$F$14,3,0)),0,T13*VLOOKUP($D13,Hypothèses!$D$6:$F$14,3,0))</f>
        <v>0</v>
      </c>
      <c r="AW13" s="1335">
        <f>IF(ISNA(U13*VLOOKUP($D13,Hypothèses!$D$6:$F$14,3,0)),0,U13*VLOOKUP($D13,Hypothèses!$D$6:$F$14,3,0))</f>
        <v>0</v>
      </c>
      <c r="AX13" s="1335">
        <f>IF(ISNA(V13*VLOOKUP($D13,Hypothèses!$D$6:$F$14,3,0)),0,V13*VLOOKUP($D13,Hypothèses!$D$6:$F$14,3,0))</f>
        <v>0</v>
      </c>
      <c r="AY13" s="1335">
        <f>IF(ISNA(W13*VLOOKUP($D13,Hypothèses!$D$6:$F$14,3,0)),0,W13*VLOOKUP($D13,Hypothèses!$D$6:$F$14,3,0))</f>
        <v>0</v>
      </c>
      <c r="AZ13" s="1335">
        <f>IF(ISNA(X13*VLOOKUP($D13,Hypothèses!$D$6:$F$14,3,0)),0,X13*VLOOKUP($D13,Hypothèses!$D$6:$F$14,3,0))</f>
        <v>0</v>
      </c>
      <c r="BA13" s="1335">
        <f>IF(ISNA(Y13*VLOOKUP($D13,Hypothèses!$D$6:$F$14,3,0)),0,Y13*VLOOKUP($D13,Hypothèses!$D$6:$F$14,3,0))</f>
        <v>0</v>
      </c>
      <c r="BB13" s="1335">
        <f>IF(ISNA(Z13*VLOOKUP($D13,Hypothèses!$D$6:$F$14,3,0)),0,Z13*VLOOKUP($D13,Hypothèses!$D$6:$F$14,3,0))</f>
        <v>0</v>
      </c>
      <c r="BC13" s="1335">
        <f>IF(ISNA(AA13*VLOOKUP($D13,Hypothèses!$D$6:$F$14,3,0)),0,AA13*VLOOKUP($D13,Hypothèses!$D$6:$F$14,3,0))</f>
        <v>0</v>
      </c>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row>
    <row r="14" spans="1:89" s="3" customFormat="1">
      <c r="A14" s="1817">
        <v>7</v>
      </c>
      <c r="B14" s="1790"/>
      <c r="C14" s="1333"/>
      <c r="D14" s="1334"/>
      <c r="E14" s="1332" t="str">
        <f>IF(ISNA(VLOOKUP(D14,Hypothèses!$D$6:$G$16,4,0)),"",VLOOKUP(D14,Hypothèses!$D$6:$G$16,4,0))</f>
        <v/>
      </c>
      <c r="F14" s="1842"/>
      <c r="G14" s="1843"/>
      <c r="H14" s="1843"/>
      <c r="I14" s="1843"/>
      <c r="J14" s="1843"/>
      <c r="K14" s="1843"/>
      <c r="L14" s="1843"/>
      <c r="M14" s="1843"/>
      <c r="N14" s="1843"/>
      <c r="O14" s="1843"/>
      <c r="P14" s="1843"/>
      <c r="Q14" s="1843"/>
      <c r="R14" s="1843"/>
      <c r="S14" s="1843"/>
      <c r="T14" s="1843"/>
      <c r="U14" s="1843"/>
      <c r="V14" s="1843"/>
      <c r="W14" s="1843"/>
      <c r="X14" s="1843"/>
      <c r="Y14" s="1843"/>
      <c r="Z14" s="1843"/>
      <c r="AA14" s="1844"/>
      <c r="AB14" s="1335"/>
      <c r="AC14" s="1335"/>
      <c r="AD14" s="1335"/>
      <c r="AE14" s="1335"/>
      <c r="AF14" s="1335"/>
      <c r="AG14"/>
      <c r="AH14" s="1335">
        <f>IF(ISNA(F14*VLOOKUP($D14,Hypothèses!$D$6:$F$14,3,0)),0,F14*VLOOKUP($D14,Hypothèses!$D$6:$F$14,3,0))</f>
        <v>0</v>
      </c>
      <c r="AI14" s="1335">
        <f>IF(ISNA(G14*VLOOKUP($D14,Hypothèses!$D$6:$F$14,3,0)),0,G14*VLOOKUP($D14,Hypothèses!$D$6:$F$14,3,0))</f>
        <v>0</v>
      </c>
      <c r="AJ14" s="1335">
        <f>IF(ISNA(H14*VLOOKUP($D14,Hypothèses!$D$6:$F$14,3,0)),0,H14*VLOOKUP($D14,Hypothèses!$D$6:$F$14,3,0))</f>
        <v>0</v>
      </c>
      <c r="AK14" s="1335">
        <f>IF(ISNA(I14*VLOOKUP($D14,Hypothèses!$D$6:$F$14,3,0)),0,I14*VLOOKUP($D14,Hypothèses!$D$6:$F$14,3,0))</f>
        <v>0</v>
      </c>
      <c r="AL14" s="1335">
        <f>IF(ISNA(J14*VLOOKUP($D14,Hypothèses!$D$6:$F$14,3,0)),0,J14*VLOOKUP($D14,Hypothèses!$D$6:$F$14,3,0))</f>
        <v>0</v>
      </c>
      <c r="AM14" s="1335">
        <f>IF(ISNA(K14*VLOOKUP($D14,Hypothèses!$D$6:$F$14,3,0)),0,K14*VLOOKUP($D14,Hypothèses!$D$6:$F$14,3,0))</f>
        <v>0</v>
      </c>
      <c r="AN14" s="1335">
        <f>IF(ISNA(L14*VLOOKUP($D14,Hypothèses!$D$6:$F$14,3,0)),0,L14*VLOOKUP($D14,Hypothèses!$D$6:$F$14,3,0))</f>
        <v>0</v>
      </c>
      <c r="AO14" s="1335">
        <f>IF(ISNA(M14*VLOOKUP($D14,Hypothèses!$D$6:$F$14,3,0)),0,M14*VLOOKUP($D14,Hypothèses!$D$6:$F$14,3,0))</f>
        <v>0</v>
      </c>
      <c r="AP14" s="1335">
        <f>IF(ISNA(N14*VLOOKUP($D14,Hypothèses!$D$6:$F$14,3,0)),0,N14*VLOOKUP($D14,Hypothèses!$D$6:$F$14,3,0))</f>
        <v>0</v>
      </c>
      <c r="AQ14" s="1335">
        <f>IF(ISNA(O14*VLOOKUP($D14,Hypothèses!$D$6:$F$14,3,0)),0,O14*VLOOKUP($D14,Hypothèses!$D$6:$F$14,3,0))</f>
        <v>0</v>
      </c>
      <c r="AR14" s="1335">
        <f>IF(ISNA(P14*VLOOKUP($D14,Hypothèses!$D$6:$F$14,3,0)),0,P14*VLOOKUP($D14,Hypothèses!$D$6:$F$14,3,0))</f>
        <v>0</v>
      </c>
      <c r="AS14" s="1335">
        <f>IF(ISNA(Q14*VLOOKUP($D14,Hypothèses!$D$6:$F$14,3,0)),0,Q14*VLOOKUP($D14,Hypothèses!$D$6:$F$14,3,0))</f>
        <v>0</v>
      </c>
      <c r="AT14" s="1335">
        <f>IF(ISNA(R14*VLOOKUP($D14,Hypothèses!$D$6:$F$14,3,0)),0,R14*VLOOKUP($D14,Hypothèses!$D$6:$F$14,3,0))</f>
        <v>0</v>
      </c>
      <c r="AU14" s="1335">
        <f>IF(ISNA(S14*VLOOKUP($D14,Hypothèses!$D$6:$F$14,3,0)),0,S14*VLOOKUP($D14,Hypothèses!$D$6:$F$14,3,0))</f>
        <v>0</v>
      </c>
      <c r="AV14" s="1335">
        <f>IF(ISNA(T14*VLOOKUP($D14,Hypothèses!$D$6:$F$14,3,0)),0,T14*VLOOKUP($D14,Hypothèses!$D$6:$F$14,3,0))</f>
        <v>0</v>
      </c>
      <c r="AW14" s="1335">
        <f>IF(ISNA(U14*VLOOKUP($D14,Hypothèses!$D$6:$F$14,3,0)),0,U14*VLOOKUP($D14,Hypothèses!$D$6:$F$14,3,0))</f>
        <v>0</v>
      </c>
      <c r="AX14" s="1335">
        <f>IF(ISNA(V14*VLOOKUP($D14,Hypothèses!$D$6:$F$14,3,0)),0,V14*VLOOKUP($D14,Hypothèses!$D$6:$F$14,3,0))</f>
        <v>0</v>
      </c>
      <c r="AY14" s="1335">
        <f>IF(ISNA(W14*VLOOKUP($D14,Hypothèses!$D$6:$F$14,3,0)),0,W14*VLOOKUP($D14,Hypothèses!$D$6:$F$14,3,0))</f>
        <v>0</v>
      </c>
      <c r="AZ14" s="1335">
        <f>IF(ISNA(X14*VLOOKUP($D14,Hypothèses!$D$6:$F$14,3,0)),0,X14*VLOOKUP($D14,Hypothèses!$D$6:$F$14,3,0))</f>
        <v>0</v>
      </c>
      <c r="BA14" s="1335">
        <f>IF(ISNA(Y14*VLOOKUP($D14,Hypothèses!$D$6:$F$14,3,0)),0,Y14*VLOOKUP($D14,Hypothèses!$D$6:$F$14,3,0))</f>
        <v>0</v>
      </c>
      <c r="BB14" s="1335">
        <f>IF(ISNA(Z14*VLOOKUP($D14,Hypothèses!$D$6:$F$14,3,0)),0,Z14*VLOOKUP($D14,Hypothèses!$D$6:$F$14,3,0))</f>
        <v>0</v>
      </c>
      <c r="BC14" s="1335">
        <f>IF(ISNA(AA14*VLOOKUP($D14,Hypothèses!$D$6:$F$14,3,0)),0,AA14*VLOOKUP($D14,Hypothèses!$D$6:$F$14,3,0))</f>
        <v>0</v>
      </c>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row>
    <row r="15" spans="1:89" s="3" customFormat="1">
      <c r="A15" s="1817">
        <v>8</v>
      </c>
      <c r="B15" s="1790"/>
      <c r="C15" s="1333"/>
      <c r="D15" s="1334"/>
      <c r="E15" s="1332" t="str">
        <f>IF(ISNA(VLOOKUP(D15,Hypothèses!$D$6:$G$16,4,0)),"",VLOOKUP(D15,Hypothèses!$D$6:$G$16,4,0))</f>
        <v/>
      </c>
      <c r="F15" s="1842"/>
      <c r="G15" s="1843"/>
      <c r="H15" s="1843"/>
      <c r="I15" s="1843"/>
      <c r="J15" s="1843"/>
      <c r="K15" s="1843"/>
      <c r="L15" s="1843"/>
      <c r="M15" s="1843"/>
      <c r="N15" s="1843"/>
      <c r="O15" s="1843"/>
      <c r="P15" s="1843"/>
      <c r="Q15" s="1843"/>
      <c r="R15" s="1843"/>
      <c r="S15" s="1843"/>
      <c r="T15" s="1843"/>
      <c r="U15" s="1843"/>
      <c r="V15" s="1843"/>
      <c r="W15" s="1843"/>
      <c r="X15" s="1843"/>
      <c r="Y15" s="1843"/>
      <c r="Z15" s="1843"/>
      <c r="AA15" s="1844"/>
      <c r="AB15" s="1335"/>
      <c r="AC15" s="1335"/>
      <c r="AD15" s="1335"/>
      <c r="AE15" s="1335"/>
      <c r="AF15" s="1335"/>
      <c r="AG15"/>
      <c r="AH15" s="1335">
        <f>IF(ISNA(F15*VLOOKUP($D15,Hypothèses!$D$6:$F$14,3,0)),0,F15*VLOOKUP($D15,Hypothèses!$D$6:$F$14,3,0))</f>
        <v>0</v>
      </c>
      <c r="AI15" s="1335">
        <f>IF(ISNA(G15*VLOOKUP($D15,Hypothèses!$D$6:$F$14,3,0)),0,G15*VLOOKUP($D15,Hypothèses!$D$6:$F$14,3,0))</f>
        <v>0</v>
      </c>
      <c r="AJ15" s="1335">
        <f>IF(ISNA(H15*VLOOKUP($D15,Hypothèses!$D$6:$F$14,3,0)),0,H15*VLOOKUP($D15,Hypothèses!$D$6:$F$14,3,0))</f>
        <v>0</v>
      </c>
      <c r="AK15" s="1335">
        <f>IF(ISNA(I15*VLOOKUP($D15,Hypothèses!$D$6:$F$14,3,0)),0,I15*VLOOKUP($D15,Hypothèses!$D$6:$F$14,3,0))</f>
        <v>0</v>
      </c>
      <c r="AL15" s="1335">
        <f>IF(ISNA(J15*VLOOKUP($D15,Hypothèses!$D$6:$F$14,3,0)),0,J15*VLOOKUP($D15,Hypothèses!$D$6:$F$14,3,0))</f>
        <v>0</v>
      </c>
      <c r="AM15" s="1335">
        <f>IF(ISNA(K15*VLOOKUP($D15,Hypothèses!$D$6:$F$14,3,0)),0,K15*VLOOKUP($D15,Hypothèses!$D$6:$F$14,3,0))</f>
        <v>0</v>
      </c>
      <c r="AN15" s="1335">
        <f>IF(ISNA(L15*VLOOKUP($D15,Hypothèses!$D$6:$F$14,3,0)),0,L15*VLOOKUP($D15,Hypothèses!$D$6:$F$14,3,0))</f>
        <v>0</v>
      </c>
      <c r="AO15" s="1335">
        <f>IF(ISNA(M15*VLOOKUP($D15,Hypothèses!$D$6:$F$14,3,0)),0,M15*VLOOKUP($D15,Hypothèses!$D$6:$F$14,3,0))</f>
        <v>0</v>
      </c>
      <c r="AP15" s="1335">
        <f>IF(ISNA(N15*VLOOKUP($D15,Hypothèses!$D$6:$F$14,3,0)),0,N15*VLOOKUP($D15,Hypothèses!$D$6:$F$14,3,0))</f>
        <v>0</v>
      </c>
      <c r="AQ15" s="1335">
        <f>IF(ISNA(O15*VLOOKUP($D15,Hypothèses!$D$6:$F$14,3,0)),0,O15*VLOOKUP($D15,Hypothèses!$D$6:$F$14,3,0))</f>
        <v>0</v>
      </c>
      <c r="AR15" s="1335">
        <f>IF(ISNA(P15*VLOOKUP($D15,Hypothèses!$D$6:$F$14,3,0)),0,P15*VLOOKUP($D15,Hypothèses!$D$6:$F$14,3,0))</f>
        <v>0</v>
      </c>
      <c r="AS15" s="1335">
        <f>IF(ISNA(Q15*VLOOKUP($D15,Hypothèses!$D$6:$F$14,3,0)),0,Q15*VLOOKUP($D15,Hypothèses!$D$6:$F$14,3,0))</f>
        <v>0</v>
      </c>
      <c r="AT15" s="1335">
        <f>IF(ISNA(R15*VLOOKUP($D15,Hypothèses!$D$6:$F$14,3,0)),0,R15*VLOOKUP($D15,Hypothèses!$D$6:$F$14,3,0))</f>
        <v>0</v>
      </c>
      <c r="AU15" s="1335">
        <f>IF(ISNA(S15*VLOOKUP($D15,Hypothèses!$D$6:$F$14,3,0)),0,S15*VLOOKUP($D15,Hypothèses!$D$6:$F$14,3,0))</f>
        <v>0</v>
      </c>
      <c r="AV15" s="1335">
        <f>IF(ISNA(T15*VLOOKUP($D15,Hypothèses!$D$6:$F$14,3,0)),0,T15*VLOOKUP($D15,Hypothèses!$D$6:$F$14,3,0))</f>
        <v>0</v>
      </c>
      <c r="AW15" s="1335">
        <f>IF(ISNA(U15*VLOOKUP($D15,Hypothèses!$D$6:$F$14,3,0)),0,U15*VLOOKUP($D15,Hypothèses!$D$6:$F$14,3,0))</f>
        <v>0</v>
      </c>
      <c r="AX15" s="1335">
        <f>IF(ISNA(V15*VLOOKUP($D15,Hypothèses!$D$6:$F$14,3,0)),0,V15*VLOOKUP($D15,Hypothèses!$D$6:$F$14,3,0))</f>
        <v>0</v>
      </c>
      <c r="AY15" s="1335">
        <f>IF(ISNA(W15*VLOOKUP($D15,Hypothèses!$D$6:$F$14,3,0)),0,W15*VLOOKUP($D15,Hypothèses!$D$6:$F$14,3,0))</f>
        <v>0</v>
      </c>
      <c r="AZ15" s="1335">
        <f>IF(ISNA(X15*VLOOKUP($D15,Hypothèses!$D$6:$F$14,3,0)),0,X15*VLOOKUP($D15,Hypothèses!$D$6:$F$14,3,0))</f>
        <v>0</v>
      </c>
      <c r="BA15" s="1335">
        <f>IF(ISNA(Y15*VLOOKUP($D15,Hypothèses!$D$6:$F$14,3,0)),0,Y15*VLOOKUP($D15,Hypothèses!$D$6:$F$14,3,0))</f>
        <v>0</v>
      </c>
      <c r="BB15" s="1335">
        <f>IF(ISNA(Z15*VLOOKUP($D15,Hypothèses!$D$6:$F$14,3,0)),0,Z15*VLOOKUP($D15,Hypothèses!$D$6:$F$14,3,0))</f>
        <v>0</v>
      </c>
      <c r="BC15" s="1335">
        <f>IF(ISNA(AA15*VLOOKUP($D15,Hypothèses!$D$6:$F$14,3,0)),0,AA15*VLOOKUP($D15,Hypothèses!$D$6:$F$14,3,0))</f>
        <v>0</v>
      </c>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row>
    <row r="16" spans="1:89" s="3" customFormat="1">
      <c r="A16" s="1817">
        <v>9</v>
      </c>
      <c r="B16" s="1790"/>
      <c r="C16" s="1333"/>
      <c r="D16" s="1334"/>
      <c r="E16" s="1332" t="str">
        <f>IF(ISNA(VLOOKUP(D16,Hypothèses!$D$6:$G$16,4,0)),"",VLOOKUP(D16,Hypothèses!$D$6:$G$16,4,0))</f>
        <v/>
      </c>
      <c r="F16" s="1842"/>
      <c r="G16" s="1843"/>
      <c r="H16" s="1843"/>
      <c r="I16" s="1843"/>
      <c r="J16" s="1843"/>
      <c r="K16" s="1843"/>
      <c r="L16" s="1843"/>
      <c r="M16" s="1843"/>
      <c r="N16" s="1843"/>
      <c r="O16" s="1843"/>
      <c r="P16" s="1843"/>
      <c r="Q16" s="1843"/>
      <c r="R16" s="1843"/>
      <c r="S16" s="1843"/>
      <c r="T16" s="1843"/>
      <c r="U16" s="1843"/>
      <c r="V16" s="1843"/>
      <c r="W16" s="1843"/>
      <c r="X16" s="1843"/>
      <c r="Y16" s="1843"/>
      <c r="Z16" s="1843"/>
      <c r="AA16" s="1844"/>
      <c r="AB16" s="1335"/>
      <c r="AC16" s="1335"/>
      <c r="AD16" s="1335"/>
      <c r="AE16" s="1335"/>
      <c r="AF16" s="1335"/>
      <c r="AG16"/>
      <c r="AH16" s="1335">
        <f>IF(ISNA(F16*VLOOKUP($D16,Hypothèses!$D$6:$F$14,3,0)),0,F16*VLOOKUP($D16,Hypothèses!$D$6:$F$14,3,0))</f>
        <v>0</v>
      </c>
      <c r="AI16" s="1335">
        <f>IF(ISNA(G16*VLOOKUP($D16,Hypothèses!$D$6:$F$14,3,0)),0,G16*VLOOKUP($D16,Hypothèses!$D$6:$F$14,3,0))</f>
        <v>0</v>
      </c>
      <c r="AJ16" s="1335">
        <f>IF(ISNA(H16*VLOOKUP($D16,Hypothèses!$D$6:$F$14,3,0)),0,H16*VLOOKUP($D16,Hypothèses!$D$6:$F$14,3,0))</f>
        <v>0</v>
      </c>
      <c r="AK16" s="1335">
        <f>IF(ISNA(I16*VLOOKUP($D16,Hypothèses!$D$6:$F$14,3,0)),0,I16*VLOOKUP($D16,Hypothèses!$D$6:$F$14,3,0))</f>
        <v>0</v>
      </c>
      <c r="AL16" s="1335">
        <f>IF(ISNA(J16*VLOOKUP($D16,Hypothèses!$D$6:$F$14,3,0)),0,J16*VLOOKUP($D16,Hypothèses!$D$6:$F$14,3,0))</f>
        <v>0</v>
      </c>
      <c r="AM16" s="1335">
        <f>IF(ISNA(K16*VLOOKUP($D16,Hypothèses!$D$6:$F$14,3,0)),0,K16*VLOOKUP($D16,Hypothèses!$D$6:$F$14,3,0))</f>
        <v>0</v>
      </c>
      <c r="AN16" s="1335">
        <f>IF(ISNA(L16*VLOOKUP($D16,Hypothèses!$D$6:$F$14,3,0)),0,L16*VLOOKUP($D16,Hypothèses!$D$6:$F$14,3,0))</f>
        <v>0</v>
      </c>
      <c r="AO16" s="1335">
        <f>IF(ISNA(M16*VLOOKUP($D16,Hypothèses!$D$6:$F$14,3,0)),0,M16*VLOOKUP($D16,Hypothèses!$D$6:$F$14,3,0))</f>
        <v>0</v>
      </c>
      <c r="AP16" s="1335">
        <f>IF(ISNA(N16*VLOOKUP($D16,Hypothèses!$D$6:$F$14,3,0)),0,N16*VLOOKUP($D16,Hypothèses!$D$6:$F$14,3,0))</f>
        <v>0</v>
      </c>
      <c r="AQ16" s="1335">
        <f>IF(ISNA(O16*VLOOKUP($D16,Hypothèses!$D$6:$F$14,3,0)),0,O16*VLOOKUP($D16,Hypothèses!$D$6:$F$14,3,0))</f>
        <v>0</v>
      </c>
      <c r="AR16" s="1335">
        <f>IF(ISNA(P16*VLOOKUP($D16,Hypothèses!$D$6:$F$14,3,0)),0,P16*VLOOKUP($D16,Hypothèses!$D$6:$F$14,3,0))</f>
        <v>0</v>
      </c>
      <c r="AS16" s="1335">
        <f>IF(ISNA(Q16*VLOOKUP($D16,Hypothèses!$D$6:$F$14,3,0)),0,Q16*VLOOKUP($D16,Hypothèses!$D$6:$F$14,3,0))</f>
        <v>0</v>
      </c>
      <c r="AT16" s="1335">
        <f>IF(ISNA(R16*VLOOKUP($D16,Hypothèses!$D$6:$F$14,3,0)),0,R16*VLOOKUP($D16,Hypothèses!$D$6:$F$14,3,0))</f>
        <v>0</v>
      </c>
      <c r="AU16" s="1335">
        <f>IF(ISNA(S16*VLOOKUP($D16,Hypothèses!$D$6:$F$14,3,0)),0,S16*VLOOKUP($D16,Hypothèses!$D$6:$F$14,3,0))</f>
        <v>0</v>
      </c>
      <c r="AV16" s="1335">
        <f>IF(ISNA(T16*VLOOKUP($D16,Hypothèses!$D$6:$F$14,3,0)),0,T16*VLOOKUP($D16,Hypothèses!$D$6:$F$14,3,0))</f>
        <v>0</v>
      </c>
      <c r="AW16" s="1335">
        <f>IF(ISNA(U16*VLOOKUP($D16,Hypothèses!$D$6:$F$14,3,0)),0,U16*VLOOKUP($D16,Hypothèses!$D$6:$F$14,3,0))</f>
        <v>0</v>
      </c>
      <c r="AX16" s="1335">
        <f>IF(ISNA(V16*VLOOKUP($D16,Hypothèses!$D$6:$F$14,3,0)),0,V16*VLOOKUP($D16,Hypothèses!$D$6:$F$14,3,0))</f>
        <v>0</v>
      </c>
      <c r="AY16" s="1335">
        <f>IF(ISNA(W16*VLOOKUP($D16,Hypothèses!$D$6:$F$14,3,0)),0,W16*VLOOKUP($D16,Hypothèses!$D$6:$F$14,3,0))</f>
        <v>0</v>
      </c>
      <c r="AZ16" s="1335">
        <f>IF(ISNA(X16*VLOOKUP($D16,Hypothèses!$D$6:$F$14,3,0)),0,X16*VLOOKUP($D16,Hypothèses!$D$6:$F$14,3,0))</f>
        <v>0</v>
      </c>
      <c r="BA16" s="1335">
        <f>IF(ISNA(Y16*VLOOKUP($D16,Hypothèses!$D$6:$F$14,3,0)),0,Y16*VLOOKUP($D16,Hypothèses!$D$6:$F$14,3,0))</f>
        <v>0</v>
      </c>
      <c r="BB16" s="1335">
        <f>IF(ISNA(Z16*VLOOKUP($D16,Hypothèses!$D$6:$F$14,3,0)),0,Z16*VLOOKUP($D16,Hypothèses!$D$6:$F$14,3,0))</f>
        <v>0</v>
      </c>
      <c r="BC16" s="1335">
        <f>IF(ISNA(AA16*VLOOKUP($D16,Hypothèses!$D$6:$F$14,3,0)),0,AA16*VLOOKUP($D16,Hypothèses!$D$6:$F$14,3,0))</f>
        <v>0</v>
      </c>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row>
    <row r="17" spans="1:89" s="3" customFormat="1">
      <c r="A17" s="1817">
        <v>10</v>
      </c>
      <c r="B17" s="1790"/>
      <c r="C17" s="1333"/>
      <c r="D17" s="1334"/>
      <c r="E17" s="1332" t="str">
        <f>IF(ISNA(VLOOKUP(D17,Hypothèses!$D$6:$G$16,4,0)),"",VLOOKUP(D17,Hypothèses!$D$6:$G$16,4,0))</f>
        <v/>
      </c>
      <c r="F17" s="1842"/>
      <c r="G17" s="1843"/>
      <c r="H17" s="1843"/>
      <c r="I17" s="1843"/>
      <c r="J17" s="1843"/>
      <c r="K17" s="1843"/>
      <c r="L17" s="1843"/>
      <c r="M17" s="1843"/>
      <c r="N17" s="1843"/>
      <c r="O17" s="1843"/>
      <c r="P17" s="1843"/>
      <c r="Q17" s="1843"/>
      <c r="R17" s="1843"/>
      <c r="S17" s="1843"/>
      <c r="T17" s="1843"/>
      <c r="U17" s="1843"/>
      <c r="V17" s="1843"/>
      <c r="W17" s="1843"/>
      <c r="X17" s="1843"/>
      <c r="Y17" s="1843"/>
      <c r="Z17" s="1843"/>
      <c r="AA17" s="1844"/>
      <c r="AB17" s="1335"/>
      <c r="AC17" s="1335"/>
      <c r="AD17" s="1335"/>
      <c r="AE17" s="1335"/>
      <c r="AF17" s="1335"/>
      <c r="AG17"/>
      <c r="AH17" s="1335">
        <f>IF(ISNA(F17*VLOOKUP($D17,Hypothèses!$D$6:$F$14,3,0)),0,F17*VLOOKUP($D17,Hypothèses!$D$6:$F$14,3,0))</f>
        <v>0</v>
      </c>
      <c r="AI17" s="1335">
        <f>IF(ISNA(G17*VLOOKUP($D17,Hypothèses!$D$6:$F$14,3,0)),0,G17*VLOOKUP($D17,Hypothèses!$D$6:$F$14,3,0))</f>
        <v>0</v>
      </c>
      <c r="AJ17" s="1335">
        <f>IF(ISNA(H17*VLOOKUP($D17,Hypothèses!$D$6:$F$14,3,0)),0,H17*VLOOKUP($D17,Hypothèses!$D$6:$F$14,3,0))</f>
        <v>0</v>
      </c>
      <c r="AK17" s="1335">
        <f>IF(ISNA(I17*VLOOKUP($D17,Hypothèses!$D$6:$F$14,3,0)),0,I17*VLOOKUP($D17,Hypothèses!$D$6:$F$14,3,0))</f>
        <v>0</v>
      </c>
      <c r="AL17" s="1335">
        <f>IF(ISNA(J17*VLOOKUP($D17,Hypothèses!$D$6:$F$14,3,0)),0,J17*VLOOKUP($D17,Hypothèses!$D$6:$F$14,3,0))</f>
        <v>0</v>
      </c>
      <c r="AM17" s="1335">
        <f>IF(ISNA(K17*VLOOKUP($D17,Hypothèses!$D$6:$F$14,3,0)),0,K17*VLOOKUP($D17,Hypothèses!$D$6:$F$14,3,0))</f>
        <v>0</v>
      </c>
      <c r="AN17" s="1335">
        <f>IF(ISNA(L17*VLOOKUP($D17,Hypothèses!$D$6:$F$14,3,0)),0,L17*VLOOKUP($D17,Hypothèses!$D$6:$F$14,3,0))</f>
        <v>0</v>
      </c>
      <c r="AO17" s="1335">
        <f>IF(ISNA(M17*VLOOKUP($D17,Hypothèses!$D$6:$F$14,3,0)),0,M17*VLOOKUP($D17,Hypothèses!$D$6:$F$14,3,0))</f>
        <v>0</v>
      </c>
      <c r="AP17" s="1335">
        <f>IF(ISNA(N17*VLOOKUP($D17,Hypothèses!$D$6:$F$14,3,0)),0,N17*VLOOKUP($D17,Hypothèses!$D$6:$F$14,3,0))</f>
        <v>0</v>
      </c>
      <c r="AQ17" s="1335">
        <f>IF(ISNA(O17*VLOOKUP($D17,Hypothèses!$D$6:$F$14,3,0)),0,O17*VLOOKUP($D17,Hypothèses!$D$6:$F$14,3,0))</f>
        <v>0</v>
      </c>
      <c r="AR17" s="1335">
        <f>IF(ISNA(P17*VLOOKUP($D17,Hypothèses!$D$6:$F$14,3,0)),0,P17*VLOOKUP($D17,Hypothèses!$D$6:$F$14,3,0))</f>
        <v>0</v>
      </c>
      <c r="AS17" s="1335">
        <f>IF(ISNA(Q17*VLOOKUP($D17,Hypothèses!$D$6:$F$14,3,0)),0,Q17*VLOOKUP($D17,Hypothèses!$D$6:$F$14,3,0))</f>
        <v>0</v>
      </c>
      <c r="AT17" s="1335">
        <f>IF(ISNA(R17*VLOOKUP($D17,Hypothèses!$D$6:$F$14,3,0)),0,R17*VLOOKUP($D17,Hypothèses!$D$6:$F$14,3,0))</f>
        <v>0</v>
      </c>
      <c r="AU17" s="1335">
        <f>IF(ISNA(S17*VLOOKUP($D17,Hypothèses!$D$6:$F$14,3,0)),0,S17*VLOOKUP($D17,Hypothèses!$D$6:$F$14,3,0))</f>
        <v>0</v>
      </c>
      <c r="AV17" s="1335">
        <f>IF(ISNA(T17*VLOOKUP($D17,Hypothèses!$D$6:$F$14,3,0)),0,T17*VLOOKUP($D17,Hypothèses!$D$6:$F$14,3,0))</f>
        <v>0</v>
      </c>
      <c r="AW17" s="1335">
        <f>IF(ISNA(U17*VLOOKUP($D17,Hypothèses!$D$6:$F$14,3,0)),0,U17*VLOOKUP($D17,Hypothèses!$D$6:$F$14,3,0))</f>
        <v>0</v>
      </c>
      <c r="AX17" s="1335">
        <f>IF(ISNA(V17*VLOOKUP($D17,Hypothèses!$D$6:$F$14,3,0)),0,V17*VLOOKUP($D17,Hypothèses!$D$6:$F$14,3,0))</f>
        <v>0</v>
      </c>
      <c r="AY17" s="1335">
        <f>IF(ISNA(W17*VLOOKUP($D17,Hypothèses!$D$6:$F$14,3,0)),0,W17*VLOOKUP($D17,Hypothèses!$D$6:$F$14,3,0))</f>
        <v>0</v>
      </c>
      <c r="AZ17" s="1335">
        <f>IF(ISNA(X17*VLOOKUP($D17,Hypothèses!$D$6:$F$14,3,0)),0,X17*VLOOKUP($D17,Hypothèses!$D$6:$F$14,3,0))</f>
        <v>0</v>
      </c>
      <c r="BA17" s="1335">
        <f>IF(ISNA(Y17*VLOOKUP($D17,Hypothèses!$D$6:$F$14,3,0)),0,Y17*VLOOKUP($D17,Hypothèses!$D$6:$F$14,3,0))</f>
        <v>0</v>
      </c>
      <c r="BB17" s="1335">
        <f>IF(ISNA(Z17*VLOOKUP($D17,Hypothèses!$D$6:$F$14,3,0)),0,Z17*VLOOKUP($D17,Hypothèses!$D$6:$F$14,3,0))</f>
        <v>0</v>
      </c>
      <c r="BC17" s="1335">
        <f>IF(ISNA(AA17*VLOOKUP($D17,Hypothèses!$D$6:$F$14,3,0)),0,AA17*VLOOKUP($D17,Hypothèses!$D$6:$F$14,3,0))</f>
        <v>0</v>
      </c>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row>
    <row r="18" spans="1:89" s="3" customFormat="1">
      <c r="A18" s="1817">
        <v>11</v>
      </c>
      <c r="B18" s="1790"/>
      <c r="C18" s="1333"/>
      <c r="D18" s="1334"/>
      <c r="E18" s="1332" t="str">
        <f>IF(ISNA(VLOOKUP(D18,Hypothèses!$D$6:$G$16,4,0)),"",VLOOKUP(D18,Hypothèses!$D$6:$G$16,4,0))</f>
        <v/>
      </c>
      <c r="F18" s="1842"/>
      <c r="G18" s="1843"/>
      <c r="H18" s="1843"/>
      <c r="I18" s="1843"/>
      <c r="J18" s="1843"/>
      <c r="K18" s="1843"/>
      <c r="L18" s="1843"/>
      <c r="M18" s="1843"/>
      <c r="N18" s="1843"/>
      <c r="O18" s="1843"/>
      <c r="P18" s="1843"/>
      <c r="Q18" s="1843"/>
      <c r="R18" s="1843"/>
      <c r="S18" s="1843"/>
      <c r="T18" s="1843"/>
      <c r="U18" s="1843"/>
      <c r="V18" s="1843"/>
      <c r="W18" s="1843"/>
      <c r="X18" s="1843"/>
      <c r="Y18" s="1843"/>
      <c r="Z18" s="1843"/>
      <c r="AA18" s="1844"/>
      <c r="AB18" s="1335"/>
      <c r="AC18" s="1335"/>
      <c r="AD18" s="1335"/>
      <c r="AE18" s="1335"/>
      <c r="AF18" s="1335"/>
      <c r="AG18"/>
      <c r="AH18" s="1335">
        <f>IF(ISNA(F18*VLOOKUP($D18,Hypothèses!$D$6:$F$14,3,0)),0,F18*VLOOKUP($D18,Hypothèses!$D$6:$F$14,3,0))</f>
        <v>0</v>
      </c>
      <c r="AI18" s="1335">
        <f>IF(ISNA(G18*VLOOKUP($D18,Hypothèses!$D$6:$F$14,3,0)),0,G18*VLOOKUP($D18,Hypothèses!$D$6:$F$14,3,0))</f>
        <v>0</v>
      </c>
      <c r="AJ18" s="1335">
        <f>IF(ISNA(H18*VLOOKUP($D18,Hypothèses!$D$6:$F$14,3,0)),0,H18*VLOOKUP($D18,Hypothèses!$D$6:$F$14,3,0))</f>
        <v>0</v>
      </c>
      <c r="AK18" s="1335">
        <f>IF(ISNA(I18*VLOOKUP($D18,Hypothèses!$D$6:$F$14,3,0)),0,I18*VLOOKUP($D18,Hypothèses!$D$6:$F$14,3,0))</f>
        <v>0</v>
      </c>
      <c r="AL18" s="1335">
        <f>IF(ISNA(J18*VLOOKUP($D18,Hypothèses!$D$6:$F$14,3,0)),0,J18*VLOOKUP($D18,Hypothèses!$D$6:$F$14,3,0))</f>
        <v>0</v>
      </c>
      <c r="AM18" s="1335">
        <f>IF(ISNA(K18*VLOOKUP($D18,Hypothèses!$D$6:$F$14,3,0)),0,K18*VLOOKUP($D18,Hypothèses!$D$6:$F$14,3,0))</f>
        <v>0</v>
      </c>
      <c r="AN18" s="1335">
        <f>IF(ISNA(L18*VLOOKUP($D18,Hypothèses!$D$6:$F$14,3,0)),0,L18*VLOOKUP($D18,Hypothèses!$D$6:$F$14,3,0))</f>
        <v>0</v>
      </c>
      <c r="AO18" s="1335">
        <f>IF(ISNA(M18*VLOOKUP($D18,Hypothèses!$D$6:$F$14,3,0)),0,M18*VLOOKUP($D18,Hypothèses!$D$6:$F$14,3,0))</f>
        <v>0</v>
      </c>
      <c r="AP18" s="1335">
        <f>IF(ISNA(N18*VLOOKUP($D18,Hypothèses!$D$6:$F$14,3,0)),0,N18*VLOOKUP($D18,Hypothèses!$D$6:$F$14,3,0))</f>
        <v>0</v>
      </c>
      <c r="AQ18" s="1335">
        <f>IF(ISNA(O18*VLOOKUP($D18,Hypothèses!$D$6:$F$14,3,0)),0,O18*VLOOKUP($D18,Hypothèses!$D$6:$F$14,3,0))</f>
        <v>0</v>
      </c>
      <c r="AR18" s="1335">
        <f>IF(ISNA(P18*VLOOKUP($D18,Hypothèses!$D$6:$F$14,3,0)),0,P18*VLOOKUP($D18,Hypothèses!$D$6:$F$14,3,0))</f>
        <v>0</v>
      </c>
      <c r="AS18" s="1335">
        <f>IF(ISNA(Q18*VLOOKUP($D18,Hypothèses!$D$6:$F$14,3,0)),0,Q18*VLOOKUP($D18,Hypothèses!$D$6:$F$14,3,0))</f>
        <v>0</v>
      </c>
      <c r="AT18" s="1335">
        <f>IF(ISNA(R18*VLOOKUP($D18,Hypothèses!$D$6:$F$14,3,0)),0,R18*VLOOKUP($D18,Hypothèses!$D$6:$F$14,3,0))</f>
        <v>0</v>
      </c>
      <c r="AU18" s="1335">
        <f>IF(ISNA(S18*VLOOKUP($D18,Hypothèses!$D$6:$F$14,3,0)),0,S18*VLOOKUP($D18,Hypothèses!$D$6:$F$14,3,0))</f>
        <v>0</v>
      </c>
      <c r="AV18" s="1335">
        <f>IF(ISNA(T18*VLOOKUP($D18,Hypothèses!$D$6:$F$14,3,0)),0,T18*VLOOKUP($D18,Hypothèses!$D$6:$F$14,3,0))</f>
        <v>0</v>
      </c>
      <c r="AW18" s="1335">
        <f>IF(ISNA(U18*VLOOKUP($D18,Hypothèses!$D$6:$F$14,3,0)),0,U18*VLOOKUP($D18,Hypothèses!$D$6:$F$14,3,0))</f>
        <v>0</v>
      </c>
      <c r="AX18" s="1335">
        <f>IF(ISNA(V18*VLOOKUP($D18,Hypothèses!$D$6:$F$14,3,0)),0,V18*VLOOKUP($D18,Hypothèses!$D$6:$F$14,3,0))</f>
        <v>0</v>
      </c>
      <c r="AY18" s="1335">
        <f>IF(ISNA(W18*VLOOKUP($D18,Hypothèses!$D$6:$F$14,3,0)),0,W18*VLOOKUP($D18,Hypothèses!$D$6:$F$14,3,0))</f>
        <v>0</v>
      </c>
      <c r="AZ18" s="1335">
        <f>IF(ISNA(X18*VLOOKUP($D18,Hypothèses!$D$6:$F$14,3,0)),0,X18*VLOOKUP($D18,Hypothèses!$D$6:$F$14,3,0))</f>
        <v>0</v>
      </c>
      <c r="BA18" s="1335">
        <f>IF(ISNA(Y18*VLOOKUP($D18,Hypothèses!$D$6:$F$14,3,0)),0,Y18*VLOOKUP($D18,Hypothèses!$D$6:$F$14,3,0))</f>
        <v>0</v>
      </c>
      <c r="BB18" s="1335">
        <f>IF(ISNA(Z18*VLOOKUP($D18,Hypothèses!$D$6:$F$14,3,0)),0,Z18*VLOOKUP($D18,Hypothèses!$D$6:$F$14,3,0))</f>
        <v>0</v>
      </c>
      <c r="BC18" s="1335">
        <f>IF(ISNA(AA18*VLOOKUP($D18,Hypothèses!$D$6:$F$14,3,0)),0,AA18*VLOOKUP($D18,Hypothèses!$D$6:$F$14,3,0))</f>
        <v>0</v>
      </c>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row>
    <row r="19" spans="1:89" s="3" customFormat="1">
      <c r="A19" s="1817">
        <v>12</v>
      </c>
      <c r="B19" s="1790"/>
      <c r="C19" s="1333"/>
      <c r="D19" s="1334"/>
      <c r="E19" s="1332" t="str">
        <f>IF(ISNA(VLOOKUP(D19,Hypothèses!$D$6:$G$16,4,0)),"",VLOOKUP(D19,Hypothèses!$D$6:$G$16,4,0))</f>
        <v/>
      </c>
      <c r="F19" s="1842"/>
      <c r="G19" s="1843"/>
      <c r="H19" s="1843"/>
      <c r="I19" s="1843"/>
      <c r="J19" s="1843"/>
      <c r="K19" s="1843"/>
      <c r="L19" s="1843"/>
      <c r="M19" s="1843"/>
      <c r="N19" s="1843"/>
      <c r="O19" s="1843"/>
      <c r="P19" s="1843"/>
      <c r="Q19" s="1843"/>
      <c r="R19" s="1843"/>
      <c r="S19" s="1843"/>
      <c r="T19" s="1843"/>
      <c r="U19" s="1843"/>
      <c r="V19" s="1843"/>
      <c r="W19" s="1843"/>
      <c r="X19" s="1843"/>
      <c r="Y19" s="1843"/>
      <c r="Z19" s="1843"/>
      <c r="AA19" s="1844"/>
      <c r="AB19" s="1335"/>
      <c r="AC19" s="1335"/>
      <c r="AD19" s="1335"/>
      <c r="AE19" s="1335"/>
      <c r="AF19" s="1335"/>
      <c r="AG19"/>
      <c r="AH19" s="1335">
        <f>IF(ISNA(F19*VLOOKUP($D19,Hypothèses!$D$6:$F$14,3,0)),0,F19*VLOOKUP($D19,Hypothèses!$D$6:$F$14,3,0))</f>
        <v>0</v>
      </c>
      <c r="AI19" s="1335">
        <f>IF(ISNA(G19*VLOOKUP($D19,Hypothèses!$D$6:$F$14,3,0)),0,G19*VLOOKUP($D19,Hypothèses!$D$6:$F$14,3,0))</f>
        <v>0</v>
      </c>
      <c r="AJ19" s="1335">
        <f>IF(ISNA(H19*VLOOKUP($D19,Hypothèses!$D$6:$F$14,3,0)),0,H19*VLOOKUP($D19,Hypothèses!$D$6:$F$14,3,0))</f>
        <v>0</v>
      </c>
      <c r="AK19" s="1335">
        <f>IF(ISNA(I19*VLOOKUP($D19,Hypothèses!$D$6:$F$14,3,0)),0,I19*VLOOKUP($D19,Hypothèses!$D$6:$F$14,3,0))</f>
        <v>0</v>
      </c>
      <c r="AL19" s="1335">
        <f>IF(ISNA(J19*VLOOKUP($D19,Hypothèses!$D$6:$F$14,3,0)),0,J19*VLOOKUP($D19,Hypothèses!$D$6:$F$14,3,0))</f>
        <v>0</v>
      </c>
      <c r="AM19" s="1335">
        <f>IF(ISNA(K19*VLOOKUP($D19,Hypothèses!$D$6:$F$14,3,0)),0,K19*VLOOKUP($D19,Hypothèses!$D$6:$F$14,3,0))</f>
        <v>0</v>
      </c>
      <c r="AN19" s="1335">
        <f>IF(ISNA(L19*VLOOKUP($D19,Hypothèses!$D$6:$F$14,3,0)),0,L19*VLOOKUP($D19,Hypothèses!$D$6:$F$14,3,0))</f>
        <v>0</v>
      </c>
      <c r="AO19" s="1335">
        <f>IF(ISNA(M19*VLOOKUP($D19,Hypothèses!$D$6:$F$14,3,0)),0,M19*VLOOKUP($D19,Hypothèses!$D$6:$F$14,3,0))</f>
        <v>0</v>
      </c>
      <c r="AP19" s="1335">
        <f>IF(ISNA(N19*VLOOKUP($D19,Hypothèses!$D$6:$F$14,3,0)),0,N19*VLOOKUP($D19,Hypothèses!$D$6:$F$14,3,0))</f>
        <v>0</v>
      </c>
      <c r="AQ19" s="1335">
        <f>IF(ISNA(O19*VLOOKUP($D19,Hypothèses!$D$6:$F$14,3,0)),0,O19*VLOOKUP($D19,Hypothèses!$D$6:$F$14,3,0))</f>
        <v>0</v>
      </c>
      <c r="AR19" s="1335">
        <f>IF(ISNA(P19*VLOOKUP($D19,Hypothèses!$D$6:$F$14,3,0)),0,P19*VLOOKUP($D19,Hypothèses!$D$6:$F$14,3,0))</f>
        <v>0</v>
      </c>
      <c r="AS19" s="1335">
        <f>IF(ISNA(Q19*VLOOKUP($D19,Hypothèses!$D$6:$F$14,3,0)),0,Q19*VLOOKUP($D19,Hypothèses!$D$6:$F$14,3,0))</f>
        <v>0</v>
      </c>
      <c r="AT19" s="1335">
        <f>IF(ISNA(R19*VLOOKUP($D19,Hypothèses!$D$6:$F$14,3,0)),0,R19*VLOOKUP($D19,Hypothèses!$D$6:$F$14,3,0))</f>
        <v>0</v>
      </c>
      <c r="AU19" s="1335">
        <f>IF(ISNA(S19*VLOOKUP($D19,Hypothèses!$D$6:$F$14,3,0)),0,S19*VLOOKUP($D19,Hypothèses!$D$6:$F$14,3,0))</f>
        <v>0</v>
      </c>
      <c r="AV19" s="1335">
        <f>IF(ISNA(T19*VLOOKUP($D19,Hypothèses!$D$6:$F$14,3,0)),0,T19*VLOOKUP($D19,Hypothèses!$D$6:$F$14,3,0))</f>
        <v>0</v>
      </c>
      <c r="AW19" s="1335">
        <f>IF(ISNA(U19*VLOOKUP($D19,Hypothèses!$D$6:$F$14,3,0)),0,U19*VLOOKUP($D19,Hypothèses!$D$6:$F$14,3,0))</f>
        <v>0</v>
      </c>
      <c r="AX19" s="1335">
        <f>IF(ISNA(V19*VLOOKUP($D19,Hypothèses!$D$6:$F$14,3,0)),0,V19*VLOOKUP($D19,Hypothèses!$D$6:$F$14,3,0))</f>
        <v>0</v>
      </c>
      <c r="AY19" s="1335">
        <f>IF(ISNA(W19*VLOOKUP($D19,Hypothèses!$D$6:$F$14,3,0)),0,W19*VLOOKUP($D19,Hypothèses!$D$6:$F$14,3,0))</f>
        <v>0</v>
      </c>
      <c r="AZ19" s="1335">
        <f>IF(ISNA(X19*VLOOKUP($D19,Hypothèses!$D$6:$F$14,3,0)),0,X19*VLOOKUP($D19,Hypothèses!$D$6:$F$14,3,0))</f>
        <v>0</v>
      </c>
      <c r="BA19" s="1335">
        <f>IF(ISNA(Y19*VLOOKUP($D19,Hypothèses!$D$6:$F$14,3,0)),0,Y19*VLOOKUP($D19,Hypothèses!$D$6:$F$14,3,0))</f>
        <v>0</v>
      </c>
      <c r="BB19" s="1335">
        <f>IF(ISNA(Z19*VLOOKUP($D19,Hypothèses!$D$6:$F$14,3,0)),0,Z19*VLOOKUP($D19,Hypothèses!$D$6:$F$14,3,0))</f>
        <v>0</v>
      </c>
      <c r="BC19" s="1335">
        <f>IF(ISNA(AA19*VLOOKUP($D19,Hypothèses!$D$6:$F$14,3,0)),0,AA19*VLOOKUP($D19,Hypothèses!$D$6:$F$14,3,0))</f>
        <v>0</v>
      </c>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row>
    <row r="20" spans="1:89" s="3" customFormat="1">
      <c r="A20" s="1817">
        <v>13</v>
      </c>
      <c r="B20" s="1790"/>
      <c r="C20" s="1333"/>
      <c r="D20" s="1334"/>
      <c r="E20" s="1332" t="str">
        <f>IF(ISNA(VLOOKUP(D20,Hypothèses!$D$6:$G$16,4,0)),"",VLOOKUP(D20,Hypothèses!$D$6:$G$16,4,0))</f>
        <v/>
      </c>
      <c r="F20" s="1842"/>
      <c r="G20" s="1843"/>
      <c r="H20" s="1843"/>
      <c r="I20" s="1843"/>
      <c r="J20" s="1843"/>
      <c r="K20" s="1843"/>
      <c r="L20" s="1843"/>
      <c r="M20" s="1843"/>
      <c r="N20" s="1843"/>
      <c r="O20" s="1843"/>
      <c r="P20" s="1843"/>
      <c r="Q20" s="1843"/>
      <c r="R20" s="1843"/>
      <c r="S20" s="1843"/>
      <c r="T20" s="1843"/>
      <c r="U20" s="1843"/>
      <c r="V20" s="1843"/>
      <c r="W20" s="1843"/>
      <c r="X20" s="1843"/>
      <c r="Y20" s="1843"/>
      <c r="Z20" s="1843"/>
      <c r="AA20" s="1844"/>
      <c r="AB20" s="1335"/>
      <c r="AC20" s="1335"/>
      <c r="AD20" s="1335"/>
      <c r="AE20" s="1335"/>
      <c r="AF20" s="1335"/>
      <c r="AG20"/>
      <c r="AH20" s="1335">
        <f>IF(ISNA(F20*VLOOKUP($D20,Hypothèses!$D$6:$F$14,3,0)),0,F20*VLOOKUP($D20,Hypothèses!$D$6:$F$14,3,0))</f>
        <v>0</v>
      </c>
      <c r="AI20" s="1335">
        <f>IF(ISNA(G20*VLOOKUP($D20,Hypothèses!$D$6:$F$14,3,0)),0,G20*VLOOKUP($D20,Hypothèses!$D$6:$F$14,3,0))</f>
        <v>0</v>
      </c>
      <c r="AJ20" s="1335">
        <f>IF(ISNA(H20*VLOOKUP($D20,Hypothèses!$D$6:$F$14,3,0)),0,H20*VLOOKUP($D20,Hypothèses!$D$6:$F$14,3,0))</f>
        <v>0</v>
      </c>
      <c r="AK20" s="1335">
        <f>IF(ISNA(I20*VLOOKUP($D20,Hypothèses!$D$6:$F$14,3,0)),0,I20*VLOOKUP($D20,Hypothèses!$D$6:$F$14,3,0))</f>
        <v>0</v>
      </c>
      <c r="AL20" s="1335">
        <f>IF(ISNA(J20*VLOOKUP($D20,Hypothèses!$D$6:$F$14,3,0)),0,J20*VLOOKUP($D20,Hypothèses!$D$6:$F$14,3,0))</f>
        <v>0</v>
      </c>
      <c r="AM20" s="1335">
        <f>IF(ISNA(K20*VLOOKUP($D20,Hypothèses!$D$6:$F$14,3,0)),0,K20*VLOOKUP($D20,Hypothèses!$D$6:$F$14,3,0))</f>
        <v>0</v>
      </c>
      <c r="AN20" s="1335">
        <f>IF(ISNA(L20*VLOOKUP($D20,Hypothèses!$D$6:$F$14,3,0)),0,L20*VLOOKUP($D20,Hypothèses!$D$6:$F$14,3,0))</f>
        <v>0</v>
      </c>
      <c r="AO20" s="1335">
        <f>IF(ISNA(M20*VLOOKUP($D20,Hypothèses!$D$6:$F$14,3,0)),0,M20*VLOOKUP($D20,Hypothèses!$D$6:$F$14,3,0))</f>
        <v>0</v>
      </c>
      <c r="AP20" s="1335">
        <f>IF(ISNA(N20*VLOOKUP($D20,Hypothèses!$D$6:$F$14,3,0)),0,N20*VLOOKUP($D20,Hypothèses!$D$6:$F$14,3,0))</f>
        <v>0</v>
      </c>
      <c r="AQ20" s="1335">
        <f>IF(ISNA(O20*VLOOKUP($D20,Hypothèses!$D$6:$F$14,3,0)),0,O20*VLOOKUP($D20,Hypothèses!$D$6:$F$14,3,0))</f>
        <v>0</v>
      </c>
      <c r="AR20" s="1335">
        <f>IF(ISNA(P20*VLOOKUP($D20,Hypothèses!$D$6:$F$14,3,0)),0,P20*VLOOKUP($D20,Hypothèses!$D$6:$F$14,3,0))</f>
        <v>0</v>
      </c>
      <c r="AS20" s="1335">
        <f>IF(ISNA(Q20*VLOOKUP($D20,Hypothèses!$D$6:$F$14,3,0)),0,Q20*VLOOKUP($D20,Hypothèses!$D$6:$F$14,3,0))</f>
        <v>0</v>
      </c>
      <c r="AT20" s="1335">
        <f>IF(ISNA(R20*VLOOKUP($D20,Hypothèses!$D$6:$F$14,3,0)),0,R20*VLOOKUP($D20,Hypothèses!$D$6:$F$14,3,0))</f>
        <v>0</v>
      </c>
      <c r="AU20" s="1335">
        <f>IF(ISNA(S20*VLOOKUP($D20,Hypothèses!$D$6:$F$14,3,0)),0,S20*VLOOKUP($D20,Hypothèses!$D$6:$F$14,3,0))</f>
        <v>0</v>
      </c>
      <c r="AV20" s="1335">
        <f>IF(ISNA(T20*VLOOKUP($D20,Hypothèses!$D$6:$F$14,3,0)),0,T20*VLOOKUP($D20,Hypothèses!$D$6:$F$14,3,0))</f>
        <v>0</v>
      </c>
      <c r="AW20" s="1335">
        <f>IF(ISNA(U20*VLOOKUP($D20,Hypothèses!$D$6:$F$14,3,0)),0,U20*VLOOKUP($D20,Hypothèses!$D$6:$F$14,3,0))</f>
        <v>0</v>
      </c>
      <c r="AX20" s="1335">
        <f>IF(ISNA(V20*VLOOKUP($D20,Hypothèses!$D$6:$F$14,3,0)),0,V20*VLOOKUP($D20,Hypothèses!$D$6:$F$14,3,0))</f>
        <v>0</v>
      </c>
      <c r="AY20" s="1335">
        <f>IF(ISNA(W20*VLOOKUP($D20,Hypothèses!$D$6:$F$14,3,0)),0,W20*VLOOKUP($D20,Hypothèses!$D$6:$F$14,3,0))</f>
        <v>0</v>
      </c>
      <c r="AZ20" s="1335">
        <f>IF(ISNA(X20*VLOOKUP($D20,Hypothèses!$D$6:$F$14,3,0)),0,X20*VLOOKUP($D20,Hypothèses!$D$6:$F$14,3,0))</f>
        <v>0</v>
      </c>
      <c r="BA20" s="1335">
        <f>IF(ISNA(Y20*VLOOKUP($D20,Hypothèses!$D$6:$F$14,3,0)),0,Y20*VLOOKUP($D20,Hypothèses!$D$6:$F$14,3,0))</f>
        <v>0</v>
      </c>
      <c r="BB20" s="1335">
        <f>IF(ISNA(Z20*VLOOKUP($D20,Hypothèses!$D$6:$F$14,3,0)),0,Z20*VLOOKUP($D20,Hypothèses!$D$6:$F$14,3,0))</f>
        <v>0</v>
      </c>
      <c r="BC20" s="1335">
        <f>IF(ISNA(AA20*VLOOKUP($D20,Hypothèses!$D$6:$F$14,3,0)),0,AA20*VLOOKUP($D20,Hypothèses!$D$6:$F$14,3,0))</f>
        <v>0</v>
      </c>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row>
    <row r="21" spans="1:89" s="3" customFormat="1">
      <c r="A21" s="1817">
        <v>14</v>
      </c>
      <c r="B21" s="1790"/>
      <c r="C21" s="1333"/>
      <c r="D21" s="1334"/>
      <c r="E21" s="1332" t="str">
        <f>IF(ISNA(VLOOKUP(D21,Hypothèses!$D$6:$G$16,4,0)),"",VLOOKUP(D21,Hypothèses!$D$6:$G$16,4,0))</f>
        <v/>
      </c>
      <c r="F21" s="1842"/>
      <c r="G21" s="1843"/>
      <c r="H21" s="1843"/>
      <c r="I21" s="1843"/>
      <c r="J21" s="1843"/>
      <c r="K21" s="1843"/>
      <c r="L21" s="1843"/>
      <c r="M21" s="1843"/>
      <c r="N21" s="1843"/>
      <c r="O21" s="1843"/>
      <c r="P21" s="1843"/>
      <c r="Q21" s="1843"/>
      <c r="R21" s="1843"/>
      <c r="S21" s="1843"/>
      <c r="T21" s="1843"/>
      <c r="U21" s="1843"/>
      <c r="V21" s="1843"/>
      <c r="W21" s="1843"/>
      <c r="X21" s="1843"/>
      <c r="Y21" s="1843"/>
      <c r="Z21" s="1843"/>
      <c r="AA21" s="1844"/>
      <c r="AB21" s="1335"/>
      <c r="AC21" s="1335"/>
      <c r="AD21" s="1335"/>
      <c r="AE21" s="1335"/>
      <c r="AF21" s="1335"/>
      <c r="AG21"/>
      <c r="AH21" s="1335">
        <f>IF(ISNA(F21*VLOOKUP($D21,Hypothèses!$D$6:$F$14,3,0)),0,F21*VLOOKUP($D21,Hypothèses!$D$6:$F$14,3,0))</f>
        <v>0</v>
      </c>
      <c r="AI21" s="1335">
        <f>IF(ISNA(G21*VLOOKUP($D21,Hypothèses!$D$6:$F$14,3,0)),0,G21*VLOOKUP($D21,Hypothèses!$D$6:$F$14,3,0))</f>
        <v>0</v>
      </c>
      <c r="AJ21" s="1335">
        <f>IF(ISNA(H21*VLOOKUP($D21,Hypothèses!$D$6:$F$14,3,0)),0,H21*VLOOKUP($D21,Hypothèses!$D$6:$F$14,3,0))</f>
        <v>0</v>
      </c>
      <c r="AK21" s="1335">
        <f>IF(ISNA(I21*VLOOKUP($D21,Hypothèses!$D$6:$F$14,3,0)),0,I21*VLOOKUP($D21,Hypothèses!$D$6:$F$14,3,0))</f>
        <v>0</v>
      </c>
      <c r="AL21" s="1335">
        <f>IF(ISNA(J21*VLOOKUP($D21,Hypothèses!$D$6:$F$14,3,0)),0,J21*VLOOKUP($D21,Hypothèses!$D$6:$F$14,3,0))</f>
        <v>0</v>
      </c>
      <c r="AM21" s="1335">
        <f>IF(ISNA(K21*VLOOKUP($D21,Hypothèses!$D$6:$F$14,3,0)),0,K21*VLOOKUP($D21,Hypothèses!$D$6:$F$14,3,0))</f>
        <v>0</v>
      </c>
      <c r="AN21" s="1335">
        <f>IF(ISNA(L21*VLOOKUP($D21,Hypothèses!$D$6:$F$14,3,0)),0,L21*VLOOKUP($D21,Hypothèses!$D$6:$F$14,3,0))</f>
        <v>0</v>
      </c>
      <c r="AO21" s="1335">
        <f>IF(ISNA(M21*VLOOKUP($D21,Hypothèses!$D$6:$F$14,3,0)),0,M21*VLOOKUP($D21,Hypothèses!$D$6:$F$14,3,0))</f>
        <v>0</v>
      </c>
      <c r="AP21" s="1335">
        <f>IF(ISNA(N21*VLOOKUP($D21,Hypothèses!$D$6:$F$14,3,0)),0,N21*VLOOKUP($D21,Hypothèses!$D$6:$F$14,3,0))</f>
        <v>0</v>
      </c>
      <c r="AQ21" s="1335">
        <f>IF(ISNA(O21*VLOOKUP($D21,Hypothèses!$D$6:$F$14,3,0)),0,O21*VLOOKUP($D21,Hypothèses!$D$6:$F$14,3,0))</f>
        <v>0</v>
      </c>
      <c r="AR21" s="1335">
        <f>IF(ISNA(P21*VLOOKUP($D21,Hypothèses!$D$6:$F$14,3,0)),0,P21*VLOOKUP($D21,Hypothèses!$D$6:$F$14,3,0))</f>
        <v>0</v>
      </c>
      <c r="AS21" s="1335">
        <f>IF(ISNA(Q21*VLOOKUP($D21,Hypothèses!$D$6:$F$14,3,0)),0,Q21*VLOOKUP($D21,Hypothèses!$D$6:$F$14,3,0))</f>
        <v>0</v>
      </c>
      <c r="AT21" s="1335">
        <f>IF(ISNA(R21*VLOOKUP($D21,Hypothèses!$D$6:$F$14,3,0)),0,R21*VLOOKUP($D21,Hypothèses!$D$6:$F$14,3,0))</f>
        <v>0</v>
      </c>
      <c r="AU21" s="1335">
        <f>IF(ISNA(S21*VLOOKUP($D21,Hypothèses!$D$6:$F$14,3,0)),0,S21*VLOOKUP($D21,Hypothèses!$D$6:$F$14,3,0))</f>
        <v>0</v>
      </c>
      <c r="AV21" s="1335">
        <f>IF(ISNA(T21*VLOOKUP($D21,Hypothèses!$D$6:$F$14,3,0)),0,T21*VLOOKUP($D21,Hypothèses!$D$6:$F$14,3,0))</f>
        <v>0</v>
      </c>
      <c r="AW21" s="1335">
        <f>IF(ISNA(U21*VLOOKUP($D21,Hypothèses!$D$6:$F$14,3,0)),0,U21*VLOOKUP($D21,Hypothèses!$D$6:$F$14,3,0))</f>
        <v>0</v>
      </c>
      <c r="AX21" s="1335">
        <f>IF(ISNA(V21*VLOOKUP($D21,Hypothèses!$D$6:$F$14,3,0)),0,V21*VLOOKUP($D21,Hypothèses!$D$6:$F$14,3,0))</f>
        <v>0</v>
      </c>
      <c r="AY21" s="1335">
        <f>IF(ISNA(W21*VLOOKUP($D21,Hypothèses!$D$6:$F$14,3,0)),0,W21*VLOOKUP($D21,Hypothèses!$D$6:$F$14,3,0))</f>
        <v>0</v>
      </c>
      <c r="AZ21" s="1335">
        <f>IF(ISNA(X21*VLOOKUP($D21,Hypothèses!$D$6:$F$14,3,0)),0,X21*VLOOKUP($D21,Hypothèses!$D$6:$F$14,3,0))</f>
        <v>0</v>
      </c>
      <c r="BA21" s="1335">
        <f>IF(ISNA(Y21*VLOOKUP($D21,Hypothèses!$D$6:$F$14,3,0)),0,Y21*VLOOKUP($D21,Hypothèses!$D$6:$F$14,3,0))</f>
        <v>0</v>
      </c>
      <c r="BB21" s="1335">
        <f>IF(ISNA(Z21*VLOOKUP($D21,Hypothèses!$D$6:$F$14,3,0)),0,Z21*VLOOKUP($D21,Hypothèses!$D$6:$F$14,3,0))</f>
        <v>0</v>
      </c>
      <c r="BC21" s="1335">
        <f>IF(ISNA(AA21*VLOOKUP($D21,Hypothèses!$D$6:$F$14,3,0)),0,AA21*VLOOKUP($D21,Hypothèses!$D$6:$F$14,3,0))</f>
        <v>0</v>
      </c>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row>
    <row r="22" spans="1:89" s="3" customFormat="1">
      <c r="A22" s="1817">
        <v>15</v>
      </c>
      <c r="B22" s="1790"/>
      <c r="C22" s="1333"/>
      <c r="D22" s="1334"/>
      <c r="E22" s="1332" t="str">
        <f>IF(ISNA(VLOOKUP(D22,Hypothèses!$D$6:$G$16,4,0)),"",VLOOKUP(D22,Hypothèses!$D$6:$G$16,4,0))</f>
        <v/>
      </c>
      <c r="F22" s="1842"/>
      <c r="G22" s="1843"/>
      <c r="H22" s="1843"/>
      <c r="I22" s="1843"/>
      <c r="J22" s="1843"/>
      <c r="K22" s="1843"/>
      <c r="L22" s="1843"/>
      <c r="M22" s="1843"/>
      <c r="N22" s="1843"/>
      <c r="O22" s="1843"/>
      <c r="P22" s="1843"/>
      <c r="Q22" s="1843"/>
      <c r="R22" s="1843"/>
      <c r="S22" s="1843"/>
      <c r="T22" s="1843"/>
      <c r="U22" s="1843"/>
      <c r="V22" s="1843"/>
      <c r="W22" s="1843"/>
      <c r="X22" s="1843"/>
      <c r="Y22" s="1843"/>
      <c r="Z22" s="1843"/>
      <c r="AA22" s="1844"/>
      <c r="AB22" s="1335"/>
      <c r="AC22" s="1335"/>
      <c r="AD22" s="1335"/>
      <c r="AE22" s="1335"/>
      <c r="AF22" s="1335"/>
      <c r="AG22"/>
      <c r="AH22" s="1335">
        <f>IF(ISNA(F22*VLOOKUP($D22,Hypothèses!$D$6:$F$14,3,0)),0,F22*VLOOKUP($D22,Hypothèses!$D$6:$F$14,3,0))</f>
        <v>0</v>
      </c>
      <c r="AI22" s="1335">
        <f>IF(ISNA(G22*VLOOKUP($D22,Hypothèses!$D$6:$F$14,3,0)),0,G22*VLOOKUP($D22,Hypothèses!$D$6:$F$14,3,0))</f>
        <v>0</v>
      </c>
      <c r="AJ22" s="1335">
        <f>IF(ISNA(H22*VLOOKUP($D22,Hypothèses!$D$6:$F$14,3,0)),0,H22*VLOOKUP($D22,Hypothèses!$D$6:$F$14,3,0))</f>
        <v>0</v>
      </c>
      <c r="AK22" s="1335">
        <f>IF(ISNA(I22*VLOOKUP($D22,Hypothèses!$D$6:$F$14,3,0)),0,I22*VLOOKUP($D22,Hypothèses!$D$6:$F$14,3,0))</f>
        <v>0</v>
      </c>
      <c r="AL22" s="1335">
        <f>IF(ISNA(J22*VLOOKUP($D22,Hypothèses!$D$6:$F$14,3,0)),0,J22*VLOOKUP($D22,Hypothèses!$D$6:$F$14,3,0))</f>
        <v>0</v>
      </c>
      <c r="AM22" s="1335">
        <f>IF(ISNA(K22*VLOOKUP($D22,Hypothèses!$D$6:$F$14,3,0)),0,K22*VLOOKUP($D22,Hypothèses!$D$6:$F$14,3,0))</f>
        <v>0</v>
      </c>
      <c r="AN22" s="1335">
        <f>IF(ISNA(L22*VLOOKUP($D22,Hypothèses!$D$6:$F$14,3,0)),0,L22*VLOOKUP($D22,Hypothèses!$D$6:$F$14,3,0))</f>
        <v>0</v>
      </c>
      <c r="AO22" s="1335">
        <f>IF(ISNA(M22*VLOOKUP($D22,Hypothèses!$D$6:$F$14,3,0)),0,M22*VLOOKUP($D22,Hypothèses!$D$6:$F$14,3,0))</f>
        <v>0</v>
      </c>
      <c r="AP22" s="1335">
        <f>IF(ISNA(N22*VLOOKUP($D22,Hypothèses!$D$6:$F$14,3,0)),0,N22*VLOOKUP($D22,Hypothèses!$D$6:$F$14,3,0))</f>
        <v>0</v>
      </c>
      <c r="AQ22" s="1335">
        <f>IF(ISNA(O22*VLOOKUP($D22,Hypothèses!$D$6:$F$14,3,0)),0,O22*VLOOKUP($D22,Hypothèses!$D$6:$F$14,3,0))</f>
        <v>0</v>
      </c>
      <c r="AR22" s="1335">
        <f>IF(ISNA(P22*VLOOKUP($D22,Hypothèses!$D$6:$F$14,3,0)),0,P22*VLOOKUP($D22,Hypothèses!$D$6:$F$14,3,0))</f>
        <v>0</v>
      </c>
      <c r="AS22" s="1335">
        <f>IF(ISNA(Q22*VLOOKUP($D22,Hypothèses!$D$6:$F$14,3,0)),0,Q22*VLOOKUP($D22,Hypothèses!$D$6:$F$14,3,0))</f>
        <v>0</v>
      </c>
      <c r="AT22" s="1335">
        <f>IF(ISNA(R22*VLOOKUP($D22,Hypothèses!$D$6:$F$14,3,0)),0,R22*VLOOKUP($D22,Hypothèses!$D$6:$F$14,3,0))</f>
        <v>0</v>
      </c>
      <c r="AU22" s="1335">
        <f>IF(ISNA(S22*VLOOKUP($D22,Hypothèses!$D$6:$F$14,3,0)),0,S22*VLOOKUP($D22,Hypothèses!$D$6:$F$14,3,0))</f>
        <v>0</v>
      </c>
      <c r="AV22" s="1335">
        <f>IF(ISNA(T22*VLOOKUP($D22,Hypothèses!$D$6:$F$14,3,0)),0,T22*VLOOKUP($D22,Hypothèses!$D$6:$F$14,3,0))</f>
        <v>0</v>
      </c>
      <c r="AW22" s="1335">
        <f>IF(ISNA(U22*VLOOKUP($D22,Hypothèses!$D$6:$F$14,3,0)),0,U22*VLOOKUP($D22,Hypothèses!$D$6:$F$14,3,0))</f>
        <v>0</v>
      </c>
      <c r="AX22" s="1335">
        <f>IF(ISNA(V22*VLOOKUP($D22,Hypothèses!$D$6:$F$14,3,0)),0,V22*VLOOKUP($D22,Hypothèses!$D$6:$F$14,3,0))</f>
        <v>0</v>
      </c>
      <c r="AY22" s="1335">
        <f>IF(ISNA(W22*VLOOKUP($D22,Hypothèses!$D$6:$F$14,3,0)),0,W22*VLOOKUP($D22,Hypothèses!$D$6:$F$14,3,0))</f>
        <v>0</v>
      </c>
      <c r="AZ22" s="1335">
        <f>IF(ISNA(X22*VLOOKUP($D22,Hypothèses!$D$6:$F$14,3,0)),0,X22*VLOOKUP($D22,Hypothèses!$D$6:$F$14,3,0))</f>
        <v>0</v>
      </c>
      <c r="BA22" s="1335">
        <f>IF(ISNA(Y22*VLOOKUP($D22,Hypothèses!$D$6:$F$14,3,0)),0,Y22*VLOOKUP($D22,Hypothèses!$D$6:$F$14,3,0))</f>
        <v>0</v>
      </c>
      <c r="BB22" s="1335">
        <f>IF(ISNA(Z22*VLOOKUP($D22,Hypothèses!$D$6:$F$14,3,0)),0,Z22*VLOOKUP($D22,Hypothèses!$D$6:$F$14,3,0))</f>
        <v>0</v>
      </c>
      <c r="BC22" s="1335">
        <f>IF(ISNA(AA22*VLOOKUP($D22,Hypothèses!$D$6:$F$14,3,0)),0,AA22*VLOOKUP($D22,Hypothèses!$D$6:$F$14,3,0))</f>
        <v>0</v>
      </c>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row>
    <row r="23" spans="1:89" s="3" customFormat="1">
      <c r="A23" s="1817">
        <v>16</v>
      </c>
      <c r="B23" s="1790"/>
      <c r="C23" s="1333"/>
      <c r="D23" s="1334"/>
      <c r="E23" s="1332" t="str">
        <f>IF(ISNA(VLOOKUP(D23,Hypothèses!$D$6:$G$16,4,0)),"",VLOOKUP(D23,Hypothèses!$D$6:$G$16,4,0))</f>
        <v/>
      </c>
      <c r="F23" s="1842"/>
      <c r="G23" s="1843"/>
      <c r="H23" s="1843"/>
      <c r="I23" s="1843"/>
      <c r="J23" s="1843"/>
      <c r="K23" s="1843"/>
      <c r="L23" s="1843"/>
      <c r="M23" s="1843"/>
      <c r="N23" s="1843"/>
      <c r="O23" s="1843"/>
      <c r="P23" s="1843"/>
      <c r="Q23" s="1843"/>
      <c r="R23" s="1843"/>
      <c r="S23" s="1843"/>
      <c r="T23" s="1843"/>
      <c r="U23" s="1843"/>
      <c r="V23" s="1843"/>
      <c r="W23" s="1843"/>
      <c r="X23" s="1843"/>
      <c r="Y23" s="1843"/>
      <c r="Z23" s="1843"/>
      <c r="AA23" s="1844"/>
      <c r="AB23" s="1335"/>
      <c r="AC23" s="1335"/>
      <c r="AD23" s="1335"/>
      <c r="AE23" s="1335"/>
      <c r="AF23" s="1335"/>
      <c r="AG23"/>
      <c r="AH23" s="1335">
        <f>IF(ISNA(F23*VLOOKUP($D23,Hypothèses!$D$6:$F$14,3,0)),0,F23*VLOOKUP($D23,Hypothèses!$D$6:$F$14,3,0))</f>
        <v>0</v>
      </c>
      <c r="AI23" s="1335">
        <f>IF(ISNA(G23*VLOOKUP($D23,Hypothèses!$D$6:$F$14,3,0)),0,G23*VLOOKUP($D23,Hypothèses!$D$6:$F$14,3,0))</f>
        <v>0</v>
      </c>
      <c r="AJ23" s="1335">
        <f>IF(ISNA(H23*VLOOKUP($D23,Hypothèses!$D$6:$F$14,3,0)),0,H23*VLOOKUP($D23,Hypothèses!$D$6:$F$14,3,0))</f>
        <v>0</v>
      </c>
      <c r="AK23" s="1335">
        <f>IF(ISNA(I23*VLOOKUP($D23,Hypothèses!$D$6:$F$14,3,0)),0,I23*VLOOKUP($D23,Hypothèses!$D$6:$F$14,3,0))</f>
        <v>0</v>
      </c>
      <c r="AL23" s="1335">
        <f>IF(ISNA(J23*VLOOKUP($D23,Hypothèses!$D$6:$F$14,3,0)),0,J23*VLOOKUP($D23,Hypothèses!$D$6:$F$14,3,0))</f>
        <v>0</v>
      </c>
      <c r="AM23" s="1335">
        <f>IF(ISNA(K23*VLOOKUP($D23,Hypothèses!$D$6:$F$14,3,0)),0,K23*VLOOKUP($D23,Hypothèses!$D$6:$F$14,3,0))</f>
        <v>0</v>
      </c>
      <c r="AN23" s="1335">
        <f>IF(ISNA(L23*VLOOKUP($D23,Hypothèses!$D$6:$F$14,3,0)),0,L23*VLOOKUP($D23,Hypothèses!$D$6:$F$14,3,0))</f>
        <v>0</v>
      </c>
      <c r="AO23" s="1335">
        <f>IF(ISNA(M23*VLOOKUP($D23,Hypothèses!$D$6:$F$14,3,0)),0,M23*VLOOKUP($D23,Hypothèses!$D$6:$F$14,3,0))</f>
        <v>0</v>
      </c>
      <c r="AP23" s="1335">
        <f>IF(ISNA(N23*VLOOKUP($D23,Hypothèses!$D$6:$F$14,3,0)),0,N23*VLOOKUP($D23,Hypothèses!$D$6:$F$14,3,0))</f>
        <v>0</v>
      </c>
      <c r="AQ23" s="1335">
        <f>IF(ISNA(O23*VLOOKUP($D23,Hypothèses!$D$6:$F$14,3,0)),0,O23*VLOOKUP($D23,Hypothèses!$D$6:$F$14,3,0))</f>
        <v>0</v>
      </c>
      <c r="AR23" s="1335">
        <f>IF(ISNA(P23*VLOOKUP($D23,Hypothèses!$D$6:$F$14,3,0)),0,P23*VLOOKUP($D23,Hypothèses!$D$6:$F$14,3,0))</f>
        <v>0</v>
      </c>
      <c r="AS23" s="1335">
        <f>IF(ISNA(Q23*VLOOKUP($D23,Hypothèses!$D$6:$F$14,3,0)),0,Q23*VLOOKUP($D23,Hypothèses!$D$6:$F$14,3,0))</f>
        <v>0</v>
      </c>
      <c r="AT23" s="1335">
        <f>IF(ISNA(R23*VLOOKUP($D23,Hypothèses!$D$6:$F$14,3,0)),0,R23*VLOOKUP($D23,Hypothèses!$D$6:$F$14,3,0))</f>
        <v>0</v>
      </c>
      <c r="AU23" s="1335">
        <f>IF(ISNA(S23*VLOOKUP($D23,Hypothèses!$D$6:$F$14,3,0)),0,S23*VLOOKUP($D23,Hypothèses!$D$6:$F$14,3,0))</f>
        <v>0</v>
      </c>
      <c r="AV23" s="1335">
        <f>IF(ISNA(T23*VLOOKUP($D23,Hypothèses!$D$6:$F$14,3,0)),0,T23*VLOOKUP($D23,Hypothèses!$D$6:$F$14,3,0))</f>
        <v>0</v>
      </c>
      <c r="AW23" s="1335">
        <f>IF(ISNA(U23*VLOOKUP($D23,Hypothèses!$D$6:$F$14,3,0)),0,U23*VLOOKUP($D23,Hypothèses!$D$6:$F$14,3,0))</f>
        <v>0</v>
      </c>
      <c r="AX23" s="1335">
        <f>IF(ISNA(V23*VLOOKUP($D23,Hypothèses!$D$6:$F$14,3,0)),0,V23*VLOOKUP($D23,Hypothèses!$D$6:$F$14,3,0))</f>
        <v>0</v>
      </c>
      <c r="AY23" s="1335">
        <f>IF(ISNA(W23*VLOOKUP($D23,Hypothèses!$D$6:$F$14,3,0)),0,W23*VLOOKUP($D23,Hypothèses!$D$6:$F$14,3,0))</f>
        <v>0</v>
      </c>
      <c r="AZ23" s="1335">
        <f>IF(ISNA(X23*VLOOKUP($D23,Hypothèses!$D$6:$F$14,3,0)),0,X23*VLOOKUP($D23,Hypothèses!$D$6:$F$14,3,0))</f>
        <v>0</v>
      </c>
      <c r="BA23" s="1335">
        <f>IF(ISNA(Y23*VLOOKUP($D23,Hypothèses!$D$6:$F$14,3,0)),0,Y23*VLOOKUP($D23,Hypothèses!$D$6:$F$14,3,0))</f>
        <v>0</v>
      </c>
      <c r="BB23" s="1335">
        <f>IF(ISNA(Z23*VLOOKUP($D23,Hypothèses!$D$6:$F$14,3,0)),0,Z23*VLOOKUP($D23,Hypothèses!$D$6:$F$14,3,0))</f>
        <v>0</v>
      </c>
      <c r="BC23" s="1335">
        <f>IF(ISNA(AA23*VLOOKUP($D23,Hypothèses!$D$6:$F$14,3,0)),0,AA23*VLOOKUP($D23,Hypothèses!$D$6:$F$14,3,0))</f>
        <v>0</v>
      </c>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row>
    <row r="24" spans="1:89" s="3" customFormat="1">
      <c r="A24" s="1817">
        <v>17</v>
      </c>
      <c r="B24" s="1790"/>
      <c r="C24" s="1333"/>
      <c r="D24" s="1334"/>
      <c r="E24" s="1332" t="str">
        <f>IF(ISNA(VLOOKUP(D24,Hypothèses!$D$6:$G$16,4,0)),"",VLOOKUP(D24,Hypothèses!$D$6:$G$16,4,0))</f>
        <v/>
      </c>
      <c r="F24" s="1842"/>
      <c r="G24" s="1843"/>
      <c r="H24" s="1843"/>
      <c r="I24" s="1843"/>
      <c r="J24" s="1843"/>
      <c r="K24" s="1843"/>
      <c r="L24" s="1843"/>
      <c r="M24" s="1843"/>
      <c r="N24" s="1843"/>
      <c r="O24" s="1843"/>
      <c r="P24" s="1843"/>
      <c r="Q24" s="1843"/>
      <c r="R24" s="1843"/>
      <c r="S24" s="1843"/>
      <c r="T24" s="1843"/>
      <c r="U24" s="1843"/>
      <c r="V24" s="1843"/>
      <c r="W24" s="1843"/>
      <c r="X24" s="1843"/>
      <c r="Y24" s="1843"/>
      <c r="Z24" s="1843"/>
      <c r="AA24" s="1844"/>
      <c r="AB24" s="1335"/>
      <c r="AC24" s="1335"/>
      <c r="AD24" s="1335"/>
      <c r="AE24" s="1335"/>
      <c r="AF24" s="1335"/>
      <c r="AG24"/>
      <c r="AH24" s="1335">
        <f>IF(ISNA(F24*VLOOKUP($D24,Hypothèses!$D$6:$F$14,3,0)),0,F24*VLOOKUP($D24,Hypothèses!$D$6:$F$14,3,0))</f>
        <v>0</v>
      </c>
      <c r="AI24" s="1335">
        <f>IF(ISNA(G24*VLOOKUP($D24,Hypothèses!$D$6:$F$14,3,0)),0,G24*VLOOKUP($D24,Hypothèses!$D$6:$F$14,3,0))</f>
        <v>0</v>
      </c>
      <c r="AJ24" s="1335">
        <f>IF(ISNA(H24*VLOOKUP($D24,Hypothèses!$D$6:$F$14,3,0)),0,H24*VLOOKUP($D24,Hypothèses!$D$6:$F$14,3,0))</f>
        <v>0</v>
      </c>
      <c r="AK24" s="1335">
        <f>IF(ISNA(I24*VLOOKUP($D24,Hypothèses!$D$6:$F$14,3,0)),0,I24*VLOOKUP($D24,Hypothèses!$D$6:$F$14,3,0))</f>
        <v>0</v>
      </c>
      <c r="AL24" s="1335">
        <f>IF(ISNA(J24*VLOOKUP($D24,Hypothèses!$D$6:$F$14,3,0)),0,J24*VLOOKUP($D24,Hypothèses!$D$6:$F$14,3,0))</f>
        <v>0</v>
      </c>
      <c r="AM24" s="1335">
        <f>IF(ISNA(K24*VLOOKUP($D24,Hypothèses!$D$6:$F$14,3,0)),0,K24*VLOOKUP($D24,Hypothèses!$D$6:$F$14,3,0))</f>
        <v>0</v>
      </c>
      <c r="AN24" s="1335">
        <f>IF(ISNA(L24*VLOOKUP($D24,Hypothèses!$D$6:$F$14,3,0)),0,L24*VLOOKUP($D24,Hypothèses!$D$6:$F$14,3,0))</f>
        <v>0</v>
      </c>
      <c r="AO24" s="1335">
        <f>IF(ISNA(M24*VLOOKUP($D24,Hypothèses!$D$6:$F$14,3,0)),0,M24*VLOOKUP($D24,Hypothèses!$D$6:$F$14,3,0))</f>
        <v>0</v>
      </c>
      <c r="AP24" s="1335">
        <f>IF(ISNA(N24*VLOOKUP($D24,Hypothèses!$D$6:$F$14,3,0)),0,N24*VLOOKUP($D24,Hypothèses!$D$6:$F$14,3,0))</f>
        <v>0</v>
      </c>
      <c r="AQ24" s="1335">
        <f>IF(ISNA(O24*VLOOKUP($D24,Hypothèses!$D$6:$F$14,3,0)),0,O24*VLOOKUP($D24,Hypothèses!$D$6:$F$14,3,0))</f>
        <v>0</v>
      </c>
      <c r="AR24" s="1335">
        <f>IF(ISNA(P24*VLOOKUP($D24,Hypothèses!$D$6:$F$14,3,0)),0,P24*VLOOKUP($D24,Hypothèses!$D$6:$F$14,3,0))</f>
        <v>0</v>
      </c>
      <c r="AS24" s="1335">
        <f>IF(ISNA(Q24*VLOOKUP($D24,Hypothèses!$D$6:$F$14,3,0)),0,Q24*VLOOKUP($D24,Hypothèses!$D$6:$F$14,3,0))</f>
        <v>0</v>
      </c>
      <c r="AT24" s="1335">
        <f>IF(ISNA(R24*VLOOKUP($D24,Hypothèses!$D$6:$F$14,3,0)),0,R24*VLOOKUP($D24,Hypothèses!$D$6:$F$14,3,0))</f>
        <v>0</v>
      </c>
      <c r="AU24" s="1335">
        <f>IF(ISNA(S24*VLOOKUP($D24,Hypothèses!$D$6:$F$14,3,0)),0,S24*VLOOKUP($D24,Hypothèses!$D$6:$F$14,3,0))</f>
        <v>0</v>
      </c>
      <c r="AV24" s="1335">
        <f>IF(ISNA(T24*VLOOKUP($D24,Hypothèses!$D$6:$F$14,3,0)),0,T24*VLOOKUP($D24,Hypothèses!$D$6:$F$14,3,0))</f>
        <v>0</v>
      </c>
      <c r="AW24" s="1335">
        <f>IF(ISNA(U24*VLOOKUP($D24,Hypothèses!$D$6:$F$14,3,0)),0,U24*VLOOKUP($D24,Hypothèses!$D$6:$F$14,3,0))</f>
        <v>0</v>
      </c>
      <c r="AX24" s="1335">
        <f>IF(ISNA(V24*VLOOKUP($D24,Hypothèses!$D$6:$F$14,3,0)),0,V24*VLOOKUP($D24,Hypothèses!$D$6:$F$14,3,0))</f>
        <v>0</v>
      </c>
      <c r="AY24" s="1335">
        <f>IF(ISNA(W24*VLOOKUP($D24,Hypothèses!$D$6:$F$14,3,0)),0,W24*VLOOKUP($D24,Hypothèses!$D$6:$F$14,3,0))</f>
        <v>0</v>
      </c>
      <c r="AZ24" s="1335">
        <f>IF(ISNA(X24*VLOOKUP($D24,Hypothèses!$D$6:$F$14,3,0)),0,X24*VLOOKUP($D24,Hypothèses!$D$6:$F$14,3,0))</f>
        <v>0</v>
      </c>
      <c r="BA24" s="1335">
        <f>IF(ISNA(Y24*VLOOKUP($D24,Hypothèses!$D$6:$F$14,3,0)),0,Y24*VLOOKUP($D24,Hypothèses!$D$6:$F$14,3,0))</f>
        <v>0</v>
      </c>
      <c r="BB24" s="1335">
        <f>IF(ISNA(Z24*VLOOKUP($D24,Hypothèses!$D$6:$F$14,3,0)),0,Z24*VLOOKUP($D24,Hypothèses!$D$6:$F$14,3,0))</f>
        <v>0</v>
      </c>
      <c r="BC24" s="1335">
        <f>IF(ISNA(AA24*VLOOKUP($D24,Hypothèses!$D$6:$F$14,3,0)),0,AA24*VLOOKUP($D24,Hypothèses!$D$6:$F$14,3,0))</f>
        <v>0</v>
      </c>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row>
    <row r="25" spans="1:89" s="3" customFormat="1">
      <c r="A25" s="1817">
        <v>18</v>
      </c>
      <c r="B25" s="1790"/>
      <c r="C25" s="1333"/>
      <c r="D25" s="1334"/>
      <c r="E25" s="1332" t="str">
        <f>IF(ISNA(VLOOKUP(D25,Hypothèses!$D$6:$G$16,4,0)),"",VLOOKUP(D25,Hypothèses!$D$6:$G$16,4,0))</f>
        <v/>
      </c>
      <c r="F25" s="1842"/>
      <c r="G25" s="1843"/>
      <c r="H25" s="1843"/>
      <c r="I25" s="1843"/>
      <c r="J25" s="1843"/>
      <c r="K25" s="1843"/>
      <c r="L25" s="1843"/>
      <c r="M25" s="1843"/>
      <c r="N25" s="1843"/>
      <c r="O25" s="1843"/>
      <c r="P25" s="1843"/>
      <c r="Q25" s="1843"/>
      <c r="R25" s="1843"/>
      <c r="S25" s="1843"/>
      <c r="T25" s="1843"/>
      <c r="U25" s="1843"/>
      <c r="V25" s="1843"/>
      <c r="W25" s="1843"/>
      <c r="X25" s="1843"/>
      <c r="Y25" s="1843"/>
      <c r="Z25" s="1843"/>
      <c r="AA25" s="1844"/>
      <c r="AB25" s="1335"/>
      <c r="AC25" s="1335"/>
      <c r="AD25" s="1335"/>
      <c r="AE25" s="1335"/>
      <c r="AF25" s="1335"/>
      <c r="AG25"/>
      <c r="AH25" s="1335">
        <f>IF(ISNA(F25*VLOOKUP($D25,Hypothèses!$D$6:$F$14,3,0)),0,F25*VLOOKUP($D25,Hypothèses!$D$6:$F$14,3,0))</f>
        <v>0</v>
      </c>
      <c r="AI25" s="1335">
        <f>IF(ISNA(G25*VLOOKUP($D25,Hypothèses!$D$6:$F$14,3,0)),0,G25*VLOOKUP($D25,Hypothèses!$D$6:$F$14,3,0))</f>
        <v>0</v>
      </c>
      <c r="AJ25" s="1335">
        <f>IF(ISNA(H25*VLOOKUP($D25,Hypothèses!$D$6:$F$14,3,0)),0,H25*VLOOKUP($D25,Hypothèses!$D$6:$F$14,3,0))</f>
        <v>0</v>
      </c>
      <c r="AK25" s="1335">
        <f>IF(ISNA(I25*VLOOKUP($D25,Hypothèses!$D$6:$F$14,3,0)),0,I25*VLOOKUP($D25,Hypothèses!$D$6:$F$14,3,0))</f>
        <v>0</v>
      </c>
      <c r="AL25" s="1335">
        <f>IF(ISNA(J25*VLOOKUP($D25,Hypothèses!$D$6:$F$14,3,0)),0,J25*VLOOKUP($D25,Hypothèses!$D$6:$F$14,3,0))</f>
        <v>0</v>
      </c>
      <c r="AM25" s="1335">
        <f>IF(ISNA(K25*VLOOKUP($D25,Hypothèses!$D$6:$F$14,3,0)),0,K25*VLOOKUP($D25,Hypothèses!$D$6:$F$14,3,0))</f>
        <v>0</v>
      </c>
      <c r="AN25" s="1335">
        <f>IF(ISNA(L25*VLOOKUP($D25,Hypothèses!$D$6:$F$14,3,0)),0,L25*VLOOKUP($D25,Hypothèses!$D$6:$F$14,3,0))</f>
        <v>0</v>
      </c>
      <c r="AO25" s="1335">
        <f>IF(ISNA(M25*VLOOKUP($D25,Hypothèses!$D$6:$F$14,3,0)),0,M25*VLOOKUP($D25,Hypothèses!$D$6:$F$14,3,0))</f>
        <v>0</v>
      </c>
      <c r="AP25" s="1335">
        <f>IF(ISNA(N25*VLOOKUP($D25,Hypothèses!$D$6:$F$14,3,0)),0,N25*VLOOKUP($D25,Hypothèses!$D$6:$F$14,3,0))</f>
        <v>0</v>
      </c>
      <c r="AQ25" s="1335">
        <f>IF(ISNA(O25*VLOOKUP($D25,Hypothèses!$D$6:$F$14,3,0)),0,O25*VLOOKUP($D25,Hypothèses!$D$6:$F$14,3,0))</f>
        <v>0</v>
      </c>
      <c r="AR25" s="1335">
        <f>IF(ISNA(P25*VLOOKUP($D25,Hypothèses!$D$6:$F$14,3,0)),0,P25*VLOOKUP($D25,Hypothèses!$D$6:$F$14,3,0))</f>
        <v>0</v>
      </c>
      <c r="AS25" s="1335">
        <f>IF(ISNA(Q25*VLOOKUP($D25,Hypothèses!$D$6:$F$14,3,0)),0,Q25*VLOOKUP($D25,Hypothèses!$D$6:$F$14,3,0))</f>
        <v>0</v>
      </c>
      <c r="AT25" s="1335">
        <f>IF(ISNA(R25*VLOOKUP($D25,Hypothèses!$D$6:$F$14,3,0)),0,R25*VLOOKUP($D25,Hypothèses!$D$6:$F$14,3,0))</f>
        <v>0</v>
      </c>
      <c r="AU25" s="1335">
        <f>IF(ISNA(S25*VLOOKUP($D25,Hypothèses!$D$6:$F$14,3,0)),0,S25*VLOOKUP($D25,Hypothèses!$D$6:$F$14,3,0))</f>
        <v>0</v>
      </c>
      <c r="AV25" s="1335">
        <f>IF(ISNA(T25*VLOOKUP($D25,Hypothèses!$D$6:$F$14,3,0)),0,T25*VLOOKUP($D25,Hypothèses!$D$6:$F$14,3,0))</f>
        <v>0</v>
      </c>
      <c r="AW25" s="1335">
        <f>IF(ISNA(U25*VLOOKUP($D25,Hypothèses!$D$6:$F$14,3,0)),0,U25*VLOOKUP($D25,Hypothèses!$D$6:$F$14,3,0))</f>
        <v>0</v>
      </c>
      <c r="AX25" s="1335">
        <f>IF(ISNA(V25*VLOOKUP($D25,Hypothèses!$D$6:$F$14,3,0)),0,V25*VLOOKUP($D25,Hypothèses!$D$6:$F$14,3,0))</f>
        <v>0</v>
      </c>
      <c r="AY25" s="1335">
        <f>IF(ISNA(W25*VLOOKUP($D25,Hypothèses!$D$6:$F$14,3,0)),0,W25*VLOOKUP($D25,Hypothèses!$D$6:$F$14,3,0))</f>
        <v>0</v>
      </c>
      <c r="AZ25" s="1335">
        <f>IF(ISNA(X25*VLOOKUP($D25,Hypothèses!$D$6:$F$14,3,0)),0,X25*VLOOKUP($D25,Hypothèses!$D$6:$F$14,3,0))</f>
        <v>0</v>
      </c>
      <c r="BA25" s="1335">
        <f>IF(ISNA(Y25*VLOOKUP($D25,Hypothèses!$D$6:$F$14,3,0)),0,Y25*VLOOKUP($D25,Hypothèses!$D$6:$F$14,3,0))</f>
        <v>0</v>
      </c>
      <c r="BB25" s="1335">
        <f>IF(ISNA(Z25*VLOOKUP($D25,Hypothèses!$D$6:$F$14,3,0)),0,Z25*VLOOKUP($D25,Hypothèses!$D$6:$F$14,3,0))</f>
        <v>0</v>
      </c>
      <c r="BC25" s="1335">
        <f>IF(ISNA(AA25*VLOOKUP($D25,Hypothèses!$D$6:$F$14,3,0)),0,AA25*VLOOKUP($D25,Hypothèses!$D$6:$F$14,3,0))</f>
        <v>0</v>
      </c>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row>
    <row r="26" spans="1:89" s="3" customFormat="1">
      <c r="A26" s="1817">
        <v>19</v>
      </c>
      <c r="B26" s="1790"/>
      <c r="C26" s="1333"/>
      <c r="D26" s="1334"/>
      <c r="E26" s="1332" t="str">
        <f>IF(ISNA(VLOOKUP(D26,Hypothèses!$D$6:$G$16,4,0)),"",VLOOKUP(D26,Hypothèses!$D$6:$G$16,4,0))</f>
        <v/>
      </c>
      <c r="F26" s="1842"/>
      <c r="G26" s="1843"/>
      <c r="H26" s="1843"/>
      <c r="I26" s="1843"/>
      <c r="J26" s="1843"/>
      <c r="K26" s="1843"/>
      <c r="L26" s="1843"/>
      <c r="M26" s="1843"/>
      <c r="N26" s="1843"/>
      <c r="O26" s="1843"/>
      <c r="P26" s="1843"/>
      <c r="Q26" s="1843"/>
      <c r="R26" s="1843"/>
      <c r="S26" s="1843"/>
      <c r="T26" s="1843"/>
      <c r="U26" s="1843"/>
      <c r="V26" s="1843"/>
      <c r="W26" s="1843"/>
      <c r="X26" s="1843"/>
      <c r="Y26" s="1843"/>
      <c r="Z26" s="1843"/>
      <c r="AA26" s="1844"/>
      <c r="AB26" s="1335"/>
      <c r="AC26" s="1335"/>
      <c r="AD26" s="1335"/>
      <c r="AE26" s="1335"/>
      <c r="AF26" s="1335"/>
      <c r="AG26"/>
      <c r="AH26" s="1335">
        <f>IF(ISNA(F26*VLOOKUP($D26,Hypothèses!$D$6:$F$14,3,0)),0,F26*VLOOKUP($D26,Hypothèses!$D$6:$F$14,3,0))</f>
        <v>0</v>
      </c>
      <c r="AI26" s="1335">
        <f>IF(ISNA(G26*VLOOKUP($D26,Hypothèses!$D$6:$F$14,3,0)),0,G26*VLOOKUP($D26,Hypothèses!$D$6:$F$14,3,0))</f>
        <v>0</v>
      </c>
      <c r="AJ26" s="1335">
        <f>IF(ISNA(H26*VLOOKUP($D26,Hypothèses!$D$6:$F$14,3,0)),0,H26*VLOOKUP($D26,Hypothèses!$D$6:$F$14,3,0))</f>
        <v>0</v>
      </c>
      <c r="AK26" s="1335">
        <f>IF(ISNA(I26*VLOOKUP($D26,Hypothèses!$D$6:$F$14,3,0)),0,I26*VLOOKUP($D26,Hypothèses!$D$6:$F$14,3,0))</f>
        <v>0</v>
      </c>
      <c r="AL26" s="1335">
        <f>IF(ISNA(J26*VLOOKUP($D26,Hypothèses!$D$6:$F$14,3,0)),0,J26*VLOOKUP($D26,Hypothèses!$D$6:$F$14,3,0))</f>
        <v>0</v>
      </c>
      <c r="AM26" s="1335">
        <f>IF(ISNA(K26*VLOOKUP($D26,Hypothèses!$D$6:$F$14,3,0)),0,K26*VLOOKUP($D26,Hypothèses!$D$6:$F$14,3,0))</f>
        <v>0</v>
      </c>
      <c r="AN26" s="1335">
        <f>IF(ISNA(L26*VLOOKUP($D26,Hypothèses!$D$6:$F$14,3,0)),0,L26*VLOOKUP($D26,Hypothèses!$D$6:$F$14,3,0))</f>
        <v>0</v>
      </c>
      <c r="AO26" s="1335">
        <f>IF(ISNA(M26*VLOOKUP($D26,Hypothèses!$D$6:$F$14,3,0)),0,M26*VLOOKUP($D26,Hypothèses!$D$6:$F$14,3,0))</f>
        <v>0</v>
      </c>
      <c r="AP26" s="1335">
        <f>IF(ISNA(N26*VLOOKUP($D26,Hypothèses!$D$6:$F$14,3,0)),0,N26*VLOOKUP($D26,Hypothèses!$D$6:$F$14,3,0))</f>
        <v>0</v>
      </c>
      <c r="AQ26" s="1335">
        <f>IF(ISNA(O26*VLOOKUP($D26,Hypothèses!$D$6:$F$14,3,0)),0,O26*VLOOKUP($D26,Hypothèses!$D$6:$F$14,3,0))</f>
        <v>0</v>
      </c>
      <c r="AR26" s="1335">
        <f>IF(ISNA(P26*VLOOKUP($D26,Hypothèses!$D$6:$F$14,3,0)),0,P26*VLOOKUP($D26,Hypothèses!$D$6:$F$14,3,0))</f>
        <v>0</v>
      </c>
      <c r="AS26" s="1335">
        <f>IF(ISNA(Q26*VLOOKUP($D26,Hypothèses!$D$6:$F$14,3,0)),0,Q26*VLOOKUP($D26,Hypothèses!$D$6:$F$14,3,0))</f>
        <v>0</v>
      </c>
      <c r="AT26" s="1335">
        <f>IF(ISNA(R26*VLOOKUP($D26,Hypothèses!$D$6:$F$14,3,0)),0,R26*VLOOKUP($D26,Hypothèses!$D$6:$F$14,3,0))</f>
        <v>0</v>
      </c>
      <c r="AU26" s="1335">
        <f>IF(ISNA(S26*VLOOKUP($D26,Hypothèses!$D$6:$F$14,3,0)),0,S26*VLOOKUP($D26,Hypothèses!$D$6:$F$14,3,0))</f>
        <v>0</v>
      </c>
      <c r="AV26" s="1335">
        <f>IF(ISNA(T26*VLOOKUP($D26,Hypothèses!$D$6:$F$14,3,0)),0,T26*VLOOKUP($D26,Hypothèses!$D$6:$F$14,3,0))</f>
        <v>0</v>
      </c>
      <c r="AW26" s="1335">
        <f>IF(ISNA(U26*VLOOKUP($D26,Hypothèses!$D$6:$F$14,3,0)),0,U26*VLOOKUP($D26,Hypothèses!$D$6:$F$14,3,0))</f>
        <v>0</v>
      </c>
      <c r="AX26" s="1335">
        <f>IF(ISNA(V26*VLOOKUP($D26,Hypothèses!$D$6:$F$14,3,0)),0,V26*VLOOKUP($D26,Hypothèses!$D$6:$F$14,3,0))</f>
        <v>0</v>
      </c>
      <c r="AY26" s="1335">
        <f>IF(ISNA(W26*VLOOKUP($D26,Hypothèses!$D$6:$F$14,3,0)),0,W26*VLOOKUP($D26,Hypothèses!$D$6:$F$14,3,0))</f>
        <v>0</v>
      </c>
      <c r="AZ26" s="1335">
        <f>IF(ISNA(X26*VLOOKUP($D26,Hypothèses!$D$6:$F$14,3,0)),0,X26*VLOOKUP($D26,Hypothèses!$D$6:$F$14,3,0))</f>
        <v>0</v>
      </c>
      <c r="BA26" s="1335">
        <f>IF(ISNA(Y26*VLOOKUP($D26,Hypothèses!$D$6:$F$14,3,0)),0,Y26*VLOOKUP($D26,Hypothèses!$D$6:$F$14,3,0))</f>
        <v>0</v>
      </c>
      <c r="BB26" s="1335">
        <f>IF(ISNA(Z26*VLOOKUP($D26,Hypothèses!$D$6:$F$14,3,0)),0,Z26*VLOOKUP($D26,Hypothèses!$D$6:$F$14,3,0))</f>
        <v>0</v>
      </c>
      <c r="BC26" s="1335">
        <f>IF(ISNA(AA26*VLOOKUP($D26,Hypothèses!$D$6:$F$14,3,0)),0,AA26*VLOOKUP($D26,Hypothèses!$D$6:$F$14,3,0))</f>
        <v>0</v>
      </c>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row>
    <row r="27" spans="1:89" s="3" customFormat="1">
      <c r="A27" s="1817">
        <v>20</v>
      </c>
      <c r="B27" s="1790"/>
      <c r="C27" s="1333"/>
      <c r="D27" s="1334"/>
      <c r="E27" s="1332" t="str">
        <f>IF(ISNA(VLOOKUP(D27,Hypothèses!$D$6:$G$16,4,0)),"",VLOOKUP(D27,Hypothèses!$D$6:$G$16,4,0))</f>
        <v/>
      </c>
      <c r="F27" s="1842"/>
      <c r="G27" s="1843"/>
      <c r="H27" s="1843"/>
      <c r="I27" s="1843"/>
      <c r="J27" s="1843"/>
      <c r="K27" s="1843"/>
      <c r="L27" s="1843"/>
      <c r="M27" s="1843"/>
      <c r="N27" s="1843"/>
      <c r="O27" s="1843"/>
      <c r="P27" s="1843"/>
      <c r="Q27" s="1843"/>
      <c r="R27" s="1843"/>
      <c r="S27" s="1843"/>
      <c r="T27" s="1843"/>
      <c r="U27" s="1843"/>
      <c r="V27" s="1843"/>
      <c r="W27" s="1843"/>
      <c r="X27" s="1843"/>
      <c r="Y27" s="1843"/>
      <c r="Z27" s="1843"/>
      <c r="AA27" s="1844"/>
      <c r="AB27" s="1335"/>
      <c r="AC27" s="1335"/>
      <c r="AD27" s="1335"/>
      <c r="AE27" s="1335"/>
      <c r="AF27" s="1335"/>
      <c r="AG27"/>
      <c r="AH27" s="1335">
        <f>IF(ISNA(F27*VLOOKUP($D27,Hypothèses!$D$6:$F$14,3,0)),0,F27*VLOOKUP($D27,Hypothèses!$D$6:$F$14,3,0))</f>
        <v>0</v>
      </c>
      <c r="AI27" s="1335">
        <f>IF(ISNA(G27*VLOOKUP($D27,Hypothèses!$D$6:$F$14,3,0)),0,G27*VLOOKUP($D27,Hypothèses!$D$6:$F$14,3,0))</f>
        <v>0</v>
      </c>
      <c r="AJ27" s="1335">
        <f>IF(ISNA(H27*VLOOKUP($D27,Hypothèses!$D$6:$F$14,3,0)),0,H27*VLOOKUP($D27,Hypothèses!$D$6:$F$14,3,0))</f>
        <v>0</v>
      </c>
      <c r="AK27" s="1335">
        <f>IF(ISNA(I27*VLOOKUP($D27,Hypothèses!$D$6:$F$14,3,0)),0,I27*VLOOKUP($D27,Hypothèses!$D$6:$F$14,3,0))</f>
        <v>0</v>
      </c>
      <c r="AL27" s="1335">
        <f>IF(ISNA(J27*VLOOKUP($D27,Hypothèses!$D$6:$F$14,3,0)),0,J27*VLOOKUP($D27,Hypothèses!$D$6:$F$14,3,0))</f>
        <v>0</v>
      </c>
      <c r="AM27" s="1335">
        <f>IF(ISNA(K27*VLOOKUP($D27,Hypothèses!$D$6:$F$14,3,0)),0,K27*VLOOKUP($D27,Hypothèses!$D$6:$F$14,3,0))</f>
        <v>0</v>
      </c>
      <c r="AN27" s="1335">
        <f>IF(ISNA(L27*VLOOKUP($D27,Hypothèses!$D$6:$F$14,3,0)),0,L27*VLOOKUP($D27,Hypothèses!$D$6:$F$14,3,0))</f>
        <v>0</v>
      </c>
      <c r="AO27" s="1335">
        <f>IF(ISNA(M27*VLOOKUP($D27,Hypothèses!$D$6:$F$14,3,0)),0,M27*VLOOKUP($D27,Hypothèses!$D$6:$F$14,3,0))</f>
        <v>0</v>
      </c>
      <c r="AP27" s="1335">
        <f>IF(ISNA(N27*VLOOKUP($D27,Hypothèses!$D$6:$F$14,3,0)),0,N27*VLOOKUP($D27,Hypothèses!$D$6:$F$14,3,0))</f>
        <v>0</v>
      </c>
      <c r="AQ27" s="1335">
        <f>IF(ISNA(O27*VLOOKUP($D27,Hypothèses!$D$6:$F$14,3,0)),0,O27*VLOOKUP($D27,Hypothèses!$D$6:$F$14,3,0))</f>
        <v>0</v>
      </c>
      <c r="AR27" s="1335">
        <f>IF(ISNA(P27*VLOOKUP($D27,Hypothèses!$D$6:$F$14,3,0)),0,P27*VLOOKUP($D27,Hypothèses!$D$6:$F$14,3,0))</f>
        <v>0</v>
      </c>
      <c r="AS27" s="1335">
        <f>IF(ISNA(Q27*VLOOKUP($D27,Hypothèses!$D$6:$F$14,3,0)),0,Q27*VLOOKUP($D27,Hypothèses!$D$6:$F$14,3,0))</f>
        <v>0</v>
      </c>
      <c r="AT27" s="1335">
        <f>IF(ISNA(R27*VLOOKUP($D27,Hypothèses!$D$6:$F$14,3,0)),0,R27*VLOOKUP($D27,Hypothèses!$D$6:$F$14,3,0))</f>
        <v>0</v>
      </c>
      <c r="AU27" s="1335">
        <f>IF(ISNA(S27*VLOOKUP($D27,Hypothèses!$D$6:$F$14,3,0)),0,S27*VLOOKUP($D27,Hypothèses!$D$6:$F$14,3,0))</f>
        <v>0</v>
      </c>
      <c r="AV27" s="1335">
        <f>IF(ISNA(T27*VLOOKUP($D27,Hypothèses!$D$6:$F$14,3,0)),0,T27*VLOOKUP($D27,Hypothèses!$D$6:$F$14,3,0))</f>
        <v>0</v>
      </c>
      <c r="AW27" s="1335">
        <f>IF(ISNA(U27*VLOOKUP($D27,Hypothèses!$D$6:$F$14,3,0)),0,U27*VLOOKUP($D27,Hypothèses!$D$6:$F$14,3,0))</f>
        <v>0</v>
      </c>
      <c r="AX27" s="1335">
        <f>IF(ISNA(V27*VLOOKUP($D27,Hypothèses!$D$6:$F$14,3,0)),0,V27*VLOOKUP($D27,Hypothèses!$D$6:$F$14,3,0))</f>
        <v>0</v>
      </c>
      <c r="AY27" s="1335">
        <f>IF(ISNA(W27*VLOOKUP($D27,Hypothèses!$D$6:$F$14,3,0)),0,W27*VLOOKUP($D27,Hypothèses!$D$6:$F$14,3,0))</f>
        <v>0</v>
      </c>
      <c r="AZ27" s="1335">
        <f>IF(ISNA(X27*VLOOKUP($D27,Hypothèses!$D$6:$F$14,3,0)),0,X27*VLOOKUP($D27,Hypothèses!$D$6:$F$14,3,0))</f>
        <v>0</v>
      </c>
      <c r="BA27" s="1335">
        <f>IF(ISNA(Y27*VLOOKUP($D27,Hypothèses!$D$6:$F$14,3,0)),0,Y27*VLOOKUP($D27,Hypothèses!$D$6:$F$14,3,0))</f>
        <v>0</v>
      </c>
      <c r="BB27" s="1335">
        <f>IF(ISNA(Z27*VLOOKUP($D27,Hypothèses!$D$6:$F$14,3,0)),0,Z27*VLOOKUP($D27,Hypothèses!$D$6:$F$14,3,0))</f>
        <v>0</v>
      </c>
      <c r="BC27" s="1335">
        <f>IF(ISNA(AA27*VLOOKUP($D27,Hypothèses!$D$6:$F$14,3,0)),0,AA27*VLOOKUP($D27,Hypothèses!$D$6:$F$14,3,0))</f>
        <v>0</v>
      </c>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row>
    <row r="28" spans="1:89" s="3" customFormat="1">
      <c r="A28" s="1817">
        <v>21</v>
      </c>
      <c r="B28" s="1790"/>
      <c r="C28" s="1333"/>
      <c r="D28" s="1334"/>
      <c r="E28" s="1332" t="str">
        <f>IF(ISNA(VLOOKUP(D28,Hypothèses!$D$6:$G$16,4,0)),"",VLOOKUP(D28,Hypothèses!$D$6:$G$16,4,0))</f>
        <v/>
      </c>
      <c r="F28" s="1842"/>
      <c r="G28" s="1843"/>
      <c r="H28" s="1843"/>
      <c r="I28" s="1843"/>
      <c r="J28" s="1843"/>
      <c r="K28" s="1843"/>
      <c r="L28" s="1843"/>
      <c r="M28" s="1843"/>
      <c r="N28" s="1843"/>
      <c r="O28" s="1843"/>
      <c r="P28" s="1843"/>
      <c r="Q28" s="1843"/>
      <c r="R28" s="1843"/>
      <c r="S28" s="1843"/>
      <c r="T28" s="1843"/>
      <c r="U28" s="1843"/>
      <c r="V28" s="1843"/>
      <c r="W28" s="1843"/>
      <c r="X28" s="1843"/>
      <c r="Y28" s="1843"/>
      <c r="Z28" s="1843"/>
      <c r="AA28" s="1844"/>
      <c r="AB28" s="1335"/>
      <c r="AC28" s="1335"/>
      <c r="AD28" s="1335"/>
      <c r="AE28" s="1335"/>
      <c r="AF28" s="1335"/>
      <c r="AG28"/>
      <c r="AH28" s="1335">
        <f>IF(ISNA(F28*VLOOKUP($D28,Hypothèses!$D$6:$F$14,3,0)),0,F28*VLOOKUP($D28,Hypothèses!$D$6:$F$14,3,0))</f>
        <v>0</v>
      </c>
      <c r="AI28" s="1335">
        <f>IF(ISNA(G28*VLOOKUP($D28,Hypothèses!$D$6:$F$14,3,0)),0,G28*VLOOKUP($D28,Hypothèses!$D$6:$F$14,3,0))</f>
        <v>0</v>
      </c>
      <c r="AJ28" s="1335">
        <f>IF(ISNA(H28*VLOOKUP($D28,Hypothèses!$D$6:$F$14,3,0)),0,H28*VLOOKUP($D28,Hypothèses!$D$6:$F$14,3,0))</f>
        <v>0</v>
      </c>
      <c r="AK28" s="1335">
        <f>IF(ISNA(I28*VLOOKUP($D28,Hypothèses!$D$6:$F$14,3,0)),0,I28*VLOOKUP($D28,Hypothèses!$D$6:$F$14,3,0))</f>
        <v>0</v>
      </c>
      <c r="AL28" s="1335">
        <f>IF(ISNA(J28*VLOOKUP($D28,Hypothèses!$D$6:$F$14,3,0)),0,J28*VLOOKUP($D28,Hypothèses!$D$6:$F$14,3,0))</f>
        <v>0</v>
      </c>
      <c r="AM28" s="1335">
        <f>IF(ISNA(K28*VLOOKUP($D28,Hypothèses!$D$6:$F$14,3,0)),0,K28*VLOOKUP($D28,Hypothèses!$D$6:$F$14,3,0))</f>
        <v>0</v>
      </c>
      <c r="AN28" s="1335">
        <f>IF(ISNA(L28*VLOOKUP($D28,Hypothèses!$D$6:$F$14,3,0)),0,L28*VLOOKUP($D28,Hypothèses!$D$6:$F$14,3,0))</f>
        <v>0</v>
      </c>
      <c r="AO28" s="1335">
        <f>IF(ISNA(M28*VLOOKUP($D28,Hypothèses!$D$6:$F$14,3,0)),0,M28*VLOOKUP($D28,Hypothèses!$D$6:$F$14,3,0))</f>
        <v>0</v>
      </c>
      <c r="AP28" s="1335">
        <f>IF(ISNA(N28*VLOOKUP($D28,Hypothèses!$D$6:$F$14,3,0)),0,N28*VLOOKUP($D28,Hypothèses!$D$6:$F$14,3,0))</f>
        <v>0</v>
      </c>
      <c r="AQ28" s="1335">
        <f>IF(ISNA(O28*VLOOKUP($D28,Hypothèses!$D$6:$F$14,3,0)),0,O28*VLOOKUP($D28,Hypothèses!$D$6:$F$14,3,0))</f>
        <v>0</v>
      </c>
      <c r="AR28" s="1335">
        <f>IF(ISNA(P28*VLOOKUP($D28,Hypothèses!$D$6:$F$14,3,0)),0,P28*VLOOKUP($D28,Hypothèses!$D$6:$F$14,3,0))</f>
        <v>0</v>
      </c>
      <c r="AS28" s="1335">
        <f>IF(ISNA(Q28*VLOOKUP($D28,Hypothèses!$D$6:$F$14,3,0)),0,Q28*VLOOKUP($D28,Hypothèses!$D$6:$F$14,3,0))</f>
        <v>0</v>
      </c>
      <c r="AT28" s="1335">
        <f>IF(ISNA(R28*VLOOKUP($D28,Hypothèses!$D$6:$F$14,3,0)),0,R28*VLOOKUP($D28,Hypothèses!$D$6:$F$14,3,0))</f>
        <v>0</v>
      </c>
      <c r="AU28" s="1335">
        <f>IF(ISNA(S28*VLOOKUP($D28,Hypothèses!$D$6:$F$14,3,0)),0,S28*VLOOKUP($D28,Hypothèses!$D$6:$F$14,3,0))</f>
        <v>0</v>
      </c>
      <c r="AV28" s="1335">
        <f>IF(ISNA(T28*VLOOKUP($D28,Hypothèses!$D$6:$F$14,3,0)),0,T28*VLOOKUP($D28,Hypothèses!$D$6:$F$14,3,0))</f>
        <v>0</v>
      </c>
      <c r="AW28" s="1335">
        <f>IF(ISNA(U28*VLOOKUP($D28,Hypothèses!$D$6:$F$14,3,0)),0,U28*VLOOKUP($D28,Hypothèses!$D$6:$F$14,3,0))</f>
        <v>0</v>
      </c>
      <c r="AX28" s="1335">
        <f>IF(ISNA(V28*VLOOKUP($D28,Hypothèses!$D$6:$F$14,3,0)),0,V28*VLOOKUP($D28,Hypothèses!$D$6:$F$14,3,0))</f>
        <v>0</v>
      </c>
      <c r="AY28" s="1335">
        <f>IF(ISNA(W28*VLOOKUP($D28,Hypothèses!$D$6:$F$14,3,0)),0,W28*VLOOKUP($D28,Hypothèses!$D$6:$F$14,3,0))</f>
        <v>0</v>
      </c>
      <c r="AZ28" s="1335">
        <f>IF(ISNA(X28*VLOOKUP($D28,Hypothèses!$D$6:$F$14,3,0)),0,X28*VLOOKUP($D28,Hypothèses!$D$6:$F$14,3,0))</f>
        <v>0</v>
      </c>
      <c r="BA28" s="1335">
        <f>IF(ISNA(Y28*VLOOKUP($D28,Hypothèses!$D$6:$F$14,3,0)),0,Y28*VLOOKUP($D28,Hypothèses!$D$6:$F$14,3,0))</f>
        <v>0</v>
      </c>
      <c r="BB28" s="1335">
        <f>IF(ISNA(Z28*VLOOKUP($D28,Hypothèses!$D$6:$F$14,3,0)),0,Z28*VLOOKUP($D28,Hypothèses!$D$6:$F$14,3,0))</f>
        <v>0</v>
      </c>
      <c r="BC28" s="1335">
        <f>IF(ISNA(AA28*VLOOKUP($D28,Hypothèses!$D$6:$F$14,3,0)),0,AA28*VLOOKUP($D28,Hypothèses!$D$6:$F$14,3,0))</f>
        <v>0</v>
      </c>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row>
    <row r="29" spans="1:89" s="3" customFormat="1">
      <c r="A29" s="1817">
        <v>22</v>
      </c>
      <c r="B29" s="1790"/>
      <c r="C29" s="1333"/>
      <c r="D29" s="1334"/>
      <c r="E29" s="1332" t="str">
        <f>IF(ISNA(VLOOKUP(D29,Hypothèses!$D$6:$G$16,4,0)),"",VLOOKUP(D29,Hypothèses!$D$6:$G$16,4,0))</f>
        <v/>
      </c>
      <c r="F29" s="1842"/>
      <c r="G29" s="1843"/>
      <c r="H29" s="1843"/>
      <c r="I29" s="1843"/>
      <c r="J29" s="1843"/>
      <c r="K29" s="1843"/>
      <c r="L29" s="1843"/>
      <c r="M29" s="1843"/>
      <c r="N29" s="1843"/>
      <c r="O29" s="1843"/>
      <c r="P29" s="1843"/>
      <c r="Q29" s="1843"/>
      <c r="R29" s="1843"/>
      <c r="S29" s="1843"/>
      <c r="T29" s="1843"/>
      <c r="U29" s="1843"/>
      <c r="V29" s="1843"/>
      <c r="W29" s="1843"/>
      <c r="X29" s="1843"/>
      <c r="Y29" s="1843"/>
      <c r="Z29" s="1843"/>
      <c r="AA29" s="1844"/>
      <c r="AB29" s="1335"/>
      <c r="AC29" s="1335"/>
      <c r="AD29" s="1335"/>
      <c r="AE29" s="1335"/>
      <c r="AF29" s="1335"/>
      <c r="AG29"/>
      <c r="AH29" s="1335">
        <f>IF(ISNA(F29*VLOOKUP($D29,Hypothèses!$D$6:$F$14,3,0)),0,F29*VLOOKUP($D29,Hypothèses!$D$6:$F$14,3,0))</f>
        <v>0</v>
      </c>
      <c r="AI29" s="1335">
        <f>IF(ISNA(G29*VLOOKUP($D29,Hypothèses!$D$6:$F$14,3,0)),0,G29*VLOOKUP($D29,Hypothèses!$D$6:$F$14,3,0))</f>
        <v>0</v>
      </c>
      <c r="AJ29" s="1335">
        <f>IF(ISNA(H29*VLOOKUP($D29,Hypothèses!$D$6:$F$14,3,0)),0,H29*VLOOKUP($D29,Hypothèses!$D$6:$F$14,3,0))</f>
        <v>0</v>
      </c>
      <c r="AK29" s="1335">
        <f>IF(ISNA(I29*VLOOKUP($D29,Hypothèses!$D$6:$F$14,3,0)),0,I29*VLOOKUP($D29,Hypothèses!$D$6:$F$14,3,0))</f>
        <v>0</v>
      </c>
      <c r="AL29" s="1335">
        <f>IF(ISNA(J29*VLOOKUP($D29,Hypothèses!$D$6:$F$14,3,0)),0,J29*VLOOKUP($D29,Hypothèses!$D$6:$F$14,3,0))</f>
        <v>0</v>
      </c>
      <c r="AM29" s="1335">
        <f>IF(ISNA(K29*VLOOKUP($D29,Hypothèses!$D$6:$F$14,3,0)),0,K29*VLOOKUP($D29,Hypothèses!$D$6:$F$14,3,0))</f>
        <v>0</v>
      </c>
      <c r="AN29" s="1335">
        <f>IF(ISNA(L29*VLOOKUP($D29,Hypothèses!$D$6:$F$14,3,0)),0,L29*VLOOKUP($D29,Hypothèses!$D$6:$F$14,3,0))</f>
        <v>0</v>
      </c>
      <c r="AO29" s="1335">
        <f>IF(ISNA(M29*VLOOKUP($D29,Hypothèses!$D$6:$F$14,3,0)),0,M29*VLOOKUP($D29,Hypothèses!$D$6:$F$14,3,0))</f>
        <v>0</v>
      </c>
      <c r="AP29" s="1335">
        <f>IF(ISNA(N29*VLOOKUP($D29,Hypothèses!$D$6:$F$14,3,0)),0,N29*VLOOKUP($D29,Hypothèses!$D$6:$F$14,3,0))</f>
        <v>0</v>
      </c>
      <c r="AQ29" s="1335">
        <f>IF(ISNA(O29*VLOOKUP($D29,Hypothèses!$D$6:$F$14,3,0)),0,O29*VLOOKUP($D29,Hypothèses!$D$6:$F$14,3,0))</f>
        <v>0</v>
      </c>
      <c r="AR29" s="1335">
        <f>IF(ISNA(P29*VLOOKUP($D29,Hypothèses!$D$6:$F$14,3,0)),0,P29*VLOOKUP($D29,Hypothèses!$D$6:$F$14,3,0))</f>
        <v>0</v>
      </c>
      <c r="AS29" s="1335">
        <f>IF(ISNA(Q29*VLOOKUP($D29,Hypothèses!$D$6:$F$14,3,0)),0,Q29*VLOOKUP($D29,Hypothèses!$D$6:$F$14,3,0))</f>
        <v>0</v>
      </c>
      <c r="AT29" s="1335">
        <f>IF(ISNA(R29*VLOOKUP($D29,Hypothèses!$D$6:$F$14,3,0)),0,R29*VLOOKUP($D29,Hypothèses!$D$6:$F$14,3,0))</f>
        <v>0</v>
      </c>
      <c r="AU29" s="1335">
        <f>IF(ISNA(S29*VLOOKUP($D29,Hypothèses!$D$6:$F$14,3,0)),0,S29*VLOOKUP($D29,Hypothèses!$D$6:$F$14,3,0))</f>
        <v>0</v>
      </c>
      <c r="AV29" s="1335">
        <f>IF(ISNA(T29*VLOOKUP($D29,Hypothèses!$D$6:$F$14,3,0)),0,T29*VLOOKUP($D29,Hypothèses!$D$6:$F$14,3,0))</f>
        <v>0</v>
      </c>
      <c r="AW29" s="1335">
        <f>IF(ISNA(U29*VLOOKUP($D29,Hypothèses!$D$6:$F$14,3,0)),0,U29*VLOOKUP($D29,Hypothèses!$D$6:$F$14,3,0))</f>
        <v>0</v>
      </c>
      <c r="AX29" s="1335">
        <f>IF(ISNA(V29*VLOOKUP($D29,Hypothèses!$D$6:$F$14,3,0)),0,V29*VLOOKUP($D29,Hypothèses!$D$6:$F$14,3,0))</f>
        <v>0</v>
      </c>
      <c r="AY29" s="1335">
        <f>IF(ISNA(W29*VLOOKUP($D29,Hypothèses!$D$6:$F$14,3,0)),0,W29*VLOOKUP($D29,Hypothèses!$D$6:$F$14,3,0))</f>
        <v>0</v>
      </c>
      <c r="AZ29" s="1335">
        <f>IF(ISNA(X29*VLOOKUP($D29,Hypothèses!$D$6:$F$14,3,0)),0,X29*VLOOKUP($D29,Hypothèses!$D$6:$F$14,3,0))</f>
        <v>0</v>
      </c>
      <c r="BA29" s="1335">
        <f>IF(ISNA(Y29*VLOOKUP($D29,Hypothèses!$D$6:$F$14,3,0)),0,Y29*VLOOKUP($D29,Hypothèses!$D$6:$F$14,3,0))</f>
        <v>0</v>
      </c>
      <c r="BB29" s="1335">
        <f>IF(ISNA(Z29*VLOOKUP($D29,Hypothèses!$D$6:$F$14,3,0)),0,Z29*VLOOKUP($D29,Hypothèses!$D$6:$F$14,3,0))</f>
        <v>0</v>
      </c>
      <c r="BC29" s="1335">
        <f>IF(ISNA(AA29*VLOOKUP($D29,Hypothèses!$D$6:$F$14,3,0)),0,AA29*VLOOKUP($D29,Hypothèses!$D$6:$F$14,3,0))</f>
        <v>0</v>
      </c>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row>
    <row r="30" spans="1:89" s="3" customFormat="1">
      <c r="A30" s="1817">
        <v>23</v>
      </c>
      <c r="B30" s="1790"/>
      <c r="C30" s="1333"/>
      <c r="D30" s="1334"/>
      <c r="E30" s="1332" t="str">
        <f>IF(ISNA(VLOOKUP(D30,Hypothèses!$D$6:$G$16,4,0)),"",VLOOKUP(D30,Hypothèses!$D$6:$G$16,4,0))</f>
        <v/>
      </c>
      <c r="F30" s="1842"/>
      <c r="G30" s="1843"/>
      <c r="H30" s="1843"/>
      <c r="I30" s="1843"/>
      <c r="J30" s="1843"/>
      <c r="K30" s="1843"/>
      <c r="L30" s="1843"/>
      <c r="M30" s="1843"/>
      <c r="N30" s="1843"/>
      <c r="O30" s="1843"/>
      <c r="P30" s="1843"/>
      <c r="Q30" s="1843"/>
      <c r="R30" s="1843"/>
      <c r="S30" s="1843"/>
      <c r="T30" s="1843"/>
      <c r="U30" s="1843"/>
      <c r="V30" s="1843"/>
      <c r="W30" s="1843"/>
      <c r="X30" s="1843"/>
      <c r="Y30" s="1843"/>
      <c r="Z30" s="1843"/>
      <c r="AA30" s="1844"/>
      <c r="AB30" s="1335"/>
      <c r="AC30" s="1335"/>
      <c r="AD30" s="1335"/>
      <c r="AE30" s="1335"/>
      <c r="AF30" s="1335"/>
      <c r="AG30"/>
      <c r="AH30" s="1335">
        <f>IF(ISNA(F30*VLOOKUP($D30,Hypothèses!$D$6:$F$14,3,0)),0,F30*VLOOKUP($D30,Hypothèses!$D$6:$F$14,3,0))</f>
        <v>0</v>
      </c>
      <c r="AI30" s="1335">
        <f>IF(ISNA(G30*VLOOKUP($D30,Hypothèses!$D$6:$F$14,3,0)),0,G30*VLOOKUP($D30,Hypothèses!$D$6:$F$14,3,0))</f>
        <v>0</v>
      </c>
      <c r="AJ30" s="1335">
        <f>IF(ISNA(H30*VLOOKUP($D30,Hypothèses!$D$6:$F$14,3,0)),0,H30*VLOOKUP($D30,Hypothèses!$D$6:$F$14,3,0))</f>
        <v>0</v>
      </c>
      <c r="AK30" s="1335">
        <f>IF(ISNA(I30*VLOOKUP($D30,Hypothèses!$D$6:$F$14,3,0)),0,I30*VLOOKUP($D30,Hypothèses!$D$6:$F$14,3,0))</f>
        <v>0</v>
      </c>
      <c r="AL30" s="1335">
        <f>IF(ISNA(J30*VLOOKUP($D30,Hypothèses!$D$6:$F$14,3,0)),0,J30*VLOOKUP($D30,Hypothèses!$D$6:$F$14,3,0))</f>
        <v>0</v>
      </c>
      <c r="AM30" s="1335">
        <f>IF(ISNA(K30*VLOOKUP($D30,Hypothèses!$D$6:$F$14,3,0)),0,K30*VLOOKUP($D30,Hypothèses!$D$6:$F$14,3,0))</f>
        <v>0</v>
      </c>
      <c r="AN30" s="1335">
        <f>IF(ISNA(L30*VLOOKUP($D30,Hypothèses!$D$6:$F$14,3,0)),0,L30*VLOOKUP($D30,Hypothèses!$D$6:$F$14,3,0))</f>
        <v>0</v>
      </c>
      <c r="AO30" s="1335">
        <f>IF(ISNA(M30*VLOOKUP($D30,Hypothèses!$D$6:$F$14,3,0)),0,M30*VLOOKUP($D30,Hypothèses!$D$6:$F$14,3,0))</f>
        <v>0</v>
      </c>
      <c r="AP30" s="1335">
        <f>IF(ISNA(N30*VLOOKUP($D30,Hypothèses!$D$6:$F$14,3,0)),0,N30*VLOOKUP($D30,Hypothèses!$D$6:$F$14,3,0))</f>
        <v>0</v>
      </c>
      <c r="AQ30" s="1335">
        <f>IF(ISNA(O30*VLOOKUP($D30,Hypothèses!$D$6:$F$14,3,0)),0,O30*VLOOKUP($D30,Hypothèses!$D$6:$F$14,3,0))</f>
        <v>0</v>
      </c>
      <c r="AR30" s="1335">
        <f>IF(ISNA(P30*VLOOKUP($D30,Hypothèses!$D$6:$F$14,3,0)),0,P30*VLOOKUP($D30,Hypothèses!$D$6:$F$14,3,0))</f>
        <v>0</v>
      </c>
      <c r="AS30" s="1335">
        <f>IF(ISNA(Q30*VLOOKUP($D30,Hypothèses!$D$6:$F$14,3,0)),0,Q30*VLOOKUP($D30,Hypothèses!$D$6:$F$14,3,0))</f>
        <v>0</v>
      </c>
      <c r="AT30" s="1335">
        <f>IF(ISNA(R30*VLOOKUP($D30,Hypothèses!$D$6:$F$14,3,0)),0,R30*VLOOKUP($D30,Hypothèses!$D$6:$F$14,3,0))</f>
        <v>0</v>
      </c>
      <c r="AU30" s="1335">
        <f>IF(ISNA(S30*VLOOKUP($D30,Hypothèses!$D$6:$F$14,3,0)),0,S30*VLOOKUP($D30,Hypothèses!$D$6:$F$14,3,0))</f>
        <v>0</v>
      </c>
      <c r="AV30" s="1335">
        <f>IF(ISNA(T30*VLOOKUP($D30,Hypothèses!$D$6:$F$14,3,0)),0,T30*VLOOKUP($D30,Hypothèses!$D$6:$F$14,3,0))</f>
        <v>0</v>
      </c>
      <c r="AW30" s="1335">
        <f>IF(ISNA(U30*VLOOKUP($D30,Hypothèses!$D$6:$F$14,3,0)),0,U30*VLOOKUP($D30,Hypothèses!$D$6:$F$14,3,0))</f>
        <v>0</v>
      </c>
      <c r="AX30" s="1335">
        <f>IF(ISNA(V30*VLOOKUP($D30,Hypothèses!$D$6:$F$14,3,0)),0,V30*VLOOKUP($D30,Hypothèses!$D$6:$F$14,3,0))</f>
        <v>0</v>
      </c>
      <c r="AY30" s="1335">
        <f>IF(ISNA(W30*VLOOKUP($D30,Hypothèses!$D$6:$F$14,3,0)),0,W30*VLOOKUP($D30,Hypothèses!$D$6:$F$14,3,0))</f>
        <v>0</v>
      </c>
      <c r="AZ30" s="1335">
        <f>IF(ISNA(X30*VLOOKUP($D30,Hypothèses!$D$6:$F$14,3,0)),0,X30*VLOOKUP($D30,Hypothèses!$D$6:$F$14,3,0))</f>
        <v>0</v>
      </c>
      <c r="BA30" s="1335">
        <f>IF(ISNA(Y30*VLOOKUP($D30,Hypothèses!$D$6:$F$14,3,0)),0,Y30*VLOOKUP($D30,Hypothèses!$D$6:$F$14,3,0))</f>
        <v>0</v>
      </c>
      <c r="BB30" s="1335">
        <f>IF(ISNA(Z30*VLOOKUP($D30,Hypothèses!$D$6:$F$14,3,0)),0,Z30*VLOOKUP($D30,Hypothèses!$D$6:$F$14,3,0))</f>
        <v>0</v>
      </c>
      <c r="BC30" s="1335">
        <f>IF(ISNA(AA30*VLOOKUP($D30,Hypothèses!$D$6:$F$14,3,0)),0,AA30*VLOOKUP($D30,Hypothèses!$D$6:$F$14,3,0))</f>
        <v>0</v>
      </c>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row>
    <row r="31" spans="1:89" s="3" customFormat="1">
      <c r="A31" s="1817">
        <v>24</v>
      </c>
      <c r="B31" s="1790"/>
      <c r="C31" s="1333"/>
      <c r="D31" s="1334"/>
      <c r="E31" s="1332" t="str">
        <f>IF(ISNA(VLOOKUP(D31,Hypothèses!$D$6:$G$16,4,0)),"",VLOOKUP(D31,Hypothèses!$D$6:$G$16,4,0))</f>
        <v/>
      </c>
      <c r="F31" s="1842"/>
      <c r="G31" s="1843"/>
      <c r="H31" s="1843"/>
      <c r="I31" s="1843"/>
      <c r="J31" s="1843"/>
      <c r="K31" s="1843"/>
      <c r="L31" s="1843"/>
      <c r="M31" s="1843"/>
      <c r="N31" s="1843"/>
      <c r="O31" s="1843"/>
      <c r="P31" s="1843"/>
      <c r="Q31" s="1843"/>
      <c r="R31" s="1843"/>
      <c r="S31" s="1843"/>
      <c r="T31" s="1843"/>
      <c r="U31" s="1843"/>
      <c r="V31" s="1843"/>
      <c r="W31" s="1843"/>
      <c r="X31" s="1843"/>
      <c r="Y31" s="1843"/>
      <c r="Z31" s="1843"/>
      <c r="AA31" s="1844"/>
      <c r="AB31" s="1335"/>
      <c r="AC31" s="1335"/>
      <c r="AD31" s="1335"/>
      <c r="AE31" s="1335"/>
      <c r="AF31" s="1335"/>
      <c r="AG31"/>
      <c r="AH31" s="1335">
        <f>IF(ISNA(F31*VLOOKUP($D31,Hypothèses!$D$6:$F$14,3,0)),0,F31*VLOOKUP($D31,Hypothèses!$D$6:$F$14,3,0))</f>
        <v>0</v>
      </c>
      <c r="AI31" s="1335">
        <f>IF(ISNA(G31*VLOOKUP($D31,Hypothèses!$D$6:$F$14,3,0)),0,G31*VLOOKUP($D31,Hypothèses!$D$6:$F$14,3,0))</f>
        <v>0</v>
      </c>
      <c r="AJ31" s="1335">
        <f>IF(ISNA(H31*VLOOKUP($D31,Hypothèses!$D$6:$F$14,3,0)),0,H31*VLOOKUP($D31,Hypothèses!$D$6:$F$14,3,0))</f>
        <v>0</v>
      </c>
      <c r="AK31" s="1335">
        <f>IF(ISNA(I31*VLOOKUP($D31,Hypothèses!$D$6:$F$14,3,0)),0,I31*VLOOKUP($D31,Hypothèses!$D$6:$F$14,3,0))</f>
        <v>0</v>
      </c>
      <c r="AL31" s="1335">
        <f>IF(ISNA(J31*VLOOKUP($D31,Hypothèses!$D$6:$F$14,3,0)),0,J31*VLOOKUP($D31,Hypothèses!$D$6:$F$14,3,0))</f>
        <v>0</v>
      </c>
      <c r="AM31" s="1335">
        <f>IF(ISNA(K31*VLOOKUP($D31,Hypothèses!$D$6:$F$14,3,0)),0,K31*VLOOKUP($D31,Hypothèses!$D$6:$F$14,3,0))</f>
        <v>0</v>
      </c>
      <c r="AN31" s="1335">
        <f>IF(ISNA(L31*VLOOKUP($D31,Hypothèses!$D$6:$F$14,3,0)),0,L31*VLOOKUP($D31,Hypothèses!$D$6:$F$14,3,0))</f>
        <v>0</v>
      </c>
      <c r="AO31" s="1335">
        <f>IF(ISNA(M31*VLOOKUP($D31,Hypothèses!$D$6:$F$14,3,0)),0,M31*VLOOKUP($D31,Hypothèses!$D$6:$F$14,3,0))</f>
        <v>0</v>
      </c>
      <c r="AP31" s="1335">
        <f>IF(ISNA(N31*VLOOKUP($D31,Hypothèses!$D$6:$F$14,3,0)),0,N31*VLOOKUP($D31,Hypothèses!$D$6:$F$14,3,0))</f>
        <v>0</v>
      </c>
      <c r="AQ31" s="1335">
        <f>IF(ISNA(O31*VLOOKUP($D31,Hypothèses!$D$6:$F$14,3,0)),0,O31*VLOOKUP($D31,Hypothèses!$D$6:$F$14,3,0))</f>
        <v>0</v>
      </c>
      <c r="AR31" s="1335">
        <f>IF(ISNA(P31*VLOOKUP($D31,Hypothèses!$D$6:$F$14,3,0)),0,P31*VLOOKUP($D31,Hypothèses!$D$6:$F$14,3,0))</f>
        <v>0</v>
      </c>
      <c r="AS31" s="1335">
        <f>IF(ISNA(Q31*VLOOKUP($D31,Hypothèses!$D$6:$F$14,3,0)),0,Q31*VLOOKUP($D31,Hypothèses!$D$6:$F$14,3,0))</f>
        <v>0</v>
      </c>
      <c r="AT31" s="1335">
        <f>IF(ISNA(R31*VLOOKUP($D31,Hypothèses!$D$6:$F$14,3,0)),0,R31*VLOOKUP($D31,Hypothèses!$D$6:$F$14,3,0))</f>
        <v>0</v>
      </c>
      <c r="AU31" s="1335">
        <f>IF(ISNA(S31*VLOOKUP($D31,Hypothèses!$D$6:$F$14,3,0)),0,S31*VLOOKUP($D31,Hypothèses!$D$6:$F$14,3,0))</f>
        <v>0</v>
      </c>
      <c r="AV31" s="1335">
        <f>IF(ISNA(T31*VLOOKUP($D31,Hypothèses!$D$6:$F$14,3,0)),0,T31*VLOOKUP($D31,Hypothèses!$D$6:$F$14,3,0))</f>
        <v>0</v>
      </c>
      <c r="AW31" s="1335">
        <f>IF(ISNA(U31*VLOOKUP($D31,Hypothèses!$D$6:$F$14,3,0)),0,U31*VLOOKUP($D31,Hypothèses!$D$6:$F$14,3,0))</f>
        <v>0</v>
      </c>
      <c r="AX31" s="1335">
        <f>IF(ISNA(V31*VLOOKUP($D31,Hypothèses!$D$6:$F$14,3,0)),0,V31*VLOOKUP($D31,Hypothèses!$D$6:$F$14,3,0))</f>
        <v>0</v>
      </c>
      <c r="AY31" s="1335">
        <f>IF(ISNA(W31*VLOOKUP($D31,Hypothèses!$D$6:$F$14,3,0)),0,W31*VLOOKUP($D31,Hypothèses!$D$6:$F$14,3,0))</f>
        <v>0</v>
      </c>
      <c r="AZ31" s="1335">
        <f>IF(ISNA(X31*VLOOKUP($D31,Hypothèses!$D$6:$F$14,3,0)),0,X31*VLOOKUP($D31,Hypothèses!$D$6:$F$14,3,0))</f>
        <v>0</v>
      </c>
      <c r="BA31" s="1335">
        <f>IF(ISNA(Y31*VLOOKUP($D31,Hypothèses!$D$6:$F$14,3,0)),0,Y31*VLOOKUP($D31,Hypothèses!$D$6:$F$14,3,0))</f>
        <v>0</v>
      </c>
      <c r="BB31" s="1335">
        <f>IF(ISNA(Z31*VLOOKUP($D31,Hypothèses!$D$6:$F$14,3,0)),0,Z31*VLOOKUP($D31,Hypothèses!$D$6:$F$14,3,0))</f>
        <v>0</v>
      </c>
      <c r="BC31" s="1335">
        <f>IF(ISNA(AA31*VLOOKUP($D31,Hypothèses!$D$6:$F$14,3,0)),0,AA31*VLOOKUP($D31,Hypothèses!$D$6:$F$14,3,0))</f>
        <v>0</v>
      </c>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row>
    <row r="32" spans="1:89" s="3" customFormat="1">
      <c r="A32" s="1817">
        <v>25</v>
      </c>
      <c r="B32" s="1790"/>
      <c r="C32" s="1333"/>
      <c r="D32" s="1334"/>
      <c r="E32" s="1332" t="str">
        <f>IF(ISNA(VLOOKUP(D32,Hypothèses!$D$6:$G$16,4,0)),"",VLOOKUP(D32,Hypothèses!$D$6:$G$16,4,0))</f>
        <v/>
      </c>
      <c r="F32" s="1842"/>
      <c r="G32" s="1843"/>
      <c r="H32" s="1843"/>
      <c r="I32" s="1843"/>
      <c r="J32" s="1843"/>
      <c r="K32" s="1843"/>
      <c r="L32" s="1843"/>
      <c r="M32" s="1843"/>
      <c r="N32" s="1843"/>
      <c r="O32" s="1843"/>
      <c r="P32" s="1843"/>
      <c r="Q32" s="1843"/>
      <c r="R32" s="1843"/>
      <c r="S32" s="1843"/>
      <c r="T32" s="1843"/>
      <c r="U32" s="1843"/>
      <c r="V32" s="1843"/>
      <c r="W32" s="1843"/>
      <c r="X32" s="1843"/>
      <c r="Y32" s="1843"/>
      <c r="Z32" s="1843"/>
      <c r="AA32" s="1844"/>
      <c r="AB32" s="1335"/>
      <c r="AC32" s="1335"/>
      <c r="AD32" s="1335"/>
      <c r="AE32" s="1335"/>
      <c r="AF32" s="1335"/>
      <c r="AG32"/>
      <c r="AH32" s="1335">
        <f>IF(ISNA(F32*VLOOKUP($D32,Hypothèses!$D$6:$F$14,3,0)),0,F32*VLOOKUP($D32,Hypothèses!$D$6:$F$14,3,0))</f>
        <v>0</v>
      </c>
      <c r="AI32" s="1335">
        <f>IF(ISNA(G32*VLOOKUP($D32,Hypothèses!$D$6:$F$14,3,0)),0,G32*VLOOKUP($D32,Hypothèses!$D$6:$F$14,3,0))</f>
        <v>0</v>
      </c>
      <c r="AJ32" s="1335">
        <f>IF(ISNA(H32*VLOOKUP($D32,Hypothèses!$D$6:$F$14,3,0)),0,H32*VLOOKUP($D32,Hypothèses!$D$6:$F$14,3,0))</f>
        <v>0</v>
      </c>
      <c r="AK32" s="1335">
        <f>IF(ISNA(I32*VLOOKUP($D32,Hypothèses!$D$6:$F$14,3,0)),0,I32*VLOOKUP($D32,Hypothèses!$D$6:$F$14,3,0))</f>
        <v>0</v>
      </c>
      <c r="AL32" s="1335">
        <f>IF(ISNA(J32*VLOOKUP($D32,Hypothèses!$D$6:$F$14,3,0)),0,J32*VLOOKUP($D32,Hypothèses!$D$6:$F$14,3,0))</f>
        <v>0</v>
      </c>
      <c r="AM32" s="1335">
        <f>IF(ISNA(K32*VLOOKUP($D32,Hypothèses!$D$6:$F$14,3,0)),0,K32*VLOOKUP($D32,Hypothèses!$D$6:$F$14,3,0))</f>
        <v>0</v>
      </c>
      <c r="AN32" s="1335">
        <f>IF(ISNA(L32*VLOOKUP($D32,Hypothèses!$D$6:$F$14,3,0)),0,L32*VLOOKUP($D32,Hypothèses!$D$6:$F$14,3,0))</f>
        <v>0</v>
      </c>
      <c r="AO32" s="1335">
        <f>IF(ISNA(M32*VLOOKUP($D32,Hypothèses!$D$6:$F$14,3,0)),0,M32*VLOOKUP($D32,Hypothèses!$D$6:$F$14,3,0))</f>
        <v>0</v>
      </c>
      <c r="AP32" s="1335">
        <f>IF(ISNA(N32*VLOOKUP($D32,Hypothèses!$D$6:$F$14,3,0)),0,N32*VLOOKUP($D32,Hypothèses!$D$6:$F$14,3,0))</f>
        <v>0</v>
      </c>
      <c r="AQ32" s="1335">
        <f>IF(ISNA(O32*VLOOKUP($D32,Hypothèses!$D$6:$F$14,3,0)),0,O32*VLOOKUP($D32,Hypothèses!$D$6:$F$14,3,0))</f>
        <v>0</v>
      </c>
      <c r="AR32" s="1335">
        <f>IF(ISNA(P32*VLOOKUP($D32,Hypothèses!$D$6:$F$14,3,0)),0,P32*VLOOKUP($D32,Hypothèses!$D$6:$F$14,3,0))</f>
        <v>0</v>
      </c>
      <c r="AS32" s="1335">
        <f>IF(ISNA(Q32*VLOOKUP($D32,Hypothèses!$D$6:$F$14,3,0)),0,Q32*VLOOKUP($D32,Hypothèses!$D$6:$F$14,3,0))</f>
        <v>0</v>
      </c>
      <c r="AT32" s="1335">
        <f>IF(ISNA(R32*VLOOKUP($D32,Hypothèses!$D$6:$F$14,3,0)),0,R32*VLOOKUP($D32,Hypothèses!$D$6:$F$14,3,0))</f>
        <v>0</v>
      </c>
      <c r="AU32" s="1335">
        <f>IF(ISNA(S32*VLOOKUP($D32,Hypothèses!$D$6:$F$14,3,0)),0,S32*VLOOKUP($D32,Hypothèses!$D$6:$F$14,3,0))</f>
        <v>0</v>
      </c>
      <c r="AV32" s="1335">
        <f>IF(ISNA(T32*VLOOKUP($D32,Hypothèses!$D$6:$F$14,3,0)),0,T32*VLOOKUP($D32,Hypothèses!$D$6:$F$14,3,0))</f>
        <v>0</v>
      </c>
      <c r="AW32" s="1335">
        <f>IF(ISNA(U32*VLOOKUP($D32,Hypothèses!$D$6:$F$14,3,0)),0,U32*VLOOKUP($D32,Hypothèses!$D$6:$F$14,3,0))</f>
        <v>0</v>
      </c>
      <c r="AX32" s="1335">
        <f>IF(ISNA(V32*VLOOKUP($D32,Hypothèses!$D$6:$F$14,3,0)),0,V32*VLOOKUP($D32,Hypothèses!$D$6:$F$14,3,0))</f>
        <v>0</v>
      </c>
      <c r="AY32" s="1335">
        <f>IF(ISNA(W32*VLOOKUP($D32,Hypothèses!$D$6:$F$14,3,0)),0,W32*VLOOKUP($D32,Hypothèses!$D$6:$F$14,3,0))</f>
        <v>0</v>
      </c>
      <c r="AZ32" s="1335">
        <f>IF(ISNA(X32*VLOOKUP($D32,Hypothèses!$D$6:$F$14,3,0)),0,X32*VLOOKUP($D32,Hypothèses!$D$6:$F$14,3,0))</f>
        <v>0</v>
      </c>
      <c r="BA32" s="1335">
        <f>IF(ISNA(Y32*VLOOKUP($D32,Hypothèses!$D$6:$F$14,3,0)),0,Y32*VLOOKUP($D32,Hypothèses!$D$6:$F$14,3,0))</f>
        <v>0</v>
      </c>
      <c r="BB32" s="1335">
        <f>IF(ISNA(Z32*VLOOKUP($D32,Hypothèses!$D$6:$F$14,3,0)),0,Z32*VLOOKUP($D32,Hypothèses!$D$6:$F$14,3,0))</f>
        <v>0</v>
      </c>
      <c r="BC32" s="1335">
        <f>IF(ISNA(AA32*VLOOKUP($D32,Hypothèses!$D$6:$F$14,3,0)),0,AA32*VLOOKUP($D32,Hypothèses!$D$6:$F$14,3,0))</f>
        <v>0</v>
      </c>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row>
    <row r="33" spans="1:89" s="3" customFormat="1">
      <c r="A33" s="1817">
        <v>26</v>
      </c>
      <c r="B33" s="1790"/>
      <c r="C33" s="1333"/>
      <c r="D33" s="1334"/>
      <c r="E33" s="1332" t="str">
        <f>IF(ISNA(VLOOKUP(D33,Hypothèses!$D$6:$G$16,4,0)),"",VLOOKUP(D33,Hypothèses!$D$6:$G$16,4,0))</f>
        <v/>
      </c>
      <c r="F33" s="1842"/>
      <c r="G33" s="1843"/>
      <c r="H33" s="1843"/>
      <c r="I33" s="1843"/>
      <c r="J33" s="1843"/>
      <c r="K33" s="1843"/>
      <c r="L33" s="1843"/>
      <c r="M33" s="1843"/>
      <c r="N33" s="1843"/>
      <c r="O33" s="1843"/>
      <c r="P33" s="1843"/>
      <c r="Q33" s="1843"/>
      <c r="R33" s="1843"/>
      <c r="S33" s="1843"/>
      <c r="T33" s="1843"/>
      <c r="U33" s="1843"/>
      <c r="V33" s="1843"/>
      <c r="W33" s="1843"/>
      <c r="X33" s="1843"/>
      <c r="Y33" s="1843"/>
      <c r="Z33" s="1843"/>
      <c r="AA33" s="1844"/>
      <c r="AB33" s="1335"/>
      <c r="AC33" s="1335"/>
      <c r="AD33" s="1335"/>
      <c r="AE33" s="1335"/>
      <c r="AF33" s="1335"/>
      <c r="AG33"/>
      <c r="AH33" s="1335">
        <f>IF(ISNA(F33*VLOOKUP($D33,Hypothèses!$D$6:$F$14,3,0)),0,F33*VLOOKUP($D33,Hypothèses!$D$6:$F$14,3,0))</f>
        <v>0</v>
      </c>
      <c r="AI33" s="1335">
        <f>IF(ISNA(G33*VLOOKUP($D33,Hypothèses!$D$6:$F$14,3,0)),0,G33*VLOOKUP($D33,Hypothèses!$D$6:$F$14,3,0))</f>
        <v>0</v>
      </c>
      <c r="AJ33" s="1335">
        <f>IF(ISNA(H33*VLOOKUP($D33,Hypothèses!$D$6:$F$14,3,0)),0,H33*VLOOKUP($D33,Hypothèses!$D$6:$F$14,3,0))</f>
        <v>0</v>
      </c>
      <c r="AK33" s="1335">
        <f>IF(ISNA(I33*VLOOKUP($D33,Hypothèses!$D$6:$F$14,3,0)),0,I33*VLOOKUP($D33,Hypothèses!$D$6:$F$14,3,0))</f>
        <v>0</v>
      </c>
      <c r="AL33" s="1335">
        <f>IF(ISNA(J33*VLOOKUP($D33,Hypothèses!$D$6:$F$14,3,0)),0,J33*VLOOKUP($D33,Hypothèses!$D$6:$F$14,3,0))</f>
        <v>0</v>
      </c>
      <c r="AM33" s="1335">
        <f>IF(ISNA(K33*VLOOKUP($D33,Hypothèses!$D$6:$F$14,3,0)),0,K33*VLOOKUP($D33,Hypothèses!$D$6:$F$14,3,0))</f>
        <v>0</v>
      </c>
      <c r="AN33" s="1335">
        <f>IF(ISNA(L33*VLOOKUP($D33,Hypothèses!$D$6:$F$14,3,0)),0,L33*VLOOKUP($D33,Hypothèses!$D$6:$F$14,3,0))</f>
        <v>0</v>
      </c>
      <c r="AO33" s="1335">
        <f>IF(ISNA(M33*VLOOKUP($D33,Hypothèses!$D$6:$F$14,3,0)),0,M33*VLOOKUP($D33,Hypothèses!$D$6:$F$14,3,0))</f>
        <v>0</v>
      </c>
      <c r="AP33" s="1335">
        <f>IF(ISNA(N33*VLOOKUP($D33,Hypothèses!$D$6:$F$14,3,0)),0,N33*VLOOKUP($D33,Hypothèses!$D$6:$F$14,3,0))</f>
        <v>0</v>
      </c>
      <c r="AQ33" s="1335">
        <f>IF(ISNA(O33*VLOOKUP($D33,Hypothèses!$D$6:$F$14,3,0)),0,O33*VLOOKUP($D33,Hypothèses!$D$6:$F$14,3,0))</f>
        <v>0</v>
      </c>
      <c r="AR33" s="1335">
        <f>IF(ISNA(P33*VLOOKUP($D33,Hypothèses!$D$6:$F$14,3,0)),0,P33*VLOOKUP($D33,Hypothèses!$D$6:$F$14,3,0))</f>
        <v>0</v>
      </c>
      <c r="AS33" s="1335">
        <f>IF(ISNA(Q33*VLOOKUP($D33,Hypothèses!$D$6:$F$14,3,0)),0,Q33*VLOOKUP($D33,Hypothèses!$D$6:$F$14,3,0))</f>
        <v>0</v>
      </c>
      <c r="AT33" s="1335">
        <f>IF(ISNA(R33*VLOOKUP($D33,Hypothèses!$D$6:$F$14,3,0)),0,R33*VLOOKUP($D33,Hypothèses!$D$6:$F$14,3,0))</f>
        <v>0</v>
      </c>
      <c r="AU33" s="1335">
        <f>IF(ISNA(S33*VLOOKUP($D33,Hypothèses!$D$6:$F$14,3,0)),0,S33*VLOOKUP($D33,Hypothèses!$D$6:$F$14,3,0))</f>
        <v>0</v>
      </c>
      <c r="AV33" s="1335">
        <f>IF(ISNA(T33*VLOOKUP($D33,Hypothèses!$D$6:$F$14,3,0)),0,T33*VLOOKUP($D33,Hypothèses!$D$6:$F$14,3,0))</f>
        <v>0</v>
      </c>
      <c r="AW33" s="1335">
        <f>IF(ISNA(U33*VLOOKUP($D33,Hypothèses!$D$6:$F$14,3,0)),0,U33*VLOOKUP($D33,Hypothèses!$D$6:$F$14,3,0))</f>
        <v>0</v>
      </c>
      <c r="AX33" s="1335">
        <f>IF(ISNA(V33*VLOOKUP($D33,Hypothèses!$D$6:$F$14,3,0)),0,V33*VLOOKUP($D33,Hypothèses!$D$6:$F$14,3,0))</f>
        <v>0</v>
      </c>
      <c r="AY33" s="1335">
        <f>IF(ISNA(W33*VLOOKUP($D33,Hypothèses!$D$6:$F$14,3,0)),0,W33*VLOOKUP($D33,Hypothèses!$D$6:$F$14,3,0))</f>
        <v>0</v>
      </c>
      <c r="AZ33" s="1335">
        <f>IF(ISNA(X33*VLOOKUP($D33,Hypothèses!$D$6:$F$14,3,0)),0,X33*VLOOKUP($D33,Hypothèses!$D$6:$F$14,3,0))</f>
        <v>0</v>
      </c>
      <c r="BA33" s="1335">
        <f>IF(ISNA(Y33*VLOOKUP($D33,Hypothèses!$D$6:$F$14,3,0)),0,Y33*VLOOKUP($D33,Hypothèses!$D$6:$F$14,3,0))</f>
        <v>0</v>
      </c>
      <c r="BB33" s="1335">
        <f>IF(ISNA(Z33*VLOOKUP($D33,Hypothèses!$D$6:$F$14,3,0)),0,Z33*VLOOKUP($D33,Hypothèses!$D$6:$F$14,3,0))</f>
        <v>0</v>
      </c>
      <c r="BC33" s="1335">
        <f>IF(ISNA(AA33*VLOOKUP($D33,Hypothèses!$D$6:$F$14,3,0)),0,AA33*VLOOKUP($D33,Hypothèses!$D$6:$F$14,3,0))</f>
        <v>0</v>
      </c>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row>
    <row r="34" spans="1:89" s="3" customFormat="1">
      <c r="A34" s="1817">
        <v>27</v>
      </c>
      <c r="B34" s="1790"/>
      <c r="C34" s="1333"/>
      <c r="D34" s="1334"/>
      <c r="E34" s="1332" t="str">
        <f>IF(ISNA(VLOOKUP(D34,Hypothèses!$D$6:$G$16,4,0)),"",VLOOKUP(D34,Hypothèses!$D$6:$G$16,4,0))</f>
        <v/>
      </c>
      <c r="F34" s="1842"/>
      <c r="G34" s="1843"/>
      <c r="H34" s="1843"/>
      <c r="I34" s="1843"/>
      <c r="J34" s="1843"/>
      <c r="K34" s="1843"/>
      <c r="L34" s="1843"/>
      <c r="M34" s="1843"/>
      <c r="N34" s="1843"/>
      <c r="O34" s="1843"/>
      <c r="P34" s="1843"/>
      <c r="Q34" s="1843"/>
      <c r="R34" s="1843"/>
      <c r="S34" s="1843"/>
      <c r="T34" s="1843"/>
      <c r="U34" s="1843"/>
      <c r="V34" s="1843"/>
      <c r="W34" s="1843"/>
      <c r="X34" s="1843"/>
      <c r="Y34" s="1843"/>
      <c r="Z34" s="1843"/>
      <c r="AA34" s="1844"/>
      <c r="AB34" s="1335"/>
      <c r="AC34" s="1335"/>
      <c r="AD34" s="1335"/>
      <c r="AE34" s="1335"/>
      <c r="AF34" s="1335"/>
      <c r="AG34"/>
      <c r="AH34" s="1335">
        <f>IF(ISNA(F34*VLOOKUP($D34,Hypothèses!$D$6:$F$14,3,0)),0,F34*VLOOKUP($D34,Hypothèses!$D$6:$F$14,3,0))</f>
        <v>0</v>
      </c>
      <c r="AI34" s="1335">
        <f>IF(ISNA(G34*VLOOKUP($D34,Hypothèses!$D$6:$F$14,3,0)),0,G34*VLOOKUP($D34,Hypothèses!$D$6:$F$14,3,0))</f>
        <v>0</v>
      </c>
      <c r="AJ34" s="1335">
        <f>IF(ISNA(H34*VLOOKUP($D34,Hypothèses!$D$6:$F$14,3,0)),0,H34*VLOOKUP($D34,Hypothèses!$D$6:$F$14,3,0))</f>
        <v>0</v>
      </c>
      <c r="AK34" s="1335">
        <f>IF(ISNA(I34*VLOOKUP($D34,Hypothèses!$D$6:$F$14,3,0)),0,I34*VLOOKUP($D34,Hypothèses!$D$6:$F$14,3,0))</f>
        <v>0</v>
      </c>
      <c r="AL34" s="1335">
        <f>IF(ISNA(J34*VLOOKUP($D34,Hypothèses!$D$6:$F$14,3,0)),0,J34*VLOOKUP($D34,Hypothèses!$D$6:$F$14,3,0))</f>
        <v>0</v>
      </c>
      <c r="AM34" s="1335">
        <f>IF(ISNA(K34*VLOOKUP($D34,Hypothèses!$D$6:$F$14,3,0)),0,K34*VLOOKUP($D34,Hypothèses!$D$6:$F$14,3,0))</f>
        <v>0</v>
      </c>
      <c r="AN34" s="1335">
        <f>IF(ISNA(L34*VLOOKUP($D34,Hypothèses!$D$6:$F$14,3,0)),0,L34*VLOOKUP($D34,Hypothèses!$D$6:$F$14,3,0))</f>
        <v>0</v>
      </c>
      <c r="AO34" s="1335">
        <f>IF(ISNA(M34*VLOOKUP($D34,Hypothèses!$D$6:$F$14,3,0)),0,M34*VLOOKUP($D34,Hypothèses!$D$6:$F$14,3,0))</f>
        <v>0</v>
      </c>
      <c r="AP34" s="1335">
        <f>IF(ISNA(N34*VLOOKUP($D34,Hypothèses!$D$6:$F$14,3,0)),0,N34*VLOOKUP($D34,Hypothèses!$D$6:$F$14,3,0))</f>
        <v>0</v>
      </c>
      <c r="AQ34" s="1335">
        <f>IF(ISNA(O34*VLOOKUP($D34,Hypothèses!$D$6:$F$14,3,0)),0,O34*VLOOKUP($D34,Hypothèses!$D$6:$F$14,3,0))</f>
        <v>0</v>
      </c>
      <c r="AR34" s="1335">
        <f>IF(ISNA(P34*VLOOKUP($D34,Hypothèses!$D$6:$F$14,3,0)),0,P34*VLOOKUP($D34,Hypothèses!$D$6:$F$14,3,0))</f>
        <v>0</v>
      </c>
      <c r="AS34" s="1335">
        <f>IF(ISNA(Q34*VLOOKUP($D34,Hypothèses!$D$6:$F$14,3,0)),0,Q34*VLOOKUP($D34,Hypothèses!$D$6:$F$14,3,0))</f>
        <v>0</v>
      </c>
      <c r="AT34" s="1335">
        <f>IF(ISNA(R34*VLOOKUP($D34,Hypothèses!$D$6:$F$14,3,0)),0,R34*VLOOKUP($D34,Hypothèses!$D$6:$F$14,3,0))</f>
        <v>0</v>
      </c>
      <c r="AU34" s="1335">
        <f>IF(ISNA(S34*VLOOKUP($D34,Hypothèses!$D$6:$F$14,3,0)),0,S34*VLOOKUP($D34,Hypothèses!$D$6:$F$14,3,0))</f>
        <v>0</v>
      </c>
      <c r="AV34" s="1335">
        <f>IF(ISNA(T34*VLOOKUP($D34,Hypothèses!$D$6:$F$14,3,0)),0,T34*VLOOKUP($D34,Hypothèses!$D$6:$F$14,3,0))</f>
        <v>0</v>
      </c>
      <c r="AW34" s="1335">
        <f>IF(ISNA(U34*VLOOKUP($D34,Hypothèses!$D$6:$F$14,3,0)),0,U34*VLOOKUP($D34,Hypothèses!$D$6:$F$14,3,0))</f>
        <v>0</v>
      </c>
      <c r="AX34" s="1335">
        <f>IF(ISNA(V34*VLOOKUP($D34,Hypothèses!$D$6:$F$14,3,0)),0,V34*VLOOKUP($D34,Hypothèses!$D$6:$F$14,3,0))</f>
        <v>0</v>
      </c>
      <c r="AY34" s="1335">
        <f>IF(ISNA(W34*VLOOKUP($D34,Hypothèses!$D$6:$F$14,3,0)),0,W34*VLOOKUP($D34,Hypothèses!$D$6:$F$14,3,0))</f>
        <v>0</v>
      </c>
      <c r="AZ34" s="1335">
        <f>IF(ISNA(X34*VLOOKUP($D34,Hypothèses!$D$6:$F$14,3,0)),0,X34*VLOOKUP($D34,Hypothèses!$D$6:$F$14,3,0))</f>
        <v>0</v>
      </c>
      <c r="BA34" s="1335">
        <f>IF(ISNA(Y34*VLOOKUP($D34,Hypothèses!$D$6:$F$14,3,0)),0,Y34*VLOOKUP($D34,Hypothèses!$D$6:$F$14,3,0))</f>
        <v>0</v>
      </c>
      <c r="BB34" s="1335">
        <f>IF(ISNA(Z34*VLOOKUP($D34,Hypothèses!$D$6:$F$14,3,0)),0,Z34*VLOOKUP($D34,Hypothèses!$D$6:$F$14,3,0))</f>
        <v>0</v>
      </c>
      <c r="BC34" s="1335">
        <f>IF(ISNA(AA34*VLOOKUP($D34,Hypothèses!$D$6:$F$14,3,0)),0,AA34*VLOOKUP($D34,Hypothèses!$D$6:$F$14,3,0))</f>
        <v>0</v>
      </c>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row>
    <row r="35" spans="1:89" s="3" customFormat="1">
      <c r="A35" s="1817">
        <v>28</v>
      </c>
      <c r="B35" s="1790"/>
      <c r="C35" s="1333"/>
      <c r="D35" s="1334"/>
      <c r="E35" s="1332" t="str">
        <f>IF(ISNA(VLOOKUP(D35,Hypothèses!$D$6:$G$16,4,0)),"",VLOOKUP(D35,Hypothèses!$D$6:$G$16,4,0))</f>
        <v/>
      </c>
      <c r="F35" s="1842"/>
      <c r="G35" s="1843"/>
      <c r="H35" s="1843"/>
      <c r="I35" s="1843"/>
      <c r="J35" s="1843"/>
      <c r="K35" s="1843"/>
      <c r="L35" s="1843"/>
      <c r="M35" s="1843"/>
      <c r="N35" s="1843"/>
      <c r="O35" s="1843"/>
      <c r="P35" s="1843"/>
      <c r="Q35" s="1843"/>
      <c r="R35" s="1843"/>
      <c r="S35" s="1843"/>
      <c r="T35" s="1843"/>
      <c r="U35" s="1843"/>
      <c r="V35" s="1843"/>
      <c r="W35" s="1843"/>
      <c r="X35" s="1843"/>
      <c r="Y35" s="1843"/>
      <c r="Z35" s="1843"/>
      <c r="AA35" s="1844"/>
      <c r="AB35" s="1335"/>
      <c r="AC35" s="1335"/>
      <c r="AD35" s="1335"/>
      <c r="AE35" s="1335"/>
      <c r="AF35" s="1335"/>
      <c r="AG35"/>
      <c r="AH35" s="1335">
        <f>IF(ISNA(F35*VLOOKUP($D35,Hypothèses!$D$6:$F$14,3,0)),0,F35*VLOOKUP($D35,Hypothèses!$D$6:$F$14,3,0))</f>
        <v>0</v>
      </c>
      <c r="AI35" s="1335">
        <f>IF(ISNA(G35*VLOOKUP($D35,Hypothèses!$D$6:$F$14,3,0)),0,G35*VLOOKUP($D35,Hypothèses!$D$6:$F$14,3,0))</f>
        <v>0</v>
      </c>
      <c r="AJ35" s="1335">
        <f>IF(ISNA(H35*VLOOKUP($D35,Hypothèses!$D$6:$F$14,3,0)),0,H35*VLOOKUP($D35,Hypothèses!$D$6:$F$14,3,0))</f>
        <v>0</v>
      </c>
      <c r="AK35" s="1335">
        <f>IF(ISNA(I35*VLOOKUP($D35,Hypothèses!$D$6:$F$14,3,0)),0,I35*VLOOKUP($D35,Hypothèses!$D$6:$F$14,3,0))</f>
        <v>0</v>
      </c>
      <c r="AL35" s="1335">
        <f>IF(ISNA(J35*VLOOKUP($D35,Hypothèses!$D$6:$F$14,3,0)),0,J35*VLOOKUP($D35,Hypothèses!$D$6:$F$14,3,0))</f>
        <v>0</v>
      </c>
      <c r="AM35" s="1335">
        <f>IF(ISNA(K35*VLOOKUP($D35,Hypothèses!$D$6:$F$14,3,0)),0,K35*VLOOKUP($D35,Hypothèses!$D$6:$F$14,3,0))</f>
        <v>0</v>
      </c>
      <c r="AN35" s="1335">
        <f>IF(ISNA(L35*VLOOKUP($D35,Hypothèses!$D$6:$F$14,3,0)),0,L35*VLOOKUP($D35,Hypothèses!$D$6:$F$14,3,0))</f>
        <v>0</v>
      </c>
      <c r="AO35" s="1335">
        <f>IF(ISNA(M35*VLOOKUP($D35,Hypothèses!$D$6:$F$14,3,0)),0,M35*VLOOKUP($D35,Hypothèses!$D$6:$F$14,3,0))</f>
        <v>0</v>
      </c>
      <c r="AP35" s="1335">
        <f>IF(ISNA(N35*VLOOKUP($D35,Hypothèses!$D$6:$F$14,3,0)),0,N35*VLOOKUP($D35,Hypothèses!$D$6:$F$14,3,0))</f>
        <v>0</v>
      </c>
      <c r="AQ35" s="1335">
        <f>IF(ISNA(O35*VLOOKUP($D35,Hypothèses!$D$6:$F$14,3,0)),0,O35*VLOOKUP($D35,Hypothèses!$D$6:$F$14,3,0))</f>
        <v>0</v>
      </c>
      <c r="AR35" s="1335">
        <f>IF(ISNA(P35*VLOOKUP($D35,Hypothèses!$D$6:$F$14,3,0)),0,P35*VLOOKUP($D35,Hypothèses!$D$6:$F$14,3,0))</f>
        <v>0</v>
      </c>
      <c r="AS35" s="1335">
        <f>IF(ISNA(Q35*VLOOKUP($D35,Hypothèses!$D$6:$F$14,3,0)),0,Q35*VLOOKUP($D35,Hypothèses!$D$6:$F$14,3,0))</f>
        <v>0</v>
      </c>
      <c r="AT35" s="1335">
        <f>IF(ISNA(R35*VLOOKUP($D35,Hypothèses!$D$6:$F$14,3,0)),0,R35*VLOOKUP($D35,Hypothèses!$D$6:$F$14,3,0))</f>
        <v>0</v>
      </c>
      <c r="AU35" s="1335">
        <f>IF(ISNA(S35*VLOOKUP($D35,Hypothèses!$D$6:$F$14,3,0)),0,S35*VLOOKUP($D35,Hypothèses!$D$6:$F$14,3,0))</f>
        <v>0</v>
      </c>
      <c r="AV35" s="1335">
        <f>IF(ISNA(T35*VLOOKUP($D35,Hypothèses!$D$6:$F$14,3,0)),0,T35*VLOOKUP($D35,Hypothèses!$D$6:$F$14,3,0))</f>
        <v>0</v>
      </c>
      <c r="AW35" s="1335">
        <f>IF(ISNA(U35*VLOOKUP($D35,Hypothèses!$D$6:$F$14,3,0)),0,U35*VLOOKUP($D35,Hypothèses!$D$6:$F$14,3,0))</f>
        <v>0</v>
      </c>
      <c r="AX35" s="1335">
        <f>IF(ISNA(V35*VLOOKUP($D35,Hypothèses!$D$6:$F$14,3,0)),0,V35*VLOOKUP($D35,Hypothèses!$D$6:$F$14,3,0))</f>
        <v>0</v>
      </c>
      <c r="AY35" s="1335">
        <f>IF(ISNA(W35*VLOOKUP($D35,Hypothèses!$D$6:$F$14,3,0)),0,W35*VLOOKUP($D35,Hypothèses!$D$6:$F$14,3,0))</f>
        <v>0</v>
      </c>
      <c r="AZ35" s="1335">
        <f>IF(ISNA(X35*VLOOKUP($D35,Hypothèses!$D$6:$F$14,3,0)),0,X35*VLOOKUP($D35,Hypothèses!$D$6:$F$14,3,0))</f>
        <v>0</v>
      </c>
      <c r="BA35" s="1335">
        <f>IF(ISNA(Y35*VLOOKUP($D35,Hypothèses!$D$6:$F$14,3,0)),0,Y35*VLOOKUP($D35,Hypothèses!$D$6:$F$14,3,0))</f>
        <v>0</v>
      </c>
      <c r="BB35" s="1335">
        <f>IF(ISNA(Z35*VLOOKUP($D35,Hypothèses!$D$6:$F$14,3,0)),0,Z35*VLOOKUP($D35,Hypothèses!$D$6:$F$14,3,0))</f>
        <v>0</v>
      </c>
      <c r="BC35" s="1335">
        <f>IF(ISNA(AA35*VLOOKUP($D35,Hypothèses!$D$6:$F$14,3,0)),0,AA35*VLOOKUP($D35,Hypothèses!$D$6:$F$14,3,0))</f>
        <v>0</v>
      </c>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row>
    <row r="36" spans="1:89" s="3" customFormat="1">
      <c r="A36" s="1817">
        <v>29</v>
      </c>
      <c r="B36" s="1790"/>
      <c r="C36" s="1333"/>
      <c r="D36" s="1334"/>
      <c r="E36" s="1332" t="str">
        <f>IF(ISNA(VLOOKUP(D36,Hypothèses!$D$6:$G$16,4,0)),"",VLOOKUP(D36,Hypothèses!$D$6:$G$16,4,0))</f>
        <v/>
      </c>
      <c r="F36" s="1842"/>
      <c r="G36" s="1843"/>
      <c r="H36" s="1843"/>
      <c r="I36" s="1843"/>
      <c r="J36" s="1843"/>
      <c r="K36" s="1843"/>
      <c r="L36" s="1843"/>
      <c r="M36" s="1843"/>
      <c r="N36" s="1843"/>
      <c r="O36" s="1843"/>
      <c r="P36" s="1843"/>
      <c r="Q36" s="1843"/>
      <c r="R36" s="1843"/>
      <c r="S36" s="1843"/>
      <c r="T36" s="1843"/>
      <c r="U36" s="1843"/>
      <c r="V36" s="1843"/>
      <c r="W36" s="1843"/>
      <c r="X36" s="1843"/>
      <c r="Y36" s="1843"/>
      <c r="Z36" s="1843"/>
      <c r="AA36" s="1844"/>
      <c r="AB36" s="1335"/>
      <c r="AC36" s="1335"/>
      <c r="AD36" s="1335"/>
      <c r="AE36" s="1335"/>
      <c r="AF36" s="1335"/>
      <c r="AG36"/>
      <c r="AH36" s="1335">
        <f>IF(ISNA(F36*VLOOKUP($D36,Hypothèses!$D$6:$F$14,3,0)),0,F36*VLOOKUP($D36,Hypothèses!$D$6:$F$14,3,0))</f>
        <v>0</v>
      </c>
      <c r="AI36" s="1335">
        <f>IF(ISNA(G36*VLOOKUP($D36,Hypothèses!$D$6:$F$14,3,0)),0,G36*VLOOKUP($D36,Hypothèses!$D$6:$F$14,3,0))</f>
        <v>0</v>
      </c>
      <c r="AJ36" s="1335">
        <f>IF(ISNA(H36*VLOOKUP($D36,Hypothèses!$D$6:$F$14,3,0)),0,H36*VLOOKUP($D36,Hypothèses!$D$6:$F$14,3,0))</f>
        <v>0</v>
      </c>
      <c r="AK36" s="1335">
        <f>IF(ISNA(I36*VLOOKUP($D36,Hypothèses!$D$6:$F$14,3,0)),0,I36*VLOOKUP($D36,Hypothèses!$D$6:$F$14,3,0))</f>
        <v>0</v>
      </c>
      <c r="AL36" s="1335">
        <f>IF(ISNA(J36*VLOOKUP($D36,Hypothèses!$D$6:$F$14,3,0)),0,J36*VLOOKUP($D36,Hypothèses!$D$6:$F$14,3,0))</f>
        <v>0</v>
      </c>
      <c r="AM36" s="1335">
        <f>IF(ISNA(K36*VLOOKUP($D36,Hypothèses!$D$6:$F$14,3,0)),0,K36*VLOOKUP($D36,Hypothèses!$D$6:$F$14,3,0))</f>
        <v>0</v>
      </c>
      <c r="AN36" s="1335">
        <f>IF(ISNA(L36*VLOOKUP($D36,Hypothèses!$D$6:$F$14,3,0)),0,L36*VLOOKUP($D36,Hypothèses!$D$6:$F$14,3,0))</f>
        <v>0</v>
      </c>
      <c r="AO36" s="1335">
        <f>IF(ISNA(M36*VLOOKUP($D36,Hypothèses!$D$6:$F$14,3,0)),0,M36*VLOOKUP($D36,Hypothèses!$D$6:$F$14,3,0))</f>
        <v>0</v>
      </c>
      <c r="AP36" s="1335">
        <f>IF(ISNA(N36*VLOOKUP($D36,Hypothèses!$D$6:$F$14,3,0)),0,N36*VLOOKUP($D36,Hypothèses!$D$6:$F$14,3,0))</f>
        <v>0</v>
      </c>
      <c r="AQ36" s="1335">
        <f>IF(ISNA(O36*VLOOKUP($D36,Hypothèses!$D$6:$F$14,3,0)),0,O36*VLOOKUP($D36,Hypothèses!$D$6:$F$14,3,0))</f>
        <v>0</v>
      </c>
      <c r="AR36" s="1335">
        <f>IF(ISNA(P36*VLOOKUP($D36,Hypothèses!$D$6:$F$14,3,0)),0,P36*VLOOKUP($D36,Hypothèses!$D$6:$F$14,3,0))</f>
        <v>0</v>
      </c>
      <c r="AS36" s="1335">
        <f>IF(ISNA(Q36*VLOOKUP($D36,Hypothèses!$D$6:$F$14,3,0)),0,Q36*VLOOKUP($D36,Hypothèses!$D$6:$F$14,3,0))</f>
        <v>0</v>
      </c>
      <c r="AT36" s="1335">
        <f>IF(ISNA(R36*VLOOKUP($D36,Hypothèses!$D$6:$F$14,3,0)),0,R36*VLOOKUP($D36,Hypothèses!$D$6:$F$14,3,0))</f>
        <v>0</v>
      </c>
      <c r="AU36" s="1335">
        <f>IF(ISNA(S36*VLOOKUP($D36,Hypothèses!$D$6:$F$14,3,0)),0,S36*VLOOKUP($D36,Hypothèses!$D$6:$F$14,3,0))</f>
        <v>0</v>
      </c>
      <c r="AV36" s="1335">
        <f>IF(ISNA(T36*VLOOKUP($D36,Hypothèses!$D$6:$F$14,3,0)),0,T36*VLOOKUP($D36,Hypothèses!$D$6:$F$14,3,0))</f>
        <v>0</v>
      </c>
      <c r="AW36" s="1335">
        <f>IF(ISNA(U36*VLOOKUP($D36,Hypothèses!$D$6:$F$14,3,0)),0,U36*VLOOKUP($D36,Hypothèses!$D$6:$F$14,3,0))</f>
        <v>0</v>
      </c>
      <c r="AX36" s="1335">
        <f>IF(ISNA(V36*VLOOKUP($D36,Hypothèses!$D$6:$F$14,3,0)),0,V36*VLOOKUP($D36,Hypothèses!$D$6:$F$14,3,0))</f>
        <v>0</v>
      </c>
      <c r="AY36" s="1335">
        <f>IF(ISNA(W36*VLOOKUP($D36,Hypothèses!$D$6:$F$14,3,0)),0,W36*VLOOKUP($D36,Hypothèses!$D$6:$F$14,3,0))</f>
        <v>0</v>
      </c>
      <c r="AZ36" s="1335">
        <f>IF(ISNA(X36*VLOOKUP($D36,Hypothèses!$D$6:$F$14,3,0)),0,X36*VLOOKUP($D36,Hypothèses!$D$6:$F$14,3,0))</f>
        <v>0</v>
      </c>
      <c r="BA36" s="1335">
        <f>IF(ISNA(Y36*VLOOKUP($D36,Hypothèses!$D$6:$F$14,3,0)),0,Y36*VLOOKUP($D36,Hypothèses!$D$6:$F$14,3,0))</f>
        <v>0</v>
      </c>
      <c r="BB36" s="1335">
        <f>IF(ISNA(Z36*VLOOKUP($D36,Hypothèses!$D$6:$F$14,3,0)),0,Z36*VLOOKUP($D36,Hypothèses!$D$6:$F$14,3,0))</f>
        <v>0</v>
      </c>
      <c r="BC36" s="1335">
        <f>IF(ISNA(AA36*VLOOKUP($D36,Hypothèses!$D$6:$F$14,3,0)),0,AA36*VLOOKUP($D36,Hypothèses!$D$6:$F$14,3,0))</f>
        <v>0</v>
      </c>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row>
    <row r="37" spans="1:89" s="3" customFormat="1">
      <c r="A37" s="1817">
        <v>30</v>
      </c>
      <c r="B37" s="1790"/>
      <c r="C37" s="1333"/>
      <c r="D37" s="1334"/>
      <c r="E37" s="1332" t="str">
        <f>IF(ISNA(VLOOKUP(D37,Hypothèses!$D$6:$G$16,4,0)),"",VLOOKUP(D37,Hypothèses!$D$6:$G$16,4,0))</f>
        <v/>
      </c>
      <c r="F37" s="1842"/>
      <c r="G37" s="1843"/>
      <c r="H37" s="1843"/>
      <c r="I37" s="1843"/>
      <c r="J37" s="1843"/>
      <c r="K37" s="1843"/>
      <c r="L37" s="1843"/>
      <c r="M37" s="1843"/>
      <c r="N37" s="1843"/>
      <c r="O37" s="1843"/>
      <c r="P37" s="1843"/>
      <c r="Q37" s="1843"/>
      <c r="R37" s="1843"/>
      <c r="S37" s="1843"/>
      <c r="T37" s="1843"/>
      <c r="U37" s="1843"/>
      <c r="V37" s="1843"/>
      <c r="W37" s="1843"/>
      <c r="X37" s="1843"/>
      <c r="Y37" s="1843"/>
      <c r="Z37" s="1843"/>
      <c r="AA37" s="1844"/>
      <c r="AB37" s="1335"/>
      <c r="AC37" s="1335"/>
      <c r="AD37" s="1335"/>
      <c r="AE37" s="1335"/>
      <c r="AF37" s="1335"/>
      <c r="AG37"/>
      <c r="AH37" s="1335">
        <f>IF(ISNA(F37*VLOOKUP($D37,Hypothèses!$D$6:$F$14,3,0)),0,F37*VLOOKUP($D37,Hypothèses!$D$6:$F$14,3,0))</f>
        <v>0</v>
      </c>
      <c r="AI37" s="1335">
        <f>IF(ISNA(G37*VLOOKUP($D37,Hypothèses!$D$6:$F$14,3,0)),0,G37*VLOOKUP($D37,Hypothèses!$D$6:$F$14,3,0))</f>
        <v>0</v>
      </c>
      <c r="AJ37" s="1335">
        <f>IF(ISNA(H37*VLOOKUP($D37,Hypothèses!$D$6:$F$14,3,0)),0,H37*VLOOKUP($D37,Hypothèses!$D$6:$F$14,3,0))</f>
        <v>0</v>
      </c>
      <c r="AK37" s="1335">
        <f>IF(ISNA(I37*VLOOKUP($D37,Hypothèses!$D$6:$F$14,3,0)),0,I37*VLOOKUP($D37,Hypothèses!$D$6:$F$14,3,0))</f>
        <v>0</v>
      </c>
      <c r="AL37" s="1335">
        <f>IF(ISNA(J37*VLOOKUP($D37,Hypothèses!$D$6:$F$14,3,0)),0,J37*VLOOKUP($D37,Hypothèses!$D$6:$F$14,3,0))</f>
        <v>0</v>
      </c>
      <c r="AM37" s="1335">
        <f>IF(ISNA(K37*VLOOKUP($D37,Hypothèses!$D$6:$F$14,3,0)),0,K37*VLOOKUP($D37,Hypothèses!$D$6:$F$14,3,0))</f>
        <v>0</v>
      </c>
      <c r="AN37" s="1335">
        <f>IF(ISNA(L37*VLOOKUP($D37,Hypothèses!$D$6:$F$14,3,0)),0,L37*VLOOKUP($D37,Hypothèses!$D$6:$F$14,3,0))</f>
        <v>0</v>
      </c>
      <c r="AO37" s="1335">
        <f>IF(ISNA(M37*VLOOKUP($D37,Hypothèses!$D$6:$F$14,3,0)),0,M37*VLOOKUP($D37,Hypothèses!$D$6:$F$14,3,0))</f>
        <v>0</v>
      </c>
      <c r="AP37" s="1335">
        <f>IF(ISNA(N37*VLOOKUP($D37,Hypothèses!$D$6:$F$14,3,0)),0,N37*VLOOKUP($D37,Hypothèses!$D$6:$F$14,3,0))</f>
        <v>0</v>
      </c>
      <c r="AQ37" s="1335">
        <f>IF(ISNA(O37*VLOOKUP($D37,Hypothèses!$D$6:$F$14,3,0)),0,O37*VLOOKUP($D37,Hypothèses!$D$6:$F$14,3,0))</f>
        <v>0</v>
      </c>
      <c r="AR37" s="1335">
        <f>IF(ISNA(P37*VLOOKUP($D37,Hypothèses!$D$6:$F$14,3,0)),0,P37*VLOOKUP($D37,Hypothèses!$D$6:$F$14,3,0))</f>
        <v>0</v>
      </c>
      <c r="AS37" s="1335">
        <f>IF(ISNA(Q37*VLOOKUP($D37,Hypothèses!$D$6:$F$14,3,0)),0,Q37*VLOOKUP($D37,Hypothèses!$D$6:$F$14,3,0))</f>
        <v>0</v>
      </c>
      <c r="AT37" s="1335">
        <f>IF(ISNA(R37*VLOOKUP($D37,Hypothèses!$D$6:$F$14,3,0)),0,R37*VLOOKUP($D37,Hypothèses!$D$6:$F$14,3,0))</f>
        <v>0</v>
      </c>
      <c r="AU37" s="1335">
        <f>IF(ISNA(S37*VLOOKUP($D37,Hypothèses!$D$6:$F$14,3,0)),0,S37*VLOOKUP($D37,Hypothèses!$D$6:$F$14,3,0))</f>
        <v>0</v>
      </c>
      <c r="AV37" s="1335">
        <f>IF(ISNA(T37*VLOOKUP($D37,Hypothèses!$D$6:$F$14,3,0)),0,T37*VLOOKUP($D37,Hypothèses!$D$6:$F$14,3,0))</f>
        <v>0</v>
      </c>
      <c r="AW37" s="1335">
        <f>IF(ISNA(U37*VLOOKUP($D37,Hypothèses!$D$6:$F$14,3,0)),0,U37*VLOOKUP($D37,Hypothèses!$D$6:$F$14,3,0))</f>
        <v>0</v>
      </c>
      <c r="AX37" s="1335">
        <f>IF(ISNA(V37*VLOOKUP($D37,Hypothèses!$D$6:$F$14,3,0)),0,V37*VLOOKUP($D37,Hypothèses!$D$6:$F$14,3,0))</f>
        <v>0</v>
      </c>
      <c r="AY37" s="1335">
        <f>IF(ISNA(W37*VLOOKUP($D37,Hypothèses!$D$6:$F$14,3,0)),0,W37*VLOOKUP($D37,Hypothèses!$D$6:$F$14,3,0))</f>
        <v>0</v>
      </c>
      <c r="AZ37" s="1335">
        <f>IF(ISNA(X37*VLOOKUP($D37,Hypothèses!$D$6:$F$14,3,0)),0,X37*VLOOKUP($D37,Hypothèses!$D$6:$F$14,3,0))</f>
        <v>0</v>
      </c>
      <c r="BA37" s="1335">
        <f>IF(ISNA(Y37*VLOOKUP($D37,Hypothèses!$D$6:$F$14,3,0)),0,Y37*VLOOKUP($D37,Hypothèses!$D$6:$F$14,3,0))</f>
        <v>0</v>
      </c>
      <c r="BB37" s="1335">
        <f>IF(ISNA(Z37*VLOOKUP($D37,Hypothèses!$D$6:$F$14,3,0)),0,Z37*VLOOKUP($D37,Hypothèses!$D$6:$F$14,3,0))</f>
        <v>0</v>
      </c>
      <c r="BC37" s="1335">
        <f>IF(ISNA(AA37*VLOOKUP($D37,Hypothèses!$D$6:$F$14,3,0)),0,AA37*VLOOKUP($D37,Hypothèses!$D$6:$F$14,3,0))</f>
        <v>0</v>
      </c>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row>
    <row r="38" spans="1:89" s="3" customFormat="1">
      <c r="A38" s="1817">
        <v>31</v>
      </c>
      <c r="B38" s="1790"/>
      <c r="C38" s="1333"/>
      <c r="D38" s="1334"/>
      <c r="E38" s="1332" t="str">
        <f>IF(ISNA(VLOOKUP(D38,Hypothèses!$D$6:$G$16,4,0)),"",VLOOKUP(D38,Hypothèses!$D$6:$G$16,4,0))</f>
        <v/>
      </c>
      <c r="F38" s="1842"/>
      <c r="G38" s="1843"/>
      <c r="H38" s="1843"/>
      <c r="I38" s="1843"/>
      <c r="J38" s="1843"/>
      <c r="K38" s="1843"/>
      <c r="L38" s="1843"/>
      <c r="M38" s="1843"/>
      <c r="N38" s="1843"/>
      <c r="O38" s="1843"/>
      <c r="P38" s="1843"/>
      <c r="Q38" s="1843"/>
      <c r="R38" s="1843"/>
      <c r="S38" s="1843"/>
      <c r="T38" s="1843"/>
      <c r="U38" s="1843"/>
      <c r="V38" s="1843"/>
      <c r="W38" s="1843"/>
      <c r="X38" s="1843"/>
      <c r="Y38" s="1843"/>
      <c r="Z38" s="1843"/>
      <c r="AA38" s="1844"/>
      <c r="AB38" s="1335"/>
      <c r="AC38" s="1335"/>
      <c r="AD38" s="1335"/>
      <c r="AE38" s="1335"/>
      <c r="AF38" s="1335"/>
      <c r="AG38"/>
      <c r="AH38" s="1335">
        <f>IF(ISNA(F38*VLOOKUP($D38,Hypothèses!$D$6:$F$14,3,0)),0,F38*VLOOKUP($D38,Hypothèses!$D$6:$F$14,3,0))</f>
        <v>0</v>
      </c>
      <c r="AI38" s="1335">
        <f>IF(ISNA(G38*VLOOKUP($D38,Hypothèses!$D$6:$F$14,3,0)),0,G38*VLOOKUP($D38,Hypothèses!$D$6:$F$14,3,0))</f>
        <v>0</v>
      </c>
      <c r="AJ38" s="1335">
        <f>IF(ISNA(H38*VLOOKUP($D38,Hypothèses!$D$6:$F$14,3,0)),0,H38*VLOOKUP($D38,Hypothèses!$D$6:$F$14,3,0))</f>
        <v>0</v>
      </c>
      <c r="AK38" s="1335">
        <f>IF(ISNA(I38*VLOOKUP($D38,Hypothèses!$D$6:$F$14,3,0)),0,I38*VLOOKUP($D38,Hypothèses!$D$6:$F$14,3,0))</f>
        <v>0</v>
      </c>
      <c r="AL38" s="1335">
        <f>IF(ISNA(J38*VLOOKUP($D38,Hypothèses!$D$6:$F$14,3,0)),0,J38*VLOOKUP($D38,Hypothèses!$D$6:$F$14,3,0))</f>
        <v>0</v>
      </c>
      <c r="AM38" s="1335">
        <f>IF(ISNA(K38*VLOOKUP($D38,Hypothèses!$D$6:$F$14,3,0)),0,K38*VLOOKUP($D38,Hypothèses!$D$6:$F$14,3,0))</f>
        <v>0</v>
      </c>
      <c r="AN38" s="1335">
        <f>IF(ISNA(L38*VLOOKUP($D38,Hypothèses!$D$6:$F$14,3,0)),0,L38*VLOOKUP($D38,Hypothèses!$D$6:$F$14,3,0))</f>
        <v>0</v>
      </c>
      <c r="AO38" s="1335">
        <f>IF(ISNA(M38*VLOOKUP($D38,Hypothèses!$D$6:$F$14,3,0)),0,M38*VLOOKUP($D38,Hypothèses!$D$6:$F$14,3,0))</f>
        <v>0</v>
      </c>
      <c r="AP38" s="1335">
        <f>IF(ISNA(N38*VLOOKUP($D38,Hypothèses!$D$6:$F$14,3,0)),0,N38*VLOOKUP($D38,Hypothèses!$D$6:$F$14,3,0))</f>
        <v>0</v>
      </c>
      <c r="AQ38" s="1335">
        <f>IF(ISNA(O38*VLOOKUP($D38,Hypothèses!$D$6:$F$14,3,0)),0,O38*VLOOKUP($D38,Hypothèses!$D$6:$F$14,3,0))</f>
        <v>0</v>
      </c>
      <c r="AR38" s="1335">
        <f>IF(ISNA(P38*VLOOKUP($D38,Hypothèses!$D$6:$F$14,3,0)),0,P38*VLOOKUP($D38,Hypothèses!$D$6:$F$14,3,0))</f>
        <v>0</v>
      </c>
      <c r="AS38" s="1335">
        <f>IF(ISNA(Q38*VLOOKUP($D38,Hypothèses!$D$6:$F$14,3,0)),0,Q38*VLOOKUP($D38,Hypothèses!$D$6:$F$14,3,0))</f>
        <v>0</v>
      </c>
      <c r="AT38" s="1335">
        <f>IF(ISNA(R38*VLOOKUP($D38,Hypothèses!$D$6:$F$14,3,0)),0,R38*VLOOKUP($D38,Hypothèses!$D$6:$F$14,3,0))</f>
        <v>0</v>
      </c>
      <c r="AU38" s="1335">
        <f>IF(ISNA(S38*VLOOKUP($D38,Hypothèses!$D$6:$F$14,3,0)),0,S38*VLOOKUP($D38,Hypothèses!$D$6:$F$14,3,0))</f>
        <v>0</v>
      </c>
      <c r="AV38" s="1335">
        <f>IF(ISNA(T38*VLOOKUP($D38,Hypothèses!$D$6:$F$14,3,0)),0,T38*VLOOKUP($D38,Hypothèses!$D$6:$F$14,3,0))</f>
        <v>0</v>
      </c>
      <c r="AW38" s="1335">
        <f>IF(ISNA(U38*VLOOKUP($D38,Hypothèses!$D$6:$F$14,3,0)),0,U38*VLOOKUP($D38,Hypothèses!$D$6:$F$14,3,0))</f>
        <v>0</v>
      </c>
      <c r="AX38" s="1335">
        <f>IF(ISNA(V38*VLOOKUP($D38,Hypothèses!$D$6:$F$14,3,0)),0,V38*VLOOKUP($D38,Hypothèses!$D$6:$F$14,3,0))</f>
        <v>0</v>
      </c>
      <c r="AY38" s="1335">
        <f>IF(ISNA(W38*VLOOKUP($D38,Hypothèses!$D$6:$F$14,3,0)),0,W38*VLOOKUP($D38,Hypothèses!$D$6:$F$14,3,0))</f>
        <v>0</v>
      </c>
      <c r="AZ38" s="1335">
        <f>IF(ISNA(X38*VLOOKUP($D38,Hypothèses!$D$6:$F$14,3,0)),0,X38*VLOOKUP($D38,Hypothèses!$D$6:$F$14,3,0))</f>
        <v>0</v>
      </c>
      <c r="BA38" s="1335">
        <f>IF(ISNA(Y38*VLOOKUP($D38,Hypothèses!$D$6:$F$14,3,0)),0,Y38*VLOOKUP($D38,Hypothèses!$D$6:$F$14,3,0))</f>
        <v>0</v>
      </c>
      <c r="BB38" s="1335">
        <f>IF(ISNA(Z38*VLOOKUP($D38,Hypothèses!$D$6:$F$14,3,0)),0,Z38*VLOOKUP($D38,Hypothèses!$D$6:$F$14,3,0))</f>
        <v>0</v>
      </c>
      <c r="BC38" s="1335">
        <f>IF(ISNA(AA38*VLOOKUP($D38,Hypothèses!$D$6:$F$14,3,0)),0,AA38*VLOOKUP($D38,Hypothèses!$D$6:$F$14,3,0))</f>
        <v>0</v>
      </c>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row>
    <row r="39" spans="1:89" s="3" customFormat="1">
      <c r="A39" s="1817">
        <v>32</v>
      </c>
      <c r="B39" s="1790"/>
      <c r="C39" s="1333"/>
      <c r="D39" s="1334"/>
      <c r="E39" s="1332" t="str">
        <f>IF(ISNA(VLOOKUP(D39,Hypothèses!$D$6:$G$16,4,0)),"",VLOOKUP(D39,Hypothèses!$D$6:$G$16,4,0))</f>
        <v/>
      </c>
      <c r="F39" s="1842"/>
      <c r="G39" s="1843"/>
      <c r="H39" s="1843"/>
      <c r="I39" s="1843"/>
      <c r="J39" s="1843"/>
      <c r="K39" s="1843"/>
      <c r="L39" s="1843"/>
      <c r="M39" s="1843"/>
      <c r="N39" s="1843"/>
      <c r="O39" s="1843"/>
      <c r="P39" s="1843"/>
      <c r="Q39" s="1843"/>
      <c r="R39" s="1843"/>
      <c r="S39" s="1843"/>
      <c r="T39" s="1843"/>
      <c r="U39" s="1843"/>
      <c r="V39" s="1843"/>
      <c r="W39" s="1843"/>
      <c r="X39" s="1843"/>
      <c r="Y39" s="1843"/>
      <c r="Z39" s="1843"/>
      <c r="AA39" s="1844"/>
      <c r="AB39" s="1335"/>
      <c r="AC39" s="1335"/>
      <c r="AD39" s="1335"/>
      <c r="AE39" s="1335"/>
      <c r="AF39" s="1335"/>
      <c r="AG39"/>
      <c r="AH39" s="1335">
        <f>IF(ISNA(F39*VLOOKUP($D39,Hypothèses!$D$6:$F$14,3,0)),0,F39*VLOOKUP($D39,Hypothèses!$D$6:$F$14,3,0))</f>
        <v>0</v>
      </c>
      <c r="AI39" s="1335">
        <f>IF(ISNA(G39*VLOOKUP($D39,Hypothèses!$D$6:$F$14,3,0)),0,G39*VLOOKUP($D39,Hypothèses!$D$6:$F$14,3,0))</f>
        <v>0</v>
      </c>
      <c r="AJ39" s="1335">
        <f>IF(ISNA(H39*VLOOKUP($D39,Hypothèses!$D$6:$F$14,3,0)),0,H39*VLOOKUP($D39,Hypothèses!$D$6:$F$14,3,0))</f>
        <v>0</v>
      </c>
      <c r="AK39" s="1335">
        <f>IF(ISNA(I39*VLOOKUP($D39,Hypothèses!$D$6:$F$14,3,0)),0,I39*VLOOKUP($D39,Hypothèses!$D$6:$F$14,3,0))</f>
        <v>0</v>
      </c>
      <c r="AL39" s="1335">
        <f>IF(ISNA(J39*VLOOKUP($D39,Hypothèses!$D$6:$F$14,3,0)),0,J39*VLOOKUP($D39,Hypothèses!$D$6:$F$14,3,0))</f>
        <v>0</v>
      </c>
      <c r="AM39" s="1335">
        <f>IF(ISNA(K39*VLOOKUP($D39,Hypothèses!$D$6:$F$14,3,0)),0,K39*VLOOKUP($D39,Hypothèses!$D$6:$F$14,3,0))</f>
        <v>0</v>
      </c>
      <c r="AN39" s="1335">
        <f>IF(ISNA(L39*VLOOKUP($D39,Hypothèses!$D$6:$F$14,3,0)),0,L39*VLOOKUP($D39,Hypothèses!$D$6:$F$14,3,0))</f>
        <v>0</v>
      </c>
      <c r="AO39" s="1335">
        <f>IF(ISNA(M39*VLOOKUP($D39,Hypothèses!$D$6:$F$14,3,0)),0,M39*VLOOKUP($D39,Hypothèses!$D$6:$F$14,3,0))</f>
        <v>0</v>
      </c>
      <c r="AP39" s="1335">
        <f>IF(ISNA(N39*VLOOKUP($D39,Hypothèses!$D$6:$F$14,3,0)),0,N39*VLOOKUP($D39,Hypothèses!$D$6:$F$14,3,0))</f>
        <v>0</v>
      </c>
      <c r="AQ39" s="1335">
        <f>IF(ISNA(O39*VLOOKUP($D39,Hypothèses!$D$6:$F$14,3,0)),0,O39*VLOOKUP($D39,Hypothèses!$D$6:$F$14,3,0))</f>
        <v>0</v>
      </c>
      <c r="AR39" s="1335">
        <f>IF(ISNA(P39*VLOOKUP($D39,Hypothèses!$D$6:$F$14,3,0)),0,P39*VLOOKUP($D39,Hypothèses!$D$6:$F$14,3,0))</f>
        <v>0</v>
      </c>
      <c r="AS39" s="1335">
        <f>IF(ISNA(Q39*VLOOKUP($D39,Hypothèses!$D$6:$F$14,3,0)),0,Q39*VLOOKUP($D39,Hypothèses!$D$6:$F$14,3,0))</f>
        <v>0</v>
      </c>
      <c r="AT39" s="1335">
        <f>IF(ISNA(R39*VLOOKUP($D39,Hypothèses!$D$6:$F$14,3,0)),0,R39*VLOOKUP($D39,Hypothèses!$D$6:$F$14,3,0))</f>
        <v>0</v>
      </c>
      <c r="AU39" s="1335">
        <f>IF(ISNA(S39*VLOOKUP($D39,Hypothèses!$D$6:$F$14,3,0)),0,S39*VLOOKUP($D39,Hypothèses!$D$6:$F$14,3,0))</f>
        <v>0</v>
      </c>
      <c r="AV39" s="1335">
        <f>IF(ISNA(T39*VLOOKUP($D39,Hypothèses!$D$6:$F$14,3,0)),0,T39*VLOOKUP($D39,Hypothèses!$D$6:$F$14,3,0))</f>
        <v>0</v>
      </c>
      <c r="AW39" s="1335">
        <f>IF(ISNA(U39*VLOOKUP($D39,Hypothèses!$D$6:$F$14,3,0)),0,U39*VLOOKUP($D39,Hypothèses!$D$6:$F$14,3,0))</f>
        <v>0</v>
      </c>
      <c r="AX39" s="1335">
        <f>IF(ISNA(V39*VLOOKUP($D39,Hypothèses!$D$6:$F$14,3,0)),0,V39*VLOOKUP($D39,Hypothèses!$D$6:$F$14,3,0))</f>
        <v>0</v>
      </c>
      <c r="AY39" s="1335">
        <f>IF(ISNA(W39*VLOOKUP($D39,Hypothèses!$D$6:$F$14,3,0)),0,W39*VLOOKUP($D39,Hypothèses!$D$6:$F$14,3,0))</f>
        <v>0</v>
      </c>
      <c r="AZ39" s="1335">
        <f>IF(ISNA(X39*VLOOKUP($D39,Hypothèses!$D$6:$F$14,3,0)),0,X39*VLOOKUP($D39,Hypothèses!$D$6:$F$14,3,0))</f>
        <v>0</v>
      </c>
      <c r="BA39" s="1335">
        <f>IF(ISNA(Y39*VLOOKUP($D39,Hypothèses!$D$6:$F$14,3,0)),0,Y39*VLOOKUP($D39,Hypothèses!$D$6:$F$14,3,0))</f>
        <v>0</v>
      </c>
      <c r="BB39" s="1335">
        <f>IF(ISNA(Z39*VLOOKUP($D39,Hypothèses!$D$6:$F$14,3,0)),0,Z39*VLOOKUP($D39,Hypothèses!$D$6:$F$14,3,0))</f>
        <v>0</v>
      </c>
      <c r="BC39" s="1335">
        <f>IF(ISNA(AA39*VLOOKUP($D39,Hypothèses!$D$6:$F$14,3,0)),0,AA39*VLOOKUP($D39,Hypothèses!$D$6:$F$14,3,0))</f>
        <v>0</v>
      </c>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row>
    <row r="40" spans="1:89" s="3" customFormat="1">
      <c r="A40" s="1817">
        <v>33</v>
      </c>
      <c r="B40" s="1790"/>
      <c r="C40" s="1333"/>
      <c r="D40" s="1334"/>
      <c r="E40" s="1332" t="str">
        <f>IF(ISNA(VLOOKUP(D40,Hypothèses!$D$6:$G$16,4,0)),"",VLOOKUP(D40,Hypothèses!$D$6:$G$16,4,0))</f>
        <v/>
      </c>
      <c r="F40" s="1842"/>
      <c r="G40" s="1843"/>
      <c r="H40" s="1843"/>
      <c r="I40" s="1843"/>
      <c r="J40" s="1843"/>
      <c r="K40" s="1843"/>
      <c r="L40" s="1843"/>
      <c r="M40" s="1843"/>
      <c r="N40" s="1843"/>
      <c r="O40" s="1843"/>
      <c r="P40" s="1843"/>
      <c r="Q40" s="1843"/>
      <c r="R40" s="1843"/>
      <c r="S40" s="1843"/>
      <c r="T40" s="1843"/>
      <c r="U40" s="1843"/>
      <c r="V40" s="1843"/>
      <c r="W40" s="1843"/>
      <c r="X40" s="1843"/>
      <c r="Y40" s="1843"/>
      <c r="Z40" s="1843"/>
      <c r="AA40" s="1844"/>
      <c r="AB40" s="1335"/>
      <c r="AC40" s="1335"/>
      <c r="AD40" s="1335"/>
      <c r="AE40" s="1335"/>
      <c r="AF40" s="1335"/>
      <c r="AG40"/>
      <c r="AH40" s="1335">
        <f>IF(ISNA(F40*VLOOKUP($D40,Hypothèses!$D$6:$F$14,3,0)),0,F40*VLOOKUP($D40,Hypothèses!$D$6:$F$14,3,0))</f>
        <v>0</v>
      </c>
      <c r="AI40" s="1335">
        <f>IF(ISNA(G40*VLOOKUP($D40,Hypothèses!$D$6:$F$14,3,0)),0,G40*VLOOKUP($D40,Hypothèses!$D$6:$F$14,3,0))</f>
        <v>0</v>
      </c>
      <c r="AJ40" s="1335">
        <f>IF(ISNA(H40*VLOOKUP($D40,Hypothèses!$D$6:$F$14,3,0)),0,H40*VLOOKUP($D40,Hypothèses!$D$6:$F$14,3,0))</f>
        <v>0</v>
      </c>
      <c r="AK40" s="1335">
        <f>IF(ISNA(I40*VLOOKUP($D40,Hypothèses!$D$6:$F$14,3,0)),0,I40*VLOOKUP($D40,Hypothèses!$D$6:$F$14,3,0))</f>
        <v>0</v>
      </c>
      <c r="AL40" s="1335">
        <f>IF(ISNA(J40*VLOOKUP($D40,Hypothèses!$D$6:$F$14,3,0)),0,J40*VLOOKUP($D40,Hypothèses!$D$6:$F$14,3,0))</f>
        <v>0</v>
      </c>
      <c r="AM40" s="1335">
        <f>IF(ISNA(K40*VLOOKUP($D40,Hypothèses!$D$6:$F$14,3,0)),0,K40*VLOOKUP($D40,Hypothèses!$D$6:$F$14,3,0))</f>
        <v>0</v>
      </c>
      <c r="AN40" s="1335">
        <f>IF(ISNA(L40*VLOOKUP($D40,Hypothèses!$D$6:$F$14,3,0)),0,L40*VLOOKUP($D40,Hypothèses!$D$6:$F$14,3,0))</f>
        <v>0</v>
      </c>
      <c r="AO40" s="1335">
        <f>IF(ISNA(M40*VLOOKUP($D40,Hypothèses!$D$6:$F$14,3,0)),0,M40*VLOOKUP($D40,Hypothèses!$D$6:$F$14,3,0))</f>
        <v>0</v>
      </c>
      <c r="AP40" s="1335">
        <f>IF(ISNA(N40*VLOOKUP($D40,Hypothèses!$D$6:$F$14,3,0)),0,N40*VLOOKUP($D40,Hypothèses!$D$6:$F$14,3,0))</f>
        <v>0</v>
      </c>
      <c r="AQ40" s="1335">
        <f>IF(ISNA(O40*VLOOKUP($D40,Hypothèses!$D$6:$F$14,3,0)),0,O40*VLOOKUP($D40,Hypothèses!$D$6:$F$14,3,0))</f>
        <v>0</v>
      </c>
      <c r="AR40" s="1335">
        <f>IF(ISNA(P40*VLOOKUP($D40,Hypothèses!$D$6:$F$14,3,0)),0,P40*VLOOKUP($D40,Hypothèses!$D$6:$F$14,3,0))</f>
        <v>0</v>
      </c>
      <c r="AS40" s="1335">
        <f>IF(ISNA(Q40*VLOOKUP($D40,Hypothèses!$D$6:$F$14,3,0)),0,Q40*VLOOKUP($D40,Hypothèses!$D$6:$F$14,3,0))</f>
        <v>0</v>
      </c>
      <c r="AT40" s="1335">
        <f>IF(ISNA(R40*VLOOKUP($D40,Hypothèses!$D$6:$F$14,3,0)),0,R40*VLOOKUP($D40,Hypothèses!$D$6:$F$14,3,0))</f>
        <v>0</v>
      </c>
      <c r="AU40" s="1335">
        <f>IF(ISNA(S40*VLOOKUP($D40,Hypothèses!$D$6:$F$14,3,0)),0,S40*VLOOKUP($D40,Hypothèses!$D$6:$F$14,3,0))</f>
        <v>0</v>
      </c>
      <c r="AV40" s="1335">
        <f>IF(ISNA(T40*VLOOKUP($D40,Hypothèses!$D$6:$F$14,3,0)),0,T40*VLOOKUP($D40,Hypothèses!$D$6:$F$14,3,0))</f>
        <v>0</v>
      </c>
      <c r="AW40" s="1335">
        <f>IF(ISNA(U40*VLOOKUP($D40,Hypothèses!$D$6:$F$14,3,0)),0,U40*VLOOKUP($D40,Hypothèses!$D$6:$F$14,3,0))</f>
        <v>0</v>
      </c>
      <c r="AX40" s="1335">
        <f>IF(ISNA(V40*VLOOKUP($D40,Hypothèses!$D$6:$F$14,3,0)),0,V40*VLOOKUP($D40,Hypothèses!$D$6:$F$14,3,0))</f>
        <v>0</v>
      </c>
      <c r="AY40" s="1335">
        <f>IF(ISNA(W40*VLOOKUP($D40,Hypothèses!$D$6:$F$14,3,0)),0,W40*VLOOKUP($D40,Hypothèses!$D$6:$F$14,3,0))</f>
        <v>0</v>
      </c>
      <c r="AZ40" s="1335">
        <f>IF(ISNA(X40*VLOOKUP($D40,Hypothèses!$D$6:$F$14,3,0)),0,X40*VLOOKUP($D40,Hypothèses!$D$6:$F$14,3,0))</f>
        <v>0</v>
      </c>
      <c r="BA40" s="1335">
        <f>IF(ISNA(Y40*VLOOKUP($D40,Hypothèses!$D$6:$F$14,3,0)),0,Y40*VLOOKUP($D40,Hypothèses!$D$6:$F$14,3,0))</f>
        <v>0</v>
      </c>
      <c r="BB40" s="1335">
        <f>IF(ISNA(Z40*VLOOKUP($D40,Hypothèses!$D$6:$F$14,3,0)),0,Z40*VLOOKUP($D40,Hypothèses!$D$6:$F$14,3,0))</f>
        <v>0</v>
      </c>
      <c r="BC40" s="1335">
        <f>IF(ISNA(AA40*VLOOKUP($D40,Hypothèses!$D$6:$F$14,3,0)),0,AA40*VLOOKUP($D40,Hypothèses!$D$6:$F$14,3,0))</f>
        <v>0</v>
      </c>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row>
    <row r="41" spans="1:89" s="3" customFormat="1">
      <c r="A41" s="1817">
        <v>34</v>
      </c>
      <c r="B41" s="1790"/>
      <c r="C41" s="1333"/>
      <c r="D41" s="1334"/>
      <c r="E41" s="1332" t="str">
        <f>IF(ISNA(VLOOKUP(D41,Hypothèses!$D$6:$G$16,4,0)),"",VLOOKUP(D41,Hypothèses!$D$6:$G$16,4,0))</f>
        <v/>
      </c>
      <c r="F41" s="1842"/>
      <c r="G41" s="1843"/>
      <c r="H41" s="1843"/>
      <c r="I41" s="1843"/>
      <c r="J41" s="1843"/>
      <c r="K41" s="1843"/>
      <c r="L41" s="1843"/>
      <c r="M41" s="1843"/>
      <c r="N41" s="1843"/>
      <c r="O41" s="1843"/>
      <c r="P41" s="1843"/>
      <c r="Q41" s="1843"/>
      <c r="R41" s="1843"/>
      <c r="S41" s="1843"/>
      <c r="T41" s="1843"/>
      <c r="U41" s="1843"/>
      <c r="V41" s="1843"/>
      <c r="W41" s="1843"/>
      <c r="X41" s="1843"/>
      <c r="Y41" s="1843"/>
      <c r="Z41" s="1843"/>
      <c r="AA41" s="1844"/>
      <c r="AB41" s="1335"/>
      <c r="AC41" s="1335"/>
      <c r="AD41" s="1335"/>
      <c r="AE41" s="1335"/>
      <c r="AF41" s="1335"/>
      <c r="AG41"/>
      <c r="AH41" s="1335">
        <f>IF(ISNA(F41*VLOOKUP($D41,Hypothèses!$D$6:$F$14,3,0)),0,F41*VLOOKUP($D41,Hypothèses!$D$6:$F$14,3,0))</f>
        <v>0</v>
      </c>
      <c r="AI41" s="1335">
        <f>IF(ISNA(G41*VLOOKUP($D41,Hypothèses!$D$6:$F$14,3,0)),0,G41*VLOOKUP($D41,Hypothèses!$D$6:$F$14,3,0))</f>
        <v>0</v>
      </c>
      <c r="AJ41" s="1335">
        <f>IF(ISNA(H41*VLOOKUP($D41,Hypothèses!$D$6:$F$14,3,0)),0,H41*VLOOKUP($D41,Hypothèses!$D$6:$F$14,3,0))</f>
        <v>0</v>
      </c>
      <c r="AK41" s="1335">
        <f>IF(ISNA(I41*VLOOKUP($D41,Hypothèses!$D$6:$F$14,3,0)),0,I41*VLOOKUP($D41,Hypothèses!$D$6:$F$14,3,0))</f>
        <v>0</v>
      </c>
      <c r="AL41" s="1335">
        <f>IF(ISNA(J41*VLOOKUP($D41,Hypothèses!$D$6:$F$14,3,0)),0,J41*VLOOKUP($D41,Hypothèses!$D$6:$F$14,3,0))</f>
        <v>0</v>
      </c>
      <c r="AM41" s="1335">
        <f>IF(ISNA(K41*VLOOKUP($D41,Hypothèses!$D$6:$F$14,3,0)),0,K41*VLOOKUP($D41,Hypothèses!$D$6:$F$14,3,0))</f>
        <v>0</v>
      </c>
      <c r="AN41" s="1335">
        <f>IF(ISNA(L41*VLOOKUP($D41,Hypothèses!$D$6:$F$14,3,0)),0,L41*VLOOKUP($D41,Hypothèses!$D$6:$F$14,3,0))</f>
        <v>0</v>
      </c>
      <c r="AO41" s="1335">
        <f>IF(ISNA(M41*VLOOKUP($D41,Hypothèses!$D$6:$F$14,3,0)),0,M41*VLOOKUP($D41,Hypothèses!$D$6:$F$14,3,0))</f>
        <v>0</v>
      </c>
      <c r="AP41" s="1335">
        <f>IF(ISNA(N41*VLOOKUP($D41,Hypothèses!$D$6:$F$14,3,0)),0,N41*VLOOKUP($D41,Hypothèses!$D$6:$F$14,3,0))</f>
        <v>0</v>
      </c>
      <c r="AQ41" s="1335">
        <f>IF(ISNA(O41*VLOOKUP($D41,Hypothèses!$D$6:$F$14,3,0)),0,O41*VLOOKUP($D41,Hypothèses!$D$6:$F$14,3,0))</f>
        <v>0</v>
      </c>
      <c r="AR41" s="1335">
        <f>IF(ISNA(P41*VLOOKUP($D41,Hypothèses!$D$6:$F$14,3,0)),0,P41*VLOOKUP($D41,Hypothèses!$D$6:$F$14,3,0))</f>
        <v>0</v>
      </c>
      <c r="AS41" s="1335">
        <f>IF(ISNA(Q41*VLOOKUP($D41,Hypothèses!$D$6:$F$14,3,0)),0,Q41*VLOOKUP($D41,Hypothèses!$D$6:$F$14,3,0))</f>
        <v>0</v>
      </c>
      <c r="AT41" s="1335">
        <f>IF(ISNA(R41*VLOOKUP($D41,Hypothèses!$D$6:$F$14,3,0)),0,R41*VLOOKUP($D41,Hypothèses!$D$6:$F$14,3,0))</f>
        <v>0</v>
      </c>
      <c r="AU41" s="1335">
        <f>IF(ISNA(S41*VLOOKUP($D41,Hypothèses!$D$6:$F$14,3,0)),0,S41*VLOOKUP($D41,Hypothèses!$D$6:$F$14,3,0))</f>
        <v>0</v>
      </c>
      <c r="AV41" s="1335">
        <f>IF(ISNA(T41*VLOOKUP($D41,Hypothèses!$D$6:$F$14,3,0)),0,T41*VLOOKUP($D41,Hypothèses!$D$6:$F$14,3,0))</f>
        <v>0</v>
      </c>
      <c r="AW41" s="1335">
        <f>IF(ISNA(U41*VLOOKUP($D41,Hypothèses!$D$6:$F$14,3,0)),0,U41*VLOOKUP($D41,Hypothèses!$D$6:$F$14,3,0))</f>
        <v>0</v>
      </c>
      <c r="AX41" s="1335">
        <f>IF(ISNA(V41*VLOOKUP($D41,Hypothèses!$D$6:$F$14,3,0)),0,V41*VLOOKUP($D41,Hypothèses!$D$6:$F$14,3,0))</f>
        <v>0</v>
      </c>
      <c r="AY41" s="1335">
        <f>IF(ISNA(W41*VLOOKUP($D41,Hypothèses!$D$6:$F$14,3,0)),0,W41*VLOOKUP($D41,Hypothèses!$D$6:$F$14,3,0))</f>
        <v>0</v>
      </c>
      <c r="AZ41" s="1335">
        <f>IF(ISNA(X41*VLOOKUP($D41,Hypothèses!$D$6:$F$14,3,0)),0,X41*VLOOKUP($D41,Hypothèses!$D$6:$F$14,3,0))</f>
        <v>0</v>
      </c>
      <c r="BA41" s="1335">
        <f>IF(ISNA(Y41*VLOOKUP($D41,Hypothèses!$D$6:$F$14,3,0)),0,Y41*VLOOKUP($D41,Hypothèses!$D$6:$F$14,3,0))</f>
        <v>0</v>
      </c>
      <c r="BB41" s="1335">
        <f>IF(ISNA(Z41*VLOOKUP($D41,Hypothèses!$D$6:$F$14,3,0)),0,Z41*VLOOKUP($D41,Hypothèses!$D$6:$F$14,3,0))</f>
        <v>0</v>
      </c>
      <c r="BC41" s="1335">
        <f>IF(ISNA(AA41*VLOOKUP($D41,Hypothèses!$D$6:$F$14,3,0)),0,AA41*VLOOKUP($D41,Hypothèses!$D$6:$F$14,3,0))</f>
        <v>0</v>
      </c>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row>
    <row r="42" spans="1:89" s="3" customFormat="1">
      <c r="A42" s="1817">
        <v>35</v>
      </c>
      <c r="B42" s="1790"/>
      <c r="C42" s="1333"/>
      <c r="D42" s="1334"/>
      <c r="E42" s="1332" t="str">
        <f>IF(ISNA(VLOOKUP(D42,Hypothèses!$D$6:$G$16,4,0)),"",VLOOKUP(D42,Hypothèses!$D$6:$G$16,4,0))</f>
        <v/>
      </c>
      <c r="F42" s="1842"/>
      <c r="G42" s="1843"/>
      <c r="H42" s="1843"/>
      <c r="I42" s="1843"/>
      <c r="J42" s="1843"/>
      <c r="K42" s="1843"/>
      <c r="L42" s="1843"/>
      <c r="M42" s="1843"/>
      <c r="N42" s="1843"/>
      <c r="O42" s="1843"/>
      <c r="P42" s="1843"/>
      <c r="Q42" s="1843"/>
      <c r="R42" s="1843"/>
      <c r="S42" s="1843"/>
      <c r="T42" s="1843"/>
      <c r="U42" s="1843"/>
      <c r="V42" s="1843"/>
      <c r="W42" s="1843"/>
      <c r="X42" s="1843"/>
      <c r="Y42" s="1843"/>
      <c r="Z42" s="1843"/>
      <c r="AA42" s="1844"/>
      <c r="AB42" s="1335"/>
      <c r="AC42" s="1335"/>
      <c r="AD42" s="1335"/>
      <c r="AE42" s="1335"/>
      <c r="AF42" s="1335"/>
      <c r="AG42"/>
      <c r="AH42" s="1335">
        <f>IF(ISNA(F42*VLOOKUP($D42,Hypothèses!$D$6:$F$14,3,0)),0,F42*VLOOKUP($D42,Hypothèses!$D$6:$F$14,3,0))</f>
        <v>0</v>
      </c>
      <c r="AI42" s="1335">
        <f>IF(ISNA(G42*VLOOKUP($D42,Hypothèses!$D$6:$F$14,3,0)),0,G42*VLOOKUP($D42,Hypothèses!$D$6:$F$14,3,0))</f>
        <v>0</v>
      </c>
      <c r="AJ42" s="1335">
        <f>IF(ISNA(H42*VLOOKUP($D42,Hypothèses!$D$6:$F$14,3,0)),0,H42*VLOOKUP($D42,Hypothèses!$D$6:$F$14,3,0))</f>
        <v>0</v>
      </c>
      <c r="AK42" s="1335">
        <f>IF(ISNA(I42*VLOOKUP($D42,Hypothèses!$D$6:$F$14,3,0)),0,I42*VLOOKUP($D42,Hypothèses!$D$6:$F$14,3,0))</f>
        <v>0</v>
      </c>
      <c r="AL42" s="1335">
        <f>IF(ISNA(J42*VLOOKUP($D42,Hypothèses!$D$6:$F$14,3,0)),0,J42*VLOOKUP($D42,Hypothèses!$D$6:$F$14,3,0))</f>
        <v>0</v>
      </c>
      <c r="AM42" s="1335">
        <f>IF(ISNA(K42*VLOOKUP($D42,Hypothèses!$D$6:$F$14,3,0)),0,K42*VLOOKUP($D42,Hypothèses!$D$6:$F$14,3,0))</f>
        <v>0</v>
      </c>
      <c r="AN42" s="1335">
        <f>IF(ISNA(L42*VLOOKUP($D42,Hypothèses!$D$6:$F$14,3,0)),0,L42*VLOOKUP($D42,Hypothèses!$D$6:$F$14,3,0))</f>
        <v>0</v>
      </c>
      <c r="AO42" s="1335">
        <f>IF(ISNA(M42*VLOOKUP($D42,Hypothèses!$D$6:$F$14,3,0)),0,M42*VLOOKUP($D42,Hypothèses!$D$6:$F$14,3,0))</f>
        <v>0</v>
      </c>
      <c r="AP42" s="1335">
        <f>IF(ISNA(N42*VLOOKUP($D42,Hypothèses!$D$6:$F$14,3,0)),0,N42*VLOOKUP($D42,Hypothèses!$D$6:$F$14,3,0))</f>
        <v>0</v>
      </c>
      <c r="AQ42" s="1335">
        <f>IF(ISNA(O42*VLOOKUP($D42,Hypothèses!$D$6:$F$14,3,0)),0,O42*VLOOKUP($D42,Hypothèses!$D$6:$F$14,3,0))</f>
        <v>0</v>
      </c>
      <c r="AR42" s="1335">
        <f>IF(ISNA(P42*VLOOKUP($D42,Hypothèses!$D$6:$F$14,3,0)),0,P42*VLOOKUP($D42,Hypothèses!$D$6:$F$14,3,0))</f>
        <v>0</v>
      </c>
      <c r="AS42" s="1335">
        <f>IF(ISNA(Q42*VLOOKUP($D42,Hypothèses!$D$6:$F$14,3,0)),0,Q42*VLOOKUP($D42,Hypothèses!$D$6:$F$14,3,0))</f>
        <v>0</v>
      </c>
      <c r="AT42" s="1335">
        <f>IF(ISNA(R42*VLOOKUP($D42,Hypothèses!$D$6:$F$14,3,0)),0,R42*VLOOKUP($D42,Hypothèses!$D$6:$F$14,3,0))</f>
        <v>0</v>
      </c>
      <c r="AU42" s="1335">
        <f>IF(ISNA(S42*VLOOKUP($D42,Hypothèses!$D$6:$F$14,3,0)),0,S42*VLOOKUP($D42,Hypothèses!$D$6:$F$14,3,0))</f>
        <v>0</v>
      </c>
      <c r="AV42" s="1335">
        <f>IF(ISNA(T42*VLOOKUP($D42,Hypothèses!$D$6:$F$14,3,0)),0,T42*VLOOKUP($D42,Hypothèses!$D$6:$F$14,3,0))</f>
        <v>0</v>
      </c>
      <c r="AW42" s="1335">
        <f>IF(ISNA(U42*VLOOKUP($D42,Hypothèses!$D$6:$F$14,3,0)),0,U42*VLOOKUP($D42,Hypothèses!$D$6:$F$14,3,0))</f>
        <v>0</v>
      </c>
      <c r="AX42" s="1335">
        <f>IF(ISNA(V42*VLOOKUP($D42,Hypothèses!$D$6:$F$14,3,0)),0,V42*VLOOKUP($D42,Hypothèses!$D$6:$F$14,3,0))</f>
        <v>0</v>
      </c>
      <c r="AY42" s="1335">
        <f>IF(ISNA(W42*VLOOKUP($D42,Hypothèses!$D$6:$F$14,3,0)),0,W42*VLOOKUP($D42,Hypothèses!$D$6:$F$14,3,0))</f>
        <v>0</v>
      </c>
      <c r="AZ42" s="1335">
        <f>IF(ISNA(X42*VLOOKUP($D42,Hypothèses!$D$6:$F$14,3,0)),0,X42*VLOOKUP($D42,Hypothèses!$D$6:$F$14,3,0))</f>
        <v>0</v>
      </c>
      <c r="BA42" s="1335">
        <f>IF(ISNA(Y42*VLOOKUP($D42,Hypothèses!$D$6:$F$14,3,0)),0,Y42*VLOOKUP($D42,Hypothèses!$D$6:$F$14,3,0))</f>
        <v>0</v>
      </c>
      <c r="BB42" s="1335">
        <f>IF(ISNA(Z42*VLOOKUP($D42,Hypothèses!$D$6:$F$14,3,0)),0,Z42*VLOOKUP($D42,Hypothèses!$D$6:$F$14,3,0))</f>
        <v>0</v>
      </c>
      <c r="BC42" s="1335">
        <f>IF(ISNA(AA42*VLOOKUP($D42,Hypothèses!$D$6:$F$14,3,0)),0,AA42*VLOOKUP($D42,Hypothèses!$D$6:$F$14,3,0))</f>
        <v>0</v>
      </c>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row>
    <row r="43" spans="1:89" s="3" customFormat="1">
      <c r="A43" s="1817">
        <v>36</v>
      </c>
      <c r="B43" s="1790"/>
      <c r="C43" s="1333"/>
      <c r="D43" s="1334"/>
      <c r="E43" s="1332" t="str">
        <f>IF(ISNA(VLOOKUP(D43,Hypothèses!$D$6:$G$16,4,0)),"",VLOOKUP(D43,Hypothèses!$D$6:$G$16,4,0))</f>
        <v/>
      </c>
      <c r="F43" s="1842"/>
      <c r="G43" s="1843"/>
      <c r="H43" s="1843"/>
      <c r="I43" s="1843"/>
      <c r="J43" s="1843"/>
      <c r="K43" s="1843"/>
      <c r="L43" s="1843"/>
      <c r="M43" s="1843"/>
      <c r="N43" s="1843"/>
      <c r="O43" s="1843"/>
      <c r="P43" s="1843"/>
      <c r="Q43" s="1843"/>
      <c r="R43" s="1843"/>
      <c r="S43" s="1843"/>
      <c r="T43" s="1843"/>
      <c r="U43" s="1843"/>
      <c r="V43" s="1843"/>
      <c r="W43" s="1843"/>
      <c r="X43" s="1843"/>
      <c r="Y43" s="1843"/>
      <c r="Z43" s="1843"/>
      <c r="AA43" s="1844"/>
      <c r="AB43" s="1335"/>
      <c r="AC43" s="1335"/>
      <c r="AD43" s="1335"/>
      <c r="AE43" s="1335"/>
      <c r="AF43" s="1335"/>
      <c r="AG43"/>
      <c r="AH43" s="1335">
        <f>IF(ISNA(F43*VLOOKUP($D43,Hypothèses!$D$6:$F$14,3,0)),0,F43*VLOOKUP($D43,Hypothèses!$D$6:$F$14,3,0))</f>
        <v>0</v>
      </c>
      <c r="AI43" s="1335">
        <f>IF(ISNA(G43*VLOOKUP($D43,Hypothèses!$D$6:$F$14,3,0)),0,G43*VLOOKUP($D43,Hypothèses!$D$6:$F$14,3,0))</f>
        <v>0</v>
      </c>
      <c r="AJ43" s="1335">
        <f>IF(ISNA(H43*VLOOKUP($D43,Hypothèses!$D$6:$F$14,3,0)),0,H43*VLOOKUP($D43,Hypothèses!$D$6:$F$14,3,0))</f>
        <v>0</v>
      </c>
      <c r="AK43" s="1335">
        <f>IF(ISNA(I43*VLOOKUP($D43,Hypothèses!$D$6:$F$14,3,0)),0,I43*VLOOKUP($D43,Hypothèses!$D$6:$F$14,3,0))</f>
        <v>0</v>
      </c>
      <c r="AL43" s="1335">
        <f>IF(ISNA(J43*VLOOKUP($D43,Hypothèses!$D$6:$F$14,3,0)),0,J43*VLOOKUP($D43,Hypothèses!$D$6:$F$14,3,0))</f>
        <v>0</v>
      </c>
      <c r="AM43" s="1335">
        <f>IF(ISNA(K43*VLOOKUP($D43,Hypothèses!$D$6:$F$14,3,0)),0,K43*VLOOKUP($D43,Hypothèses!$D$6:$F$14,3,0))</f>
        <v>0</v>
      </c>
      <c r="AN43" s="1335">
        <f>IF(ISNA(L43*VLOOKUP($D43,Hypothèses!$D$6:$F$14,3,0)),0,L43*VLOOKUP($D43,Hypothèses!$D$6:$F$14,3,0))</f>
        <v>0</v>
      </c>
      <c r="AO43" s="1335">
        <f>IF(ISNA(M43*VLOOKUP($D43,Hypothèses!$D$6:$F$14,3,0)),0,M43*VLOOKUP($D43,Hypothèses!$D$6:$F$14,3,0))</f>
        <v>0</v>
      </c>
      <c r="AP43" s="1335">
        <f>IF(ISNA(N43*VLOOKUP($D43,Hypothèses!$D$6:$F$14,3,0)),0,N43*VLOOKUP($D43,Hypothèses!$D$6:$F$14,3,0))</f>
        <v>0</v>
      </c>
      <c r="AQ43" s="1335">
        <f>IF(ISNA(O43*VLOOKUP($D43,Hypothèses!$D$6:$F$14,3,0)),0,O43*VLOOKUP($D43,Hypothèses!$D$6:$F$14,3,0))</f>
        <v>0</v>
      </c>
      <c r="AR43" s="1335">
        <f>IF(ISNA(P43*VLOOKUP($D43,Hypothèses!$D$6:$F$14,3,0)),0,P43*VLOOKUP($D43,Hypothèses!$D$6:$F$14,3,0))</f>
        <v>0</v>
      </c>
      <c r="AS43" s="1335">
        <f>IF(ISNA(Q43*VLOOKUP($D43,Hypothèses!$D$6:$F$14,3,0)),0,Q43*VLOOKUP($D43,Hypothèses!$D$6:$F$14,3,0))</f>
        <v>0</v>
      </c>
      <c r="AT43" s="1335">
        <f>IF(ISNA(R43*VLOOKUP($D43,Hypothèses!$D$6:$F$14,3,0)),0,R43*VLOOKUP($D43,Hypothèses!$D$6:$F$14,3,0))</f>
        <v>0</v>
      </c>
      <c r="AU43" s="1335">
        <f>IF(ISNA(S43*VLOOKUP($D43,Hypothèses!$D$6:$F$14,3,0)),0,S43*VLOOKUP($D43,Hypothèses!$D$6:$F$14,3,0))</f>
        <v>0</v>
      </c>
      <c r="AV43" s="1335">
        <f>IF(ISNA(T43*VLOOKUP($D43,Hypothèses!$D$6:$F$14,3,0)),0,T43*VLOOKUP($D43,Hypothèses!$D$6:$F$14,3,0))</f>
        <v>0</v>
      </c>
      <c r="AW43" s="1335">
        <f>IF(ISNA(U43*VLOOKUP($D43,Hypothèses!$D$6:$F$14,3,0)),0,U43*VLOOKUP($D43,Hypothèses!$D$6:$F$14,3,0))</f>
        <v>0</v>
      </c>
      <c r="AX43" s="1335">
        <f>IF(ISNA(V43*VLOOKUP($D43,Hypothèses!$D$6:$F$14,3,0)),0,V43*VLOOKUP($D43,Hypothèses!$D$6:$F$14,3,0))</f>
        <v>0</v>
      </c>
      <c r="AY43" s="1335">
        <f>IF(ISNA(W43*VLOOKUP($D43,Hypothèses!$D$6:$F$14,3,0)),0,W43*VLOOKUP($D43,Hypothèses!$D$6:$F$14,3,0))</f>
        <v>0</v>
      </c>
      <c r="AZ43" s="1335">
        <f>IF(ISNA(X43*VLOOKUP($D43,Hypothèses!$D$6:$F$14,3,0)),0,X43*VLOOKUP($D43,Hypothèses!$D$6:$F$14,3,0))</f>
        <v>0</v>
      </c>
      <c r="BA43" s="1335">
        <f>IF(ISNA(Y43*VLOOKUP($D43,Hypothèses!$D$6:$F$14,3,0)),0,Y43*VLOOKUP($D43,Hypothèses!$D$6:$F$14,3,0))</f>
        <v>0</v>
      </c>
      <c r="BB43" s="1335">
        <f>IF(ISNA(Z43*VLOOKUP($D43,Hypothèses!$D$6:$F$14,3,0)),0,Z43*VLOOKUP($D43,Hypothèses!$D$6:$F$14,3,0))</f>
        <v>0</v>
      </c>
      <c r="BC43" s="1335">
        <f>IF(ISNA(AA43*VLOOKUP($D43,Hypothèses!$D$6:$F$14,3,0)),0,AA43*VLOOKUP($D43,Hypothèses!$D$6:$F$14,3,0))</f>
        <v>0</v>
      </c>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row>
    <row r="44" spans="1:89" s="3" customFormat="1">
      <c r="A44" s="1817">
        <v>37</v>
      </c>
      <c r="B44" s="1790"/>
      <c r="C44" s="1333"/>
      <c r="D44" s="1334"/>
      <c r="E44" s="1332" t="str">
        <f>IF(ISNA(VLOOKUP(D44,Hypothèses!$D$6:$G$16,4,0)),"",VLOOKUP(D44,Hypothèses!$D$6:$G$16,4,0))</f>
        <v/>
      </c>
      <c r="F44" s="1842"/>
      <c r="G44" s="1843"/>
      <c r="H44" s="1843"/>
      <c r="I44" s="1843"/>
      <c r="J44" s="1843"/>
      <c r="K44" s="1843"/>
      <c r="L44" s="1843"/>
      <c r="M44" s="1843"/>
      <c r="N44" s="1843"/>
      <c r="O44" s="1843"/>
      <c r="P44" s="1843"/>
      <c r="Q44" s="1843"/>
      <c r="R44" s="1843"/>
      <c r="S44" s="1843"/>
      <c r="T44" s="1843"/>
      <c r="U44" s="1843"/>
      <c r="V44" s="1843"/>
      <c r="W44" s="1843"/>
      <c r="X44" s="1843"/>
      <c r="Y44" s="1843"/>
      <c r="Z44" s="1843"/>
      <c r="AA44" s="1844"/>
      <c r="AB44" s="1335"/>
      <c r="AC44" s="1335"/>
      <c r="AD44" s="1335"/>
      <c r="AE44" s="1335"/>
      <c r="AF44" s="1335"/>
      <c r="AG44"/>
      <c r="AH44" s="1335">
        <f>IF(ISNA(F44*VLOOKUP($D44,Hypothèses!$D$6:$F$14,3,0)),0,F44*VLOOKUP($D44,Hypothèses!$D$6:$F$14,3,0))</f>
        <v>0</v>
      </c>
      <c r="AI44" s="1335">
        <f>IF(ISNA(G44*VLOOKUP($D44,Hypothèses!$D$6:$F$14,3,0)),0,G44*VLOOKUP($D44,Hypothèses!$D$6:$F$14,3,0))</f>
        <v>0</v>
      </c>
      <c r="AJ44" s="1335">
        <f>IF(ISNA(H44*VLOOKUP($D44,Hypothèses!$D$6:$F$14,3,0)),0,H44*VLOOKUP($D44,Hypothèses!$D$6:$F$14,3,0))</f>
        <v>0</v>
      </c>
      <c r="AK44" s="1335">
        <f>IF(ISNA(I44*VLOOKUP($D44,Hypothèses!$D$6:$F$14,3,0)),0,I44*VLOOKUP($D44,Hypothèses!$D$6:$F$14,3,0))</f>
        <v>0</v>
      </c>
      <c r="AL44" s="1335">
        <f>IF(ISNA(J44*VLOOKUP($D44,Hypothèses!$D$6:$F$14,3,0)),0,J44*VLOOKUP($D44,Hypothèses!$D$6:$F$14,3,0))</f>
        <v>0</v>
      </c>
      <c r="AM44" s="1335">
        <f>IF(ISNA(K44*VLOOKUP($D44,Hypothèses!$D$6:$F$14,3,0)),0,K44*VLOOKUP($D44,Hypothèses!$D$6:$F$14,3,0))</f>
        <v>0</v>
      </c>
      <c r="AN44" s="1335">
        <f>IF(ISNA(L44*VLOOKUP($D44,Hypothèses!$D$6:$F$14,3,0)),0,L44*VLOOKUP($D44,Hypothèses!$D$6:$F$14,3,0))</f>
        <v>0</v>
      </c>
      <c r="AO44" s="1335">
        <f>IF(ISNA(M44*VLOOKUP($D44,Hypothèses!$D$6:$F$14,3,0)),0,M44*VLOOKUP($D44,Hypothèses!$D$6:$F$14,3,0))</f>
        <v>0</v>
      </c>
      <c r="AP44" s="1335">
        <f>IF(ISNA(N44*VLOOKUP($D44,Hypothèses!$D$6:$F$14,3,0)),0,N44*VLOOKUP($D44,Hypothèses!$D$6:$F$14,3,0))</f>
        <v>0</v>
      </c>
      <c r="AQ44" s="1335">
        <f>IF(ISNA(O44*VLOOKUP($D44,Hypothèses!$D$6:$F$14,3,0)),0,O44*VLOOKUP($D44,Hypothèses!$D$6:$F$14,3,0))</f>
        <v>0</v>
      </c>
      <c r="AR44" s="1335">
        <f>IF(ISNA(P44*VLOOKUP($D44,Hypothèses!$D$6:$F$14,3,0)),0,P44*VLOOKUP($D44,Hypothèses!$D$6:$F$14,3,0))</f>
        <v>0</v>
      </c>
      <c r="AS44" s="1335">
        <f>IF(ISNA(Q44*VLOOKUP($D44,Hypothèses!$D$6:$F$14,3,0)),0,Q44*VLOOKUP($D44,Hypothèses!$D$6:$F$14,3,0))</f>
        <v>0</v>
      </c>
      <c r="AT44" s="1335">
        <f>IF(ISNA(R44*VLOOKUP($D44,Hypothèses!$D$6:$F$14,3,0)),0,R44*VLOOKUP($D44,Hypothèses!$D$6:$F$14,3,0))</f>
        <v>0</v>
      </c>
      <c r="AU44" s="1335">
        <f>IF(ISNA(S44*VLOOKUP($D44,Hypothèses!$D$6:$F$14,3,0)),0,S44*VLOOKUP($D44,Hypothèses!$D$6:$F$14,3,0))</f>
        <v>0</v>
      </c>
      <c r="AV44" s="1335">
        <f>IF(ISNA(T44*VLOOKUP($D44,Hypothèses!$D$6:$F$14,3,0)),0,T44*VLOOKUP($D44,Hypothèses!$D$6:$F$14,3,0))</f>
        <v>0</v>
      </c>
      <c r="AW44" s="1335">
        <f>IF(ISNA(U44*VLOOKUP($D44,Hypothèses!$D$6:$F$14,3,0)),0,U44*VLOOKUP($D44,Hypothèses!$D$6:$F$14,3,0))</f>
        <v>0</v>
      </c>
      <c r="AX44" s="1335">
        <f>IF(ISNA(V44*VLOOKUP($D44,Hypothèses!$D$6:$F$14,3,0)),0,V44*VLOOKUP($D44,Hypothèses!$D$6:$F$14,3,0))</f>
        <v>0</v>
      </c>
      <c r="AY44" s="1335">
        <f>IF(ISNA(W44*VLOOKUP($D44,Hypothèses!$D$6:$F$14,3,0)),0,W44*VLOOKUP($D44,Hypothèses!$D$6:$F$14,3,0))</f>
        <v>0</v>
      </c>
      <c r="AZ44" s="1335">
        <f>IF(ISNA(X44*VLOOKUP($D44,Hypothèses!$D$6:$F$14,3,0)),0,X44*VLOOKUP($D44,Hypothèses!$D$6:$F$14,3,0))</f>
        <v>0</v>
      </c>
      <c r="BA44" s="1335">
        <f>IF(ISNA(Y44*VLOOKUP($D44,Hypothèses!$D$6:$F$14,3,0)),0,Y44*VLOOKUP($D44,Hypothèses!$D$6:$F$14,3,0))</f>
        <v>0</v>
      </c>
      <c r="BB44" s="1335">
        <f>IF(ISNA(Z44*VLOOKUP($D44,Hypothèses!$D$6:$F$14,3,0)),0,Z44*VLOOKUP($D44,Hypothèses!$D$6:$F$14,3,0))</f>
        <v>0</v>
      </c>
      <c r="BC44" s="1335">
        <f>IF(ISNA(AA44*VLOOKUP($D44,Hypothèses!$D$6:$F$14,3,0)),0,AA44*VLOOKUP($D44,Hypothèses!$D$6:$F$14,3,0))</f>
        <v>0</v>
      </c>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row>
    <row r="45" spans="1:89" s="3" customFormat="1">
      <c r="A45" s="1817">
        <v>38</v>
      </c>
      <c r="B45" s="1790"/>
      <c r="C45" s="1333"/>
      <c r="D45" s="1334"/>
      <c r="E45" s="1332" t="str">
        <f>IF(ISNA(VLOOKUP(D45,Hypothèses!$D$6:$G$16,4,0)),"",VLOOKUP(D45,Hypothèses!$D$6:$G$16,4,0))</f>
        <v/>
      </c>
      <c r="F45" s="1842"/>
      <c r="G45" s="1843"/>
      <c r="H45" s="1843"/>
      <c r="I45" s="1843"/>
      <c r="J45" s="1843"/>
      <c r="K45" s="1843"/>
      <c r="L45" s="1843"/>
      <c r="M45" s="1843"/>
      <c r="N45" s="1843"/>
      <c r="O45" s="1843"/>
      <c r="P45" s="1843"/>
      <c r="Q45" s="1843"/>
      <c r="R45" s="1843"/>
      <c r="S45" s="1843"/>
      <c r="T45" s="1843"/>
      <c r="U45" s="1843"/>
      <c r="V45" s="1843"/>
      <c r="W45" s="1843"/>
      <c r="X45" s="1843"/>
      <c r="Y45" s="1843"/>
      <c r="Z45" s="1843"/>
      <c r="AA45" s="1844"/>
      <c r="AB45" s="1335"/>
      <c r="AC45" s="1335"/>
      <c r="AD45" s="1335"/>
      <c r="AE45" s="1335"/>
      <c r="AF45" s="1335"/>
      <c r="AG45"/>
      <c r="AH45" s="1335">
        <f>IF(ISNA(F45*VLOOKUP($D45,Hypothèses!$D$6:$F$14,3,0)),0,F45*VLOOKUP($D45,Hypothèses!$D$6:$F$14,3,0))</f>
        <v>0</v>
      </c>
      <c r="AI45" s="1335">
        <f>IF(ISNA(G45*VLOOKUP($D45,Hypothèses!$D$6:$F$14,3,0)),0,G45*VLOOKUP($D45,Hypothèses!$D$6:$F$14,3,0))</f>
        <v>0</v>
      </c>
      <c r="AJ45" s="1335">
        <f>IF(ISNA(H45*VLOOKUP($D45,Hypothèses!$D$6:$F$14,3,0)),0,H45*VLOOKUP($D45,Hypothèses!$D$6:$F$14,3,0))</f>
        <v>0</v>
      </c>
      <c r="AK45" s="1335">
        <f>IF(ISNA(I45*VLOOKUP($D45,Hypothèses!$D$6:$F$14,3,0)),0,I45*VLOOKUP($D45,Hypothèses!$D$6:$F$14,3,0))</f>
        <v>0</v>
      </c>
      <c r="AL45" s="1335">
        <f>IF(ISNA(J45*VLOOKUP($D45,Hypothèses!$D$6:$F$14,3,0)),0,J45*VLOOKUP($D45,Hypothèses!$D$6:$F$14,3,0))</f>
        <v>0</v>
      </c>
      <c r="AM45" s="1335">
        <f>IF(ISNA(K45*VLOOKUP($D45,Hypothèses!$D$6:$F$14,3,0)),0,K45*VLOOKUP($D45,Hypothèses!$D$6:$F$14,3,0))</f>
        <v>0</v>
      </c>
      <c r="AN45" s="1335">
        <f>IF(ISNA(L45*VLOOKUP($D45,Hypothèses!$D$6:$F$14,3,0)),0,L45*VLOOKUP($D45,Hypothèses!$D$6:$F$14,3,0))</f>
        <v>0</v>
      </c>
      <c r="AO45" s="1335">
        <f>IF(ISNA(M45*VLOOKUP($D45,Hypothèses!$D$6:$F$14,3,0)),0,M45*VLOOKUP($D45,Hypothèses!$D$6:$F$14,3,0))</f>
        <v>0</v>
      </c>
      <c r="AP45" s="1335">
        <f>IF(ISNA(N45*VLOOKUP($D45,Hypothèses!$D$6:$F$14,3,0)),0,N45*VLOOKUP($D45,Hypothèses!$D$6:$F$14,3,0))</f>
        <v>0</v>
      </c>
      <c r="AQ45" s="1335">
        <f>IF(ISNA(O45*VLOOKUP($D45,Hypothèses!$D$6:$F$14,3,0)),0,O45*VLOOKUP($D45,Hypothèses!$D$6:$F$14,3,0))</f>
        <v>0</v>
      </c>
      <c r="AR45" s="1335">
        <f>IF(ISNA(P45*VLOOKUP($D45,Hypothèses!$D$6:$F$14,3,0)),0,P45*VLOOKUP($D45,Hypothèses!$D$6:$F$14,3,0))</f>
        <v>0</v>
      </c>
      <c r="AS45" s="1335">
        <f>IF(ISNA(Q45*VLOOKUP($D45,Hypothèses!$D$6:$F$14,3,0)),0,Q45*VLOOKUP($D45,Hypothèses!$D$6:$F$14,3,0))</f>
        <v>0</v>
      </c>
      <c r="AT45" s="1335">
        <f>IF(ISNA(R45*VLOOKUP($D45,Hypothèses!$D$6:$F$14,3,0)),0,R45*VLOOKUP($D45,Hypothèses!$D$6:$F$14,3,0))</f>
        <v>0</v>
      </c>
      <c r="AU45" s="1335">
        <f>IF(ISNA(S45*VLOOKUP($D45,Hypothèses!$D$6:$F$14,3,0)),0,S45*VLOOKUP($D45,Hypothèses!$D$6:$F$14,3,0))</f>
        <v>0</v>
      </c>
      <c r="AV45" s="1335">
        <f>IF(ISNA(T45*VLOOKUP($D45,Hypothèses!$D$6:$F$14,3,0)),0,T45*VLOOKUP($D45,Hypothèses!$D$6:$F$14,3,0))</f>
        <v>0</v>
      </c>
      <c r="AW45" s="1335">
        <f>IF(ISNA(U45*VLOOKUP($D45,Hypothèses!$D$6:$F$14,3,0)),0,U45*VLOOKUP($D45,Hypothèses!$D$6:$F$14,3,0))</f>
        <v>0</v>
      </c>
      <c r="AX45" s="1335">
        <f>IF(ISNA(V45*VLOOKUP($D45,Hypothèses!$D$6:$F$14,3,0)),0,V45*VLOOKUP($D45,Hypothèses!$D$6:$F$14,3,0))</f>
        <v>0</v>
      </c>
      <c r="AY45" s="1335">
        <f>IF(ISNA(W45*VLOOKUP($D45,Hypothèses!$D$6:$F$14,3,0)),0,W45*VLOOKUP($D45,Hypothèses!$D$6:$F$14,3,0))</f>
        <v>0</v>
      </c>
      <c r="AZ45" s="1335">
        <f>IF(ISNA(X45*VLOOKUP($D45,Hypothèses!$D$6:$F$14,3,0)),0,X45*VLOOKUP($D45,Hypothèses!$D$6:$F$14,3,0))</f>
        <v>0</v>
      </c>
      <c r="BA45" s="1335">
        <f>IF(ISNA(Y45*VLOOKUP($D45,Hypothèses!$D$6:$F$14,3,0)),0,Y45*VLOOKUP($D45,Hypothèses!$D$6:$F$14,3,0))</f>
        <v>0</v>
      </c>
      <c r="BB45" s="1335">
        <f>IF(ISNA(Z45*VLOOKUP($D45,Hypothèses!$D$6:$F$14,3,0)),0,Z45*VLOOKUP($D45,Hypothèses!$D$6:$F$14,3,0))</f>
        <v>0</v>
      </c>
      <c r="BC45" s="1335">
        <f>IF(ISNA(AA45*VLOOKUP($D45,Hypothèses!$D$6:$F$14,3,0)),0,AA45*VLOOKUP($D45,Hypothèses!$D$6:$F$14,3,0))</f>
        <v>0</v>
      </c>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row>
    <row r="46" spans="1:89" s="3" customFormat="1">
      <c r="A46" s="1817">
        <v>39</v>
      </c>
      <c r="B46" s="1790"/>
      <c r="C46" s="1333"/>
      <c r="D46" s="1334"/>
      <c r="E46" s="1332" t="str">
        <f>IF(ISNA(VLOOKUP(D46,Hypothèses!$D$6:$G$16,4,0)),"",VLOOKUP(D46,Hypothèses!$D$6:$G$16,4,0))</f>
        <v/>
      </c>
      <c r="F46" s="1842"/>
      <c r="G46" s="1843"/>
      <c r="H46" s="1843"/>
      <c r="I46" s="1843"/>
      <c r="J46" s="1843"/>
      <c r="K46" s="1843"/>
      <c r="L46" s="1843"/>
      <c r="M46" s="1843"/>
      <c r="N46" s="1843"/>
      <c r="O46" s="1843"/>
      <c r="P46" s="1843"/>
      <c r="Q46" s="1843"/>
      <c r="R46" s="1843"/>
      <c r="S46" s="1843"/>
      <c r="T46" s="1843"/>
      <c r="U46" s="1843"/>
      <c r="V46" s="1843"/>
      <c r="W46" s="1843"/>
      <c r="X46" s="1843"/>
      <c r="Y46" s="1843"/>
      <c r="Z46" s="1843"/>
      <c r="AA46" s="1844"/>
      <c r="AB46" s="1335"/>
      <c r="AC46" s="1335"/>
      <c r="AD46" s="1335"/>
      <c r="AE46" s="1335"/>
      <c r="AF46" s="1335"/>
      <c r="AG46"/>
      <c r="AH46" s="1335">
        <f>IF(ISNA(F46*VLOOKUP($D46,Hypothèses!$D$6:$F$14,3,0)),0,F46*VLOOKUP($D46,Hypothèses!$D$6:$F$14,3,0))</f>
        <v>0</v>
      </c>
      <c r="AI46" s="1335">
        <f>IF(ISNA(G46*VLOOKUP($D46,Hypothèses!$D$6:$F$14,3,0)),0,G46*VLOOKUP($D46,Hypothèses!$D$6:$F$14,3,0))</f>
        <v>0</v>
      </c>
      <c r="AJ46" s="1335">
        <f>IF(ISNA(H46*VLOOKUP($D46,Hypothèses!$D$6:$F$14,3,0)),0,H46*VLOOKUP($D46,Hypothèses!$D$6:$F$14,3,0))</f>
        <v>0</v>
      </c>
      <c r="AK46" s="1335">
        <f>IF(ISNA(I46*VLOOKUP($D46,Hypothèses!$D$6:$F$14,3,0)),0,I46*VLOOKUP($D46,Hypothèses!$D$6:$F$14,3,0))</f>
        <v>0</v>
      </c>
      <c r="AL46" s="1335">
        <f>IF(ISNA(J46*VLOOKUP($D46,Hypothèses!$D$6:$F$14,3,0)),0,J46*VLOOKUP($D46,Hypothèses!$D$6:$F$14,3,0))</f>
        <v>0</v>
      </c>
      <c r="AM46" s="1335">
        <f>IF(ISNA(K46*VLOOKUP($D46,Hypothèses!$D$6:$F$14,3,0)),0,K46*VLOOKUP($D46,Hypothèses!$D$6:$F$14,3,0))</f>
        <v>0</v>
      </c>
      <c r="AN46" s="1335">
        <f>IF(ISNA(L46*VLOOKUP($D46,Hypothèses!$D$6:$F$14,3,0)),0,L46*VLOOKUP($D46,Hypothèses!$D$6:$F$14,3,0))</f>
        <v>0</v>
      </c>
      <c r="AO46" s="1335">
        <f>IF(ISNA(M46*VLOOKUP($D46,Hypothèses!$D$6:$F$14,3,0)),0,M46*VLOOKUP($D46,Hypothèses!$D$6:$F$14,3,0))</f>
        <v>0</v>
      </c>
      <c r="AP46" s="1335">
        <f>IF(ISNA(N46*VLOOKUP($D46,Hypothèses!$D$6:$F$14,3,0)),0,N46*VLOOKUP($D46,Hypothèses!$D$6:$F$14,3,0))</f>
        <v>0</v>
      </c>
      <c r="AQ46" s="1335">
        <f>IF(ISNA(O46*VLOOKUP($D46,Hypothèses!$D$6:$F$14,3,0)),0,O46*VLOOKUP($D46,Hypothèses!$D$6:$F$14,3,0))</f>
        <v>0</v>
      </c>
      <c r="AR46" s="1335">
        <f>IF(ISNA(P46*VLOOKUP($D46,Hypothèses!$D$6:$F$14,3,0)),0,P46*VLOOKUP($D46,Hypothèses!$D$6:$F$14,3,0))</f>
        <v>0</v>
      </c>
      <c r="AS46" s="1335">
        <f>IF(ISNA(Q46*VLOOKUP($D46,Hypothèses!$D$6:$F$14,3,0)),0,Q46*VLOOKUP($D46,Hypothèses!$D$6:$F$14,3,0))</f>
        <v>0</v>
      </c>
      <c r="AT46" s="1335">
        <f>IF(ISNA(R46*VLOOKUP($D46,Hypothèses!$D$6:$F$14,3,0)),0,R46*VLOOKUP($D46,Hypothèses!$D$6:$F$14,3,0))</f>
        <v>0</v>
      </c>
      <c r="AU46" s="1335">
        <f>IF(ISNA(S46*VLOOKUP($D46,Hypothèses!$D$6:$F$14,3,0)),0,S46*VLOOKUP($D46,Hypothèses!$D$6:$F$14,3,0))</f>
        <v>0</v>
      </c>
      <c r="AV46" s="1335">
        <f>IF(ISNA(T46*VLOOKUP($D46,Hypothèses!$D$6:$F$14,3,0)),0,T46*VLOOKUP($D46,Hypothèses!$D$6:$F$14,3,0))</f>
        <v>0</v>
      </c>
      <c r="AW46" s="1335">
        <f>IF(ISNA(U46*VLOOKUP($D46,Hypothèses!$D$6:$F$14,3,0)),0,U46*VLOOKUP($D46,Hypothèses!$D$6:$F$14,3,0))</f>
        <v>0</v>
      </c>
      <c r="AX46" s="1335">
        <f>IF(ISNA(V46*VLOOKUP($D46,Hypothèses!$D$6:$F$14,3,0)),0,V46*VLOOKUP($D46,Hypothèses!$D$6:$F$14,3,0))</f>
        <v>0</v>
      </c>
      <c r="AY46" s="1335">
        <f>IF(ISNA(W46*VLOOKUP($D46,Hypothèses!$D$6:$F$14,3,0)),0,W46*VLOOKUP($D46,Hypothèses!$D$6:$F$14,3,0))</f>
        <v>0</v>
      </c>
      <c r="AZ46" s="1335">
        <f>IF(ISNA(X46*VLOOKUP($D46,Hypothèses!$D$6:$F$14,3,0)),0,X46*VLOOKUP($D46,Hypothèses!$D$6:$F$14,3,0))</f>
        <v>0</v>
      </c>
      <c r="BA46" s="1335">
        <f>IF(ISNA(Y46*VLOOKUP($D46,Hypothèses!$D$6:$F$14,3,0)),0,Y46*VLOOKUP($D46,Hypothèses!$D$6:$F$14,3,0))</f>
        <v>0</v>
      </c>
      <c r="BB46" s="1335">
        <f>IF(ISNA(Z46*VLOOKUP($D46,Hypothèses!$D$6:$F$14,3,0)),0,Z46*VLOOKUP($D46,Hypothèses!$D$6:$F$14,3,0))</f>
        <v>0</v>
      </c>
      <c r="BC46" s="1335">
        <f>IF(ISNA(AA46*VLOOKUP($D46,Hypothèses!$D$6:$F$14,3,0)),0,AA46*VLOOKUP($D46,Hypothèses!$D$6:$F$14,3,0))</f>
        <v>0</v>
      </c>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row>
    <row r="47" spans="1:89" s="3" customFormat="1">
      <c r="A47" s="1817">
        <v>40</v>
      </c>
      <c r="B47" s="1790"/>
      <c r="C47" s="1333"/>
      <c r="D47" s="1334"/>
      <c r="E47" s="1332" t="str">
        <f>IF(ISNA(VLOOKUP(D47,Hypothèses!$D$6:$G$16,4,0)),"",VLOOKUP(D47,Hypothèses!$D$6:$G$16,4,0))</f>
        <v/>
      </c>
      <c r="F47" s="1842"/>
      <c r="G47" s="1843"/>
      <c r="H47" s="1843"/>
      <c r="I47" s="1843"/>
      <c r="J47" s="1843"/>
      <c r="K47" s="1843"/>
      <c r="L47" s="1843"/>
      <c r="M47" s="1843"/>
      <c r="N47" s="1843"/>
      <c r="O47" s="1843"/>
      <c r="P47" s="1843"/>
      <c r="Q47" s="1843"/>
      <c r="R47" s="1843"/>
      <c r="S47" s="1843"/>
      <c r="T47" s="1843"/>
      <c r="U47" s="1843"/>
      <c r="V47" s="1843"/>
      <c r="W47" s="1843"/>
      <c r="X47" s="1843"/>
      <c r="Y47" s="1843"/>
      <c r="Z47" s="1843"/>
      <c r="AA47" s="1844"/>
      <c r="AB47" s="1335"/>
      <c r="AC47" s="1335"/>
      <c r="AD47" s="1335"/>
      <c r="AE47" s="1335"/>
      <c r="AF47" s="1335"/>
      <c r="AG47"/>
      <c r="AH47" s="1335">
        <f>IF(ISNA(F47*VLOOKUP($D47,Hypothèses!$D$6:$F$14,3,0)),0,F47*VLOOKUP($D47,Hypothèses!$D$6:$F$14,3,0))</f>
        <v>0</v>
      </c>
      <c r="AI47" s="1335">
        <f>IF(ISNA(G47*VLOOKUP($D47,Hypothèses!$D$6:$F$14,3,0)),0,G47*VLOOKUP($D47,Hypothèses!$D$6:$F$14,3,0))</f>
        <v>0</v>
      </c>
      <c r="AJ47" s="1335">
        <f>IF(ISNA(H47*VLOOKUP($D47,Hypothèses!$D$6:$F$14,3,0)),0,H47*VLOOKUP($D47,Hypothèses!$D$6:$F$14,3,0))</f>
        <v>0</v>
      </c>
      <c r="AK47" s="1335">
        <f>IF(ISNA(I47*VLOOKUP($D47,Hypothèses!$D$6:$F$14,3,0)),0,I47*VLOOKUP($D47,Hypothèses!$D$6:$F$14,3,0))</f>
        <v>0</v>
      </c>
      <c r="AL47" s="1335">
        <f>IF(ISNA(J47*VLOOKUP($D47,Hypothèses!$D$6:$F$14,3,0)),0,J47*VLOOKUP($D47,Hypothèses!$D$6:$F$14,3,0))</f>
        <v>0</v>
      </c>
      <c r="AM47" s="1335">
        <f>IF(ISNA(K47*VLOOKUP($D47,Hypothèses!$D$6:$F$14,3,0)),0,K47*VLOOKUP($D47,Hypothèses!$D$6:$F$14,3,0))</f>
        <v>0</v>
      </c>
      <c r="AN47" s="1335">
        <f>IF(ISNA(L47*VLOOKUP($D47,Hypothèses!$D$6:$F$14,3,0)),0,L47*VLOOKUP($D47,Hypothèses!$D$6:$F$14,3,0))</f>
        <v>0</v>
      </c>
      <c r="AO47" s="1335">
        <f>IF(ISNA(M47*VLOOKUP($D47,Hypothèses!$D$6:$F$14,3,0)),0,M47*VLOOKUP($D47,Hypothèses!$D$6:$F$14,3,0))</f>
        <v>0</v>
      </c>
      <c r="AP47" s="1335">
        <f>IF(ISNA(N47*VLOOKUP($D47,Hypothèses!$D$6:$F$14,3,0)),0,N47*VLOOKUP($D47,Hypothèses!$D$6:$F$14,3,0))</f>
        <v>0</v>
      </c>
      <c r="AQ47" s="1335">
        <f>IF(ISNA(O47*VLOOKUP($D47,Hypothèses!$D$6:$F$14,3,0)),0,O47*VLOOKUP($D47,Hypothèses!$D$6:$F$14,3,0))</f>
        <v>0</v>
      </c>
      <c r="AR47" s="1335">
        <f>IF(ISNA(P47*VLOOKUP($D47,Hypothèses!$D$6:$F$14,3,0)),0,P47*VLOOKUP($D47,Hypothèses!$D$6:$F$14,3,0))</f>
        <v>0</v>
      </c>
      <c r="AS47" s="1335">
        <f>IF(ISNA(Q47*VLOOKUP($D47,Hypothèses!$D$6:$F$14,3,0)),0,Q47*VLOOKUP($D47,Hypothèses!$D$6:$F$14,3,0))</f>
        <v>0</v>
      </c>
      <c r="AT47" s="1335">
        <f>IF(ISNA(R47*VLOOKUP($D47,Hypothèses!$D$6:$F$14,3,0)),0,R47*VLOOKUP($D47,Hypothèses!$D$6:$F$14,3,0))</f>
        <v>0</v>
      </c>
      <c r="AU47" s="1335">
        <f>IF(ISNA(S47*VLOOKUP($D47,Hypothèses!$D$6:$F$14,3,0)),0,S47*VLOOKUP($D47,Hypothèses!$D$6:$F$14,3,0))</f>
        <v>0</v>
      </c>
      <c r="AV47" s="1335">
        <f>IF(ISNA(T47*VLOOKUP($D47,Hypothèses!$D$6:$F$14,3,0)),0,T47*VLOOKUP($D47,Hypothèses!$D$6:$F$14,3,0))</f>
        <v>0</v>
      </c>
      <c r="AW47" s="1335">
        <f>IF(ISNA(U47*VLOOKUP($D47,Hypothèses!$D$6:$F$14,3,0)),0,U47*VLOOKUP($D47,Hypothèses!$D$6:$F$14,3,0))</f>
        <v>0</v>
      </c>
      <c r="AX47" s="1335">
        <f>IF(ISNA(V47*VLOOKUP($D47,Hypothèses!$D$6:$F$14,3,0)),0,V47*VLOOKUP($D47,Hypothèses!$D$6:$F$14,3,0))</f>
        <v>0</v>
      </c>
      <c r="AY47" s="1335">
        <f>IF(ISNA(W47*VLOOKUP($D47,Hypothèses!$D$6:$F$14,3,0)),0,W47*VLOOKUP($D47,Hypothèses!$D$6:$F$14,3,0))</f>
        <v>0</v>
      </c>
      <c r="AZ47" s="1335">
        <f>IF(ISNA(X47*VLOOKUP($D47,Hypothèses!$D$6:$F$14,3,0)),0,X47*VLOOKUP($D47,Hypothèses!$D$6:$F$14,3,0))</f>
        <v>0</v>
      </c>
      <c r="BA47" s="1335">
        <f>IF(ISNA(Y47*VLOOKUP($D47,Hypothèses!$D$6:$F$14,3,0)),0,Y47*VLOOKUP($D47,Hypothèses!$D$6:$F$14,3,0))</f>
        <v>0</v>
      </c>
      <c r="BB47" s="1335">
        <f>IF(ISNA(Z47*VLOOKUP($D47,Hypothèses!$D$6:$F$14,3,0)),0,Z47*VLOOKUP($D47,Hypothèses!$D$6:$F$14,3,0))</f>
        <v>0</v>
      </c>
      <c r="BC47" s="1335">
        <f>IF(ISNA(AA47*VLOOKUP($D47,Hypothèses!$D$6:$F$14,3,0)),0,AA47*VLOOKUP($D47,Hypothèses!$D$6:$F$14,3,0))</f>
        <v>0</v>
      </c>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row>
    <row r="48" spans="1:89" s="3" customFormat="1">
      <c r="A48" s="1817">
        <v>41</v>
      </c>
      <c r="B48" s="1790"/>
      <c r="C48" s="1333"/>
      <c r="D48" s="1334"/>
      <c r="E48" s="1332" t="str">
        <f>IF(ISNA(VLOOKUP(D48,Hypothèses!$D$6:$G$16,4,0)),"",VLOOKUP(D48,Hypothèses!$D$6:$G$16,4,0))</f>
        <v/>
      </c>
      <c r="F48" s="1842"/>
      <c r="G48" s="1843"/>
      <c r="H48" s="1843"/>
      <c r="I48" s="1843"/>
      <c r="J48" s="1843"/>
      <c r="K48" s="1843"/>
      <c r="L48" s="1843"/>
      <c r="M48" s="1843"/>
      <c r="N48" s="1843"/>
      <c r="O48" s="1843"/>
      <c r="P48" s="1843"/>
      <c r="Q48" s="1843"/>
      <c r="R48" s="1843"/>
      <c r="S48" s="1843"/>
      <c r="T48" s="1843"/>
      <c r="U48" s="1843"/>
      <c r="V48" s="1843"/>
      <c r="W48" s="1843"/>
      <c r="X48" s="1843"/>
      <c r="Y48" s="1843"/>
      <c r="Z48" s="1843"/>
      <c r="AA48" s="1844"/>
      <c r="AB48" s="1335"/>
      <c r="AC48" s="1335"/>
      <c r="AD48" s="1335"/>
      <c r="AE48" s="1335"/>
      <c r="AF48" s="1335"/>
      <c r="AG48"/>
      <c r="AH48" s="1335">
        <f>IF(ISNA(F48*VLOOKUP($D48,Hypothèses!$D$6:$F$14,3,0)),0,F48*VLOOKUP($D48,Hypothèses!$D$6:$F$14,3,0))</f>
        <v>0</v>
      </c>
      <c r="AI48" s="1335">
        <f>IF(ISNA(G48*VLOOKUP($D48,Hypothèses!$D$6:$F$14,3,0)),0,G48*VLOOKUP($D48,Hypothèses!$D$6:$F$14,3,0))</f>
        <v>0</v>
      </c>
      <c r="AJ48" s="1335">
        <f>IF(ISNA(H48*VLOOKUP($D48,Hypothèses!$D$6:$F$14,3,0)),0,H48*VLOOKUP($D48,Hypothèses!$D$6:$F$14,3,0))</f>
        <v>0</v>
      </c>
      <c r="AK48" s="1335">
        <f>IF(ISNA(I48*VLOOKUP($D48,Hypothèses!$D$6:$F$14,3,0)),0,I48*VLOOKUP($D48,Hypothèses!$D$6:$F$14,3,0))</f>
        <v>0</v>
      </c>
      <c r="AL48" s="1335">
        <f>IF(ISNA(J48*VLOOKUP($D48,Hypothèses!$D$6:$F$14,3,0)),0,J48*VLOOKUP($D48,Hypothèses!$D$6:$F$14,3,0))</f>
        <v>0</v>
      </c>
      <c r="AM48" s="1335">
        <f>IF(ISNA(K48*VLOOKUP($D48,Hypothèses!$D$6:$F$14,3,0)),0,K48*VLOOKUP($D48,Hypothèses!$D$6:$F$14,3,0))</f>
        <v>0</v>
      </c>
      <c r="AN48" s="1335">
        <f>IF(ISNA(L48*VLOOKUP($D48,Hypothèses!$D$6:$F$14,3,0)),0,L48*VLOOKUP($D48,Hypothèses!$D$6:$F$14,3,0))</f>
        <v>0</v>
      </c>
      <c r="AO48" s="1335">
        <f>IF(ISNA(M48*VLOOKUP($D48,Hypothèses!$D$6:$F$14,3,0)),0,M48*VLOOKUP($D48,Hypothèses!$D$6:$F$14,3,0))</f>
        <v>0</v>
      </c>
      <c r="AP48" s="1335">
        <f>IF(ISNA(N48*VLOOKUP($D48,Hypothèses!$D$6:$F$14,3,0)),0,N48*VLOOKUP($D48,Hypothèses!$D$6:$F$14,3,0))</f>
        <v>0</v>
      </c>
      <c r="AQ48" s="1335">
        <f>IF(ISNA(O48*VLOOKUP($D48,Hypothèses!$D$6:$F$14,3,0)),0,O48*VLOOKUP($D48,Hypothèses!$D$6:$F$14,3,0))</f>
        <v>0</v>
      </c>
      <c r="AR48" s="1335">
        <f>IF(ISNA(P48*VLOOKUP($D48,Hypothèses!$D$6:$F$14,3,0)),0,P48*VLOOKUP($D48,Hypothèses!$D$6:$F$14,3,0))</f>
        <v>0</v>
      </c>
      <c r="AS48" s="1335">
        <f>IF(ISNA(Q48*VLOOKUP($D48,Hypothèses!$D$6:$F$14,3,0)),0,Q48*VLOOKUP($D48,Hypothèses!$D$6:$F$14,3,0))</f>
        <v>0</v>
      </c>
      <c r="AT48" s="1335">
        <f>IF(ISNA(R48*VLOOKUP($D48,Hypothèses!$D$6:$F$14,3,0)),0,R48*VLOOKUP($D48,Hypothèses!$D$6:$F$14,3,0))</f>
        <v>0</v>
      </c>
      <c r="AU48" s="1335">
        <f>IF(ISNA(S48*VLOOKUP($D48,Hypothèses!$D$6:$F$14,3,0)),0,S48*VLOOKUP($D48,Hypothèses!$D$6:$F$14,3,0))</f>
        <v>0</v>
      </c>
      <c r="AV48" s="1335">
        <f>IF(ISNA(T48*VLOOKUP($D48,Hypothèses!$D$6:$F$14,3,0)),0,T48*VLOOKUP($D48,Hypothèses!$D$6:$F$14,3,0))</f>
        <v>0</v>
      </c>
      <c r="AW48" s="1335">
        <f>IF(ISNA(U48*VLOOKUP($D48,Hypothèses!$D$6:$F$14,3,0)),0,U48*VLOOKUP($D48,Hypothèses!$D$6:$F$14,3,0))</f>
        <v>0</v>
      </c>
      <c r="AX48" s="1335">
        <f>IF(ISNA(V48*VLOOKUP($D48,Hypothèses!$D$6:$F$14,3,0)),0,V48*VLOOKUP($D48,Hypothèses!$D$6:$F$14,3,0))</f>
        <v>0</v>
      </c>
      <c r="AY48" s="1335">
        <f>IF(ISNA(W48*VLOOKUP($D48,Hypothèses!$D$6:$F$14,3,0)),0,W48*VLOOKUP($D48,Hypothèses!$D$6:$F$14,3,0))</f>
        <v>0</v>
      </c>
      <c r="AZ48" s="1335">
        <f>IF(ISNA(X48*VLOOKUP($D48,Hypothèses!$D$6:$F$14,3,0)),0,X48*VLOOKUP($D48,Hypothèses!$D$6:$F$14,3,0))</f>
        <v>0</v>
      </c>
      <c r="BA48" s="1335">
        <f>IF(ISNA(Y48*VLOOKUP($D48,Hypothèses!$D$6:$F$14,3,0)),0,Y48*VLOOKUP($D48,Hypothèses!$D$6:$F$14,3,0))</f>
        <v>0</v>
      </c>
      <c r="BB48" s="1335">
        <f>IF(ISNA(Z48*VLOOKUP($D48,Hypothèses!$D$6:$F$14,3,0)),0,Z48*VLOOKUP($D48,Hypothèses!$D$6:$F$14,3,0))</f>
        <v>0</v>
      </c>
      <c r="BC48" s="1335">
        <f>IF(ISNA(AA48*VLOOKUP($D48,Hypothèses!$D$6:$F$14,3,0)),0,AA48*VLOOKUP($D48,Hypothèses!$D$6:$F$14,3,0))</f>
        <v>0</v>
      </c>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row>
    <row r="49" spans="1:89" s="3" customFormat="1">
      <c r="A49" s="1817">
        <v>42</v>
      </c>
      <c r="B49" s="1790"/>
      <c r="C49" s="1333"/>
      <c r="D49" s="1334"/>
      <c r="E49" s="1332" t="str">
        <f>IF(ISNA(VLOOKUP(D49,Hypothèses!$D$6:$G$16,4,0)),"",VLOOKUP(D49,Hypothèses!$D$6:$G$16,4,0))</f>
        <v/>
      </c>
      <c r="F49" s="1842"/>
      <c r="G49" s="1843"/>
      <c r="H49" s="1843"/>
      <c r="I49" s="1843"/>
      <c r="J49" s="1843"/>
      <c r="K49" s="1843"/>
      <c r="L49" s="1843"/>
      <c r="M49" s="1843"/>
      <c r="N49" s="1843"/>
      <c r="O49" s="1843"/>
      <c r="P49" s="1843"/>
      <c r="Q49" s="1843"/>
      <c r="R49" s="1843"/>
      <c r="S49" s="1843"/>
      <c r="T49" s="1843"/>
      <c r="U49" s="1843"/>
      <c r="V49" s="1843"/>
      <c r="W49" s="1843"/>
      <c r="X49" s="1843"/>
      <c r="Y49" s="1843"/>
      <c r="Z49" s="1843"/>
      <c r="AA49" s="1844"/>
      <c r="AB49" s="1335"/>
      <c r="AC49" s="1335"/>
      <c r="AD49" s="1335"/>
      <c r="AE49" s="1335"/>
      <c r="AF49" s="1335"/>
      <c r="AG49"/>
      <c r="AH49" s="1335">
        <f>IF(ISNA(F49*VLOOKUP($D49,Hypothèses!$D$6:$F$14,3,0)),0,F49*VLOOKUP($D49,Hypothèses!$D$6:$F$14,3,0))</f>
        <v>0</v>
      </c>
      <c r="AI49" s="1335">
        <f>IF(ISNA(G49*VLOOKUP($D49,Hypothèses!$D$6:$F$14,3,0)),0,G49*VLOOKUP($D49,Hypothèses!$D$6:$F$14,3,0))</f>
        <v>0</v>
      </c>
      <c r="AJ49" s="1335">
        <f>IF(ISNA(H49*VLOOKUP($D49,Hypothèses!$D$6:$F$14,3,0)),0,H49*VLOOKUP($D49,Hypothèses!$D$6:$F$14,3,0))</f>
        <v>0</v>
      </c>
      <c r="AK49" s="1335">
        <f>IF(ISNA(I49*VLOOKUP($D49,Hypothèses!$D$6:$F$14,3,0)),0,I49*VLOOKUP($D49,Hypothèses!$D$6:$F$14,3,0))</f>
        <v>0</v>
      </c>
      <c r="AL49" s="1335">
        <f>IF(ISNA(J49*VLOOKUP($D49,Hypothèses!$D$6:$F$14,3,0)),0,J49*VLOOKUP($D49,Hypothèses!$D$6:$F$14,3,0))</f>
        <v>0</v>
      </c>
      <c r="AM49" s="1335">
        <f>IF(ISNA(K49*VLOOKUP($D49,Hypothèses!$D$6:$F$14,3,0)),0,K49*VLOOKUP($D49,Hypothèses!$D$6:$F$14,3,0))</f>
        <v>0</v>
      </c>
      <c r="AN49" s="1335">
        <f>IF(ISNA(L49*VLOOKUP($D49,Hypothèses!$D$6:$F$14,3,0)),0,L49*VLOOKUP($D49,Hypothèses!$D$6:$F$14,3,0))</f>
        <v>0</v>
      </c>
      <c r="AO49" s="1335">
        <f>IF(ISNA(M49*VLOOKUP($D49,Hypothèses!$D$6:$F$14,3,0)),0,M49*VLOOKUP($D49,Hypothèses!$D$6:$F$14,3,0))</f>
        <v>0</v>
      </c>
      <c r="AP49" s="1335">
        <f>IF(ISNA(N49*VLOOKUP($D49,Hypothèses!$D$6:$F$14,3,0)),0,N49*VLOOKUP($D49,Hypothèses!$D$6:$F$14,3,0))</f>
        <v>0</v>
      </c>
      <c r="AQ49" s="1335">
        <f>IF(ISNA(O49*VLOOKUP($D49,Hypothèses!$D$6:$F$14,3,0)),0,O49*VLOOKUP($D49,Hypothèses!$D$6:$F$14,3,0))</f>
        <v>0</v>
      </c>
      <c r="AR49" s="1335">
        <f>IF(ISNA(P49*VLOOKUP($D49,Hypothèses!$D$6:$F$14,3,0)),0,P49*VLOOKUP($D49,Hypothèses!$D$6:$F$14,3,0))</f>
        <v>0</v>
      </c>
      <c r="AS49" s="1335">
        <f>IF(ISNA(Q49*VLOOKUP($D49,Hypothèses!$D$6:$F$14,3,0)),0,Q49*VLOOKUP($D49,Hypothèses!$D$6:$F$14,3,0))</f>
        <v>0</v>
      </c>
      <c r="AT49" s="1335">
        <f>IF(ISNA(R49*VLOOKUP($D49,Hypothèses!$D$6:$F$14,3,0)),0,R49*VLOOKUP($D49,Hypothèses!$D$6:$F$14,3,0))</f>
        <v>0</v>
      </c>
      <c r="AU49" s="1335">
        <f>IF(ISNA(S49*VLOOKUP($D49,Hypothèses!$D$6:$F$14,3,0)),0,S49*VLOOKUP($D49,Hypothèses!$D$6:$F$14,3,0))</f>
        <v>0</v>
      </c>
      <c r="AV49" s="1335">
        <f>IF(ISNA(T49*VLOOKUP($D49,Hypothèses!$D$6:$F$14,3,0)),0,T49*VLOOKUP($D49,Hypothèses!$D$6:$F$14,3,0))</f>
        <v>0</v>
      </c>
      <c r="AW49" s="1335">
        <f>IF(ISNA(U49*VLOOKUP($D49,Hypothèses!$D$6:$F$14,3,0)),0,U49*VLOOKUP($D49,Hypothèses!$D$6:$F$14,3,0))</f>
        <v>0</v>
      </c>
      <c r="AX49" s="1335">
        <f>IF(ISNA(V49*VLOOKUP($D49,Hypothèses!$D$6:$F$14,3,0)),0,V49*VLOOKUP($D49,Hypothèses!$D$6:$F$14,3,0))</f>
        <v>0</v>
      </c>
      <c r="AY49" s="1335">
        <f>IF(ISNA(W49*VLOOKUP($D49,Hypothèses!$D$6:$F$14,3,0)),0,W49*VLOOKUP($D49,Hypothèses!$D$6:$F$14,3,0))</f>
        <v>0</v>
      </c>
      <c r="AZ49" s="1335">
        <f>IF(ISNA(X49*VLOOKUP($D49,Hypothèses!$D$6:$F$14,3,0)),0,X49*VLOOKUP($D49,Hypothèses!$D$6:$F$14,3,0))</f>
        <v>0</v>
      </c>
      <c r="BA49" s="1335">
        <f>IF(ISNA(Y49*VLOOKUP($D49,Hypothèses!$D$6:$F$14,3,0)),0,Y49*VLOOKUP($D49,Hypothèses!$D$6:$F$14,3,0))</f>
        <v>0</v>
      </c>
      <c r="BB49" s="1335">
        <f>IF(ISNA(Z49*VLOOKUP($D49,Hypothèses!$D$6:$F$14,3,0)),0,Z49*VLOOKUP($D49,Hypothèses!$D$6:$F$14,3,0))</f>
        <v>0</v>
      </c>
      <c r="BC49" s="1335">
        <f>IF(ISNA(AA49*VLOOKUP($D49,Hypothèses!$D$6:$F$14,3,0)),0,AA49*VLOOKUP($D49,Hypothèses!$D$6:$F$14,3,0))</f>
        <v>0</v>
      </c>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row>
    <row r="50" spans="1:89" s="3" customFormat="1">
      <c r="A50" s="1817">
        <v>43</v>
      </c>
      <c r="B50" s="1790"/>
      <c r="C50" s="1333"/>
      <c r="D50" s="1334"/>
      <c r="E50" s="1332" t="str">
        <f>IF(ISNA(VLOOKUP(D50,Hypothèses!$D$6:$G$16,4,0)),"",VLOOKUP(D50,Hypothèses!$D$6:$G$16,4,0))</f>
        <v/>
      </c>
      <c r="F50" s="1842"/>
      <c r="G50" s="1843"/>
      <c r="H50" s="1843"/>
      <c r="I50" s="1843"/>
      <c r="J50" s="1843"/>
      <c r="K50" s="1843"/>
      <c r="L50" s="1843"/>
      <c r="M50" s="1843"/>
      <c r="N50" s="1843"/>
      <c r="O50" s="1843"/>
      <c r="P50" s="1843"/>
      <c r="Q50" s="1843"/>
      <c r="R50" s="1843"/>
      <c r="S50" s="1843"/>
      <c r="T50" s="1843"/>
      <c r="U50" s="1843"/>
      <c r="V50" s="1843"/>
      <c r="W50" s="1843"/>
      <c r="X50" s="1843"/>
      <c r="Y50" s="1843"/>
      <c r="Z50" s="1843"/>
      <c r="AA50" s="1844"/>
      <c r="AB50" s="1335"/>
      <c r="AC50" s="1335"/>
      <c r="AD50" s="1335"/>
      <c r="AE50" s="1335"/>
      <c r="AF50" s="1335"/>
      <c r="AG50"/>
      <c r="AH50" s="1335">
        <f>IF(ISNA(F50*VLOOKUP($D50,Hypothèses!$D$6:$F$14,3,0)),0,F50*VLOOKUP($D50,Hypothèses!$D$6:$F$14,3,0))</f>
        <v>0</v>
      </c>
      <c r="AI50" s="1335">
        <f>IF(ISNA(G50*VLOOKUP($D50,Hypothèses!$D$6:$F$14,3,0)),0,G50*VLOOKUP($D50,Hypothèses!$D$6:$F$14,3,0))</f>
        <v>0</v>
      </c>
      <c r="AJ50" s="1335">
        <f>IF(ISNA(H50*VLOOKUP($D50,Hypothèses!$D$6:$F$14,3,0)),0,H50*VLOOKUP($D50,Hypothèses!$D$6:$F$14,3,0))</f>
        <v>0</v>
      </c>
      <c r="AK50" s="1335">
        <f>IF(ISNA(I50*VLOOKUP($D50,Hypothèses!$D$6:$F$14,3,0)),0,I50*VLOOKUP($D50,Hypothèses!$D$6:$F$14,3,0))</f>
        <v>0</v>
      </c>
      <c r="AL50" s="1335">
        <f>IF(ISNA(J50*VLOOKUP($D50,Hypothèses!$D$6:$F$14,3,0)),0,J50*VLOOKUP($D50,Hypothèses!$D$6:$F$14,3,0))</f>
        <v>0</v>
      </c>
      <c r="AM50" s="1335">
        <f>IF(ISNA(K50*VLOOKUP($D50,Hypothèses!$D$6:$F$14,3,0)),0,K50*VLOOKUP($D50,Hypothèses!$D$6:$F$14,3,0))</f>
        <v>0</v>
      </c>
      <c r="AN50" s="1335">
        <f>IF(ISNA(L50*VLOOKUP($D50,Hypothèses!$D$6:$F$14,3,0)),0,L50*VLOOKUP($D50,Hypothèses!$D$6:$F$14,3,0))</f>
        <v>0</v>
      </c>
      <c r="AO50" s="1335">
        <f>IF(ISNA(M50*VLOOKUP($D50,Hypothèses!$D$6:$F$14,3,0)),0,M50*VLOOKUP($D50,Hypothèses!$D$6:$F$14,3,0))</f>
        <v>0</v>
      </c>
      <c r="AP50" s="1335">
        <f>IF(ISNA(N50*VLOOKUP($D50,Hypothèses!$D$6:$F$14,3,0)),0,N50*VLOOKUP($D50,Hypothèses!$D$6:$F$14,3,0))</f>
        <v>0</v>
      </c>
      <c r="AQ50" s="1335">
        <f>IF(ISNA(O50*VLOOKUP($D50,Hypothèses!$D$6:$F$14,3,0)),0,O50*VLOOKUP($D50,Hypothèses!$D$6:$F$14,3,0))</f>
        <v>0</v>
      </c>
      <c r="AR50" s="1335">
        <f>IF(ISNA(P50*VLOOKUP($D50,Hypothèses!$D$6:$F$14,3,0)),0,P50*VLOOKUP($D50,Hypothèses!$D$6:$F$14,3,0))</f>
        <v>0</v>
      </c>
      <c r="AS50" s="1335">
        <f>IF(ISNA(Q50*VLOOKUP($D50,Hypothèses!$D$6:$F$14,3,0)),0,Q50*VLOOKUP($D50,Hypothèses!$D$6:$F$14,3,0))</f>
        <v>0</v>
      </c>
      <c r="AT50" s="1335">
        <f>IF(ISNA(R50*VLOOKUP($D50,Hypothèses!$D$6:$F$14,3,0)),0,R50*VLOOKUP($D50,Hypothèses!$D$6:$F$14,3,0))</f>
        <v>0</v>
      </c>
      <c r="AU50" s="1335">
        <f>IF(ISNA(S50*VLOOKUP($D50,Hypothèses!$D$6:$F$14,3,0)),0,S50*VLOOKUP($D50,Hypothèses!$D$6:$F$14,3,0))</f>
        <v>0</v>
      </c>
      <c r="AV50" s="1335">
        <f>IF(ISNA(T50*VLOOKUP($D50,Hypothèses!$D$6:$F$14,3,0)),0,T50*VLOOKUP($D50,Hypothèses!$D$6:$F$14,3,0))</f>
        <v>0</v>
      </c>
      <c r="AW50" s="1335">
        <f>IF(ISNA(U50*VLOOKUP($D50,Hypothèses!$D$6:$F$14,3,0)),0,U50*VLOOKUP($D50,Hypothèses!$D$6:$F$14,3,0))</f>
        <v>0</v>
      </c>
      <c r="AX50" s="1335">
        <f>IF(ISNA(V50*VLOOKUP($D50,Hypothèses!$D$6:$F$14,3,0)),0,V50*VLOOKUP($D50,Hypothèses!$D$6:$F$14,3,0))</f>
        <v>0</v>
      </c>
      <c r="AY50" s="1335">
        <f>IF(ISNA(W50*VLOOKUP($D50,Hypothèses!$D$6:$F$14,3,0)),0,W50*VLOOKUP($D50,Hypothèses!$D$6:$F$14,3,0))</f>
        <v>0</v>
      </c>
      <c r="AZ50" s="1335">
        <f>IF(ISNA(X50*VLOOKUP($D50,Hypothèses!$D$6:$F$14,3,0)),0,X50*VLOOKUP($D50,Hypothèses!$D$6:$F$14,3,0))</f>
        <v>0</v>
      </c>
      <c r="BA50" s="1335">
        <f>IF(ISNA(Y50*VLOOKUP($D50,Hypothèses!$D$6:$F$14,3,0)),0,Y50*VLOOKUP($D50,Hypothèses!$D$6:$F$14,3,0))</f>
        <v>0</v>
      </c>
      <c r="BB50" s="1335">
        <f>IF(ISNA(Z50*VLOOKUP($D50,Hypothèses!$D$6:$F$14,3,0)),0,Z50*VLOOKUP($D50,Hypothèses!$D$6:$F$14,3,0))</f>
        <v>0</v>
      </c>
      <c r="BC50" s="1335">
        <f>IF(ISNA(AA50*VLOOKUP($D50,Hypothèses!$D$6:$F$14,3,0)),0,AA50*VLOOKUP($D50,Hypothèses!$D$6:$F$14,3,0))</f>
        <v>0</v>
      </c>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row>
    <row r="51" spans="1:89" s="3" customFormat="1">
      <c r="A51" s="1817">
        <v>44</v>
      </c>
      <c r="B51" s="1790"/>
      <c r="C51" s="1333"/>
      <c r="D51" s="1334"/>
      <c r="E51" s="1332" t="str">
        <f>IF(ISNA(VLOOKUP(D51,Hypothèses!$D$6:$G$16,4,0)),"",VLOOKUP(D51,Hypothèses!$D$6:$G$16,4,0))</f>
        <v/>
      </c>
      <c r="F51" s="1842"/>
      <c r="G51" s="1843"/>
      <c r="H51" s="1843"/>
      <c r="I51" s="1843"/>
      <c r="J51" s="1843"/>
      <c r="K51" s="1843"/>
      <c r="L51" s="1843"/>
      <c r="M51" s="1843"/>
      <c r="N51" s="1843"/>
      <c r="O51" s="1843"/>
      <c r="P51" s="1843"/>
      <c r="Q51" s="1843"/>
      <c r="R51" s="1843"/>
      <c r="S51" s="1843"/>
      <c r="T51" s="1843"/>
      <c r="U51" s="1843"/>
      <c r="V51" s="1843"/>
      <c r="W51" s="1843"/>
      <c r="X51" s="1843"/>
      <c r="Y51" s="1843"/>
      <c r="Z51" s="1843"/>
      <c r="AA51" s="1844"/>
      <c r="AB51" s="1335"/>
      <c r="AC51" s="1335"/>
      <c r="AD51" s="1335"/>
      <c r="AE51" s="1335"/>
      <c r="AF51" s="1335"/>
      <c r="AG51"/>
      <c r="AH51" s="1335">
        <f>IF(ISNA(F51*VLOOKUP($D51,Hypothèses!$D$6:$F$14,3,0)),0,F51*VLOOKUP($D51,Hypothèses!$D$6:$F$14,3,0))</f>
        <v>0</v>
      </c>
      <c r="AI51" s="1335">
        <f>IF(ISNA(G51*VLOOKUP($D51,Hypothèses!$D$6:$F$14,3,0)),0,G51*VLOOKUP($D51,Hypothèses!$D$6:$F$14,3,0))</f>
        <v>0</v>
      </c>
      <c r="AJ51" s="1335">
        <f>IF(ISNA(H51*VLOOKUP($D51,Hypothèses!$D$6:$F$14,3,0)),0,H51*VLOOKUP($D51,Hypothèses!$D$6:$F$14,3,0))</f>
        <v>0</v>
      </c>
      <c r="AK51" s="1335">
        <f>IF(ISNA(I51*VLOOKUP($D51,Hypothèses!$D$6:$F$14,3,0)),0,I51*VLOOKUP($D51,Hypothèses!$D$6:$F$14,3,0))</f>
        <v>0</v>
      </c>
      <c r="AL51" s="1335">
        <f>IF(ISNA(J51*VLOOKUP($D51,Hypothèses!$D$6:$F$14,3,0)),0,J51*VLOOKUP($D51,Hypothèses!$D$6:$F$14,3,0))</f>
        <v>0</v>
      </c>
      <c r="AM51" s="1335">
        <f>IF(ISNA(K51*VLOOKUP($D51,Hypothèses!$D$6:$F$14,3,0)),0,K51*VLOOKUP($D51,Hypothèses!$D$6:$F$14,3,0))</f>
        <v>0</v>
      </c>
      <c r="AN51" s="1335">
        <f>IF(ISNA(L51*VLOOKUP($D51,Hypothèses!$D$6:$F$14,3,0)),0,L51*VLOOKUP($D51,Hypothèses!$D$6:$F$14,3,0))</f>
        <v>0</v>
      </c>
      <c r="AO51" s="1335">
        <f>IF(ISNA(M51*VLOOKUP($D51,Hypothèses!$D$6:$F$14,3,0)),0,M51*VLOOKUP($D51,Hypothèses!$D$6:$F$14,3,0))</f>
        <v>0</v>
      </c>
      <c r="AP51" s="1335">
        <f>IF(ISNA(N51*VLOOKUP($D51,Hypothèses!$D$6:$F$14,3,0)),0,N51*VLOOKUP($D51,Hypothèses!$D$6:$F$14,3,0))</f>
        <v>0</v>
      </c>
      <c r="AQ51" s="1335">
        <f>IF(ISNA(O51*VLOOKUP($D51,Hypothèses!$D$6:$F$14,3,0)),0,O51*VLOOKUP($D51,Hypothèses!$D$6:$F$14,3,0))</f>
        <v>0</v>
      </c>
      <c r="AR51" s="1335">
        <f>IF(ISNA(P51*VLOOKUP($D51,Hypothèses!$D$6:$F$14,3,0)),0,P51*VLOOKUP($D51,Hypothèses!$D$6:$F$14,3,0))</f>
        <v>0</v>
      </c>
      <c r="AS51" s="1335">
        <f>IF(ISNA(Q51*VLOOKUP($D51,Hypothèses!$D$6:$F$14,3,0)),0,Q51*VLOOKUP($D51,Hypothèses!$D$6:$F$14,3,0))</f>
        <v>0</v>
      </c>
      <c r="AT51" s="1335">
        <f>IF(ISNA(R51*VLOOKUP($D51,Hypothèses!$D$6:$F$14,3,0)),0,R51*VLOOKUP($D51,Hypothèses!$D$6:$F$14,3,0))</f>
        <v>0</v>
      </c>
      <c r="AU51" s="1335">
        <f>IF(ISNA(S51*VLOOKUP($D51,Hypothèses!$D$6:$F$14,3,0)),0,S51*VLOOKUP($D51,Hypothèses!$D$6:$F$14,3,0))</f>
        <v>0</v>
      </c>
      <c r="AV51" s="1335">
        <f>IF(ISNA(T51*VLOOKUP($D51,Hypothèses!$D$6:$F$14,3,0)),0,T51*VLOOKUP($D51,Hypothèses!$D$6:$F$14,3,0))</f>
        <v>0</v>
      </c>
      <c r="AW51" s="1335">
        <f>IF(ISNA(U51*VLOOKUP($D51,Hypothèses!$D$6:$F$14,3,0)),0,U51*VLOOKUP($D51,Hypothèses!$D$6:$F$14,3,0))</f>
        <v>0</v>
      </c>
      <c r="AX51" s="1335">
        <f>IF(ISNA(V51*VLOOKUP($D51,Hypothèses!$D$6:$F$14,3,0)),0,V51*VLOOKUP($D51,Hypothèses!$D$6:$F$14,3,0))</f>
        <v>0</v>
      </c>
      <c r="AY51" s="1335">
        <f>IF(ISNA(W51*VLOOKUP($D51,Hypothèses!$D$6:$F$14,3,0)),0,W51*VLOOKUP($D51,Hypothèses!$D$6:$F$14,3,0))</f>
        <v>0</v>
      </c>
      <c r="AZ51" s="1335">
        <f>IF(ISNA(X51*VLOOKUP($D51,Hypothèses!$D$6:$F$14,3,0)),0,X51*VLOOKUP($D51,Hypothèses!$D$6:$F$14,3,0))</f>
        <v>0</v>
      </c>
      <c r="BA51" s="1335">
        <f>IF(ISNA(Y51*VLOOKUP($D51,Hypothèses!$D$6:$F$14,3,0)),0,Y51*VLOOKUP($D51,Hypothèses!$D$6:$F$14,3,0))</f>
        <v>0</v>
      </c>
      <c r="BB51" s="1335">
        <f>IF(ISNA(Z51*VLOOKUP($D51,Hypothèses!$D$6:$F$14,3,0)),0,Z51*VLOOKUP($D51,Hypothèses!$D$6:$F$14,3,0))</f>
        <v>0</v>
      </c>
      <c r="BC51" s="1335">
        <f>IF(ISNA(AA51*VLOOKUP($D51,Hypothèses!$D$6:$F$14,3,0)),0,AA51*VLOOKUP($D51,Hypothèses!$D$6:$F$14,3,0))</f>
        <v>0</v>
      </c>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row>
    <row r="52" spans="1:89" s="3" customFormat="1">
      <c r="A52" s="1817">
        <v>45</v>
      </c>
      <c r="B52" s="1790"/>
      <c r="C52" s="1333"/>
      <c r="D52" s="1334"/>
      <c r="E52" s="1332" t="str">
        <f>IF(ISNA(VLOOKUP(D52,Hypothèses!$D$6:$G$16,4,0)),"",VLOOKUP(D52,Hypothèses!$D$6:$G$16,4,0))</f>
        <v/>
      </c>
      <c r="F52" s="1842"/>
      <c r="G52" s="1843"/>
      <c r="H52" s="1843"/>
      <c r="I52" s="1843"/>
      <c r="J52" s="1843"/>
      <c r="K52" s="1843"/>
      <c r="L52" s="1843"/>
      <c r="M52" s="1843"/>
      <c r="N52" s="1843"/>
      <c r="O52" s="1843"/>
      <c r="P52" s="1843"/>
      <c r="Q52" s="1843"/>
      <c r="R52" s="1843"/>
      <c r="S52" s="1843"/>
      <c r="T52" s="1843"/>
      <c r="U52" s="1843"/>
      <c r="V52" s="1843"/>
      <c r="W52" s="1843"/>
      <c r="X52" s="1843"/>
      <c r="Y52" s="1843"/>
      <c r="Z52" s="1843"/>
      <c r="AA52" s="1844"/>
      <c r="AB52" s="1335"/>
      <c r="AC52" s="1335"/>
      <c r="AD52" s="1335"/>
      <c r="AE52" s="1335"/>
      <c r="AF52" s="1335"/>
      <c r="AG52"/>
      <c r="AH52" s="1335">
        <f>IF(ISNA(F52*VLOOKUP($D52,Hypothèses!$D$6:$F$14,3,0)),0,F52*VLOOKUP($D52,Hypothèses!$D$6:$F$14,3,0))</f>
        <v>0</v>
      </c>
      <c r="AI52" s="1335">
        <f>IF(ISNA(G52*VLOOKUP($D52,Hypothèses!$D$6:$F$14,3,0)),0,G52*VLOOKUP($D52,Hypothèses!$D$6:$F$14,3,0))</f>
        <v>0</v>
      </c>
      <c r="AJ52" s="1335">
        <f>IF(ISNA(H52*VLOOKUP($D52,Hypothèses!$D$6:$F$14,3,0)),0,H52*VLOOKUP($D52,Hypothèses!$D$6:$F$14,3,0))</f>
        <v>0</v>
      </c>
      <c r="AK52" s="1335">
        <f>IF(ISNA(I52*VLOOKUP($D52,Hypothèses!$D$6:$F$14,3,0)),0,I52*VLOOKUP($D52,Hypothèses!$D$6:$F$14,3,0))</f>
        <v>0</v>
      </c>
      <c r="AL52" s="1335">
        <f>IF(ISNA(J52*VLOOKUP($D52,Hypothèses!$D$6:$F$14,3,0)),0,J52*VLOOKUP($D52,Hypothèses!$D$6:$F$14,3,0))</f>
        <v>0</v>
      </c>
      <c r="AM52" s="1335">
        <f>IF(ISNA(K52*VLOOKUP($D52,Hypothèses!$D$6:$F$14,3,0)),0,K52*VLOOKUP($D52,Hypothèses!$D$6:$F$14,3,0))</f>
        <v>0</v>
      </c>
      <c r="AN52" s="1335">
        <f>IF(ISNA(L52*VLOOKUP($D52,Hypothèses!$D$6:$F$14,3,0)),0,L52*VLOOKUP($D52,Hypothèses!$D$6:$F$14,3,0))</f>
        <v>0</v>
      </c>
      <c r="AO52" s="1335">
        <f>IF(ISNA(M52*VLOOKUP($D52,Hypothèses!$D$6:$F$14,3,0)),0,M52*VLOOKUP($D52,Hypothèses!$D$6:$F$14,3,0))</f>
        <v>0</v>
      </c>
      <c r="AP52" s="1335">
        <f>IF(ISNA(N52*VLOOKUP($D52,Hypothèses!$D$6:$F$14,3,0)),0,N52*VLOOKUP($D52,Hypothèses!$D$6:$F$14,3,0))</f>
        <v>0</v>
      </c>
      <c r="AQ52" s="1335">
        <f>IF(ISNA(O52*VLOOKUP($D52,Hypothèses!$D$6:$F$14,3,0)),0,O52*VLOOKUP($D52,Hypothèses!$D$6:$F$14,3,0))</f>
        <v>0</v>
      </c>
      <c r="AR52" s="1335">
        <f>IF(ISNA(P52*VLOOKUP($D52,Hypothèses!$D$6:$F$14,3,0)),0,P52*VLOOKUP($D52,Hypothèses!$D$6:$F$14,3,0))</f>
        <v>0</v>
      </c>
      <c r="AS52" s="1335">
        <f>IF(ISNA(Q52*VLOOKUP($D52,Hypothèses!$D$6:$F$14,3,0)),0,Q52*VLOOKUP($D52,Hypothèses!$D$6:$F$14,3,0))</f>
        <v>0</v>
      </c>
      <c r="AT52" s="1335">
        <f>IF(ISNA(R52*VLOOKUP($D52,Hypothèses!$D$6:$F$14,3,0)),0,R52*VLOOKUP($D52,Hypothèses!$D$6:$F$14,3,0))</f>
        <v>0</v>
      </c>
      <c r="AU52" s="1335">
        <f>IF(ISNA(S52*VLOOKUP($D52,Hypothèses!$D$6:$F$14,3,0)),0,S52*VLOOKUP($D52,Hypothèses!$D$6:$F$14,3,0))</f>
        <v>0</v>
      </c>
      <c r="AV52" s="1335">
        <f>IF(ISNA(T52*VLOOKUP($D52,Hypothèses!$D$6:$F$14,3,0)),0,T52*VLOOKUP($D52,Hypothèses!$D$6:$F$14,3,0))</f>
        <v>0</v>
      </c>
      <c r="AW52" s="1335">
        <f>IF(ISNA(U52*VLOOKUP($D52,Hypothèses!$D$6:$F$14,3,0)),0,U52*VLOOKUP($D52,Hypothèses!$D$6:$F$14,3,0))</f>
        <v>0</v>
      </c>
      <c r="AX52" s="1335">
        <f>IF(ISNA(V52*VLOOKUP($D52,Hypothèses!$D$6:$F$14,3,0)),0,V52*VLOOKUP($D52,Hypothèses!$D$6:$F$14,3,0))</f>
        <v>0</v>
      </c>
      <c r="AY52" s="1335">
        <f>IF(ISNA(W52*VLOOKUP($D52,Hypothèses!$D$6:$F$14,3,0)),0,W52*VLOOKUP($D52,Hypothèses!$D$6:$F$14,3,0))</f>
        <v>0</v>
      </c>
      <c r="AZ52" s="1335">
        <f>IF(ISNA(X52*VLOOKUP($D52,Hypothèses!$D$6:$F$14,3,0)),0,X52*VLOOKUP($D52,Hypothèses!$D$6:$F$14,3,0))</f>
        <v>0</v>
      </c>
      <c r="BA52" s="1335">
        <f>IF(ISNA(Y52*VLOOKUP($D52,Hypothèses!$D$6:$F$14,3,0)),0,Y52*VLOOKUP($D52,Hypothèses!$D$6:$F$14,3,0))</f>
        <v>0</v>
      </c>
      <c r="BB52" s="1335">
        <f>IF(ISNA(Z52*VLOOKUP($D52,Hypothèses!$D$6:$F$14,3,0)),0,Z52*VLOOKUP($D52,Hypothèses!$D$6:$F$14,3,0))</f>
        <v>0</v>
      </c>
      <c r="BC52" s="1335">
        <f>IF(ISNA(AA52*VLOOKUP($D52,Hypothèses!$D$6:$F$14,3,0)),0,AA52*VLOOKUP($D52,Hypothèses!$D$6:$F$14,3,0))</f>
        <v>0</v>
      </c>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row>
    <row r="53" spans="1:89" s="3" customFormat="1">
      <c r="A53" s="1817">
        <v>46</v>
      </c>
      <c r="B53" s="1790"/>
      <c r="C53" s="1333"/>
      <c r="D53" s="1334"/>
      <c r="E53" s="1332" t="str">
        <f>IF(ISNA(VLOOKUP(D53,Hypothèses!$D$6:$G$16,4,0)),"",VLOOKUP(D53,Hypothèses!$D$6:$G$16,4,0))</f>
        <v/>
      </c>
      <c r="F53" s="1842"/>
      <c r="G53" s="1843"/>
      <c r="H53" s="1843"/>
      <c r="I53" s="1843"/>
      <c r="J53" s="1843"/>
      <c r="K53" s="1843"/>
      <c r="L53" s="1843"/>
      <c r="M53" s="1843"/>
      <c r="N53" s="1843"/>
      <c r="O53" s="1843"/>
      <c r="P53" s="1843"/>
      <c r="Q53" s="1843"/>
      <c r="R53" s="1843"/>
      <c r="S53" s="1843"/>
      <c r="T53" s="1843"/>
      <c r="U53" s="1843"/>
      <c r="V53" s="1843"/>
      <c r="W53" s="1843"/>
      <c r="X53" s="1843"/>
      <c r="Y53" s="1843"/>
      <c r="Z53" s="1843"/>
      <c r="AA53" s="1844"/>
      <c r="AB53" s="1335"/>
      <c r="AC53" s="1335"/>
      <c r="AD53" s="1335"/>
      <c r="AE53" s="1335"/>
      <c r="AF53" s="1335"/>
      <c r="AG53"/>
      <c r="AH53" s="1335">
        <f>IF(ISNA(F53*VLOOKUP($D53,Hypothèses!$D$6:$F$14,3,0)),0,F53*VLOOKUP($D53,Hypothèses!$D$6:$F$14,3,0))</f>
        <v>0</v>
      </c>
      <c r="AI53" s="1335">
        <f>IF(ISNA(G53*VLOOKUP($D53,Hypothèses!$D$6:$F$14,3,0)),0,G53*VLOOKUP($D53,Hypothèses!$D$6:$F$14,3,0))</f>
        <v>0</v>
      </c>
      <c r="AJ53" s="1335">
        <f>IF(ISNA(H53*VLOOKUP($D53,Hypothèses!$D$6:$F$14,3,0)),0,H53*VLOOKUP($D53,Hypothèses!$D$6:$F$14,3,0))</f>
        <v>0</v>
      </c>
      <c r="AK53" s="1335">
        <f>IF(ISNA(I53*VLOOKUP($D53,Hypothèses!$D$6:$F$14,3,0)),0,I53*VLOOKUP($D53,Hypothèses!$D$6:$F$14,3,0))</f>
        <v>0</v>
      </c>
      <c r="AL53" s="1335">
        <f>IF(ISNA(J53*VLOOKUP($D53,Hypothèses!$D$6:$F$14,3,0)),0,J53*VLOOKUP($D53,Hypothèses!$D$6:$F$14,3,0))</f>
        <v>0</v>
      </c>
      <c r="AM53" s="1335">
        <f>IF(ISNA(K53*VLOOKUP($D53,Hypothèses!$D$6:$F$14,3,0)),0,K53*VLOOKUP($D53,Hypothèses!$D$6:$F$14,3,0))</f>
        <v>0</v>
      </c>
      <c r="AN53" s="1335">
        <f>IF(ISNA(L53*VLOOKUP($D53,Hypothèses!$D$6:$F$14,3,0)),0,L53*VLOOKUP($D53,Hypothèses!$D$6:$F$14,3,0))</f>
        <v>0</v>
      </c>
      <c r="AO53" s="1335">
        <f>IF(ISNA(M53*VLOOKUP($D53,Hypothèses!$D$6:$F$14,3,0)),0,M53*VLOOKUP($D53,Hypothèses!$D$6:$F$14,3,0))</f>
        <v>0</v>
      </c>
      <c r="AP53" s="1335">
        <f>IF(ISNA(N53*VLOOKUP($D53,Hypothèses!$D$6:$F$14,3,0)),0,N53*VLOOKUP($D53,Hypothèses!$D$6:$F$14,3,0))</f>
        <v>0</v>
      </c>
      <c r="AQ53" s="1335">
        <f>IF(ISNA(O53*VLOOKUP($D53,Hypothèses!$D$6:$F$14,3,0)),0,O53*VLOOKUP($D53,Hypothèses!$D$6:$F$14,3,0))</f>
        <v>0</v>
      </c>
      <c r="AR53" s="1335">
        <f>IF(ISNA(P53*VLOOKUP($D53,Hypothèses!$D$6:$F$14,3,0)),0,P53*VLOOKUP($D53,Hypothèses!$D$6:$F$14,3,0))</f>
        <v>0</v>
      </c>
      <c r="AS53" s="1335">
        <f>IF(ISNA(Q53*VLOOKUP($D53,Hypothèses!$D$6:$F$14,3,0)),0,Q53*VLOOKUP($D53,Hypothèses!$D$6:$F$14,3,0))</f>
        <v>0</v>
      </c>
      <c r="AT53" s="1335">
        <f>IF(ISNA(R53*VLOOKUP($D53,Hypothèses!$D$6:$F$14,3,0)),0,R53*VLOOKUP($D53,Hypothèses!$D$6:$F$14,3,0))</f>
        <v>0</v>
      </c>
      <c r="AU53" s="1335">
        <f>IF(ISNA(S53*VLOOKUP($D53,Hypothèses!$D$6:$F$14,3,0)),0,S53*VLOOKUP($D53,Hypothèses!$D$6:$F$14,3,0))</f>
        <v>0</v>
      </c>
      <c r="AV53" s="1335">
        <f>IF(ISNA(T53*VLOOKUP($D53,Hypothèses!$D$6:$F$14,3,0)),0,T53*VLOOKUP($D53,Hypothèses!$D$6:$F$14,3,0))</f>
        <v>0</v>
      </c>
      <c r="AW53" s="1335">
        <f>IF(ISNA(U53*VLOOKUP($D53,Hypothèses!$D$6:$F$14,3,0)),0,U53*VLOOKUP($D53,Hypothèses!$D$6:$F$14,3,0))</f>
        <v>0</v>
      </c>
      <c r="AX53" s="1335">
        <f>IF(ISNA(V53*VLOOKUP($D53,Hypothèses!$D$6:$F$14,3,0)),0,V53*VLOOKUP($D53,Hypothèses!$D$6:$F$14,3,0))</f>
        <v>0</v>
      </c>
      <c r="AY53" s="1335">
        <f>IF(ISNA(W53*VLOOKUP($D53,Hypothèses!$D$6:$F$14,3,0)),0,W53*VLOOKUP($D53,Hypothèses!$D$6:$F$14,3,0))</f>
        <v>0</v>
      </c>
      <c r="AZ53" s="1335">
        <f>IF(ISNA(X53*VLOOKUP($D53,Hypothèses!$D$6:$F$14,3,0)),0,X53*VLOOKUP($D53,Hypothèses!$D$6:$F$14,3,0))</f>
        <v>0</v>
      </c>
      <c r="BA53" s="1335">
        <f>IF(ISNA(Y53*VLOOKUP($D53,Hypothèses!$D$6:$F$14,3,0)),0,Y53*VLOOKUP($D53,Hypothèses!$D$6:$F$14,3,0))</f>
        <v>0</v>
      </c>
      <c r="BB53" s="1335">
        <f>IF(ISNA(Z53*VLOOKUP($D53,Hypothèses!$D$6:$F$14,3,0)),0,Z53*VLOOKUP($D53,Hypothèses!$D$6:$F$14,3,0))</f>
        <v>0</v>
      </c>
      <c r="BC53" s="1335">
        <f>IF(ISNA(AA53*VLOOKUP($D53,Hypothèses!$D$6:$F$14,3,0)),0,AA53*VLOOKUP($D53,Hypothèses!$D$6:$F$14,3,0))</f>
        <v>0</v>
      </c>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row>
    <row r="54" spans="1:89" s="3" customFormat="1">
      <c r="A54" s="1817">
        <v>47</v>
      </c>
      <c r="B54" s="1790"/>
      <c r="C54" s="1333"/>
      <c r="D54" s="1334"/>
      <c r="E54" s="1332" t="str">
        <f>IF(ISNA(VLOOKUP(D54,Hypothèses!$D$6:$G$16,4,0)),"",VLOOKUP(D54,Hypothèses!$D$6:$G$16,4,0))</f>
        <v/>
      </c>
      <c r="F54" s="1842"/>
      <c r="G54" s="1843"/>
      <c r="H54" s="1843"/>
      <c r="I54" s="1843"/>
      <c r="J54" s="1843"/>
      <c r="K54" s="1843"/>
      <c r="L54" s="1843"/>
      <c r="M54" s="1843"/>
      <c r="N54" s="1843"/>
      <c r="O54" s="1843"/>
      <c r="P54" s="1843"/>
      <c r="Q54" s="1843"/>
      <c r="R54" s="1843"/>
      <c r="S54" s="1843"/>
      <c r="T54" s="1843"/>
      <c r="U54" s="1843"/>
      <c r="V54" s="1843"/>
      <c r="W54" s="1843"/>
      <c r="X54" s="1843"/>
      <c r="Y54" s="1843"/>
      <c r="Z54" s="1843"/>
      <c r="AA54" s="1844"/>
      <c r="AB54" s="1335"/>
      <c r="AC54" s="1335"/>
      <c r="AD54" s="1335"/>
      <c r="AE54" s="1335"/>
      <c r="AF54" s="1335"/>
      <c r="AG54"/>
      <c r="AH54" s="1335">
        <f>IF(ISNA(F54*VLOOKUP($D54,Hypothèses!$D$6:$F$14,3,0)),0,F54*VLOOKUP($D54,Hypothèses!$D$6:$F$14,3,0))</f>
        <v>0</v>
      </c>
      <c r="AI54" s="1335">
        <f>IF(ISNA(G54*VLOOKUP($D54,Hypothèses!$D$6:$F$14,3,0)),0,G54*VLOOKUP($D54,Hypothèses!$D$6:$F$14,3,0))</f>
        <v>0</v>
      </c>
      <c r="AJ54" s="1335">
        <f>IF(ISNA(H54*VLOOKUP($D54,Hypothèses!$D$6:$F$14,3,0)),0,H54*VLOOKUP($D54,Hypothèses!$D$6:$F$14,3,0))</f>
        <v>0</v>
      </c>
      <c r="AK54" s="1335">
        <f>IF(ISNA(I54*VLOOKUP($D54,Hypothèses!$D$6:$F$14,3,0)),0,I54*VLOOKUP($D54,Hypothèses!$D$6:$F$14,3,0))</f>
        <v>0</v>
      </c>
      <c r="AL54" s="1335">
        <f>IF(ISNA(J54*VLOOKUP($D54,Hypothèses!$D$6:$F$14,3,0)),0,J54*VLOOKUP($D54,Hypothèses!$D$6:$F$14,3,0))</f>
        <v>0</v>
      </c>
      <c r="AM54" s="1335">
        <f>IF(ISNA(K54*VLOOKUP($D54,Hypothèses!$D$6:$F$14,3,0)),0,K54*VLOOKUP($D54,Hypothèses!$D$6:$F$14,3,0))</f>
        <v>0</v>
      </c>
      <c r="AN54" s="1335">
        <f>IF(ISNA(L54*VLOOKUP($D54,Hypothèses!$D$6:$F$14,3,0)),0,L54*VLOOKUP($D54,Hypothèses!$D$6:$F$14,3,0))</f>
        <v>0</v>
      </c>
      <c r="AO54" s="1335">
        <f>IF(ISNA(M54*VLOOKUP($D54,Hypothèses!$D$6:$F$14,3,0)),0,M54*VLOOKUP($D54,Hypothèses!$D$6:$F$14,3,0))</f>
        <v>0</v>
      </c>
      <c r="AP54" s="1335">
        <f>IF(ISNA(N54*VLOOKUP($D54,Hypothèses!$D$6:$F$14,3,0)),0,N54*VLOOKUP($D54,Hypothèses!$D$6:$F$14,3,0))</f>
        <v>0</v>
      </c>
      <c r="AQ54" s="1335">
        <f>IF(ISNA(O54*VLOOKUP($D54,Hypothèses!$D$6:$F$14,3,0)),0,O54*VLOOKUP($D54,Hypothèses!$D$6:$F$14,3,0))</f>
        <v>0</v>
      </c>
      <c r="AR54" s="1335">
        <f>IF(ISNA(P54*VLOOKUP($D54,Hypothèses!$D$6:$F$14,3,0)),0,P54*VLOOKUP($D54,Hypothèses!$D$6:$F$14,3,0))</f>
        <v>0</v>
      </c>
      <c r="AS54" s="1335">
        <f>IF(ISNA(Q54*VLOOKUP($D54,Hypothèses!$D$6:$F$14,3,0)),0,Q54*VLOOKUP($D54,Hypothèses!$D$6:$F$14,3,0))</f>
        <v>0</v>
      </c>
      <c r="AT54" s="1335">
        <f>IF(ISNA(R54*VLOOKUP($D54,Hypothèses!$D$6:$F$14,3,0)),0,R54*VLOOKUP($D54,Hypothèses!$D$6:$F$14,3,0))</f>
        <v>0</v>
      </c>
      <c r="AU54" s="1335">
        <f>IF(ISNA(S54*VLOOKUP($D54,Hypothèses!$D$6:$F$14,3,0)),0,S54*VLOOKUP($D54,Hypothèses!$D$6:$F$14,3,0))</f>
        <v>0</v>
      </c>
      <c r="AV54" s="1335">
        <f>IF(ISNA(T54*VLOOKUP($D54,Hypothèses!$D$6:$F$14,3,0)),0,T54*VLOOKUP($D54,Hypothèses!$D$6:$F$14,3,0))</f>
        <v>0</v>
      </c>
      <c r="AW54" s="1335">
        <f>IF(ISNA(U54*VLOOKUP($D54,Hypothèses!$D$6:$F$14,3,0)),0,U54*VLOOKUP($D54,Hypothèses!$D$6:$F$14,3,0))</f>
        <v>0</v>
      </c>
      <c r="AX54" s="1335">
        <f>IF(ISNA(V54*VLOOKUP($D54,Hypothèses!$D$6:$F$14,3,0)),0,V54*VLOOKUP($D54,Hypothèses!$D$6:$F$14,3,0))</f>
        <v>0</v>
      </c>
      <c r="AY54" s="1335">
        <f>IF(ISNA(W54*VLOOKUP($D54,Hypothèses!$D$6:$F$14,3,0)),0,W54*VLOOKUP($D54,Hypothèses!$D$6:$F$14,3,0))</f>
        <v>0</v>
      </c>
      <c r="AZ54" s="1335">
        <f>IF(ISNA(X54*VLOOKUP($D54,Hypothèses!$D$6:$F$14,3,0)),0,X54*VLOOKUP($D54,Hypothèses!$D$6:$F$14,3,0))</f>
        <v>0</v>
      </c>
      <c r="BA54" s="1335">
        <f>IF(ISNA(Y54*VLOOKUP($D54,Hypothèses!$D$6:$F$14,3,0)),0,Y54*VLOOKUP($D54,Hypothèses!$D$6:$F$14,3,0))</f>
        <v>0</v>
      </c>
      <c r="BB54" s="1335">
        <f>IF(ISNA(Z54*VLOOKUP($D54,Hypothèses!$D$6:$F$14,3,0)),0,Z54*VLOOKUP($D54,Hypothèses!$D$6:$F$14,3,0))</f>
        <v>0</v>
      </c>
      <c r="BC54" s="1335">
        <f>IF(ISNA(AA54*VLOOKUP($D54,Hypothèses!$D$6:$F$14,3,0)),0,AA54*VLOOKUP($D54,Hypothèses!$D$6:$F$14,3,0))</f>
        <v>0</v>
      </c>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row>
    <row r="55" spans="1:89" s="3" customFormat="1">
      <c r="A55" s="1817">
        <v>48</v>
      </c>
      <c r="B55" s="1790"/>
      <c r="C55" s="1333"/>
      <c r="D55" s="1334"/>
      <c r="E55" s="1332" t="str">
        <f>IF(ISNA(VLOOKUP(D55,Hypothèses!$D$6:$G$16,4,0)),"",VLOOKUP(D55,Hypothèses!$D$6:$G$16,4,0))</f>
        <v/>
      </c>
      <c r="F55" s="1842"/>
      <c r="G55" s="1843"/>
      <c r="H55" s="1843"/>
      <c r="I55" s="1843"/>
      <c r="J55" s="1843"/>
      <c r="K55" s="1843"/>
      <c r="L55" s="1843"/>
      <c r="M55" s="1843"/>
      <c r="N55" s="1843"/>
      <c r="O55" s="1843"/>
      <c r="P55" s="1843"/>
      <c r="Q55" s="1843"/>
      <c r="R55" s="1843"/>
      <c r="S55" s="1843"/>
      <c r="T55" s="1843"/>
      <c r="U55" s="1843"/>
      <c r="V55" s="1843"/>
      <c r="W55" s="1843"/>
      <c r="X55" s="1843"/>
      <c r="Y55" s="1843"/>
      <c r="Z55" s="1843"/>
      <c r="AA55" s="1844"/>
      <c r="AB55" s="1335"/>
      <c r="AC55" s="1335"/>
      <c r="AD55" s="1335"/>
      <c r="AE55" s="1335"/>
      <c r="AF55" s="1335"/>
      <c r="AG55"/>
      <c r="AH55" s="1335">
        <f>IF(ISNA(F55*VLOOKUP($D55,Hypothèses!$D$6:$F$14,3,0)),0,F55*VLOOKUP($D55,Hypothèses!$D$6:$F$14,3,0))</f>
        <v>0</v>
      </c>
      <c r="AI55" s="1335">
        <f>IF(ISNA(G55*VLOOKUP($D55,Hypothèses!$D$6:$F$14,3,0)),0,G55*VLOOKUP($D55,Hypothèses!$D$6:$F$14,3,0))</f>
        <v>0</v>
      </c>
      <c r="AJ55" s="1335">
        <f>IF(ISNA(H55*VLOOKUP($D55,Hypothèses!$D$6:$F$14,3,0)),0,H55*VLOOKUP($D55,Hypothèses!$D$6:$F$14,3,0))</f>
        <v>0</v>
      </c>
      <c r="AK55" s="1335">
        <f>IF(ISNA(I55*VLOOKUP($D55,Hypothèses!$D$6:$F$14,3,0)),0,I55*VLOOKUP($D55,Hypothèses!$D$6:$F$14,3,0))</f>
        <v>0</v>
      </c>
      <c r="AL55" s="1335">
        <f>IF(ISNA(J55*VLOOKUP($D55,Hypothèses!$D$6:$F$14,3,0)),0,J55*VLOOKUP($D55,Hypothèses!$D$6:$F$14,3,0))</f>
        <v>0</v>
      </c>
      <c r="AM55" s="1335">
        <f>IF(ISNA(K55*VLOOKUP($D55,Hypothèses!$D$6:$F$14,3,0)),0,K55*VLOOKUP($D55,Hypothèses!$D$6:$F$14,3,0))</f>
        <v>0</v>
      </c>
      <c r="AN55" s="1335">
        <f>IF(ISNA(L55*VLOOKUP($D55,Hypothèses!$D$6:$F$14,3,0)),0,L55*VLOOKUP($D55,Hypothèses!$D$6:$F$14,3,0))</f>
        <v>0</v>
      </c>
      <c r="AO55" s="1335">
        <f>IF(ISNA(M55*VLOOKUP($D55,Hypothèses!$D$6:$F$14,3,0)),0,M55*VLOOKUP($D55,Hypothèses!$D$6:$F$14,3,0))</f>
        <v>0</v>
      </c>
      <c r="AP55" s="1335">
        <f>IF(ISNA(N55*VLOOKUP($D55,Hypothèses!$D$6:$F$14,3,0)),0,N55*VLOOKUP($D55,Hypothèses!$D$6:$F$14,3,0))</f>
        <v>0</v>
      </c>
      <c r="AQ55" s="1335">
        <f>IF(ISNA(O55*VLOOKUP($D55,Hypothèses!$D$6:$F$14,3,0)),0,O55*VLOOKUP($D55,Hypothèses!$D$6:$F$14,3,0))</f>
        <v>0</v>
      </c>
      <c r="AR55" s="1335">
        <f>IF(ISNA(P55*VLOOKUP($D55,Hypothèses!$D$6:$F$14,3,0)),0,P55*VLOOKUP($D55,Hypothèses!$D$6:$F$14,3,0))</f>
        <v>0</v>
      </c>
      <c r="AS55" s="1335">
        <f>IF(ISNA(Q55*VLOOKUP($D55,Hypothèses!$D$6:$F$14,3,0)),0,Q55*VLOOKUP($D55,Hypothèses!$D$6:$F$14,3,0))</f>
        <v>0</v>
      </c>
      <c r="AT55" s="1335">
        <f>IF(ISNA(R55*VLOOKUP($D55,Hypothèses!$D$6:$F$14,3,0)),0,R55*VLOOKUP($D55,Hypothèses!$D$6:$F$14,3,0))</f>
        <v>0</v>
      </c>
      <c r="AU55" s="1335">
        <f>IF(ISNA(S55*VLOOKUP($D55,Hypothèses!$D$6:$F$14,3,0)),0,S55*VLOOKUP($D55,Hypothèses!$D$6:$F$14,3,0))</f>
        <v>0</v>
      </c>
      <c r="AV55" s="1335">
        <f>IF(ISNA(T55*VLOOKUP($D55,Hypothèses!$D$6:$F$14,3,0)),0,T55*VLOOKUP($D55,Hypothèses!$D$6:$F$14,3,0))</f>
        <v>0</v>
      </c>
      <c r="AW55" s="1335">
        <f>IF(ISNA(U55*VLOOKUP($D55,Hypothèses!$D$6:$F$14,3,0)),0,U55*VLOOKUP($D55,Hypothèses!$D$6:$F$14,3,0))</f>
        <v>0</v>
      </c>
      <c r="AX55" s="1335">
        <f>IF(ISNA(V55*VLOOKUP($D55,Hypothèses!$D$6:$F$14,3,0)),0,V55*VLOOKUP($D55,Hypothèses!$D$6:$F$14,3,0))</f>
        <v>0</v>
      </c>
      <c r="AY55" s="1335">
        <f>IF(ISNA(W55*VLOOKUP($D55,Hypothèses!$D$6:$F$14,3,0)),0,W55*VLOOKUP($D55,Hypothèses!$D$6:$F$14,3,0))</f>
        <v>0</v>
      </c>
      <c r="AZ55" s="1335">
        <f>IF(ISNA(X55*VLOOKUP($D55,Hypothèses!$D$6:$F$14,3,0)),0,X55*VLOOKUP($D55,Hypothèses!$D$6:$F$14,3,0))</f>
        <v>0</v>
      </c>
      <c r="BA55" s="1335">
        <f>IF(ISNA(Y55*VLOOKUP($D55,Hypothèses!$D$6:$F$14,3,0)),0,Y55*VLOOKUP($D55,Hypothèses!$D$6:$F$14,3,0))</f>
        <v>0</v>
      </c>
      <c r="BB55" s="1335">
        <f>IF(ISNA(Z55*VLOOKUP($D55,Hypothèses!$D$6:$F$14,3,0)),0,Z55*VLOOKUP($D55,Hypothèses!$D$6:$F$14,3,0))</f>
        <v>0</v>
      </c>
      <c r="BC55" s="1335">
        <f>IF(ISNA(AA55*VLOOKUP($D55,Hypothèses!$D$6:$F$14,3,0)),0,AA55*VLOOKUP($D55,Hypothèses!$D$6:$F$14,3,0))</f>
        <v>0</v>
      </c>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row>
    <row r="56" spans="1:89" s="3" customFormat="1">
      <c r="A56" s="1817">
        <v>49</v>
      </c>
      <c r="B56" s="1790"/>
      <c r="C56" s="1333"/>
      <c r="D56" s="1334"/>
      <c r="E56" s="1332" t="str">
        <f>IF(ISNA(VLOOKUP(D56,Hypothèses!$D$6:$G$16,4,0)),"",VLOOKUP(D56,Hypothèses!$D$6:$G$16,4,0))</f>
        <v/>
      </c>
      <c r="F56" s="1842"/>
      <c r="G56" s="1843"/>
      <c r="H56" s="1843"/>
      <c r="I56" s="1843"/>
      <c r="J56" s="1843"/>
      <c r="K56" s="1843"/>
      <c r="L56" s="1843"/>
      <c r="M56" s="1843"/>
      <c r="N56" s="1843"/>
      <c r="O56" s="1843"/>
      <c r="P56" s="1843"/>
      <c r="Q56" s="1843"/>
      <c r="R56" s="1843"/>
      <c r="S56" s="1843"/>
      <c r="T56" s="1843"/>
      <c r="U56" s="1843"/>
      <c r="V56" s="1843"/>
      <c r="W56" s="1843"/>
      <c r="X56" s="1843"/>
      <c r="Y56" s="1843"/>
      <c r="Z56" s="1843"/>
      <c r="AA56" s="1844"/>
      <c r="AB56" s="1335"/>
      <c r="AC56" s="1335"/>
      <c r="AD56" s="1335"/>
      <c r="AE56" s="1335"/>
      <c r="AF56" s="1335"/>
      <c r="AG56"/>
      <c r="AH56" s="1335">
        <f>IF(ISNA(F56*VLOOKUP($D56,Hypothèses!$D$6:$F$14,3,0)),0,F56*VLOOKUP($D56,Hypothèses!$D$6:$F$14,3,0))</f>
        <v>0</v>
      </c>
      <c r="AI56" s="1335">
        <f>IF(ISNA(G56*VLOOKUP($D56,Hypothèses!$D$6:$F$14,3,0)),0,G56*VLOOKUP($D56,Hypothèses!$D$6:$F$14,3,0))</f>
        <v>0</v>
      </c>
      <c r="AJ56" s="1335">
        <f>IF(ISNA(H56*VLOOKUP($D56,Hypothèses!$D$6:$F$14,3,0)),0,H56*VLOOKUP($D56,Hypothèses!$D$6:$F$14,3,0))</f>
        <v>0</v>
      </c>
      <c r="AK56" s="1335">
        <f>IF(ISNA(I56*VLOOKUP($D56,Hypothèses!$D$6:$F$14,3,0)),0,I56*VLOOKUP($D56,Hypothèses!$D$6:$F$14,3,0))</f>
        <v>0</v>
      </c>
      <c r="AL56" s="1335">
        <f>IF(ISNA(J56*VLOOKUP($D56,Hypothèses!$D$6:$F$14,3,0)),0,J56*VLOOKUP($D56,Hypothèses!$D$6:$F$14,3,0))</f>
        <v>0</v>
      </c>
      <c r="AM56" s="1335">
        <f>IF(ISNA(K56*VLOOKUP($D56,Hypothèses!$D$6:$F$14,3,0)),0,K56*VLOOKUP($D56,Hypothèses!$D$6:$F$14,3,0))</f>
        <v>0</v>
      </c>
      <c r="AN56" s="1335">
        <f>IF(ISNA(L56*VLOOKUP($D56,Hypothèses!$D$6:$F$14,3,0)),0,L56*VLOOKUP($D56,Hypothèses!$D$6:$F$14,3,0))</f>
        <v>0</v>
      </c>
      <c r="AO56" s="1335">
        <f>IF(ISNA(M56*VLOOKUP($D56,Hypothèses!$D$6:$F$14,3,0)),0,M56*VLOOKUP($D56,Hypothèses!$D$6:$F$14,3,0))</f>
        <v>0</v>
      </c>
      <c r="AP56" s="1335">
        <f>IF(ISNA(N56*VLOOKUP($D56,Hypothèses!$D$6:$F$14,3,0)),0,N56*VLOOKUP($D56,Hypothèses!$D$6:$F$14,3,0))</f>
        <v>0</v>
      </c>
      <c r="AQ56" s="1335">
        <f>IF(ISNA(O56*VLOOKUP($D56,Hypothèses!$D$6:$F$14,3,0)),0,O56*VLOOKUP($D56,Hypothèses!$D$6:$F$14,3,0))</f>
        <v>0</v>
      </c>
      <c r="AR56" s="1335">
        <f>IF(ISNA(P56*VLOOKUP($D56,Hypothèses!$D$6:$F$14,3,0)),0,P56*VLOOKUP($D56,Hypothèses!$D$6:$F$14,3,0))</f>
        <v>0</v>
      </c>
      <c r="AS56" s="1335">
        <f>IF(ISNA(Q56*VLOOKUP($D56,Hypothèses!$D$6:$F$14,3,0)),0,Q56*VLOOKUP($D56,Hypothèses!$D$6:$F$14,3,0))</f>
        <v>0</v>
      </c>
      <c r="AT56" s="1335">
        <f>IF(ISNA(R56*VLOOKUP($D56,Hypothèses!$D$6:$F$14,3,0)),0,R56*VLOOKUP($D56,Hypothèses!$D$6:$F$14,3,0))</f>
        <v>0</v>
      </c>
      <c r="AU56" s="1335">
        <f>IF(ISNA(S56*VLOOKUP($D56,Hypothèses!$D$6:$F$14,3,0)),0,S56*VLOOKUP($D56,Hypothèses!$D$6:$F$14,3,0))</f>
        <v>0</v>
      </c>
      <c r="AV56" s="1335">
        <f>IF(ISNA(T56*VLOOKUP($D56,Hypothèses!$D$6:$F$14,3,0)),0,T56*VLOOKUP($D56,Hypothèses!$D$6:$F$14,3,0))</f>
        <v>0</v>
      </c>
      <c r="AW56" s="1335">
        <f>IF(ISNA(U56*VLOOKUP($D56,Hypothèses!$D$6:$F$14,3,0)),0,U56*VLOOKUP($D56,Hypothèses!$D$6:$F$14,3,0))</f>
        <v>0</v>
      </c>
      <c r="AX56" s="1335">
        <f>IF(ISNA(V56*VLOOKUP($D56,Hypothèses!$D$6:$F$14,3,0)),0,V56*VLOOKUP($D56,Hypothèses!$D$6:$F$14,3,0))</f>
        <v>0</v>
      </c>
      <c r="AY56" s="1335">
        <f>IF(ISNA(W56*VLOOKUP($D56,Hypothèses!$D$6:$F$14,3,0)),0,W56*VLOOKUP($D56,Hypothèses!$D$6:$F$14,3,0))</f>
        <v>0</v>
      </c>
      <c r="AZ56" s="1335">
        <f>IF(ISNA(X56*VLOOKUP($D56,Hypothèses!$D$6:$F$14,3,0)),0,X56*VLOOKUP($D56,Hypothèses!$D$6:$F$14,3,0))</f>
        <v>0</v>
      </c>
      <c r="BA56" s="1335">
        <f>IF(ISNA(Y56*VLOOKUP($D56,Hypothèses!$D$6:$F$14,3,0)),0,Y56*VLOOKUP($D56,Hypothèses!$D$6:$F$14,3,0))</f>
        <v>0</v>
      </c>
      <c r="BB56" s="1335">
        <f>IF(ISNA(Z56*VLOOKUP($D56,Hypothèses!$D$6:$F$14,3,0)),0,Z56*VLOOKUP($D56,Hypothèses!$D$6:$F$14,3,0))</f>
        <v>0</v>
      </c>
      <c r="BC56" s="1335">
        <f>IF(ISNA(AA56*VLOOKUP($D56,Hypothèses!$D$6:$F$14,3,0)),0,AA56*VLOOKUP($D56,Hypothèses!$D$6:$F$14,3,0))</f>
        <v>0</v>
      </c>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row>
    <row r="57" spans="1:89" s="3" customFormat="1">
      <c r="A57" s="1817">
        <v>50</v>
      </c>
      <c r="B57" s="1790"/>
      <c r="C57" s="1333"/>
      <c r="D57" s="1334"/>
      <c r="E57" s="1332" t="str">
        <f>IF(ISNA(VLOOKUP(D57,Hypothèses!$D$6:$G$16,4,0)),"",VLOOKUP(D57,Hypothèses!$D$6:$G$16,4,0))</f>
        <v/>
      </c>
      <c r="F57" s="1842"/>
      <c r="G57" s="1843"/>
      <c r="H57" s="1843"/>
      <c r="I57" s="1843"/>
      <c r="J57" s="1843"/>
      <c r="K57" s="1843"/>
      <c r="L57" s="1843"/>
      <c r="M57" s="1843"/>
      <c r="N57" s="1843"/>
      <c r="O57" s="1843"/>
      <c r="P57" s="1843"/>
      <c r="Q57" s="1843"/>
      <c r="R57" s="1843"/>
      <c r="S57" s="1843"/>
      <c r="T57" s="1843"/>
      <c r="U57" s="1843"/>
      <c r="V57" s="1843"/>
      <c r="W57" s="1843"/>
      <c r="X57" s="1843"/>
      <c r="Y57" s="1843"/>
      <c r="Z57" s="1843"/>
      <c r="AA57" s="1844"/>
      <c r="AB57" s="1335"/>
      <c r="AC57" s="1335"/>
      <c r="AD57" s="1335"/>
      <c r="AE57" s="1335"/>
      <c r="AF57" s="1335"/>
      <c r="AG57"/>
      <c r="AH57" s="1335">
        <f>IF(ISNA(F57*VLOOKUP($D57,Hypothèses!$D$6:$F$14,3,0)),0,F57*VLOOKUP($D57,Hypothèses!$D$6:$F$14,3,0))</f>
        <v>0</v>
      </c>
      <c r="AI57" s="1335">
        <f>IF(ISNA(G57*VLOOKUP($D57,Hypothèses!$D$6:$F$14,3,0)),0,G57*VLOOKUP($D57,Hypothèses!$D$6:$F$14,3,0))</f>
        <v>0</v>
      </c>
      <c r="AJ57" s="1335">
        <f>IF(ISNA(H57*VLOOKUP($D57,Hypothèses!$D$6:$F$14,3,0)),0,H57*VLOOKUP($D57,Hypothèses!$D$6:$F$14,3,0))</f>
        <v>0</v>
      </c>
      <c r="AK57" s="1335">
        <f>IF(ISNA(I57*VLOOKUP($D57,Hypothèses!$D$6:$F$14,3,0)),0,I57*VLOOKUP($D57,Hypothèses!$D$6:$F$14,3,0))</f>
        <v>0</v>
      </c>
      <c r="AL57" s="1335">
        <f>IF(ISNA(J57*VLOOKUP($D57,Hypothèses!$D$6:$F$14,3,0)),0,J57*VLOOKUP($D57,Hypothèses!$D$6:$F$14,3,0))</f>
        <v>0</v>
      </c>
      <c r="AM57" s="1335">
        <f>IF(ISNA(K57*VLOOKUP($D57,Hypothèses!$D$6:$F$14,3,0)),0,K57*VLOOKUP($D57,Hypothèses!$D$6:$F$14,3,0))</f>
        <v>0</v>
      </c>
      <c r="AN57" s="1335">
        <f>IF(ISNA(L57*VLOOKUP($D57,Hypothèses!$D$6:$F$14,3,0)),0,L57*VLOOKUP($D57,Hypothèses!$D$6:$F$14,3,0))</f>
        <v>0</v>
      </c>
      <c r="AO57" s="1335">
        <f>IF(ISNA(M57*VLOOKUP($D57,Hypothèses!$D$6:$F$14,3,0)),0,M57*VLOOKUP($D57,Hypothèses!$D$6:$F$14,3,0))</f>
        <v>0</v>
      </c>
      <c r="AP57" s="1335">
        <f>IF(ISNA(N57*VLOOKUP($D57,Hypothèses!$D$6:$F$14,3,0)),0,N57*VLOOKUP($D57,Hypothèses!$D$6:$F$14,3,0))</f>
        <v>0</v>
      </c>
      <c r="AQ57" s="1335">
        <f>IF(ISNA(O57*VLOOKUP($D57,Hypothèses!$D$6:$F$14,3,0)),0,O57*VLOOKUP($D57,Hypothèses!$D$6:$F$14,3,0))</f>
        <v>0</v>
      </c>
      <c r="AR57" s="1335">
        <f>IF(ISNA(P57*VLOOKUP($D57,Hypothèses!$D$6:$F$14,3,0)),0,P57*VLOOKUP($D57,Hypothèses!$D$6:$F$14,3,0))</f>
        <v>0</v>
      </c>
      <c r="AS57" s="1335">
        <f>IF(ISNA(Q57*VLOOKUP($D57,Hypothèses!$D$6:$F$14,3,0)),0,Q57*VLOOKUP($D57,Hypothèses!$D$6:$F$14,3,0))</f>
        <v>0</v>
      </c>
      <c r="AT57" s="1335">
        <f>IF(ISNA(R57*VLOOKUP($D57,Hypothèses!$D$6:$F$14,3,0)),0,R57*VLOOKUP($D57,Hypothèses!$D$6:$F$14,3,0))</f>
        <v>0</v>
      </c>
      <c r="AU57" s="1335">
        <f>IF(ISNA(S57*VLOOKUP($D57,Hypothèses!$D$6:$F$14,3,0)),0,S57*VLOOKUP($D57,Hypothèses!$D$6:$F$14,3,0))</f>
        <v>0</v>
      </c>
      <c r="AV57" s="1335">
        <f>IF(ISNA(T57*VLOOKUP($D57,Hypothèses!$D$6:$F$14,3,0)),0,T57*VLOOKUP($D57,Hypothèses!$D$6:$F$14,3,0))</f>
        <v>0</v>
      </c>
      <c r="AW57" s="1335">
        <f>IF(ISNA(U57*VLOOKUP($D57,Hypothèses!$D$6:$F$14,3,0)),0,U57*VLOOKUP($D57,Hypothèses!$D$6:$F$14,3,0))</f>
        <v>0</v>
      </c>
      <c r="AX57" s="1335">
        <f>IF(ISNA(V57*VLOOKUP($D57,Hypothèses!$D$6:$F$14,3,0)),0,V57*VLOOKUP($D57,Hypothèses!$D$6:$F$14,3,0))</f>
        <v>0</v>
      </c>
      <c r="AY57" s="1335">
        <f>IF(ISNA(W57*VLOOKUP($D57,Hypothèses!$D$6:$F$14,3,0)),0,W57*VLOOKUP($D57,Hypothèses!$D$6:$F$14,3,0))</f>
        <v>0</v>
      </c>
      <c r="AZ57" s="1335">
        <f>IF(ISNA(X57*VLOOKUP($D57,Hypothèses!$D$6:$F$14,3,0)),0,X57*VLOOKUP($D57,Hypothèses!$D$6:$F$14,3,0))</f>
        <v>0</v>
      </c>
      <c r="BA57" s="1335">
        <f>IF(ISNA(Y57*VLOOKUP($D57,Hypothèses!$D$6:$F$14,3,0)),0,Y57*VLOOKUP($D57,Hypothèses!$D$6:$F$14,3,0))</f>
        <v>0</v>
      </c>
      <c r="BB57" s="1335">
        <f>IF(ISNA(Z57*VLOOKUP($D57,Hypothèses!$D$6:$F$14,3,0)),0,Z57*VLOOKUP($D57,Hypothèses!$D$6:$F$14,3,0))</f>
        <v>0</v>
      </c>
      <c r="BC57" s="1335">
        <f>IF(ISNA(AA57*VLOOKUP($D57,Hypothèses!$D$6:$F$14,3,0)),0,AA57*VLOOKUP($D57,Hypothèses!$D$6:$F$14,3,0))</f>
        <v>0</v>
      </c>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row>
    <row r="58" spans="1:89" s="3" customFormat="1">
      <c r="A58" s="1817">
        <v>51</v>
      </c>
      <c r="B58" s="1790"/>
      <c r="C58" s="1333"/>
      <c r="D58" s="1334"/>
      <c r="E58" s="1332" t="str">
        <f>IF(ISNA(VLOOKUP(D58,Hypothèses!$D$6:$G$16,4,0)),"",VLOOKUP(D58,Hypothèses!$D$6:$G$16,4,0))</f>
        <v/>
      </c>
      <c r="F58" s="1842"/>
      <c r="G58" s="1843"/>
      <c r="H58" s="1843"/>
      <c r="I58" s="1843"/>
      <c r="J58" s="1843"/>
      <c r="K58" s="1843"/>
      <c r="L58" s="1843"/>
      <c r="M58" s="1843"/>
      <c r="N58" s="1843"/>
      <c r="O58" s="1843"/>
      <c r="P58" s="1843"/>
      <c r="Q58" s="1843"/>
      <c r="R58" s="1843"/>
      <c r="S58" s="1843"/>
      <c r="T58" s="1843"/>
      <c r="U58" s="1843"/>
      <c r="V58" s="1843"/>
      <c r="W58" s="1843"/>
      <c r="X58" s="1843"/>
      <c r="Y58" s="1843"/>
      <c r="Z58" s="1843"/>
      <c r="AA58" s="1844"/>
      <c r="AB58" s="1335"/>
      <c r="AC58" s="1335"/>
      <c r="AD58" s="1335"/>
      <c r="AE58" s="1335"/>
      <c r="AF58" s="1335"/>
      <c r="AG58"/>
      <c r="AH58" s="1335">
        <f>IF(ISNA(F58*VLOOKUP($D58,Hypothèses!$D$6:$F$14,3,0)),0,F58*VLOOKUP($D58,Hypothèses!$D$6:$F$14,3,0))</f>
        <v>0</v>
      </c>
      <c r="AI58" s="1335">
        <f>IF(ISNA(G58*VLOOKUP($D58,Hypothèses!$D$6:$F$14,3,0)),0,G58*VLOOKUP($D58,Hypothèses!$D$6:$F$14,3,0))</f>
        <v>0</v>
      </c>
      <c r="AJ58" s="1335">
        <f>IF(ISNA(H58*VLOOKUP($D58,Hypothèses!$D$6:$F$14,3,0)),0,H58*VLOOKUP($D58,Hypothèses!$D$6:$F$14,3,0))</f>
        <v>0</v>
      </c>
      <c r="AK58" s="1335">
        <f>IF(ISNA(I58*VLOOKUP($D58,Hypothèses!$D$6:$F$14,3,0)),0,I58*VLOOKUP($D58,Hypothèses!$D$6:$F$14,3,0))</f>
        <v>0</v>
      </c>
      <c r="AL58" s="1335">
        <f>IF(ISNA(J58*VLOOKUP($D58,Hypothèses!$D$6:$F$14,3,0)),0,J58*VLOOKUP($D58,Hypothèses!$D$6:$F$14,3,0))</f>
        <v>0</v>
      </c>
      <c r="AM58" s="1335">
        <f>IF(ISNA(K58*VLOOKUP($D58,Hypothèses!$D$6:$F$14,3,0)),0,K58*VLOOKUP($D58,Hypothèses!$D$6:$F$14,3,0))</f>
        <v>0</v>
      </c>
      <c r="AN58" s="1335">
        <f>IF(ISNA(L58*VLOOKUP($D58,Hypothèses!$D$6:$F$14,3,0)),0,L58*VLOOKUP($D58,Hypothèses!$D$6:$F$14,3,0))</f>
        <v>0</v>
      </c>
      <c r="AO58" s="1335">
        <f>IF(ISNA(M58*VLOOKUP($D58,Hypothèses!$D$6:$F$14,3,0)),0,M58*VLOOKUP($D58,Hypothèses!$D$6:$F$14,3,0))</f>
        <v>0</v>
      </c>
      <c r="AP58" s="1335">
        <f>IF(ISNA(N58*VLOOKUP($D58,Hypothèses!$D$6:$F$14,3,0)),0,N58*VLOOKUP($D58,Hypothèses!$D$6:$F$14,3,0))</f>
        <v>0</v>
      </c>
      <c r="AQ58" s="1335">
        <f>IF(ISNA(O58*VLOOKUP($D58,Hypothèses!$D$6:$F$14,3,0)),0,O58*VLOOKUP($D58,Hypothèses!$D$6:$F$14,3,0))</f>
        <v>0</v>
      </c>
      <c r="AR58" s="1335">
        <f>IF(ISNA(P58*VLOOKUP($D58,Hypothèses!$D$6:$F$14,3,0)),0,P58*VLOOKUP($D58,Hypothèses!$D$6:$F$14,3,0))</f>
        <v>0</v>
      </c>
      <c r="AS58" s="1335">
        <f>IF(ISNA(Q58*VLOOKUP($D58,Hypothèses!$D$6:$F$14,3,0)),0,Q58*VLOOKUP($D58,Hypothèses!$D$6:$F$14,3,0))</f>
        <v>0</v>
      </c>
      <c r="AT58" s="1335">
        <f>IF(ISNA(R58*VLOOKUP($D58,Hypothèses!$D$6:$F$14,3,0)),0,R58*VLOOKUP($D58,Hypothèses!$D$6:$F$14,3,0))</f>
        <v>0</v>
      </c>
      <c r="AU58" s="1335">
        <f>IF(ISNA(S58*VLOOKUP($D58,Hypothèses!$D$6:$F$14,3,0)),0,S58*VLOOKUP($D58,Hypothèses!$D$6:$F$14,3,0))</f>
        <v>0</v>
      </c>
      <c r="AV58" s="1335">
        <f>IF(ISNA(T58*VLOOKUP($D58,Hypothèses!$D$6:$F$14,3,0)),0,T58*VLOOKUP($D58,Hypothèses!$D$6:$F$14,3,0))</f>
        <v>0</v>
      </c>
      <c r="AW58" s="1335">
        <f>IF(ISNA(U58*VLOOKUP($D58,Hypothèses!$D$6:$F$14,3,0)),0,U58*VLOOKUP($D58,Hypothèses!$D$6:$F$14,3,0))</f>
        <v>0</v>
      </c>
      <c r="AX58" s="1335">
        <f>IF(ISNA(V58*VLOOKUP($D58,Hypothèses!$D$6:$F$14,3,0)),0,V58*VLOOKUP($D58,Hypothèses!$D$6:$F$14,3,0))</f>
        <v>0</v>
      </c>
      <c r="AY58" s="1335">
        <f>IF(ISNA(W58*VLOOKUP($D58,Hypothèses!$D$6:$F$14,3,0)),0,W58*VLOOKUP($D58,Hypothèses!$D$6:$F$14,3,0))</f>
        <v>0</v>
      </c>
      <c r="AZ58" s="1335">
        <f>IF(ISNA(X58*VLOOKUP($D58,Hypothèses!$D$6:$F$14,3,0)),0,X58*VLOOKUP($D58,Hypothèses!$D$6:$F$14,3,0))</f>
        <v>0</v>
      </c>
      <c r="BA58" s="1335">
        <f>IF(ISNA(Y58*VLOOKUP($D58,Hypothèses!$D$6:$F$14,3,0)),0,Y58*VLOOKUP($D58,Hypothèses!$D$6:$F$14,3,0))</f>
        <v>0</v>
      </c>
      <c r="BB58" s="1335">
        <f>IF(ISNA(Z58*VLOOKUP($D58,Hypothèses!$D$6:$F$14,3,0)),0,Z58*VLOOKUP($D58,Hypothèses!$D$6:$F$14,3,0))</f>
        <v>0</v>
      </c>
      <c r="BC58" s="1335">
        <f>IF(ISNA(AA58*VLOOKUP($D58,Hypothèses!$D$6:$F$14,3,0)),0,AA58*VLOOKUP($D58,Hypothèses!$D$6:$F$14,3,0))</f>
        <v>0</v>
      </c>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row>
    <row r="59" spans="1:89" s="3" customFormat="1">
      <c r="A59" s="1817">
        <v>52</v>
      </c>
      <c r="B59" s="1790"/>
      <c r="C59" s="1333"/>
      <c r="D59" s="1334"/>
      <c r="E59" s="1332" t="str">
        <f>IF(ISNA(VLOOKUP(D59,Hypothèses!$D$6:$G$16,4,0)),"",VLOOKUP(D59,Hypothèses!$D$6:$G$16,4,0))</f>
        <v/>
      </c>
      <c r="F59" s="1842"/>
      <c r="G59" s="1843"/>
      <c r="H59" s="1843"/>
      <c r="I59" s="1843"/>
      <c r="J59" s="1843"/>
      <c r="K59" s="1843"/>
      <c r="L59" s="1843"/>
      <c r="M59" s="1843"/>
      <c r="N59" s="1843"/>
      <c r="O59" s="1843"/>
      <c r="P59" s="1843"/>
      <c r="Q59" s="1843"/>
      <c r="R59" s="1843"/>
      <c r="S59" s="1843"/>
      <c r="T59" s="1843"/>
      <c r="U59" s="1843"/>
      <c r="V59" s="1843"/>
      <c r="W59" s="1843"/>
      <c r="X59" s="1843"/>
      <c r="Y59" s="1843"/>
      <c r="Z59" s="1843"/>
      <c r="AA59" s="1844"/>
      <c r="AB59" s="1335"/>
      <c r="AC59" s="1335"/>
      <c r="AD59" s="1335"/>
      <c r="AE59" s="1335"/>
      <c r="AF59" s="1335"/>
      <c r="AG59"/>
      <c r="AH59" s="1335">
        <f>IF(ISNA(F59*VLOOKUP($D59,Hypothèses!$D$6:$F$14,3,0)),0,F59*VLOOKUP($D59,Hypothèses!$D$6:$F$14,3,0))</f>
        <v>0</v>
      </c>
      <c r="AI59" s="1335">
        <f>IF(ISNA(G59*VLOOKUP($D59,Hypothèses!$D$6:$F$14,3,0)),0,G59*VLOOKUP($D59,Hypothèses!$D$6:$F$14,3,0))</f>
        <v>0</v>
      </c>
      <c r="AJ59" s="1335">
        <f>IF(ISNA(H59*VLOOKUP($D59,Hypothèses!$D$6:$F$14,3,0)),0,H59*VLOOKUP($D59,Hypothèses!$D$6:$F$14,3,0))</f>
        <v>0</v>
      </c>
      <c r="AK59" s="1335">
        <f>IF(ISNA(I59*VLOOKUP($D59,Hypothèses!$D$6:$F$14,3,0)),0,I59*VLOOKUP($D59,Hypothèses!$D$6:$F$14,3,0))</f>
        <v>0</v>
      </c>
      <c r="AL59" s="1335">
        <f>IF(ISNA(J59*VLOOKUP($D59,Hypothèses!$D$6:$F$14,3,0)),0,J59*VLOOKUP($D59,Hypothèses!$D$6:$F$14,3,0))</f>
        <v>0</v>
      </c>
      <c r="AM59" s="1335">
        <f>IF(ISNA(K59*VLOOKUP($D59,Hypothèses!$D$6:$F$14,3,0)),0,K59*VLOOKUP($D59,Hypothèses!$D$6:$F$14,3,0))</f>
        <v>0</v>
      </c>
      <c r="AN59" s="1335">
        <f>IF(ISNA(L59*VLOOKUP($D59,Hypothèses!$D$6:$F$14,3,0)),0,L59*VLOOKUP($D59,Hypothèses!$D$6:$F$14,3,0))</f>
        <v>0</v>
      </c>
      <c r="AO59" s="1335">
        <f>IF(ISNA(M59*VLOOKUP($D59,Hypothèses!$D$6:$F$14,3,0)),0,M59*VLOOKUP($D59,Hypothèses!$D$6:$F$14,3,0))</f>
        <v>0</v>
      </c>
      <c r="AP59" s="1335">
        <f>IF(ISNA(N59*VLOOKUP($D59,Hypothèses!$D$6:$F$14,3,0)),0,N59*VLOOKUP($D59,Hypothèses!$D$6:$F$14,3,0))</f>
        <v>0</v>
      </c>
      <c r="AQ59" s="1335">
        <f>IF(ISNA(O59*VLOOKUP($D59,Hypothèses!$D$6:$F$14,3,0)),0,O59*VLOOKUP($D59,Hypothèses!$D$6:$F$14,3,0))</f>
        <v>0</v>
      </c>
      <c r="AR59" s="1335">
        <f>IF(ISNA(P59*VLOOKUP($D59,Hypothèses!$D$6:$F$14,3,0)),0,P59*VLOOKUP($D59,Hypothèses!$D$6:$F$14,3,0))</f>
        <v>0</v>
      </c>
      <c r="AS59" s="1335">
        <f>IF(ISNA(Q59*VLOOKUP($D59,Hypothèses!$D$6:$F$14,3,0)),0,Q59*VLOOKUP($D59,Hypothèses!$D$6:$F$14,3,0))</f>
        <v>0</v>
      </c>
      <c r="AT59" s="1335">
        <f>IF(ISNA(R59*VLOOKUP($D59,Hypothèses!$D$6:$F$14,3,0)),0,R59*VLOOKUP($D59,Hypothèses!$D$6:$F$14,3,0))</f>
        <v>0</v>
      </c>
      <c r="AU59" s="1335">
        <f>IF(ISNA(S59*VLOOKUP($D59,Hypothèses!$D$6:$F$14,3,0)),0,S59*VLOOKUP($D59,Hypothèses!$D$6:$F$14,3,0))</f>
        <v>0</v>
      </c>
      <c r="AV59" s="1335">
        <f>IF(ISNA(T59*VLOOKUP($D59,Hypothèses!$D$6:$F$14,3,0)),0,T59*VLOOKUP($D59,Hypothèses!$D$6:$F$14,3,0))</f>
        <v>0</v>
      </c>
      <c r="AW59" s="1335">
        <f>IF(ISNA(U59*VLOOKUP($D59,Hypothèses!$D$6:$F$14,3,0)),0,U59*VLOOKUP($D59,Hypothèses!$D$6:$F$14,3,0))</f>
        <v>0</v>
      </c>
      <c r="AX59" s="1335">
        <f>IF(ISNA(V59*VLOOKUP($D59,Hypothèses!$D$6:$F$14,3,0)),0,V59*VLOOKUP($D59,Hypothèses!$D$6:$F$14,3,0))</f>
        <v>0</v>
      </c>
      <c r="AY59" s="1335">
        <f>IF(ISNA(W59*VLOOKUP($D59,Hypothèses!$D$6:$F$14,3,0)),0,W59*VLOOKUP($D59,Hypothèses!$D$6:$F$14,3,0))</f>
        <v>0</v>
      </c>
      <c r="AZ59" s="1335">
        <f>IF(ISNA(X59*VLOOKUP($D59,Hypothèses!$D$6:$F$14,3,0)),0,X59*VLOOKUP($D59,Hypothèses!$D$6:$F$14,3,0))</f>
        <v>0</v>
      </c>
      <c r="BA59" s="1335">
        <f>IF(ISNA(Y59*VLOOKUP($D59,Hypothèses!$D$6:$F$14,3,0)),0,Y59*VLOOKUP($D59,Hypothèses!$D$6:$F$14,3,0))</f>
        <v>0</v>
      </c>
      <c r="BB59" s="1335">
        <f>IF(ISNA(Z59*VLOOKUP($D59,Hypothèses!$D$6:$F$14,3,0)),0,Z59*VLOOKUP($D59,Hypothèses!$D$6:$F$14,3,0))</f>
        <v>0</v>
      </c>
      <c r="BC59" s="1335">
        <f>IF(ISNA(AA59*VLOOKUP($D59,Hypothèses!$D$6:$F$14,3,0)),0,AA59*VLOOKUP($D59,Hypothèses!$D$6:$F$14,3,0))</f>
        <v>0</v>
      </c>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row>
    <row r="60" spans="1:89" s="3" customFormat="1">
      <c r="A60" s="1817">
        <v>53</v>
      </c>
      <c r="B60" s="1790"/>
      <c r="C60" s="1333"/>
      <c r="D60" s="1334"/>
      <c r="E60" s="1332" t="str">
        <f>IF(ISNA(VLOOKUP(D60,Hypothèses!$D$6:$G$16,4,0)),"",VLOOKUP(D60,Hypothèses!$D$6:$G$16,4,0))</f>
        <v/>
      </c>
      <c r="F60" s="1842"/>
      <c r="G60" s="1843"/>
      <c r="H60" s="1843"/>
      <c r="I60" s="1843"/>
      <c r="J60" s="1843"/>
      <c r="K60" s="1843"/>
      <c r="L60" s="1843"/>
      <c r="M60" s="1843"/>
      <c r="N60" s="1843"/>
      <c r="O60" s="1843"/>
      <c r="P60" s="1843"/>
      <c r="Q60" s="1843"/>
      <c r="R60" s="1843"/>
      <c r="S60" s="1843"/>
      <c r="T60" s="1843"/>
      <c r="U60" s="1843"/>
      <c r="V60" s="1843"/>
      <c r="W60" s="1843"/>
      <c r="X60" s="1843"/>
      <c r="Y60" s="1843"/>
      <c r="Z60" s="1843"/>
      <c r="AA60" s="1844"/>
      <c r="AB60" s="1335"/>
      <c r="AC60" s="1335"/>
      <c r="AD60" s="1335"/>
      <c r="AE60" s="1335"/>
      <c r="AF60" s="1335"/>
      <c r="AG60"/>
      <c r="AH60" s="1335">
        <f>IF(ISNA(F60*VLOOKUP($D60,Hypothèses!$D$6:$F$14,3,0)),0,F60*VLOOKUP($D60,Hypothèses!$D$6:$F$14,3,0))</f>
        <v>0</v>
      </c>
      <c r="AI60" s="1335">
        <f>IF(ISNA(G60*VLOOKUP($D60,Hypothèses!$D$6:$F$14,3,0)),0,G60*VLOOKUP($D60,Hypothèses!$D$6:$F$14,3,0))</f>
        <v>0</v>
      </c>
      <c r="AJ60" s="1335">
        <f>IF(ISNA(H60*VLOOKUP($D60,Hypothèses!$D$6:$F$14,3,0)),0,H60*VLOOKUP($D60,Hypothèses!$D$6:$F$14,3,0))</f>
        <v>0</v>
      </c>
      <c r="AK60" s="1335">
        <f>IF(ISNA(I60*VLOOKUP($D60,Hypothèses!$D$6:$F$14,3,0)),0,I60*VLOOKUP($D60,Hypothèses!$D$6:$F$14,3,0))</f>
        <v>0</v>
      </c>
      <c r="AL60" s="1335">
        <f>IF(ISNA(J60*VLOOKUP($D60,Hypothèses!$D$6:$F$14,3,0)),0,J60*VLOOKUP($D60,Hypothèses!$D$6:$F$14,3,0))</f>
        <v>0</v>
      </c>
      <c r="AM60" s="1335">
        <f>IF(ISNA(K60*VLOOKUP($D60,Hypothèses!$D$6:$F$14,3,0)),0,K60*VLOOKUP($D60,Hypothèses!$D$6:$F$14,3,0))</f>
        <v>0</v>
      </c>
      <c r="AN60" s="1335">
        <f>IF(ISNA(L60*VLOOKUP($D60,Hypothèses!$D$6:$F$14,3,0)),0,L60*VLOOKUP($D60,Hypothèses!$D$6:$F$14,3,0))</f>
        <v>0</v>
      </c>
      <c r="AO60" s="1335">
        <f>IF(ISNA(M60*VLOOKUP($D60,Hypothèses!$D$6:$F$14,3,0)),0,M60*VLOOKUP($D60,Hypothèses!$D$6:$F$14,3,0))</f>
        <v>0</v>
      </c>
      <c r="AP60" s="1335">
        <f>IF(ISNA(N60*VLOOKUP($D60,Hypothèses!$D$6:$F$14,3,0)),0,N60*VLOOKUP($D60,Hypothèses!$D$6:$F$14,3,0))</f>
        <v>0</v>
      </c>
      <c r="AQ60" s="1335">
        <f>IF(ISNA(O60*VLOOKUP($D60,Hypothèses!$D$6:$F$14,3,0)),0,O60*VLOOKUP($D60,Hypothèses!$D$6:$F$14,3,0))</f>
        <v>0</v>
      </c>
      <c r="AR60" s="1335">
        <f>IF(ISNA(P60*VLOOKUP($D60,Hypothèses!$D$6:$F$14,3,0)),0,P60*VLOOKUP($D60,Hypothèses!$D$6:$F$14,3,0))</f>
        <v>0</v>
      </c>
      <c r="AS60" s="1335">
        <f>IF(ISNA(Q60*VLOOKUP($D60,Hypothèses!$D$6:$F$14,3,0)),0,Q60*VLOOKUP($D60,Hypothèses!$D$6:$F$14,3,0))</f>
        <v>0</v>
      </c>
      <c r="AT60" s="1335">
        <f>IF(ISNA(R60*VLOOKUP($D60,Hypothèses!$D$6:$F$14,3,0)),0,R60*VLOOKUP($D60,Hypothèses!$D$6:$F$14,3,0))</f>
        <v>0</v>
      </c>
      <c r="AU60" s="1335">
        <f>IF(ISNA(S60*VLOOKUP($D60,Hypothèses!$D$6:$F$14,3,0)),0,S60*VLOOKUP($D60,Hypothèses!$D$6:$F$14,3,0))</f>
        <v>0</v>
      </c>
      <c r="AV60" s="1335">
        <f>IF(ISNA(T60*VLOOKUP($D60,Hypothèses!$D$6:$F$14,3,0)),0,T60*VLOOKUP($D60,Hypothèses!$D$6:$F$14,3,0))</f>
        <v>0</v>
      </c>
      <c r="AW60" s="1335">
        <f>IF(ISNA(U60*VLOOKUP($D60,Hypothèses!$D$6:$F$14,3,0)),0,U60*VLOOKUP($D60,Hypothèses!$D$6:$F$14,3,0))</f>
        <v>0</v>
      </c>
      <c r="AX60" s="1335">
        <f>IF(ISNA(V60*VLOOKUP($D60,Hypothèses!$D$6:$F$14,3,0)),0,V60*VLOOKUP($D60,Hypothèses!$D$6:$F$14,3,0))</f>
        <v>0</v>
      </c>
      <c r="AY60" s="1335">
        <f>IF(ISNA(W60*VLOOKUP($D60,Hypothèses!$D$6:$F$14,3,0)),0,W60*VLOOKUP($D60,Hypothèses!$D$6:$F$14,3,0))</f>
        <v>0</v>
      </c>
      <c r="AZ60" s="1335">
        <f>IF(ISNA(X60*VLOOKUP($D60,Hypothèses!$D$6:$F$14,3,0)),0,X60*VLOOKUP($D60,Hypothèses!$D$6:$F$14,3,0))</f>
        <v>0</v>
      </c>
      <c r="BA60" s="1335">
        <f>IF(ISNA(Y60*VLOOKUP($D60,Hypothèses!$D$6:$F$14,3,0)),0,Y60*VLOOKUP($D60,Hypothèses!$D$6:$F$14,3,0))</f>
        <v>0</v>
      </c>
      <c r="BB60" s="1335">
        <f>IF(ISNA(Z60*VLOOKUP($D60,Hypothèses!$D$6:$F$14,3,0)),0,Z60*VLOOKUP($D60,Hypothèses!$D$6:$F$14,3,0))</f>
        <v>0</v>
      </c>
      <c r="BC60" s="1335">
        <f>IF(ISNA(AA60*VLOOKUP($D60,Hypothèses!$D$6:$F$14,3,0)),0,AA60*VLOOKUP($D60,Hypothèses!$D$6:$F$14,3,0))</f>
        <v>0</v>
      </c>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row>
    <row r="61" spans="1:89" s="3" customFormat="1">
      <c r="A61" s="1817">
        <v>54</v>
      </c>
      <c r="B61" s="1790"/>
      <c r="C61" s="1333"/>
      <c r="D61" s="1334"/>
      <c r="E61" s="1332" t="str">
        <f>IF(ISNA(VLOOKUP(D61,Hypothèses!$D$6:$G$16,4,0)),"",VLOOKUP(D61,Hypothèses!$D$6:$G$16,4,0))</f>
        <v/>
      </c>
      <c r="F61" s="1842"/>
      <c r="G61" s="1843"/>
      <c r="H61" s="1843"/>
      <c r="I61" s="1843"/>
      <c r="J61" s="1843"/>
      <c r="K61" s="1843"/>
      <c r="L61" s="1843"/>
      <c r="M61" s="1843"/>
      <c r="N61" s="1843"/>
      <c r="O61" s="1843"/>
      <c r="P61" s="1843"/>
      <c r="Q61" s="1843"/>
      <c r="R61" s="1843"/>
      <c r="S61" s="1843"/>
      <c r="T61" s="1843"/>
      <c r="U61" s="1843"/>
      <c r="V61" s="1843"/>
      <c r="W61" s="1843"/>
      <c r="X61" s="1843"/>
      <c r="Y61" s="1843"/>
      <c r="Z61" s="1843"/>
      <c r="AA61" s="1844"/>
      <c r="AB61" s="1335"/>
      <c r="AC61" s="1335"/>
      <c r="AD61" s="1335"/>
      <c r="AE61" s="1335"/>
      <c r="AF61" s="1335"/>
      <c r="AG61"/>
      <c r="AH61" s="1335">
        <f>IF(ISNA(F61*VLOOKUP($D61,Hypothèses!$D$6:$F$14,3,0)),0,F61*VLOOKUP($D61,Hypothèses!$D$6:$F$14,3,0))</f>
        <v>0</v>
      </c>
      <c r="AI61" s="1335">
        <f>IF(ISNA(G61*VLOOKUP($D61,Hypothèses!$D$6:$F$14,3,0)),0,G61*VLOOKUP($D61,Hypothèses!$D$6:$F$14,3,0))</f>
        <v>0</v>
      </c>
      <c r="AJ61" s="1335">
        <f>IF(ISNA(H61*VLOOKUP($D61,Hypothèses!$D$6:$F$14,3,0)),0,H61*VLOOKUP($D61,Hypothèses!$D$6:$F$14,3,0))</f>
        <v>0</v>
      </c>
      <c r="AK61" s="1335">
        <f>IF(ISNA(I61*VLOOKUP($D61,Hypothèses!$D$6:$F$14,3,0)),0,I61*VLOOKUP($D61,Hypothèses!$D$6:$F$14,3,0))</f>
        <v>0</v>
      </c>
      <c r="AL61" s="1335">
        <f>IF(ISNA(J61*VLOOKUP($D61,Hypothèses!$D$6:$F$14,3,0)),0,J61*VLOOKUP($D61,Hypothèses!$D$6:$F$14,3,0))</f>
        <v>0</v>
      </c>
      <c r="AM61" s="1335">
        <f>IF(ISNA(K61*VLOOKUP($D61,Hypothèses!$D$6:$F$14,3,0)),0,K61*VLOOKUP($D61,Hypothèses!$D$6:$F$14,3,0))</f>
        <v>0</v>
      </c>
      <c r="AN61" s="1335">
        <f>IF(ISNA(L61*VLOOKUP($D61,Hypothèses!$D$6:$F$14,3,0)),0,L61*VLOOKUP($D61,Hypothèses!$D$6:$F$14,3,0))</f>
        <v>0</v>
      </c>
      <c r="AO61" s="1335">
        <f>IF(ISNA(M61*VLOOKUP($D61,Hypothèses!$D$6:$F$14,3,0)),0,M61*VLOOKUP($D61,Hypothèses!$D$6:$F$14,3,0))</f>
        <v>0</v>
      </c>
      <c r="AP61" s="1335">
        <f>IF(ISNA(N61*VLOOKUP($D61,Hypothèses!$D$6:$F$14,3,0)),0,N61*VLOOKUP($D61,Hypothèses!$D$6:$F$14,3,0))</f>
        <v>0</v>
      </c>
      <c r="AQ61" s="1335">
        <f>IF(ISNA(O61*VLOOKUP($D61,Hypothèses!$D$6:$F$14,3,0)),0,O61*VLOOKUP($D61,Hypothèses!$D$6:$F$14,3,0))</f>
        <v>0</v>
      </c>
      <c r="AR61" s="1335">
        <f>IF(ISNA(P61*VLOOKUP($D61,Hypothèses!$D$6:$F$14,3,0)),0,P61*VLOOKUP($D61,Hypothèses!$D$6:$F$14,3,0))</f>
        <v>0</v>
      </c>
      <c r="AS61" s="1335">
        <f>IF(ISNA(Q61*VLOOKUP($D61,Hypothèses!$D$6:$F$14,3,0)),0,Q61*VLOOKUP($D61,Hypothèses!$D$6:$F$14,3,0))</f>
        <v>0</v>
      </c>
      <c r="AT61" s="1335">
        <f>IF(ISNA(R61*VLOOKUP($D61,Hypothèses!$D$6:$F$14,3,0)),0,R61*VLOOKUP($D61,Hypothèses!$D$6:$F$14,3,0))</f>
        <v>0</v>
      </c>
      <c r="AU61" s="1335">
        <f>IF(ISNA(S61*VLOOKUP($D61,Hypothèses!$D$6:$F$14,3,0)),0,S61*VLOOKUP($D61,Hypothèses!$D$6:$F$14,3,0))</f>
        <v>0</v>
      </c>
      <c r="AV61" s="1335">
        <f>IF(ISNA(T61*VLOOKUP($D61,Hypothèses!$D$6:$F$14,3,0)),0,T61*VLOOKUP($D61,Hypothèses!$D$6:$F$14,3,0))</f>
        <v>0</v>
      </c>
      <c r="AW61" s="1335">
        <f>IF(ISNA(U61*VLOOKUP($D61,Hypothèses!$D$6:$F$14,3,0)),0,U61*VLOOKUP($D61,Hypothèses!$D$6:$F$14,3,0))</f>
        <v>0</v>
      </c>
      <c r="AX61" s="1335">
        <f>IF(ISNA(V61*VLOOKUP($D61,Hypothèses!$D$6:$F$14,3,0)),0,V61*VLOOKUP($D61,Hypothèses!$D$6:$F$14,3,0))</f>
        <v>0</v>
      </c>
      <c r="AY61" s="1335">
        <f>IF(ISNA(W61*VLOOKUP($D61,Hypothèses!$D$6:$F$14,3,0)),0,W61*VLOOKUP($D61,Hypothèses!$D$6:$F$14,3,0))</f>
        <v>0</v>
      </c>
      <c r="AZ61" s="1335">
        <f>IF(ISNA(X61*VLOOKUP($D61,Hypothèses!$D$6:$F$14,3,0)),0,X61*VLOOKUP($D61,Hypothèses!$D$6:$F$14,3,0))</f>
        <v>0</v>
      </c>
      <c r="BA61" s="1335">
        <f>IF(ISNA(Y61*VLOOKUP($D61,Hypothèses!$D$6:$F$14,3,0)),0,Y61*VLOOKUP($D61,Hypothèses!$D$6:$F$14,3,0))</f>
        <v>0</v>
      </c>
      <c r="BB61" s="1335">
        <f>IF(ISNA(Z61*VLOOKUP($D61,Hypothèses!$D$6:$F$14,3,0)),0,Z61*VLOOKUP($D61,Hypothèses!$D$6:$F$14,3,0))</f>
        <v>0</v>
      </c>
      <c r="BC61" s="1335">
        <f>IF(ISNA(AA61*VLOOKUP($D61,Hypothèses!$D$6:$F$14,3,0)),0,AA61*VLOOKUP($D61,Hypothèses!$D$6:$F$14,3,0))</f>
        <v>0</v>
      </c>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row>
    <row r="62" spans="1:89" s="3" customFormat="1">
      <c r="A62" s="1817">
        <v>55</v>
      </c>
      <c r="B62" s="1790"/>
      <c r="C62" s="1333"/>
      <c r="D62" s="1334"/>
      <c r="E62" s="1332" t="str">
        <f>IF(ISNA(VLOOKUP(D62,Hypothèses!$D$6:$G$16,4,0)),"",VLOOKUP(D62,Hypothèses!$D$6:$G$16,4,0))</f>
        <v/>
      </c>
      <c r="F62" s="1842"/>
      <c r="G62" s="1843"/>
      <c r="H62" s="1843"/>
      <c r="I62" s="1843"/>
      <c r="J62" s="1843"/>
      <c r="K62" s="1843"/>
      <c r="L62" s="1843"/>
      <c r="M62" s="1843"/>
      <c r="N62" s="1843"/>
      <c r="O62" s="1843"/>
      <c r="P62" s="1843"/>
      <c r="Q62" s="1843"/>
      <c r="R62" s="1843"/>
      <c r="S62" s="1843"/>
      <c r="T62" s="1843"/>
      <c r="U62" s="1843"/>
      <c r="V62" s="1843"/>
      <c r="W62" s="1843"/>
      <c r="X62" s="1843"/>
      <c r="Y62" s="1843"/>
      <c r="Z62" s="1843"/>
      <c r="AA62" s="1844"/>
      <c r="AB62" s="1335"/>
      <c r="AC62" s="1335"/>
      <c r="AD62" s="1335"/>
      <c r="AE62" s="1335"/>
      <c r="AF62" s="1335"/>
      <c r="AG62"/>
      <c r="AH62" s="1335">
        <f>IF(ISNA(F62*VLOOKUP($D62,Hypothèses!$D$6:$F$14,3,0)),0,F62*VLOOKUP($D62,Hypothèses!$D$6:$F$14,3,0))</f>
        <v>0</v>
      </c>
      <c r="AI62" s="1335">
        <f>IF(ISNA(G62*VLOOKUP($D62,Hypothèses!$D$6:$F$14,3,0)),0,G62*VLOOKUP($D62,Hypothèses!$D$6:$F$14,3,0))</f>
        <v>0</v>
      </c>
      <c r="AJ62" s="1335">
        <f>IF(ISNA(H62*VLOOKUP($D62,Hypothèses!$D$6:$F$14,3,0)),0,H62*VLOOKUP($D62,Hypothèses!$D$6:$F$14,3,0))</f>
        <v>0</v>
      </c>
      <c r="AK62" s="1335">
        <f>IF(ISNA(I62*VLOOKUP($D62,Hypothèses!$D$6:$F$14,3,0)),0,I62*VLOOKUP($D62,Hypothèses!$D$6:$F$14,3,0))</f>
        <v>0</v>
      </c>
      <c r="AL62" s="1335">
        <f>IF(ISNA(J62*VLOOKUP($D62,Hypothèses!$D$6:$F$14,3,0)),0,J62*VLOOKUP($D62,Hypothèses!$D$6:$F$14,3,0))</f>
        <v>0</v>
      </c>
      <c r="AM62" s="1335">
        <f>IF(ISNA(K62*VLOOKUP($D62,Hypothèses!$D$6:$F$14,3,0)),0,K62*VLOOKUP($D62,Hypothèses!$D$6:$F$14,3,0))</f>
        <v>0</v>
      </c>
      <c r="AN62" s="1335">
        <f>IF(ISNA(L62*VLOOKUP($D62,Hypothèses!$D$6:$F$14,3,0)),0,L62*VLOOKUP($D62,Hypothèses!$D$6:$F$14,3,0))</f>
        <v>0</v>
      </c>
      <c r="AO62" s="1335">
        <f>IF(ISNA(M62*VLOOKUP($D62,Hypothèses!$D$6:$F$14,3,0)),0,M62*VLOOKUP($D62,Hypothèses!$D$6:$F$14,3,0))</f>
        <v>0</v>
      </c>
      <c r="AP62" s="1335">
        <f>IF(ISNA(N62*VLOOKUP($D62,Hypothèses!$D$6:$F$14,3,0)),0,N62*VLOOKUP($D62,Hypothèses!$D$6:$F$14,3,0))</f>
        <v>0</v>
      </c>
      <c r="AQ62" s="1335">
        <f>IF(ISNA(O62*VLOOKUP($D62,Hypothèses!$D$6:$F$14,3,0)),0,O62*VLOOKUP($D62,Hypothèses!$D$6:$F$14,3,0))</f>
        <v>0</v>
      </c>
      <c r="AR62" s="1335">
        <f>IF(ISNA(P62*VLOOKUP($D62,Hypothèses!$D$6:$F$14,3,0)),0,P62*VLOOKUP($D62,Hypothèses!$D$6:$F$14,3,0))</f>
        <v>0</v>
      </c>
      <c r="AS62" s="1335">
        <f>IF(ISNA(Q62*VLOOKUP($D62,Hypothèses!$D$6:$F$14,3,0)),0,Q62*VLOOKUP($D62,Hypothèses!$D$6:$F$14,3,0))</f>
        <v>0</v>
      </c>
      <c r="AT62" s="1335">
        <f>IF(ISNA(R62*VLOOKUP($D62,Hypothèses!$D$6:$F$14,3,0)),0,R62*VLOOKUP($D62,Hypothèses!$D$6:$F$14,3,0))</f>
        <v>0</v>
      </c>
      <c r="AU62" s="1335">
        <f>IF(ISNA(S62*VLOOKUP($D62,Hypothèses!$D$6:$F$14,3,0)),0,S62*VLOOKUP($D62,Hypothèses!$D$6:$F$14,3,0))</f>
        <v>0</v>
      </c>
      <c r="AV62" s="1335">
        <f>IF(ISNA(T62*VLOOKUP($D62,Hypothèses!$D$6:$F$14,3,0)),0,T62*VLOOKUP($D62,Hypothèses!$D$6:$F$14,3,0))</f>
        <v>0</v>
      </c>
      <c r="AW62" s="1335">
        <f>IF(ISNA(U62*VLOOKUP($D62,Hypothèses!$D$6:$F$14,3,0)),0,U62*VLOOKUP($D62,Hypothèses!$D$6:$F$14,3,0))</f>
        <v>0</v>
      </c>
      <c r="AX62" s="1335">
        <f>IF(ISNA(V62*VLOOKUP($D62,Hypothèses!$D$6:$F$14,3,0)),0,V62*VLOOKUP($D62,Hypothèses!$D$6:$F$14,3,0))</f>
        <v>0</v>
      </c>
      <c r="AY62" s="1335">
        <f>IF(ISNA(W62*VLOOKUP($D62,Hypothèses!$D$6:$F$14,3,0)),0,W62*VLOOKUP($D62,Hypothèses!$D$6:$F$14,3,0))</f>
        <v>0</v>
      </c>
      <c r="AZ62" s="1335">
        <f>IF(ISNA(X62*VLOOKUP($D62,Hypothèses!$D$6:$F$14,3,0)),0,X62*VLOOKUP($D62,Hypothèses!$D$6:$F$14,3,0))</f>
        <v>0</v>
      </c>
      <c r="BA62" s="1335">
        <f>IF(ISNA(Y62*VLOOKUP($D62,Hypothèses!$D$6:$F$14,3,0)),0,Y62*VLOOKUP($D62,Hypothèses!$D$6:$F$14,3,0))</f>
        <v>0</v>
      </c>
      <c r="BB62" s="1335">
        <f>IF(ISNA(Z62*VLOOKUP($D62,Hypothèses!$D$6:$F$14,3,0)),0,Z62*VLOOKUP($D62,Hypothèses!$D$6:$F$14,3,0))</f>
        <v>0</v>
      </c>
      <c r="BC62" s="1335">
        <f>IF(ISNA(AA62*VLOOKUP($D62,Hypothèses!$D$6:$F$14,3,0)),0,AA62*VLOOKUP($D62,Hypothèses!$D$6:$F$14,3,0))</f>
        <v>0</v>
      </c>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row>
    <row r="63" spans="1:89" s="3" customFormat="1">
      <c r="A63" s="1817">
        <v>56</v>
      </c>
      <c r="B63" s="1790"/>
      <c r="C63" s="1333"/>
      <c r="D63" s="1334"/>
      <c r="E63" s="1332" t="str">
        <f>IF(ISNA(VLOOKUP(D63,Hypothèses!$D$6:$G$16,4,0)),"",VLOOKUP(D63,Hypothèses!$D$6:$G$16,4,0))</f>
        <v/>
      </c>
      <c r="F63" s="1842"/>
      <c r="G63" s="1843"/>
      <c r="H63" s="1843"/>
      <c r="I63" s="1843"/>
      <c r="J63" s="1843"/>
      <c r="K63" s="1843"/>
      <c r="L63" s="1843"/>
      <c r="M63" s="1843"/>
      <c r="N63" s="1843"/>
      <c r="O63" s="1843"/>
      <c r="P63" s="1843"/>
      <c r="Q63" s="1843"/>
      <c r="R63" s="1843"/>
      <c r="S63" s="1843"/>
      <c r="T63" s="1843"/>
      <c r="U63" s="1843"/>
      <c r="V63" s="1843"/>
      <c r="W63" s="1843"/>
      <c r="X63" s="1843"/>
      <c r="Y63" s="1843"/>
      <c r="Z63" s="1843"/>
      <c r="AA63" s="1844"/>
      <c r="AB63" s="1335"/>
      <c r="AC63" s="1335"/>
      <c r="AD63" s="1335"/>
      <c r="AE63" s="1335"/>
      <c r="AF63" s="1335"/>
      <c r="AG63"/>
      <c r="AH63" s="1335">
        <f>IF(ISNA(F63*VLOOKUP($D63,Hypothèses!$D$6:$F$14,3,0)),0,F63*VLOOKUP($D63,Hypothèses!$D$6:$F$14,3,0))</f>
        <v>0</v>
      </c>
      <c r="AI63" s="1335">
        <f>IF(ISNA(G63*VLOOKUP($D63,Hypothèses!$D$6:$F$14,3,0)),0,G63*VLOOKUP($D63,Hypothèses!$D$6:$F$14,3,0))</f>
        <v>0</v>
      </c>
      <c r="AJ63" s="1335">
        <f>IF(ISNA(H63*VLOOKUP($D63,Hypothèses!$D$6:$F$14,3,0)),0,H63*VLOOKUP($D63,Hypothèses!$D$6:$F$14,3,0))</f>
        <v>0</v>
      </c>
      <c r="AK63" s="1335">
        <f>IF(ISNA(I63*VLOOKUP($D63,Hypothèses!$D$6:$F$14,3,0)),0,I63*VLOOKUP($D63,Hypothèses!$D$6:$F$14,3,0))</f>
        <v>0</v>
      </c>
      <c r="AL63" s="1335">
        <f>IF(ISNA(J63*VLOOKUP($D63,Hypothèses!$D$6:$F$14,3,0)),0,J63*VLOOKUP($D63,Hypothèses!$D$6:$F$14,3,0))</f>
        <v>0</v>
      </c>
      <c r="AM63" s="1335">
        <f>IF(ISNA(K63*VLOOKUP($D63,Hypothèses!$D$6:$F$14,3,0)),0,K63*VLOOKUP($D63,Hypothèses!$D$6:$F$14,3,0))</f>
        <v>0</v>
      </c>
      <c r="AN63" s="1335">
        <f>IF(ISNA(L63*VLOOKUP($D63,Hypothèses!$D$6:$F$14,3,0)),0,L63*VLOOKUP($D63,Hypothèses!$D$6:$F$14,3,0))</f>
        <v>0</v>
      </c>
      <c r="AO63" s="1335">
        <f>IF(ISNA(M63*VLOOKUP($D63,Hypothèses!$D$6:$F$14,3,0)),0,M63*VLOOKUP($D63,Hypothèses!$D$6:$F$14,3,0))</f>
        <v>0</v>
      </c>
      <c r="AP63" s="1335">
        <f>IF(ISNA(N63*VLOOKUP($D63,Hypothèses!$D$6:$F$14,3,0)),0,N63*VLOOKUP($D63,Hypothèses!$D$6:$F$14,3,0))</f>
        <v>0</v>
      </c>
      <c r="AQ63" s="1335">
        <f>IF(ISNA(O63*VLOOKUP($D63,Hypothèses!$D$6:$F$14,3,0)),0,O63*VLOOKUP($D63,Hypothèses!$D$6:$F$14,3,0))</f>
        <v>0</v>
      </c>
      <c r="AR63" s="1335">
        <f>IF(ISNA(P63*VLOOKUP($D63,Hypothèses!$D$6:$F$14,3,0)),0,P63*VLOOKUP($D63,Hypothèses!$D$6:$F$14,3,0))</f>
        <v>0</v>
      </c>
      <c r="AS63" s="1335">
        <f>IF(ISNA(Q63*VLOOKUP($D63,Hypothèses!$D$6:$F$14,3,0)),0,Q63*VLOOKUP($D63,Hypothèses!$D$6:$F$14,3,0))</f>
        <v>0</v>
      </c>
      <c r="AT63" s="1335">
        <f>IF(ISNA(R63*VLOOKUP($D63,Hypothèses!$D$6:$F$14,3,0)),0,R63*VLOOKUP($D63,Hypothèses!$D$6:$F$14,3,0))</f>
        <v>0</v>
      </c>
      <c r="AU63" s="1335">
        <f>IF(ISNA(S63*VLOOKUP($D63,Hypothèses!$D$6:$F$14,3,0)),0,S63*VLOOKUP($D63,Hypothèses!$D$6:$F$14,3,0))</f>
        <v>0</v>
      </c>
      <c r="AV63" s="1335">
        <f>IF(ISNA(T63*VLOOKUP($D63,Hypothèses!$D$6:$F$14,3,0)),0,T63*VLOOKUP($D63,Hypothèses!$D$6:$F$14,3,0))</f>
        <v>0</v>
      </c>
      <c r="AW63" s="1335">
        <f>IF(ISNA(U63*VLOOKUP($D63,Hypothèses!$D$6:$F$14,3,0)),0,U63*VLOOKUP($D63,Hypothèses!$D$6:$F$14,3,0))</f>
        <v>0</v>
      </c>
      <c r="AX63" s="1335">
        <f>IF(ISNA(V63*VLOOKUP($D63,Hypothèses!$D$6:$F$14,3,0)),0,V63*VLOOKUP($D63,Hypothèses!$D$6:$F$14,3,0))</f>
        <v>0</v>
      </c>
      <c r="AY63" s="1335">
        <f>IF(ISNA(W63*VLOOKUP($D63,Hypothèses!$D$6:$F$14,3,0)),0,W63*VLOOKUP($D63,Hypothèses!$D$6:$F$14,3,0))</f>
        <v>0</v>
      </c>
      <c r="AZ63" s="1335">
        <f>IF(ISNA(X63*VLOOKUP($D63,Hypothèses!$D$6:$F$14,3,0)),0,X63*VLOOKUP($D63,Hypothèses!$D$6:$F$14,3,0))</f>
        <v>0</v>
      </c>
      <c r="BA63" s="1335">
        <f>IF(ISNA(Y63*VLOOKUP($D63,Hypothèses!$D$6:$F$14,3,0)),0,Y63*VLOOKUP($D63,Hypothèses!$D$6:$F$14,3,0))</f>
        <v>0</v>
      </c>
      <c r="BB63" s="1335">
        <f>IF(ISNA(Z63*VLOOKUP($D63,Hypothèses!$D$6:$F$14,3,0)),0,Z63*VLOOKUP($D63,Hypothèses!$D$6:$F$14,3,0))</f>
        <v>0</v>
      </c>
      <c r="BC63" s="1335">
        <f>IF(ISNA(AA63*VLOOKUP($D63,Hypothèses!$D$6:$F$14,3,0)),0,AA63*VLOOKUP($D63,Hypothèses!$D$6:$F$14,3,0))</f>
        <v>0</v>
      </c>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row>
    <row r="64" spans="1:89" s="3" customFormat="1">
      <c r="A64" s="1817">
        <v>57</v>
      </c>
      <c r="B64" s="1790"/>
      <c r="C64" s="1333"/>
      <c r="D64" s="1334"/>
      <c r="E64" s="1332" t="str">
        <f>IF(ISNA(VLOOKUP(D64,Hypothèses!$D$6:$G$16,4,0)),"",VLOOKUP(D64,Hypothèses!$D$6:$G$16,4,0))</f>
        <v/>
      </c>
      <c r="F64" s="1842"/>
      <c r="G64" s="1843"/>
      <c r="H64" s="1843"/>
      <c r="I64" s="1843"/>
      <c r="J64" s="1843"/>
      <c r="K64" s="1843"/>
      <c r="L64" s="1843"/>
      <c r="M64" s="1843"/>
      <c r="N64" s="1843"/>
      <c r="O64" s="1843"/>
      <c r="P64" s="1843"/>
      <c r="Q64" s="1843"/>
      <c r="R64" s="1843"/>
      <c r="S64" s="1843"/>
      <c r="T64" s="1843"/>
      <c r="U64" s="1843"/>
      <c r="V64" s="1843"/>
      <c r="W64" s="1843"/>
      <c r="X64" s="1843"/>
      <c r="Y64" s="1843"/>
      <c r="Z64" s="1843"/>
      <c r="AA64" s="1844"/>
      <c r="AB64" s="1335"/>
      <c r="AC64" s="1335"/>
      <c r="AD64" s="1335"/>
      <c r="AE64" s="1335"/>
      <c r="AF64" s="1335"/>
      <c r="AG64"/>
      <c r="AH64" s="1335">
        <f>IF(ISNA(F64*VLOOKUP($D64,Hypothèses!$D$6:$F$14,3,0)),0,F64*VLOOKUP($D64,Hypothèses!$D$6:$F$14,3,0))</f>
        <v>0</v>
      </c>
      <c r="AI64" s="1335">
        <f>IF(ISNA(G64*VLOOKUP($D64,Hypothèses!$D$6:$F$14,3,0)),0,G64*VLOOKUP($D64,Hypothèses!$D$6:$F$14,3,0))</f>
        <v>0</v>
      </c>
      <c r="AJ64" s="1335">
        <f>IF(ISNA(H64*VLOOKUP($D64,Hypothèses!$D$6:$F$14,3,0)),0,H64*VLOOKUP($D64,Hypothèses!$D$6:$F$14,3,0))</f>
        <v>0</v>
      </c>
      <c r="AK64" s="1335">
        <f>IF(ISNA(I64*VLOOKUP($D64,Hypothèses!$D$6:$F$14,3,0)),0,I64*VLOOKUP($D64,Hypothèses!$D$6:$F$14,3,0))</f>
        <v>0</v>
      </c>
      <c r="AL64" s="1335">
        <f>IF(ISNA(J64*VLOOKUP($D64,Hypothèses!$D$6:$F$14,3,0)),0,J64*VLOOKUP($D64,Hypothèses!$D$6:$F$14,3,0))</f>
        <v>0</v>
      </c>
      <c r="AM64" s="1335">
        <f>IF(ISNA(K64*VLOOKUP($D64,Hypothèses!$D$6:$F$14,3,0)),0,K64*VLOOKUP($D64,Hypothèses!$D$6:$F$14,3,0))</f>
        <v>0</v>
      </c>
      <c r="AN64" s="1335">
        <f>IF(ISNA(L64*VLOOKUP($D64,Hypothèses!$D$6:$F$14,3,0)),0,L64*VLOOKUP($D64,Hypothèses!$D$6:$F$14,3,0))</f>
        <v>0</v>
      </c>
      <c r="AO64" s="1335">
        <f>IF(ISNA(M64*VLOOKUP($D64,Hypothèses!$D$6:$F$14,3,0)),0,M64*VLOOKUP($D64,Hypothèses!$D$6:$F$14,3,0))</f>
        <v>0</v>
      </c>
      <c r="AP64" s="1335">
        <f>IF(ISNA(N64*VLOOKUP($D64,Hypothèses!$D$6:$F$14,3,0)),0,N64*VLOOKUP($D64,Hypothèses!$D$6:$F$14,3,0))</f>
        <v>0</v>
      </c>
      <c r="AQ64" s="1335">
        <f>IF(ISNA(O64*VLOOKUP($D64,Hypothèses!$D$6:$F$14,3,0)),0,O64*VLOOKUP($D64,Hypothèses!$D$6:$F$14,3,0))</f>
        <v>0</v>
      </c>
      <c r="AR64" s="1335">
        <f>IF(ISNA(P64*VLOOKUP($D64,Hypothèses!$D$6:$F$14,3,0)),0,P64*VLOOKUP($D64,Hypothèses!$D$6:$F$14,3,0))</f>
        <v>0</v>
      </c>
      <c r="AS64" s="1335">
        <f>IF(ISNA(Q64*VLOOKUP($D64,Hypothèses!$D$6:$F$14,3,0)),0,Q64*VLOOKUP($D64,Hypothèses!$D$6:$F$14,3,0))</f>
        <v>0</v>
      </c>
      <c r="AT64" s="1335">
        <f>IF(ISNA(R64*VLOOKUP($D64,Hypothèses!$D$6:$F$14,3,0)),0,R64*VLOOKUP($D64,Hypothèses!$D$6:$F$14,3,0))</f>
        <v>0</v>
      </c>
      <c r="AU64" s="1335">
        <f>IF(ISNA(S64*VLOOKUP($D64,Hypothèses!$D$6:$F$14,3,0)),0,S64*VLOOKUP($D64,Hypothèses!$D$6:$F$14,3,0))</f>
        <v>0</v>
      </c>
      <c r="AV64" s="1335">
        <f>IF(ISNA(T64*VLOOKUP($D64,Hypothèses!$D$6:$F$14,3,0)),0,T64*VLOOKUP($D64,Hypothèses!$D$6:$F$14,3,0))</f>
        <v>0</v>
      </c>
      <c r="AW64" s="1335">
        <f>IF(ISNA(U64*VLOOKUP($D64,Hypothèses!$D$6:$F$14,3,0)),0,U64*VLOOKUP($D64,Hypothèses!$D$6:$F$14,3,0))</f>
        <v>0</v>
      </c>
      <c r="AX64" s="1335">
        <f>IF(ISNA(V64*VLOOKUP($D64,Hypothèses!$D$6:$F$14,3,0)),0,V64*VLOOKUP($D64,Hypothèses!$D$6:$F$14,3,0))</f>
        <v>0</v>
      </c>
      <c r="AY64" s="1335">
        <f>IF(ISNA(W64*VLOOKUP($D64,Hypothèses!$D$6:$F$14,3,0)),0,W64*VLOOKUP($D64,Hypothèses!$D$6:$F$14,3,0))</f>
        <v>0</v>
      </c>
      <c r="AZ64" s="1335">
        <f>IF(ISNA(X64*VLOOKUP($D64,Hypothèses!$D$6:$F$14,3,0)),0,X64*VLOOKUP($D64,Hypothèses!$D$6:$F$14,3,0))</f>
        <v>0</v>
      </c>
      <c r="BA64" s="1335">
        <f>IF(ISNA(Y64*VLOOKUP($D64,Hypothèses!$D$6:$F$14,3,0)),0,Y64*VLOOKUP($D64,Hypothèses!$D$6:$F$14,3,0))</f>
        <v>0</v>
      </c>
      <c r="BB64" s="1335">
        <f>IF(ISNA(Z64*VLOOKUP($D64,Hypothèses!$D$6:$F$14,3,0)),0,Z64*VLOOKUP($D64,Hypothèses!$D$6:$F$14,3,0))</f>
        <v>0</v>
      </c>
      <c r="BC64" s="1335">
        <f>IF(ISNA(AA64*VLOOKUP($D64,Hypothèses!$D$6:$F$14,3,0)),0,AA64*VLOOKUP($D64,Hypothèses!$D$6:$F$14,3,0))</f>
        <v>0</v>
      </c>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row>
    <row r="65" spans="1:89" s="3" customFormat="1">
      <c r="A65" s="1817">
        <v>58</v>
      </c>
      <c r="B65" s="1790"/>
      <c r="C65" s="1333"/>
      <c r="D65" s="1334"/>
      <c r="E65" s="1332" t="str">
        <f>IF(ISNA(VLOOKUP(D65,Hypothèses!$D$6:$G$16,4,0)),"",VLOOKUP(D65,Hypothèses!$D$6:$G$16,4,0))</f>
        <v/>
      </c>
      <c r="F65" s="1842"/>
      <c r="G65" s="1843"/>
      <c r="H65" s="1843"/>
      <c r="I65" s="1843"/>
      <c r="J65" s="1843"/>
      <c r="K65" s="1843"/>
      <c r="L65" s="1843"/>
      <c r="M65" s="1843"/>
      <c r="N65" s="1843"/>
      <c r="O65" s="1843"/>
      <c r="P65" s="1843"/>
      <c r="Q65" s="1843"/>
      <c r="R65" s="1843"/>
      <c r="S65" s="1843"/>
      <c r="T65" s="1843"/>
      <c r="U65" s="1843"/>
      <c r="V65" s="1843"/>
      <c r="W65" s="1843"/>
      <c r="X65" s="1843"/>
      <c r="Y65" s="1843"/>
      <c r="Z65" s="1843"/>
      <c r="AA65" s="1844"/>
      <c r="AB65" s="1335"/>
      <c r="AC65" s="1335"/>
      <c r="AD65" s="1335"/>
      <c r="AE65" s="1335"/>
      <c r="AF65" s="1335"/>
      <c r="AG65"/>
      <c r="AH65" s="1335">
        <f>IF(ISNA(F65*VLOOKUP($D65,Hypothèses!$D$6:$F$14,3,0)),0,F65*VLOOKUP($D65,Hypothèses!$D$6:$F$14,3,0))</f>
        <v>0</v>
      </c>
      <c r="AI65" s="1335">
        <f>IF(ISNA(G65*VLOOKUP($D65,Hypothèses!$D$6:$F$14,3,0)),0,G65*VLOOKUP($D65,Hypothèses!$D$6:$F$14,3,0))</f>
        <v>0</v>
      </c>
      <c r="AJ65" s="1335">
        <f>IF(ISNA(H65*VLOOKUP($D65,Hypothèses!$D$6:$F$14,3,0)),0,H65*VLOOKUP($D65,Hypothèses!$D$6:$F$14,3,0))</f>
        <v>0</v>
      </c>
      <c r="AK65" s="1335">
        <f>IF(ISNA(I65*VLOOKUP($D65,Hypothèses!$D$6:$F$14,3,0)),0,I65*VLOOKUP($D65,Hypothèses!$D$6:$F$14,3,0))</f>
        <v>0</v>
      </c>
      <c r="AL65" s="1335">
        <f>IF(ISNA(J65*VLOOKUP($D65,Hypothèses!$D$6:$F$14,3,0)),0,J65*VLOOKUP($D65,Hypothèses!$D$6:$F$14,3,0))</f>
        <v>0</v>
      </c>
      <c r="AM65" s="1335">
        <f>IF(ISNA(K65*VLOOKUP($D65,Hypothèses!$D$6:$F$14,3,0)),0,K65*VLOOKUP($D65,Hypothèses!$D$6:$F$14,3,0))</f>
        <v>0</v>
      </c>
      <c r="AN65" s="1335">
        <f>IF(ISNA(L65*VLOOKUP($D65,Hypothèses!$D$6:$F$14,3,0)),0,L65*VLOOKUP($D65,Hypothèses!$D$6:$F$14,3,0))</f>
        <v>0</v>
      </c>
      <c r="AO65" s="1335">
        <f>IF(ISNA(M65*VLOOKUP($D65,Hypothèses!$D$6:$F$14,3,0)),0,M65*VLOOKUP($D65,Hypothèses!$D$6:$F$14,3,0))</f>
        <v>0</v>
      </c>
      <c r="AP65" s="1335">
        <f>IF(ISNA(N65*VLOOKUP($D65,Hypothèses!$D$6:$F$14,3,0)),0,N65*VLOOKUP($D65,Hypothèses!$D$6:$F$14,3,0))</f>
        <v>0</v>
      </c>
      <c r="AQ65" s="1335">
        <f>IF(ISNA(O65*VLOOKUP($D65,Hypothèses!$D$6:$F$14,3,0)),0,O65*VLOOKUP($D65,Hypothèses!$D$6:$F$14,3,0))</f>
        <v>0</v>
      </c>
      <c r="AR65" s="1335">
        <f>IF(ISNA(P65*VLOOKUP($D65,Hypothèses!$D$6:$F$14,3,0)),0,P65*VLOOKUP($D65,Hypothèses!$D$6:$F$14,3,0))</f>
        <v>0</v>
      </c>
      <c r="AS65" s="1335">
        <f>IF(ISNA(Q65*VLOOKUP($D65,Hypothèses!$D$6:$F$14,3,0)),0,Q65*VLOOKUP($D65,Hypothèses!$D$6:$F$14,3,0))</f>
        <v>0</v>
      </c>
      <c r="AT65" s="1335">
        <f>IF(ISNA(R65*VLOOKUP($D65,Hypothèses!$D$6:$F$14,3,0)),0,R65*VLOOKUP($D65,Hypothèses!$D$6:$F$14,3,0))</f>
        <v>0</v>
      </c>
      <c r="AU65" s="1335">
        <f>IF(ISNA(S65*VLOOKUP($D65,Hypothèses!$D$6:$F$14,3,0)),0,S65*VLOOKUP($D65,Hypothèses!$D$6:$F$14,3,0))</f>
        <v>0</v>
      </c>
      <c r="AV65" s="1335">
        <f>IF(ISNA(T65*VLOOKUP($D65,Hypothèses!$D$6:$F$14,3,0)),0,T65*VLOOKUP($D65,Hypothèses!$D$6:$F$14,3,0))</f>
        <v>0</v>
      </c>
      <c r="AW65" s="1335">
        <f>IF(ISNA(U65*VLOOKUP($D65,Hypothèses!$D$6:$F$14,3,0)),0,U65*VLOOKUP($D65,Hypothèses!$D$6:$F$14,3,0))</f>
        <v>0</v>
      </c>
      <c r="AX65" s="1335">
        <f>IF(ISNA(V65*VLOOKUP($D65,Hypothèses!$D$6:$F$14,3,0)),0,V65*VLOOKUP($D65,Hypothèses!$D$6:$F$14,3,0))</f>
        <v>0</v>
      </c>
      <c r="AY65" s="1335">
        <f>IF(ISNA(W65*VLOOKUP($D65,Hypothèses!$D$6:$F$14,3,0)),0,W65*VLOOKUP($D65,Hypothèses!$D$6:$F$14,3,0))</f>
        <v>0</v>
      </c>
      <c r="AZ65" s="1335">
        <f>IF(ISNA(X65*VLOOKUP($D65,Hypothèses!$D$6:$F$14,3,0)),0,X65*VLOOKUP($D65,Hypothèses!$D$6:$F$14,3,0))</f>
        <v>0</v>
      </c>
      <c r="BA65" s="1335">
        <f>IF(ISNA(Y65*VLOOKUP($D65,Hypothèses!$D$6:$F$14,3,0)),0,Y65*VLOOKUP($D65,Hypothèses!$D$6:$F$14,3,0))</f>
        <v>0</v>
      </c>
      <c r="BB65" s="1335">
        <f>IF(ISNA(Z65*VLOOKUP($D65,Hypothèses!$D$6:$F$14,3,0)),0,Z65*VLOOKUP($D65,Hypothèses!$D$6:$F$14,3,0))</f>
        <v>0</v>
      </c>
      <c r="BC65" s="1335">
        <f>IF(ISNA(AA65*VLOOKUP($D65,Hypothèses!$D$6:$F$14,3,0)),0,AA65*VLOOKUP($D65,Hypothèses!$D$6:$F$14,3,0))</f>
        <v>0</v>
      </c>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row>
    <row r="66" spans="1:89" s="3" customFormat="1">
      <c r="A66" s="1817">
        <v>59</v>
      </c>
      <c r="B66" s="1790"/>
      <c r="C66" s="1333"/>
      <c r="D66" s="1334"/>
      <c r="E66" s="1332" t="str">
        <f>IF(ISNA(VLOOKUP(D66,Hypothèses!$D$6:$G$16,4,0)),"",VLOOKUP(D66,Hypothèses!$D$6:$G$16,4,0))</f>
        <v/>
      </c>
      <c r="F66" s="1842"/>
      <c r="G66" s="1843"/>
      <c r="H66" s="1843"/>
      <c r="I66" s="1843"/>
      <c r="J66" s="1843"/>
      <c r="K66" s="1843"/>
      <c r="L66" s="1843"/>
      <c r="M66" s="1843"/>
      <c r="N66" s="1843"/>
      <c r="O66" s="1843"/>
      <c r="P66" s="1843"/>
      <c r="Q66" s="1843"/>
      <c r="R66" s="1843"/>
      <c r="S66" s="1843"/>
      <c r="T66" s="1843"/>
      <c r="U66" s="1843"/>
      <c r="V66" s="1843"/>
      <c r="W66" s="1843"/>
      <c r="X66" s="1843"/>
      <c r="Y66" s="1843"/>
      <c r="Z66" s="1843"/>
      <c r="AA66" s="1844"/>
      <c r="AB66" s="1335"/>
      <c r="AC66" s="1335"/>
      <c r="AD66" s="1335"/>
      <c r="AE66" s="1335"/>
      <c r="AF66" s="1335"/>
      <c r="AG66"/>
      <c r="AH66" s="1335">
        <f>IF(ISNA(F66*VLOOKUP($D66,Hypothèses!$D$6:$F$14,3,0)),0,F66*VLOOKUP($D66,Hypothèses!$D$6:$F$14,3,0))</f>
        <v>0</v>
      </c>
      <c r="AI66" s="1335">
        <f>IF(ISNA(G66*VLOOKUP($D66,Hypothèses!$D$6:$F$14,3,0)),0,G66*VLOOKUP($D66,Hypothèses!$D$6:$F$14,3,0))</f>
        <v>0</v>
      </c>
      <c r="AJ66" s="1335">
        <f>IF(ISNA(H66*VLOOKUP($D66,Hypothèses!$D$6:$F$14,3,0)),0,H66*VLOOKUP($D66,Hypothèses!$D$6:$F$14,3,0))</f>
        <v>0</v>
      </c>
      <c r="AK66" s="1335">
        <f>IF(ISNA(I66*VLOOKUP($D66,Hypothèses!$D$6:$F$14,3,0)),0,I66*VLOOKUP($D66,Hypothèses!$D$6:$F$14,3,0))</f>
        <v>0</v>
      </c>
      <c r="AL66" s="1335">
        <f>IF(ISNA(J66*VLOOKUP($D66,Hypothèses!$D$6:$F$14,3,0)),0,J66*VLOOKUP($D66,Hypothèses!$D$6:$F$14,3,0))</f>
        <v>0</v>
      </c>
      <c r="AM66" s="1335">
        <f>IF(ISNA(K66*VLOOKUP($D66,Hypothèses!$D$6:$F$14,3,0)),0,K66*VLOOKUP($D66,Hypothèses!$D$6:$F$14,3,0))</f>
        <v>0</v>
      </c>
      <c r="AN66" s="1335">
        <f>IF(ISNA(L66*VLOOKUP($D66,Hypothèses!$D$6:$F$14,3,0)),0,L66*VLOOKUP($D66,Hypothèses!$D$6:$F$14,3,0))</f>
        <v>0</v>
      </c>
      <c r="AO66" s="1335">
        <f>IF(ISNA(M66*VLOOKUP($D66,Hypothèses!$D$6:$F$14,3,0)),0,M66*VLOOKUP($D66,Hypothèses!$D$6:$F$14,3,0))</f>
        <v>0</v>
      </c>
      <c r="AP66" s="1335">
        <f>IF(ISNA(N66*VLOOKUP($D66,Hypothèses!$D$6:$F$14,3,0)),0,N66*VLOOKUP($D66,Hypothèses!$D$6:$F$14,3,0))</f>
        <v>0</v>
      </c>
      <c r="AQ66" s="1335">
        <f>IF(ISNA(O66*VLOOKUP($D66,Hypothèses!$D$6:$F$14,3,0)),0,O66*VLOOKUP($D66,Hypothèses!$D$6:$F$14,3,0))</f>
        <v>0</v>
      </c>
      <c r="AR66" s="1335">
        <f>IF(ISNA(P66*VLOOKUP($D66,Hypothèses!$D$6:$F$14,3,0)),0,P66*VLOOKUP($D66,Hypothèses!$D$6:$F$14,3,0))</f>
        <v>0</v>
      </c>
      <c r="AS66" s="1335">
        <f>IF(ISNA(Q66*VLOOKUP($D66,Hypothèses!$D$6:$F$14,3,0)),0,Q66*VLOOKUP($D66,Hypothèses!$D$6:$F$14,3,0))</f>
        <v>0</v>
      </c>
      <c r="AT66" s="1335">
        <f>IF(ISNA(R66*VLOOKUP($D66,Hypothèses!$D$6:$F$14,3,0)),0,R66*VLOOKUP($D66,Hypothèses!$D$6:$F$14,3,0))</f>
        <v>0</v>
      </c>
      <c r="AU66" s="1335">
        <f>IF(ISNA(S66*VLOOKUP($D66,Hypothèses!$D$6:$F$14,3,0)),0,S66*VLOOKUP($D66,Hypothèses!$D$6:$F$14,3,0))</f>
        <v>0</v>
      </c>
      <c r="AV66" s="1335">
        <f>IF(ISNA(T66*VLOOKUP($D66,Hypothèses!$D$6:$F$14,3,0)),0,T66*VLOOKUP($D66,Hypothèses!$D$6:$F$14,3,0))</f>
        <v>0</v>
      </c>
      <c r="AW66" s="1335">
        <f>IF(ISNA(U66*VLOOKUP($D66,Hypothèses!$D$6:$F$14,3,0)),0,U66*VLOOKUP($D66,Hypothèses!$D$6:$F$14,3,0))</f>
        <v>0</v>
      </c>
      <c r="AX66" s="1335">
        <f>IF(ISNA(V66*VLOOKUP($D66,Hypothèses!$D$6:$F$14,3,0)),0,V66*VLOOKUP($D66,Hypothèses!$D$6:$F$14,3,0))</f>
        <v>0</v>
      </c>
      <c r="AY66" s="1335">
        <f>IF(ISNA(W66*VLOOKUP($D66,Hypothèses!$D$6:$F$14,3,0)),0,W66*VLOOKUP($D66,Hypothèses!$D$6:$F$14,3,0))</f>
        <v>0</v>
      </c>
      <c r="AZ66" s="1335">
        <f>IF(ISNA(X66*VLOOKUP($D66,Hypothèses!$D$6:$F$14,3,0)),0,X66*VLOOKUP($D66,Hypothèses!$D$6:$F$14,3,0))</f>
        <v>0</v>
      </c>
      <c r="BA66" s="1335">
        <f>IF(ISNA(Y66*VLOOKUP($D66,Hypothèses!$D$6:$F$14,3,0)),0,Y66*VLOOKUP($D66,Hypothèses!$D$6:$F$14,3,0))</f>
        <v>0</v>
      </c>
      <c r="BB66" s="1335">
        <f>IF(ISNA(Z66*VLOOKUP($D66,Hypothèses!$D$6:$F$14,3,0)),0,Z66*VLOOKUP($D66,Hypothèses!$D$6:$F$14,3,0))</f>
        <v>0</v>
      </c>
      <c r="BC66" s="1335">
        <f>IF(ISNA(AA66*VLOOKUP($D66,Hypothèses!$D$6:$F$14,3,0)),0,AA66*VLOOKUP($D66,Hypothèses!$D$6:$F$14,3,0))</f>
        <v>0</v>
      </c>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row>
    <row r="67" spans="1:89" s="3" customFormat="1">
      <c r="A67" s="1817">
        <v>60</v>
      </c>
      <c r="B67" s="1790"/>
      <c r="C67" s="1333"/>
      <c r="D67" s="1334"/>
      <c r="E67" s="1332" t="str">
        <f>IF(ISNA(VLOOKUP(D67,Hypothèses!$D$6:$G$16,4,0)),"",VLOOKUP(D67,Hypothèses!$D$6:$G$16,4,0))</f>
        <v/>
      </c>
      <c r="F67" s="1842"/>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1335"/>
      <c r="AC67" s="1335"/>
      <c r="AD67" s="1335"/>
      <c r="AE67" s="1335"/>
      <c r="AF67" s="1335"/>
      <c r="AG67"/>
      <c r="AH67" s="1335">
        <f>IF(ISNA(F67*VLOOKUP($D67,Hypothèses!$D$6:$F$14,3,0)),0,F67*VLOOKUP($D67,Hypothèses!$D$6:$F$14,3,0))</f>
        <v>0</v>
      </c>
      <c r="AI67" s="1335">
        <f>IF(ISNA(G67*VLOOKUP($D67,Hypothèses!$D$6:$F$14,3,0)),0,G67*VLOOKUP($D67,Hypothèses!$D$6:$F$14,3,0))</f>
        <v>0</v>
      </c>
      <c r="AJ67" s="1335">
        <f>IF(ISNA(H67*VLOOKUP($D67,Hypothèses!$D$6:$F$14,3,0)),0,H67*VLOOKUP($D67,Hypothèses!$D$6:$F$14,3,0))</f>
        <v>0</v>
      </c>
      <c r="AK67" s="1335">
        <f>IF(ISNA(I67*VLOOKUP($D67,Hypothèses!$D$6:$F$14,3,0)),0,I67*VLOOKUP($D67,Hypothèses!$D$6:$F$14,3,0))</f>
        <v>0</v>
      </c>
      <c r="AL67" s="1335">
        <f>IF(ISNA(J67*VLOOKUP($D67,Hypothèses!$D$6:$F$14,3,0)),0,J67*VLOOKUP($D67,Hypothèses!$D$6:$F$14,3,0))</f>
        <v>0</v>
      </c>
      <c r="AM67" s="1335">
        <f>IF(ISNA(K67*VLOOKUP($D67,Hypothèses!$D$6:$F$14,3,0)),0,K67*VLOOKUP($D67,Hypothèses!$D$6:$F$14,3,0))</f>
        <v>0</v>
      </c>
      <c r="AN67" s="1335">
        <f>IF(ISNA(L67*VLOOKUP($D67,Hypothèses!$D$6:$F$14,3,0)),0,L67*VLOOKUP($D67,Hypothèses!$D$6:$F$14,3,0))</f>
        <v>0</v>
      </c>
      <c r="AO67" s="1335">
        <f>IF(ISNA(M67*VLOOKUP($D67,Hypothèses!$D$6:$F$14,3,0)),0,M67*VLOOKUP($D67,Hypothèses!$D$6:$F$14,3,0))</f>
        <v>0</v>
      </c>
      <c r="AP67" s="1335">
        <f>IF(ISNA(N67*VLOOKUP($D67,Hypothèses!$D$6:$F$14,3,0)),0,N67*VLOOKUP($D67,Hypothèses!$D$6:$F$14,3,0))</f>
        <v>0</v>
      </c>
      <c r="AQ67" s="1335">
        <f>IF(ISNA(O67*VLOOKUP($D67,Hypothèses!$D$6:$F$14,3,0)),0,O67*VLOOKUP($D67,Hypothèses!$D$6:$F$14,3,0))</f>
        <v>0</v>
      </c>
      <c r="AR67" s="1335">
        <f>IF(ISNA(P67*VLOOKUP($D67,Hypothèses!$D$6:$F$14,3,0)),0,P67*VLOOKUP($D67,Hypothèses!$D$6:$F$14,3,0))</f>
        <v>0</v>
      </c>
      <c r="AS67" s="1335">
        <f>IF(ISNA(Q67*VLOOKUP($D67,Hypothèses!$D$6:$F$14,3,0)),0,Q67*VLOOKUP($D67,Hypothèses!$D$6:$F$14,3,0))</f>
        <v>0</v>
      </c>
      <c r="AT67" s="1335">
        <f>IF(ISNA(R67*VLOOKUP($D67,Hypothèses!$D$6:$F$14,3,0)),0,R67*VLOOKUP($D67,Hypothèses!$D$6:$F$14,3,0))</f>
        <v>0</v>
      </c>
      <c r="AU67" s="1335">
        <f>IF(ISNA(S67*VLOOKUP($D67,Hypothèses!$D$6:$F$14,3,0)),0,S67*VLOOKUP($D67,Hypothèses!$D$6:$F$14,3,0))</f>
        <v>0</v>
      </c>
      <c r="AV67" s="1335">
        <f>IF(ISNA(T67*VLOOKUP($D67,Hypothèses!$D$6:$F$14,3,0)),0,T67*VLOOKUP($D67,Hypothèses!$D$6:$F$14,3,0))</f>
        <v>0</v>
      </c>
      <c r="AW67" s="1335">
        <f>IF(ISNA(U67*VLOOKUP($D67,Hypothèses!$D$6:$F$14,3,0)),0,U67*VLOOKUP($D67,Hypothèses!$D$6:$F$14,3,0))</f>
        <v>0</v>
      </c>
      <c r="AX67" s="1335">
        <f>IF(ISNA(V67*VLOOKUP($D67,Hypothèses!$D$6:$F$14,3,0)),0,V67*VLOOKUP($D67,Hypothèses!$D$6:$F$14,3,0))</f>
        <v>0</v>
      </c>
      <c r="AY67" s="1335">
        <f>IF(ISNA(W67*VLOOKUP($D67,Hypothèses!$D$6:$F$14,3,0)),0,W67*VLOOKUP($D67,Hypothèses!$D$6:$F$14,3,0))</f>
        <v>0</v>
      </c>
      <c r="AZ67" s="1335">
        <f>IF(ISNA(X67*VLOOKUP($D67,Hypothèses!$D$6:$F$14,3,0)),0,X67*VLOOKUP($D67,Hypothèses!$D$6:$F$14,3,0))</f>
        <v>0</v>
      </c>
      <c r="BA67" s="1335">
        <f>IF(ISNA(Y67*VLOOKUP($D67,Hypothèses!$D$6:$F$14,3,0)),0,Y67*VLOOKUP($D67,Hypothèses!$D$6:$F$14,3,0))</f>
        <v>0</v>
      </c>
      <c r="BB67" s="1335">
        <f>IF(ISNA(Z67*VLOOKUP($D67,Hypothèses!$D$6:$F$14,3,0)),0,Z67*VLOOKUP($D67,Hypothèses!$D$6:$F$14,3,0))</f>
        <v>0</v>
      </c>
      <c r="BC67" s="1335">
        <f>IF(ISNA(AA67*VLOOKUP($D67,Hypothèses!$D$6:$F$14,3,0)),0,AA67*VLOOKUP($D67,Hypothèses!$D$6:$F$14,3,0))</f>
        <v>0</v>
      </c>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row>
    <row r="68" spans="1:89" s="3" customFormat="1">
      <c r="A68" s="1817">
        <v>61</v>
      </c>
      <c r="B68" s="1790"/>
      <c r="C68" s="1333"/>
      <c r="D68" s="1334"/>
      <c r="E68" s="1332" t="str">
        <f>IF(ISNA(VLOOKUP(D68,Hypothèses!$D$6:$G$16,4,0)),"",VLOOKUP(D68,Hypothèses!$D$6:$G$16,4,0))</f>
        <v/>
      </c>
      <c r="F68" s="1842"/>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1335"/>
      <c r="AC68" s="1335"/>
      <c r="AD68" s="1335"/>
      <c r="AE68" s="1335"/>
      <c r="AF68" s="1335"/>
      <c r="AG68"/>
      <c r="AH68" s="1335">
        <f>IF(ISNA(F68*VLOOKUP($D68,Hypothèses!$D$6:$F$14,3,0)),0,F68*VLOOKUP($D68,Hypothèses!$D$6:$F$14,3,0))</f>
        <v>0</v>
      </c>
      <c r="AI68" s="1335">
        <f>IF(ISNA(G68*VLOOKUP($D68,Hypothèses!$D$6:$F$14,3,0)),0,G68*VLOOKUP($D68,Hypothèses!$D$6:$F$14,3,0))</f>
        <v>0</v>
      </c>
      <c r="AJ68" s="1335">
        <f>IF(ISNA(H68*VLOOKUP($D68,Hypothèses!$D$6:$F$14,3,0)),0,H68*VLOOKUP($D68,Hypothèses!$D$6:$F$14,3,0))</f>
        <v>0</v>
      </c>
      <c r="AK68" s="1335">
        <f>IF(ISNA(I68*VLOOKUP($D68,Hypothèses!$D$6:$F$14,3,0)),0,I68*VLOOKUP($D68,Hypothèses!$D$6:$F$14,3,0))</f>
        <v>0</v>
      </c>
      <c r="AL68" s="1335">
        <f>IF(ISNA(J68*VLOOKUP($D68,Hypothèses!$D$6:$F$14,3,0)),0,J68*VLOOKUP($D68,Hypothèses!$D$6:$F$14,3,0))</f>
        <v>0</v>
      </c>
      <c r="AM68" s="1335">
        <f>IF(ISNA(K68*VLOOKUP($D68,Hypothèses!$D$6:$F$14,3,0)),0,K68*VLOOKUP($D68,Hypothèses!$D$6:$F$14,3,0))</f>
        <v>0</v>
      </c>
      <c r="AN68" s="1335">
        <f>IF(ISNA(L68*VLOOKUP($D68,Hypothèses!$D$6:$F$14,3,0)),0,L68*VLOOKUP($D68,Hypothèses!$D$6:$F$14,3,0))</f>
        <v>0</v>
      </c>
      <c r="AO68" s="1335">
        <f>IF(ISNA(M68*VLOOKUP($D68,Hypothèses!$D$6:$F$14,3,0)),0,M68*VLOOKUP($D68,Hypothèses!$D$6:$F$14,3,0))</f>
        <v>0</v>
      </c>
      <c r="AP68" s="1335">
        <f>IF(ISNA(N68*VLOOKUP($D68,Hypothèses!$D$6:$F$14,3,0)),0,N68*VLOOKUP($D68,Hypothèses!$D$6:$F$14,3,0))</f>
        <v>0</v>
      </c>
      <c r="AQ68" s="1335">
        <f>IF(ISNA(O68*VLOOKUP($D68,Hypothèses!$D$6:$F$14,3,0)),0,O68*VLOOKUP($D68,Hypothèses!$D$6:$F$14,3,0))</f>
        <v>0</v>
      </c>
      <c r="AR68" s="1335">
        <f>IF(ISNA(P68*VLOOKUP($D68,Hypothèses!$D$6:$F$14,3,0)),0,P68*VLOOKUP($D68,Hypothèses!$D$6:$F$14,3,0))</f>
        <v>0</v>
      </c>
      <c r="AS68" s="1335">
        <f>IF(ISNA(Q68*VLOOKUP($D68,Hypothèses!$D$6:$F$14,3,0)),0,Q68*VLOOKUP($D68,Hypothèses!$D$6:$F$14,3,0))</f>
        <v>0</v>
      </c>
      <c r="AT68" s="1335">
        <f>IF(ISNA(R68*VLOOKUP($D68,Hypothèses!$D$6:$F$14,3,0)),0,R68*VLOOKUP($D68,Hypothèses!$D$6:$F$14,3,0))</f>
        <v>0</v>
      </c>
      <c r="AU68" s="1335">
        <f>IF(ISNA(S68*VLOOKUP($D68,Hypothèses!$D$6:$F$14,3,0)),0,S68*VLOOKUP($D68,Hypothèses!$D$6:$F$14,3,0))</f>
        <v>0</v>
      </c>
      <c r="AV68" s="1335">
        <f>IF(ISNA(T68*VLOOKUP($D68,Hypothèses!$D$6:$F$14,3,0)),0,T68*VLOOKUP($D68,Hypothèses!$D$6:$F$14,3,0))</f>
        <v>0</v>
      </c>
      <c r="AW68" s="1335">
        <f>IF(ISNA(U68*VLOOKUP($D68,Hypothèses!$D$6:$F$14,3,0)),0,U68*VLOOKUP($D68,Hypothèses!$D$6:$F$14,3,0))</f>
        <v>0</v>
      </c>
      <c r="AX68" s="1335">
        <f>IF(ISNA(V68*VLOOKUP($D68,Hypothèses!$D$6:$F$14,3,0)),0,V68*VLOOKUP($D68,Hypothèses!$D$6:$F$14,3,0))</f>
        <v>0</v>
      </c>
      <c r="AY68" s="1335">
        <f>IF(ISNA(W68*VLOOKUP($D68,Hypothèses!$D$6:$F$14,3,0)),0,W68*VLOOKUP($D68,Hypothèses!$D$6:$F$14,3,0))</f>
        <v>0</v>
      </c>
      <c r="AZ68" s="1335">
        <f>IF(ISNA(X68*VLOOKUP($D68,Hypothèses!$D$6:$F$14,3,0)),0,X68*VLOOKUP($D68,Hypothèses!$D$6:$F$14,3,0))</f>
        <v>0</v>
      </c>
      <c r="BA68" s="1335">
        <f>IF(ISNA(Y68*VLOOKUP($D68,Hypothèses!$D$6:$F$14,3,0)),0,Y68*VLOOKUP($D68,Hypothèses!$D$6:$F$14,3,0))</f>
        <v>0</v>
      </c>
      <c r="BB68" s="1335">
        <f>IF(ISNA(Z68*VLOOKUP($D68,Hypothèses!$D$6:$F$14,3,0)),0,Z68*VLOOKUP($D68,Hypothèses!$D$6:$F$14,3,0))</f>
        <v>0</v>
      </c>
      <c r="BC68" s="1335">
        <f>IF(ISNA(AA68*VLOOKUP($D68,Hypothèses!$D$6:$F$14,3,0)),0,AA68*VLOOKUP($D68,Hypothèses!$D$6:$F$14,3,0))</f>
        <v>0</v>
      </c>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row>
    <row r="69" spans="1:89" s="3" customFormat="1">
      <c r="A69" s="1817">
        <v>62</v>
      </c>
      <c r="B69" s="1790"/>
      <c r="C69" s="1333"/>
      <c r="D69" s="1334"/>
      <c r="E69" s="1332" t="str">
        <f>IF(ISNA(VLOOKUP(D69,Hypothèses!$D$6:$G$16,4,0)),"",VLOOKUP(D69,Hypothèses!$D$6:$G$16,4,0))</f>
        <v/>
      </c>
      <c r="F69" s="1842"/>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1335"/>
      <c r="AC69" s="1335"/>
      <c r="AD69" s="1335"/>
      <c r="AE69" s="1335"/>
      <c r="AF69" s="1335"/>
      <c r="AG69"/>
      <c r="AH69" s="1335">
        <f>IF(ISNA(F69*VLOOKUP($D69,Hypothèses!$D$6:$F$14,3,0)),0,F69*VLOOKUP($D69,Hypothèses!$D$6:$F$14,3,0))</f>
        <v>0</v>
      </c>
      <c r="AI69" s="1335">
        <f>IF(ISNA(G69*VLOOKUP($D69,Hypothèses!$D$6:$F$14,3,0)),0,G69*VLOOKUP($D69,Hypothèses!$D$6:$F$14,3,0))</f>
        <v>0</v>
      </c>
      <c r="AJ69" s="1335">
        <f>IF(ISNA(H69*VLOOKUP($D69,Hypothèses!$D$6:$F$14,3,0)),0,H69*VLOOKUP($D69,Hypothèses!$D$6:$F$14,3,0))</f>
        <v>0</v>
      </c>
      <c r="AK69" s="1335">
        <f>IF(ISNA(I69*VLOOKUP($D69,Hypothèses!$D$6:$F$14,3,0)),0,I69*VLOOKUP($D69,Hypothèses!$D$6:$F$14,3,0))</f>
        <v>0</v>
      </c>
      <c r="AL69" s="1335">
        <f>IF(ISNA(J69*VLOOKUP($D69,Hypothèses!$D$6:$F$14,3,0)),0,J69*VLOOKUP($D69,Hypothèses!$D$6:$F$14,3,0))</f>
        <v>0</v>
      </c>
      <c r="AM69" s="1335">
        <f>IF(ISNA(K69*VLOOKUP($D69,Hypothèses!$D$6:$F$14,3,0)),0,K69*VLOOKUP($D69,Hypothèses!$D$6:$F$14,3,0))</f>
        <v>0</v>
      </c>
      <c r="AN69" s="1335">
        <f>IF(ISNA(L69*VLOOKUP($D69,Hypothèses!$D$6:$F$14,3,0)),0,L69*VLOOKUP($D69,Hypothèses!$D$6:$F$14,3,0))</f>
        <v>0</v>
      </c>
      <c r="AO69" s="1335">
        <f>IF(ISNA(M69*VLOOKUP($D69,Hypothèses!$D$6:$F$14,3,0)),0,M69*VLOOKUP($D69,Hypothèses!$D$6:$F$14,3,0))</f>
        <v>0</v>
      </c>
      <c r="AP69" s="1335">
        <f>IF(ISNA(N69*VLOOKUP($D69,Hypothèses!$D$6:$F$14,3,0)),0,N69*VLOOKUP($D69,Hypothèses!$D$6:$F$14,3,0))</f>
        <v>0</v>
      </c>
      <c r="AQ69" s="1335">
        <f>IF(ISNA(O69*VLOOKUP($D69,Hypothèses!$D$6:$F$14,3,0)),0,O69*VLOOKUP($D69,Hypothèses!$D$6:$F$14,3,0))</f>
        <v>0</v>
      </c>
      <c r="AR69" s="1335">
        <f>IF(ISNA(P69*VLOOKUP($D69,Hypothèses!$D$6:$F$14,3,0)),0,P69*VLOOKUP($D69,Hypothèses!$D$6:$F$14,3,0))</f>
        <v>0</v>
      </c>
      <c r="AS69" s="1335">
        <f>IF(ISNA(Q69*VLOOKUP($D69,Hypothèses!$D$6:$F$14,3,0)),0,Q69*VLOOKUP($D69,Hypothèses!$D$6:$F$14,3,0))</f>
        <v>0</v>
      </c>
      <c r="AT69" s="1335">
        <f>IF(ISNA(R69*VLOOKUP($D69,Hypothèses!$D$6:$F$14,3,0)),0,R69*VLOOKUP($D69,Hypothèses!$D$6:$F$14,3,0))</f>
        <v>0</v>
      </c>
      <c r="AU69" s="1335">
        <f>IF(ISNA(S69*VLOOKUP($D69,Hypothèses!$D$6:$F$14,3,0)),0,S69*VLOOKUP($D69,Hypothèses!$D$6:$F$14,3,0))</f>
        <v>0</v>
      </c>
      <c r="AV69" s="1335">
        <f>IF(ISNA(T69*VLOOKUP($D69,Hypothèses!$D$6:$F$14,3,0)),0,T69*VLOOKUP($D69,Hypothèses!$D$6:$F$14,3,0))</f>
        <v>0</v>
      </c>
      <c r="AW69" s="1335">
        <f>IF(ISNA(U69*VLOOKUP($D69,Hypothèses!$D$6:$F$14,3,0)),0,U69*VLOOKUP($D69,Hypothèses!$D$6:$F$14,3,0))</f>
        <v>0</v>
      </c>
      <c r="AX69" s="1335">
        <f>IF(ISNA(V69*VLOOKUP($D69,Hypothèses!$D$6:$F$14,3,0)),0,V69*VLOOKUP($D69,Hypothèses!$D$6:$F$14,3,0))</f>
        <v>0</v>
      </c>
      <c r="AY69" s="1335">
        <f>IF(ISNA(W69*VLOOKUP($D69,Hypothèses!$D$6:$F$14,3,0)),0,W69*VLOOKUP($D69,Hypothèses!$D$6:$F$14,3,0))</f>
        <v>0</v>
      </c>
      <c r="AZ69" s="1335">
        <f>IF(ISNA(X69*VLOOKUP($D69,Hypothèses!$D$6:$F$14,3,0)),0,X69*VLOOKUP($D69,Hypothèses!$D$6:$F$14,3,0))</f>
        <v>0</v>
      </c>
      <c r="BA69" s="1335">
        <f>IF(ISNA(Y69*VLOOKUP($D69,Hypothèses!$D$6:$F$14,3,0)),0,Y69*VLOOKUP($D69,Hypothèses!$D$6:$F$14,3,0))</f>
        <v>0</v>
      </c>
      <c r="BB69" s="1335">
        <f>IF(ISNA(Z69*VLOOKUP($D69,Hypothèses!$D$6:$F$14,3,0)),0,Z69*VLOOKUP($D69,Hypothèses!$D$6:$F$14,3,0))</f>
        <v>0</v>
      </c>
      <c r="BC69" s="1335">
        <f>IF(ISNA(AA69*VLOOKUP($D69,Hypothèses!$D$6:$F$14,3,0)),0,AA69*VLOOKUP($D69,Hypothèses!$D$6:$F$14,3,0))</f>
        <v>0</v>
      </c>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row>
    <row r="70" spans="1:89" s="3" customFormat="1">
      <c r="A70" s="1817">
        <v>63</v>
      </c>
      <c r="B70" s="1790"/>
      <c r="C70" s="1333"/>
      <c r="D70" s="1334"/>
      <c r="E70" s="1332" t="str">
        <f>IF(ISNA(VLOOKUP(D70,Hypothèses!$D$6:$G$16,4,0)),"",VLOOKUP(D70,Hypothèses!$D$6:$G$16,4,0))</f>
        <v/>
      </c>
      <c r="F70" s="1842"/>
      <c r="G70" s="1843"/>
      <c r="H70" s="1843"/>
      <c r="I70" s="1843"/>
      <c r="J70" s="1843"/>
      <c r="K70" s="1843"/>
      <c r="L70" s="1843"/>
      <c r="M70" s="1843"/>
      <c r="N70" s="1843"/>
      <c r="O70" s="1843"/>
      <c r="P70" s="1843"/>
      <c r="Q70" s="1843"/>
      <c r="R70" s="1843"/>
      <c r="S70" s="1843"/>
      <c r="T70" s="1843"/>
      <c r="U70" s="1843"/>
      <c r="V70" s="1843"/>
      <c r="W70" s="1843"/>
      <c r="X70" s="1843"/>
      <c r="Y70" s="1843"/>
      <c r="Z70" s="1843"/>
      <c r="AA70" s="1844"/>
      <c r="AB70" s="1335"/>
      <c r="AC70" s="1335"/>
      <c r="AD70" s="1335"/>
      <c r="AE70" s="1335"/>
      <c r="AF70" s="1335"/>
      <c r="AG70"/>
      <c r="AH70" s="1335">
        <f>IF(ISNA(F70*VLOOKUP($D70,Hypothèses!$D$6:$F$14,3,0)),0,F70*VLOOKUP($D70,Hypothèses!$D$6:$F$14,3,0))</f>
        <v>0</v>
      </c>
      <c r="AI70" s="1335">
        <f>IF(ISNA(G70*VLOOKUP($D70,Hypothèses!$D$6:$F$14,3,0)),0,G70*VLOOKUP($D70,Hypothèses!$D$6:$F$14,3,0))</f>
        <v>0</v>
      </c>
      <c r="AJ70" s="1335">
        <f>IF(ISNA(H70*VLOOKUP($D70,Hypothèses!$D$6:$F$14,3,0)),0,H70*VLOOKUP($D70,Hypothèses!$D$6:$F$14,3,0))</f>
        <v>0</v>
      </c>
      <c r="AK70" s="1335">
        <f>IF(ISNA(I70*VLOOKUP($D70,Hypothèses!$D$6:$F$14,3,0)),0,I70*VLOOKUP($D70,Hypothèses!$D$6:$F$14,3,0))</f>
        <v>0</v>
      </c>
      <c r="AL70" s="1335">
        <f>IF(ISNA(J70*VLOOKUP($D70,Hypothèses!$D$6:$F$14,3,0)),0,J70*VLOOKUP($D70,Hypothèses!$D$6:$F$14,3,0))</f>
        <v>0</v>
      </c>
      <c r="AM70" s="1335">
        <f>IF(ISNA(K70*VLOOKUP($D70,Hypothèses!$D$6:$F$14,3,0)),0,K70*VLOOKUP($D70,Hypothèses!$D$6:$F$14,3,0))</f>
        <v>0</v>
      </c>
      <c r="AN70" s="1335">
        <f>IF(ISNA(L70*VLOOKUP($D70,Hypothèses!$D$6:$F$14,3,0)),0,L70*VLOOKUP($D70,Hypothèses!$D$6:$F$14,3,0))</f>
        <v>0</v>
      </c>
      <c r="AO70" s="1335">
        <f>IF(ISNA(M70*VLOOKUP($D70,Hypothèses!$D$6:$F$14,3,0)),0,M70*VLOOKUP($D70,Hypothèses!$D$6:$F$14,3,0))</f>
        <v>0</v>
      </c>
      <c r="AP70" s="1335">
        <f>IF(ISNA(N70*VLOOKUP($D70,Hypothèses!$D$6:$F$14,3,0)),0,N70*VLOOKUP($D70,Hypothèses!$D$6:$F$14,3,0))</f>
        <v>0</v>
      </c>
      <c r="AQ70" s="1335">
        <f>IF(ISNA(O70*VLOOKUP($D70,Hypothèses!$D$6:$F$14,3,0)),0,O70*VLOOKUP($D70,Hypothèses!$D$6:$F$14,3,0))</f>
        <v>0</v>
      </c>
      <c r="AR70" s="1335">
        <f>IF(ISNA(P70*VLOOKUP($D70,Hypothèses!$D$6:$F$14,3,0)),0,P70*VLOOKUP($D70,Hypothèses!$D$6:$F$14,3,0))</f>
        <v>0</v>
      </c>
      <c r="AS70" s="1335">
        <f>IF(ISNA(Q70*VLOOKUP($D70,Hypothèses!$D$6:$F$14,3,0)),0,Q70*VLOOKUP($D70,Hypothèses!$D$6:$F$14,3,0))</f>
        <v>0</v>
      </c>
      <c r="AT70" s="1335">
        <f>IF(ISNA(R70*VLOOKUP($D70,Hypothèses!$D$6:$F$14,3,0)),0,R70*VLOOKUP($D70,Hypothèses!$D$6:$F$14,3,0))</f>
        <v>0</v>
      </c>
      <c r="AU70" s="1335">
        <f>IF(ISNA(S70*VLOOKUP($D70,Hypothèses!$D$6:$F$14,3,0)),0,S70*VLOOKUP($D70,Hypothèses!$D$6:$F$14,3,0))</f>
        <v>0</v>
      </c>
      <c r="AV70" s="1335">
        <f>IF(ISNA(T70*VLOOKUP($D70,Hypothèses!$D$6:$F$14,3,0)),0,T70*VLOOKUP($D70,Hypothèses!$D$6:$F$14,3,0))</f>
        <v>0</v>
      </c>
      <c r="AW70" s="1335">
        <f>IF(ISNA(U70*VLOOKUP($D70,Hypothèses!$D$6:$F$14,3,0)),0,U70*VLOOKUP($D70,Hypothèses!$D$6:$F$14,3,0))</f>
        <v>0</v>
      </c>
      <c r="AX70" s="1335">
        <f>IF(ISNA(V70*VLOOKUP($D70,Hypothèses!$D$6:$F$14,3,0)),0,V70*VLOOKUP($D70,Hypothèses!$D$6:$F$14,3,0))</f>
        <v>0</v>
      </c>
      <c r="AY70" s="1335">
        <f>IF(ISNA(W70*VLOOKUP($D70,Hypothèses!$D$6:$F$14,3,0)),0,W70*VLOOKUP($D70,Hypothèses!$D$6:$F$14,3,0))</f>
        <v>0</v>
      </c>
      <c r="AZ70" s="1335">
        <f>IF(ISNA(X70*VLOOKUP($D70,Hypothèses!$D$6:$F$14,3,0)),0,X70*VLOOKUP($D70,Hypothèses!$D$6:$F$14,3,0))</f>
        <v>0</v>
      </c>
      <c r="BA70" s="1335">
        <f>IF(ISNA(Y70*VLOOKUP($D70,Hypothèses!$D$6:$F$14,3,0)),0,Y70*VLOOKUP($D70,Hypothèses!$D$6:$F$14,3,0))</f>
        <v>0</v>
      </c>
      <c r="BB70" s="1335">
        <f>IF(ISNA(Z70*VLOOKUP($D70,Hypothèses!$D$6:$F$14,3,0)),0,Z70*VLOOKUP($D70,Hypothèses!$D$6:$F$14,3,0))</f>
        <v>0</v>
      </c>
      <c r="BC70" s="1335">
        <f>IF(ISNA(AA70*VLOOKUP($D70,Hypothèses!$D$6:$F$14,3,0)),0,AA70*VLOOKUP($D70,Hypothèses!$D$6:$F$14,3,0))</f>
        <v>0</v>
      </c>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row>
    <row r="71" spans="1:89" s="3" customFormat="1">
      <c r="A71" s="1817">
        <v>64</v>
      </c>
      <c r="B71" s="1790"/>
      <c r="C71" s="1333"/>
      <c r="D71" s="1334"/>
      <c r="E71" s="1332" t="str">
        <f>IF(ISNA(VLOOKUP(D71,Hypothèses!$D$6:$G$16,4,0)),"",VLOOKUP(D71,Hypothèses!$D$6:$G$16,4,0))</f>
        <v/>
      </c>
      <c r="F71" s="1842"/>
      <c r="G71" s="1843"/>
      <c r="H71" s="1843"/>
      <c r="I71" s="1843"/>
      <c r="J71" s="1843"/>
      <c r="K71" s="1843"/>
      <c r="L71" s="1843"/>
      <c r="M71" s="1843"/>
      <c r="N71" s="1843"/>
      <c r="O71" s="1843"/>
      <c r="P71" s="1843"/>
      <c r="Q71" s="1843"/>
      <c r="R71" s="1843"/>
      <c r="S71" s="1843"/>
      <c r="T71" s="1843"/>
      <c r="U71" s="1843"/>
      <c r="V71" s="1843"/>
      <c r="W71" s="1843"/>
      <c r="X71" s="1843"/>
      <c r="Y71" s="1843"/>
      <c r="Z71" s="1843"/>
      <c r="AA71" s="1844"/>
      <c r="AB71" s="1335"/>
      <c r="AC71" s="1335"/>
      <c r="AD71" s="1335"/>
      <c r="AE71" s="1335"/>
      <c r="AF71" s="1335"/>
      <c r="AG71"/>
      <c r="AH71" s="1335">
        <f>IF(ISNA(F71*VLOOKUP($D71,Hypothèses!$D$6:$F$14,3,0)),0,F71*VLOOKUP($D71,Hypothèses!$D$6:$F$14,3,0))</f>
        <v>0</v>
      </c>
      <c r="AI71" s="1335">
        <f>IF(ISNA(G71*VLOOKUP($D71,Hypothèses!$D$6:$F$14,3,0)),0,G71*VLOOKUP($D71,Hypothèses!$D$6:$F$14,3,0))</f>
        <v>0</v>
      </c>
      <c r="AJ71" s="1335">
        <f>IF(ISNA(H71*VLOOKUP($D71,Hypothèses!$D$6:$F$14,3,0)),0,H71*VLOOKUP($D71,Hypothèses!$D$6:$F$14,3,0))</f>
        <v>0</v>
      </c>
      <c r="AK71" s="1335">
        <f>IF(ISNA(I71*VLOOKUP($D71,Hypothèses!$D$6:$F$14,3,0)),0,I71*VLOOKUP($D71,Hypothèses!$D$6:$F$14,3,0))</f>
        <v>0</v>
      </c>
      <c r="AL71" s="1335">
        <f>IF(ISNA(J71*VLOOKUP($D71,Hypothèses!$D$6:$F$14,3,0)),0,J71*VLOOKUP($D71,Hypothèses!$D$6:$F$14,3,0))</f>
        <v>0</v>
      </c>
      <c r="AM71" s="1335">
        <f>IF(ISNA(K71*VLOOKUP($D71,Hypothèses!$D$6:$F$14,3,0)),0,K71*VLOOKUP($D71,Hypothèses!$D$6:$F$14,3,0))</f>
        <v>0</v>
      </c>
      <c r="AN71" s="1335">
        <f>IF(ISNA(L71*VLOOKUP($D71,Hypothèses!$D$6:$F$14,3,0)),0,L71*VLOOKUP($D71,Hypothèses!$D$6:$F$14,3,0))</f>
        <v>0</v>
      </c>
      <c r="AO71" s="1335">
        <f>IF(ISNA(M71*VLOOKUP($D71,Hypothèses!$D$6:$F$14,3,0)),0,M71*VLOOKUP($D71,Hypothèses!$D$6:$F$14,3,0))</f>
        <v>0</v>
      </c>
      <c r="AP71" s="1335">
        <f>IF(ISNA(N71*VLOOKUP($D71,Hypothèses!$D$6:$F$14,3,0)),0,N71*VLOOKUP($D71,Hypothèses!$D$6:$F$14,3,0))</f>
        <v>0</v>
      </c>
      <c r="AQ71" s="1335">
        <f>IF(ISNA(O71*VLOOKUP($D71,Hypothèses!$D$6:$F$14,3,0)),0,O71*VLOOKUP($D71,Hypothèses!$D$6:$F$14,3,0))</f>
        <v>0</v>
      </c>
      <c r="AR71" s="1335">
        <f>IF(ISNA(P71*VLOOKUP($D71,Hypothèses!$D$6:$F$14,3,0)),0,P71*VLOOKUP($D71,Hypothèses!$D$6:$F$14,3,0))</f>
        <v>0</v>
      </c>
      <c r="AS71" s="1335">
        <f>IF(ISNA(Q71*VLOOKUP($D71,Hypothèses!$D$6:$F$14,3,0)),0,Q71*VLOOKUP($D71,Hypothèses!$D$6:$F$14,3,0))</f>
        <v>0</v>
      </c>
      <c r="AT71" s="1335">
        <f>IF(ISNA(R71*VLOOKUP($D71,Hypothèses!$D$6:$F$14,3,0)),0,R71*VLOOKUP($D71,Hypothèses!$D$6:$F$14,3,0))</f>
        <v>0</v>
      </c>
      <c r="AU71" s="1335">
        <f>IF(ISNA(S71*VLOOKUP($D71,Hypothèses!$D$6:$F$14,3,0)),0,S71*VLOOKUP($D71,Hypothèses!$D$6:$F$14,3,0))</f>
        <v>0</v>
      </c>
      <c r="AV71" s="1335">
        <f>IF(ISNA(T71*VLOOKUP($D71,Hypothèses!$D$6:$F$14,3,0)),0,T71*VLOOKUP($D71,Hypothèses!$D$6:$F$14,3,0))</f>
        <v>0</v>
      </c>
      <c r="AW71" s="1335">
        <f>IF(ISNA(U71*VLOOKUP($D71,Hypothèses!$D$6:$F$14,3,0)),0,U71*VLOOKUP($D71,Hypothèses!$D$6:$F$14,3,0))</f>
        <v>0</v>
      </c>
      <c r="AX71" s="1335">
        <f>IF(ISNA(V71*VLOOKUP($D71,Hypothèses!$D$6:$F$14,3,0)),0,V71*VLOOKUP($D71,Hypothèses!$D$6:$F$14,3,0))</f>
        <v>0</v>
      </c>
      <c r="AY71" s="1335">
        <f>IF(ISNA(W71*VLOOKUP($D71,Hypothèses!$D$6:$F$14,3,0)),0,W71*VLOOKUP($D71,Hypothèses!$D$6:$F$14,3,0))</f>
        <v>0</v>
      </c>
      <c r="AZ71" s="1335">
        <f>IF(ISNA(X71*VLOOKUP($D71,Hypothèses!$D$6:$F$14,3,0)),0,X71*VLOOKUP($D71,Hypothèses!$D$6:$F$14,3,0))</f>
        <v>0</v>
      </c>
      <c r="BA71" s="1335">
        <f>IF(ISNA(Y71*VLOOKUP($D71,Hypothèses!$D$6:$F$14,3,0)),0,Y71*VLOOKUP($D71,Hypothèses!$D$6:$F$14,3,0))</f>
        <v>0</v>
      </c>
      <c r="BB71" s="1335">
        <f>IF(ISNA(Z71*VLOOKUP($D71,Hypothèses!$D$6:$F$14,3,0)),0,Z71*VLOOKUP($D71,Hypothèses!$D$6:$F$14,3,0))</f>
        <v>0</v>
      </c>
      <c r="BC71" s="1335">
        <f>IF(ISNA(AA71*VLOOKUP($D71,Hypothèses!$D$6:$F$14,3,0)),0,AA71*VLOOKUP($D71,Hypothèses!$D$6:$F$14,3,0))</f>
        <v>0</v>
      </c>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row>
    <row r="72" spans="1:89" s="3" customFormat="1">
      <c r="A72" s="1817">
        <v>65</v>
      </c>
      <c r="B72" s="1790"/>
      <c r="C72" s="1333"/>
      <c r="D72" s="1334"/>
      <c r="E72" s="1332" t="str">
        <f>IF(ISNA(VLOOKUP(D72,Hypothèses!$D$6:$G$16,4,0)),"",VLOOKUP(D72,Hypothèses!$D$6:$G$16,4,0))</f>
        <v/>
      </c>
      <c r="F72" s="1842"/>
      <c r="G72" s="1843"/>
      <c r="H72" s="1843"/>
      <c r="I72" s="1843"/>
      <c r="J72" s="1843"/>
      <c r="K72" s="1843"/>
      <c r="L72" s="1843"/>
      <c r="M72" s="1843"/>
      <c r="N72" s="1843"/>
      <c r="O72" s="1843"/>
      <c r="P72" s="1843"/>
      <c r="Q72" s="1843"/>
      <c r="R72" s="1843"/>
      <c r="S72" s="1843"/>
      <c r="T72" s="1843"/>
      <c r="U72" s="1843"/>
      <c r="V72" s="1843"/>
      <c r="W72" s="1843"/>
      <c r="X72" s="1843"/>
      <c r="Y72" s="1843"/>
      <c r="Z72" s="1843"/>
      <c r="AA72" s="1844"/>
      <c r="AB72" s="1335"/>
      <c r="AC72" s="1335"/>
      <c r="AD72" s="1335"/>
      <c r="AE72" s="1335"/>
      <c r="AF72" s="1335"/>
      <c r="AG72"/>
      <c r="AH72" s="1335">
        <f>IF(ISNA(F72*VLOOKUP($D72,Hypothèses!$D$6:$F$14,3,0)),0,F72*VLOOKUP($D72,Hypothèses!$D$6:$F$14,3,0))</f>
        <v>0</v>
      </c>
      <c r="AI72" s="1335">
        <f>IF(ISNA(G72*VLOOKUP($D72,Hypothèses!$D$6:$F$14,3,0)),0,G72*VLOOKUP($D72,Hypothèses!$D$6:$F$14,3,0))</f>
        <v>0</v>
      </c>
      <c r="AJ72" s="1335">
        <f>IF(ISNA(H72*VLOOKUP($D72,Hypothèses!$D$6:$F$14,3,0)),0,H72*VLOOKUP($D72,Hypothèses!$D$6:$F$14,3,0))</f>
        <v>0</v>
      </c>
      <c r="AK72" s="1335">
        <f>IF(ISNA(I72*VLOOKUP($D72,Hypothèses!$D$6:$F$14,3,0)),0,I72*VLOOKUP($D72,Hypothèses!$D$6:$F$14,3,0))</f>
        <v>0</v>
      </c>
      <c r="AL72" s="1335">
        <f>IF(ISNA(J72*VLOOKUP($D72,Hypothèses!$D$6:$F$14,3,0)),0,J72*VLOOKUP($D72,Hypothèses!$D$6:$F$14,3,0))</f>
        <v>0</v>
      </c>
      <c r="AM72" s="1335">
        <f>IF(ISNA(K72*VLOOKUP($D72,Hypothèses!$D$6:$F$14,3,0)),0,K72*VLOOKUP($D72,Hypothèses!$D$6:$F$14,3,0))</f>
        <v>0</v>
      </c>
      <c r="AN72" s="1335">
        <f>IF(ISNA(L72*VLOOKUP($D72,Hypothèses!$D$6:$F$14,3,0)),0,L72*VLOOKUP($D72,Hypothèses!$D$6:$F$14,3,0))</f>
        <v>0</v>
      </c>
      <c r="AO72" s="1335">
        <f>IF(ISNA(M72*VLOOKUP($D72,Hypothèses!$D$6:$F$14,3,0)),0,M72*VLOOKUP($D72,Hypothèses!$D$6:$F$14,3,0))</f>
        <v>0</v>
      </c>
      <c r="AP72" s="1335">
        <f>IF(ISNA(N72*VLOOKUP($D72,Hypothèses!$D$6:$F$14,3,0)),0,N72*VLOOKUP($D72,Hypothèses!$D$6:$F$14,3,0))</f>
        <v>0</v>
      </c>
      <c r="AQ72" s="1335">
        <f>IF(ISNA(O72*VLOOKUP($D72,Hypothèses!$D$6:$F$14,3,0)),0,O72*VLOOKUP($D72,Hypothèses!$D$6:$F$14,3,0))</f>
        <v>0</v>
      </c>
      <c r="AR72" s="1335">
        <f>IF(ISNA(P72*VLOOKUP($D72,Hypothèses!$D$6:$F$14,3,0)),0,P72*VLOOKUP($D72,Hypothèses!$D$6:$F$14,3,0))</f>
        <v>0</v>
      </c>
      <c r="AS72" s="1335">
        <f>IF(ISNA(Q72*VLOOKUP($D72,Hypothèses!$D$6:$F$14,3,0)),0,Q72*VLOOKUP($D72,Hypothèses!$D$6:$F$14,3,0))</f>
        <v>0</v>
      </c>
      <c r="AT72" s="1335">
        <f>IF(ISNA(R72*VLOOKUP($D72,Hypothèses!$D$6:$F$14,3,0)),0,R72*VLOOKUP($D72,Hypothèses!$D$6:$F$14,3,0))</f>
        <v>0</v>
      </c>
      <c r="AU72" s="1335">
        <f>IF(ISNA(S72*VLOOKUP($D72,Hypothèses!$D$6:$F$14,3,0)),0,S72*VLOOKUP($D72,Hypothèses!$D$6:$F$14,3,0))</f>
        <v>0</v>
      </c>
      <c r="AV72" s="1335">
        <f>IF(ISNA(T72*VLOOKUP($D72,Hypothèses!$D$6:$F$14,3,0)),0,T72*VLOOKUP($D72,Hypothèses!$D$6:$F$14,3,0))</f>
        <v>0</v>
      </c>
      <c r="AW72" s="1335">
        <f>IF(ISNA(U72*VLOOKUP($D72,Hypothèses!$D$6:$F$14,3,0)),0,U72*VLOOKUP($D72,Hypothèses!$D$6:$F$14,3,0))</f>
        <v>0</v>
      </c>
      <c r="AX72" s="1335">
        <f>IF(ISNA(V72*VLOOKUP($D72,Hypothèses!$D$6:$F$14,3,0)),0,V72*VLOOKUP($D72,Hypothèses!$D$6:$F$14,3,0))</f>
        <v>0</v>
      </c>
      <c r="AY72" s="1335">
        <f>IF(ISNA(W72*VLOOKUP($D72,Hypothèses!$D$6:$F$14,3,0)),0,W72*VLOOKUP($D72,Hypothèses!$D$6:$F$14,3,0))</f>
        <v>0</v>
      </c>
      <c r="AZ72" s="1335">
        <f>IF(ISNA(X72*VLOOKUP($D72,Hypothèses!$D$6:$F$14,3,0)),0,X72*VLOOKUP($D72,Hypothèses!$D$6:$F$14,3,0))</f>
        <v>0</v>
      </c>
      <c r="BA72" s="1335">
        <f>IF(ISNA(Y72*VLOOKUP($D72,Hypothèses!$D$6:$F$14,3,0)),0,Y72*VLOOKUP($D72,Hypothèses!$D$6:$F$14,3,0))</f>
        <v>0</v>
      </c>
      <c r="BB72" s="1335">
        <f>IF(ISNA(Z72*VLOOKUP($D72,Hypothèses!$D$6:$F$14,3,0)),0,Z72*VLOOKUP($D72,Hypothèses!$D$6:$F$14,3,0))</f>
        <v>0</v>
      </c>
      <c r="BC72" s="1335">
        <f>IF(ISNA(AA72*VLOOKUP($D72,Hypothèses!$D$6:$F$14,3,0)),0,AA72*VLOOKUP($D72,Hypothèses!$D$6:$F$14,3,0))</f>
        <v>0</v>
      </c>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row>
    <row r="73" spans="1:89" s="3" customFormat="1">
      <c r="A73" s="1817">
        <v>66</v>
      </c>
      <c r="B73" s="1790"/>
      <c r="C73" s="1333"/>
      <c r="D73" s="1334"/>
      <c r="E73" s="1332" t="str">
        <f>IF(ISNA(VLOOKUP(D73,Hypothèses!$D$6:$G$16,4,0)),"",VLOOKUP(D73,Hypothèses!$D$6:$G$16,4,0))</f>
        <v/>
      </c>
      <c r="F73" s="1842"/>
      <c r="G73" s="1843"/>
      <c r="H73" s="1843"/>
      <c r="I73" s="1843"/>
      <c r="J73" s="1843"/>
      <c r="K73" s="1843"/>
      <c r="L73" s="1843"/>
      <c r="M73" s="1843"/>
      <c r="N73" s="1843"/>
      <c r="O73" s="1843"/>
      <c r="P73" s="1843"/>
      <c r="Q73" s="1843"/>
      <c r="R73" s="1843"/>
      <c r="S73" s="1843"/>
      <c r="T73" s="1843"/>
      <c r="U73" s="1843"/>
      <c r="V73" s="1843"/>
      <c r="W73" s="1843"/>
      <c r="X73" s="1843"/>
      <c r="Y73" s="1843"/>
      <c r="Z73" s="1843"/>
      <c r="AA73" s="1844"/>
      <c r="AB73" s="1335"/>
      <c r="AC73" s="1335"/>
      <c r="AD73" s="1335"/>
      <c r="AE73" s="1335"/>
      <c r="AF73" s="1335"/>
      <c r="AG73"/>
      <c r="AH73" s="1335">
        <f>IF(ISNA(F73*VLOOKUP($D73,Hypothèses!$D$6:$F$14,3,0)),0,F73*VLOOKUP($D73,Hypothèses!$D$6:$F$14,3,0))</f>
        <v>0</v>
      </c>
      <c r="AI73" s="1335">
        <f>IF(ISNA(G73*VLOOKUP($D73,Hypothèses!$D$6:$F$14,3,0)),0,G73*VLOOKUP($D73,Hypothèses!$D$6:$F$14,3,0))</f>
        <v>0</v>
      </c>
      <c r="AJ73" s="1335">
        <f>IF(ISNA(H73*VLOOKUP($D73,Hypothèses!$D$6:$F$14,3,0)),0,H73*VLOOKUP($D73,Hypothèses!$D$6:$F$14,3,0))</f>
        <v>0</v>
      </c>
      <c r="AK73" s="1335">
        <f>IF(ISNA(I73*VLOOKUP($D73,Hypothèses!$D$6:$F$14,3,0)),0,I73*VLOOKUP($D73,Hypothèses!$D$6:$F$14,3,0))</f>
        <v>0</v>
      </c>
      <c r="AL73" s="1335">
        <f>IF(ISNA(J73*VLOOKUP($D73,Hypothèses!$D$6:$F$14,3,0)),0,J73*VLOOKUP($D73,Hypothèses!$D$6:$F$14,3,0))</f>
        <v>0</v>
      </c>
      <c r="AM73" s="1335">
        <f>IF(ISNA(K73*VLOOKUP($D73,Hypothèses!$D$6:$F$14,3,0)),0,K73*VLOOKUP($D73,Hypothèses!$D$6:$F$14,3,0))</f>
        <v>0</v>
      </c>
      <c r="AN73" s="1335">
        <f>IF(ISNA(L73*VLOOKUP($D73,Hypothèses!$D$6:$F$14,3,0)),0,L73*VLOOKUP($D73,Hypothèses!$D$6:$F$14,3,0))</f>
        <v>0</v>
      </c>
      <c r="AO73" s="1335">
        <f>IF(ISNA(M73*VLOOKUP($D73,Hypothèses!$D$6:$F$14,3,0)),0,M73*VLOOKUP($D73,Hypothèses!$D$6:$F$14,3,0))</f>
        <v>0</v>
      </c>
      <c r="AP73" s="1335">
        <f>IF(ISNA(N73*VLOOKUP($D73,Hypothèses!$D$6:$F$14,3,0)),0,N73*VLOOKUP($D73,Hypothèses!$D$6:$F$14,3,0))</f>
        <v>0</v>
      </c>
      <c r="AQ73" s="1335">
        <f>IF(ISNA(O73*VLOOKUP($D73,Hypothèses!$D$6:$F$14,3,0)),0,O73*VLOOKUP($D73,Hypothèses!$D$6:$F$14,3,0))</f>
        <v>0</v>
      </c>
      <c r="AR73" s="1335">
        <f>IF(ISNA(P73*VLOOKUP($D73,Hypothèses!$D$6:$F$14,3,0)),0,P73*VLOOKUP($D73,Hypothèses!$D$6:$F$14,3,0))</f>
        <v>0</v>
      </c>
      <c r="AS73" s="1335">
        <f>IF(ISNA(Q73*VLOOKUP($D73,Hypothèses!$D$6:$F$14,3,0)),0,Q73*VLOOKUP($D73,Hypothèses!$D$6:$F$14,3,0))</f>
        <v>0</v>
      </c>
      <c r="AT73" s="1335">
        <f>IF(ISNA(R73*VLOOKUP($D73,Hypothèses!$D$6:$F$14,3,0)),0,R73*VLOOKUP($D73,Hypothèses!$D$6:$F$14,3,0))</f>
        <v>0</v>
      </c>
      <c r="AU73" s="1335">
        <f>IF(ISNA(S73*VLOOKUP($D73,Hypothèses!$D$6:$F$14,3,0)),0,S73*VLOOKUP($D73,Hypothèses!$D$6:$F$14,3,0))</f>
        <v>0</v>
      </c>
      <c r="AV73" s="1335">
        <f>IF(ISNA(T73*VLOOKUP($D73,Hypothèses!$D$6:$F$14,3,0)),0,T73*VLOOKUP($D73,Hypothèses!$D$6:$F$14,3,0))</f>
        <v>0</v>
      </c>
      <c r="AW73" s="1335">
        <f>IF(ISNA(U73*VLOOKUP($D73,Hypothèses!$D$6:$F$14,3,0)),0,U73*VLOOKUP($D73,Hypothèses!$D$6:$F$14,3,0))</f>
        <v>0</v>
      </c>
      <c r="AX73" s="1335">
        <f>IF(ISNA(V73*VLOOKUP($D73,Hypothèses!$D$6:$F$14,3,0)),0,V73*VLOOKUP($D73,Hypothèses!$D$6:$F$14,3,0))</f>
        <v>0</v>
      </c>
      <c r="AY73" s="1335">
        <f>IF(ISNA(W73*VLOOKUP($D73,Hypothèses!$D$6:$F$14,3,0)),0,W73*VLOOKUP($D73,Hypothèses!$D$6:$F$14,3,0))</f>
        <v>0</v>
      </c>
      <c r="AZ73" s="1335">
        <f>IF(ISNA(X73*VLOOKUP($D73,Hypothèses!$D$6:$F$14,3,0)),0,X73*VLOOKUP($D73,Hypothèses!$D$6:$F$14,3,0))</f>
        <v>0</v>
      </c>
      <c r="BA73" s="1335">
        <f>IF(ISNA(Y73*VLOOKUP($D73,Hypothèses!$D$6:$F$14,3,0)),0,Y73*VLOOKUP($D73,Hypothèses!$D$6:$F$14,3,0))</f>
        <v>0</v>
      </c>
      <c r="BB73" s="1335">
        <f>IF(ISNA(Z73*VLOOKUP($D73,Hypothèses!$D$6:$F$14,3,0)),0,Z73*VLOOKUP($D73,Hypothèses!$D$6:$F$14,3,0))</f>
        <v>0</v>
      </c>
      <c r="BC73" s="1335">
        <f>IF(ISNA(AA73*VLOOKUP($D73,Hypothèses!$D$6:$F$14,3,0)),0,AA73*VLOOKUP($D73,Hypothèses!$D$6:$F$14,3,0))</f>
        <v>0</v>
      </c>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row>
    <row r="74" spans="1:89" s="3" customFormat="1">
      <c r="A74" s="1817">
        <v>67</v>
      </c>
      <c r="B74" s="1790"/>
      <c r="C74" s="1333"/>
      <c r="D74" s="1334"/>
      <c r="E74" s="1332" t="str">
        <f>IF(ISNA(VLOOKUP(D74,Hypothèses!$D$6:$G$16,4,0)),"",VLOOKUP(D74,Hypothèses!$D$6:$G$16,4,0))</f>
        <v/>
      </c>
      <c r="F74" s="1842"/>
      <c r="G74" s="1843"/>
      <c r="H74" s="1843"/>
      <c r="I74" s="1843"/>
      <c r="J74" s="1843"/>
      <c r="K74" s="1843"/>
      <c r="L74" s="1843"/>
      <c r="M74" s="1843"/>
      <c r="N74" s="1843"/>
      <c r="O74" s="1843"/>
      <c r="P74" s="1843"/>
      <c r="Q74" s="1843"/>
      <c r="R74" s="1843"/>
      <c r="S74" s="1843"/>
      <c r="T74" s="1843"/>
      <c r="U74" s="1843"/>
      <c r="V74" s="1843"/>
      <c r="W74" s="1843"/>
      <c r="X74" s="1843"/>
      <c r="Y74" s="1843"/>
      <c r="Z74" s="1843"/>
      <c r="AA74" s="1844"/>
      <c r="AB74" s="1335"/>
      <c r="AC74" s="1335"/>
      <c r="AD74" s="1335"/>
      <c r="AE74" s="1335"/>
      <c r="AF74" s="1335"/>
      <c r="AG74"/>
      <c r="AH74" s="1335">
        <f>IF(ISNA(F74*VLOOKUP($D74,Hypothèses!$D$6:$F$14,3,0)),0,F74*VLOOKUP($D74,Hypothèses!$D$6:$F$14,3,0))</f>
        <v>0</v>
      </c>
      <c r="AI74" s="1335">
        <f>IF(ISNA(G74*VLOOKUP($D74,Hypothèses!$D$6:$F$14,3,0)),0,G74*VLOOKUP($D74,Hypothèses!$D$6:$F$14,3,0))</f>
        <v>0</v>
      </c>
      <c r="AJ74" s="1335">
        <f>IF(ISNA(H74*VLOOKUP($D74,Hypothèses!$D$6:$F$14,3,0)),0,H74*VLOOKUP($D74,Hypothèses!$D$6:$F$14,3,0))</f>
        <v>0</v>
      </c>
      <c r="AK74" s="1335">
        <f>IF(ISNA(I74*VLOOKUP($D74,Hypothèses!$D$6:$F$14,3,0)),0,I74*VLOOKUP($D74,Hypothèses!$D$6:$F$14,3,0))</f>
        <v>0</v>
      </c>
      <c r="AL74" s="1335">
        <f>IF(ISNA(J74*VLOOKUP($D74,Hypothèses!$D$6:$F$14,3,0)),0,J74*VLOOKUP($D74,Hypothèses!$D$6:$F$14,3,0))</f>
        <v>0</v>
      </c>
      <c r="AM74" s="1335">
        <f>IF(ISNA(K74*VLOOKUP($D74,Hypothèses!$D$6:$F$14,3,0)),0,K74*VLOOKUP($D74,Hypothèses!$D$6:$F$14,3,0))</f>
        <v>0</v>
      </c>
      <c r="AN74" s="1335">
        <f>IF(ISNA(L74*VLOOKUP($D74,Hypothèses!$D$6:$F$14,3,0)),0,L74*VLOOKUP($D74,Hypothèses!$D$6:$F$14,3,0))</f>
        <v>0</v>
      </c>
      <c r="AO74" s="1335">
        <f>IF(ISNA(M74*VLOOKUP($D74,Hypothèses!$D$6:$F$14,3,0)),0,M74*VLOOKUP($D74,Hypothèses!$D$6:$F$14,3,0))</f>
        <v>0</v>
      </c>
      <c r="AP74" s="1335">
        <f>IF(ISNA(N74*VLOOKUP($D74,Hypothèses!$D$6:$F$14,3,0)),0,N74*VLOOKUP($D74,Hypothèses!$D$6:$F$14,3,0))</f>
        <v>0</v>
      </c>
      <c r="AQ74" s="1335">
        <f>IF(ISNA(O74*VLOOKUP($D74,Hypothèses!$D$6:$F$14,3,0)),0,O74*VLOOKUP($D74,Hypothèses!$D$6:$F$14,3,0))</f>
        <v>0</v>
      </c>
      <c r="AR74" s="1335">
        <f>IF(ISNA(P74*VLOOKUP($D74,Hypothèses!$D$6:$F$14,3,0)),0,P74*VLOOKUP($D74,Hypothèses!$D$6:$F$14,3,0))</f>
        <v>0</v>
      </c>
      <c r="AS74" s="1335">
        <f>IF(ISNA(Q74*VLOOKUP($D74,Hypothèses!$D$6:$F$14,3,0)),0,Q74*VLOOKUP($D74,Hypothèses!$D$6:$F$14,3,0))</f>
        <v>0</v>
      </c>
      <c r="AT74" s="1335">
        <f>IF(ISNA(R74*VLOOKUP($D74,Hypothèses!$D$6:$F$14,3,0)),0,R74*VLOOKUP($D74,Hypothèses!$D$6:$F$14,3,0))</f>
        <v>0</v>
      </c>
      <c r="AU74" s="1335">
        <f>IF(ISNA(S74*VLOOKUP($D74,Hypothèses!$D$6:$F$14,3,0)),0,S74*VLOOKUP($D74,Hypothèses!$D$6:$F$14,3,0))</f>
        <v>0</v>
      </c>
      <c r="AV74" s="1335">
        <f>IF(ISNA(T74*VLOOKUP($D74,Hypothèses!$D$6:$F$14,3,0)),0,T74*VLOOKUP($D74,Hypothèses!$D$6:$F$14,3,0))</f>
        <v>0</v>
      </c>
      <c r="AW74" s="1335">
        <f>IF(ISNA(U74*VLOOKUP($D74,Hypothèses!$D$6:$F$14,3,0)),0,U74*VLOOKUP($D74,Hypothèses!$D$6:$F$14,3,0))</f>
        <v>0</v>
      </c>
      <c r="AX74" s="1335">
        <f>IF(ISNA(V74*VLOOKUP($D74,Hypothèses!$D$6:$F$14,3,0)),0,V74*VLOOKUP($D74,Hypothèses!$D$6:$F$14,3,0))</f>
        <v>0</v>
      </c>
      <c r="AY74" s="1335">
        <f>IF(ISNA(W74*VLOOKUP($D74,Hypothèses!$D$6:$F$14,3,0)),0,W74*VLOOKUP($D74,Hypothèses!$D$6:$F$14,3,0))</f>
        <v>0</v>
      </c>
      <c r="AZ74" s="1335">
        <f>IF(ISNA(X74*VLOOKUP($D74,Hypothèses!$D$6:$F$14,3,0)),0,X74*VLOOKUP($D74,Hypothèses!$D$6:$F$14,3,0))</f>
        <v>0</v>
      </c>
      <c r="BA74" s="1335">
        <f>IF(ISNA(Y74*VLOOKUP($D74,Hypothèses!$D$6:$F$14,3,0)),0,Y74*VLOOKUP($D74,Hypothèses!$D$6:$F$14,3,0))</f>
        <v>0</v>
      </c>
      <c r="BB74" s="1335">
        <f>IF(ISNA(Z74*VLOOKUP($D74,Hypothèses!$D$6:$F$14,3,0)),0,Z74*VLOOKUP($D74,Hypothèses!$D$6:$F$14,3,0))</f>
        <v>0</v>
      </c>
      <c r="BC74" s="1335">
        <f>IF(ISNA(AA74*VLOOKUP($D74,Hypothèses!$D$6:$F$14,3,0)),0,AA74*VLOOKUP($D74,Hypothèses!$D$6:$F$14,3,0))</f>
        <v>0</v>
      </c>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row>
    <row r="75" spans="1:89" s="3" customFormat="1">
      <c r="A75" s="1817">
        <v>68</v>
      </c>
      <c r="B75" s="1790"/>
      <c r="C75" s="1333"/>
      <c r="D75" s="1334"/>
      <c r="E75" s="1332" t="str">
        <f>IF(ISNA(VLOOKUP(D75,Hypothèses!$D$6:$G$16,4,0)),"",VLOOKUP(D75,Hypothèses!$D$6:$G$16,4,0))</f>
        <v/>
      </c>
      <c r="F75" s="1842"/>
      <c r="G75" s="1843"/>
      <c r="H75" s="1843"/>
      <c r="I75" s="1843"/>
      <c r="J75" s="1843"/>
      <c r="K75" s="1843"/>
      <c r="L75" s="1843"/>
      <c r="M75" s="1843"/>
      <c r="N75" s="1843"/>
      <c r="O75" s="1843"/>
      <c r="P75" s="1843"/>
      <c r="Q75" s="1843"/>
      <c r="R75" s="1843"/>
      <c r="S75" s="1843"/>
      <c r="T75" s="1843"/>
      <c r="U75" s="1843"/>
      <c r="V75" s="1843"/>
      <c r="W75" s="1843"/>
      <c r="X75" s="1843"/>
      <c r="Y75" s="1843"/>
      <c r="Z75" s="1843"/>
      <c r="AA75" s="1844"/>
      <c r="AB75" s="1335"/>
      <c r="AC75" s="1335"/>
      <c r="AD75" s="1335"/>
      <c r="AE75" s="1335"/>
      <c r="AF75" s="1335"/>
      <c r="AG75"/>
      <c r="AH75" s="1335">
        <f>IF(ISNA(F75*VLOOKUP($D75,Hypothèses!$D$6:$F$14,3,0)),0,F75*VLOOKUP($D75,Hypothèses!$D$6:$F$14,3,0))</f>
        <v>0</v>
      </c>
      <c r="AI75" s="1335">
        <f>IF(ISNA(G75*VLOOKUP($D75,Hypothèses!$D$6:$F$14,3,0)),0,G75*VLOOKUP($D75,Hypothèses!$D$6:$F$14,3,0))</f>
        <v>0</v>
      </c>
      <c r="AJ75" s="1335">
        <f>IF(ISNA(H75*VLOOKUP($D75,Hypothèses!$D$6:$F$14,3,0)),0,H75*VLOOKUP($D75,Hypothèses!$D$6:$F$14,3,0))</f>
        <v>0</v>
      </c>
      <c r="AK75" s="1335">
        <f>IF(ISNA(I75*VLOOKUP($D75,Hypothèses!$D$6:$F$14,3,0)),0,I75*VLOOKUP($D75,Hypothèses!$D$6:$F$14,3,0))</f>
        <v>0</v>
      </c>
      <c r="AL75" s="1335">
        <f>IF(ISNA(J75*VLOOKUP($D75,Hypothèses!$D$6:$F$14,3,0)),0,J75*VLOOKUP($D75,Hypothèses!$D$6:$F$14,3,0))</f>
        <v>0</v>
      </c>
      <c r="AM75" s="1335">
        <f>IF(ISNA(K75*VLOOKUP($D75,Hypothèses!$D$6:$F$14,3,0)),0,K75*VLOOKUP($D75,Hypothèses!$D$6:$F$14,3,0))</f>
        <v>0</v>
      </c>
      <c r="AN75" s="1335">
        <f>IF(ISNA(L75*VLOOKUP($D75,Hypothèses!$D$6:$F$14,3,0)),0,L75*VLOOKUP($D75,Hypothèses!$D$6:$F$14,3,0))</f>
        <v>0</v>
      </c>
      <c r="AO75" s="1335">
        <f>IF(ISNA(M75*VLOOKUP($D75,Hypothèses!$D$6:$F$14,3,0)),0,M75*VLOOKUP($D75,Hypothèses!$D$6:$F$14,3,0))</f>
        <v>0</v>
      </c>
      <c r="AP75" s="1335">
        <f>IF(ISNA(N75*VLOOKUP($D75,Hypothèses!$D$6:$F$14,3,0)),0,N75*VLOOKUP($D75,Hypothèses!$D$6:$F$14,3,0))</f>
        <v>0</v>
      </c>
      <c r="AQ75" s="1335">
        <f>IF(ISNA(O75*VLOOKUP($D75,Hypothèses!$D$6:$F$14,3,0)),0,O75*VLOOKUP($D75,Hypothèses!$D$6:$F$14,3,0))</f>
        <v>0</v>
      </c>
      <c r="AR75" s="1335">
        <f>IF(ISNA(P75*VLOOKUP($D75,Hypothèses!$D$6:$F$14,3,0)),0,P75*VLOOKUP($D75,Hypothèses!$D$6:$F$14,3,0))</f>
        <v>0</v>
      </c>
      <c r="AS75" s="1335">
        <f>IF(ISNA(Q75*VLOOKUP($D75,Hypothèses!$D$6:$F$14,3,0)),0,Q75*VLOOKUP($D75,Hypothèses!$D$6:$F$14,3,0))</f>
        <v>0</v>
      </c>
      <c r="AT75" s="1335">
        <f>IF(ISNA(R75*VLOOKUP($D75,Hypothèses!$D$6:$F$14,3,0)),0,R75*VLOOKUP($D75,Hypothèses!$D$6:$F$14,3,0))</f>
        <v>0</v>
      </c>
      <c r="AU75" s="1335">
        <f>IF(ISNA(S75*VLOOKUP($D75,Hypothèses!$D$6:$F$14,3,0)),0,S75*VLOOKUP($D75,Hypothèses!$D$6:$F$14,3,0))</f>
        <v>0</v>
      </c>
      <c r="AV75" s="1335">
        <f>IF(ISNA(T75*VLOOKUP($D75,Hypothèses!$D$6:$F$14,3,0)),0,T75*VLOOKUP($D75,Hypothèses!$D$6:$F$14,3,0))</f>
        <v>0</v>
      </c>
      <c r="AW75" s="1335">
        <f>IF(ISNA(U75*VLOOKUP($D75,Hypothèses!$D$6:$F$14,3,0)),0,U75*VLOOKUP($D75,Hypothèses!$D$6:$F$14,3,0))</f>
        <v>0</v>
      </c>
      <c r="AX75" s="1335">
        <f>IF(ISNA(V75*VLOOKUP($D75,Hypothèses!$D$6:$F$14,3,0)),0,V75*VLOOKUP($D75,Hypothèses!$D$6:$F$14,3,0))</f>
        <v>0</v>
      </c>
      <c r="AY75" s="1335">
        <f>IF(ISNA(W75*VLOOKUP($D75,Hypothèses!$D$6:$F$14,3,0)),0,W75*VLOOKUP($D75,Hypothèses!$D$6:$F$14,3,0))</f>
        <v>0</v>
      </c>
      <c r="AZ75" s="1335">
        <f>IF(ISNA(X75*VLOOKUP($D75,Hypothèses!$D$6:$F$14,3,0)),0,X75*VLOOKUP($D75,Hypothèses!$D$6:$F$14,3,0))</f>
        <v>0</v>
      </c>
      <c r="BA75" s="1335">
        <f>IF(ISNA(Y75*VLOOKUP($D75,Hypothèses!$D$6:$F$14,3,0)),0,Y75*VLOOKUP($D75,Hypothèses!$D$6:$F$14,3,0))</f>
        <v>0</v>
      </c>
      <c r="BB75" s="1335">
        <f>IF(ISNA(Z75*VLOOKUP($D75,Hypothèses!$D$6:$F$14,3,0)),0,Z75*VLOOKUP($D75,Hypothèses!$D$6:$F$14,3,0))</f>
        <v>0</v>
      </c>
      <c r="BC75" s="1335">
        <f>IF(ISNA(AA75*VLOOKUP($D75,Hypothèses!$D$6:$F$14,3,0)),0,AA75*VLOOKUP($D75,Hypothèses!$D$6:$F$14,3,0))</f>
        <v>0</v>
      </c>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row>
    <row r="76" spans="1:89" s="3" customFormat="1">
      <c r="A76" s="1817">
        <v>69</v>
      </c>
      <c r="B76" s="1790"/>
      <c r="C76" s="1333"/>
      <c r="D76" s="1334"/>
      <c r="E76" s="1332" t="str">
        <f>IF(ISNA(VLOOKUP(D76,Hypothèses!$D$6:$G$16,4,0)),"",VLOOKUP(D76,Hypothèses!$D$6:$G$16,4,0))</f>
        <v/>
      </c>
      <c r="F76" s="1842"/>
      <c r="G76" s="1843"/>
      <c r="H76" s="1843"/>
      <c r="I76" s="1843"/>
      <c r="J76" s="1843"/>
      <c r="K76" s="1843"/>
      <c r="L76" s="1843"/>
      <c r="M76" s="1843"/>
      <c r="N76" s="1843"/>
      <c r="O76" s="1843"/>
      <c r="P76" s="1843"/>
      <c r="Q76" s="1843"/>
      <c r="R76" s="1843"/>
      <c r="S76" s="1843"/>
      <c r="T76" s="1843"/>
      <c r="U76" s="1843"/>
      <c r="V76" s="1843"/>
      <c r="W76" s="1843"/>
      <c r="X76" s="1843"/>
      <c r="Y76" s="1843"/>
      <c r="Z76" s="1843"/>
      <c r="AA76" s="1844"/>
      <c r="AB76" s="1335"/>
      <c r="AC76" s="1335"/>
      <c r="AD76" s="1335"/>
      <c r="AE76" s="1335"/>
      <c r="AF76" s="1335"/>
      <c r="AG76"/>
      <c r="AH76" s="1335">
        <f>IF(ISNA(F76*VLOOKUP($D76,Hypothèses!$D$6:$F$14,3,0)),0,F76*VLOOKUP($D76,Hypothèses!$D$6:$F$14,3,0))</f>
        <v>0</v>
      </c>
      <c r="AI76" s="1335">
        <f>IF(ISNA(G76*VLOOKUP($D76,Hypothèses!$D$6:$F$14,3,0)),0,G76*VLOOKUP($D76,Hypothèses!$D$6:$F$14,3,0))</f>
        <v>0</v>
      </c>
      <c r="AJ76" s="1335">
        <f>IF(ISNA(H76*VLOOKUP($D76,Hypothèses!$D$6:$F$14,3,0)),0,H76*VLOOKUP($D76,Hypothèses!$D$6:$F$14,3,0))</f>
        <v>0</v>
      </c>
      <c r="AK76" s="1335">
        <f>IF(ISNA(I76*VLOOKUP($D76,Hypothèses!$D$6:$F$14,3,0)),0,I76*VLOOKUP($D76,Hypothèses!$D$6:$F$14,3,0))</f>
        <v>0</v>
      </c>
      <c r="AL76" s="1335">
        <f>IF(ISNA(J76*VLOOKUP($D76,Hypothèses!$D$6:$F$14,3,0)),0,J76*VLOOKUP($D76,Hypothèses!$D$6:$F$14,3,0))</f>
        <v>0</v>
      </c>
      <c r="AM76" s="1335">
        <f>IF(ISNA(K76*VLOOKUP($D76,Hypothèses!$D$6:$F$14,3,0)),0,K76*VLOOKUP($D76,Hypothèses!$D$6:$F$14,3,0))</f>
        <v>0</v>
      </c>
      <c r="AN76" s="1335">
        <f>IF(ISNA(L76*VLOOKUP($D76,Hypothèses!$D$6:$F$14,3,0)),0,L76*VLOOKUP($D76,Hypothèses!$D$6:$F$14,3,0))</f>
        <v>0</v>
      </c>
      <c r="AO76" s="1335">
        <f>IF(ISNA(M76*VLOOKUP($D76,Hypothèses!$D$6:$F$14,3,0)),0,M76*VLOOKUP($D76,Hypothèses!$D$6:$F$14,3,0))</f>
        <v>0</v>
      </c>
      <c r="AP76" s="1335">
        <f>IF(ISNA(N76*VLOOKUP($D76,Hypothèses!$D$6:$F$14,3,0)),0,N76*VLOOKUP($D76,Hypothèses!$D$6:$F$14,3,0))</f>
        <v>0</v>
      </c>
      <c r="AQ76" s="1335">
        <f>IF(ISNA(O76*VLOOKUP($D76,Hypothèses!$D$6:$F$14,3,0)),0,O76*VLOOKUP($D76,Hypothèses!$D$6:$F$14,3,0))</f>
        <v>0</v>
      </c>
      <c r="AR76" s="1335">
        <f>IF(ISNA(P76*VLOOKUP($D76,Hypothèses!$D$6:$F$14,3,0)),0,P76*VLOOKUP($D76,Hypothèses!$D$6:$F$14,3,0))</f>
        <v>0</v>
      </c>
      <c r="AS76" s="1335">
        <f>IF(ISNA(Q76*VLOOKUP($D76,Hypothèses!$D$6:$F$14,3,0)),0,Q76*VLOOKUP($D76,Hypothèses!$D$6:$F$14,3,0))</f>
        <v>0</v>
      </c>
      <c r="AT76" s="1335">
        <f>IF(ISNA(R76*VLOOKUP($D76,Hypothèses!$D$6:$F$14,3,0)),0,R76*VLOOKUP($D76,Hypothèses!$D$6:$F$14,3,0))</f>
        <v>0</v>
      </c>
      <c r="AU76" s="1335">
        <f>IF(ISNA(S76*VLOOKUP($D76,Hypothèses!$D$6:$F$14,3,0)),0,S76*VLOOKUP($D76,Hypothèses!$D$6:$F$14,3,0))</f>
        <v>0</v>
      </c>
      <c r="AV76" s="1335">
        <f>IF(ISNA(T76*VLOOKUP($D76,Hypothèses!$D$6:$F$14,3,0)),0,T76*VLOOKUP($D76,Hypothèses!$D$6:$F$14,3,0))</f>
        <v>0</v>
      </c>
      <c r="AW76" s="1335">
        <f>IF(ISNA(U76*VLOOKUP($D76,Hypothèses!$D$6:$F$14,3,0)),0,U76*VLOOKUP($D76,Hypothèses!$D$6:$F$14,3,0))</f>
        <v>0</v>
      </c>
      <c r="AX76" s="1335">
        <f>IF(ISNA(V76*VLOOKUP($D76,Hypothèses!$D$6:$F$14,3,0)),0,V76*VLOOKUP($D76,Hypothèses!$D$6:$F$14,3,0))</f>
        <v>0</v>
      </c>
      <c r="AY76" s="1335">
        <f>IF(ISNA(W76*VLOOKUP($D76,Hypothèses!$D$6:$F$14,3,0)),0,W76*VLOOKUP($D76,Hypothèses!$D$6:$F$14,3,0))</f>
        <v>0</v>
      </c>
      <c r="AZ76" s="1335">
        <f>IF(ISNA(X76*VLOOKUP($D76,Hypothèses!$D$6:$F$14,3,0)),0,X76*VLOOKUP($D76,Hypothèses!$D$6:$F$14,3,0))</f>
        <v>0</v>
      </c>
      <c r="BA76" s="1335">
        <f>IF(ISNA(Y76*VLOOKUP($D76,Hypothèses!$D$6:$F$14,3,0)),0,Y76*VLOOKUP($D76,Hypothèses!$D$6:$F$14,3,0))</f>
        <v>0</v>
      </c>
      <c r="BB76" s="1335">
        <f>IF(ISNA(Z76*VLOOKUP($D76,Hypothèses!$D$6:$F$14,3,0)),0,Z76*VLOOKUP($D76,Hypothèses!$D$6:$F$14,3,0))</f>
        <v>0</v>
      </c>
      <c r="BC76" s="1335">
        <f>IF(ISNA(AA76*VLOOKUP($D76,Hypothèses!$D$6:$F$14,3,0)),0,AA76*VLOOKUP($D76,Hypothèses!$D$6:$F$14,3,0))</f>
        <v>0</v>
      </c>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row>
    <row r="77" spans="1:89" s="3" customFormat="1">
      <c r="A77" s="1817">
        <v>70</v>
      </c>
      <c r="B77" s="1790"/>
      <c r="C77" s="1333"/>
      <c r="D77" s="1334"/>
      <c r="E77" s="1332" t="str">
        <f>IF(ISNA(VLOOKUP(D77,Hypothèses!$D$6:$G$16,4,0)),"",VLOOKUP(D77,Hypothèses!$D$6:$G$16,4,0))</f>
        <v/>
      </c>
      <c r="F77" s="1842"/>
      <c r="G77" s="1843"/>
      <c r="H77" s="1843"/>
      <c r="I77" s="1843"/>
      <c r="J77" s="1843"/>
      <c r="K77" s="1843"/>
      <c r="L77" s="1843"/>
      <c r="M77" s="1843"/>
      <c r="N77" s="1843"/>
      <c r="O77" s="1843"/>
      <c r="P77" s="1843"/>
      <c r="Q77" s="1843"/>
      <c r="R77" s="1843"/>
      <c r="S77" s="1843"/>
      <c r="T77" s="1843"/>
      <c r="U77" s="1843"/>
      <c r="V77" s="1843"/>
      <c r="W77" s="1843"/>
      <c r="X77" s="1843"/>
      <c r="Y77" s="1843"/>
      <c r="Z77" s="1843"/>
      <c r="AA77" s="1844"/>
      <c r="AB77" s="1335"/>
      <c r="AC77" s="1335"/>
      <c r="AD77" s="1335"/>
      <c r="AE77" s="1335"/>
      <c r="AF77" s="1335"/>
      <c r="AG77"/>
      <c r="AH77" s="1335">
        <f>IF(ISNA(F77*VLOOKUP($D77,Hypothèses!$D$6:$F$14,3,0)),0,F77*VLOOKUP($D77,Hypothèses!$D$6:$F$14,3,0))</f>
        <v>0</v>
      </c>
      <c r="AI77" s="1335">
        <f>IF(ISNA(G77*VLOOKUP($D77,Hypothèses!$D$6:$F$14,3,0)),0,G77*VLOOKUP($D77,Hypothèses!$D$6:$F$14,3,0))</f>
        <v>0</v>
      </c>
      <c r="AJ77" s="1335">
        <f>IF(ISNA(H77*VLOOKUP($D77,Hypothèses!$D$6:$F$14,3,0)),0,H77*VLOOKUP($D77,Hypothèses!$D$6:$F$14,3,0))</f>
        <v>0</v>
      </c>
      <c r="AK77" s="1335">
        <f>IF(ISNA(I77*VLOOKUP($D77,Hypothèses!$D$6:$F$14,3,0)),0,I77*VLOOKUP($D77,Hypothèses!$D$6:$F$14,3,0))</f>
        <v>0</v>
      </c>
      <c r="AL77" s="1335">
        <f>IF(ISNA(J77*VLOOKUP($D77,Hypothèses!$D$6:$F$14,3,0)),0,J77*VLOOKUP($D77,Hypothèses!$D$6:$F$14,3,0))</f>
        <v>0</v>
      </c>
      <c r="AM77" s="1335">
        <f>IF(ISNA(K77*VLOOKUP($D77,Hypothèses!$D$6:$F$14,3,0)),0,K77*VLOOKUP($D77,Hypothèses!$D$6:$F$14,3,0))</f>
        <v>0</v>
      </c>
      <c r="AN77" s="1335">
        <f>IF(ISNA(L77*VLOOKUP($D77,Hypothèses!$D$6:$F$14,3,0)),0,L77*VLOOKUP($D77,Hypothèses!$D$6:$F$14,3,0))</f>
        <v>0</v>
      </c>
      <c r="AO77" s="1335">
        <f>IF(ISNA(M77*VLOOKUP($D77,Hypothèses!$D$6:$F$14,3,0)),0,M77*VLOOKUP($D77,Hypothèses!$D$6:$F$14,3,0))</f>
        <v>0</v>
      </c>
      <c r="AP77" s="1335">
        <f>IF(ISNA(N77*VLOOKUP($D77,Hypothèses!$D$6:$F$14,3,0)),0,N77*VLOOKUP($D77,Hypothèses!$D$6:$F$14,3,0))</f>
        <v>0</v>
      </c>
      <c r="AQ77" s="1335">
        <f>IF(ISNA(O77*VLOOKUP($D77,Hypothèses!$D$6:$F$14,3,0)),0,O77*VLOOKUP($D77,Hypothèses!$D$6:$F$14,3,0))</f>
        <v>0</v>
      </c>
      <c r="AR77" s="1335">
        <f>IF(ISNA(P77*VLOOKUP($D77,Hypothèses!$D$6:$F$14,3,0)),0,P77*VLOOKUP($D77,Hypothèses!$D$6:$F$14,3,0))</f>
        <v>0</v>
      </c>
      <c r="AS77" s="1335">
        <f>IF(ISNA(Q77*VLOOKUP($D77,Hypothèses!$D$6:$F$14,3,0)),0,Q77*VLOOKUP($D77,Hypothèses!$D$6:$F$14,3,0))</f>
        <v>0</v>
      </c>
      <c r="AT77" s="1335">
        <f>IF(ISNA(R77*VLOOKUP($D77,Hypothèses!$D$6:$F$14,3,0)),0,R77*VLOOKUP($D77,Hypothèses!$D$6:$F$14,3,0))</f>
        <v>0</v>
      </c>
      <c r="AU77" s="1335">
        <f>IF(ISNA(S77*VLOOKUP($D77,Hypothèses!$D$6:$F$14,3,0)),0,S77*VLOOKUP($D77,Hypothèses!$D$6:$F$14,3,0))</f>
        <v>0</v>
      </c>
      <c r="AV77" s="1335">
        <f>IF(ISNA(T77*VLOOKUP($D77,Hypothèses!$D$6:$F$14,3,0)),0,T77*VLOOKUP($D77,Hypothèses!$D$6:$F$14,3,0))</f>
        <v>0</v>
      </c>
      <c r="AW77" s="1335">
        <f>IF(ISNA(U77*VLOOKUP($D77,Hypothèses!$D$6:$F$14,3,0)),0,U77*VLOOKUP($D77,Hypothèses!$D$6:$F$14,3,0))</f>
        <v>0</v>
      </c>
      <c r="AX77" s="1335">
        <f>IF(ISNA(V77*VLOOKUP($D77,Hypothèses!$D$6:$F$14,3,0)),0,V77*VLOOKUP($D77,Hypothèses!$D$6:$F$14,3,0))</f>
        <v>0</v>
      </c>
      <c r="AY77" s="1335">
        <f>IF(ISNA(W77*VLOOKUP($D77,Hypothèses!$D$6:$F$14,3,0)),0,W77*VLOOKUP($D77,Hypothèses!$D$6:$F$14,3,0))</f>
        <v>0</v>
      </c>
      <c r="AZ77" s="1335">
        <f>IF(ISNA(X77*VLOOKUP($D77,Hypothèses!$D$6:$F$14,3,0)),0,X77*VLOOKUP($D77,Hypothèses!$D$6:$F$14,3,0))</f>
        <v>0</v>
      </c>
      <c r="BA77" s="1335">
        <f>IF(ISNA(Y77*VLOOKUP($D77,Hypothèses!$D$6:$F$14,3,0)),0,Y77*VLOOKUP($D77,Hypothèses!$D$6:$F$14,3,0))</f>
        <v>0</v>
      </c>
      <c r="BB77" s="1335">
        <f>IF(ISNA(Z77*VLOOKUP($D77,Hypothèses!$D$6:$F$14,3,0)),0,Z77*VLOOKUP($D77,Hypothèses!$D$6:$F$14,3,0))</f>
        <v>0</v>
      </c>
      <c r="BC77" s="1335">
        <f>IF(ISNA(AA77*VLOOKUP($D77,Hypothèses!$D$6:$F$14,3,0)),0,AA77*VLOOKUP($D77,Hypothèses!$D$6:$F$14,3,0))</f>
        <v>0</v>
      </c>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row>
    <row r="78" spans="1:89" s="3" customFormat="1">
      <c r="A78" s="1817">
        <v>71</v>
      </c>
      <c r="B78" s="1790"/>
      <c r="C78" s="1333"/>
      <c r="D78" s="1334"/>
      <c r="E78" s="1332" t="str">
        <f>IF(ISNA(VLOOKUP(D78,Hypothèses!$D$6:$G$16,4,0)),"",VLOOKUP(D78,Hypothèses!$D$6:$G$16,4,0))</f>
        <v/>
      </c>
      <c r="F78" s="1842"/>
      <c r="G78" s="1843"/>
      <c r="H78" s="1843"/>
      <c r="I78" s="1843"/>
      <c r="J78" s="1843"/>
      <c r="K78" s="1843"/>
      <c r="L78" s="1843"/>
      <c r="M78" s="1843"/>
      <c r="N78" s="1843"/>
      <c r="O78" s="1843"/>
      <c r="P78" s="1843"/>
      <c r="Q78" s="1843"/>
      <c r="R78" s="1843"/>
      <c r="S78" s="1843"/>
      <c r="T78" s="1843"/>
      <c r="U78" s="1843"/>
      <c r="V78" s="1843"/>
      <c r="W78" s="1843"/>
      <c r="X78" s="1843"/>
      <c r="Y78" s="1843"/>
      <c r="Z78" s="1843"/>
      <c r="AA78" s="1844"/>
      <c r="AB78" s="1335"/>
      <c r="AC78" s="1335"/>
      <c r="AD78" s="1335"/>
      <c r="AE78" s="1335"/>
      <c r="AF78" s="1335"/>
      <c r="AG78"/>
      <c r="AH78" s="1335">
        <f>IF(ISNA(F78*VLOOKUP($D78,Hypothèses!$D$6:$F$14,3,0)),0,F78*VLOOKUP($D78,Hypothèses!$D$6:$F$14,3,0))</f>
        <v>0</v>
      </c>
      <c r="AI78" s="1335">
        <f>IF(ISNA(G78*VLOOKUP($D78,Hypothèses!$D$6:$F$14,3,0)),0,G78*VLOOKUP($D78,Hypothèses!$D$6:$F$14,3,0))</f>
        <v>0</v>
      </c>
      <c r="AJ78" s="1335">
        <f>IF(ISNA(H78*VLOOKUP($D78,Hypothèses!$D$6:$F$14,3,0)),0,H78*VLOOKUP($D78,Hypothèses!$D$6:$F$14,3,0))</f>
        <v>0</v>
      </c>
      <c r="AK78" s="1335">
        <f>IF(ISNA(I78*VLOOKUP($D78,Hypothèses!$D$6:$F$14,3,0)),0,I78*VLOOKUP($D78,Hypothèses!$D$6:$F$14,3,0))</f>
        <v>0</v>
      </c>
      <c r="AL78" s="1335">
        <f>IF(ISNA(J78*VLOOKUP($D78,Hypothèses!$D$6:$F$14,3,0)),0,J78*VLOOKUP($D78,Hypothèses!$D$6:$F$14,3,0))</f>
        <v>0</v>
      </c>
      <c r="AM78" s="1335">
        <f>IF(ISNA(K78*VLOOKUP($D78,Hypothèses!$D$6:$F$14,3,0)),0,K78*VLOOKUP($D78,Hypothèses!$D$6:$F$14,3,0))</f>
        <v>0</v>
      </c>
      <c r="AN78" s="1335">
        <f>IF(ISNA(L78*VLOOKUP($D78,Hypothèses!$D$6:$F$14,3,0)),0,L78*VLOOKUP($D78,Hypothèses!$D$6:$F$14,3,0))</f>
        <v>0</v>
      </c>
      <c r="AO78" s="1335">
        <f>IF(ISNA(M78*VLOOKUP($D78,Hypothèses!$D$6:$F$14,3,0)),0,M78*VLOOKUP($D78,Hypothèses!$D$6:$F$14,3,0))</f>
        <v>0</v>
      </c>
      <c r="AP78" s="1335">
        <f>IF(ISNA(N78*VLOOKUP($D78,Hypothèses!$D$6:$F$14,3,0)),0,N78*VLOOKUP($D78,Hypothèses!$D$6:$F$14,3,0))</f>
        <v>0</v>
      </c>
      <c r="AQ78" s="1335">
        <f>IF(ISNA(O78*VLOOKUP($D78,Hypothèses!$D$6:$F$14,3,0)),0,O78*VLOOKUP($D78,Hypothèses!$D$6:$F$14,3,0))</f>
        <v>0</v>
      </c>
      <c r="AR78" s="1335">
        <f>IF(ISNA(P78*VLOOKUP($D78,Hypothèses!$D$6:$F$14,3,0)),0,P78*VLOOKUP($D78,Hypothèses!$D$6:$F$14,3,0))</f>
        <v>0</v>
      </c>
      <c r="AS78" s="1335">
        <f>IF(ISNA(Q78*VLOOKUP($D78,Hypothèses!$D$6:$F$14,3,0)),0,Q78*VLOOKUP($D78,Hypothèses!$D$6:$F$14,3,0))</f>
        <v>0</v>
      </c>
      <c r="AT78" s="1335">
        <f>IF(ISNA(R78*VLOOKUP($D78,Hypothèses!$D$6:$F$14,3,0)),0,R78*VLOOKUP($D78,Hypothèses!$D$6:$F$14,3,0))</f>
        <v>0</v>
      </c>
      <c r="AU78" s="1335">
        <f>IF(ISNA(S78*VLOOKUP($D78,Hypothèses!$D$6:$F$14,3,0)),0,S78*VLOOKUP($D78,Hypothèses!$D$6:$F$14,3,0))</f>
        <v>0</v>
      </c>
      <c r="AV78" s="1335">
        <f>IF(ISNA(T78*VLOOKUP($D78,Hypothèses!$D$6:$F$14,3,0)),0,T78*VLOOKUP($D78,Hypothèses!$D$6:$F$14,3,0))</f>
        <v>0</v>
      </c>
      <c r="AW78" s="1335">
        <f>IF(ISNA(U78*VLOOKUP($D78,Hypothèses!$D$6:$F$14,3,0)),0,U78*VLOOKUP($D78,Hypothèses!$D$6:$F$14,3,0))</f>
        <v>0</v>
      </c>
      <c r="AX78" s="1335">
        <f>IF(ISNA(V78*VLOOKUP($D78,Hypothèses!$D$6:$F$14,3,0)),0,V78*VLOOKUP($D78,Hypothèses!$D$6:$F$14,3,0))</f>
        <v>0</v>
      </c>
      <c r="AY78" s="1335">
        <f>IF(ISNA(W78*VLOOKUP($D78,Hypothèses!$D$6:$F$14,3,0)),0,W78*VLOOKUP($D78,Hypothèses!$D$6:$F$14,3,0))</f>
        <v>0</v>
      </c>
      <c r="AZ78" s="1335">
        <f>IF(ISNA(X78*VLOOKUP($D78,Hypothèses!$D$6:$F$14,3,0)),0,X78*VLOOKUP($D78,Hypothèses!$D$6:$F$14,3,0))</f>
        <v>0</v>
      </c>
      <c r="BA78" s="1335">
        <f>IF(ISNA(Y78*VLOOKUP($D78,Hypothèses!$D$6:$F$14,3,0)),0,Y78*VLOOKUP($D78,Hypothèses!$D$6:$F$14,3,0))</f>
        <v>0</v>
      </c>
      <c r="BB78" s="1335">
        <f>IF(ISNA(Z78*VLOOKUP($D78,Hypothèses!$D$6:$F$14,3,0)),0,Z78*VLOOKUP($D78,Hypothèses!$D$6:$F$14,3,0))</f>
        <v>0</v>
      </c>
      <c r="BC78" s="1335">
        <f>IF(ISNA(AA78*VLOOKUP($D78,Hypothèses!$D$6:$F$14,3,0)),0,AA78*VLOOKUP($D78,Hypothèses!$D$6:$F$14,3,0))</f>
        <v>0</v>
      </c>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row>
    <row r="79" spans="1:89" s="3" customFormat="1">
      <c r="A79" s="1817">
        <v>72</v>
      </c>
      <c r="B79" s="1790"/>
      <c r="C79" s="1333"/>
      <c r="D79" s="1334"/>
      <c r="E79" s="1332" t="str">
        <f>IF(ISNA(VLOOKUP(D79,Hypothèses!$D$6:$G$16,4,0)),"",VLOOKUP(D79,Hypothèses!$D$6:$G$16,4,0))</f>
        <v/>
      </c>
      <c r="F79" s="1842"/>
      <c r="G79" s="1843"/>
      <c r="H79" s="1843"/>
      <c r="I79" s="1843"/>
      <c r="J79" s="1843"/>
      <c r="K79" s="1843"/>
      <c r="L79" s="1843"/>
      <c r="M79" s="1843"/>
      <c r="N79" s="1843"/>
      <c r="O79" s="1843"/>
      <c r="P79" s="1843"/>
      <c r="Q79" s="1843"/>
      <c r="R79" s="1843"/>
      <c r="S79" s="1843"/>
      <c r="T79" s="1843"/>
      <c r="U79" s="1843"/>
      <c r="V79" s="1843"/>
      <c r="W79" s="1843"/>
      <c r="X79" s="1843"/>
      <c r="Y79" s="1843"/>
      <c r="Z79" s="1843"/>
      <c r="AA79" s="1844"/>
      <c r="AB79" s="1335"/>
      <c r="AC79" s="1335"/>
      <c r="AD79" s="1335"/>
      <c r="AE79" s="1335"/>
      <c r="AF79" s="1335"/>
      <c r="AG79"/>
      <c r="AH79" s="1335">
        <f>IF(ISNA(F79*VLOOKUP($D79,Hypothèses!$D$6:$F$14,3,0)),0,F79*VLOOKUP($D79,Hypothèses!$D$6:$F$14,3,0))</f>
        <v>0</v>
      </c>
      <c r="AI79" s="1335">
        <f>IF(ISNA(G79*VLOOKUP($D79,Hypothèses!$D$6:$F$14,3,0)),0,G79*VLOOKUP($D79,Hypothèses!$D$6:$F$14,3,0))</f>
        <v>0</v>
      </c>
      <c r="AJ79" s="1335">
        <f>IF(ISNA(H79*VLOOKUP($D79,Hypothèses!$D$6:$F$14,3,0)),0,H79*VLOOKUP($D79,Hypothèses!$D$6:$F$14,3,0))</f>
        <v>0</v>
      </c>
      <c r="AK79" s="1335">
        <f>IF(ISNA(I79*VLOOKUP($D79,Hypothèses!$D$6:$F$14,3,0)),0,I79*VLOOKUP($D79,Hypothèses!$D$6:$F$14,3,0))</f>
        <v>0</v>
      </c>
      <c r="AL79" s="1335">
        <f>IF(ISNA(J79*VLOOKUP($D79,Hypothèses!$D$6:$F$14,3,0)),0,J79*VLOOKUP($D79,Hypothèses!$D$6:$F$14,3,0))</f>
        <v>0</v>
      </c>
      <c r="AM79" s="1335">
        <f>IF(ISNA(K79*VLOOKUP($D79,Hypothèses!$D$6:$F$14,3,0)),0,K79*VLOOKUP($D79,Hypothèses!$D$6:$F$14,3,0))</f>
        <v>0</v>
      </c>
      <c r="AN79" s="1335">
        <f>IF(ISNA(L79*VLOOKUP($D79,Hypothèses!$D$6:$F$14,3,0)),0,L79*VLOOKUP($D79,Hypothèses!$D$6:$F$14,3,0))</f>
        <v>0</v>
      </c>
      <c r="AO79" s="1335">
        <f>IF(ISNA(M79*VLOOKUP($D79,Hypothèses!$D$6:$F$14,3,0)),0,M79*VLOOKUP($D79,Hypothèses!$D$6:$F$14,3,0))</f>
        <v>0</v>
      </c>
      <c r="AP79" s="1335">
        <f>IF(ISNA(N79*VLOOKUP($D79,Hypothèses!$D$6:$F$14,3,0)),0,N79*VLOOKUP($D79,Hypothèses!$D$6:$F$14,3,0))</f>
        <v>0</v>
      </c>
      <c r="AQ79" s="1335">
        <f>IF(ISNA(O79*VLOOKUP($D79,Hypothèses!$D$6:$F$14,3,0)),0,O79*VLOOKUP($D79,Hypothèses!$D$6:$F$14,3,0))</f>
        <v>0</v>
      </c>
      <c r="AR79" s="1335">
        <f>IF(ISNA(P79*VLOOKUP($D79,Hypothèses!$D$6:$F$14,3,0)),0,P79*VLOOKUP($D79,Hypothèses!$D$6:$F$14,3,0))</f>
        <v>0</v>
      </c>
      <c r="AS79" s="1335">
        <f>IF(ISNA(Q79*VLOOKUP($D79,Hypothèses!$D$6:$F$14,3,0)),0,Q79*VLOOKUP($D79,Hypothèses!$D$6:$F$14,3,0))</f>
        <v>0</v>
      </c>
      <c r="AT79" s="1335">
        <f>IF(ISNA(R79*VLOOKUP($D79,Hypothèses!$D$6:$F$14,3,0)),0,R79*VLOOKUP($D79,Hypothèses!$D$6:$F$14,3,0))</f>
        <v>0</v>
      </c>
      <c r="AU79" s="1335">
        <f>IF(ISNA(S79*VLOOKUP($D79,Hypothèses!$D$6:$F$14,3,0)),0,S79*VLOOKUP($D79,Hypothèses!$D$6:$F$14,3,0))</f>
        <v>0</v>
      </c>
      <c r="AV79" s="1335">
        <f>IF(ISNA(T79*VLOOKUP($D79,Hypothèses!$D$6:$F$14,3,0)),0,T79*VLOOKUP($D79,Hypothèses!$D$6:$F$14,3,0))</f>
        <v>0</v>
      </c>
      <c r="AW79" s="1335">
        <f>IF(ISNA(U79*VLOOKUP($D79,Hypothèses!$D$6:$F$14,3,0)),0,U79*VLOOKUP($D79,Hypothèses!$D$6:$F$14,3,0))</f>
        <v>0</v>
      </c>
      <c r="AX79" s="1335">
        <f>IF(ISNA(V79*VLOOKUP($D79,Hypothèses!$D$6:$F$14,3,0)),0,V79*VLOOKUP($D79,Hypothèses!$D$6:$F$14,3,0))</f>
        <v>0</v>
      </c>
      <c r="AY79" s="1335">
        <f>IF(ISNA(W79*VLOOKUP($D79,Hypothèses!$D$6:$F$14,3,0)),0,W79*VLOOKUP($D79,Hypothèses!$D$6:$F$14,3,0))</f>
        <v>0</v>
      </c>
      <c r="AZ79" s="1335">
        <f>IF(ISNA(X79*VLOOKUP($D79,Hypothèses!$D$6:$F$14,3,0)),0,X79*VLOOKUP($D79,Hypothèses!$D$6:$F$14,3,0))</f>
        <v>0</v>
      </c>
      <c r="BA79" s="1335">
        <f>IF(ISNA(Y79*VLOOKUP($D79,Hypothèses!$D$6:$F$14,3,0)),0,Y79*VLOOKUP($D79,Hypothèses!$D$6:$F$14,3,0))</f>
        <v>0</v>
      </c>
      <c r="BB79" s="1335">
        <f>IF(ISNA(Z79*VLOOKUP($D79,Hypothèses!$D$6:$F$14,3,0)),0,Z79*VLOOKUP($D79,Hypothèses!$D$6:$F$14,3,0))</f>
        <v>0</v>
      </c>
      <c r="BC79" s="1335">
        <f>IF(ISNA(AA79*VLOOKUP($D79,Hypothèses!$D$6:$F$14,3,0)),0,AA79*VLOOKUP($D79,Hypothèses!$D$6:$F$14,3,0))</f>
        <v>0</v>
      </c>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row>
    <row r="80" spans="1:89" s="3" customFormat="1">
      <c r="A80" s="1817">
        <v>73</v>
      </c>
      <c r="B80" s="1790"/>
      <c r="C80" s="1333"/>
      <c r="D80" s="1334"/>
      <c r="E80" s="1332" t="str">
        <f>IF(ISNA(VLOOKUP(D80,Hypothèses!$D$6:$G$16,4,0)),"",VLOOKUP(D80,Hypothèses!$D$6:$G$16,4,0))</f>
        <v/>
      </c>
      <c r="F80" s="1842"/>
      <c r="G80" s="1843"/>
      <c r="H80" s="1843"/>
      <c r="I80" s="1843"/>
      <c r="J80" s="1843"/>
      <c r="K80" s="1843"/>
      <c r="L80" s="1843"/>
      <c r="M80" s="1843"/>
      <c r="N80" s="1843"/>
      <c r="O80" s="1843"/>
      <c r="P80" s="1843"/>
      <c r="Q80" s="1843"/>
      <c r="R80" s="1843"/>
      <c r="S80" s="1843"/>
      <c r="T80" s="1843"/>
      <c r="U80" s="1843"/>
      <c r="V80" s="1843"/>
      <c r="W80" s="1843"/>
      <c r="X80" s="1843"/>
      <c r="Y80" s="1843"/>
      <c r="Z80" s="1843"/>
      <c r="AA80" s="1844"/>
      <c r="AB80" s="1335"/>
      <c r="AC80" s="1335"/>
      <c r="AD80" s="1335"/>
      <c r="AE80" s="1335"/>
      <c r="AF80" s="1335"/>
      <c r="AG80"/>
      <c r="AH80" s="1335">
        <f>IF(ISNA(F80*VLOOKUP($D80,Hypothèses!$D$6:$F$14,3,0)),0,F80*VLOOKUP($D80,Hypothèses!$D$6:$F$14,3,0))</f>
        <v>0</v>
      </c>
      <c r="AI80" s="1335">
        <f>IF(ISNA(G80*VLOOKUP($D80,Hypothèses!$D$6:$F$14,3,0)),0,G80*VLOOKUP($D80,Hypothèses!$D$6:$F$14,3,0))</f>
        <v>0</v>
      </c>
      <c r="AJ80" s="1335">
        <f>IF(ISNA(H80*VLOOKUP($D80,Hypothèses!$D$6:$F$14,3,0)),0,H80*VLOOKUP($D80,Hypothèses!$D$6:$F$14,3,0))</f>
        <v>0</v>
      </c>
      <c r="AK80" s="1335">
        <f>IF(ISNA(I80*VLOOKUP($D80,Hypothèses!$D$6:$F$14,3,0)),0,I80*VLOOKUP($D80,Hypothèses!$D$6:$F$14,3,0))</f>
        <v>0</v>
      </c>
      <c r="AL80" s="1335">
        <f>IF(ISNA(J80*VLOOKUP($D80,Hypothèses!$D$6:$F$14,3,0)),0,J80*VLOOKUP($D80,Hypothèses!$D$6:$F$14,3,0))</f>
        <v>0</v>
      </c>
      <c r="AM80" s="1335">
        <f>IF(ISNA(K80*VLOOKUP($D80,Hypothèses!$D$6:$F$14,3,0)),0,K80*VLOOKUP($D80,Hypothèses!$D$6:$F$14,3,0))</f>
        <v>0</v>
      </c>
      <c r="AN80" s="1335">
        <f>IF(ISNA(L80*VLOOKUP($D80,Hypothèses!$D$6:$F$14,3,0)),0,L80*VLOOKUP($D80,Hypothèses!$D$6:$F$14,3,0))</f>
        <v>0</v>
      </c>
      <c r="AO80" s="1335">
        <f>IF(ISNA(M80*VLOOKUP($D80,Hypothèses!$D$6:$F$14,3,0)),0,M80*VLOOKUP($D80,Hypothèses!$D$6:$F$14,3,0))</f>
        <v>0</v>
      </c>
      <c r="AP80" s="1335">
        <f>IF(ISNA(N80*VLOOKUP($D80,Hypothèses!$D$6:$F$14,3,0)),0,N80*VLOOKUP($D80,Hypothèses!$D$6:$F$14,3,0))</f>
        <v>0</v>
      </c>
      <c r="AQ80" s="1335">
        <f>IF(ISNA(O80*VLOOKUP($D80,Hypothèses!$D$6:$F$14,3,0)),0,O80*VLOOKUP($D80,Hypothèses!$D$6:$F$14,3,0))</f>
        <v>0</v>
      </c>
      <c r="AR80" s="1335">
        <f>IF(ISNA(P80*VLOOKUP($D80,Hypothèses!$D$6:$F$14,3,0)),0,P80*VLOOKUP($D80,Hypothèses!$D$6:$F$14,3,0))</f>
        <v>0</v>
      </c>
      <c r="AS80" s="1335">
        <f>IF(ISNA(Q80*VLOOKUP($D80,Hypothèses!$D$6:$F$14,3,0)),0,Q80*VLOOKUP($D80,Hypothèses!$D$6:$F$14,3,0))</f>
        <v>0</v>
      </c>
      <c r="AT80" s="1335">
        <f>IF(ISNA(R80*VLOOKUP($D80,Hypothèses!$D$6:$F$14,3,0)),0,R80*VLOOKUP($D80,Hypothèses!$D$6:$F$14,3,0))</f>
        <v>0</v>
      </c>
      <c r="AU80" s="1335">
        <f>IF(ISNA(S80*VLOOKUP($D80,Hypothèses!$D$6:$F$14,3,0)),0,S80*VLOOKUP($D80,Hypothèses!$D$6:$F$14,3,0))</f>
        <v>0</v>
      </c>
      <c r="AV80" s="1335">
        <f>IF(ISNA(T80*VLOOKUP($D80,Hypothèses!$D$6:$F$14,3,0)),0,T80*VLOOKUP($D80,Hypothèses!$D$6:$F$14,3,0))</f>
        <v>0</v>
      </c>
      <c r="AW80" s="1335">
        <f>IF(ISNA(U80*VLOOKUP($D80,Hypothèses!$D$6:$F$14,3,0)),0,U80*VLOOKUP($D80,Hypothèses!$D$6:$F$14,3,0))</f>
        <v>0</v>
      </c>
      <c r="AX80" s="1335">
        <f>IF(ISNA(V80*VLOOKUP($D80,Hypothèses!$D$6:$F$14,3,0)),0,V80*VLOOKUP($D80,Hypothèses!$D$6:$F$14,3,0))</f>
        <v>0</v>
      </c>
      <c r="AY80" s="1335">
        <f>IF(ISNA(W80*VLOOKUP($D80,Hypothèses!$D$6:$F$14,3,0)),0,W80*VLOOKUP($D80,Hypothèses!$D$6:$F$14,3,0))</f>
        <v>0</v>
      </c>
      <c r="AZ80" s="1335">
        <f>IF(ISNA(X80*VLOOKUP($D80,Hypothèses!$D$6:$F$14,3,0)),0,X80*VLOOKUP($D80,Hypothèses!$D$6:$F$14,3,0))</f>
        <v>0</v>
      </c>
      <c r="BA80" s="1335">
        <f>IF(ISNA(Y80*VLOOKUP($D80,Hypothèses!$D$6:$F$14,3,0)),0,Y80*VLOOKUP($D80,Hypothèses!$D$6:$F$14,3,0))</f>
        <v>0</v>
      </c>
      <c r="BB80" s="1335">
        <f>IF(ISNA(Z80*VLOOKUP($D80,Hypothèses!$D$6:$F$14,3,0)),0,Z80*VLOOKUP($D80,Hypothèses!$D$6:$F$14,3,0))</f>
        <v>0</v>
      </c>
      <c r="BC80" s="1335">
        <f>IF(ISNA(AA80*VLOOKUP($D80,Hypothèses!$D$6:$F$14,3,0)),0,AA80*VLOOKUP($D80,Hypothèses!$D$6:$F$14,3,0))</f>
        <v>0</v>
      </c>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row>
    <row r="81" spans="1:89" s="3" customFormat="1">
      <c r="A81" s="1817">
        <v>74</v>
      </c>
      <c r="B81" s="1790"/>
      <c r="C81" s="1333"/>
      <c r="D81" s="1334"/>
      <c r="E81" s="1332" t="str">
        <f>IF(ISNA(VLOOKUP(D81,Hypothèses!$D$6:$G$16,4,0)),"",VLOOKUP(D81,Hypothèses!$D$6:$G$16,4,0))</f>
        <v/>
      </c>
      <c r="F81" s="1842"/>
      <c r="G81" s="1843"/>
      <c r="H81" s="1843"/>
      <c r="I81" s="1843"/>
      <c r="J81" s="1843"/>
      <c r="K81" s="1843"/>
      <c r="L81" s="1843"/>
      <c r="M81" s="1843"/>
      <c r="N81" s="1843"/>
      <c r="O81" s="1843"/>
      <c r="P81" s="1843"/>
      <c r="Q81" s="1843"/>
      <c r="R81" s="1843"/>
      <c r="S81" s="1843"/>
      <c r="T81" s="1843"/>
      <c r="U81" s="1843"/>
      <c r="V81" s="1843"/>
      <c r="W81" s="1843"/>
      <c r="X81" s="1843"/>
      <c r="Y81" s="1843"/>
      <c r="Z81" s="1843"/>
      <c r="AA81" s="1844"/>
      <c r="AB81" s="1335"/>
      <c r="AC81" s="1335"/>
      <c r="AD81" s="1335"/>
      <c r="AE81" s="1335"/>
      <c r="AF81" s="1335"/>
      <c r="AG81"/>
      <c r="AH81" s="1335">
        <f>IF(ISNA(F81*VLOOKUP($D81,Hypothèses!$D$6:$F$14,3,0)),0,F81*VLOOKUP($D81,Hypothèses!$D$6:$F$14,3,0))</f>
        <v>0</v>
      </c>
      <c r="AI81" s="1335">
        <f>IF(ISNA(G81*VLOOKUP($D81,Hypothèses!$D$6:$F$14,3,0)),0,G81*VLOOKUP($D81,Hypothèses!$D$6:$F$14,3,0))</f>
        <v>0</v>
      </c>
      <c r="AJ81" s="1335">
        <f>IF(ISNA(H81*VLOOKUP($D81,Hypothèses!$D$6:$F$14,3,0)),0,H81*VLOOKUP($D81,Hypothèses!$D$6:$F$14,3,0))</f>
        <v>0</v>
      </c>
      <c r="AK81" s="1335">
        <f>IF(ISNA(I81*VLOOKUP($D81,Hypothèses!$D$6:$F$14,3,0)),0,I81*VLOOKUP($D81,Hypothèses!$D$6:$F$14,3,0))</f>
        <v>0</v>
      </c>
      <c r="AL81" s="1335">
        <f>IF(ISNA(J81*VLOOKUP($D81,Hypothèses!$D$6:$F$14,3,0)),0,J81*VLOOKUP($D81,Hypothèses!$D$6:$F$14,3,0))</f>
        <v>0</v>
      </c>
      <c r="AM81" s="1335">
        <f>IF(ISNA(K81*VLOOKUP($D81,Hypothèses!$D$6:$F$14,3,0)),0,K81*VLOOKUP($D81,Hypothèses!$D$6:$F$14,3,0))</f>
        <v>0</v>
      </c>
      <c r="AN81" s="1335">
        <f>IF(ISNA(L81*VLOOKUP($D81,Hypothèses!$D$6:$F$14,3,0)),0,L81*VLOOKUP($D81,Hypothèses!$D$6:$F$14,3,0))</f>
        <v>0</v>
      </c>
      <c r="AO81" s="1335">
        <f>IF(ISNA(M81*VLOOKUP($D81,Hypothèses!$D$6:$F$14,3,0)),0,M81*VLOOKUP($D81,Hypothèses!$D$6:$F$14,3,0))</f>
        <v>0</v>
      </c>
      <c r="AP81" s="1335">
        <f>IF(ISNA(N81*VLOOKUP($D81,Hypothèses!$D$6:$F$14,3,0)),0,N81*VLOOKUP($D81,Hypothèses!$D$6:$F$14,3,0))</f>
        <v>0</v>
      </c>
      <c r="AQ81" s="1335">
        <f>IF(ISNA(O81*VLOOKUP($D81,Hypothèses!$D$6:$F$14,3,0)),0,O81*VLOOKUP($D81,Hypothèses!$D$6:$F$14,3,0))</f>
        <v>0</v>
      </c>
      <c r="AR81" s="1335">
        <f>IF(ISNA(P81*VLOOKUP($D81,Hypothèses!$D$6:$F$14,3,0)),0,P81*VLOOKUP($D81,Hypothèses!$D$6:$F$14,3,0))</f>
        <v>0</v>
      </c>
      <c r="AS81" s="1335">
        <f>IF(ISNA(Q81*VLOOKUP($D81,Hypothèses!$D$6:$F$14,3,0)),0,Q81*VLOOKUP($D81,Hypothèses!$D$6:$F$14,3,0))</f>
        <v>0</v>
      </c>
      <c r="AT81" s="1335">
        <f>IF(ISNA(R81*VLOOKUP($D81,Hypothèses!$D$6:$F$14,3,0)),0,R81*VLOOKUP($D81,Hypothèses!$D$6:$F$14,3,0))</f>
        <v>0</v>
      </c>
      <c r="AU81" s="1335">
        <f>IF(ISNA(S81*VLOOKUP($D81,Hypothèses!$D$6:$F$14,3,0)),0,S81*VLOOKUP($D81,Hypothèses!$D$6:$F$14,3,0))</f>
        <v>0</v>
      </c>
      <c r="AV81" s="1335">
        <f>IF(ISNA(T81*VLOOKUP($D81,Hypothèses!$D$6:$F$14,3,0)),0,T81*VLOOKUP($D81,Hypothèses!$D$6:$F$14,3,0))</f>
        <v>0</v>
      </c>
      <c r="AW81" s="1335">
        <f>IF(ISNA(U81*VLOOKUP($D81,Hypothèses!$D$6:$F$14,3,0)),0,U81*VLOOKUP($D81,Hypothèses!$D$6:$F$14,3,0))</f>
        <v>0</v>
      </c>
      <c r="AX81" s="1335">
        <f>IF(ISNA(V81*VLOOKUP($D81,Hypothèses!$D$6:$F$14,3,0)),0,V81*VLOOKUP($D81,Hypothèses!$D$6:$F$14,3,0))</f>
        <v>0</v>
      </c>
      <c r="AY81" s="1335">
        <f>IF(ISNA(W81*VLOOKUP($D81,Hypothèses!$D$6:$F$14,3,0)),0,W81*VLOOKUP($D81,Hypothèses!$D$6:$F$14,3,0))</f>
        <v>0</v>
      </c>
      <c r="AZ81" s="1335">
        <f>IF(ISNA(X81*VLOOKUP($D81,Hypothèses!$D$6:$F$14,3,0)),0,X81*VLOOKUP($D81,Hypothèses!$D$6:$F$14,3,0))</f>
        <v>0</v>
      </c>
      <c r="BA81" s="1335">
        <f>IF(ISNA(Y81*VLOOKUP($D81,Hypothèses!$D$6:$F$14,3,0)),0,Y81*VLOOKUP($D81,Hypothèses!$D$6:$F$14,3,0))</f>
        <v>0</v>
      </c>
      <c r="BB81" s="1335">
        <f>IF(ISNA(Z81*VLOOKUP($D81,Hypothèses!$D$6:$F$14,3,0)),0,Z81*VLOOKUP($D81,Hypothèses!$D$6:$F$14,3,0))</f>
        <v>0</v>
      </c>
      <c r="BC81" s="1335">
        <f>IF(ISNA(AA81*VLOOKUP($D81,Hypothèses!$D$6:$F$14,3,0)),0,AA81*VLOOKUP($D81,Hypothèses!$D$6:$F$14,3,0))</f>
        <v>0</v>
      </c>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row>
    <row r="82" spans="1:89" s="3" customFormat="1">
      <c r="A82" s="1817">
        <v>75</v>
      </c>
      <c r="B82" s="1790"/>
      <c r="C82" s="1333"/>
      <c r="D82" s="1334"/>
      <c r="E82" s="1332" t="str">
        <f>IF(ISNA(VLOOKUP(D82,Hypothèses!$D$6:$G$16,4,0)),"",VLOOKUP(D82,Hypothèses!$D$6:$G$16,4,0))</f>
        <v/>
      </c>
      <c r="F82" s="1842"/>
      <c r="G82" s="1843"/>
      <c r="H82" s="1843"/>
      <c r="I82" s="1843"/>
      <c r="J82" s="1843"/>
      <c r="K82" s="1843"/>
      <c r="L82" s="1843"/>
      <c r="M82" s="1843"/>
      <c r="N82" s="1843"/>
      <c r="O82" s="1843"/>
      <c r="P82" s="1843"/>
      <c r="Q82" s="1843"/>
      <c r="R82" s="1843"/>
      <c r="S82" s="1843"/>
      <c r="T82" s="1843"/>
      <c r="U82" s="1843"/>
      <c r="V82" s="1843"/>
      <c r="W82" s="1843"/>
      <c r="X82" s="1843"/>
      <c r="Y82" s="1843"/>
      <c r="Z82" s="1843"/>
      <c r="AA82" s="1844"/>
      <c r="AB82" s="1335"/>
      <c r="AC82" s="1335"/>
      <c r="AD82" s="1335"/>
      <c r="AE82" s="1335"/>
      <c r="AF82" s="1335"/>
      <c r="AG82"/>
      <c r="AH82" s="1335">
        <f>IF(ISNA(F82*VLOOKUP($D82,Hypothèses!$D$6:$F$14,3,0)),0,F82*VLOOKUP($D82,Hypothèses!$D$6:$F$14,3,0))</f>
        <v>0</v>
      </c>
      <c r="AI82" s="1335">
        <f>IF(ISNA(G82*VLOOKUP($D82,Hypothèses!$D$6:$F$14,3,0)),0,G82*VLOOKUP($D82,Hypothèses!$D$6:$F$14,3,0))</f>
        <v>0</v>
      </c>
      <c r="AJ82" s="1335">
        <f>IF(ISNA(H82*VLOOKUP($D82,Hypothèses!$D$6:$F$14,3,0)),0,H82*VLOOKUP($D82,Hypothèses!$D$6:$F$14,3,0))</f>
        <v>0</v>
      </c>
      <c r="AK82" s="1335">
        <f>IF(ISNA(I82*VLOOKUP($D82,Hypothèses!$D$6:$F$14,3,0)),0,I82*VLOOKUP($D82,Hypothèses!$D$6:$F$14,3,0))</f>
        <v>0</v>
      </c>
      <c r="AL82" s="1335">
        <f>IF(ISNA(J82*VLOOKUP($D82,Hypothèses!$D$6:$F$14,3,0)),0,J82*VLOOKUP($D82,Hypothèses!$D$6:$F$14,3,0))</f>
        <v>0</v>
      </c>
      <c r="AM82" s="1335">
        <f>IF(ISNA(K82*VLOOKUP($D82,Hypothèses!$D$6:$F$14,3,0)),0,K82*VLOOKUP($D82,Hypothèses!$D$6:$F$14,3,0))</f>
        <v>0</v>
      </c>
      <c r="AN82" s="1335">
        <f>IF(ISNA(L82*VLOOKUP($D82,Hypothèses!$D$6:$F$14,3,0)),0,L82*VLOOKUP($D82,Hypothèses!$D$6:$F$14,3,0))</f>
        <v>0</v>
      </c>
      <c r="AO82" s="1335">
        <f>IF(ISNA(M82*VLOOKUP($D82,Hypothèses!$D$6:$F$14,3,0)),0,M82*VLOOKUP($D82,Hypothèses!$D$6:$F$14,3,0))</f>
        <v>0</v>
      </c>
      <c r="AP82" s="1335">
        <f>IF(ISNA(N82*VLOOKUP($D82,Hypothèses!$D$6:$F$14,3,0)),0,N82*VLOOKUP($D82,Hypothèses!$D$6:$F$14,3,0))</f>
        <v>0</v>
      </c>
      <c r="AQ82" s="1335">
        <f>IF(ISNA(O82*VLOOKUP($D82,Hypothèses!$D$6:$F$14,3,0)),0,O82*VLOOKUP($D82,Hypothèses!$D$6:$F$14,3,0))</f>
        <v>0</v>
      </c>
      <c r="AR82" s="1335">
        <f>IF(ISNA(P82*VLOOKUP($D82,Hypothèses!$D$6:$F$14,3,0)),0,P82*VLOOKUP($D82,Hypothèses!$D$6:$F$14,3,0))</f>
        <v>0</v>
      </c>
      <c r="AS82" s="1335">
        <f>IF(ISNA(Q82*VLOOKUP($D82,Hypothèses!$D$6:$F$14,3,0)),0,Q82*VLOOKUP($D82,Hypothèses!$D$6:$F$14,3,0))</f>
        <v>0</v>
      </c>
      <c r="AT82" s="1335">
        <f>IF(ISNA(R82*VLOOKUP($D82,Hypothèses!$D$6:$F$14,3,0)),0,R82*VLOOKUP($D82,Hypothèses!$D$6:$F$14,3,0))</f>
        <v>0</v>
      </c>
      <c r="AU82" s="1335">
        <f>IF(ISNA(S82*VLOOKUP($D82,Hypothèses!$D$6:$F$14,3,0)),0,S82*VLOOKUP($D82,Hypothèses!$D$6:$F$14,3,0))</f>
        <v>0</v>
      </c>
      <c r="AV82" s="1335">
        <f>IF(ISNA(T82*VLOOKUP($D82,Hypothèses!$D$6:$F$14,3,0)),0,T82*VLOOKUP($D82,Hypothèses!$D$6:$F$14,3,0))</f>
        <v>0</v>
      </c>
      <c r="AW82" s="1335">
        <f>IF(ISNA(U82*VLOOKUP($D82,Hypothèses!$D$6:$F$14,3,0)),0,U82*VLOOKUP($D82,Hypothèses!$D$6:$F$14,3,0))</f>
        <v>0</v>
      </c>
      <c r="AX82" s="1335">
        <f>IF(ISNA(V82*VLOOKUP($D82,Hypothèses!$D$6:$F$14,3,0)),0,V82*VLOOKUP($D82,Hypothèses!$D$6:$F$14,3,0))</f>
        <v>0</v>
      </c>
      <c r="AY82" s="1335">
        <f>IF(ISNA(W82*VLOOKUP($D82,Hypothèses!$D$6:$F$14,3,0)),0,W82*VLOOKUP($D82,Hypothèses!$D$6:$F$14,3,0))</f>
        <v>0</v>
      </c>
      <c r="AZ82" s="1335">
        <f>IF(ISNA(X82*VLOOKUP($D82,Hypothèses!$D$6:$F$14,3,0)),0,X82*VLOOKUP($D82,Hypothèses!$D$6:$F$14,3,0))</f>
        <v>0</v>
      </c>
      <c r="BA82" s="1335">
        <f>IF(ISNA(Y82*VLOOKUP($D82,Hypothèses!$D$6:$F$14,3,0)),0,Y82*VLOOKUP($D82,Hypothèses!$D$6:$F$14,3,0))</f>
        <v>0</v>
      </c>
      <c r="BB82" s="1335">
        <f>IF(ISNA(Z82*VLOOKUP($D82,Hypothèses!$D$6:$F$14,3,0)),0,Z82*VLOOKUP($D82,Hypothèses!$D$6:$F$14,3,0))</f>
        <v>0</v>
      </c>
      <c r="BC82" s="1335">
        <f>IF(ISNA(AA82*VLOOKUP($D82,Hypothèses!$D$6:$F$14,3,0)),0,AA82*VLOOKUP($D82,Hypothèses!$D$6:$F$14,3,0))</f>
        <v>0</v>
      </c>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row>
    <row r="83" spans="1:89" s="3" customFormat="1">
      <c r="A83" s="1817">
        <v>76</v>
      </c>
      <c r="B83" s="1790"/>
      <c r="C83" s="1333"/>
      <c r="D83" s="1334"/>
      <c r="E83" s="1332" t="str">
        <f>IF(ISNA(VLOOKUP(D83,Hypothèses!$D$6:$G$16,4,0)),"",VLOOKUP(D83,Hypothèses!$D$6:$G$16,4,0))</f>
        <v/>
      </c>
      <c r="F83" s="1842"/>
      <c r="G83" s="1843"/>
      <c r="H83" s="1843"/>
      <c r="I83" s="1843"/>
      <c r="J83" s="1843"/>
      <c r="K83" s="1843"/>
      <c r="L83" s="1843"/>
      <c r="M83" s="1843"/>
      <c r="N83" s="1843"/>
      <c r="O83" s="1843"/>
      <c r="P83" s="1843"/>
      <c r="Q83" s="1843"/>
      <c r="R83" s="1843"/>
      <c r="S83" s="1843"/>
      <c r="T83" s="1843"/>
      <c r="U83" s="1843"/>
      <c r="V83" s="1843"/>
      <c r="W83" s="1843"/>
      <c r="X83" s="1843"/>
      <c r="Y83" s="1843"/>
      <c r="Z83" s="1843"/>
      <c r="AA83" s="1844"/>
      <c r="AB83" s="1335"/>
      <c r="AC83" s="1335"/>
      <c r="AD83" s="1335"/>
      <c r="AE83" s="1335"/>
      <c r="AF83" s="1335"/>
      <c r="AG83"/>
      <c r="AH83" s="1335">
        <f>IF(ISNA(F83*VLOOKUP($D83,Hypothèses!$D$6:$F$14,3,0)),0,F83*VLOOKUP($D83,Hypothèses!$D$6:$F$14,3,0))</f>
        <v>0</v>
      </c>
      <c r="AI83" s="1335">
        <f>IF(ISNA(G83*VLOOKUP($D83,Hypothèses!$D$6:$F$14,3,0)),0,G83*VLOOKUP($D83,Hypothèses!$D$6:$F$14,3,0))</f>
        <v>0</v>
      </c>
      <c r="AJ83" s="1335">
        <f>IF(ISNA(H83*VLOOKUP($D83,Hypothèses!$D$6:$F$14,3,0)),0,H83*VLOOKUP($D83,Hypothèses!$D$6:$F$14,3,0))</f>
        <v>0</v>
      </c>
      <c r="AK83" s="1335">
        <f>IF(ISNA(I83*VLOOKUP($D83,Hypothèses!$D$6:$F$14,3,0)),0,I83*VLOOKUP($D83,Hypothèses!$D$6:$F$14,3,0))</f>
        <v>0</v>
      </c>
      <c r="AL83" s="1335">
        <f>IF(ISNA(J83*VLOOKUP($D83,Hypothèses!$D$6:$F$14,3,0)),0,J83*VLOOKUP($D83,Hypothèses!$D$6:$F$14,3,0))</f>
        <v>0</v>
      </c>
      <c r="AM83" s="1335">
        <f>IF(ISNA(K83*VLOOKUP($D83,Hypothèses!$D$6:$F$14,3,0)),0,K83*VLOOKUP($D83,Hypothèses!$D$6:$F$14,3,0))</f>
        <v>0</v>
      </c>
      <c r="AN83" s="1335">
        <f>IF(ISNA(L83*VLOOKUP($D83,Hypothèses!$D$6:$F$14,3,0)),0,L83*VLOOKUP($D83,Hypothèses!$D$6:$F$14,3,0))</f>
        <v>0</v>
      </c>
      <c r="AO83" s="1335">
        <f>IF(ISNA(M83*VLOOKUP($D83,Hypothèses!$D$6:$F$14,3,0)),0,M83*VLOOKUP($D83,Hypothèses!$D$6:$F$14,3,0))</f>
        <v>0</v>
      </c>
      <c r="AP83" s="1335">
        <f>IF(ISNA(N83*VLOOKUP($D83,Hypothèses!$D$6:$F$14,3,0)),0,N83*VLOOKUP($D83,Hypothèses!$D$6:$F$14,3,0))</f>
        <v>0</v>
      </c>
      <c r="AQ83" s="1335">
        <f>IF(ISNA(O83*VLOOKUP($D83,Hypothèses!$D$6:$F$14,3,0)),0,O83*VLOOKUP($D83,Hypothèses!$D$6:$F$14,3,0))</f>
        <v>0</v>
      </c>
      <c r="AR83" s="1335">
        <f>IF(ISNA(P83*VLOOKUP($D83,Hypothèses!$D$6:$F$14,3,0)),0,P83*VLOOKUP($D83,Hypothèses!$D$6:$F$14,3,0))</f>
        <v>0</v>
      </c>
      <c r="AS83" s="1335">
        <f>IF(ISNA(Q83*VLOOKUP($D83,Hypothèses!$D$6:$F$14,3,0)),0,Q83*VLOOKUP($D83,Hypothèses!$D$6:$F$14,3,0))</f>
        <v>0</v>
      </c>
      <c r="AT83" s="1335">
        <f>IF(ISNA(R83*VLOOKUP($D83,Hypothèses!$D$6:$F$14,3,0)),0,R83*VLOOKUP($D83,Hypothèses!$D$6:$F$14,3,0))</f>
        <v>0</v>
      </c>
      <c r="AU83" s="1335">
        <f>IF(ISNA(S83*VLOOKUP($D83,Hypothèses!$D$6:$F$14,3,0)),0,S83*VLOOKUP($D83,Hypothèses!$D$6:$F$14,3,0))</f>
        <v>0</v>
      </c>
      <c r="AV83" s="1335">
        <f>IF(ISNA(T83*VLOOKUP($D83,Hypothèses!$D$6:$F$14,3,0)),0,T83*VLOOKUP($D83,Hypothèses!$D$6:$F$14,3,0))</f>
        <v>0</v>
      </c>
      <c r="AW83" s="1335">
        <f>IF(ISNA(U83*VLOOKUP($D83,Hypothèses!$D$6:$F$14,3,0)),0,U83*VLOOKUP($D83,Hypothèses!$D$6:$F$14,3,0))</f>
        <v>0</v>
      </c>
      <c r="AX83" s="1335">
        <f>IF(ISNA(V83*VLOOKUP($D83,Hypothèses!$D$6:$F$14,3,0)),0,V83*VLOOKUP($D83,Hypothèses!$D$6:$F$14,3,0))</f>
        <v>0</v>
      </c>
      <c r="AY83" s="1335">
        <f>IF(ISNA(W83*VLOOKUP($D83,Hypothèses!$D$6:$F$14,3,0)),0,W83*VLOOKUP($D83,Hypothèses!$D$6:$F$14,3,0))</f>
        <v>0</v>
      </c>
      <c r="AZ83" s="1335">
        <f>IF(ISNA(X83*VLOOKUP($D83,Hypothèses!$D$6:$F$14,3,0)),0,X83*VLOOKUP($D83,Hypothèses!$D$6:$F$14,3,0))</f>
        <v>0</v>
      </c>
      <c r="BA83" s="1335">
        <f>IF(ISNA(Y83*VLOOKUP($D83,Hypothèses!$D$6:$F$14,3,0)),0,Y83*VLOOKUP($D83,Hypothèses!$D$6:$F$14,3,0))</f>
        <v>0</v>
      </c>
      <c r="BB83" s="1335">
        <f>IF(ISNA(Z83*VLOOKUP($D83,Hypothèses!$D$6:$F$14,3,0)),0,Z83*VLOOKUP($D83,Hypothèses!$D$6:$F$14,3,0))</f>
        <v>0</v>
      </c>
      <c r="BC83" s="1335">
        <f>IF(ISNA(AA83*VLOOKUP($D83,Hypothèses!$D$6:$F$14,3,0)),0,AA83*VLOOKUP($D83,Hypothèses!$D$6:$F$14,3,0))</f>
        <v>0</v>
      </c>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row>
    <row r="84" spans="1:89" s="3" customFormat="1">
      <c r="A84" s="1817">
        <v>77</v>
      </c>
      <c r="B84" s="1790"/>
      <c r="C84" s="1333"/>
      <c r="D84" s="1334"/>
      <c r="E84" s="1332" t="str">
        <f>IF(ISNA(VLOOKUP(D84,Hypothèses!$D$6:$G$16,4,0)),"",VLOOKUP(D84,Hypothèses!$D$6:$G$16,4,0))</f>
        <v/>
      </c>
      <c r="F84" s="1842"/>
      <c r="G84" s="1843"/>
      <c r="H84" s="1843"/>
      <c r="I84" s="1843"/>
      <c r="J84" s="1843"/>
      <c r="K84" s="1843"/>
      <c r="L84" s="1843"/>
      <c r="M84" s="1843"/>
      <c r="N84" s="1843"/>
      <c r="O84" s="1843"/>
      <c r="P84" s="1843"/>
      <c r="Q84" s="1843"/>
      <c r="R84" s="1843"/>
      <c r="S84" s="1843"/>
      <c r="T84" s="1843"/>
      <c r="U84" s="1843"/>
      <c r="V84" s="1843"/>
      <c r="W84" s="1843"/>
      <c r="X84" s="1843"/>
      <c r="Y84" s="1843"/>
      <c r="Z84" s="1843"/>
      <c r="AA84" s="1844"/>
      <c r="AB84" s="1335"/>
      <c r="AC84" s="1335"/>
      <c r="AD84" s="1335"/>
      <c r="AE84" s="1335"/>
      <c r="AF84" s="1335"/>
      <c r="AG84"/>
      <c r="AH84" s="1335">
        <f>IF(ISNA(F84*VLOOKUP($D84,Hypothèses!$D$6:$F$14,3,0)),0,F84*VLOOKUP($D84,Hypothèses!$D$6:$F$14,3,0))</f>
        <v>0</v>
      </c>
      <c r="AI84" s="1335">
        <f>IF(ISNA(G84*VLOOKUP($D84,Hypothèses!$D$6:$F$14,3,0)),0,G84*VLOOKUP($D84,Hypothèses!$D$6:$F$14,3,0))</f>
        <v>0</v>
      </c>
      <c r="AJ84" s="1335">
        <f>IF(ISNA(H84*VLOOKUP($D84,Hypothèses!$D$6:$F$14,3,0)),0,H84*VLOOKUP($D84,Hypothèses!$D$6:$F$14,3,0))</f>
        <v>0</v>
      </c>
      <c r="AK84" s="1335">
        <f>IF(ISNA(I84*VLOOKUP($D84,Hypothèses!$D$6:$F$14,3,0)),0,I84*VLOOKUP($D84,Hypothèses!$D$6:$F$14,3,0))</f>
        <v>0</v>
      </c>
      <c r="AL84" s="1335">
        <f>IF(ISNA(J84*VLOOKUP($D84,Hypothèses!$D$6:$F$14,3,0)),0,J84*VLOOKUP($D84,Hypothèses!$D$6:$F$14,3,0))</f>
        <v>0</v>
      </c>
      <c r="AM84" s="1335">
        <f>IF(ISNA(K84*VLOOKUP($D84,Hypothèses!$D$6:$F$14,3,0)),0,K84*VLOOKUP($D84,Hypothèses!$D$6:$F$14,3,0))</f>
        <v>0</v>
      </c>
      <c r="AN84" s="1335">
        <f>IF(ISNA(L84*VLOOKUP($D84,Hypothèses!$D$6:$F$14,3,0)),0,L84*VLOOKUP($D84,Hypothèses!$D$6:$F$14,3,0))</f>
        <v>0</v>
      </c>
      <c r="AO84" s="1335">
        <f>IF(ISNA(M84*VLOOKUP($D84,Hypothèses!$D$6:$F$14,3,0)),0,M84*VLOOKUP($D84,Hypothèses!$D$6:$F$14,3,0))</f>
        <v>0</v>
      </c>
      <c r="AP84" s="1335">
        <f>IF(ISNA(N84*VLOOKUP($D84,Hypothèses!$D$6:$F$14,3,0)),0,N84*VLOOKUP($D84,Hypothèses!$D$6:$F$14,3,0))</f>
        <v>0</v>
      </c>
      <c r="AQ84" s="1335">
        <f>IF(ISNA(O84*VLOOKUP($D84,Hypothèses!$D$6:$F$14,3,0)),0,O84*VLOOKUP($D84,Hypothèses!$D$6:$F$14,3,0))</f>
        <v>0</v>
      </c>
      <c r="AR84" s="1335">
        <f>IF(ISNA(P84*VLOOKUP($D84,Hypothèses!$D$6:$F$14,3,0)),0,P84*VLOOKUP($D84,Hypothèses!$D$6:$F$14,3,0))</f>
        <v>0</v>
      </c>
      <c r="AS84" s="1335">
        <f>IF(ISNA(Q84*VLOOKUP($D84,Hypothèses!$D$6:$F$14,3,0)),0,Q84*VLOOKUP($D84,Hypothèses!$D$6:$F$14,3,0))</f>
        <v>0</v>
      </c>
      <c r="AT84" s="1335">
        <f>IF(ISNA(R84*VLOOKUP($D84,Hypothèses!$D$6:$F$14,3,0)),0,R84*VLOOKUP($D84,Hypothèses!$D$6:$F$14,3,0))</f>
        <v>0</v>
      </c>
      <c r="AU84" s="1335">
        <f>IF(ISNA(S84*VLOOKUP($D84,Hypothèses!$D$6:$F$14,3,0)),0,S84*VLOOKUP($D84,Hypothèses!$D$6:$F$14,3,0))</f>
        <v>0</v>
      </c>
      <c r="AV84" s="1335">
        <f>IF(ISNA(T84*VLOOKUP($D84,Hypothèses!$D$6:$F$14,3,0)),0,T84*VLOOKUP($D84,Hypothèses!$D$6:$F$14,3,0))</f>
        <v>0</v>
      </c>
      <c r="AW84" s="1335">
        <f>IF(ISNA(U84*VLOOKUP($D84,Hypothèses!$D$6:$F$14,3,0)),0,U84*VLOOKUP($D84,Hypothèses!$D$6:$F$14,3,0))</f>
        <v>0</v>
      </c>
      <c r="AX84" s="1335">
        <f>IF(ISNA(V84*VLOOKUP($D84,Hypothèses!$D$6:$F$14,3,0)),0,V84*VLOOKUP($D84,Hypothèses!$D$6:$F$14,3,0))</f>
        <v>0</v>
      </c>
      <c r="AY84" s="1335">
        <f>IF(ISNA(W84*VLOOKUP($D84,Hypothèses!$D$6:$F$14,3,0)),0,W84*VLOOKUP($D84,Hypothèses!$D$6:$F$14,3,0))</f>
        <v>0</v>
      </c>
      <c r="AZ84" s="1335">
        <f>IF(ISNA(X84*VLOOKUP($D84,Hypothèses!$D$6:$F$14,3,0)),0,X84*VLOOKUP($D84,Hypothèses!$D$6:$F$14,3,0))</f>
        <v>0</v>
      </c>
      <c r="BA84" s="1335">
        <f>IF(ISNA(Y84*VLOOKUP($D84,Hypothèses!$D$6:$F$14,3,0)),0,Y84*VLOOKUP($D84,Hypothèses!$D$6:$F$14,3,0))</f>
        <v>0</v>
      </c>
      <c r="BB84" s="1335">
        <f>IF(ISNA(Z84*VLOOKUP($D84,Hypothèses!$D$6:$F$14,3,0)),0,Z84*VLOOKUP($D84,Hypothèses!$D$6:$F$14,3,0))</f>
        <v>0</v>
      </c>
      <c r="BC84" s="1335">
        <f>IF(ISNA(AA84*VLOOKUP($D84,Hypothèses!$D$6:$F$14,3,0)),0,AA84*VLOOKUP($D84,Hypothèses!$D$6:$F$14,3,0))</f>
        <v>0</v>
      </c>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c r="CK84" s="70"/>
    </row>
    <row r="85" spans="1:89" s="3" customFormat="1">
      <c r="A85" s="1817">
        <v>78</v>
      </c>
      <c r="B85" s="1790"/>
      <c r="C85" s="1333"/>
      <c r="D85" s="1334"/>
      <c r="E85" s="1332" t="str">
        <f>IF(ISNA(VLOOKUP(D85,Hypothèses!$D$6:$G$16,4,0)),"",VLOOKUP(D85,Hypothèses!$D$6:$G$16,4,0))</f>
        <v/>
      </c>
      <c r="F85" s="1842"/>
      <c r="G85" s="1843"/>
      <c r="H85" s="1843"/>
      <c r="I85" s="1843"/>
      <c r="J85" s="1843"/>
      <c r="K85" s="1843"/>
      <c r="L85" s="1843"/>
      <c r="M85" s="1843"/>
      <c r="N85" s="1843"/>
      <c r="O85" s="1843"/>
      <c r="P85" s="1843"/>
      <c r="Q85" s="1843"/>
      <c r="R85" s="1843"/>
      <c r="S85" s="1843"/>
      <c r="T85" s="1843"/>
      <c r="U85" s="1843"/>
      <c r="V85" s="1843"/>
      <c r="W85" s="1843"/>
      <c r="X85" s="1843"/>
      <c r="Y85" s="1843"/>
      <c r="Z85" s="1843"/>
      <c r="AA85" s="1844"/>
      <c r="AB85" s="1335"/>
      <c r="AC85" s="1335"/>
      <c r="AD85" s="1335"/>
      <c r="AE85" s="1335"/>
      <c r="AF85" s="1335"/>
      <c r="AG85"/>
      <c r="AH85" s="1335">
        <f>IF(ISNA(F85*VLOOKUP($D85,Hypothèses!$D$6:$F$14,3,0)),0,F85*VLOOKUP($D85,Hypothèses!$D$6:$F$14,3,0))</f>
        <v>0</v>
      </c>
      <c r="AI85" s="1335">
        <f>IF(ISNA(G85*VLOOKUP($D85,Hypothèses!$D$6:$F$14,3,0)),0,G85*VLOOKUP($D85,Hypothèses!$D$6:$F$14,3,0))</f>
        <v>0</v>
      </c>
      <c r="AJ85" s="1335">
        <f>IF(ISNA(H85*VLOOKUP($D85,Hypothèses!$D$6:$F$14,3,0)),0,H85*VLOOKUP($D85,Hypothèses!$D$6:$F$14,3,0))</f>
        <v>0</v>
      </c>
      <c r="AK85" s="1335">
        <f>IF(ISNA(I85*VLOOKUP($D85,Hypothèses!$D$6:$F$14,3,0)),0,I85*VLOOKUP($D85,Hypothèses!$D$6:$F$14,3,0))</f>
        <v>0</v>
      </c>
      <c r="AL85" s="1335">
        <f>IF(ISNA(J85*VLOOKUP($D85,Hypothèses!$D$6:$F$14,3,0)),0,J85*VLOOKUP($D85,Hypothèses!$D$6:$F$14,3,0))</f>
        <v>0</v>
      </c>
      <c r="AM85" s="1335">
        <f>IF(ISNA(K85*VLOOKUP($D85,Hypothèses!$D$6:$F$14,3,0)),0,K85*VLOOKUP($D85,Hypothèses!$D$6:$F$14,3,0))</f>
        <v>0</v>
      </c>
      <c r="AN85" s="1335">
        <f>IF(ISNA(L85*VLOOKUP($D85,Hypothèses!$D$6:$F$14,3,0)),0,L85*VLOOKUP($D85,Hypothèses!$D$6:$F$14,3,0))</f>
        <v>0</v>
      </c>
      <c r="AO85" s="1335">
        <f>IF(ISNA(M85*VLOOKUP($D85,Hypothèses!$D$6:$F$14,3,0)),0,M85*VLOOKUP($D85,Hypothèses!$D$6:$F$14,3,0))</f>
        <v>0</v>
      </c>
      <c r="AP85" s="1335">
        <f>IF(ISNA(N85*VLOOKUP($D85,Hypothèses!$D$6:$F$14,3,0)),0,N85*VLOOKUP($D85,Hypothèses!$D$6:$F$14,3,0))</f>
        <v>0</v>
      </c>
      <c r="AQ85" s="1335">
        <f>IF(ISNA(O85*VLOOKUP($D85,Hypothèses!$D$6:$F$14,3,0)),0,O85*VLOOKUP($D85,Hypothèses!$D$6:$F$14,3,0))</f>
        <v>0</v>
      </c>
      <c r="AR85" s="1335">
        <f>IF(ISNA(P85*VLOOKUP($D85,Hypothèses!$D$6:$F$14,3,0)),0,P85*VLOOKUP($D85,Hypothèses!$D$6:$F$14,3,0))</f>
        <v>0</v>
      </c>
      <c r="AS85" s="1335">
        <f>IF(ISNA(Q85*VLOOKUP($D85,Hypothèses!$D$6:$F$14,3,0)),0,Q85*VLOOKUP($D85,Hypothèses!$D$6:$F$14,3,0))</f>
        <v>0</v>
      </c>
      <c r="AT85" s="1335">
        <f>IF(ISNA(R85*VLOOKUP($D85,Hypothèses!$D$6:$F$14,3,0)),0,R85*VLOOKUP($D85,Hypothèses!$D$6:$F$14,3,0))</f>
        <v>0</v>
      </c>
      <c r="AU85" s="1335">
        <f>IF(ISNA(S85*VLOOKUP($D85,Hypothèses!$D$6:$F$14,3,0)),0,S85*VLOOKUP($D85,Hypothèses!$D$6:$F$14,3,0))</f>
        <v>0</v>
      </c>
      <c r="AV85" s="1335">
        <f>IF(ISNA(T85*VLOOKUP($D85,Hypothèses!$D$6:$F$14,3,0)),0,T85*VLOOKUP($D85,Hypothèses!$D$6:$F$14,3,0))</f>
        <v>0</v>
      </c>
      <c r="AW85" s="1335">
        <f>IF(ISNA(U85*VLOOKUP($D85,Hypothèses!$D$6:$F$14,3,0)),0,U85*VLOOKUP($D85,Hypothèses!$D$6:$F$14,3,0))</f>
        <v>0</v>
      </c>
      <c r="AX85" s="1335">
        <f>IF(ISNA(V85*VLOOKUP($D85,Hypothèses!$D$6:$F$14,3,0)),0,V85*VLOOKUP($D85,Hypothèses!$D$6:$F$14,3,0))</f>
        <v>0</v>
      </c>
      <c r="AY85" s="1335">
        <f>IF(ISNA(W85*VLOOKUP($D85,Hypothèses!$D$6:$F$14,3,0)),0,W85*VLOOKUP($D85,Hypothèses!$D$6:$F$14,3,0))</f>
        <v>0</v>
      </c>
      <c r="AZ85" s="1335">
        <f>IF(ISNA(X85*VLOOKUP($D85,Hypothèses!$D$6:$F$14,3,0)),0,X85*VLOOKUP($D85,Hypothèses!$D$6:$F$14,3,0))</f>
        <v>0</v>
      </c>
      <c r="BA85" s="1335">
        <f>IF(ISNA(Y85*VLOOKUP($D85,Hypothèses!$D$6:$F$14,3,0)),0,Y85*VLOOKUP($D85,Hypothèses!$D$6:$F$14,3,0))</f>
        <v>0</v>
      </c>
      <c r="BB85" s="1335">
        <f>IF(ISNA(Z85*VLOOKUP($D85,Hypothèses!$D$6:$F$14,3,0)),0,Z85*VLOOKUP($D85,Hypothèses!$D$6:$F$14,3,0))</f>
        <v>0</v>
      </c>
      <c r="BC85" s="1335">
        <f>IF(ISNA(AA85*VLOOKUP($D85,Hypothèses!$D$6:$F$14,3,0)),0,AA85*VLOOKUP($D85,Hypothèses!$D$6:$F$14,3,0))</f>
        <v>0</v>
      </c>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row>
    <row r="86" spans="1:89" s="3" customFormat="1">
      <c r="A86" s="1817">
        <v>79</v>
      </c>
      <c r="B86" s="1790"/>
      <c r="C86" s="1333"/>
      <c r="D86" s="1334"/>
      <c r="E86" s="1332" t="str">
        <f>IF(ISNA(VLOOKUP(D86,Hypothèses!$D$6:$G$16,4,0)),"",VLOOKUP(D86,Hypothèses!$D$6:$G$16,4,0))</f>
        <v/>
      </c>
      <c r="F86" s="1842"/>
      <c r="G86" s="1843"/>
      <c r="H86" s="1843"/>
      <c r="I86" s="1843"/>
      <c r="J86" s="1843"/>
      <c r="K86" s="1843"/>
      <c r="L86" s="1843"/>
      <c r="M86" s="1843"/>
      <c r="N86" s="1843"/>
      <c r="O86" s="1843"/>
      <c r="P86" s="1843"/>
      <c r="Q86" s="1843"/>
      <c r="R86" s="1843"/>
      <c r="S86" s="1843"/>
      <c r="T86" s="1843"/>
      <c r="U86" s="1843"/>
      <c r="V86" s="1843"/>
      <c r="W86" s="1843"/>
      <c r="X86" s="1843"/>
      <c r="Y86" s="1843"/>
      <c r="Z86" s="1843"/>
      <c r="AA86" s="1844"/>
      <c r="AB86" s="1335"/>
      <c r="AC86" s="1335"/>
      <c r="AD86" s="1335"/>
      <c r="AE86" s="1335"/>
      <c r="AF86" s="1335"/>
      <c r="AG86"/>
      <c r="AH86" s="1335">
        <f>IF(ISNA(F86*VLOOKUP($D86,Hypothèses!$D$6:$F$14,3,0)),0,F86*VLOOKUP($D86,Hypothèses!$D$6:$F$14,3,0))</f>
        <v>0</v>
      </c>
      <c r="AI86" s="1335">
        <f>IF(ISNA(G86*VLOOKUP($D86,Hypothèses!$D$6:$F$14,3,0)),0,G86*VLOOKUP($D86,Hypothèses!$D$6:$F$14,3,0))</f>
        <v>0</v>
      </c>
      <c r="AJ86" s="1335">
        <f>IF(ISNA(H86*VLOOKUP($D86,Hypothèses!$D$6:$F$14,3,0)),0,H86*VLOOKUP($D86,Hypothèses!$D$6:$F$14,3,0))</f>
        <v>0</v>
      </c>
      <c r="AK86" s="1335">
        <f>IF(ISNA(I86*VLOOKUP($D86,Hypothèses!$D$6:$F$14,3,0)),0,I86*VLOOKUP($D86,Hypothèses!$D$6:$F$14,3,0))</f>
        <v>0</v>
      </c>
      <c r="AL86" s="1335">
        <f>IF(ISNA(J86*VLOOKUP($D86,Hypothèses!$D$6:$F$14,3,0)),0,J86*VLOOKUP($D86,Hypothèses!$D$6:$F$14,3,0))</f>
        <v>0</v>
      </c>
      <c r="AM86" s="1335">
        <f>IF(ISNA(K86*VLOOKUP($D86,Hypothèses!$D$6:$F$14,3,0)),0,K86*VLOOKUP($D86,Hypothèses!$D$6:$F$14,3,0))</f>
        <v>0</v>
      </c>
      <c r="AN86" s="1335">
        <f>IF(ISNA(L86*VLOOKUP($D86,Hypothèses!$D$6:$F$14,3,0)),0,L86*VLOOKUP($D86,Hypothèses!$D$6:$F$14,3,0))</f>
        <v>0</v>
      </c>
      <c r="AO86" s="1335">
        <f>IF(ISNA(M86*VLOOKUP($D86,Hypothèses!$D$6:$F$14,3,0)),0,M86*VLOOKUP($D86,Hypothèses!$D$6:$F$14,3,0))</f>
        <v>0</v>
      </c>
      <c r="AP86" s="1335">
        <f>IF(ISNA(N86*VLOOKUP($D86,Hypothèses!$D$6:$F$14,3,0)),0,N86*VLOOKUP($D86,Hypothèses!$D$6:$F$14,3,0))</f>
        <v>0</v>
      </c>
      <c r="AQ86" s="1335">
        <f>IF(ISNA(O86*VLOOKUP($D86,Hypothèses!$D$6:$F$14,3,0)),0,O86*VLOOKUP($D86,Hypothèses!$D$6:$F$14,3,0))</f>
        <v>0</v>
      </c>
      <c r="AR86" s="1335">
        <f>IF(ISNA(P86*VLOOKUP($D86,Hypothèses!$D$6:$F$14,3,0)),0,P86*VLOOKUP($D86,Hypothèses!$D$6:$F$14,3,0))</f>
        <v>0</v>
      </c>
      <c r="AS86" s="1335">
        <f>IF(ISNA(Q86*VLOOKUP($D86,Hypothèses!$D$6:$F$14,3,0)),0,Q86*VLOOKUP($D86,Hypothèses!$D$6:$F$14,3,0))</f>
        <v>0</v>
      </c>
      <c r="AT86" s="1335">
        <f>IF(ISNA(R86*VLOOKUP($D86,Hypothèses!$D$6:$F$14,3,0)),0,R86*VLOOKUP($D86,Hypothèses!$D$6:$F$14,3,0))</f>
        <v>0</v>
      </c>
      <c r="AU86" s="1335">
        <f>IF(ISNA(S86*VLOOKUP($D86,Hypothèses!$D$6:$F$14,3,0)),0,S86*VLOOKUP($D86,Hypothèses!$D$6:$F$14,3,0))</f>
        <v>0</v>
      </c>
      <c r="AV86" s="1335">
        <f>IF(ISNA(T86*VLOOKUP($D86,Hypothèses!$D$6:$F$14,3,0)),0,T86*VLOOKUP($D86,Hypothèses!$D$6:$F$14,3,0))</f>
        <v>0</v>
      </c>
      <c r="AW86" s="1335">
        <f>IF(ISNA(U86*VLOOKUP($D86,Hypothèses!$D$6:$F$14,3,0)),0,U86*VLOOKUP($D86,Hypothèses!$D$6:$F$14,3,0))</f>
        <v>0</v>
      </c>
      <c r="AX86" s="1335">
        <f>IF(ISNA(V86*VLOOKUP($D86,Hypothèses!$D$6:$F$14,3,0)),0,V86*VLOOKUP($D86,Hypothèses!$D$6:$F$14,3,0))</f>
        <v>0</v>
      </c>
      <c r="AY86" s="1335">
        <f>IF(ISNA(W86*VLOOKUP($D86,Hypothèses!$D$6:$F$14,3,0)),0,W86*VLOOKUP($D86,Hypothèses!$D$6:$F$14,3,0))</f>
        <v>0</v>
      </c>
      <c r="AZ86" s="1335">
        <f>IF(ISNA(X86*VLOOKUP($D86,Hypothèses!$D$6:$F$14,3,0)),0,X86*VLOOKUP($D86,Hypothèses!$D$6:$F$14,3,0))</f>
        <v>0</v>
      </c>
      <c r="BA86" s="1335">
        <f>IF(ISNA(Y86*VLOOKUP($D86,Hypothèses!$D$6:$F$14,3,0)),0,Y86*VLOOKUP($D86,Hypothèses!$D$6:$F$14,3,0))</f>
        <v>0</v>
      </c>
      <c r="BB86" s="1335">
        <f>IF(ISNA(Z86*VLOOKUP($D86,Hypothèses!$D$6:$F$14,3,0)),0,Z86*VLOOKUP($D86,Hypothèses!$D$6:$F$14,3,0))</f>
        <v>0</v>
      </c>
      <c r="BC86" s="1335">
        <f>IF(ISNA(AA86*VLOOKUP($D86,Hypothèses!$D$6:$F$14,3,0)),0,AA86*VLOOKUP($D86,Hypothèses!$D$6:$F$14,3,0))</f>
        <v>0</v>
      </c>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row>
    <row r="87" spans="1:89" s="3" customFormat="1">
      <c r="A87" s="1817">
        <v>80</v>
      </c>
      <c r="B87" s="1790"/>
      <c r="C87" s="1333"/>
      <c r="D87" s="1334"/>
      <c r="E87" s="1332" t="str">
        <f>IF(ISNA(VLOOKUP(D87,Hypothèses!$D$6:$G$16,4,0)),"",VLOOKUP(D87,Hypothèses!$D$6:$G$16,4,0))</f>
        <v/>
      </c>
      <c r="F87" s="1842"/>
      <c r="G87" s="1843"/>
      <c r="H87" s="1843"/>
      <c r="I87" s="1843"/>
      <c r="J87" s="1843"/>
      <c r="K87" s="1843"/>
      <c r="L87" s="1843"/>
      <c r="M87" s="1843"/>
      <c r="N87" s="1843"/>
      <c r="O87" s="1843"/>
      <c r="P87" s="1843"/>
      <c r="Q87" s="1843"/>
      <c r="R87" s="1843"/>
      <c r="S87" s="1843"/>
      <c r="T87" s="1843"/>
      <c r="U87" s="1843"/>
      <c r="V87" s="1843"/>
      <c r="W87" s="1843"/>
      <c r="X87" s="1843"/>
      <c r="Y87" s="1843"/>
      <c r="Z87" s="1843"/>
      <c r="AA87" s="1844"/>
      <c r="AB87" s="1335"/>
      <c r="AC87" s="1335"/>
      <c r="AD87" s="1335"/>
      <c r="AE87" s="1335"/>
      <c r="AF87" s="1335"/>
      <c r="AG87"/>
      <c r="AH87" s="1335">
        <f>IF(ISNA(F87*VLOOKUP($D87,Hypothèses!$D$6:$F$14,3,0)),0,F87*VLOOKUP($D87,Hypothèses!$D$6:$F$14,3,0))</f>
        <v>0</v>
      </c>
      <c r="AI87" s="1335">
        <f>IF(ISNA(G87*VLOOKUP($D87,Hypothèses!$D$6:$F$14,3,0)),0,G87*VLOOKUP($D87,Hypothèses!$D$6:$F$14,3,0))</f>
        <v>0</v>
      </c>
      <c r="AJ87" s="1335">
        <f>IF(ISNA(H87*VLOOKUP($D87,Hypothèses!$D$6:$F$14,3,0)),0,H87*VLOOKUP($D87,Hypothèses!$D$6:$F$14,3,0))</f>
        <v>0</v>
      </c>
      <c r="AK87" s="1335">
        <f>IF(ISNA(I87*VLOOKUP($D87,Hypothèses!$D$6:$F$14,3,0)),0,I87*VLOOKUP($D87,Hypothèses!$D$6:$F$14,3,0))</f>
        <v>0</v>
      </c>
      <c r="AL87" s="1335">
        <f>IF(ISNA(J87*VLOOKUP($D87,Hypothèses!$D$6:$F$14,3,0)),0,J87*VLOOKUP($D87,Hypothèses!$D$6:$F$14,3,0))</f>
        <v>0</v>
      </c>
      <c r="AM87" s="1335">
        <f>IF(ISNA(K87*VLOOKUP($D87,Hypothèses!$D$6:$F$14,3,0)),0,K87*VLOOKUP($D87,Hypothèses!$D$6:$F$14,3,0))</f>
        <v>0</v>
      </c>
      <c r="AN87" s="1335">
        <f>IF(ISNA(L87*VLOOKUP($D87,Hypothèses!$D$6:$F$14,3,0)),0,L87*VLOOKUP($D87,Hypothèses!$D$6:$F$14,3,0))</f>
        <v>0</v>
      </c>
      <c r="AO87" s="1335">
        <f>IF(ISNA(M87*VLOOKUP($D87,Hypothèses!$D$6:$F$14,3,0)),0,M87*VLOOKUP($D87,Hypothèses!$D$6:$F$14,3,0))</f>
        <v>0</v>
      </c>
      <c r="AP87" s="1335">
        <f>IF(ISNA(N87*VLOOKUP($D87,Hypothèses!$D$6:$F$14,3,0)),0,N87*VLOOKUP($D87,Hypothèses!$D$6:$F$14,3,0))</f>
        <v>0</v>
      </c>
      <c r="AQ87" s="1335">
        <f>IF(ISNA(O87*VLOOKUP($D87,Hypothèses!$D$6:$F$14,3,0)),0,O87*VLOOKUP($D87,Hypothèses!$D$6:$F$14,3,0))</f>
        <v>0</v>
      </c>
      <c r="AR87" s="1335">
        <f>IF(ISNA(P87*VLOOKUP($D87,Hypothèses!$D$6:$F$14,3,0)),0,P87*VLOOKUP($D87,Hypothèses!$D$6:$F$14,3,0))</f>
        <v>0</v>
      </c>
      <c r="AS87" s="1335">
        <f>IF(ISNA(Q87*VLOOKUP($D87,Hypothèses!$D$6:$F$14,3,0)),0,Q87*VLOOKUP($D87,Hypothèses!$D$6:$F$14,3,0))</f>
        <v>0</v>
      </c>
      <c r="AT87" s="1335">
        <f>IF(ISNA(R87*VLOOKUP($D87,Hypothèses!$D$6:$F$14,3,0)),0,R87*VLOOKUP($D87,Hypothèses!$D$6:$F$14,3,0))</f>
        <v>0</v>
      </c>
      <c r="AU87" s="1335">
        <f>IF(ISNA(S87*VLOOKUP($D87,Hypothèses!$D$6:$F$14,3,0)),0,S87*VLOOKUP($D87,Hypothèses!$D$6:$F$14,3,0))</f>
        <v>0</v>
      </c>
      <c r="AV87" s="1335">
        <f>IF(ISNA(T87*VLOOKUP($D87,Hypothèses!$D$6:$F$14,3,0)),0,T87*VLOOKUP($D87,Hypothèses!$D$6:$F$14,3,0))</f>
        <v>0</v>
      </c>
      <c r="AW87" s="1335">
        <f>IF(ISNA(U87*VLOOKUP($D87,Hypothèses!$D$6:$F$14,3,0)),0,U87*VLOOKUP($D87,Hypothèses!$D$6:$F$14,3,0))</f>
        <v>0</v>
      </c>
      <c r="AX87" s="1335">
        <f>IF(ISNA(V87*VLOOKUP($D87,Hypothèses!$D$6:$F$14,3,0)),0,V87*VLOOKUP($D87,Hypothèses!$D$6:$F$14,3,0))</f>
        <v>0</v>
      </c>
      <c r="AY87" s="1335">
        <f>IF(ISNA(W87*VLOOKUP($D87,Hypothèses!$D$6:$F$14,3,0)),0,W87*VLOOKUP($D87,Hypothèses!$D$6:$F$14,3,0))</f>
        <v>0</v>
      </c>
      <c r="AZ87" s="1335">
        <f>IF(ISNA(X87*VLOOKUP($D87,Hypothèses!$D$6:$F$14,3,0)),0,X87*VLOOKUP($D87,Hypothèses!$D$6:$F$14,3,0))</f>
        <v>0</v>
      </c>
      <c r="BA87" s="1335">
        <f>IF(ISNA(Y87*VLOOKUP($D87,Hypothèses!$D$6:$F$14,3,0)),0,Y87*VLOOKUP($D87,Hypothèses!$D$6:$F$14,3,0))</f>
        <v>0</v>
      </c>
      <c r="BB87" s="1335">
        <f>IF(ISNA(Z87*VLOOKUP($D87,Hypothèses!$D$6:$F$14,3,0)),0,Z87*VLOOKUP($D87,Hypothèses!$D$6:$F$14,3,0))</f>
        <v>0</v>
      </c>
      <c r="BC87" s="1335">
        <f>IF(ISNA(AA87*VLOOKUP($D87,Hypothèses!$D$6:$F$14,3,0)),0,AA87*VLOOKUP($D87,Hypothèses!$D$6:$F$14,3,0))</f>
        <v>0</v>
      </c>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row>
    <row r="88" spans="1:89" s="3" customFormat="1">
      <c r="A88" s="1817">
        <v>81</v>
      </c>
      <c r="B88" s="1790"/>
      <c r="C88" s="1333"/>
      <c r="D88" s="1334"/>
      <c r="E88" s="1332" t="str">
        <f>IF(ISNA(VLOOKUP(D88,Hypothèses!$D$6:$G$16,4,0)),"",VLOOKUP(D88,Hypothèses!$D$6:$G$16,4,0))</f>
        <v/>
      </c>
      <c r="F88" s="1842"/>
      <c r="G88" s="1843"/>
      <c r="H88" s="1843"/>
      <c r="I88" s="1843"/>
      <c r="J88" s="1843"/>
      <c r="K88" s="1843"/>
      <c r="L88" s="1843"/>
      <c r="M88" s="1843"/>
      <c r="N88" s="1843"/>
      <c r="O88" s="1843"/>
      <c r="P88" s="1843"/>
      <c r="Q88" s="1843"/>
      <c r="R88" s="1843"/>
      <c r="S88" s="1843"/>
      <c r="T88" s="1843"/>
      <c r="U88" s="1843"/>
      <c r="V88" s="1843"/>
      <c r="W88" s="1843"/>
      <c r="X88" s="1843"/>
      <c r="Y88" s="1843"/>
      <c r="Z88" s="1843"/>
      <c r="AA88" s="1844"/>
      <c r="AB88" s="1335"/>
      <c r="AC88" s="1335"/>
      <c r="AD88" s="1335"/>
      <c r="AE88" s="1335"/>
      <c r="AF88" s="1335"/>
      <c r="AG88"/>
      <c r="AH88" s="1335">
        <f>IF(ISNA(F88*VLOOKUP($D88,Hypothèses!$D$6:$F$14,3,0)),0,F88*VLOOKUP($D88,Hypothèses!$D$6:$F$14,3,0))</f>
        <v>0</v>
      </c>
      <c r="AI88" s="1335">
        <f>IF(ISNA(G88*VLOOKUP($D88,Hypothèses!$D$6:$F$14,3,0)),0,G88*VLOOKUP($D88,Hypothèses!$D$6:$F$14,3,0))</f>
        <v>0</v>
      </c>
      <c r="AJ88" s="1335">
        <f>IF(ISNA(H88*VLOOKUP($D88,Hypothèses!$D$6:$F$14,3,0)),0,H88*VLOOKUP($D88,Hypothèses!$D$6:$F$14,3,0))</f>
        <v>0</v>
      </c>
      <c r="AK88" s="1335">
        <f>IF(ISNA(I88*VLOOKUP($D88,Hypothèses!$D$6:$F$14,3,0)),0,I88*VLOOKUP($D88,Hypothèses!$D$6:$F$14,3,0))</f>
        <v>0</v>
      </c>
      <c r="AL88" s="1335">
        <f>IF(ISNA(J88*VLOOKUP($D88,Hypothèses!$D$6:$F$14,3,0)),0,J88*VLOOKUP($D88,Hypothèses!$D$6:$F$14,3,0))</f>
        <v>0</v>
      </c>
      <c r="AM88" s="1335">
        <f>IF(ISNA(K88*VLOOKUP($D88,Hypothèses!$D$6:$F$14,3,0)),0,K88*VLOOKUP($D88,Hypothèses!$D$6:$F$14,3,0))</f>
        <v>0</v>
      </c>
      <c r="AN88" s="1335">
        <f>IF(ISNA(L88*VLOOKUP($D88,Hypothèses!$D$6:$F$14,3,0)),0,L88*VLOOKUP($D88,Hypothèses!$D$6:$F$14,3,0))</f>
        <v>0</v>
      </c>
      <c r="AO88" s="1335">
        <f>IF(ISNA(M88*VLOOKUP($D88,Hypothèses!$D$6:$F$14,3,0)),0,M88*VLOOKUP($D88,Hypothèses!$D$6:$F$14,3,0))</f>
        <v>0</v>
      </c>
      <c r="AP88" s="1335">
        <f>IF(ISNA(N88*VLOOKUP($D88,Hypothèses!$D$6:$F$14,3,0)),0,N88*VLOOKUP($D88,Hypothèses!$D$6:$F$14,3,0))</f>
        <v>0</v>
      </c>
      <c r="AQ88" s="1335">
        <f>IF(ISNA(O88*VLOOKUP($D88,Hypothèses!$D$6:$F$14,3,0)),0,O88*VLOOKUP($D88,Hypothèses!$D$6:$F$14,3,0))</f>
        <v>0</v>
      </c>
      <c r="AR88" s="1335">
        <f>IF(ISNA(P88*VLOOKUP($D88,Hypothèses!$D$6:$F$14,3,0)),0,P88*VLOOKUP($D88,Hypothèses!$D$6:$F$14,3,0))</f>
        <v>0</v>
      </c>
      <c r="AS88" s="1335">
        <f>IF(ISNA(Q88*VLOOKUP($D88,Hypothèses!$D$6:$F$14,3,0)),0,Q88*VLOOKUP($D88,Hypothèses!$D$6:$F$14,3,0))</f>
        <v>0</v>
      </c>
      <c r="AT88" s="1335">
        <f>IF(ISNA(R88*VLOOKUP($D88,Hypothèses!$D$6:$F$14,3,0)),0,R88*VLOOKUP($D88,Hypothèses!$D$6:$F$14,3,0))</f>
        <v>0</v>
      </c>
      <c r="AU88" s="1335">
        <f>IF(ISNA(S88*VLOOKUP($D88,Hypothèses!$D$6:$F$14,3,0)),0,S88*VLOOKUP($D88,Hypothèses!$D$6:$F$14,3,0))</f>
        <v>0</v>
      </c>
      <c r="AV88" s="1335">
        <f>IF(ISNA(T88*VLOOKUP($D88,Hypothèses!$D$6:$F$14,3,0)),0,T88*VLOOKUP($D88,Hypothèses!$D$6:$F$14,3,0))</f>
        <v>0</v>
      </c>
      <c r="AW88" s="1335">
        <f>IF(ISNA(U88*VLOOKUP($D88,Hypothèses!$D$6:$F$14,3,0)),0,U88*VLOOKUP($D88,Hypothèses!$D$6:$F$14,3,0))</f>
        <v>0</v>
      </c>
      <c r="AX88" s="1335">
        <f>IF(ISNA(V88*VLOOKUP($D88,Hypothèses!$D$6:$F$14,3,0)),0,V88*VLOOKUP($D88,Hypothèses!$D$6:$F$14,3,0))</f>
        <v>0</v>
      </c>
      <c r="AY88" s="1335">
        <f>IF(ISNA(W88*VLOOKUP($D88,Hypothèses!$D$6:$F$14,3,0)),0,W88*VLOOKUP($D88,Hypothèses!$D$6:$F$14,3,0))</f>
        <v>0</v>
      </c>
      <c r="AZ88" s="1335">
        <f>IF(ISNA(X88*VLOOKUP($D88,Hypothèses!$D$6:$F$14,3,0)),0,X88*VLOOKUP($D88,Hypothèses!$D$6:$F$14,3,0))</f>
        <v>0</v>
      </c>
      <c r="BA88" s="1335">
        <f>IF(ISNA(Y88*VLOOKUP($D88,Hypothèses!$D$6:$F$14,3,0)),0,Y88*VLOOKUP($D88,Hypothèses!$D$6:$F$14,3,0))</f>
        <v>0</v>
      </c>
      <c r="BB88" s="1335">
        <f>IF(ISNA(Z88*VLOOKUP($D88,Hypothèses!$D$6:$F$14,3,0)),0,Z88*VLOOKUP($D88,Hypothèses!$D$6:$F$14,3,0))</f>
        <v>0</v>
      </c>
      <c r="BC88" s="1335">
        <f>IF(ISNA(AA88*VLOOKUP($D88,Hypothèses!$D$6:$F$14,3,0)),0,AA88*VLOOKUP($D88,Hypothèses!$D$6:$F$14,3,0))</f>
        <v>0</v>
      </c>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row>
    <row r="89" spans="1:89" s="3" customFormat="1">
      <c r="A89" s="1817">
        <v>82</v>
      </c>
      <c r="B89" s="1790"/>
      <c r="C89" s="1333"/>
      <c r="D89" s="1334"/>
      <c r="E89" s="1332" t="str">
        <f>IF(ISNA(VLOOKUP(D89,Hypothèses!$D$6:$G$16,4,0)),"",VLOOKUP(D89,Hypothèses!$D$6:$G$16,4,0))</f>
        <v/>
      </c>
      <c r="F89" s="1842"/>
      <c r="G89" s="1843"/>
      <c r="H89" s="1843"/>
      <c r="I89" s="1843"/>
      <c r="J89" s="1843"/>
      <c r="K89" s="1843"/>
      <c r="L89" s="1843"/>
      <c r="M89" s="1843"/>
      <c r="N89" s="1843"/>
      <c r="O89" s="1843"/>
      <c r="P89" s="1843"/>
      <c r="Q89" s="1843"/>
      <c r="R89" s="1843"/>
      <c r="S89" s="1843"/>
      <c r="T89" s="1843"/>
      <c r="U89" s="1843"/>
      <c r="V89" s="1843"/>
      <c r="W89" s="1843"/>
      <c r="X89" s="1843"/>
      <c r="Y89" s="1843"/>
      <c r="Z89" s="1843"/>
      <c r="AA89" s="1844"/>
      <c r="AB89" s="1335"/>
      <c r="AC89" s="1335"/>
      <c r="AD89" s="1335"/>
      <c r="AE89" s="1335"/>
      <c r="AF89" s="1335"/>
      <c r="AG89"/>
      <c r="AH89" s="1335">
        <f>IF(ISNA(F89*VLOOKUP($D89,Hypothèses!$D$6:$F$14,3,0)),0,F89*VLOOKUP($D89,Hypothèses!$D$6:$F$14,3,0))</f>
        <v>0</v>
      </c>
      <c r="AI89" s="1335">
        <f>IF(ISNA(G89*VLOOKUP($D89,Hypothèses!$D$6:$F$14,3,0)),0,G89*VLOOKUP($D89,Hypothèses!$D$6:$F$14,3,0))</f>
        <v>0</v>
      </c>
      <c r="AJ89" s="1335">
        <f>IF(ISNA(H89*VLOOKUP($D89,Hypothèses!$D$6:$F$14,3,0)),0,H89*VLOOKUP($D89,Hypothèses!$D$6:$F$14,3,0))</f>
        <v>0</v>
      </c>
      <c r="AK89" s="1335">
        <f>IF(ISNA(I89*VLOOKUP($D89,Hypothèses!$D$6:$F$14,3,0)),0,I89*VLOOKUP($D89,Hypothèses!$D$6:$F$14,3,0))</f>
        <v>0</v>
      </c>
      <c r="AL89" s="1335">
        <f>IF(ISNA(J89*VLOOKUP($D89,Hypothèses!$D$6:$F$14,3,0)),0,J89*VLOOKUP($D89,Hypothèses!$D$6:$F$14,3,0))</f>
        <v>0</v>
      </c>
      <c r="AM89" s="1335">
        <f>IF(ISNA(K89*VLOOKUP($D89,Hypothèses!$D$6:$F$14,3,0)),0,K89*VLOOKUP($D89,Hypothèses!$D$6:$F$14,3,0))</f>
        <v>0</v>
      </c>
      <c r="AN89" s="1335">
        <f>IF(ISNA(L89*VLOOKUP($D89,Hypothèses!$D$6:$F$14,3,0)),0,L89*VLOOKUP($D89,Hypothèses!$D$6:$F$14,3,0))</f>
        <v>0</v>
      </c>
      <c r="AO89" s="1335">
        <f>IF(ISNA(M89*VLOOKUP($D89,Hypothèses!$D$6:$F$14,3,0)),0,M89*VLOOKUP($D89,Hypothèses!$D$6:$F$14,3,0))</f>
        <v>0</v>
      </c>
      <c r="AP89" s="1335">
        <f>IF(ISNA(N89*VLOOKUP($D89,Hypothèses!$D$6:$F$14,3,0)),0,N89*VLOOKUP($D89,Hypothèses!$D$6:$F$14,3,0))</f>
        <v>0</v>
      </c>
      <c r="AQ89" s="1335">
        <f>IF(ISNA(O89*VLOOKUP($D89,Hypothèses!$D$6:$F$14,3,0)),0,O89*VLOOKUP($D89,Hypothèses!$D$6:$F$14,3,0))</f>
        <v>0</v>
      </c>
      <c r="AR89" s="1335">
        <f>IF(ISNA(P89*VLOOKUP($D89,Hypothèses!$D$6:$F$14,3,0)),0,P89*VLOOKUP($D89,Hypothèses!$D$6:$F$14,3,0))</f>
        <v>0</v>
      </c>
      <c r="AS89" s="1335">
        <f>IF(ISNA(Q89*VLOOKUP($D89,Hypothèses!$D$6:$F$14,3,0)),0,Q89*VLOOKUP($D89,Hypothèses!$D$6:$F$14,3,0))</f>
        <v>0</v>
      </c>
      <c r="AT89" s="1335">
        <f>IF(ISNA(R89*VLOOKUP($D89,Hypothèses!$D$6:$F$14,3,0)),0,R89*VLOOKUP($D89,Hypothèses!$D$6:$F$14,3,0))</f>
        <v>0</v>
      </c>
      <c r="AU89" s="1335">
        <f>IF(ISNA(S89*VLOOKUP($D89,Hypothèses!$D$6:$F$14,3,0)),0,S89*VLOOKUP($D89,Hypothèses!$D$6:$F$14,3,0))</f>
        <v>0</v>
      </c>
      <c r="AV89" s="1335">
        <f>IF(ISNA(T89*VLOOKUP($D89,Hypothèses!$D$6:$F$14,3,0)),0,T89*VLOOKUP($D89,Hypothèses!$D$6:$F$14,3,0))</f>
        <v>0</v>
      </c>
      <c r="AW89" s="1335">
        <f>IF(ISNA(U89*VLOOKUP($D89,Hypothèses!$D$6:$F$14,3,0)),0,U89*VLOOKUP($D89,Hypothèses!$D$6:$F$14,3,0))</f>
        <v>0</v>
      </c>
      <c r="AX89" s="1335">
        <f>IF(ISNA(V89*VLOOKUP($D89,Hypothèses!$D$6:$F$14,3,0)),0,V89*VLOOKUP($D89,Hypothèses!$D$6:$F$14,3,0))</f>
        <v>0</v>
      </c>
      <c r="AY89" s="1335">
        <f>IF(ISNA(W89*VLOOKUP($D89,Hypothèses!$D$6:$F$14,3,0)),0,W89*VLOOKUP($D89,Hypothèses!$D$6:$F$14,3,0))</f>
        <v>0</v>
      </c>
      <c r="AZ89" s="1335">
        <f>IF(ISNA(X89*VLOOKUP($D89,Hypothèses!$D$6:$F$14,3,0)),0,X89*VLOOKUP($D89,Hypothèses!$D$6:$F$14,3,0))</f>
        <v>0</v>
      </c>
      <c r="BA89" s="1335">
        <f>IF(ISNA(Y89*VLOOKUP($D89,Hypothèses!$D$6:$F$14,3,0)),0,Y89*VLOOKUP($D89,Hypothèses!$D$6:$F$14,3,0))</f>
        <v>0</v>
      </c>
      <c r="BB89" s="1335">
        <f>IF(ISNA(Z89*VLOOKUP($D89,Hypothèses!$D$6:$F$14,3,0)),0,Z89*VLOOKUP($D89,Hypothèses!$D$6:$F$14,3,0))</f>
        <v>0</v>
      </c>
      <c r="BC89" s="1335">
        <f>IF(ISNA(AA89*VLOOKUP($D89,Hypothèses!$D$6:$F$14,3,0)),0,AA89*VLOOKUP($D89,Hypothèses!$D$6:$F$14,3,0))</f>
        <v>0</v>
      </c>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row>
    <row r="90" spans="1:89" s="3" customFormat="1">
      <c r="A90" s="1817">
        <v>83</v>
      </c>
      <c r="B90" s="1790"/>
      <c r="C90" s="1333"/>
      <c r="D90" s="1334"/>
      <c r="E90" s="1332" t="str">
        <f>IF(ISNA(VLOOKUP(D90,Hypothèses!$D$6:$G$16,4,0)),"",VLOOKUP(D90,Hypothèses!$D$6:$G$16,4,0))</f>
        <v/>
      </c>
      <c r="F90" s="1842"/>
      <c r="G90" s="1843"/>
      <c r="H90" s="1843"/>
      <c r="I90" s="1843"/>
      <c r="J90" s="1843"/>
      <c r="K90" s="1843"/>
      <c r="L90" s="1843"/>
      <c r="M90" s="1843"/>
      <c r="N90" s="1843"/>
      <c r="O90" s="1843"/>
      <c r="P90" s="1843"/>
      <c r="Q90" s="1843"/>
      <c r="R90" s="1843"/>
      <c r="S90" s="1843"/>
      <c r="T90" s="1843"/>
      <c r="U90" s="1843"/>
      <c r="V90" s="1843"/>
      <c r="W90" s="1843"/>
      <c r="X90" s="1843"/>
      <c r="Y90" s="1843"/>
      <c r="Z90" s="1843"/>
      <c r="AA90" s="1844"/>
      <c r="AB90" s="1335"/>
      <c r="AC90" s="1335"/>
      <c r="AD90" s="1335"/>
      <c r="AE90" s="1335"/>
      <c r="AF90" s="1335"/>
      <c r="AG90"/>
      <c r="AH90" s="1335">
        <f>IF(ISNA(F90*VLOOKUP($D90,Hypothèses!$D$6:$F$14,3,0)),0,F90*VLOOKUP($D90,Hypothèses!$D$6:$F$14,3,0))</f>
        <v>0</v>
      </c>
      <c r="AI90" s="1335">
        <f>IF(ISNA(G90*VLOOKUP($D90,Hypothèses!$D$6:$F$14,3,0)),0,G90*VLOOKUP($D90,Hypothèses!$D$6:$F$14,3,0))</f>
        <v>0</v>
      </c>
      <c r="AJ90" s="1335">
        <f>IF(ISNA(H90*VLOOKUP($D90,Hypothèses!$D$6:$F$14,3,0)),0,H90*VLOOKUP($D90,Hypothèses!$D$6:$F$14,3,0))</f>
        <v>0</v>
      </c>
      <c r="AK90" s="1335">
        <f>IF(ISNA(I90*VLOOKUP($D90,Hypothèses!$D$6:$F$14,3,0)),0,I90*VLOOKUP($D90,Hypothèses!$D$6:$F$14,3,0))</f>
        <v>0</v>
      </c>
      <c r="AL90" s="1335">
        <f>IF(ISNA(J90*VLOOKUP($D90,Hypothèses!$D$6:$F$14,3,0)),0,J90*VLOOKUP($D90,Hypothèses!$D$6:$F$14,3,0))</f>
        <v>0</v>
      </c>
      <c r="AM90" s="1335">
        <f>IF(ISNA(K90*VLOOKUP($D90,Hypothèses!$D$6:$F$14,3,0)),0,K90*VLOOKUP($D90,Hypothèses!$D$6:$F$14,3,0))</f>
        <v>0</v>
      </c>
      <c r="AN90" s="1335">
        <f>IF(ISNA(L90*VLOOKUP($D90,Hypothèses!$D$6:$F$14,3,0)),0,L90*VLOOKUP($D90,Hypothèses!$D$6:$F$14,3,0))</f>
        <v>0</v>
      </c>
      <c r="AO90" s="1335">
        <f>IF(ISNA(M90*VLOOKUP($D90,Hypothèses!$D$6:$F$14,3,0)),0,M90*VLOOKUP($D90,Hypothèses!$D$6:$F$14,3,0))</f>
        <v>0</v>
      </c>
      <c r="AP90" s="1335">
        <f>IF(ISNA(N90*VLOOKUP($D90,Hypothèses!$D$6:$F$14,3,0)),0,N90*VLOOKUP($D90,Hypothèses!$D$6:$F$14,3,0))</f>
        <v>0</v>
      </c>
      <c r="AQ90" s="1335">
        <f>IF(ISNA(O90*VLOOKUP($D90,Hypothèses!$D$6:$F$14,3,0)),0,O90*VLOOKUP($D90,Hypothèses!$D$6:$F$14,3,0))</f>
        <v>0</v>
      </c>
      <c r="AR90" s="1335">
        <f>IF(ISNA(P90*VLOOKUP($D90,Hypothèses!$D$6:$F$14,3,0)),0,P90*VLOOKUP($D90,Hypothèses!$D$6:$F$14,3,0))</f>
        <v>0</v>
      </c>
      <c r="AS90" s="1335">
        <f>IF(ISNA(Q90*VLOOKUP($D90,Hypothèses!$D$6:$F$14,3,0)),0,Q90*VLOOKUP($D90,Hypothèses!$D$6:$F$14,3,0))</f>
        <v>0</v>
      </c>
      <c r="AT90" s="1335">
        <f>IF(ISNA(R90*VLOOKUP($D90,Hypothèses!$D$6:$F$14,3,0)),0,R90*VLOOKUP($D90,Hypothèses!$D$6:$F$14,3,0))</f>
        <v>0</v>
      </c>
      <c r="AU90" s="1335">
        <f>IF(ISNA(S90*VLOOKUP($D90,Hypothèses!$D$6:$F$14,3,0)),0,S90*VLOOKUP($D90,Hypothèses!$D$6:$F$14,3,0))</f>
        <v>0</v>
      </c>
      <c r="AV90" s="1335">
        <f>IF(ISNA(T90*VLOOKUP($D90,Hypothèses!$D$6:$F$14,3,0)),0,T90*VLOOKUP($D90,Hypothèses!$D$6:$F$14,3,0))</f>
        <v>0</v>
      </c>
      <c r="AW90" s="1335">
        <f>IF(ISNA(U90*VLOOKUP($D90,Hypothèses!$D$6:$F$14,3,0)),0,U90*VLOOKUP($D90,Hypothèses!$D$6:$F$14,3,0))</f>
        <v>0</v>
      </c>
      <c r="AX90" s="1335">
        <f>IF(ISNA(V90*VLOOKUP($D90,Hypothèses!$D$6:$F$14,3,0)),0,V90*VLOOKUP($D90,Hypothèses!$D$6:$F$14,3,0))</f>
        <v>0</v>
      </c>
      <c r="AY90" s="1335">
        <f>IF(ISNA(W90*VLOOKUP($D90,Hypothèses!$D$6:$F$14,3,0)),0,W90*VLOOKUP($D90,Hypothèses!$D$6:$F$14,3,0))</f>
        <v>0</v>
      </c>
      <c r="AZ90" s="1335">
        <f>IF(ISNA(X90*VLOOKUP($D90,Hypothèses!$D$6:$F$14,3,0)),0,X90*VLOOKUP($D90,Hypothèses!$D$6:$F$14,3,0))</f>
        <v>0</v>
      </c>
      <c r="BA90" s="1335">
        <f>IF(ISNA(Y90*VLOOKUP($D90,Hypothèses!$D$6:$F$14,3,0)),0,Y90*VLOOKUP($D90,Hypothèses!$D$6:$F$14,3,0))</f>
        <v>0</v>
      </c>
      <c r="BB90" s="1335">
        <f>IF(ISNA(Z90*VLOOKUP($D90,Hypothèses!$D$6:$F$14,3,0)),0,Z90*VLOOKUP($D90,Hypothèses!$D$6:$F$14,3,0))</f>
        <v>0</v>
      </c>
      <c r="BC90" s="1335">
        <f>IF(ISNA(AA90*VLOOKUP($D90,Hypothèses!$D$6:$F$14,3,0)),0,AA90*VLOOKUP($D90,Hypothèses!$D$6:$F$14,3,0))</f>
        <v>0</v>
      </c>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row>
    <row r="91" spans="1:89" s="3" customFormat="1">
      <c r="A91" s="1817">
        <v>84</v>
      </c>
      <c r="B91" s="1790"/>
      <c r="C91" s="1333"/>
      <c r="D91" s="1334"/>
      <c r="E91" s="1332" t="str">
        <f>IF(ISNA(VLOOKUP(D91,Hypothèses!$D$6:$G$16,4,0)),"",VLOOKUP(D91,Hypothèses!$D$6:$G$16,4,0))</f>
        <v/>
      </c>
      <c r="F91" s="1842"/>
      <c r="G91" s="1843"/>
      <c r="H91" s="1843"/>
      <c r="I91" s="1843"/>
      <c r="J91" s="1843"/>
      <c r="K91" s="1843"/>
      <c r="L91" s="1843"/>
      <c r="M91" s="1843"/>
      <c r="N91" s="1843"/>
      <c r="O91" s="1843"/>
      <c r="P91" s="1843"/>
      <c r="Q91" s="1843"/>
      <c r="R91" s="1843"/>
      <c r="S91" s="1843"/>
      <c r="T91" s="1843"/>
      <c r="U91" s="1843"/>
      <c r="V91" s="1843"/>
      <c r="W91" s="1843"/>
      <c r="X91" s="1843"/>
      <c r="Y91" s="1843"/>
      <c r="Z91" s="1843"/>
      <c r="AA91" s="1844"/>
      <c r="AB91" s="1335"/>
      <c r="AC91" s="1335"/>
      <c r="AD91" s="1335"/>
      <c r="AE91" s="1335"/>
      <c r="AF91" s="1335"/>
      <c r="AG91"/>
      <c r="AH91" s="1335">
        <f>IF(ISNA(F91*VLOOKUP($D91,Hypothèses!$D$6:$F$14,3,0)),0,F91*VLOOKUP($D91,Hypothèses!$D$6:$F$14,3,0))</f>
        <v>0</v>
      </c>
      <c r="AI91" s="1335">
        <f>IF(ISNA(G91*VLOOKUP($D91,Hypothèses!$D$6:$F$14,3,0)),0,G91*VLOOKUP($D91,Hypothèses!$D$6:$F$14,3,0))</f>
        <v>0</v>
      </c>
      <c r="AJ91" s="1335">
        <f>IF(ISNA(H91*VLOOKUP($D91,Hypothèses!$D$6:$F$14,3,0)),0,H91*VLOOKUP($D91,Hypothèses!$D$6:$F$14,3,0))</f>
        <v>0</v>
      </c>
      <c r="AK91" s="1335">
        <f>IF(ISNA(I91*VLOOKUP($D91,Hypothèses!$D$6:$F$14,3,0)),0,I91*VLOOKUP($D91,Hypothèses!$D$6:$F$14,3,0))</f>
        <v>0</v>
      </c>
      <c r="AL91" s="1335">
        <f>IF(ISNA(J91*VLOOKUP($D91,Hypothèses!$D$6:$F$14,3,0)),0,J91*VLOOKUP($D91,Hypothèses!$D$6:$F$14,3,0))</f>
        <v>0</v>
      </c>
      <c r="AM91" s="1335">
        <f>IF(ISNA(K91*VLOOKUP($D91,Hypothèses!$D$6:$F$14,3,0)),0,K91*VLOOKUP($D91,Hypothèses!$D$6:$F$14,3,0))</f>
        <v>0</v>
      </c>
      <c r="AN91" s="1335">
        <f>IF(ISNA(L91*VLOOKUP($D91,Hypothèses!$D$6:$F$14,3,0)),0,L91*VLOOKUP($D91,Hypothèses!$D$6:$F$14,3,0))</f>
        <v>0</v>
      </c>
      <c r="AO91" s="1335">
        <f>IF(ISNA(M91*VLOOKUP($D91,Hypothèses!$D$6:$F$14,3,0)),0,M91*VLOOKUP($D91,Hypothèses!$D$6:$F$14,3,0))</f>
        <v>0</v>
      </c>
      <c r="AP91" s="1335">
        <f>IF(ISNA(N91*VLOOKUP($D91,Hypothèses!$D$6:$F$14,3,0)),0,N91*VLOOKUP($D91,Hypothèses!$D$6:$F$14,3,0))</f>
        <v>0</v>
      </c>
      <c r="AQ91" s="1335">
        <f>IF(ISNA(O91*VLOOKUP($D91,Hypothèses!$D$6:$F$14,3,0)),0,O91*VLOOKUP($D91,Hypothèses!$D$6:$F$14,3,0))</f>
        <v>0</v>
      </c>
      <c r="AR91" s="1335">
        <f>IF(ISNA(P91*VLOOKUP($D91,Hypothèses!$D$6:$F$14,3,0)),0,P91*VLOOKUP($D91,Hypothèses!$D$6:$F$14,3,0))</f>
        <v>0</v>
      </c>
      <c r="AS91" s="1335">
        <f>IF(ISNA(Q91*VLOOKUP($D91,Hypothèses!$D$6:$F$14,3,0)),0,Q91*VLOOKUP($D91,Hypothèses!$D$6:$F$14,3,0))</f>
        <v>0</v>
      </c>
      <c r="AT91" s="1335">
        <f>IF(ISNA(R91*VLOOKUP($D91,Hypothèses!$D$6:$F$14,3,0)),0,R91*VLOOKUP($D91,Hypothèses!$D$6:$F$14,3,0))</f>
        <v>0</v>
      </c>
      <c r="AU91" s="1335">
        <f>IF(ISNA(S91*VLOOKUP($D91,Hypothèses!$D$6:$F$14,3,0)),0,S91*VLOOKUP($D91,Hypothèses!$D$6:$F$14,3,0))</f>
        <v>0</v>
      </c>
      <c r="AV91" s="1335">
        <f>IF(ISNA(T91*VLOOKUP($D91,Hypothèses!$D$6:$F$14,3,0)),0,T91*VLOOKUP($D91,Hypothèses!$D$6:$F$14,3,0))</f>
        <v>0</v>
      </c>
      <c r="AW91" s="1335">
        <f>IF(ISNA(U91*VLOOKUP($D91,Hypothèses!$D$6:$F$14,3,0)),0,U91*VLOOKUP($D91,Hypothèses!$D$6:$F$14,3,0))</f>
        <v>0</v>
      </c>
      <c r="AX91" s="1335">
        <f>IF(ISNA(V91*VLOOKUP($D91,Hypothèses!$D$6:$F$14,3,0)),0,V91*VLOOKUP($D91,Hypothèses!$D$6:$F$14,3,0))</f>
        <v>0</v>
      </c>
      <c r="AY91" s="1335">
        <f>IF(ISNA(W91*VLOOKUP($D91,Hypothèses!$D$6:$F$14,3,0)),0,W91*VLOOKUP($D91,Hypothèses!$D$6:$F$14,3,0))</f>
        <v>0</v>
      </c>
      <c r="AZ91" s="1335">
        <f>IF(ISNA(X91*VLOOKUP($D91,Hypothèses!$D$6:$F$14,3,0)),0,X91*VLOOKUP($D91,Hypothèses!$D$6:$F$14,3,0))</f>
        <v>0</v>
      </c>
      <c r="BA91" s="1335">
        <f>IF(ISNA(Y91*VLOOKUP($D91,Hypothèses!$D$6:$F$14,3,0)),0,Y91*VLOOKUP($D91,Hypothèses!$D$6:$F$14,3,0))</f>
        <v>0</v>
      </c>
      <c r="BB91" s="1335">
        <f>IF(ISNA(Z91*VLOOKUP($D91,Hypothèses!$D$6:$F$14,3,0)),0,Z91*VLOOKUP($D91,Hypothèses!$D$6:$F$14,3,0))</f>
        <v>0</v>
      </c>
      <c r="BC91" s="1335">
        <f>IF(ISNA(AA91*VLOOKUP($D91,Hypothèses!$D$6:$F$14,3,0)),0,AA91*VLOOKUP($D91,Hypothèses!$D$6:$F$14,3,0))</f>
        <v>0</v>
      </c>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row>
    <row r="92" spans="1:89" s="3" customFormat="1">
      <c r="A92" s="1817">
        <v>85</v>
      </c>
      <c r="B92" s="1790"/>
      <c r="C92" s="1333"/>
      <c r="D92" s="1334"/>
      <c r="E92" s="1332" t="str">
        <f>IF(ISNA(VLOOKUP(D92,Hypothèses!$D$6:$G$16,4,0)),"",VLOOKUP(D92,Hypothèses!$D$6:$G$16,4,0))</f>
        <v/>
      </c>
      <c r="F92" s="1842"/>
      <c r="G92" s="1843"/>
      <c r="H92" s="1843"/>
      <c r="I92" s="1843"/>
      <c r="J92" s="1843"/>
      <c r="K92" s="1843"/>
      <c r="L92" s="1843"/>
      <c r="M92" s="1843"/>
      <c r="N92" s="1843"/>
      <c r="O92" s="1843"/>
      <c r="P92" s="1843"/>
      <c r="Q92" s="1843"/>
      <c r="R92" s="1843"/>
      <c r="S92" s="1843"/>
      <c r="T92" s="1843"/>
      <c r="U92" s="1843"/>
      <c r="V92" s="1843"/>
      <c r="W92" s="1843"/>
      <c r="X92" s="1843"/>
      <c r="Y92" s="1843"/>
      <c r="Z92" s="1843"/>
      <c r="AA92" s="1844"/>
      <c r="AB92" s="1335"/>
      <c r="AC92" s="1335"/>
      <c r="AD92" s="1335"/>
      <c r="AE92" s="1335"/>
      <c r="AF92" s="1335"/>
      <c r="AG92"/>
      <c r="AH92" s="1335">
        <f>IF(ISNA(F92*VLOOKUP($D92,Hypothèses!$D$6:$F$14,3,0)),0,F92*VLOOKUP($D92,Hypothèses!$D$6:$F$14,3,0))</f>
        <v>0</v>
      </c>
      <c r="AI92" s="1335">
        <f>IF(ISNA(G92*VLOOKUP($D92,Hypothèses!$D$6:$F$14,3,0)),0,G92*VLOOKUP($D92,Hypothèses!$D$6:$F$14,3,0))</f>
        <v>0</v>
      </c>
      <c r="AJ92" s="1335">
        <f>IF(ISNA(H92*VLOOKUP($D92,Hypothèses!$D$6:$F$14,3,0)),0,H92*VLOOKUP($D92,Hypothèses!$D$6:$F$14,3,0))</f>
        <v>0</v>
      </c>
      <c r="AK92" s="1335">
        <f>IF(ISNA(I92*VLOOKUP($D92,Hypothèses!$D$6:$F$14,3,0)),0,I92*VLOOKUP($D92,Hypothèses!$D$6:$F$14,3,0))</f>
        <v>0</v>
      </c>
      <c r="AL92" s="1335">
        <f>IF(ISNA(J92*VLOOKUP($D92,Hypothèses!$D$6:$F$14,3,0)),0,J92*VLOOKUP($D92,Hypothèses!$D$6:$F$14,3,0))</f>
        <v>0</v>
      </c>
      <c r="AM92" s="1335">
        <f>IF(ISNA(K92*VLOOKUP($D92,Hypothèses!$D$6:$F$14,3,0)),0,K92*VLOOKUP($D92,Hypothèses!$D$6:$F$14,3,0))</f>
        <v>0</v>
      </c>
      <c r="AN92" s="1335">
        <f>IF(ISNA(L92*VLOOKUP($D92,Hypothèses!$D$6:$F$14,3,0)),0,L92*VLOOKUP($D92,Hypothèses!$D$6:$F$14,3,0))</f>
        <v>0</v>
      </c>
      <c r="AO92" s="1335">
        <f>IF(ISNA(M92*VLOOKUP($D92,Hypothèses!$D$6:$F$14,3,0)),0,M92*VLOOKUP($D92,Hypothèses!$D$6:$F$14,3,0))</f>
        <v>0</v>
      </c>
      <c r="AP92" s="1335">
        <f>IF(ISNA(N92*VLOOKUP($D92,Hypothèses!$D$6:$F$14,3,0)),0,N92*VLOOKUP($D92,Hypothèses!$D$6:$F$14,3,0))</f>
        <v>0</v>
      </c>
      <c r="AQ92" s="1335">
        <f>IF(ISNA(O92*VLOOKUP($D92,Hypothèses!$D$6:$F$14,3,0)),0,O92*VLOOKUP($D92,Hypothèses!$D$6:$F$14,3,0))</f>
        <v>0</v>
      </c>
      <c r="AR92" s="1335">
        <f>IF(ISNA(P92*VLOOKUP($D92,Hypothèses!$D$6:$F$14,3,0)),0,P92*VLOOKUP($D92,Hypothèses!$D$6:$F$14,3,0))</f>
        <v>0</v>
      </c>
      <c r="AS92" s="1335">
        <f>IF(ISNA(Q92*VLOOKUP($D92,Hypothèses!$D$6:$F$14,3,0)),0,Q92*VLOOKUP($D92,Hypothèses!$D$6:$F$14,3,0))</f>
        <v>0</v>
      </c>
      <c r="AT92" s="1335">
        <f>IF(ISNA(R92*VLOOKUP($D92,Hypothèses!$D$6:$F$14,3,0)),0,R92*VLOOKUP($D92,Hypothèses!$D$6:$F$14,3,0))</f>
        <v>0</v>
      </c>
      <c r="AU92" s="1335">
        <f>IF(ISNA(S92*VLOOKUP($D92,Hypothèses!$D$6:$F$14,3,0)),0,S92*VLOOKUP($D92,Hypothèses!$D$6:$F$14,3,0))</f>
        <v>0</v>
      </c>
      <c r="AV92" s="1335">
        <f>IF(ISNA(T92*VLOOKUP($D92,Hypothèses!$D$6:$F$14,3,0)),0,T92*VLOOKUP($D92,Hypothèses!$D$6:$F$14,3,0))</f>
        <v>0</v>
      </c>
      <c r="AW92" s="1335">
        <f>IF(ISNA(U92*VLOOKUP($D92,Hypothèses!$D$6:$F$14,3,0)),0,U92*VLOOKUP($D92,Hypothèses!$D$6:$F$14,3,0))</f>
        <v>0</v>
      </c>
      <c r="AX92" s="1335">
        <f>IF(ISNA(V92*VLOOKUP($D92,Hypothèses!$D$6:$F$14,3,0)),0,V92*VLOOKUP($D92,Hypothèses!$D$6:$F$14,3,0))</f>
        <v>0</v>
      </c>
      <c r="AY92" s="1335">
        <f>IF(ISNA(W92*VLOOKUP($D92,Hypothèses!$D$6:$F$14,3,0)),0,W92*VLOOKUP($D92,Hypothèses!$D$6:$F$14,3,0))</f>
        <v>0</v>
      </c>
      <c r="AZ92" s="1335">
        <f>IF(ISNA(X92*VLOOKUP($D92,Hypothèses!$D$6:$F$14,3,0)),0,X92*VLOOKUP($D92,Hypothèses!$D$6:$F$14,3,0))</f>
        <v>0</v>
      </c>
      <c r="BA92" s="1335">
        <f>IF(ISNA(Y92*VLOOKUP($D92,Hypothèses!$D$6:$F$14,3,0)),0,Y92*VLOOKUP($D92,Hypothèses!$D$6:$F$14,3,0))</f>
        <v>0</v>
      </c>
      <c r="BB92" s="1335">
        <f>IF(ISNA(Z92*VLOOKUP($D92,Hypothèses!$D$6:$F$14,3,0)),0,Z92*VLOOKUP($D92,Hypothèses!$D$6:$F$14,3,0))</f>
        <v>0</v>
      </c>
      <c r="BC92" s="1335">
        <f>IF(ISNA(AA92*VLOOKUP($D92,Hypothèses!$D$6:$F$14,3,0)),0,AA92*VLOOKUP($D92,Hypothèses!$D$6:$F$14,3,0))</f>
        <v>0</v>
      </c>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row>
    <row r="93" spans="1:89" s="3" customFormat="1">
      <c r="A93" s="1817">
        <v>86</v>
      </c>
      <c r="B93" s="1790"/>
      <c r="C93" s="1333"/>
      <c r="D93" s="1334"/>
      <c r="E93" s="1332" t="str">
        <f>IF(ISNA(VLOOKUP(D93,Hypothèses!$D$6:$G$16,4,0)),"",VLOOKUP(D93,Hypothèses!$D$6:$G$16,4,0))</f>
        <v/>
      </c>
      <c r="F93" s="1842"/>
      <c r="G93" s="1843"/>
      <c r="H93" s="1843"/>
      <c r="I93" s="1843"/>
      <c r="J93" s="1843"/>
      <c r="K93" s="1843"/>
      <c r="L93" s="1843"/>
      <c r="M93" s="1843"/>
      <c r="N93" s="1843"/>
      <c r="O93" s="1843"/>
      <c r="P93" s="1843"/>
      <c r="Q93" s="1843"/>
      <c r="R93" s="1843"/>
      <c r="S93" s="1843"/>
      <c r="T93" s="1843"/>
      <c r="U93" s="1843"/>
      <c r="V93" s="1843"/>
      <c r="W93" s="1843"/>
      <c r="X93" s="1843"/>
      <c r="Y93" s="1843"/>
      <c r="Z93" s="1843"/>
      <c r="AA93" s="1844"/>
      <c r="AB93" s="1335"/>
      <c r="AC93" s="1335"/>
      <c r="AD93" s="1335"/>
      <c r="AE93" s="1335"/>
      <c r="AF93" s="1335"/>
      <c r="AG93"/>
      <c r="AH93" s="1335">
        <f>IF(ISNA(F93*VLOOKUP($D93,Hypothèses!$D$6:$F$14,3,0)),0,F93*VLOOKUP($D93,Hypothèses!$D$6:$F$14,3,0))</f>
        <v>0</v>
      </c>
      <c r="AI93" s="1335">
        <f>IF(ISNA(G93*VLOOKUP($D93,Hypothèses!$D$6:$F$14,3,0)),0,G93*VLOOKUP($D93,Hypothèses!$D$6:$F$14,3,0))</f>
        <v>0</v>
      </c>
      <c r="AJ93" s="1335">
        <f>IF(ISNA(H93*VLOOKUP($D93,Hypothèses!$D$6:$F$14,3,0)),0,H93*VLOOKUP($D93,Hypothèses!$D$6:$F$14,3,0))</f>
        <v>0</v>
      </c>
      <c r="AK93" s="1335">
        <f>IF(ISNA(I93*VLOOKUP($D93,Hypothèses!$D$6:$F$14,3,0)),0,I93*VLOOKUP($D93,Hypothèses!$D$6:$F$14,3,0))</f>
        <v>0</v>
      </c>
      <c r="AL93" s="1335">
        <f>IF(ISNA(J93*VLOOKUP($D93,Hypothèses!$D$6:$F$14,3,0)),0,J93*VLOOKUP($D93,Hypothèses!$D$6:$F$14,3,0))</f>
        <v>0</v>
      </c>
      <c r="AM93" s="1335">
        <f>IF(ISNA(K93*VLOOKUP($D93,Hypothèses!$D$6:$F$14,3,0)),0,K93*VLOOKUP($D93,Hypothèses!$D$6:$F$14,3,0))</f>
        <v>0</v>
      </c>
      <c r="AN93" s="1335">
        <f>IF(ISNA(L93*VLOOKUP($D93,Hypothèses!$D$6:$F$14,3,0)),0,L93*VLOOKUP($D93,Hypothèses!$D$6:$F$14,3,0))</f>
        <v>0</v>
      </c>
      <c r="AO93" s="1335">
        <f>IF(ISNA(M93*VLOOKUP($D93,Hypothèses!$D$6:$F$14,3,0)),0,M93*VLOOKUP($D93,Hypothèses!$D$6:$F$14,3,0))</f>
        <v>0</v>
      </c>
      <c r="AP93" s="1335">
        <f>IF(ISNA(N93*VLOOKUP($D93,Hypothèses!$D$6:$F$14,3,0)),0,N93*VLOOKUP($D93,Hypothèses!$D$6:$F$14,3,0))</f>
        <v>0</v>
      </c>
      <c r="AQ93" s="1335">
        <f>IF(ISNA(O93*VLOOKUP($D93,Hypothèses!$D$6:$F$14,3,0)),0,O93*VLOOKUP($D93,Hypothèses!$D$6:$F$14,3,0))</f>
        <v>0</v>
      </c>
      <c r="AR93" s="1335">
        <f>IF(ISNA(P93*VLOOKUP($D93,Hypothèses!$D$6:$F$14,3,0)),0,P93*VLOOKUP($D93,Hypothèses!$D$6:$F$14,3,0))</f>
        <v>0</v>
      </c>
      <c r="AS93" s="1335">
        <f>IF(ISNA(Q93*VLOOKUP($D93,Hypothèses!$D$6:$F$14,3,0)),0,Q93*VLOOKUP($D93,Hypothèses!$D$6:$F$14,3,0))</f>
        <v>0</v>
      </c>
      <c r="AT93" s="1335">
        <f>IF(ISNA(R93*VLOOKUP($D93,Hypothèses!$D$6:$F$14,3,0)),0,R93*VLOOKUP($D93,Hypothèses!$D$6:$F$14,3,0))</f>
        <v>0</v>
      </c>
      <c r="AU93" s="1335">
        <f>IF(ISNA(S93*VLOOKUP($D93,Hypothèses!$D$6:$F$14,3,0)),0,S93*VLOOKUP($D93,Hypothèses!$D$6:$F$14,3,0))</f>
        <v>0</v>
      </c>
      <c r="AV93" s="1335">
        <f>IF(ISNA(T93*VLOOKUP($D93,Hypothèses!$D$6:$F$14,3,0)),0,T93*VLOOKUP($D93,Hypothèses!$D$6:$F$14,3,0))</f>
        <v>0</v>
      </c>
      <c r="AW93" s="1335">
        <f>IF(ISNA(U93*VLOOKUP($D93,Hypothèses!$D$6:$F$14,3,0)),0,U93*VLOOKUP($D93,Hypothèses!$D$6:$F$14,3,0))</f>
        <v>0</v>
      </c>
      <c r="AX93" s="1335">
        <f>IF(ISNA(V93*VLOOKUP($D93,Hypothèses!$D$6:$F$14,3,0)),0,V93*VLOOKUP($D93,Hypothèses!$D$6:$F$14,3,0))</f>
        <v>0</v>
      </c>
      <c r="AY93" s="1335">
        <f>IF(ISNA(W93*VLOOKUP($D93,Hypothèses!$D$6:$F$14,3,0)),0,W93*VLOOKUP($D93,Hypothèses!$D$6:$F$14,3,0))</f>
        <v>0</v>
      </c>
      <c r="AZ93" s="1335">
        <f>IF(ISNA(X93*VLOOKUP($D93,Hypothèses!$D$6:$F$14,3,0)),0,X93*VLOOKUP($D93,Hypothèses!$D$6:$F$14,3,0))</f>
        <v>0</v>
      </c>
      <c r="BA93" s="1335">
        <f>IF(ISNA(Y93*VLOOKUP($D93,Hypothèses!$D$6:$F$14,3,0)),0,Y93*VLOOKUP($D93,Hypothèses!$D$6:$F$14,3,0))</f>
        <v>0</v>
      </c>
      <c r="BB93" s="1335">
        <f>IF(ISNA(Z93*VLOOKUP($D93,Hypothèses!$D$6:$F$14,3,0)),0,Z93*VLOOKUP($D93,Hypothèses!$D$6:$F$14,3,0))</f>
        <v>0</v>
      </c>
      <c r="BC93" s="1335">
        <f>IF(ISNA(AA93*VLOOKUP($D93,Hypothèses!$D$6:$F$14,3,0)),0,AA93*VLOOKUP($D93,Hypothèses!$D$6:$F$14,3,0))</f>
        <v>0</v>
      </c>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row>
    <row r="94" spans="1:89" s="3" customFormat="1">
      <c r="A94" s="1817">
        <v>87</v>
      </c>
      <c r="B94" s="1790"/>
      <c r="C94" s="1333"/>
      <c r="D94" s="1334"/>
      <c r="E94" s="1332" t="str">
        <f>IF(ISNA(VLOOKUP(D94,Hypothèses!$D$6:$G$16,4,0)),"",VLOOKUP(D94,Hypothèses!$D$6:$G$16,4,0))</f>
        <v/>
      </c>
      <c r="F94" s="1842"/>
      <c r="G94" s="1843"/>
      <c r="H94" s="1843"/>
      <c r="I94" s="1843"/>
      <c r="J94" s="1843"/>
      <c r="K94" s="1843"/>
      <c r="L94" s="1843"/>
      <c r="M94" s="1843"/>
      <c r="N94" s="1843"/>
      <c r="O94" s="1843"/>
      <c r="P94" s="1843"/>
      <c r="Q94" s="1843"/>
      <c r="R94" s="1843"/>
      <c r="S94" s="1843"/>
      <c r="T94" s="1843"/>
      <c r="U94" s="1843"/>
      <c r="V94" s="1843"/>
      <c r="W94" s="1843"/>
      <c r="X94" s="1843"/>
      <c r="Y94" s="1843"/>
      <c r="Z94" s="1843"/>
      <c r="AA94" s="1844"/>
      <c r="AB94" s="1335"/>
      <c r="AC94" s="1335"/>
      <c r="AD94" s="1335"/>
      <c r="AE94" s="1335"/>
      <c r="AF94" s="1335"/>
      <c r="AG94"/>
      <c r="AH94" s="1335">
        <f>IF(ISNA(F94*VLOOKUP($D94,Hypothèses!$D$6:$F$14,3,0)),0,F94*VLOOKUP($D94,Hypothèses!$D$6:$F$14,3,0))</f>
        <v>0</v>
      </c>
      <c r="AI94" s="1335">
        <f>IF(ISNA(G94*VLOOKUP($D94,Hypothèses!$D$6:$F$14,3,0)),0,G94*VLOOKUP($D94,Hypothèses!$D$6:$F$14,3,0))</f>
        <v>0</v>
      </c>
      <c r="AJ94" s="1335">
        <f>IF(ISNA(H94*VLOOKUP($D94,Hypothèses!$D$6:$F$14,3,0)),0,H94*VLOOKUP($D94,Hypothèses!$D$6:$F$14,3,0))</f>
        <v>0</v>
      </c>
      <c r="AK94" s="1335">
        <f>IF(ISNA(I94*VLOOKUP($D94,Hypothèses!$D$6:$F$14,3,0)),0,I94*VLOOKUP($D94,Hypothèses!$D$6:$F$14,3,0))</f>
        <v>0</v>
      </c>
      <c r="AL94" s="1335">
        <f>IF(ISNA(J94*VLOOKUP($D94,Hypothèses!$D$6:$F$14,3,0)),0,J94*VLOOKUP($D94,Hypothèses!$D$6:$F$14,3,0))</f>
        <v>0</v>
      </c>
      <c r="AM94" s="1335">
        <f>IF(ISNA(K94*VLOOKUP($D94,Hypothèses!$D$6:$F$14,3,0)),0,K94*VLOOKUP($D94,Hypothèses!$D$6:$F$14,3,0))</f>
        <v>0</v>
      </c>
      <c r="AN94" s="1335">
        <f>IF(ISNA(L94*VLOOKUP($D94,Hypothèses!$D$6:$F$14,3,0)),0,L94*VLOOKUP($D94,Hypothèses!$D$6:$F$14,3,0))</f>
        <v>0</v>
      </c>
      <c r="AO94" s="1335">
        <f>IF(ISNA(M94*VLOOKUP($D94,Hypothèses!$D$6:$F$14,3,0)),0,M94*VLOOKUP($D94,Hypothèses!$D$6:$F$14,3,0))</f>
        <v>0</v>
      </c>
      <c r="AP94" s="1335">
        <f>IF(ISNA(N94*VLOOKUP($D94,Hypothèses!$D$6:$F$14,3,0)),0,N94*VLOOKUP($D94,Hypothèses!$D$6:$F$14,3,0))</f>
        <v>0</v>
      </c>
      <c r="AQ94" s="1335">
        <f>IF(ISNA(O94*VLOOKUP($D94,Hypothèses!$D$6:$F$14,3,0)),0,O94*VLOOKUP($D94,Hypothèses!$D$6:$F$14,3,0))</f>
        <v>0</v>
      </c>
      <c r="AR94" s="1335">
        <f>IF(ISNA(P94*VLOOKUP($D94,Hypothèses!$D$6:$F$14,3,0)),0,P94*VLOOKUP($D94,Hypothèses!$D$6:$F$14,3,0))</f>
        <v>0</v>
      </c>
      <c r="AS94" s="1335">
        <f>IF(ISNA(Q94*VLOOKUP($D94,Hypothèses!$D$6:$F$14,3,0)),0,Q94*VLOOKUP($D94,Hypothèses!$D$6:$F$14,3,0))</f>
        <v>0</v>
      </c>
      <c r="AT94" s="1335">
        <f>IF(ISNA(R94*VLOOKUP($D94,Hypothèses!$D$6:$F$14,3,0)),0,R94*VLOOKUP($D94,Hypothèses!$D$6:$F$14,3,0))</f>
        <v>0</v>
      </c>
      <c r="AU94" s="1335">
        <f>IF(ISNA(S94*VLOOKUP($D94,Hypothèses!$D$6:$F$14,3,0)),0,S94*VLOOKUP($D94,Hypothèses!$D$6:$F$14,3,0))</f>
        <v>0</v>
      </c>
      <c r="AV94" s="1335">
        <f>IF(ISNA(T94*VLOOKUP($D94,Hypothèses!$D$6:$F$14,3,0)),0,T94*VLOOKUP($D94,Hypothèses!$D$6:$F$14,3,0))</f>
        <v>0</v>
      </c>
      <c r="AW94" s="1335">
        <f>IF(ISNA(U94*VLOOKUP($D94,Hypothèses!$D$6:$F$14,3,0)),0,U94*VLOOKUP($D94,Hypothèses!$D$6:$F$14,3,0))</f>
        <v>0</v>
      </c>
      <c r="AX94" s="1335">
        <f>IF(ISNA(V94*VLOOKUP($D94,Hypothèses!$D$6:$F$14,3,0)),0,V94*VLOOKUP($D94,Hypothèses!$D$6:$F$14,3,0))</f>
        <v>0</v>
      </c>
      <c r="AY94" s="1335">
        <f>IF(ISNA(W94*VLOOKUP($D94,Hypothèses!$D$6:$F$14,3,0)),0,W94*VLOOKUP($D94,Hypothèses!$D$6:$F$14,3,0))</f>
        <v>0</v>
      </c>
      <c r="AZ94" s="1335">
        <f>IF(ISNA(X94*VLOOKUP($D94,Hypothèses!$D$6:$F$14,3,0)),0,X94*VLOOKUP($D94,Hypothèses!$D$6:$F$14,3,0))</f>
        <v>0</v>
      </c>
      <c r="BA94" s="1335">
        <f>IF(ISNA(Y94*VLOOKUP($D94,Hypothèses!$D$6:$F$14,3,0)),0,Y94*VLOOKUP($D94,Hypothèses!$D$6:$F$14,3,0))</f>
        <v>0</v>
      </c>
      <c r="BB94" s="1335">
        <f>IF(ISNA(Z94*VLOOKUP($D94,Hypothèses!$D$6:$F$14,3,0)),0,Z94*VLOOKUP($D94,Hypothèses!$D$6:$F$14,3,0))</f>
        <v>0</v>
      </c>
      <c r="BC94" s="1335">
        <f>IF(ISNA(AA94*VLOOKUP($D94,Hypothèses!$D$6:$F$14,3,0)),0,AA94*VLOOKUP($D94,Hypothèses!$D$6:$F$14,3,0))</f>
        <v>0</v>
      </c>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row>
    <row r="95" spans="1:89" s="3" customFormat="1">
      <c r="A95" s="1817">
        <v>88</v>
      </c>
      <c r="B95" s="1790"/>
      <c r="C95" s="1333"/>
      <c r="D95" s="1334"/>
      <c r="E95" s="1332" t="str">
        <f>IF(ISNA(VLOOKUP(D95,Hypothèses!$D$6:$G$16,4,0)),"",VLOOKUP(D95,Hypothèses!$D$6:$G$16,4,0))</f>
        <v/>
      </c>
      <c r="F95" s="1842"/>
      <c r="G95" s="1843"/>
      <c r="H95" s="1843"/>
      <c r="I95" s="1843"/>
      <c r="J95" s="1843"/>
      <c r="K95" s="1843"/>
      <c r="L95" s="1843"/>
      <c r="M95" s="1843"/>
      <c r="N95" s="1843"/>
      <c r="O95" s="1843"/>
      <c r="P95" s="1843"/>
      <c r="Q95" s="1843"/>
      <c r="R95" s="1843"/>
      <c r="S95" s="1843"/>
      <c r="T95" s="1843"/>
      <c r="U95" s="1843"/>
      <c r="V95" s="1843"/>
      <c r="W95" s="1843"/>
      <c r="X95" s="1843"/>
      <c r="Y95" s="1843"/>
      <c r="Z95" s="1843"/>
      <c r="AA95" s="1844"/>
      <c r="AB95" s="1335"/>
      <c r="AC95" s="1335"/>
      <c r="AD95" s="1335"/>
      <c r="AE95" s="1335"/>
      <c r="AF95" s="1335"/>
      <c r="AG95"/>
      <c r="AH95" s="1335">
        <f>IF(ISNA(F95*VLOOKUP($D95,Hypothèses!$D$6:$F$14,3,0)),0,F95*VLOOKUP($D95,Hypothèses!$D$6:$F$14,3,0))</f>
        <v>0</v>
      </c>
      <c r="AI95" s="1335">
        <f>IF(ISNA(G95*VLOOKUP($D95,Hypothèses!$D$6:$F$14,3,0)),0,G95*VLOOKUP($D95,Hypothèses!$D$6:$F$14,3,0))</f>
        <v>0</v>
      </c>
      <c r="AJ95" s="1335">
        <f>IF(ISNA(H95*VLOOKUP($D95,Hypothèses!$D$6:$F$14,3,0)),0,H95*VLOOKUP($D95,Hypothèses!$D$6:$F$14,3,0))</f>
        <v>0</v>
      </c>
      <c r="AK95" s="1335">
        <f>IF(ISNA(I95*VLOOKUP($D95,Hypothèses!$D$6:$F$14,3,0)),0,I95*VLOOKUP($D95,Hypothèses!$D$6:$F$14,3,0))</f>
        <v>0</v>
      </c>
      <c r="AL95" s="1335">
        <f>IF(ISNA(J95*VLOOKUP($D95,Hypothèses!$D$6:$F$14,3,0)),0,J95*VLOOKUP($D95,Hypothèses!$D$6:$F$14,3,0))</f>
        <v>0</v>
      </c>
      <c r="AM95" s="1335">
        <f>IF(ISNA(K95*VLOOKUP($D95,Hypothèses!$D$6:$F$14,3,0)),0,K95*VLOOKUP($D95,Hypothèses!$D$6:$F$14,3,0))</f>
        <v>0</v>
      </c>
      <c r="AN95" s="1335">
        <f>IF(ISNA(L95*VLOOKUP($D95,Hypothèses!$D$6:$F$14,3,0)),0,L95*VLOOKUP($D95,Hypothèses!$D$6:$F$14,3,0))</f>
        <v>0</v>
      </c>
      <c r="AO95" s="1335">
        <f>IF(ISNA(M95*VLOOKUP($D95,Hypothèses!$D$6:$F$14,3,0)),0,M95*VLOOKUP($D95,Hypothèses!$D$6:$F$14,3,0))</f>
        <v>0</v>
      </c>
      <c r="AP95" s="1335">
        <f>IF(ISNA(N95*VLOOKUP($D95,Hypothèses!$D$6:$F$14,3,0)),0,N95*VLOOKUP($D95,Hypothèses!$D$6:$F$14,3,0))</f>
        <v>0</v>
      </c>
      <c r="AQ95" s="1335">
        <f>IF(ISNA(O95*VLOOKUP($D95,Hypothèses!$D$6:$F$14,3,0)),0,O95*VLOOKUP($D95,Hypothèses!$D$6:$F$14,3,0))</f>
        <v>0</v>
      </c>
      <c r="AR95" s="1335">
        <f>IF(ISNA(P95*VLOOKUP($D95,Hypothèses!$D$6:$F$14,3,0)),0,P95*VLOOKUP($D95,Hypothèses!$D$6:$F$14,3,0))</f>
        <v>0</v>
      </c>
      <c r="AS95" s="1335">
        <f>IF(ISNA(Q95*VLOOKUP($D95,Hypothèses!$D$6:$F$14,3,0)),0,Q95*VLOOKUP($D95,Hypothèses!$D$6:$F$14,3,0))</f>
        <v>0</v>
      </c>
      <c r="AT95" s="1335">
        <f>IF(ISNA(R95*VLOOKUP($D95,Hypothèses!$D$6:$F$14,3,0)),0,R95*VLOOKUP($D95,Hypothèses!$D$6:$F$14,3,0))</f>
        <v>0</v>
      </c>
      <c r="AU95" s="1335">
        <f>IF(ISNA(S95*VLOOKUP($D95,Hypothèses!$D$6:$F$14,3,0)),0,S95*VLOOKUP($D95,Hypothèses!$D$6:$F$14,3,0))</f>
        <v>0</v>
      </c>
      <c r="AV95" s="1335">
        <f>IF(ISNA(T95*VLOOKUP($D95,Hypothèses!$D$6:$F$14,3,0)),0,T95*VLOOKUP($D95,Hypothèses!$D$6:$F$14,3,0))</f>
        <v>0</v>
      </c>
      <c r="AW95" s="1335">
        <f>IF(ISNA(U95*VLOOKUP($D95,Hypothèses!$D$6:$F$14,3,0)),0,U95*VLOOKUP($D95,Hypothèses!$D$6:$F$14,3,0))</f>
        <v>0</v>
      </c>
      <c r="AX95" s="1335">
        <f>IF(ISNA(V95*VLOOKUP($D95,Hypothèses!$D$6:$F$14,3,0)),0,V95*VLOOKUP($D95,Hypothèses!$D$6:$F$14,3,0))</f>
        <v>0</v>
      </c>
      <c r="AY95" s="1335">
        <f>IF(ISNA(W95*VLOOKUP($D95,Hypothèses!$D$6:$F$14,3,0)),0,W95*VLOOKUP($D95,Hypothèses!$D$6:$F$14,3,0))</f>
        <v>0</v>
      </c>
      <c r="AZ95" s="1335">
        <f>IF(ISNA(X95*VLOOKUP($D95,Hypothèses!$D$6:$F$14,3,0)),0,X95*VLOOKUP($D95,Hypothèses!$D$6:$F$14,3,0))</f>
        <v>0</v>
      </c>
      <c r="BA95" s="1335">
        <f>IF(ISNA(Y95*VLOOKUP($D95,Hypothèses!$D$6:$F$14,3,0)),0,Y95*VLOOKUP($D95,Hypothèses!$D$6:$F$14,3,0))</f>
        <v>0</v>
      </c>
      <c r="BB95" s="1335">
        <f>IF(ISNA(Z95*VLOOKUP($D95,Hypothèses!$D$6:$F$14,3,0)),0,Z95*VLOOKUP($D95,Hypothèses!$D$6:$F$14,3,0))</f>
        <v>0</v>
      </c>
      <c r="BC95" s="1335">
        <f>IF(ISNA(AA95*VLOOKUP($D95,Hypothèses!$D$6:$F$14,3,0)),0,AA95*VLOOKUP($D95,Hypothèses!$D$6:$F$14,3,0))</f>
        <v>0</v>
      </c>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row>
    <row r="96" spans="1:89" s="3" customFormat="1">
      <c r="A96" s="1817">
        <v>89</v>
      </c>
      <c r="B96" s="1790"/>
      <c r="C96" s="1333"/>
      <c r="D96" s="1334"/>
      <c r="E96" s="1332" t="str">
        <f>IF(ISNA(VLOOKUP(D96,Hypothèses!$D$6:$G$16,4,0)),"",VLOOKUP(D96,Hypothèses!$D$6:$G$16,4,0))</f>
        <v/>
      </c>
      <c r="F96" s="1842"/>
      <c r="G96" s="1843"/>
      <c r="H96" s="1843"/>
      <c r="I96" s="1843"/>
      <c r="J96" s="1843"/>
      <c r="K96" s="1843"/>
      <c r="L96" s="1843"/>
      <c r="M96" s="1843"/>
      <c r="N96" s="1843"/>
      <c r="O96" s="1843"/>
      <c r="P96" s="1843"/>
      <c r="Q96" s="1843"/>
      <c r="R96" s="1843"/>
      <c r="S96" s="1843"/>
      <c r="T96" s="1843"/>
      <c r="U96" s="1843"/>
      <c r="V96" s="1843"/>
      <c r="W96" s="1843"/>
      <c r="X96" s="1843"/>
      <c r="Y96" s="1843"/>
      <c r="Z96" s="1843"/>
      <c r="AA96" s="1844"/>
      <c r="AB96" s="1335"/>
      <c r="AC96" s="1335"/>
      <c r="AD96" s="1335"/>
      <c r="AE96" s="1335"/>
      <c r="AF96" s="1335"/>
      <c r="AG96"/>
      <c r="AH96" s="1335">
        <f>IF(ISNA(F96*VLOOKUP($D96,Hypothèses!$D$6:$F$14,3,0)),0,F96*VLOOKUP($D96,Hypothèses!$D$6:$F$14,3,0))</f>
        <v>0</v>
      </c>
      <c r="AI96" s="1335">
        <f>IF(ISNA(G96*VLOOKUP($D96,Hypothèses!$D$6:$F$14,3,0)),0,G96*VLOOKUP($D96,Hypothèses!$D$6:$F$14,3,0))</f>
        <v>0</v>
      </c>
      <c r="AJ96" s="1335">
        <f>IF(ISNA(H96*VLOOKUP($D96,Hypothèses!$D$6:$F$14,3,0)),0,H96*VLOOKUP($D96,Hypothèses!$D$6:$F$14,3,0))</f>
        <v>0</v>
      </c>
      <c r="AK96" s="1335">
        <f>IF(ISNA(I96*VLOOKUP($D96,Hypothèses!$D$6:$F$14,3,0)),0,I96*VLOOKUP($D96,Hypothèses!$D$6:$F$14,3,0))</f>
        <v>0</v>
      </c>
      <c r="AL96" s="1335">
        <f>IF(ISNA(J96*VLOOKUP($D96,Hypothèses!$D$6:$F$14,3,0)),0,J96*VLOOKUP($D96,Hypothèses!$D$6:$F$14,3,0))</f>
        <v>0</v>
      </c>
      <c r="AM96" s="1335">
        <f>IF(ISNA(K96*VLOOKUP($D96,Hypothèses!$D$6:$F$14,3,0)),0,K96*VLOOKUP($D96,Hypothèses!$D$6:$F$14,3,0))</f>
        <v>0</v>
      </c>
      <c r="AN96" s="1335">
        <f>IF(ISNA(L96*VLOOKUP($D96,Hypothèses!$D$6:$F$14,3,0)),0,L96*VLOOKUP($D96,Hypothèses!$D$6:$F$14,3,0))</f>
        <v>0</v>
      </c>
      <c r="AO96" s="1335">
        <f>IF(ISNA(M96*VLOOKUP($D96,Hypothèses!$D$6:$F$14,3,0)),0,M96*VLOOKUP($D96,Hypothèses!$D$6:$F$14,3,0))</f>
        <v>0</v>
      </c>
      <c r="AP96" s="1335">
        <f>IF(ISNA(N96*VLOOKUP($D96,Hypothèses!$D$6:$F$14,3,0)),0,N96*VLOOKUP($D96,Hypothèses!$D$6:$F$14,3,0))</f>
        <v>0</v>
      </c>
      <c r="AQ96" s="1335">
        <f>IF(ISNA(O96*VLOOKUP($D96,Hypothèses!$D$6:$F$14,3,0)),0,O96*VLOOKUP($D96,Hypothèses!$D$6:$F$14,3,0))</f>
        <v>0</v>
      </c>
      <c r="AR96" s="1335">
        <f>IF(ISNA(P96*VLOOKUP($D96,Hypothèses!$D$6:$F$14,3,0)),0,P96*VLOOKUP($D96,Hypothèses!$D$6:$F$14,3,0))</f>
        <v>0</v>
      </c>
      <c r="AS96" s="1335">
        <f>IF(ISNA(Q96*VLOOKUP($D96,Hypothèses!$D$6:$F$14,3,0)),0,Q96*VLOOKUP($D96,Hypothèses!$D$6:$F$14,3,0))</f>
        <v>0</v>
      </c>
      <c r="AT96" s="1335">
        <f>IF(ISNA(R96*VLOOKUP($D96,Hypothèses!$D$6:$F$14,3,0)),0,R96*VLOOKUP($D96,Hypothèses!$D$6:$F$14,3,0))</f>
        <v>0</v>
      </c>
      <c r="AU96" s="1335">
        <f>IF(ISNA(S96*VLOOKUP($D96,Hypothèses!$D$6:$F$14,3,0)),0,S96*VLOOKUP($D96,Hypothèses!$D$6:$F$14,3,0))</f>
        <v>0</v>
      </c>
      <c r="AV96" s="1335">
        <f>IF(ISNA(T96*VLOOKUP($D96,Hypothèses!$D$6:$F$14,3,0)),0,T96*VLOOKUP($D96,Hypothèses!$D$6:$F$14,3,0))</f>
        <v>0</v>
      </c>
      <c r="AW96" s="1335">
        <f>IF(ISNA(U96*VLOOKUP($D96,Hypothèses!$D$6:$F$14,3,0)),0,U96*VLOOKUP($D96,Hypothèses!$D$6:$F$14,3,0))</f>
        <v>0</v>
      </c>
      <c r="AX96" s="1335">
        <f>IF(ISNA(V96*VLOOKUP($D96,Hypothèses!$D$6:$F$14,3,0)),0,V96*VLOOKUP($D96,Hypothèses!$D$6:$F$14,3,0))</f>
        <v>0</v>
      </c>
      <c r="AY96" s="1335">
        <f>IF(ISNA(W96*VLOOKUP($D96,Hypothèses!$D$6:$F$14,3,0)),0,W96*VLOOKUP($D96,Hypothèses!$D$6:$F$14,3,0))</f>
        <v>0</v>
      </c>
      <c r="AZ96" s="1335">
        <f>IF(ISNA(X96*VLOOKUP($D96,Hypothèses!$D$6:$F$14,3,0)),0,X96*VLOOKUP($D96,Hypothèses!$D$6:$F$14,3,0))</f>
        <v>0</v>
      </c>
      <c r="BA96" s="1335">
        <f>IF(ISNA(Y96*VLOOKUP($D96,Hypothèses!$D$6:$F$14,3,0)),0,Y96*VLOOKUP($D96,Hypothèses!$D$6:$F$14,3,0))</f>
        <v>0</v>
      </c>
      <c r="BB96" s="1335">
        <f>IF(ISNA(Z96*VLOOKUP($D96,Hypothèses!$D$6:$F$14,3,0)),0,Z96*VLOOKUP($D96,Hypothèses!$D$6:$F$14,3,0))</f>
        <v>0</v>
      </c>
      <c r="BC96" s="1335">
        <f>IF(ISNA(AA96*VLOOKUP($D96,Hypothèses!$D$6:$F$14,3,0)),0,AA96*VLOOKUP($D96,Hypothèses!$D$6:$F$14,3,0))</f>
        <v>0</v>
      </c>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row>
    <row r="97" spans="1:89" s="3" customFormat="1">
      <c r="A97" s="1817">
        <v>90</v>
      </c>
      <c r="B97" s="1790"/>
      <c r="C97" s="1333"/>
      <c r="D97" s="1334"/>
      <c r="E97" s="1332" t="str">
        <f>IF(ISNA(VLOOKUP(D97,Hypothèses!$D$6:$G$16,4,0)),"",VLOOKUP(D97,Hypothèses!$D$6:$G$16,4,0))</f>
        <v/>
      </c>
      <c r="F97" s="1842"/>
      <c r="G97" s="1843"/>
      <c r="H97" s="1843"/>
      <c r="I97" s="1843"/>
      <c r="J97" s="1843"/>
      <c r="K97" s="1843"/>
      <c r="L97" s="1843"/>
      <c r="M97" s="1843"/>
      <c r="N97" s="1843"/>
      <c r="O97" s="1843"/>
      <c r="P97" s="1843"/>
      <c r="Q97" s="1843"/>
      <c r="R97" s="1843"/>
      <c r="S97" s="1843"/>
      <c r="T97" s="1843"/>
      <c r="U97" s="1843"/>
      <c r="V97" s="1843"/>
      <c r="W97" s="1843"/>
      <c r="X97" s="1843"/>
      <c r="Y97" s="1843"/>
      <c r="Z97" s="1843"/>
      <c r="AA97" s="1844"/>
      <c r="AB97" s="1335"/>
      <c r="AC97" s="1335"/>
      <c r="AD97" s="1335"/>
      <c r="AE97" s="1335"/>
      <c r="AF97" s="1335"/>
      <c r="AG97"/>
      <c r="AH97" s="1335">
        <f>IF(ISNA(F97*VLOOKUP($D97,Hypothèses!$D$6:$F$14,3,0)),0,F97*VLOOKUP($D97,Hypothèses!$D$6:$F$14,3,0))</f>
        <v>0</v>
      </c>
      <c r="AI97" s="1335">
        <f>IF(ISNA(G97*VLOOKUP($D97,Hypothèses!$D$6:$F$14,3,0)),0,G97*VLOOKUP($D97,Hypothèses!$D$6:$F$14,3,0))</f>
        <v>0</v>
      </c>
      <c r="AJ97" s="1335">
        <f>IF(ISNA(H97*VLOOKUP($D97,Hypothèses!$D$6:$F$14,3,0)),0,H97*VLOOKUP($D97,Hypothèses!$D$6:$F$14,3,0))</f>
        <v>0</v>
      </c>
      <c r="AK97" s="1335">
        <f>IF(ISNA(I97*VLOOKUP($D97,Hypothèses!$D$6:$F$14,3,0)),0,I97*VLOOKUP($D97,Hypothèses!$D$6:$F$14,3,0))</f>
        <v>0</v>
      </c>
      <c r="AL97" s="1335">
        <f>IF(ISNA(J97*VLOOKUP($D97,Hypothèses!$D$6:$F$14,3,0)),0,J97*VLOOKUP($D97,Hypothèses!$D$6:$F$14,3,0))</f>
        <v>0</v>
      </c>
      <c r="AM97" s="1335">
        <f>IF(ISNA(K97*VLOOKUP($D97,Hypothèses!$D$6:$F$14,3,0)),0,K97*VLOOKUP($D97,Hypothèses!$D$6:$F$14,3,0))</f>
        <v>0</v>
      </c>
      <c r="AN97" s="1335">
        <f>IF(ISNA(L97*VLOOKUP($D97,Hypothèses!$D$6:$F$14,3,0)),0,L97*VLOOKUP($D97,Hypothèses!$D$6:$F$14,3,0))</f>
        <v>0</v>
      </c>
      <c r="AO97" s="1335">
        <f>IF(ISNA(M97*VLOOKUP($D97,Hypothèses!$D$6:$F$14,3,0)),0,M97*VLOOKUP($D97,Hypothèses!$D$6:$F$14,3,0))</f>
        <v>0</v>
      </c>
      <c r="AP97" s="1335">
        <f>IF(ISNA(N97*VLOOKUP($D97,Hypothèses!$D$6:$F$14,3,0)),0,N97*VLOOKUP($D97,Hypothèses!$D$6:$F$14,3,0))</f>
        <v>0</v>
      </c>
      <c r="AQ97" s="1335">
        <f>IF(ISNA(O97*VLOOKUP($D97,Hypothèses!$D$6:$F$14,3,0)),0,O97*VLOOKUP($D97,Hypothèses!$D$6:$F$14,3,0))</f>
        <v>0</v>
      </c>
      <c r="AR97" s="1335">
        <f>IF(ISNA(P97*VLOOKUP($D97,Hypothèses!$D$6:$F$14,3,0)),0,P97*VLOOKUP($D97,Hypothèses!$D$6:$F$14,3,0))</f>
        <v>0</v>
      </c>
      <c r="AS97" s="1335">
        <f>IF(ISNA(Q97*VLOOKUP($D97,Hypothèses!$D$6:$F$14,3,0)),0,Q97*VLOOKUP($D97,Hypothèses!$D$6:$F$14,3,0))</f>
        <v>0</v>
      </c>
      <c r="AT97" s="1335">
        <f>IF(ISNA(R97*VLOOKUP($D97,Hypothèses!$D$6:$F$14,3,0)),0,R97*VLOOKUP($D97,Hypothèses!$D$6:$F$14,3,0))</f>
        <v>0</v>
      </c>
      <c r="AU97" s="1335">
        <f>IF(ISNA(S97*VLOOKUP($D97,Hypothèses!$D$6:$F$14,3,0)),0,S97*VLOOKUP($D97,Hypothèses!$D$6:$F$14,3,0))</f>
        <v>0</v>
      </c>
      <c r="AV97" s="1335">
        <f>IF(ISNA(T97*VLOOKUP($D97,Hypothèses!$D$6:$F$14,3,0)),0,T97*VLOOKUP($D97,Hypothèses!$D$6:$F$14,3,0))</f>
        <v>0</v>
      </c>
      <c r="AW97" s="1335">
        <f>IF(ISNA(U97*VLOOKUP($D97,Hypothèses!$D$6:$F$14,3,0)),0,U97*VLOOKUP($D97,Hypothèses!$D$6:$F$14,3,0))</f>
        <v>0</v>
      </c>
      <c r="AX97" s="1335">
        <f>IF(ISNA(V97*VLOOKUP($D97,Hypothèses!$D$6:$F$14,3,0)),0,V97*VLOOKUP($D97,Hypothèses!$D$6:$F$14,3,0))</f>
        <v>0</v>
      </c>
      <c r="AY97" s="1335">
        <f>IF(ISNA(W97*VLOOKUP($D97,Hypothèses!$D$6:$F$14,3,0)),0,W97*VLOOKUP($D97,Hypothèses!$D$6:$F$14,3,0))</f>
        <v>0</v>
      </c>
      <c r="AZ97" s="1335">
        <f>IF(ISNA(X97*VLOOKUP($D97,Hypothèses!$D$6:$F$14,3,0)),0,X97*VLOOKUP($D97,Hypothèses!$D$6:$F$14,3,0))</f>
        <v>0</v>
      </c>
      <c r="BA97" s="1335">
        <f>IF(ISNA(Y97*VLOOKUP($D97,Hypothèses!$D$6:$F$14,3,0)),0,Y97*VLOOKUP($D97,Hypothèses!$D$6:$F$14,3,0))</f>
        <v>0</v>
      </c>
      <c r="BB97" s="1335">
        <f>IF(ISNA(Z97*VLOOKUP($D97,Hypothèses!$D$6:$F$14,3,0)),0,Z97*VLOOKUP($D97,Hypothèses!$D$6:$F$14,3,0))</f>
        <v>0</v>
      </c>
      <c r="BC97" s="1335">
        <f>IF(ISNA(AA97*VLOOKUP($D97,Hypothèses!$D$6:$F$14,3,0)),0,AA97*VLOOKUP($D97,Hypothèses!$D$6:$F$14,3,0))</f>
        <v>0</v>
      </c>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row>
    <row r="98" spans="1:89" s="3" customFormat="1">
      <c r="A98" s="1817">
        <v>91</v>
      </c>
      <c r="B98" s="1790"/>
      <c r="C98" s="1333"/>
      <c r="D98" s="1334"/>
      <c r="E98" s="1332" t="str">
        <f>IF(ISNA(VLOOKUP(D98,Hypothèses!$D$6:$G$16,4,0)),"",VLOOKUP(D98,Hypothèses!$D$6:$G$16,4,0))</f>
        <v/>
      </c>
      <c r="F98" s="1842"/>
      <c r="G98" s="1843"/>
      <c r="H98" s="1843"/>
      <c r="I98" s="1843"/>
      <c r="J98" s="1843"/>
      <c r="K98" s="1843"/>
      <c r="L98" s="1843"/>
      <c r="M98" s="1843"/>
      <c r="N98" s="1843"/>
      <c r="O98" s="1843"/>
      <c r="P98" s="1843"/>
      <c r="Q98" s="1843"/>
      <c r="R98" s="1843"/>
      <c r="S98" s="1843"/>
      <c r="T98" s="1843"/>
      <c r="U98" s="1843"/>
      <c r="V98" s="1843"/>
      <c r="W98" s="1843"/>
      <c r="X98" s="1843"/>
      <c r="Y98" s="1843"/>
      <c r="Z98" s="1843"/>
      <c r="AA98" s="1844"/>
      <c r="AB98" s="1335"/>
      <c r="AC98" s="1335"/>
      <c r="AD98" s="1335"/>
      <c r="AE98" s="1335"/>
      <c r="AF98" s="1335"/>
      <c r="AG98"/>
      <c r="AH98" s="1335">
        <f>IF(ISNA(F98*VLOOKUP($D98,Hypothèses!$D$6:$F$14,3,0)),0,F98*VLOOKUP($D98,Hypothèses!$D$6:$F$14,3,0))</f>
        <v>0</v>
      </c>
      <c r="AI98" s="1335">
        <f>IF(ISNA(G98*VLOOKUP($D98,Hypothèses!$D$6:$F$14,3,0)),0,G98*VLOOKUP($D98,Hypothèses!$D$6:$F$14,3,0))</f>
        <v>0</v>
      </c>
      <c r="AJ98" s="1335">
        <f>IF(ISNA(H98*VLOOKUP($D98,Hypothèses!$D$6:$F$14,3,0)),0,H98*VLOOKUP($D98,Hypothèses!$D$6:$F$14,3,0))</f>
        <v>0</v>
      </c>
      <c r="AK98" s="1335">
        <f>IF(ISNA(I98*VLOOKUP($D98,Hypothèses!$D$6:$F$14,3,0)),0,I98*VLOOKUP($D98,Hypothèses!$D$6:$F$14,3,0))</f>
        <v>0</v>
      </c>
      <c r="AL98" s="1335">
        <f>IF(ISNA(J98*VLOOKUP($D98,Hypothèses!$D$6:$F$14,3,0)),0,J98*VLOOKUP($D98,Hypothèses!$D$6:$F$14,3,0))</f>
        <v>0</v>
      </c>
      <c r="AM98" s="1335">
        <f>IF(ISNA(K98*VLOOKUP($D98,Hypothèses!$D$6:$F$14,3,0)),0,K98*VLOOKUP($D98,Hypothèses!$D$6:$F$14,3,0))</f>
        <v>0</v>
      </c>
      <c r="AN98" s="1335">
        <f>IF(ISNA(L98*VLOOKUP($D98,Hypothèses!$D$6:$F$14,3,0)),0,L98*VLOOKUP($D98,Hypothèses!$D$6:$F$14,3,0))</f>
        <v>0</v>
      </c>
      <c r="AO98" s="1335">
        <f>IF(ISNA(M98*VLOOKUP($D98,Hypothèses!$D$6:$F$14,3,0)),0,M98*VLOOKUP($D98,Hypothèses!$D$6:$F$14,3,0))</f>
        <v>0</v>
      </c>
      <c r="AP98" s="1335">
        <f>IF(ISNA(N98*VLOOKUP($D98,Hypothèses!$D$6:$F$14,3,0)),0,N98*VLOOKUP($D98,Hypothèses!$D$6:$F$14,3,0))</f>
        <v>0</v>
      </c>
      <c r="AQ98" s="1335">
        <f>IF(ISNA(O98*VLOOKUP($D98,Hypothèses!$D$6:$F$14,3,0)),0,O98*VLOOKUP($D98,Hypothèses!$D$6:$F$14,3,0))</f>
        <v>0</v>
      </c>
      <c r="AR98" s="1335">
        <f>IF(ISNA(P98*VLOOKUP($D98,Hypothèses!$D$6:$F$14,3,0)),0,P98*VLOOKUP($D98,Hypothèses!$D$6:$F$14,3,0))</f>
        <v>0</v>
      </c>
      <c r="AS98" s="1335">
        <f>IF(ISNA(Q98*VLOOKUP($D98,Hypothèses!$D$6:$F$14,3,0)),0,Q98*VLOOKUP($D98,Hypothèses!$D$6:$F$14,3,0))</f>
        <v>0</v>
      </c>
      <c r="AT98" s="1335">
        <f>IF(ISNA(R98*VLOOKUP($D98,Hypothèses!$D$6:$F$14,3,0)),0,R98*VLOOKUP($D98,Hypothèses!$D$6:$F$14,3,0))</f>
        <v>0</v>
      </c>
      <c r="AU98" s="1335">
        <f>IF(ISNA(S98*VLOOKUP($D98,Hypothèses!$D$6:$F$14,3,0)),0,S98*VLOOKUP($D98,Hypothèses!$D$6:$F$14,3,0))</f>
        <v>0</v>
      </c>
      <c r="AV98" s="1335">
        <f>IF(ISNA(T98*VLOOKUP($D98,Hypothèses!$D$6:$F$14,3,0)),0,T98*VLOOKUP($D98,Hypothèses!$D$6:$F$14,3,0))</f>
        <v>0</v>
      </c>
      <c r="AW98" s="1335">
        <f>IF(ISNA(U98*VLOOKUP($D98,Hypothèses!$D$6:$F$14,3,0)),0,U98*VLOOKUP($D98,Hypothèses!$D$6:$F$14,3,0))</f>
        <v>0</v>
      </c>
      <c r="AX98" s="1335">
        <f>IF(ISNA(V98*VLOOKUP($D98,Hypothèses!$D$6:$F$14,3,0)),0,V98*VLOOKUP($D98,Hypothèses!$D$6:$F$14,3,0))</f>
        <v>0</v>
      </c>
      <c r="AY98" s="1335">
        <f>IF(ISNA(W98*VLOOKUP($D98,Hypothèses!$D$6:$F$14,3,0)),0,W98*VLOOKUP($D98,Hypothèses!$D$6:$F$14,3,0))</f>
        <v>0</v>
      </c>
      <c r="AZ98" s="1335">
        <f>IF(ISNA(X98*VLOOKUP($D98,Hypothèses!$D$6:$F$14,3,0)),0,X98*VLOOKUP($D98,Hypothèses!$D$6:$F$14,3,0))</f>
        <v>0</v>
      </c>
      <c r="BA98" s="1335">
        <f>IF(ISNA(Y98*VLOOKUP($D98,Hypothèses!$D$6:$F$14,3,0)),0,Y98*VLOOKUP($D98,Hypothèses!$D$6:$F$14,3,0))</f>
        <v>0</v>
      </c>
      <c r="BB98" s="1335">
        <f>IF(ISNA(Z98*VLOOKUP($D98,Hypothèses!$D$6:$F$14,3,0)),0,Z98*VLOOKUP($D98,Hypothèses!$D$6:$F$14,3,0))</f>
        <v>0</v>
      </c>
      <c r="BC98" s="1335">
        <f>IF(ISNA(AA98*VLOOKUP($D98,Hypothèses!$D$6:$F$14,3,0)),0,AA98*VLOOKUP($D98,Hypothèses!$D$6:$F$14,3,0))</f>
        <v>0</v>
      </c>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row>
    <row r="99" spans="1:89" s="3" customFormat="1">
      <c r="A99" s="1817">
        <v>92</v>
      </c>
      <c r="B99" s="1790"/>
      <c r="C99" s="1333"/>
      <c r="D99" s="1334"/>
      <c r="E99" s="1332" t="str">
        <f>IF(ISNA(VLOOKUP(D99,Hypothèses!$D$6:$G$16,4,0)),"",VLOOKUP(D99,Hypothèses!$D$6:$G$16,4,0))</f>
        <v/>
      </c>
      <c r="F99" s="1842"/>
      <c r="G99" s="1843"/>
      <c r="H99" s="1843"/>
      <c r="I99" s="1843"/>
      <c r="J99" s="1843"/>
      <c r="K99" s="1843"/>
      <c r="L99" s="1843"/>
      <c r="M99" s="1843"/>
      <c r="N99" s="1843"/>
      <c r="O99" s="1843"/>
      <c r="P99" s="1843"/>
      <c r="Q99" s="1843"/>
      <c r="R99" s="1843"/>
      <c r="S99" s="1843"/>
      <c r="T99" s="1843"/>
      <c r="U99" s="1843"/>
      <c r="V99" s="1843"/>
      <c r="W99" s="1843"/>
      <c r="X99" s="1843"/>
      <c r="Y99" s="1843"/>
      <c r="Z99" s="1843"/>
      <c r="AA99" s="1844"/>
      <c r="AB99" s="1335"/>
      <c r="AC99" s="1335"/>
      <c r="AD99" s="1335"/>
      <c r="AE99" s="1335"/>
      <c r="AF99" s="1335"/>
      <c r="AG99"/>
      <c r="AH99" s="1335">
        <f>IF(ISNA(F99*VLOOKUP($D99,Hypothèses!$D$6:$F$14,3,0)),0,F99*VLOOKUP($D99,Hypothèses!$D$6:$F$14,3,0))</f>
        <v>0</v>
      </c>
      <c r="AI99" s="1335">
        <f>IF(ISNA(G99*VLOOKUP($D99,Hypothèses!$D$6:$F$14,3,0)),0,G99*VLOOKUP($D99,Hypothèses!$D$6:$F$14,3,0))</f>
        <v>0</v>
      </c>
      <c r="AJ99" s="1335">
        <f>IF(ISNA(H99*VLOOKUP($D99,Hypothèses!$D$6:$F$14,3,0)),0,H99*VLOOKUP($D99,Hypothèses!$D$6:$F$14,3,0))</f>
        <v>0</v>
      </c>
      <c r="AK99" s="1335">
        <f>IF(ISNA(I99*VLOOKUP($D99,Hypothèses!$D$6:$F$14,3,0)),0,I99*VLOOKUP($D99,Hypothèses!$D$6:$F$14,3,0))</f>
        <v>0</v>
      </c>
      <c r="AL99" s="1335">
        <f>IF(ISNA(J99*VLOOKUP($D99,Hypothèses!$D$6:$F$14,3,0)),0,J99*VLOOKUP($D99,Hypothèses!$D$6:$F$14,3,0))</f>
        <v>0</v>
      </c>
      <c r="AM99" s="1335">
        <f>IF(ISNA(K99*VLOOKUP($D99,Hypothèses!$D$6:$F$14,3,0)),0,K99*VLOOKUP($D99,Hypothèses!$D$6:$F$14,3,0))</f>
        <v>0</v>
      </c>
      <c r="AN99" s="1335">
        <f>IF(ISNA(L99*VLOOKUP($D99,Hypothèses!$D$6:$F$14,3,0)),0,L99*VLOOKUP($D99,Hypothèses!$D$6:$F$14,3,0))</f>
        <v>0</v>
      </c>
      <c r="AO99" s="1335">
        <f>IF(ISNA(M99*VLOOKUP($D99,Hypothèses!$D$6:$F$14,3,0)),0,M99*VLOOKUP($D99,Hypothèses!$D$6:$F$14,3,0))</f>
        <v>0</v>
      </c>
      <c r="AP99" s="1335">
        <f>IF(ISNA(N99*VLOOKUP($D99,Hypothèses!$D$6:$F$14,3,0)),0,N99*VLOOKUP($D99,Hypothèses!$D$6:$F$14,3,0))</f>
        <v>0</v>
      </c>
      <c r="AQ99" s="1335">
        <f>IF(ISNA(O99*VLOOKUP($D99,Hypothèses!$D$6:$F$14,3,0)),0,O99*VLOOKUP($D99,Hypothèses!$D$6:$F$14,3,0))</f>
        <v>0</v>
      </c>
      <c r="AR99" s="1335">
        <f>IF(ISNA(P99*VLOOKUP($D99,Hypothèses!$D$6:$F$14,3,0)),0,P99*VLOOKUP($D99,Hypothèses!$D$6:$F$14,3,0))</f>
        <v>0</v>
      </c>
      <c r="AS99" s="1335">
        <f>IF(ISNA(Q99*VLOOKUP($D99,Hypothèses!$D$6:$F$14,3,0)),0,Q99*VLOOKUP($D99,Hypothèses!$D$6:$F$14,3,0))</f>
        <v>0</v>
      </c>
      <c r="AT99" s="1335">
        <f>IF(ISNA(R99*VLOOKUP($D99,Hypothèses!$D$6:$F$14,3,0)),0,R99*VLOOKUP($D99,Hypothèses!$D$6:$F$14,3,0))</f>
        <v>0</v>
      </c>
      <c r="AU99" s="1335">
        <f>IF(ISNA(S99*VLOOKUP($D99,Hypothèses!$D$6:$F$14,3,0)),0,S99*VLOOKUP($D99,Hypothèses!$D$6:$F$14,3,0))</f>
        <v>0</v>
      </c>
      <c r="AV99" s="1335">
        <f>IF(ISNA(T99*VLOOKUP($D99,Hypothèses!$D$6:$F$14,3,0)),0,T99*VLOOKUP($D99,Hypothèses!$D$6:$F$14,3,0))</f>
        <v>0</v>
      </c>
      <c r="AW99" s="1335">
        <f>IF(ISNA(U99*VLOOKUP($D99,Hypothèses!$D$6:$F$14,3,0)),0,U99*VLOOKUP($D99,Hypothèses!$D$6:$F$14,3,0))</f>
        <v>0</v>
      </c>
      <c r="AX99" s="1335">
        <f>IF(ISNA(V99*VLOOKUP($D99,Hypothèses!$D$6:$F$14,3,0)),0,V99*VLOOKUP($D99,Hypothèses!$D$6:$F$14,3,0))</f>
        <v>0</v>
      </c>
      <c r="AY99" s="1335">
        <f>IF(ISNA(W99*VLOOKUP($D99,Hypothèses!$D$6:$F$14,3,0)),0,W99*VLOOKUP($D99,Hypothèses!$D$6:$F$14,3,0))</f>
        <v>0</v>
      </c>
      <c r="AZ99" s="1335">
        <f>IF(ISNA(X99*VLOOKUP($D99,Hypothèses!$D$6:$F$14,3,0)),0,X99*VLOOKUP($D99,Hypothèses!$D$6:$F$14,3,0))</f>
        <v>0</v>
      </c>
      <c r="BA99" s="1335">
        <f>IF(ISNA(Y99*VLOOKUP($D99,Hypothèses!$D$6:$F$14,3,0)),0,Y99*VLOOKUP($D99,Hypothèses!$D$6:$F$14,3,0))</f>
        <v>0</v>
      </c>
      <c r="BB99" s="1335">
        <f>IF(ISNA(Z99*VLOOKUP($D99,Hypothèses!$D$6:$F$14,3,0)),0,Z99*VLOOKUP($D99,Hypothèses!$D$6:$F$14,3,0))</f>
        <v>0</v>
      </c>
      <c r="BC99" s="1335">
        <f>IF(ISNA(AA99*VLOOKUP($D99,Hypothèses!$D$6:$F$14,3,0)),0,AA99*VLOOKUP($D99,Hypothèses!$D$6:$F$14,3,0))</f>
        <v>0</v>
      </c>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row>
    <row r="100" spans="1:89" s="3" customFormat="1">
      <c r="A100" s="1817">
        <v>93</v>
      </c>
      <c r="B100" s="1790"/>
      <c r="C100" s="1333"/>
      <c r="D100" s="1334"/>
      <c r="E100" s="1332" t="str">
        <f>IF(ISNA(VLOOKUP(D100,Hypothèses!$D$6:$G$16,4,0)),"",VLOOKUP(D100,Hypothèses!$D$6:$G$16,4,0))</f>
        <v/>
      </c>
      <c r="F100" s="1842"/>
      <c r="G100" s="1843"/>
      <c r="H100" s="1843"/>
      <c r="I100" s="1843"/>
      <c r="J100" s="1843"/>
      <c r="K100" s="1843"/>
      <c r="L100" s="1843"/>
      <c r="M100" s="1843"/>
      <c r="N100" s="1843"/>
      <c r="O100" s="1843"/>
      <c r="P100" s="1843"/>
      <c r="Q100" s="1843"/>
      <c r="R100" s="1843"/>
      <c r="S100" s="1843"/>
      <c r="T100" s="1843"/>
      <c r="U100" s="1843"/>
      <c r="V100" s="1843"/>
      <c r="W100" s="1843"/>
      <c r="X100" s="1843"/>
      <c r="Y100" s="1843"/>
      <c r="Z100" s="1843"/>
      <c r="AA100" s="1844"/>
      <c r="AB100" s="1335"/>
      <c r="AC100" s="1335"/>
      <c r="AD100" s="1335"/>
      <c r="AE100" s="1335"/>
      <c r="AF100" s="1335"/>
      <c r="AG100"/>
      <c r="AH100" s="1335">
        <f>IF(ISNA(F100*VLOOKUP($D100,Hypothèses!$D$6:$F$14,3,0)),0,F100*VLOOKUP($D100,Hypothèses!$D$6:$F$14,3,0))</f>
        <v>0</v>
      </c>
      <c r="AI100" s="1335">
        <f>IF(ISNA(G100*VLOOKUP($D100,Hypothèses!$D$6:$F$14,3,0)),0,G100*VLOOKUP($D100,Hypothèses!$D$6:$F$14,3,0))</f>
        <v>0</v>
      </c>
      <c r="AJ100" s="1335">
        <f>IF(ISNA(H100*VLOOKUP($D100,Hypothèses!$D$6:$F$14,3,0)),0,H100*VLOOKUP($D100,Hypothèses!$D$6:$F$14,3,0))</f>
        <v>0</v>
      </c>
      <c r="AK100" s="1335">
        <f>IF(ISNA(I100*VLOOKUP($D100,Hypothèses!$D$6:$F$14,3,0)),0,I100*VLOOKUP($D100,Hypothèses!$D$6:$F$14,3,0))</f>
        <v>0</v>
      </c>
      <c r="AL100" s="1335">
        <f>IF(ISNA(J100*VLOOKUP($D100,Hypothèses!$D$6:$F$14,3,0)),0,J100*VLOOKUP($D100,Hypothèses!$D$6:$F$14,3,0))</f>
        <v>0</v>
      </c>
      <c r="AM100" s="1335">
        <f>IF(ISNA(K100*VLOOKUP($D100,Hypothèses!$D$6:$F$14,3,0)),0,K100*VLOOKUP($D100,Hypothèses!$D$6:$F$14,3,0))</f>
        <v>0</v>
      </c>
      <c r="AN100" s="1335">
        <f>IF(ISNA(L100*VLOOKUP($D100,Hypothèses!$D$6:$F$14,3,0)),0,L100*VLOOKUP($D100,Hypothèses!$D$6:$F$14,3,0))</f>
        <v>0</v>
      </c>
      <c r="AO100" s="1335">
        <f>IF(ISNA(M100*VLOOKUP($D100,Hypothèses!$D$6:$F$14,3,0)),0,M100*VLOOKUP($D100,Hypothèses!$D$6:$F$14,3,0))</f>
        <v>0</v>
      </c>
      <c r="AP100" s="1335">
        <f>IF(ISNA(N100*VLOOKUP($D100,Hypothèses!$D$6:$F$14,3,0)),0,N100*VLOOKUP($D100,Hypothèses!$D$6:$F$14,3,0))</f>
        <v>0</v>
      </c>
      <c r="AQ100" s="1335">
        <f>IF(ISNA(O100*VLOOKUP($D100,Hypothèses!$D$6:$F$14,3,0)),0,O100*VLOOKUP($D100,Hypothèses!$D$6:$F$14,3,0))</f>
        <v>0</v>
      </c>
      <c r="AR100" s="1335">
        <f>IF(ISNA(P100*VLOOKUP($D100,Hypothèses!$D$6:$F$14,3,0)),0,P100*VLOOKUP($D100,Hypothèses!$D$6:$F$14,3,0))</f>
        <v>0</v>
      </c>
      <c r="AS100" s="1335">
        <f>IF(ISNA(Q100*VLOOKUP($D100,Hypothèses!$D$6:$F$14,3,0)),0,Q100*VLOOKUP($D100,Hypothèses!$D$6:$F$14,3,0))</f>
        <v>0</v>
      </c>
      <c r="AT100" s="1335">
        <f>IF(ISNA(R100*VLOOKUP($D100,Hypothèses!$D$6:$F$14,3,0)),0,R100*VLOOKUP($D100,Hypothèses!$D$6:$F$14,3,0))</f>
        <v>0</v>
      </c>
      <c r="AU100" s="1335">
        <f>IF(ISNA(S100*VLOOKUP($D100,Hypothèses!$D$6:$F$14,3,0)),0,S100*VLOOKUP($D100,Hypothèses!$D$6:$F$14,3,0))</f>
        <v>0</v>
      </c>
      <c r="AV100" s="1335">
        <f>IF(ISNA(T100*VLOOKUP($D100,Hypothèses!$D$6:$F$14,3,0)),0,T100*VLOOKUP($D100,Hypothèses!$D$6:$F$14,3,0))</f>
        <v>0</v>
      </c>
      <c r="AW100" s="1335">
        <f>IF(ISNA(U100*VLOOKUP($D100,Hypothèses!$D$6:$F$14,3,0)),0,U100*VLOOKUP($D100,Hypothèses!$D$6:$F$14,3,0))</f>
        <v>0</v>
      </c>
      <c r="AX100" s="1335">
        <f>IF(ISNA(V100*VLOOKUP($D100,Hypothèses!$D$6:$F$14,3,0)),0,V100*VLOOKUP($D100,Hypothèses!$D$6:$F$14,3,0))</f>
        <v>0</v>
      </c>
      <c r="AY100" s="1335">
        <f>IF(ISNA(W100*VLOOKUP($D100,Hypothèses!$D$6:$F$14,3,0)),0,W100*VLOOKUP($D100,Hypothèses!$D$6:$F$14,3,0))</f>
        <v>0</v>
      </c>
      <c r="AZ100" s="1335">
        <f>IF(ISNA(X100*VLOOKUP($D100,Hypothèses!$D$6:$F$14,3,0)),0,X100*VLOOKUP($D100,Hypothèses!$D$6:$F$14,3,0))</f>
        <v>0</v>
      </c>
      <c r="BA100" s="1335">
        <f>IF(ISNA(Y100*VLOOKUP($D100,Hypothèses!$D$6:$F$14,3,0)),0,Y100*VLOOKUP($D100,Hypothèses!$D$6:$F$14,3,0))</f>
        <v>0</v>
      </c>
      <c r="BB100" s="1335">
        <f>IF(ISNA(Z100*VLOOKUP($D100,Hypothèses!$D$6:$F$14,3,0)),0,Z100*VLOOKUP($D100,Hypothèses!$D$6:$F$14,3,0))</f>
        <v>0</v>
      </c>
      <c r="BC100" s="1335">
        <f>IF(ISNA(AA100*VLOOKUP($D100,Hypothèses!$D$6:$F$14,3,0)),0,AA100*VLOOKUP($D100,Hypothèses!$D$6:$F$14,3,0))</f>
        <v>0</v>
      </c>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row>
    <row r="101" spans="1:89" s="3" customFormat="1">
      <c r="A101" s="1817">
        <v>94</v>
      </c>
      <c r="B101" s="1790"/>
      <c r="C101" s="1333"/>
      <c r="D101" s="1334"/>
      <c r="E101" s="1332" t="str">
        <f>IF(ISNA(VLOOKUP(D101,Hypothèses!$D$6:$G$16,4,0)),"",VLOOKUP(D101,Hypothèses!$D$6:$G$16,4,0))</f>
        <v/>
      </c>
      <c r="F101" s="1842"/>
      <c r="G101" s="1843"/>
      <c r="H101" s="1843"/>
      <c r="I101" s="1843"/>
      <c r="J101" s="1843"/>
      <c r="K101" s="1843"/>
      <c r="L101" s="1843"/>
      <c r="M101" s="1843"/>
      <c r="N101" s="1843"/>
      <c r="O101" s="1843"/>
      <c r="P101" s="1843"/>
      <c r="Q101" s="1843"/>
      <c r="R101" s="1843"/>
      <c r="S101" s="1843"/>
      <c r="T101" s="1843"/>
      <c r="U101" s="1843"/>
      <c r="V101" s="1843"/>
      <c r="W101" s="1843"/>
      <c r="X101" s="1843"/>
      <c r="Y101" s="1843"/>
      <c r="Z101" s="1843"/>
      <c r="AA101" s="1844"/>
      <c r="AB101" s="1335"/>
      <c r="AC101" s="1335"/>
      <c r="AD101" s="1335"/>
      <c r="AE101" s="1335"/>
      <c r="AF101" s="1335"/>
      <c r="AG101"/>
      <c r="AH101" s="1335">
        <f>IF(ISNA(F101*VLOOKUP($D101,Hypothèses!$D$6:$F$14,3,0)),0,F101*VLOOKUP($D101,Hypothèses!$D$6:$F$14,3,0))</f>
        <v>0</v>
      </c>
      <c r="AI101" s="1335">
        <f>IF(ISNA(G101*VLOOKUP($D101,Hypothèses!$D$6:$F$14,3,0)),0,G101*VLOOKUP($D101,Hypothèses!$D$6:$F$14,3,0))</f>
        <v>0</v>
      </c>
      <c r="AJ101" s="1335">
        <f>IF(ISNA(H101*VLOOKUP($D101,Hypothèses!$D$6:$F$14,3,0)),0,H101*VLOOKUP($D101,Hypothèses!$D$6:$F$14,3,0))</f>
        <v>0</v>
      </c>
      <c r="AK101" s="1335">
        <f>IF(ISNA(I101*VLOOKUP($D101,Hypothèses!$D$6:$F$14,3,0)),0,I101*VLOOKUP($D101,Hypothèses!$D$6:$F$14,3,0))</f>
        <v>0</v>
      </c>
      <c r="AL101" s="1335">
        <f>IF(ISNA(J101*VLOOKUP($D101,Hypothèses!$D$6:$F$14,3,0)),0,J101*VLOOKUP($D101,Hypothèses!$D$6:$F$14,3,0))</f>
        <v>0</v>
      </c>
      <c r="AM101" s="1335">
        <f>IF(ISNA(K101*VLOOKUP($D101,Hypothèses!$D$6:$F$14,3,0)),0,K101*VLOOKUP($D101,Hypothèses!$D$6:$F$14,3,0))</f>
        <v>0</v>
      </c>
      <c r="AN101" s="1335">
        <f>IF(ISNA(L101*VLOOKUP($D101,Hypothèses!$D$6:$F$14,3,0)),0,L101*VLOOKUP($D101,Hypothèses!$D$6:$F$14,3,0))</f>
        <v>0</v>
      </c>
      <c r="AO101" s="1335">
        <f>IF(ISNA(M101*VLOOKUP($D101,Hypothèses!$D$6:$F$14,3,0)),0,M101*VLOOKUP($D101,Hypothèses!$D$6:$F$14,3,0))</f>
        <v>0</v>
      </c>
      <c r="AP101" s="1335">
        <f>IF(ISNA(N101*VLOOKUP($D101,Hypothèses!$D$6:$F$14,3,0)),0,N101*VLOOKUP($D101,Hypothèses!$D$6:$F$14,3,0))</f>
        <v>0</v>
      </c>
      <c r="AQ101" s="1335">
        <f>IF(ISNA(O101*VLOOKUP($D101,Hypothèses!$D$6:$F$14,3,0)),0,O101*VLOOKUP($D101,Hypothèses!$D$6:$F$14,3,0))</f>
        <v>0</v>
      </c>
      <c r="AR101" s="1335">
        <f>IF(ISNA(P101*VLOOKUP($D101,Hypothèses!$D$6:$F$14,3,0)),0,P101*VLOOKUP($D101,Hypothèses!$D$6:$F$14,3,0))</f>
        <v>0</v>
      </c>
      <c r="AS101" s="1335">
        <f>IF(ISNA(Q101*VLOOKUP($D101,Hypothèses!$D$6:$F$14,3,0)),0,Q101*VLOOKUP($D101,Hypothèses!$D$6:$F$14,3,0))</f>
        <v>0</v>
      </c>
      <c r="AT101" s="1335">
        <f>IF(ISNA(R101*VLOOKUP($D101,Hypothèses!$D$6:$F$14,3,0)),0,R101*VLOOKUP($D101,Hypothèses!$D$6:$F$14,3,0))</f>
        <v>0</v>
      </c>
      <c r="AU101" s="1335">
        <f>IF(ISNA(S101*VLOOKUP($D101,Hypothèses!$D$6:$F$14,3,0)),0,S101*VLOOKUP($D101,Hypothèses!$D$6:$F$14,3,0))</f>
        <v>0</v>
      </c>
      <c r="AV101" s="1335">
        <f>IF(ISNA(T101*VLOOKUP($D101,Hypothèses!$D$6:$F$14,3,0)),0,T101*VLOOKUP($D101,Hypothèses!$D$6:$F$14,3,0))</f>
        <v>0</v>
      </c>
      <c r="AW101" s="1335">
        <f>IF(ISNA(U101*VLOOKUP($D101,Hypothèses!$D$6:$F$14,3,0)),0,U101*VLOOKUP($D101,Hypothèses!$D$6:$F$14,3,0))</f>
        <v>0</v>
      </c>
      <c r="AX101" s="1335">
        <f>IF(ISNA(V101*VLOOKUP($D101,Hypothèses!$D$6:$F$14,3,0)),0,V101*VLOOKUP($D101,Hypothèses!$D$6:$F$14,3,0))</f>
        <v>0</v>
      </c>
      <c r="AY101" s="1335">
        <f>IF(ISNA(W101*VLOOKUP($D101,Hypothèses!$D$6:$F$14,3,0)),0,W101*VLOOKUP($D101,Hypothèses!$D$6:$F$14,3,0))</f>
        <v>0</v>
      </c>
      <c r="AZ101" s="1335">
        <f>IF(ISNA(X101*VLOOKUP($D101,Hypothèses!$D$6:$F$14,3,0)),0,X101*VLOOKUP($D101,Hypothèses!$D$6:$F$14,3,0))</f>
        <v>0</v>
      </c>
      <c r="BA101" s="1335">
        <f>IF(ISNA(Y101*VLOOKUP($D101,Hypothèses!$D$6:$F$14,3,0)),0,Y101*VLOOKUP($D101,Hypothèses!$D$6:$F$14,3,0))</f>
        <v>0</v>
      </c>
      <c r="BB101" s="1335">
        <f>IF(ISNA(Z101*VLOOKUP($D101,Hypothèses!$D$6:$F$14,3,0)),0,Z101*VLOOKUP($D101,Hypothèses!$D$6:$F$14,3,0))</f>
        <v>0</v>
      </c>
      <c r="BC101" s="1335">
        <f>IF(ISNA(AA101*VLOOKUP($D101,Hypothèses!$D$6:$F$14,3,0)),0,AA101*VLOOKUP($D101,Hypothèses!$D$6:$F$14,3,0))</f>
        <v>0</v>
      </c>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row>
    <row r="102" spans="1:89" s="3" customFormat="1">
      <c r="A102" s="1817">
        <v>95</v>
      </c>
      <c r="B102" s="1790"/>
      <c r="C102" s="1333"/>
      <c r="D102" s="1334"/>
      <c r="E102" s="1332" t="str">
        <f>IF(ISNA(VLOOKUP(D102,Hypothèses!$D$6:$G$16,4,0)),"",VLOOKUP(D102,Hypothèses!$D$6:$G$16,4,0))</f>
        <v/>
      </c>
      <c r="F102" s="1842"/>
      <c r="G102" s="1843"/>
      <c r="H102" s="1843"/>
      <c r="I102" s="1843"/>
      <c r="J102" s="1843"/>
      <c r="K102" s="1843"/>
      <c r="L102" s="1843"/>
      <c r="M102" s="1843"/>
      <c r="N102" s="1843"/>
      <c r="O102" s="1843"/>
      <c r="P102" s="1843"/>
      <c r="Q102" s="1843"/>
      <c r="R102" s="1843"/>
      <c r="S102" s="1843"/>
      <c r="T102" s="1843"/>
      <c r="U102" s="1843"/>
      <c r="V102" s="1843"/>
      <c r="W102" s="1843"/>
      <c r="X102" s="1843"/>
      <c r="Y102" s="1843"/>
      <c r="Z102" s="1843"/>
      <c r="AA102" s="1844"/>
      <c r="AB102" s="1335"/>
      <c r="AC102" s="1335"/>
      <c r="AD102" s="1335"/>
      <c r="AE102" s="1335"/>
      <c r="AF102" s="1335"/>
      <c r="AG102"/>
      <c r="AH102" s="1335">
        <f>IF(ISNA(F102*VLOOKUP($D102,Hypothèses!$D$6:$F$14,3,0)),0,F102*VLOOKUP($D102,Hypothèses!$D$6:$F$14,3,0))</f>
        <v>0</v>
      </c>
      <c r="AI102" s="1335">
        <f>IF(ISNA(G102*VLOOKUP($D102,Hypothèses!$D$6:$F$14,3,0)),0,G102*VLOOKUP($D102,Hypothèses!$D$6:$F$14,3,0))</f>
        <v>0</v>
      </c>
      <c r="AJ102" s="1335">
        <f>IF(ISNA(H102*VLOOKUP($D102,Hypothèses!$D$6:$F$14,3,0)),0,H102*VLOOKUP($D102,Hypothèses!$D$6:$F$14,3,0))</f>
        <v>0</v>
      </c>
      <c r="AK102" s="1335">
        <f>IF(ISNA(I102*VLOOKUP($D102,Hypothèses!$D$6:$F$14,3,0)),0,I102*VLOOKUP($D102,Hypothèses!$D$6:$F$14,3,0))</f>
        <v>0</v>
      </c>
      <c r="AL102" s="1335">
        <f>IF(ISNA(J102*VLOOKUP($D102,Hypothèses!$D$6:$F$14,3,0)),0,J102*VLOOKUP($D102,Hypothèses!$D$6:$F$14,3,0))</f>
        <v>0</v>
      </c>
      <c r="AM102" s="1335">
        <f>IF(ISNA(K102*VLOOKUP($D102,Hypothèses!$D$6:$F$14,3,0)),0,K102*VLOOKUP($D102,Hypothèses!$D$6:$F$14,3,0))</f>
        <v>0</v>
      </c>
      <c r="AN102" s="1335">
        <f>IF(ISNA(L102*VLOOKUP($D102,Hypothèses!$D$6:$F$14,3,0)),0,L102*VLOOKUP($D102,Hypothèses!$D$6:$F$14,3,0))</f>
        <v>0</v>
      </c>
      <c r="AO102" s="1335">
        <f>IF(ISNA(M102*VLOOKUP($D102,Hypothèses!$D$6:$F$14,3,0)),0,M102*VLOOKUP($D102,Hypothèses!$D$6:$F$14,3,0))</f>
        <v>0</v>
      </c>
      <c r="AP102" s="1335">
        <f>IF(ISNA(N102*VLOOKUP($D102,Hypothèses!$D$6:$F$14,3,0)),0,N102*VLOOKUP($D102,Hypothèses!$D$6:$F$14,3,0))</f>
        <v>0</v>
      </c>
      <c r="AQ102" s="1335">
        <f>IF(ISNA(O102*VLOOKUP($D102,Hypothèses!$D$6:$F$14,3,0)),0,O102*VLOOKUP($D102,Hypothèses!$D$6:$F$14,3,0))</f>
        <v>0</v>
      </c>
      <c r="AR102" s="1335">
        <f>IF(ISNA(P102*VLOOKUP($D102,Hypothèses!$D$6:$F$14,3,0)),0,P102*VLOOKUP($D102,Hypothèses!$D$6:$F$14,3,0))</f>
        <v>0</v>
      </c>
      <c r="AS102" s="1335">
        <f>IF(ISNA(Q102*VLOOKUP($D102,Hypothèses!$D$6:$F$14,3,0)),0,Q102*VLOOKUP($D102,Hypothèses!$D$6:$F$14,3,0))</f>
        <v>0</v>
      </c>
      <c r="AT102" s="1335">
        <f>IF(ISNA(R102*VLOOKUP($D102,Hypothèses!$D$6:$F$14,3,0)),0,R102*VLOOKUP($D102,Hypothèses!$D$6:$F$14,3,0))</f>
        <v>0</v>
      </c>
      <c r="AU102" s="1335">
        <f>IF(ISNA(S102*VLOOKUP($D102,Hypothèses!$D$6:$F$14,3,0)),0,S102*VLOOKUP($D102,Hypothèses!$D$6:$F$14,3,0))</f>
        <v>0</v>
      </c>
      <c r="AV102" s="1335">
        <f>IF(ISNA(T102*VLOOKUP($D102,Hypothèses!$D$6:$F$14,3,0)),0,T102*VLOOKUP($D102,Hypothèses!$D$6:$F$14,3,0))</f>
        <v>0</v>
      </c>
      <c r="AW102" s="1335">
        <f>IF(ISNA(U102*VLOOKUP($D102,Hypothèses!$D$6:$F$14,3,0)),0,U102*VLOOKUP($D102,Hypothèses!$D$6:$F$14,3,0))</f>
        <v>0</v>
      </c>
      <c r="AX102" s="1335">
        <f>IF(ISNA(V102*VLOOKUP($D102,Hypothèses!$D$6:$F$14,3,0)),0,V102*VLOOKUP($D102,Hypothèses!$D$6:$F$14,3,0))</f>
        <v>0</v>
      </c>
      <c r="AY102" s="1335">
        <f>IF(ISNA(W102*VLOOKUP($D102,Hypothèses!$D$6:$F$14,3,0)),0,W102*VLOOKUP($D102,Hypothèses!$D$6:$F$14,3,0))</f>
        <v>0</v>
      </c>
      <c r="AZ102" s="1335">
        <f>IF(ISNA(X102*VLOOKUP($D102,Hypothèses!$D$6:$F$14,3,0)),0,X102*VLOOKUP($D102,Hypothèses!$D$6:$F$14,3,0))</f>
        <v>0</v>
      </c>
      <c r="BA102" s="1335">
        <f>IF(ISNA(Y102*VLOOKUP($D102,Hypothèses!$D$6:$F$14,3,0)),0,Y102*VLOOKUP($D102,Hypothèses!$D$6:$F$14,3,0))</f>
        <v>0</v>
      </c>
      <c r="BB102" s="1335">
        <f>IF(ISNA(Z102*VLOOKUP($D102,Hypothèses!$D$6:$F$14,3,0)),0,Z102*VLOOKUP($D102,Hypothèses!$D$6:$F$14,3,0))</f>
        <v>0</v>
      </c>
      <c r="BC102" s="1335">
        <f>IF(ISNA(AA102*VLOOKUP($D102,Hypothèses!$D$6:$F$14,3,0)),0,AA102*VLOOKUP($D102,Hypothèses!$D$6:$F$14,3,0))</f>
        <v>0</v>
      </c>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row>
    <row r="103" spans="1:89" s="3" customFormat="1">
      <c r="A103" s="1817">
        <v>96</v>
      </c>
      <c r="B103" s="1790"/>
      <c r="C103" s="1333"/>
      <c r="D103" s="1334"/>
      <c r="E103" s="1332" t="str">
        <f>IF(ISNA(VLOOKUP(D103,Hypothèses!$D$6:$G$16,4,0)),"",VLOOKUP(D103,Hypothèses!$D$6:$G$16,4,0))</f>
        <v/>
      </c>
      <c r="F103" s="1842"/>
      <c r="G103" s="1843"/>
      <c r="H103" s="1843"/>
      <c r="I103" s="1843"/>
      <c r="J103" s="1843"/>
      <c r="K103" s="1843"/>
      <c r="L103" s="1843"/>
      <c r="M103" s="1843"/>
      <c r="N103" s="1843"/>
      <c r="O103" s="1843"/>
      <c r="P103" s="1843"/>
      <c r="Q103" s="1843"/>
      <c r="R103" s="1843"/>
      <c r="S103" s="1843"/>
      <c r="T103" s="1843"/>
      <c r="U103" s="1843"/>
      <c r="V103" s="1843"/>
      <c r="W103" s="1843"/>
      <c r="X103" s="1843"/>
      <c r="Y103" s="1843"/>
      <c r="Z103" s="1843"/>
      <c r="AA103" s="1844"/>
      <c r="AB103" s="1335"/>
      <c r="AC103" s="1335"/>
      <c r="AD103" s="1335"/>
      <c r="AE103" s="1335"/>
      <c r="AF103" s="1335"/>
      <c r="AG103"/>
      <c r="AH103" s="1335">
        <f>IF(ISNA(F103*VLOOKUP($D103,Hypothèses!$D$6:$F$14,3,0)),0,F103*VLOOKUP($D103,Hypothèses!$D$6:$F$14,3,0))</f>
        <v>0</v>
      </c>
      <c r="AI103" s="1335">
        <f>IF(ISNA(G103*VLOOKUP($D103,Hypothèses!$D$6:$F$14,3,0)),0,G103*VLOOKUP($D103,Hypothèses!$D$6:$F$14,3,0))</f>
        <v>0</v>
      </c>
      <c r="AJ103" s="1335">
        <f>IF(ISNA(H103*VLOOKUP($D103,Hypothèses!$D$6:$F$14,3,0)),0,H103*VLOOKUP($D103,Hypothèses!$D$6:$F$14,3,0))</f>
        <v>0</v>
      </c>
      <c r="AK103" s="1335">
        <f>IF(ISNA(I103*VLOOKUP($D103,Hypothèses!$D$6:$F$14,3,0)),0,I103*VLOOKUP($D103,Hypothèses!$D$6:$F$14,3,0))</f>
        <v>0</v>
      </c>
      <c r="AL103" s="1335">
        <f>IF(ISNA(J103*VLOOKUP($D103,Hypothèses!$D$6:$F$14,3,0)),0,J103*VLOOKUP($D103,Hypothèses!$D$6:$F$14,3,0))</f>
        <v>0</v>
      </c>
      <c r="AM103" s="1335">
        <f>IF(ISNA(K103*VLOOKUP($D103,Hypothèses!$D$6:$F$14,3,0)),0,K103*VLOOKUP($D103,Hypothèses!$D$6:$F$14,3,0))</f>
        <v>0</v>
      </c>
      <c r="AN103" s="1335">
        <f>IF(ISNA(L103*VLOOKUP($D103,Hypothèses!$D$6:$F$14,3,0)),0,L103*VLOOKUP($D103,Hypothèses!$D$6:$F$14,3,0))</f>
        <v>0</v>
      </c>
      <c r="AO103" s="1335">
        <f>IF(ISNA(M103*VLOOKUP($D103,Hypothèses!$D$6:$F$14,3,0)),0,M103*VLOOKUP($D103,Hypothèses!$D$6:$F$14,3,0))</f>
        <v>0</v>
      </c>
      <c r="AP103" s="1335">
        <f>IF(ISNA(N103*VLOOKUP($D103,Hypothèses!$D$6:$F$14,3,0)),0,N103*VLOOKUP($D103,Hypothèses!$D$6:$F$14,3,0))</f>
        <v>0</v>
      </c>
      <c r="AQ103" s="1335">
        <f>IF(ISNA(O103*VLOOKUP($D103,Hypothèses!$D$6:$F$14,3,0)),0,O103*VLOOKUP($D103,Hypothèses!$D$6:$F$14,3,0))</f>
        <v>0</v>
      </c>
      <c r="AR103" s="1335">
        <f>IF(ISNA(P103*VLOOKUP($D103,Hypothèses!$D$6:$F$14,3,0)),0,P103*VLOOKUP($D103,Hypothèses!$D$6:$F$14,3,0))</f>
        <v>0</v>
      </c>
      <c r="AS103" s="1335">
        <f>IF(ISNA(Q103*VLOOKUP($D103,Hypothèses!$D$6:$F$14,3,0)),0,Q103*VLOOKUP($D103,Hypothèses!$D$6:$F$14,3,0))</f>
        <v>0</v>
      </c>
      <c r="AT103" s="1335">
        <f>IF(ISNA(R103*VLOOKUP($D103,Hypothèses!$D$6:$F$14,3,0)),0,R103*VLOOKUP($D103,Hypothèses!$D$6:$F$14,3,0))</f>
        <v>0</v>
      </c>
      <c r="AU103" s="1335">
        <f>IF(ISNA(S103*VLOOKUP($D103,Hypothèses!$D$6:$F$14,3,0)),0,S103*VLOOKUP($D103,Hypothèses!$D$6:$F$14,3,0))</f>
        <v>0</v>
      </c>
      <c r="AV103" s="1335">
        <f>IF(ISNA(T103*VLOOKUP($D103,Hypothèses!$D$6:$F$14,3,0)),0,T103*VLOOKUP($D103,Hypothèses!$D$6:$F$14,3,0))</f>
        <v>0</v>
      </c>
      <c r="AW103" s="1335">
        <f>IF(ISNA(U103*VLOOKUP($D103,Hypothèses!$D$6:$F$14,3,0)),0,U103*VLOOKUP($D103,Hypothèses!$D$6:$F$14,3,0))</f>
        <v>0</v>
      </c>
      <c r="AX103" s="1335">
        <f>IF(ISNA(V103*VLOOKUP($D103,Hypothèses!$D$6:$F$14,3,0)),0,V103*VLOOKUP($D103,Hypothèses!$D$6:$F$14,3,0))</f>
        <v>0</v>
      </c>
      <c r="AY103" s="1335">
        <f>IF(ISNA(W103*VLOOKUP($D103,Hypothèses!$D$6:$F$14,3,0)),0,W103*VLOOKUP($D103,Hypothèses!$D$6:$F$14,3,0))</f>
        <v>0</v>
      </c>
      <c r="AZ103" s="1335">
        <f>IF(ISNA(X103*VLOOKUP($D103,Hypothèses!$D$6:$F$14,3,0)),0,X103*VLOOKUP($D103,Hypothèses!$D$6:$F$14,3,0))</f>
        <v>0</v>
      </c>
      <c r="BA103" s="1335">
        <f>IF(ISNA(Y103*VLOOKUP($D103,Hypothèses!$D$6:$F$14,3,0)),0,Y103*VLOOKUP($D103,Hypothèses!$D$6:$F$14,3,0))</f>
        <v>0</v>
      </c>
      <c r="BB103" s="1335">
        <f>IF(ISNA(Z103*VLOOKUP($D103,Hypothèses!$D$6:$F$14,3,0)),0,Z103*VLOOKUP($D103,Hypothèses!$D$6:$F$14,3,0))</f>
        <v>0</v>
      </c>
      <c r="BC103" s="1335">
        <f>IF(ISNA(AA103*VLOOKUP($D103,Hypothèses!$D$6:$F$14,3,0)),0,AA103*VLOOKUP($D103,Hypothèses!$D$6:$F$14,3,0))</f>
        <v>0</v>
      </c>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row>
    <row r="104" spans="1:89" s="3" customFormat="1">
      <c r="A104" s="1817">
        <v>97</v>
      </c>
      <c r="B104" s="1790"/>
      <c r="C104" s="1333"/>
      <c r="D104" s="1334"/>
      <c r="E104" s="1332" t="str">
        <f>IF(ISNA(VLOOKUP(D104,Hypothèses!$D$6:$G$16,4,0)),"",VLOOKUP(D104,Hypothèses!$D$6:$G$16,4,0))</f>
        <v/>
      </c>
      <c r="F104" s="1842"/>
      <c r="G104" s="1843"/>
      <c r="H104" s="1843"/>
      <c r="I104" s="1843"/>
      <c r="J104" s="1843"/>
      <c r="K104" s="1843"/>
      <c r="L104" s="1843"/>
      <c r="M104" s="1843"/>
      <c r="N104" s="1843"/>
      <c r="O104" s="1843"/>
      <c r="P104" s="1843"/>
      <c r="Q104" s="1843"/>
      <c r="R104" s="1843"/>
      <c r="S104" s="1843"/>
      <c r="T104" s="1843"/>
      <c r="U104" s="1843"/>
      <c r="V104" s="1843"/>
      <c r="W104" s="1843"/>
      <c r="X104" s="1843"/>
      <c r="Y104" s="1843"/>
      <c r="Z104" s="1843"/>
      <c r="AA104" s="1844"/>
      <c r="AB104" s="1335"/>
      <c r="AC104" s="1335"/>
      <c r="AD104" s="1335"/>
      <c r="AE104" s="1335"/>
      <c r="AF104" s="1335"/>
      <c r="AG104"/>
      <c r="AH104" s="1335">
        <f>IF(ISNA(F104*VLOOKUP($D104,Hypothèses!$D$6:$F$14,3,0)),0,F104*VLOOKUP($D104,Hypothèses!$D$6:$F$14,3,0))</f>
        <v>0</v>
      </c>
      <c r="AI104" s="1335">
        <f>IF(ISNA(G104*VLOOKUP($D104,Hypothèses!$D$6:$F$14,3,0)),0,G104*VLOOKUP($D104,Hypothèses!$D$6:$F$14,3,0))</f>
        <v>0</v>
      </c>
      <c r="AJ104" s="1335">
        <f>IF(ISNA(H104*VLOOKUP($D104,Hypothèses!$D$6:$F$14,3,0)),0,H104*VLOOKUP($D104,Hypothèses!$D$6:$F$14,3,0))</f>
        <v>0</v>
      </c>
      <c r="AK104" s="1335">
        <f>IF(ISNA(I104*VLOOKUP($D104,Hypothèses!$D$6:$F$14,3,0)),0,I104*VLOOKUP($D104,Hypothèses!$D$6:$F$14,3,0))</f>
        <v>0</v>
      </c>
      <c r="AL104" s="1335">
        <f>IF(ISNA(J104*VLOOKUP($D104,Hypothèses!$D$6:$F$14,3,0)),0,J104*VLOOKUP($D104,Hypothèses!$D$6:$F$14,3,0))</f>
        <v>0</v>
      </c>
      <c r="AM104" s="1335">
        <f>IF(ISNA(K104*VLOOKUP($D104,Hypothèses!$D$6:$F$14,3,0)),0,K104*VLOOKUP($D104,Hypothèses!$D$6:$F$14,3,0))</f>
        <v>0</v>
      </c>
      <c r="AN104" s="1335">
        <f>IF(ISNA(L104*VLOOKUP($D104,Hypothèses!$D$6:$F$14,3,0)),0,L104*VLOOKUP($D104,Hypothèses!$D$6:$F$14,3,0))</f>
        <v>0</v>
      </c>
      <c r="AO104" s="1335">
        <f>IF(ISNA(M104*VLOOKUP($D104,Hypothèses!$D$6:$F$14,3,0)),0,M104*VLOOKUP($D104,Hypothèses!$D$6:$F$14,3,0))</f>
        <v>0</v>
      </c>
      <c r="AP104" s="1335">
        <f>IF(ISNA(N104*VLOOKUP($D104,Hypothèses!$D$6:$F$14,3,0)),0,N104*VLOOKUP($D104,Hypothèses!$D$6:$F$14,3,0))</f>
        <v>0</v>
      </c>
      <c r="AQ104" s="1335">
        <f>IF(ISNA(O104*VLOOKUP($D104,Hypothèses!$D$6:$F$14,3,0)),0,O104*VLOOKUP($D104,Hypothèses!$D$6:$F$14,3,0))</f>
        <v>0</v>
      </c>
      <c r="AR104" s="1335">
        <f>IF(ISNA(P104*VLOOKUP($D104,Hypothèses!$D$6:$F$14,3,0)),0,P104*VLOOKUP($D104,Hypothèses!$D$6:$F$14,3,0))</f>
        <v>0</v>
      </c>
      <c r="AS104" s="1335">
        <f>IF(ISNA(Q104*VLOOKUP($D104,Hypothèses!$D$6:$F$14,3,0)),0,Q104*VLOOKUP($D104,Hypothèses!$D$6:$F$14,3,0))</f>
        <v>0</v>
      </c>
      <c r="AT104" s="1335">
        <f>IF(ISNA(R104*VLOOKUP($D104,Hypothèses!$D$6:$F$14,3,0)),0,R104*VLOOKUP($D104,Hypothèses!$D$6:$F$14,3,0))</f>
        <v>0</v>
      </c>
      <c r="AU104" s="1335">
        <f>IF(ISNA(S104*VLOOKUP($D104,Hypothèses!$D$6:$F$14,3,0)),0,S104*VLOOKUP($D104,Hypothèses!$D$6:$F$14,3,0))</f>
        <v>0</v>
      </c>
      <c r="AV104" s="1335">
        <f>IF(ISNA(T104*VLOOKUP($D104,Hypothèses!$D$6:$F$14,3,0)),0,T104*VLOOKUP($D104,Hypothèses!$D$6:$F$14,3,0))</f>
        <v>0</v>
      </c>
      <c r="AW104" s="1335">
        <f>IF(ISNA(U104*VLOOKUP($D104,Hypothèses!$D$6:$F$14,3,0)),0,U104*VLOOKUP($D104,Hypothèses!$D$6:$F$14,3,0))</f>
        <v>0</v>
      </c>
      <c r="AX104" s="1335">
        <f>IF(ISNA(V104*VLOOKUP($D104,Hypothèses!$D$6:$F$14,3,0)),0,V104*VLOOKUP($D104,Hypothèses!$D$6:$F$14,3,0))</f>
        <v>0</v>
      </c>
      <c r="AY104" s="1335">
        <f>IF(ISNA(W104*VLOOKUP($D104,Hypothèses!$D$6:$F$14,3,0)),0,W104*VLOOKUP($D104,Hypothèses!$D$6:$F$14,3,0))</f>
        <v>0</v>
      </c>
      <c r="AZ104" s="1335">
        <f>IF(ISNA(X104*VLOOKUP($D104,Hypothèses!$D$6:$F$14,3,0)),0,X104*VLOOKUP($D104,Hypothèses!$D$6:$F$14,3,0))</f>
        <v>0</v>
      </c>
      <c r="BA104" s="1335">
        <f>IF(ISNA(Y104*VLOOKUP($D104,Hypothèses!$D$6:$F$14,3,0)),0,Y104*VLOOKUP($D104,Hypothèses!$D$6:$F$14,3,0))</f>
        <v>0</v>
      </c>
      <c r="BB104" s="1335">
        <f>IF(ISNA(Z104*VLOOKUP($D104,Hypothèses!$D$6:$F$14,3,0)),0,Z104*VLOOKUP($D104,Hypothèses!$D$6:$F$14,3,0))</f>
        <v>0</v>
      </c>
      <c r="BC104" s="1335">
        <f>IF(ISNA(AA104*VLOOKUP($D104,Hypothèses!$D$6:$F$14,3,0)),0,AA104*VLOOKUP($D104,Hypothèses!$D$6:$F$14,3,0))</f>
        <v>0</v>
      </c>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row>
    <row r="105" spans="1:89" s="3" customFormat="1">
      <c r="A105" s="1817">
        <v>98</v>
      </c>
      <c r="B105" s="1790"/>
      <c r="C105" s="1333"/>
      <c r="D105" s="1334"/>
      <c r="E105" s="1332" t="str">
        <f>IF(ISNA(VLOOKUP(D105,Hypothèses!$D$6:$G$16,4,0)),"",VLOOKUP(D105,Hypothèses!$D$6:$G$16,4,0))</f>
        <v/>
      </c>
      <c r="F105" s="1842"/>
      <c r="G105" s="1843"/>
      <c r="H105" s="1843"/>
      <c r="I105" s="1843"/>
      <c r="J105" s="1843"/>
      <c r="K105" s="1843"/>
      <c r="L105" s="1843"/>
      <c r="M105" s="1843"/>
      <c r="N105" s="1843"/>
      <c r="O105" s="1843"/>
      <c r="P105" s="1843"/>
      <c r="Q105" s="1843"/>
      <c r="R105" s="1843"/>
      <c r="S105" s="1843"/>
      <c r="T105" s="1843"/>
      <c r="U105" s="1843"/>
      <c r="V105" s="1843"/>
      <c r="W105" s="1843"/>
      <c r="X105" s="1843"/>
      <c r="Y105" s="1843"/>
      <c r="Z105" s="1843"/>
      <c r="AA105" s="1844"/>
      <c r="AB105" s="1335"/>
      <c r="AC105" s="1335"/>
      <c r="AD105" s="1335"/>
      <c r="AE105" s="1335"/>
      <c r="AF105" s="1335"/>
      <c r="AG105"/>
      <c r="AH105" s="1335">
        <f>IF(ISNA(F105*VLOOKUP($D105,Hypothèses!$D$6:$F$14,3,0)),0,F105*VLOOKUP($D105,Hypothèses!$D$6:$F$14,3,0))</f>
        <v>0</v>
      </c>
      <c r="AI105" s="1335">
        <f>IF(ISNA(G105*VLOOKUP($D105,Hypothèses!$D$6:$F$14,3,0)),0,G105*VLOOKUP($D105,Hypothèses!$D$6:$F$14,3,0))</f>
        <v>0</v>
      </c>
      <c r="AJ105" s="1335">
        <f>IF(ISNA(H105*VLOOKUP($D105,Hypothèses!$D$6:$F$14,3,0)),0,H105*VLOOKUP($D105,Hypothèses!$D$6:$F$14,3,0))</f>
        <v>0</v>
      </c>
      <c r="AK105" s="1335">
        <f>IF(ISNA(I105*VLOOKUP($D105,Hypothèses!$D$6:$F$14,3,0)),0,I105*VLOOKUP($D105,Hypothèses!$D$6:$F$14,3,0))</f>
        <v>0</v>
      </c>
      <c r="AL105" s="1335">
        <f>IF(ISNA(J105*VLOOKUP($D105,Hypothèses!$D$6:$F$14,3,0)),0,J105*VLOOKUP($D105,Hypothèses!$D$6:$F$14,3,0))</f>
        <v>0</v>
      </c>
      <c r="AM105" s="1335">
        <f>IF(ISNA(K105*VLOOKUP($D105,Hypothèses!$D$6:$F$14,3,0)),0,K105*VLOOKUP($D105,Hypothèses!$D$6:$F$14,3,0))</f>
        <v>0</v>
      </c>
      <c r="AN105" s="1335">
        <f>IF(ISNA(L105*VLOOKUP($D105,Hypothèses!$D$6:$F$14,3,0)),0,L105*VLOOKUP($D105,Hypothèses!$D$6:$F$14,3,0))</f>
        <v>0</v>
      </c>
      <c r="AO105" s="1335">
        <f>IF(ISNA(M105*VLOOKUP($D105,Hypothèses!$D$6:$F$14,3,0)),0,M105*VLOOKUP($D105,Hypothèses!$D$6:$F$14,3,0))</f>
        <v>0</v>
      </c>
      <c r="AP105" s="1335">
        <f>IF(ISNA(N105*VLOOKUP($D105,Hypothèses!$D$6:$F$14,3,0)),0,N105*VLOOKUP($D105,Hypothèses!$D$6:$F$14,3,0))</f>
        <v>0</v>
      </c>
      <c r="AQ105" s="1335">
        <f>IF(ISNA(O105*VLOOKUP($D105,Hypothèses!$D$6:$F$14,3,0)),0,O105*VLOOKUP($D105,Hypothèses!$D$6:$F$14,3,0))</f>
        <v>0</v>
      </c>
      <c r="AR105" s="1335">
        <f>IF(ISNA(P105*VLOOKUP($D105,Hypothèses!$D$6:$F$14,3,0)),0,P105*VLOOKUP($D105,Hypothèses!$D$6:$F$14,3,0))</f>
        <v>0</v>
      </c>
      <c r="AS105" s="1335">
        <f>IF(ISNA(Q105*VLOOKUP($D105,Hypothèses!$D$6:$F$14,3,0)),0,Q105*VLOOKUP($D105,Hypothèses!$D$6:$F$14,3,0))</f>
        <v>0</v>
      </c>
      <c r="AT105" s="1335">
        <f>IF(ISNA(R105*VLOOKUP($D105,Hypothèses!$D$6:$F$14,3,0)),0,R105*VLOOKUP($D105,Hypothèses!$D$6:$F$14,3,0))</f>
        <v>0</v>
      </c>
      <c r="AU105" s="1335">
        <f>IF(ISNA(S105*VLOOKUP($D105,Hypothèses!$D$6:$F$14,3,0)),0,S105*VLOOKUP($D105,Hypothèses!$D$6:$F$14,3,0))</f>
        <v>0</v>
      </c>
      <c r="AV105" s="1335">
        <f>IF(ISNA(T105*VLOOKUP($D105,Hypothèses!$D$6:$F$14,3,0)),0,T105*VLOOKUP($D105,Hypothèses!$D$6:$F$14,3,0))</f>
        <v>0</v>
      </c>
      <c r="AW105" s="1335">
        <f>IF(ISNA(U105*VLOOKUP($D105,Hypothèses!$D$6:$F$14,3,0)),0,U105*VLOOKUP($D105,Hypothèses!$D$6:$F$14,3,0))</f>
        <v>0</v>
      </c>
      <c r="AX105" s="1335">
        <f>IF(ISNA(V105*VLOOKUP($D105,Hypothèses!$D$6:$F$14,3,0)),0,V105*VLOOKUP($D105,Hypothèses!$D$6:$F$14,3,0))</f>
        <v>0</v>
      </c>
      <c r="AY105" s="1335">
        <f>IF(ISNA(W105*VLOOKUP($D105,Hypothèses!$D$6:$F$14,3,0)),0,W105*VLOOKUP($D105,Hypothèses!$D$6:$F$14,3,0))</f>
        <v>0</v>
      </c>
      <c r="AZ105" s="1335">
        <f>IF(ISNA(X105*VLOOKUP($D105,Hypothèses!$D$6:$F$14,3,0)),0,X105*VLOOKUP($D105,Hypothèses!$D$6:$F$14,3,0))</f>
        <v>0</v>
      </c>
      <c r="BA105" s="1335">
        <f>IF(ISNA(Y105*VLOOKUP($D105,Hypothèses!$D$6:$F$14,3,0)),0,Y105*VLOOKUP($D105,Hypothèses!$D$6:$F$14,3,0))</f>
        <v>0</v>
      </c>
      <c r="BB105" s="1335">
        <f>IF(ISNA(Z105*VLOOKUP($D105,Hypothèses!$D$6:$F$14,3,0)),0,Z105*VLOOKUP($D105,Hypothèses!$D$6:$F$14,3,0))</f>
        <v>0</v>
      </c>
      <c r="BC105" s="1335">
        <f>IF(ISNA(AA105*VLOOKUP($D105,Hypothèses!$D$6:$F$14,3,0)),0,AA105*VLOOKUP($D105,Hypothèses!$D$6:$F$14,3,0))</f>
        <v>0</v>
      </c>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row>
    <row r="106" spans="1:89" s="3" customFormat="1">
      <c r="A106" s="1817">
        <v>99</v>
      </c>
      <c r="B106" s="1790"/>
      <c r="C106" s="1333"/>
      <c r="D106" s="1334"/>
      <c r="E106" s="1332" t="str">
        <f>IF(ISNA(VLOOKUP(D106,Hypothèses!$D$6:$G$16,4,0)),"",VLOOKUP(D106,Hypothèses!$D$6:$G$16,4,0))</f>
        <v/>
      </c>
      <c r="F106" s="1842"/>
      <c r="G106" s="1843"/>
      <c r="H106" s="1843"/>
      <c r="I106" s="1843"/>
      <c r="J106" s="1843"/>
      <c r="K106" s="1843"/>
      <c r="L106" s="1843"/>
      <c r="M106" s="1843"/>
      <c r="N106" s="1843"/>
      <c r="O106" s="1843"/>
      <c r="P106" s="1843"/>
      <c r="Q106" s="1843"/>
      <c r="R106" s="1843"/>
      <c r="S106" s="1843"/>
      <c r="T106" s="1843"/>
      <c r="U106" s="1843"/>
      <c r="V106" s="1843"/>
      <c r="W106" s="1843"/>
      <c r="X106" s="1843"/>
      <c r="Y106" s="1843"/>
      <c r="Z106" s="1843"/>
      <c r="AA106" s="1844"/>
      <c r="AB106" s="1335"/>
      <c r="AC106" s="1335"/>
      <c r="AD106" s="1335"/>
      <c r="AE106" s="1335"/>
      <c r="AF106" s="1335"/>
      <c r="AG106"/>
      <c r="AH106" s="1335">
        <f>IF(ISNA(F106*VLOOKUP($D106,Hypothèses!$D$6:$F$14,3,0)),0,F106*VLOOKUP($D106,Hypothèses!$D$6:$F$14,3,0))</f>
        <v>0</v>
      </c>
      <c r="AI106" s="1335">
        <f>IF(ISNA(G106*VLOOKUP($D106,Hypothèses!$D$6:$F$14,3,0)),0,G106*VLOOKUP($D106,Hypothèses!$D$6:$F$14,3,0))</f>
        <v>0</v>
      </c>
      <c r="AJ106" s="1335">
        <f>IF(ISNA(H106*VLOOKUP($D106,Hypothèses!$D$6:$F$14,3,0)),0,H106*VLOOKUP($D106,Hypothèses!$D$6:$F$14,3,0))</f>
        <v>0</v>
      </c>
      <c r="AK106" s="1335">
        <f>IF(ISNA(I106*VLOOKUP($D106,Hypothèses!$D$6:$F$14,3,0)),0,I106*VLOOKUP($D106,Hypothèses!$D$6:$F$14,3,0))</f>
        <v>0</v>
      </c>
      <c r="AL106" s="1335">
        <f>IF(ISNA(J106*VLOOKUP($D106,Hypothèses!$D$6:$F$14,3,0)),0,J106*VLOOKUP($D106,Hypothèses!$D$6:$F$14,3,0))</f>
        <v>0</v>
      </c>
      <c r="AM106" s="1335">
        <f>IF(ISNA(K106*VLOOKUP($D106,Hypothèses!$D$6:$F$14,3,0)),0,K106*VLOOKUP($D106,Hypothèses!$D$6:$F$14,3,0))</f>
        <v>0</v>
      </c>
      <c r="AN106" s="1335">
        <f>IF(ISNA(L106*VLOOKUP($D106,Hypothèses!$D$6:$F$14,3,0)),0,L106*VLOOKUP($D106,Hypothèses!$D$6:$F$14,3,0))</f>
        <v>0</v>
      </c>
      <c r="AO106" s="1335">
        <f>IF(ISNA(M106*VLOOKUP($D106,Hypothèses!$D$6:$F$14,3,0)),0,M106*VLOOKUP($D106,Hypothèses!$D$6:$F$14,3,0))</f>
        <v>0</v>
      </c>
      <c r="AP106" s="1335">
        <f>IF(ISNA(N106*VLOOKUP($D106,Hypothèses!$D$6:$F$14,3,0)),0,N106*VLOOKUP($D106,Hypothèses!$D$6:$F$14,3,0))</f>
        <v>0</v>
      </c>
      <c r="AQ106" s="1335">
        <f>IF(ISNA(O106*VLOOKUP($D106,Hypothèses!$D$6:$F$14,3,0)),0,O106*VLOOKUP($D106,Hypothèses!$D$6:$F$14,3,0))</f>
        <v>0</v>
      </c>
      <c r="AR106" s="1335">
        <f>IF(ISNA(P106*VLOOKUP($D106,Hypothèses!$D$6:$F$14,3,0)),0,P106*VLOOKUP($D106,Hypothèses!$D$6:$F$14,3,0))</f>
        <v>0</v>
      </c>
      <c r="AS106" s="1335">
        <f>IF(ISNA(Q106*VLOOKUP($D106,Hypothèses!$D$6:$F$14,3,0)),0,Q106*VLOOKUP($D106,Hypothèses!$D$6:$F$14,3,0))</f>
        <v>0</v>
      </c>
      <c r="AT106" s="1335">
        <f>IF(ISNA(R106*VLOOKUP($D106,Hypothèses!$D$6:$F$14,3,0)),0,R106*VLOOKUP($D106,Hypothèses!$D$6:$F$14,3,0))</f>
        <v>0</v>
      </c>
      <c r="AU106" s="1335">
        <f>IF(ISNA(S106*VLOOKUP($D106,Hypothèses!$D$6:$F$14,3,0)),0,S106*VLOOKUP($D106,Hypothèses!$D$6:$F$14,3,0))</f>
        <v>0</v>
      </c>
      <c r="AV106" s="1335">
        <f>IF(ISNA(T106*VLOOKUP($D106,Hypothèses!$D$6:$F$14,3,0)),0,T106*VLOOKUP($D106,Hypothèses!$D$6:$F$14,3,0))</f>
        <v>0</v>
      </c>
      <c r="AW106" s="1335">
        <f>IF(ISNA(U106*VLOOKUP($D106,Hypothèses!$D$6:$F$14,3,0)),0,U106*VLOOKUP($D106,Hypothèses!$D$6:$F$14,3,0))</f>
        <v>0</v>
      </c>
      <c r="AX106" s="1335">
        <f>IF(ISNA(V106*VLOOKUP($D106,Hypothèses!$D$6:$F$14,3,0)),0,V106*VLOOKUP($D106,Hypothèses!$D$6:$F$14,3,0))</f>
        <v>0</v>
      </c>
      <c r="AY106" s="1335">
        <f>IF(ISNA(W106*VLOOKUP($D106,Hypothèses!$D$6:$F$14,3,0)),0,W106*VLOOKUP($D106,Hypothèses!$D$6:$F$14,3,0))</f>
        <v>0</v>
      </c>
      <c r="AZ106" s="1335">
        <f>IF(ISNA(X106*VLOOKUP($D106,Hypothèses!$D$6:$F$14,3,0)),0,X106*VLOOKUP($D106,Hypothèses!$D$6:$F$14,3,0))</f>
        <v>0</v>
      </c>
      <c r="BA106" s="1335">
        <f>IF(ISNA(Y106*VLOOKUP($D106,Hypothèses!$D$6:$F$14,3,0)),0,Y106*VLOOKUP($D106,Hypothèses!$D$6:$F$14,3,0))</f>
        <v>0</v>
      </c>
      <c r="BB106" s="1335">
        <f>IF(ISNA(Z106*VLOOKUP($D106,Hypothèses!$D$6:$F$14,3,0)),0,Z106*VLOOKUP($D106,Hypothèses!$D$6:$F$14,3,0))</f>
        <v>0</v>
      </c>
      <c r="BC106" s="1335">
        <f>IF(ISNA(AA106*VLOOKUP($D106,Hypothèses!$D$6:$F$14,3,0)),0,AA106*VLOOKUP($D106,Hypothèses!$D$6:$F$14,3,0))</f>
        <v>0</v>
      </c>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row>
    <row r="107" spans="1:89" s="3" customFormat="1">
      <c r="A107" s="1817">
        <v>100</v>
      </c>
      <c r="B107" s="1790"/>
      <c r="C107" s="1333"/>
      <c r="D107" s="1334"/>
      <c r="E107" s="1332" t="str">
        <f>IF(ISNA(VLOOKUP(D107,Hypothèses!$D$6:$G$16,4,0)),"",VLOOKUP(D107,Hypothèses!$D$6:$G$16,4,0))</f>
        <v/>
      </c>
      <c r="F107" s="1842"/>
      <c r="G107" s="1843"/>
      <c r="H107" s="1843"/>
      <c r="I107" s="1843"/>
      <c r="J107" s="1843"/>
      <c r="K107" s="1843"/>
      <c r="L107" s="1843"/>
      <c r="M107" s="1843"/>
      <c r="N107" s="1843"/>
      <c r="O107" s="1843"/>
      <c r="P107" s="1843"/>
      <c r="Q107" s="1843"/>
      <c r="R107" s="1843"/>
      <c r="S107" s="1843"/>
      <c r="T107" s="1843"/>
      <c r="U107" s="1843"/>
      <c r="V107" s="1843"/>
      <c r="W107" s="1843"/>
      <c r="X107" s="1843"/>
      <c r="Y107" s="1843"/>
      <c r="Z107" s="1843"/>
      <c r="AA107" s="1844"/>
      <c r="AB107" s="1335"/>
      <c r="AC107" s="1335"/>
      <c r="AD107" s="1335"/>
      <c r="AE107" s="1335"/>
      <c r="AF107" s="1335"/>
      <c r="AG107"/>
      <c r="AH107" s="1335">
        <f>IF(ISNA(F107*VLOOKUP($D107,Hypothèses!$D$6:$F$14,3,0)),0,F107*VLOOKUP($D107,Hypothèses!$D$6:$F$14,3,0))</f>
        <v>0</v>
      </c>
      <c r="AI107" s="1335">
        <f>IF(ISNA(G107*VLOOKUP($D107,Hypothèses!$D$6:$F$14,3,0)),0,G107*VLOOKUP($D107,Hypothèses!$D$6:$F$14,3,0))</f>
        <v>0</v>
      </c>
      <c r="AJ107" s="1335">
        <f>IF(ISNA(H107*VLOOKUP($D107,Hypothèses!$D$6:$F$14,3,0)),0,H107*VLOOKUP($D107,Hypothèses!$D$6:$F$14,3,0))</f>
        <v>0</v>
      </c>
      <c r="AK107" s="1335">
        <f>IF(ISNA(I107*VLOOKUP($D107,Hypothèses!$D$6:$F$14,3,0)),0,I107*VLOOKUP($D107,Hypothèses!$D$6:$F$14,3,0))</f>
        <v>0</v>
      </c>
      <c r="AL107" s="1335">
        <f>IF(ISNA(J107*VLOOKUP($D107,Hypothèses!$D$6:$F$14,3,0)),0,J107*VLOOKUP($D107,Hypothèses!$D$6:$F$14,3,0))</f>
        <v>0</v>
      </c>
      <c r="AM107" s="1335">
        <f>IF(ISNA(K107*VLOOKUP($D107,Hypothèses!$D$6:$F$14,3,0)),0,K107*VLOOKUP($D107,Hypothèses!$D$6:$F$14,3,0))</f>
        <v>0</v>
      </c>
      <c r="AN107" s="1335">
        <f>IF(ISNA(L107*VLOOKUP($D107,Hypothèses!$D$6:$F$14,3,0)),0,L107*VLOOKUP($D107,Hypothèses!$D$6:$F$14,3,0))</f>
        <v>0</v>
      </c>
      <c r="AO107" s="1335">
        <f>IF(ISNA(M107*VLOOKUP($D107,Hypothèses!$D$6:$F$14,3,0)),0,M107*VLOOKUP($D107,Hypothèses!$D$6:$F$14,3,0))</f>
        <v>0</v>
      </c>
      <c r="AP107" s="1335">
        <f>IF(ISNA(N107*VLOOKUP($D107,Hypothèses!$D$6:$F$14,3,0)),0,N107*VLOOKUP($D107,Hypothèses!$D$6:$F$14,3,0))</f>
        <v>0</v>
      </c>
      <c r="AQ107" s="1335">
        <f>IF(ISNA(O107*VLOOKUP($D107,Hypothèses!$D$6:$F$14,3,0)),0,O107*VLOOKUP($D107,Hypothèses!$D$6:$F$14,3,0))</f>
        <v>0</v>
      </c>
      <c r="AR107" s="1335">
        <f>IF(ISNA(P107*VLOOKUP($D107,Hypothèses!$D$6:$F$14,3,0)),0,P107*VLOOKUP($D107,Hypothèses!$D$6:$F$14,3,0))</f>
        <v>0</v>
      </c>
      <c r="AS107" s="1335">
        <f>IF(ISNA(Q107*VLOOKUP($D107,Hypothèses!$D$6:$F$14,3,0)),0,Q107*VLOOKUP($D107,Hypothèses!$D$6:$F$14,3,0))</f>
        <v>0</v>
      </c>
      <c r="AT107" s="1335">
        <f>IF(ISNA(R107*VLOOKUP($D107,Hypothèses!$D$6:$F$14,3,0)),0,R107*VLOOKUP($D107,Hypothèses!$D$6:$F$14,3,0))</f>
        <v>0</v>
      </c>
      <c r="AU107" s="1335">
        <f>IF(ISNA(S107*VLOOKUP($D107,Hypothèses!$D$6:$F$14,3,0)),0,S107*VLOOKUP($D107,Hypothèses!$D$6:$F$14,3,0))</f>
        <v>0</v>
      </c>
      <c r="AV107" s="1335">
        <f>IF(ISNA(T107*VLOOKUP($D107,Hypothèses!$D$6:$F$14,3,0)),0,T107*VLOOKUP($D107,Hypothèses!$D$6:$F$14,3,0))</f>
        <v>0</v>
      </c>
      <c r="AW107" s="1335">
        <f>IF(ISNA(U107*VLOOKUP($D107,Hypothèses!$D$6:$F$14,3,0)),0,U107*VLOOKUP($D107,Hypothèses!$D$6:$F$14,3,0))</f>
        <v>0</v>
      </c>
      <c r="AX107" s="1335">
        <f>IF(ISNA(V107*VLOOKUP($D107,Hypothèses!$D$6:$F$14,3,0)),0,V107*VLOOKUP($D107,Hypothèses!$D$6:$F$14,3,0))</f>
        <v>0</v>
      </c>
      <c r="AY107" s="1335">
        <f>IF(ISNA(W107*VLOOKUP($D107,Hypothèses!$D$6:$F$14,3,0)),0,W107*VLOOKUP($D107,Hypothèses!$D$6:$F$14,3,0))</f>
        <v>0</v>
      </c>
      <c r="AZ107" s="1335">
        <f>IF(ISNA(X107*VLOOKUP($D107,Hypothèses!$D$6:$F$14,3,0)),0,X107*VLOOKUP($D107,Hypothèses!$D$6:$F$14,3,0))</f>
        <v>0</v>
      </c>
      <c r="BA107" s="1335">
        <f>IF(ISNA(Y107*VLOOKUP($D107,Hypothèses!$D$6:$F$14,3,0)),0,Y107*VLOOKUP($D107,Hypothèses!$D$6:$F$14,3,0))</f>
        <v>0</v>
      </c>
      <c r="BB107" s="1335">
        <f>IF(ISNA(Z107*VLOOKUP($D107,Hypothèses!$D$6:$F$14,3,0)),0,Z107*VLOOKUP($D107,Hypothèses!$D$6:$F$14,3,0))</f>
        <v>0</v>
      </c>
      <c r="BC107" s="1335">
        <f>IF(ISNA(AA107*VLOOKUP($D107,Hypothèses!$D$6:$F$14,3,0)),0,AA107*VLOOKUP($D107,Hypothèses!$D$6:$F$14,3,0))</f>
        <v>0</v>
      </c>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row>
    <row r="108" spans="1:89" s="3" customFormat="1">
      <c r="A108" s="1817">
        <v>101</v>
      </c>
      <c r="B108" s="1790"/>
      <c r="C108" s="1333"/>
      <c r="D108" s="1334"/>
      <c r="E108" s="1332" t="str">
        <f>IF(ISNA(VLOOKUP(D108,Hypothèses!$D$6:$G$16,4,0)),"",VLOOKUP(D108,Hypothèses!$D$6:$G$16,4,0))</f>
        <v/>
      </c>
      <c r="F108" s="1842"/>
      <c r="G108" s="1843"/>
      <c r="H108" s="1843"/>
      <c r="I108" s="1843"/>
      <c r="J108" s="1843"/>
      <c r="K108" s="1843"/>
      <c r="L108" s="1843"/>
      <c r="M108" s="1843"/>
      <c r="N108" s="1843"/>
      <c r="O108" s="1843"/>
      <c r="P108" s="1843"/>
      <c r="Q108" s="1843"/>
      <c r="R108" s="1843"/>
      <c r="S108" s="1843"/>
      <c r="T108" s="1843"/>
      <c r="U108" s="1843"/>
      <c r="V108" s="1843"/>
      <c r="W108" s="1843"/>
      <c r="X108" s="1843"/>
      <c r="Y108" s="1843"/>
      <c r="Z108" s="1843"/>
      <c r="AA108" s="1844"/>
      <c r="AB108" s="1335"/>
      <c r="AC108" s="1335"/>
      <c r="AD108" s="1335"/>
      <c r="AE108" s="1335"/>
      <c r="AF108" s="1335"/>
      <c r="AG108"/>
      <c r="AH108" s="1335">
        <f>IF(ISNA(F108*VLOOKUP($D108,Hypothèses!$D$6:$F$14,3,0)),0,F108*VLOOKUP($D108,Hypothèses!$D$6:$F$14,3,0))</f>
        <v>0</v>
      </c>
      <c r="AI108" s="1335">
        <f>IF(ISNA(G108*VLOOKUP($D108,Hypothèses!$D$6:$F$14,3,0)),0,G108*VLOOKUP($D108,Hypothèses!$D$6:$F$14,3,0))</f>
        <v>0</v>
      </c>
      <c r="AJ108" s="1335">
        <f>IF(ISNA(H108*VLOOKUP($D108,Hypothèses!$D$6:$F$14,3,0)),0,H108*VLOOKUP($D108,Hypothèses!$D$6:$F$14,3,0))</f>
        <v>0</v>
      </c>
      <c r="AK108" s="1335">
        <f>IF(ISNA(I108*VLOOKUP($D108,Hypothèses!$D$6:$F$14,3,0)),0,I108*VLOOKUP($D108,Hypothèses!$D$6:$F$14,3,0))</f>
        <v>0</v>
      </c>
      <c r="AL108" s="1335">
        <f>IF(ISNA(J108*VLOOKUP($D108,Hypothèses!$D$6:$F$14,3,0)),0,J108*VLOOKUP($D108,Hypothèses!$D$6:$F$14,3,0))</f>
        <v>0</v>
      </c>
      <c r="AM108" s="1335">
        <f>IF(ISNA(K108*VLOOKUP($D108,Hypothèses!$D$6:$F$14,3,0)),0,K108*VLOOKUP($D108,Hypothèses!$D$6:$F$14,3,0))</f>
        <v>0</v>
      </c>
      <c r="AN108" s="1335">
        <f>IF(ISNA(L108*VLOOKUP($D108,Hypothèses!$D$6:$F$14,3,0)),0,L108*VLOOKUP($D108,Hypothèses!$D$6:$F$14,3,0))</f>
        <v>0</v>
      </c>
      <c r="AO108" s="1335">
        <f>IF(ISNA(M108*VLOOKUP($D108,Hypothèses!$D$6:$F$14,3,0)),0,M108*VLOOKUP($D108,Hypothèses!$D$6:$F$14,3,0))</f>
        <v>0</v>
      </c>
      <c r="AP108" s="1335">
        <f>IF(ISNA(N108*VLOOKUP($D108,Hypothèses!$D$6:$F$14,3,0)),0,N108*VLOOKUP($D108,Hypothèses!$D$6:$F$14,3,0))</f>
        <v>0</v>
      </c>
      <c r="AQ108" s="1335">
        <f>IF(ISNA(O108*VLOOKUP($D108,Hypothèses!$D$6:$F$14,3,0)),0,O108*VLOOKUP($D108,Hypothèses!$D$6:$F$14,3,0))</f>
        <v>0</v>
      </c>
      <c r="AR108" s="1335">
        <f>IF(ISNA(P108*VLOOKUP($D108,Hypothèses!$D$6:$F$14,3,0)),0,P108*VLOOKUP($D108,Hypothèses!$D$6:$F$14,3,0))</f>
        <v>0</v>
      </c>
      <c r="AS108" s="1335">
        <f>IF(ISNA(Q108*VLOOKUP($D108,Hypothèses!$D$6:$F$14,3,0)),0,Q108*VLOOKUP($D108,Hypothèses!$D$6:$F$14,3,0))</f>
        <v>0</v>
      </c>
      <c r="AT108" s="1335">
        <f>IF(ISNA(R108*VLOOKUP($D108,Hypothèses!$D$6:$F$14,3,0)),0,R108*VLOOKUP($D108,Hypothèses!$D$6:$F$14,3,0))</f>
        <v>0</v>
      </c>
      <c r="AU108" s="1335">
        <f>IF(ISNA(S108*VLOOKUP($D108,Hypothèses!$D$6:$F$14,3,0)),0,S108*VLOOKUP($D108,Hypothèses!$D$6:$F$14,3,0))</f>
        <v>0</v>
      </c>
      <c r="AV108" s="1335">
        <f>IF(ISNA(T108*VLOOKUP($D108,Hypothèses!$D$6:$F$14,3,0)),0,T108*VLOOKUP($D108,Hypothèses!$D$6:$F$14,3,0))</f>
        <v>0</v>
      </c>
      <c r="AW108" s="1335">
        <f>IF(ISNA(U108*VLOOKUP($D108,Hypothèses!$D$6:$F$14,3,0)),0,U108*VLOOKUP($D108,Hypothèses!$D$6:$F$14,3,0))</f>
        <v>0</v>
      </c>
      <c r="AX108" s="1335">
        <f>IF(ISNA(V108*VLOOKUP($D108,Hypothèses!$D$6:$F$14,3,0)),0,V108*VLOOKUP($D108,Hypothèses!$D$6:$F$14,3,0))</f>
        <v>0</v>
      </c>
      <c r="AY108" s="1335">
        <f>IF(ISNA(W108*VLOOKUP($D108,Hypothèses!$D$6:$F$14,3,0)),0,W108*VLOOKUP($D108,Hypothèses!$D$6:$F$14,3,0))</f>
        <v>0</v>
      </c>
      <c r="AZ108" s="1335">
        <f>IF(ISNA(X108*VLOOKUP($D108,Hypothèses!$D$6:$F$14,3,0)),0,X108*VLOOKUP($D108,Hypothèses!$D$6:$F$14,3,0))</f>
        <v>0</v>
      </c>
      <c r="BA108" s="1335">
        <f>IF(ISNA(Y108*VLOOKUP($D108,Hypothèses!$D$6:$F$14,3,0)),0,Y108*VLOOKUP($D108,Hypothèses!$D$6:$F$14,3,0))</f>
        <v>0</v>
      </c>
      <c r="BB108" s="1335">
        <f>IF(ISNA(Z108*VLOOKUP($D108,Hypothèses!$D$6:$F$14,3,0)),0,Z108*VLOOKUP($D108,Hypothèses!$D$6:$F$14,3,0))</f>
        <v>0</v>
      </c>
      <c r="BC108" s="1335">
        <f>IF(ISNA(AA108*VLOOKUP($D108,Hypothèses!$D$6:$F$14,3,0)),0,AA108*VLOOKUP($D108,Hypothèses!$D$6:$F$14,3,0))</f>
        <v>0</v>
      </c>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row>
    <row r="109" spans="1:89" s="3" customFormat="1">
      <c r="A109" s="1817">
        <v>102</v>
      </c>
      <c r="B109" s="1790"/>
      <c r="C109" s="1333"/>
      <c r="D109" s="1334"/>
      <c r="E109" s="1332" t="str">
        <f>IF(ISNA(VLOOKUP(D109,Hypothèses!$D$6:$G$16,4,0)),"",VLOOKUP(D109,Hypothèses!$D$6:$G$16,4,0))</f>
        <v/>
      </c>
      <c r="F109" s="1842"/>
      <c r="G109" s="1843"/>
      <c r="H109" s="1843"/>
      <c r="I109" s="1843"/>
      <c r="J109" s="1843"/>
      <c r="K109" s="1843"/>
      <c r="L109" s="1843"/>
      <c r="M109" s="1843"/>
      <c r="N109" s="1843"/>
      <c r="O109" s="1843"/>
      <c r="P109" s="1843"/>
      <c r="Q109" s="1843"/>
      <c r="R109" s="1843"/>
      <c r="S109" s="1843"/>
      <c r="T109" s="1843"/>
      <c r="U109" s="1843"/>
      <c r="V109" s="1843"/>
      <c r="W109" s="1843"/>
      <c r="X109" s="1843"/>
      <c r="Y109" s="1843"/>
      <c r="Z109" s="1843"/>
      <c r="AA109" s="1844"/>
      <c r="AB109" s="1335"/>
      <c r="AC109" s="1335"/>
      <c r="AD109" s="1335"/>
      <c r="AE109" s="1335"/>
      <c r="AF109" s="1335"/>
      <c r="AG109"/>
      <c r="AH109" s="1335">
        <f>IF(ISNA(F109*VLOOKUP($D109,Hypothèses!$D$6:$F$14,3,0)),0,F109*VLOOKUP($D109,Hypothèses!$D$6:$F$14,3,0))</f>
        <v>0</v>
      </c>
      <c r="AI109" s="1335">
        <f>IF(ISNA(G109*VLOOKUP($D109,Hypothèses!$D$6:$F$14,3,0)),0,G109*VLOOKUP($D109,Hypothèses!$D$6:$F$14,3,0))</f>
        <v>0</v>
      </c>
      <c r="AJ109" s="1335">
        <f>IF(ISNA(H109*VLOOKUP($D109,Hypothèses!$D$6:$F$14,3,0)),0,H109*VLOOKUP($D109,Hypothèses!$D$6:$F$14,3,0))</f>
        <v>0</v>
      </c>
      <c r="AK109" s="1335">
        <f>IF(ISNA(I109*VLOOKUP($D109,Hypothèses!$D$6:$F$14,3,0)),0,I109*VLOOKUP($D109,Hypothèses!$D$6:$F$14,3,0))</f>
        <v>0</v>
      </c>
      <c r="AL109" s="1335">
        <f>IF(ISNA(J109*VLOOKUP($D109,Hypothèses!$D$6:$F$14,3,0)),0,J109*VLOOKUP($D109,Hypothèses!$D$6:$F$14,3,0))</f>
        <v>0</v>
      </c>
      <c r="AM109" s="1335">
        <f>IF(ISNA(K109*VLOOKUP($D109,Hypothèses!$D$6:$F$14,3,0)),0,K109*VLOOKUP($D109,Hypothèses!$D$6:$F$14,3,0))</f>
        <v>0</v>
      </c>
      <c r="AN109" s="1335">
        <f>IF(ISNA(L109*VLOOKUP($D109,Hypothèses!$D$6:$F$14,3,0)),0,L109*VLOOKUP($D109,Hypothèses!$D$6:$F$14,3,0))</f>
        <v>0</v>
      </c>
      <c r="AO109" s="1335">
        <f>IF(ISNA(M109*VLOOKUP($D109,Hypothèses!$D$6:$F$14,3,0)),0,M109*VLOOKUP($D109,Hypothèses!$D$6:$F$14,3,0))</f>
        <v>0</v>
      </c>
      <c r="AP109" s="1335">
        <f>IF(ISNA(N109*VLOOKUP($D109,Hypothèses!$D$6:$F$14,3,0)),0,N109*VLOOKUP($D109,Hypothèses!$D$6:$F$14,3,0))</f>
        <v>0</v>
      </c>
      <c r="AQ109" s="1335">
        <f>IF(ISNA(O109*VLOOKUP($D109,Hypothèses!$D$6:$F$14,3,0)),0,O109*VLOOKUP($D109,Hypothèses!$D$6:$F$14,3,0))</f>
        <v>0</v>
      </c>
      <c r="AR109" s="1335">
        <f>IF(ISNA(P109*VLOOKUP($D109,Hypothèses!$D$6:$F$14,3,0)),0,P109*VLOOKUP($D109,Hypothèses!$D$6:$F$14,3,0))</f>
        <v>0</v>
      </c>
      <c r="AS109" s="1335">
        <f>IF(ISNA(Q109*VLOOKUP($D109,Hypothèses!$D$6:$F$14,3,0)),0,Q109*VLOOKUP($D109,Hypothèses!$D$6:$F$14,3,0))</f>
        <v>0</v>
      </c>
      <c r="AT109" s="1335">
        <f>IF(ISNA(R109*VLOOKUP($D109,Hypothèses!$D$6:$F$14,3,0)),0,R109*VLOOKUP($D109,Hypothèses!$D$6:$F$14,3,0))</f>
        <v>0</v>
      </c>
      <c r="AU109" s="1335">
        <f>IF(ISNA(S109*VLOOKUP($D109,Hypothèses!$D$6:$F$14,3,0)),0,S109*VLOOKUP($D109,Hypothèses!$D$6:$F$14,3,0))</f>
        <v>0</v>
      </c>
      <c r="AV109" s="1335">
        <f>IF(ISNA(T109*VLOOKUP($D109,Hypothèses!$D$6:$F$14,3,0)),0,T109*VLOOKUP($D109,Hypothèses!$D$6:$F$14,3,0))</f>
        <v>0</v>
      </c>
      <c r="AW109" s="1335">
        <f>IF(ISNA(U109*VLOOKUP($D109,Hypothèses!$D$6:$F$14,3,0)),0,U109*VLOOKUP($D109,Hypothèses!$D$6:$F$14,3,0))</f>
        <v>0</v>
      </c>
      <c r="AX109" s="1335">
        <f>IF(ISNA(V109*VLOOKUP($D109,Hypothèses!$D$6:$F$14,3,0)),0,V109*VLOOKUP($D109,Hypothèses!$D$6:$F$14,3,0))</f>
        <v>0</v>
      </c>
      <c r="AY109" s="1335">
        <f>IF(ISNA(W109*VLOOKUP($D109,Hypothèses!$D$6:$F$14,3,0)),0,W109*VLOOKUP($D109,Hypothèses!$D$6:$F$14,3,0))</f>
        <v>0</v>
      </c>
      <c r="AZ109" s="1335">
        <f>IF(ISNA(X109*VLOOKUP($D109,Hypothèses!$D$6:$F$14,3,0)),0,X109*VLOOKUP($D109,Hypothèses!$D$6:$F$14,3,0))</f>
        <v>0</v>
      </c>
      <c r="BA109" s="1335">
        <f>IF(ISNA(Y109*VLOOKUP($D109,Hypothèses!$D$6:$F$14,3,0)),0,Y109*VLOOKUP($D109,Hypothèses!$D$6:$F$14,3,0))</f>
        <v>0</v>
      </c>
      <c r="BB109" s="1335">
        <f>IF(ISNA(Z109*VLOOKUP($D109,Hypothèses!$D$6:$F$14,3,0)),0,Z109*VLOOKUP($D109,Hypothèses!$D$6:$F$14,3,0))</f>
        <v>0</v>
      </c>
      <c r="BC109" s="1335">
        <f>IF(ISNA(AA109*VLOOKUP($D109,Hypothèses!$D$6:$F$14,3,0)),0,AA109*VLOOKUP($D109,Hypothèses!$D$6:$F$14,3,0))</f>
        <v>0</v>
      </c>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row>
    <row r="110" spans="1:89" s="3" customFormat="1">
      <c r="A110" s="1817">
        <v>103</v>
      </c>
      <c r="B110" s="1790"/>
      <c r="C110" s="1333"/>
      <c r="D110" s="1334"/>
      <c r="E110" s="1332" t="str">
        <f>IF(ISNA(VLOOKUP(D110,Hypothèses!$D$6:$G$16,4,0)),"",VLOOKUP(D110,Hypothèses!$D$6:$G$16,4,0))</f>
        <v/>
      </c>
      <c r="F110" s="1842"/>
      <c r="G110" s="1843"/>
      <c r="H110" s="1843"/>
      <c r="I110" s="1843"/>
      <c r="J110" s="1843"/>
      <c r="K110" s="1843"/>
      <c r="L110" s="1843"/>
      <c r="M110" s="1843"/>
      <c r="N110" s="1843"/>
      <c r="O110" s="1843"/>
      <c r="P110" s="1843"/>
      <c r="Q110" s="1843"/>
      <c r="R110" s="1843"/>
      <c r="S110" s="1843"/>
      <c r="T110" s="1843"/>
      <c r="U110" s="1843"/>
      <c r="V110" s="1843"/>
      <c r="W110" s="1843"/>
      <c r="X110" s="1843"/>
      <c r="Y110" s="1843"/>
      <c r="Z110" s="1843"/>
      <c r="AA110" s="1844"/>
      <c r="AB110" s="1335"/>
      <c r="AC110" s="1335"/>
      <c r="AD110" s="1335"/>
      <c r="AE110" s="1335"/>
      <c r="AF110" s="1335"/>
      <c r="AG110"/>
      <c r="AH110" s="1335">
        <f>IF(ISNA(F110*VLOOKUP($D110,Hypothèses!$D$6:$F$14,3,0)),0,F110*VLOOKUP($D110,Hypothèses!$D$6:$F$14,3,0))</f>
        <v>0</v>
      </c>
      <c r="AI110" s="1335">
        <f>IF(ISNA(G110*VLOOKUP($D110,Hypothèses!$D$6:$F$14,3,0)),0,G110*VLOOKUP($D110,Hypothèses!$D$6:$F$14,3,0))</f>
        <v>0</v>
      </c>
      <c r="AJ110" s="1335">
        <f>IF(ISNA(H110*VLOOKUP($D110,Hypothèses!$D$6:$F$14,3,0)),0,H110*VLOOKUP($D110,Hypothèses!$D$6:$F$14,3,0))</f>
        <v>0</v>
      </c>
      <c r="AK110" s="1335">
        <f>IF(ISNA(I110*VLOOKUP($D110,Hypothèses!$D$6:$F$14,3,0)),0,I110*VLOOKUP($D110,Hypothèses!$D$6:$F$14,3,0))</f>
        <v>0</v>
      </c>
      <c r="AL110" s="1335">
        <f>IF(ISNA(J110*VLOOKUP($D110,Hypothèses!$D$6:$F$14,3,0)),0,J110*VLOOKUP($D110,Hypothèses!$D$6:$F$14,3,0))</f>
        <v>0</v>
      </c>
      <c r="AM110" s="1335">
        <f>IF(ISNA(K110*VLOOKUP($D110,Hypothèses!$D$6:$F$14,3,0)),0,K110*VLOOKUP($D110,Hypothèses!$D$6:$F$14,3,0))</f>
        <v>0</v>
      </c>
      <c r="AN110" s="1335">
        <f>IF(ISNA(L110*VLOOKUP($D110,Hypothèses!$D$6:$F$14,3,0)),0,L110*VLOOKUP($D110,Hypothèses!$D$6:$F$14,3,0))</f>
        <v>0</v>
      </c>
      <c r="AO110" s="1335">
        <f>IF(ISNA(M110*VLOOKUP($D110,Hypothèses!$D$6:$F$14,3,0)),0,M110*VLOOKUP($D110,Hypothèses!$D$6:$F$14,3,0))</f>
        <v>0</v>
      </c>
      <c r="AP110" s="1335">
        <f>IF(ISNA(N110*VLOOKUP($D110,Hypothèses!$D$6:$F$14,3,0)),0,N110*VLOOKUP($D110,Hypothèses!$D$6:$F$14,3,0))</f>
        <v>0</v>
      </c>
      <c r="AQ110" s="1335">
        <f>IF(ISNA(O110*VLOOKUP($D110,Hypothèses!$D$6:$F$14,3,0)),0,O110*VLOOKUP($D110,Hypothèses!$D$6:$F$14,3,0))</f>
        <v>0</v>
      </c>
      <c r="AR110" s="1335">
        <f>IF(ISNA(P110*VLOOKUP($D110,Hypothèses!$D$6:$F$14,3,0)),0,P110*VLOOKUP($D110,Hypothèses!$D$6:$F$14,3,0))</f>
        <v>0</v>
      </c>
      <c r="AS110" s="1335">
        <f>IF(ISNA(Q110*VLOOKUP($D110,Hypothèses!$D$6:$F$14,3,0)),0,Q110*VLOOKUP($D110,Hypothèses!$D$6:$F$14,3,0))</f>
        <v>0</v>
      </c>
      <c r="AT110" s="1335">
        <f>IF(ISNA(R110*VLOOKUP($D110,Hypothèses!$D$6:$F$14,3,0)),0,R110*VLOOKUP($D110,Hypothèses!$D$6:$F$14,3,0))</f>
        <v>0</v>
      </c>
      <c r="AU110" s="1335">
        <f>IF(ISNA(S110*VLOOKUP($D110,Hypothèses!$D$6:$F$14,3,0)),0,S110*VLOOKUP($D110,Hypothèses!$D$6:$F$14,3,0))</f>
        <v>0</v>
      </c>
      <c r="AV110" s="1335">
        <f>IF(ISNA(T110*VLOOKUP($D110,Hypothèses!$D$6:$F$14,3,0)),0,T110*VLOOKUP($D110,Hypothèses!$D$6:$F$14,3,0))</f>
        <v>0</v>
      </c>
      <c r="AW110" s="1335">
        <f>IF(ISNA(U110*VLOOKUP($D110,Hypothèses!$D$6:$F$14,3,0)),0,U110*VLOOKUP($D110,Hypothèses!$D$6:$F$14,3,0))</f>
        <v>0</v>
      </c>
      <c r="AX110" s="1335">
        <f>IF(ISNA(V110*VLOOKUP($D110,Hypothèses!$D$6:$F$14,3,0)),0,V110*VLOOKUP($D110,Hypothèses!$D$6:$F$14,3,0))</f>
        <v>0</v>
      </c>
      <c r="AY110" s="1335">
        <f>IF(ISNA(W110*VLOOKUP($D110,Hypothèses!$D$6:$F$14,3,0)),0,W110*VLOOKUP($D110,Hypothèses!$D$6:$F$14,3,0))</f>
        <v>0</v>
      </c>
      <c r="AZ110" s="1335">
        <f>IF(ISNA(X110*VLOOKUP($D110,Hypothèses!$D$6:$F$14,3,0)),0,X110*VLOOKUP($D110,Hypothèses!$D$6:$F$14,3,0))</f>
        <v>0</v>
      </c>
      <c r="BA110" s="1335">
        <f>IF(ISNA(Y110*VLOOKUP($D110,Hypothèses!$D$6:$F$14,3,0)),0,Y110*VLOOKUP($D110,Hypothèses!$D$6:$F$14,3,0))</f>
        <v>0</v>
      </c>
      <c r="BB110" s="1335">
        <f>IF(ISNA(Z110*VLOOKUP($D110,Hypothèses!$D$6:$F$14,3,0)),0,Z110*VLOOKUP($D110,Hypothèses!$D$6:$F$14,3,0))</f>
        <v>0</v>
      </c>
      <c r="BC110" s="1335">
        <f>IF(ISNA(AA110*VLOOKUP($D110,Hypothèses!$D$6:$F$14,3,0)),0,AA110*VLOOKUP($D110,Hypothèses!$D$6:$F$14,3,0))</f>
        <v>0</v>
      </c>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row>
    <row r="111" spans="1:89" s="3" customFormat="1">
      <c r="A111" s="1817">
        <v>104</v>
      </c>
      <c r="B111" s="1790"/>
      <c r="C111" s="1333"/>
      <c r="D111" s="1334"/>
      <c r="E111" s="1332" t="str">
        <f>IF(ISNA(VLOOKUP(D111,Hypothèses!$D$6:$G$16,4,0)),"",VLOOKUP(D111,Hypothèses!$D$6:$G$16,4,0))</f>
        <v/>
      </c>
      <c r="F111" s="1842"/>
      <c r="G111" s="1843"/>
      <c r="H111" s="1843"/>
      <c r="I111" s="1843"/>
      <c r="J111" s="1843"/>
      <c r="K111" s="1843"/>
      <c r="L111" s="1843"/>
      <c r="M111" s="1843"/>
      <c r="N111" s="1843"/>
      <c r="O111" s="1843"/>
      <c r="P111" s="1843"/>
      <c r="Q111" s="1843"/>
      <c r="R111" s="1843"/>
      <c r="S111" s="1843"/>
      <c r="T111" s="1843"/>
      <c r="U111" s="1843"/>
      <c r="V111" s="1843"/>
      <c r="W111" s="1843"/>
      <c r="X111" s="1843"/>
      <c r="Y111" s="1843"/>
      <c r="Z111" s="1843"/>
      <c r="AA111" s="1844"/>
      <c r="AB111" s="1335"/>
      <c r="AC111" s="1335"/>
      <c r="AD111" s="1335"/>
      <c r="AE111" s="1335"/>
      <c r="AF111" s="1335"/>
      <c r="AG111"/>
      <c r="AH111" s="1335">
        <f>IF(ISNA(F111*VLOOKUP($D111,Hypothèses!$D$6:$F$14,3,0)),0,F111*VLOOKUP($D111,Hypothèses!$D$6:$F$14,3,0))</f>
        <v>0</v>
      </c>
      <c r="AI111" s="1335">
        <f>IF(ISNA(G111*VLOOKUP($D111,Hypothèses!$D$6:$F$14,3,0)),0,G111*VLOOKUP($D111,Hypothèses!$D$6:$F$14,3,0))</f>
        <v>0</v>
      </c>
      <c r="AJ111" s="1335">
        <f>IF(ISNA(H111*VLOOKUP($D111,Hypothèses!$D$6:$F$14,3,0)),0,H111*VLOOKUP($D111,Hypothèses!$D$6:$F$14,3,0))</f>
        <v>0</v>
      </c>
      <c r="AK111" s="1335">
        <f>IF(ISNA(I111*VLOOKUP($D111,Hypothèses!$D$6:$F$14,3,0)),0,I111*VLOOKUP($D111,Hypothèses!$D$6:$F$14,3,0))</f>
        <v>0</v>
      </c>
      <c r="AL111" s="1335">
        <f>IF(ISNA(J111*VLOOKUP($D111,Hypothèses!$D$6:$F$14,3,0)),0,J111*VLOOKUP($D111,Hypothèses!$D$6:$F$14,3,0))</f>
        <v>0</v>
      </c>
      <c r="AM111" s="1335">
        <f>IF(ISNA(K111*VLOOKUP($D111,Hypothèses!$D$6:$F$14,3,0)),0,K111*VLOOKUP($D111,Hypothèses!$D$6:$F$14,3,0))</f>
        <v>0</v>
      </c>
      <c r="AN111" s="1335">
        <f>IF(ISNA(L111*VLOOKUP($D111,Hypothèses!$D$6:$F$14,3,0)),0,L111*VLOOKUP($D111,Hypothèses!$D$6:$F$14,3,0))</f>
        <v>0</v>
      </c>
      <c r="AO111" s="1335">
        <f>IF(ISNA(M111*VLOOKUP($D111,Hypothèses!$D$6:$F$14,3,0)),0,M111*VLOOKUP($D111,Hypothèses!$D$6:$F$14,3,0))</f>
        <v>0</v>
      </c>
      <c r="AP111" s="1335">
        <f>IF(ISNA(N111*VLOOKUP($D111,Hypothèses!$D$6:$F$14,3,0)),0,N111*VLOOKUP($D111,Hypothèses!$D$6:$F$14,3,0))</f>
        <v>0</v>
      </c>
      <c r="AQ111" s="1335">
        <f>IF(ISNA(O111*VLOOKUP($D111,Hypothèses!$D$6:$F$14,3,0)),0,O111*VLOOKUP($D111,Hypothèses!$D$6:$F$14,3,0))</f>
        <v>0</v>
      </c>
      <c r="AR111" s="1335">
        <f>IF(ISNA(P111*VLOOKUP($D111,Hypothèses!$D$6:$F$14,3,0)),0,P111*VLOOKUP($D111,Hypothèses!$D$6:$F$14,3,0))</f>
        <v>0</v>
      </c>
      <c r="AS111" s="1335">
        <f>IF(ISNA(Q111*VLOOKUP($D111,Hypothèses!$D$6:$F$14,3,0)),0,Q111*VLOOKUP($D111,Hypothèses!$D$6:$F$14,3,0))</f>
        <v>0</v>
      </c>
      <c r="AT111" s="1335">
        <f>IF(ISNA(R111*VLOOKUP($D111,Hypothèses!$D$6:$F$14,3,0)),0,R111*VLOOKUP($D111,Hypothèses!$D$6:$F$14,3,0))</f>
        <v>0</v>
      </c>
      <c r="AU111" s="1335">
        <f>IF(ISNA(S111*VLOOKUP($D111,Hypothèses!$D$6:$F$14,3,0)),0,S111*VLOOKUP($D111,Hypothèses!$D$6:$F$14,3,0))</f>
        <v>0</v>
      </c>
      <c r="AV111" s="1335">
        <f>IF(ISNA(T111*VLOOKUP($D111,Hypothèses!$D$6:$F$14,3,0)),0,T111*VLOOKUP($D111,Hypothèses!$D$6:$F$14,3,0))</f>
        <v>0</v>
      </c>
      <c r="AW111" s="1335">
        <f>IF(ISNA(U111*VLOOKUP($D111,Hypothèses!$D$6:$F$14,3,0)),0,U111*VLOOKUP($D111,Hypothèses!$D$6:$F$14,3,0))</f>
        <v>0</v>
      </c>
      <c r="AX111" s="1335">
        <f>IF(ISNA(V111*VLOOKUP($D111,Hypothèses!$D$6:$F$14,3,0)),0,V111*VLOOKUP($D111,Hypothèses!$D$6:$F$14,3,0))</f>
        <v>0</v>
      </c>
      <c r="AY111" s="1335">
        <f>IF(ISNA(W111*VLOOKUP($D111,Hypothèses!$D$6:$F$14,3,0)),0,W111*VLOOKUP($D111,Hypothèses!$D$6:$F$14,3,0))</f>
        <v>0</v>
      </c>
      <c r="AZ111" s="1335">
        <f>IF(ISNA(X111*VLOOKUP($D111,Hypothèses!$D$6:$F$14,3,0)),0,X111*VLOOKUP($D111,Hypothèses!$D$6:$F$14,3,0))</f>
        <v>0</v>
      </c>
      <c r="BA111" s="1335">
        <f>IF(ISNA(Y111*VLOOKUP($D111,Hypothèses!$D$6:$F$14,3,0)),0,Y111*VLOOKUP($D111,Hypothèses!$D$6:$F$14,3,0))</f>
        <v>0</v>
      </c>
      <c r="BB111" s="1335">
        <f>IF(ISNA(Z111*VLOOKUP($D111,Hypothèses!$D$6:$F$14,3,0)),0,Z111*VLOOKUP($D111,Hypothèses!$D$6:$F$14,3,0))</f>
        <v>0</v>
      </c>
      <c r="BC111" s="1335">
        <f>IF(ISNA(AA111*VLOOKUP($D111,Hypothèses!$D$6:$F$14,3,0)),0,AA111*VLOOKUP($D111,Hypothèses!$D$6:$F$14,3,0))</f>
        <v>0</v>
      </c>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row>
    <row r="112" spans="1:89" s="3" customFormat="1">
      <c r="A112" s="1817">
        <v>105</v>
      </c>
      <c r="B112" s="1790"/>
      <c r="C112" s="1333"/>
      <c r="D112" s="1334"/>
      <c r="E112" s="1332" t="str">
        <f>IF(ISNA(VLOOKUP(D112,Hypothèses!$D$6:$G$16,4,0)),"",VLOOKUP(D112,Hypothèses!$D$6:$G$16,4,0))</f>
        <v/>
      </c>
      <c r="F112" s="1842"/>
      <c r="G112" s="1843"/>
      <c r="H112" s="1843"/>
      <c r="I112" s="1843"/>
      <c r="J112" s="1843"/>
      <c r="K112" s="1843"/>
      <c r="L112" s="1843"/>
      <c r="M112" s="1843"/>
      <c r="N112" s="1843"/>
      <c r="O112" s="1843"/>
      <c r="P112" s="1843"/>
      <c r="Q112" s="1843"/>
      <c r="R112" s="1843"/>
      <c r="S112" s="1843"/>
      <c r="T112" s="1843"/>
      <c r="U112" s="1843"/>
      <c r="V112" s="1843"/>
      <c r="W112" s="1843"/>
      <c r="X112" s="1843"/>
      <c r="Y112" s="1843"/>
      <c r="Z112" s="1843"/>
      <c r="AA112" s="1844"/>
      <c r="AB112" s="1335"/>
      <c r="AC112" s="1335"/>
      <c r="AD112" s="1335"/>
      <c r="AE112" s="1335"/>
      <c r="AF112" s="1335"/>
      <c r="AG112"/>
      <c r="AH112" s="1335">
        <f>IF(ISNA(F112*VLOOKUP($D112,Hypothèses!$D$6:$F$14,3,0)),0,F112*VLOOKUP($D112,Hypothèses!$D$6:$F$14,3,0))</f>
        <v>0</v>
      </c>
      <c r="AI112" s="1335">
        <f>IF(ISNA(G112*VLOOKUP($D112,Hypothèses!$D$6:$F$14,3,0)),0,G112*VLOOKUP($D112,Hypothèses!$D$6:$F$14,3,0))</f>
        <v>0</v>
      </c>
      <c r="AJ112" s="1335">
        <f>IF(ISNA(H112*VLOOKUP($D112,Hypothèses!$D$6:$F$14,3,0)),0,H112*VLOOKUP($D112,Hypothèses!$D$6:$F$14,3,0))</f>
        <v>0</v>
      </c>
      <c r="AK112" s="1335">
        <f>IF(ISNA(I112*VLOOKUP($D112,Hypothèses!$D$6:$F$14,3,0)),0,I112*VLOOKUP($D112,Hypothèses!$D$6:$F$14,3,0))</f>
        <v>0</v>
      </c>
      <c r="AL112" s="1335">
        <f>IF(ISNA(J112*VLOOKUP($D112,Hypothèses!$D$6:$F$14,3,0)),0,J112*VLOOKUP($D112,Hypothèses!$D$6:$F$14,3,0))</f>
        <v>0</v>
      </c>
      <c r="AM112" s="1335">
        <f>IF(ISNA(K112*VLOOKUP($D112,Hypothèses!$D$6:$F$14,3,0)),0,K112*VLOOKUP($D112,Hypothèses!$D$6:$F$14,3,0))</f>
        <v>0</v>
      </c>
      <c r="AN112" s="1335">
        <f>IF(ISNA(L112*VLOOKUP($D112,Hypothèses!$D$6:$F$14,3,0)),0,L112*VLOOKUP($D112,Hypothèses!$D$6:$F$14,3,0))</f>
        <v>0</v>
      </c>
      <c r="AO112" s="1335">
        <f>IF(ISNA(M112*VLOOKUP($D112,Hypothèses!$D$6:$F$14,3,0)),0,M112*VLOOKUP($D112,Hypothèses!$D$6:$F$14,3,0))</f>
        <v>0</v>
      </c>
      <c r="AP112" s="1335">
        <f>IF(ISNA(N112*VLOOKUP($D112,Hypothèses!$D$6:$F$14,3,0)),0,N112*VLOOKUP($D112,Hypothèses!$D$6:$F$14,3,0))</f>
        <v>0</v>
      </c>
      <c r="AQ112" s="1335">
        <f>IF(ISNA(O112*VLOOKUP($D112,Hypothèses!$D$6:$F$14,3,0)),0,O112*VLOOKUP($D112,Hypothèses!$D$6:$F$14,3,0))</f>
        <v>0</v>
      </c>
      <c r="AR112" s="1335">
        <f>IF(ISNA(P112*VLOOKUP($D112,Hypothèses!$D$6:$F$14,3,0)),0,P112*VLOOKUP($D112,Hypothèses!$D$6:$F$14,3,0))</f>
        <v>0</v>
      </c>
      <c r="AS112" s="1335">
        <f>IF(ISNA(Q112*VLOOKUP($D112,Hypothèses!$D$6:$F$14,3,0)),0,Q112*VLOOKUP($D112,Hypothèses!$D$6:$F$14,3,0))</f>
        <v>0</v>
      </c>
      <c r="AT112" s="1335">
        <f>IF(ISNA(R112*VLOOKUP($D112,Hypothèses!$D$6:$F$14,3,0)),0,R112*VLOOKUP($D112,Hypothèses!$D$6:$F$14,3,0))</f>
        <v>0</v>
      </c>
      <c r="AU112" s="1335">
        <f>IF(ISNA(S112*VLOOKUP($D112,Hypothèses!$D$6:$F$14,3,0)),0,S112*VLOOKUP($D112,Hypothèses!$D$6:$F$14,3,0))</f>
        <v>0</v>
      </c>
      <c r="AV112" s="1335">
        <f>IF(ISNA(T112*VLOOKUP($D112,Hypothèses!$D$6:$F$14,3,0)),0,T112*VLOOKUP($D112,Hypothèses!$D$6:$F$14,3,0))</f>
        <v>0</v>
      </c>
      <c r="AW112" s="1335">
        <f>IF(ISNA(U112*VLOOKUP($D112,Hypothèses!$D$6:$F$14,3,0)),0,U112*VLOOKUP($D112,Hypothèses!$D$6:$F$14,3,0))</f>
        <v>0</v>
      </c>
      <c r="AX112" s="1335">
        <f>IF(ISNA(V112*VLOOKUP($D112,Hypothèses!$D$6:$F$14,3,0)),0,V112*VLOOKUP($D112,Hypothèses!$D$6:$F$14,3,0))</f>
        <v>0</v>
      </c>
      <c r="AY112" s="1335">
        <f>IF(ISNA(W112*VLOOKUP($D112,Hypothèses!$D$6:$F$14,3,0)),0,W112*VLOOKUP($D112,Hypothèses!$D$6:$F$14,3,0))</f>
        <v>0</v>
      </c>
      <c r="AZ112" s="1335">
        <f>IF(ISNA(X112*VLOOKUP($D112,Hypothèses!$D$6:$F$14,3,0)),0,X112*VLOOKUP($D112,Hypothèses!$D$6:$F$14,3,0))</f>
        <v>0</v>
      </c>
      <c r="BA112" s="1335">
        <f>IF(ISNA(Y112*VLOOKUP($D112,Hypothèses!$D$6:$F$14,3,0)),0,Y112*VLOOKUP($D112,Hypothèses!$D$6:$F$14,3,0))</f>
        <v>0</v>
      </c>
      <c r="BB112" s="1335">
        <f>IF(ISNA(Z112*VLOOKUP($D112,Hypothèses!$D$6:$F$14,3,0)),0,Z112*VLOOKUP($D112,Hypothèses!$D$6:$F$14,3,0))</f>
        <v>0</v>
      </c>
      <c r="BC112" s="1335">
        <f>IF(ISNA(AA112*VLOOKUP($D112,Hypothèses!$D$6:$F$14,3,0)),0,AA112*VLOOKUP($D112,Hypothèses!$D$6:$F$14,3,0))</f>
        <v>0</v>
      </c>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row>
    <row r="113" spans="1:89" s="3" customFormat="1">
      <c r="A113" s="1817">
        <v>106</v>
      </c>
      <c r="B113" s="1790"/>
      <c r="C113" s="1333"/>
      <c r="D113" s="1334"/>
      <c r="E113" s="1332" t="str">
        <f>IF(ISNA(VLOOKUP(D113,Hypothèses!$D$6:$G$16,4,0)),"",VLOOKUP(D113,Hypothèses!$D$6:$G$16,4,0))</f>
        <v/>
      </c>
      <c r="F113" s="1842"/>
      <c r="G113" s="1843"/>
      <c r="H113" s="1843"/>
      <c r="I113" s="1843"/>
      <c r="J113" s="1843"/>
      <c r="K113" s="1843"/>
      <c r="L113" s="1843"/>
      <c r="M113" s="1843"/>
      <c r="N113" s="1843"/>
      <c r="O113" s="1843"/>
      <c r="P113" s="1843"/>
      <c r="Q113" s="1843"/>
      <c r="R113" s="1843"/>
      <c r="S113" s="1843"/>
      <c r="T113" s="1843"/>
      <c r="U113" s="1843"/>
      <c r="V113" s="1843"/>
      <c r="W113" s="1843"/>
      <c r="X113" s="1843"/>
      <c r="Y113" s="1843"/>
      <c r="Z113" s="1843"/>
      <c r="AA113" s="1844"/>
      <c r="AB113" s="1335"/>
      <c r="AC113" s="1335"/>
      <c r="AD113" s="1335"/>
      <c r="AE113" s="1335"/>
      <c r="AF113" s="1335"/>
      <c r="AG113"/>
      <c r="AH113" s="1335">
        <f>IF(ISNA(F113*VLOOKUP($D113,Hypothèses!$D$6:$F$14,3,0)),0,F113*VLOOKUP($D113,Hypothèses!$D$6:$F$14,3,0))</f>
        <v>0</v>
      </c>
      <c r="AI113" s="1335">
        <f>IF(ISNA(G113*VLOOKUP($D113,Hypothèses!$D$6:$F$14,3,0)),0,G113*VLOOKUP($D113,Hypothèses!$D$6:$F$14,3,0))</f>
        <v>0</v>
      </c>
      <c r="AJ113" s="1335">
        <f>IF(ISNA(H113*VLOOKUP($D113,Hypothèses!$D$6:$F$14,3,0)),0,H113*VLOOKUP($D113,Hypothèses!$D$6:$F$14,3,0))</f>
        <v>0</v>
      </c>
      <c r="AK113" s="1335">
        <f>IF(ISNA(I113*VLOOKUP($D113,Hypothèses!$D$6:$F$14,3,0)),0,I113*VLOOKUP($D113,Hypothèses!$D$6:$F$14,3,0))</f>
        <v>0</v>
      </c>
      <c r="AL113" s="1335">
        <f>IF(ISNA(J113*VLOOKUP($D113,Hypothèses!$D$6:$F$14,3,0)),0,J113*VLOOKUP($D113,Hypothèses!$D$6:$F$14,3,0))</f>
        <v>0</v>
      </c>
      <c r="AM113" s="1335">
        <f>IF(ISNA(K113*VLOOKUP($D113,Hypothèses!$D$6:$F$14,3,0)),0,K113*VLOOKUP($D113,Hypothèses!$D$6:$F$14,3,0))</f>
        <v>0</v>
      </c>
      <c r="AN113" s="1335">
        <f>IF(ISNA(L113*VLOOKUP($D113,Hypothèses!$D$6:$F$14,3,0)),0,L113*VLOOKUP($D113,Hypothèses!$D$6:$F$14,3,0))</f>
        <v>0</v>
      </c>
      <c r="AO113" s="1335">
        <f>IF(ISNA(M113*VLOOKUP($D113,Hypothèses!$D$6:$F$14,3,0)),0,M113*VLOOKUP($D113,Hypothèses!$D$6:$F$14,3,0))</f>
        <v>0</v>
      </c>
      <c r="AP113" s="1335">
        <f>IF(ISNA(N113*VLOOKUP($D113,Hypothèses!$D$6:$F$14,3,0)),0,N113*VLOOKUP($D113,Hypothèses!$D$6:$F$14,3,0))</f>
        <v>0</v>
      </c>
      <c r="AQ113" s="1335">
        <f>IF(ISNA(O113*VLOOKUP($D113,Hypothèses!$D$6:$F$14,3,0)),0,O113*VLOOKUP($D113,Hypothèses!$D$6:$F$14,3,0))</f>
        <v>0</v>
      </c>
      <c r="AR113" s="1335">
        <f>IF(ISNA(P113*VLOOKUP($D113,Hypothèses!$D$6:$F$14,3,0)),0,P113*VLOOKUP($D113,Hypothèses!$D$6:$F$14,3,0))</f>
        <v>0</v>
      </c>
      <c r="AS113" s="1335">
        <f>IF(ISNA(Q113*VLOOKUP($D113,Hypothèses!$D$6:$F$14,3,0)),0,Q113*VLOOKUP($D113,Hypothèses!$D$6:$F$14,3,0))</f>
        <v>0</v>
      </c>
      <c r="AT113" s="1335">
        <f>IF(ISNA(R113*VLOOKUP($D113,Hypothèses!$D$6:$F$14,3,0)),0,R113*VLOOKUP($D113,Hypothèses!$D$6:$F$14,3,0))</f>
        <v>0</v>
      </c>
      <c r="AU113" s="1335">
        <f>IF(ISNA(S113*VLOOKUP($D113,Hypothèses!$D$6:$F$14,3,0)),0,S113*VLOOKUP($D113,Hypothèses!$D$6:$F$14,3,0))</f>
        <v>0</v>
      </c>
      <c r="AV113" s="1335">
        <f>IF(ISNA(T113*VLOOKUP($D113,Hypothèses!$D$6:$F$14,3,0)),0,T113*VLOOKUP($D113,Hypothèses!$D$6:$F$14,3,0))</f>
        <v>0</v>
      </c>
      <c r="AW113" s="1335">
        <f>IF(ISNA(U113*VLOOKUP($D113,Hypothèses!$D$6:$F$14,3,0)),0,U113*VLOOKUP($D113,Hypothèses!$D$6:$F$14,3,0))</f>
        <v>0</v>
      </c>
      <c r="AX113" s="1335">
        <f>IF(ISNA(V113*VLOOKUP($D113,Hypothèses!$D$6:$F$14,3,0)),0,V113*VLOOKUP($D113,Hypothèses!$D$6:$F$14,3,0))</f>
        <v>0</v>
      </c>
      <c r="AY113" s="1335">
        <f>IF(ISNA(W113*VLOOKUP($D113,Hypothèses!$D$6:$F$14,3,0)),0,W113*VLOOKUP($D113,Hypothèses!$D$6:$F$14,3,0))</f>
        <v>0</v>
      </c>
      <c r="AZ113" s="1335">
        <f>IF(ISNA(X113*VLOOKUP($D113,Hypothèses!$D$6:$F$14,3,0)),0,X113*VLOOKUP($D113,Hypothèses!$D$6:$F$14,3,0))</f>
        <v>0</v>
      </c>
      <c r="BA113" s="1335">
        <f>IF(ISNA(Y113*VLOOKUP($D113,Hypothèses!$D$6:$F$14,3,0)),0,Y113*VLOOKUP($D113,Hypothèses!$D$6:$F$14,3,0))</f>
        <v>0</v>
      </c>
      <c r="BB113" s="1335">
        <f>IF(ISNA(Z113*VLOOKUP($D113,Hypothèses!$D$6:$F$14,3,0)),0,Z113*VLOOKUP($D113,Hypothèses!$D$6:$F$14,3,0))</f>
        <v>0</v>
      </c>
      <c r="BC113" s="1335">
        <f>IF(ISNA(AA113*VLOOKUP($D113,Hypothèses!$D$6:$F$14,3,0)),0,AA113*VLOOKUP($D113,Hypothèses!$D$6:$F$14,3,0))</f>
        <v>0</v>
      </c>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row>
    <row r="114" spans="1:89" s="3" customFormat="1">
      <c r="A114" s="1817">
        <v>107</v>
      </c>
      <c r="B114" s="1790"/>
      <c r="C114" s="1333"/>
      <c r="D114" s="1334"/>
      <c r="E114" s="1332" t="str">
        <f>IF(ISNA(VLOOKUP(D114,Hypothèses!$D$6:$G$16,4,0)),"",VLOOKUP(D114,Hypothèses!$D$6:$G$16,4,0))</f>
        <v/>
      </c>
      <c r="F114" s="1842"/>
      <c r="G114" s="1843"/>
      <c r="H114" s="1843"/>
      <c r="I114" s="1843"/>
      <c r="J114" s="1843"/>
      <c r="K114" s="1843"/>
      <c r="L114" s="1843"/>
      <c r="M114" s="1843"/>
      <c r="N114" s="1843"/>
      <c r="O114" s="1843"/>
      <c r="P114" s="1843"/>
      <c r="Q114" s="1843"/>
      <c r="R114" s="1843"/>
      <c r="S114" s="1843"/>
      <c r="T114" s="1843"/>
      <c r="U114" s="1843"/>
      <c r="V114" s="1843"/>
      <c r="W114" s="1843"/>
      <c r="X114" s="1843"/>
      <c r="Y114" s="1843"/>
      <c r="Z114" s="1843"/>
      <c r="AA114" s="1844"/>
      <c r="AB114" s="1335"/>
      <c r="AC114" s="1335"/>
      <c r="AD114" s="1335"/>
      <c r="AE114" s="1335"/>
      <c r="AF114" s="1335"/>
      <c r="AG114"/>
      <c r="AH114" s="1335">
        <f>IF(ISNA(F114*VLOOKUP($D114,Hypothèses!$D$6:$F$14,3,0)),0,F114*VLOOKUP($D114,Hypothèses!$D$6:$F$14,3,0))</f>
        <v>0</v>
      </c>
      <c r="AI114" s="1335">
        <f>IF(ISNA(G114*VLOOKUP($D114,Hypothèses!$D$6:$F$14,3,0)),0,G114*VLOOKUP($D114,Hypothèses!$D$6:$F$14,3,0))</f>
        <v>0</v>
      </c>
      <c r="AJ114" s="1335">
        <f>IF(ISNA(H114*VLOOKUP($D114,Hypothèses!$D$6:$F$14,3,0)),0,H114*VLOOKUP($D114,Hypothèses!$D$6:$F$14,3,0))</f>
        <v>0</v>
      </c>
      <c r="AK114" s="1335">
        <f>IF(ISNA(I114*VLOOKUP($D114,Hypothèses!$D$6:$F$14,3,0)),0,I114*VLOOKUP($D114,Hypothèses!$D$6:$F$14,3,0))</f>
        <v>0</v>
      </c>
      <c r="AL114" s="1335">
        <f>IF(ISNA(J114*VLOOKUP($D114,Hypothèses!$D$6:$F$14,3,0)),0,J114*VLOOKUP($D114,Hypothèses!$D$6:$F$14,3,0))</f>
        <v>0</v>
      </c>
      <c r="AM114" s="1335">
        <f>IF(ISNA(K114*VLOOKUP($D114,Hypothèses!$D$6:$F$14,3,0)),0,K114*VLOOKUP($D114,Hypothèses!$D$6:$F$14,3,0))</f>
        <v>0</v>
      </c>
      <c r="AN114" s="1335">
        <f>IF(ISNA(L114*VLOOKUP($D114,Hypothèses!$D$6:$F$14,3,0)),0,L114*VLOOKUP($D114,Hypothèses!$D$6:$F$14,3,0))</f>
        <v>0</v>
      </c>
      <c r="AO114" s="1335">
        <f>IF(ISNA(M114*VLOOKUP($D114,Hypothèses!$D$6:$F$14,3,0)),0,M114*VLOOKUP($D114,Hypothèses!$D$6:$F$14,3,0))</f>
        <v>0</v>
      </c>
      <c r="AP114" s="1335">
        <f>IF(ISNA(N114*VLOOKUP($D114,Hypothèses!$D$6:$F$14,3,0)),0,N114*VLOOKUP($D114,Hypothèses!$D$6:$F$14,3,0))</f>
        <v>0</v>
      </c>
      <c r="AQ114" s="1335">
        <f>IF(ISNA(O114*VLOOKUP($D114,Hypothèses!$D$6:$F$14,3,0)),0,O114*VLOOKUP($D114,Hypothèses!$D$6:$F$14,3,0))</f>
        <v>0</v>
      </c>
      <c r="AR114" s="1335">
        <f>IF(ISNA(P114*VLOOKUP($D114,Hypothèses!$D$6:$F$14,3,0)),0,P114*VLOOKUP($D114,Hypothèses!$D$6:$F$14,3,0))</f>
        <v>0</v>
      </c>
      <c r="AS114" s="1335">
        <f>IF(ISNA(Q114*VLOOKUP($D114,Hypothèses!$D$6:$F$14,3,0)),0,Q114*VLOOKUP($D114,Hypothèses!$D$6:$F$14,3,0))</f>
        <v>0</v>
      </c>
      <c r="AT114" s="1335">
        <f>IF(ISNA(R114*VLOOKUP($D114,Hypothèses!$D$6:$F$14,3,0)),0,R114*VLOOKUP($D114,Hypothèses!$D$6:$F$14,3,0))</f>
        <v>0</v>
      </c>
      <c r="AU114" s="1335">
        <f>IF(ISNA(S114*VLOOKUP($D114,Hypothèses!$D$6:$F$14,3,0)),0,S114*VLOOKUP($D114,Hypothèses!$D$6:$F$14,3,0))</f>
        <v>0</v>
      </c>
      <c r="AV114" s="1335">
        <f>IF(ISNA(T114*VLOOKUP($D114,Hypothèses!$D$6:$F$14,3,0)),0,T114*VLOOKUP($D114,Hypothèses!$D$6:$F$14,3,0))</f>
        <v>0</v>
      </c>
      <c r="AW114" s="1335">
        <f>IF(ISNA(U114*VLOOKUP($D114,Hypothèses!$D$6:$F$14,3,0)),0,U114*VLOOKUP($D114,Hypothèses!$D$6:$F$14,3,0))</f>
        <v>0</v>
      </c>
      <c r="AX114" s="1335">
        <f>IF(ISNA(V114*VLOOKUP($D114,Hypothèses!$D$6:$F$14,3,0)),0,V114*VLOOKUP($D114,Hypothèses!$D$6:$F$14,3,0))</f>
        <v>0</v>
      </c>
      <c r="AY114" s="1335">
        <f>IF(ISNA(W114*VLOOKUP($D114,Hypothèses!$D$6:$F$14,3,0)),0,W114*VLOOKUP($D114,Hypothèses!$D$6:$F$14,3,0))</f>
        <v>0</v>
      </c>
      <c r="AZ114" s="1335">
        <f>IF(ISNA(X114*VLOOKUP($D114,Hypothèses!$D$6:$F$14,3,0)),0,X114*VLOOKUP($D114,Hypothèses!$D$6:$F$14,3,0))</f>
        <v>0</v>
      </c>
      <c r="BA114" s="1335">
        <f>IF(ISNA(Y114*VLOOKUP($D114,Hypothèses!$D$6:$F$14,3,0)),0,Y114*VLOOKUP($D114,Hypothèses!$D$6:$F$14,3,0))</f>
        <v>0</v>
      </c>
      <c r="BB114" s="1335">
        <f>IF(ISNA(Z114*VLOOKUP($D114,Hypothèses!$D$6:$F$14,3,0)),0,Z114*VLOOKUP($D114,Hypothèses!$D$6:$F$14,3,0))</f>
        <v>0</v>
      </c>
      <c r="BC114" s="1335">
        <f>IF(ISNA(AA114*VLOOKUP($D114,Hypothèses!$D$6:$F$14,3,0)),0,AA114*VLOOKUP($D114,Hypothèses!$D$6:$F$14,3,0))</f>
        <v>0</v>
      </c>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row>
    <row r="115" spans="1:89" s="3" customFormat="1">
      <c r="A115" s="1817">
        <v>108</v>
      </c>
      <c r="B115" s="1790"/>
      <c r="C115" s="1333"/>
      <c r="D115" s="1334"/>
      <c r="E115" s="1332" t="str">
        <f>IF(ISNA(VLOOKUP(D115,Hypothèses!$D$6:$G$16,4,0)),"",VLOOKUP(D115,Hypothèses!$D$6:$G$16,4,0))</f>
        <v/>
      </c>
      <c r="F115" s="1842"/>
      <c r="G115" s="1843"/>
      <c r="H115" s="1843"/>
      <c r="I115" s="1843"/>
      <c r="J115" s="1843"/>
      <c r="K115" s="1843"/>
      <c r="L115" s="1843"/>
      <c r="M115" s="1843"/>
      <c r="N115" s="1843"/>
      <c r="O115" s="1843"/>
      <c r="P115" s="1843"/>
      <c r="Q115" s="1843"/>
      <c r="R115" s="1843"/>
      <c r="S115" s="1843"/>
      <c r="T115" s="1843"/>
      <c r="U115" s="1843"/>
      <c r="V115" s="1843"/>
      <c r="W115" s="1843"/>
      <c r="X115" s="1843"/>
      <c r="Y115" s="1843"/>
      <c r="Z115" s="1843"/>
      <c r="AA115" s="1844"/>
      <c r="AB115" s="1335"/>
      <c r="AC115" s="1335"/>
      <c r="AD115" s="1335"/>
      <c r="AE115" s="1335"/>
      <c r="AF115" s="1335"/>
      <c r="AG115"/>
      <c r="AH115" s="1335">
        <f>IF(ISNA(F115*VLOOKUP($D115,Hypothèses!$D$6:$F$14,3,0)),0,F115*VLOOKUP($D115,Hypothèses!$D$6:$F$14,3,0))</f>
        <v>0</v>
      </c>
      <c r="AI115" s="1335">
        <f>IF(ISNA(G115*VLOOKUP($D115,Hypothèses!$D$6:$F$14,3,0)),0,G115*VLOOKUP($D115,Hypothèses!$D$6:$F$14,3,0))</f>
        <v>0</v>
      </c>
      <c r="AJ115" s="1335">
        <f>IF(ISNA(H115*VLOOKUP($D115,Hypothèses!$D$6:$F$14,3,0)),0,H115*VLOOKUP($D115,Hypothèses!$D$6:$F$14,3,0))</f>
        <v>0</v>
      </c>
      <c r="AK115" s="1335">
        <f>IF(ISNA(I115*VLOOKUP($D115,Hypothèses!$D$6:$F$14,3,0)),0,I115*VLOOKUP($D115,Hypothèses!$D$6:$F$14,3,0))</f>
        <v>0</v>
      </c>
      <c r="AL115" s="1335">
        <f>IF(ISNA(J115*VLOOKUP($D115,Hypothèses!$D$6:$F$14,3,0)),0,J115*VLOOKUP($D115,Hypothèses!$D$6:$F$14,3,0))</f>
        <v>0</v>
      </c>
      <c r="AM115" s="1335">
        <f>IF(ISNA(K115*VLOOKUP($D115,Hypothèses!$D$6:$F$14,3,0)),0,K115*VLOOKUP($D115,Hypothèses!$D$6:$F$14,3,0))</f>
        <v>0</v>
      </c>
      <c r="AN115" s="1335">
        <f>IF(ISNA(L115*VLOOKUP($D115,Hypothèses!$D$6:$F$14,3,0)),0,L115*VLOOKUP($D115,Hypothèses!$D$6:$F$14,3,0))</f>
        <v>0</v>
      </c>
      <c r="AO115" s="1335">
        <f>IF(ISNA(M115*VLOOKUP($D115,Hypothèses!$D$6:$F$14,3,0)),0,M115*VLOOKUP($D115,Hypothèses!$D$6:$F$14,3,0))</f>
        <v>0</v>
      </c>
      <c r="AP115" s="1335">
        <f>IF(ISNA(N115*VLOOKUP($D115,Hypothèses!$D$6:$F$14,3,0)),0,N115*VLOOKUP($D115,Hypothèses!$D$6:$F$14,3,0))</f>
        <v>0</v>
      </c>
      <c r="AQ115" s="1335">
        <f>IF(ISNA(O115*VLOOKUP($D115,Hypothèses!$D$6:$F$14,3,0)),0,O115*VLOOKUP($D115,Hypothèses!$D$6:$F$14,3,0))</f>
        <v>0</v>
      </c>
      <c r="AR115" s="1335">
        <f>IF(ISNA(P115*VLOOKUP($D115,Hypothèses!$D$6:$F$14,3,0)),0,P115*VLOOKUP($D115,Hypothèses!$D$6:$F$14,3,0))</f>
        <v>0</v>
      </c>
      <c r="AS115" s="1335">
        <f>IF(ISNA(Q115*VLOOKUP($D115,Hypothèses!$D$6:$F$14,3,0)),0,Q115*VLOOKUP($D115,Hypothèses!$D$6:$F$14,3,0))</f>
        <v>0</v>
      </c>
      <c r="AT115" s="1335">
        <f>IF(ISNA(R115*VLOOKUP($D115,Hypothèses!$D$6:$F$14,3,0)),0,R115*VLOOKUP($D115,Hypothèses!$D$6:$F$14,3,0))</f>
        <v>0</v>
      </c>
      <c r="AU115" s="1335">
        <f>IF(ISNA(S115*VLOOKUP($D115,Hypothèses!$D$6:$F$14,3,0)),0,S115*VLOOKUP($D115,Hypothèses!$D$6:$F$14,3,0))</f>
        <v>0</v>
      </c>
      <c r="AV115" s="1335">
        <f>IF(ISNA(T115*VLOOKUP($D115,Hypothèses!$D$6:$F$14,3,0)),0,T115*VLOOKUP($D115,Hypothèses!$D$6:$F$14,3,0))</f>
        <v>0</v>
      </c>
      <c r="AW115" s="1335">
        <f>IF(ISNA(U115*VLOOKUP($D115,Hypothèses!$D$6:$F$14,3,0)),0,U115*VLOOKUP($D115,Hypothèses!$D$6:$F$14,3,0))</f>
        <v>0</v>
      </c>
      <c r="AX115" s="1335">
        <f>IF(ISNA(V115*VLOOKUP($D115,Hypothèses!$D$6:$F$14,3,0)),0,V115*VLOOKUP($D115,Hypothèses!$D$6:$F$14,3,0))</f>
        <v>0</v>
      </c>
      <c r="AY115" s="1335">
        <f>IF(ISNA(W115*VLOOKUP($D115,Hypothèses!$D$6:$F$14,3,0)),0,W115*VLOOKUP($D115,Hypothèses!$D$6:$F$14,3,0))</f>
        <v>0</v>
      </c>
      <c r="AZ115" s="1335">
        <f>IF(ISNA(X115*VLOOKUP($D115,Hypothèses!$D$6:$F$14,3,0)),0,X115*VLOOKUP($D115,Hypothèses!$D$6:$F$14,3,0))</f>
        <v>0</v>
      </c>
      <c r="BA115" s="1335">
        <f>IF(ISNA(Y115*VLOOKUP($D115,Hypothèses!$D$6:$F$14,3,0)),0,Y115*VLOOKUP($D115,Hypothèses!$D$6:$F$14,3,0))</f>
        <v>0</v>
      </c>
      <c r="BB115" s="1335">
        <f>IF(ISNA(Z115*VLOOKUP($D115,Hypothèses!$D$6:$F$14,3,0)),0,Z115*VLOOKUP($D115,Hypothèses!$D$6:$F$14,3,0))</f>
        <v>0</v>
      </c>
      <c r="BC115" s="1335">
        <f>IF(ISNA(AA115*VLOOKUP($D115,Hypothèses!$D$6:$F$14,3,0)),0,AA115*VLOOKUP($D115,Hypothèses!$D$6:$F$14,3,0))</f>
        <v>0</v>
      </c>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row>
    <row r="116" spans="1:89" s="3" customFormat="1">
      <c r="A116" s="1817">
        <v>109</v>
      </c>
      <c r="B116" s="1790"/>
      <c r="C116" s="1333"/>
      <c r="D116" s="1334"/>
      <c r="E116" s="1332" t="str">
        <f>IF(ISNA(VLOOKUP(D116,Hypothèses!$D$6:$G$16,4,0)),"",VLOOKUP(D116,Hypothèses!$D$6:$G$16,4,0))</f>
        <v/>
      </c>
      <c r="F116" s="1842"/>
      <c r="G116" s="1843"/>
      <c r="H116" s="1843"/>
      <c r="I116" s="1843"/>
      <c r="J116" s="1843"/>
      <c r="K116" s="1843"/>
      <c r="L116" s="1843"/>
      <c r="M116" s="1843"/>
      <c r="N116" s="1843"/>
      <c r="O116" s="1843"/>
      <c r="P116" s="1843"/>
      <c r="Q116" s="1843"/>
      <c r="R116" s="1843"/>
      <c r="S116" s="1843"/>
      <c r="T116" s="1843"/>
      <c r="U116" s="1843"/>
      <c r="V116" s="1843"/>
      <c r="W116" s="1843"/>
      <c r="X116" s="1843"/>
      <c r="Y116" s="1843"/>
      <c r="Z116" s="1843"/>
      <c r="AA116" s="1844"/>
      <c r="AB116" s="1335"/>
      <c r="AC116" s="1335"/>
      <c r="AD116" s="1335"/>
      <c r="AE116" s="1335"/>
      <c r="AF116" s="1335"/>
      <c r="AG116"/>
      <c r="AH116" s="1335">
        <f>IF(ISNA(F116*VLOOKUP($D116,Hypothèses!$D$6:$F$14,3,0)),0,F116*VLOOKUP($D116,Hypothèses!$D$6:$F$14,3,0))</f>
        <v>0</v>
      </c>
      <c r="AI116" s="1335">
        <f>IF(ISNA(G116*VLOOKUP($D116,Hypothèses!$D$6:$F$14,3,0)),0,G116*VLOOKUP($D116,Hypothèses!$D$6:$F$14,3,0))</f>
        <v>0</v>
      </c>
      <c r="AJ116" s="1335">
        <f>IF(ISNA(H116*VLOOKUP($D116,Hypothèses!$D$6:$F$14,3,0)),0,H116*VLOOKUP($D116,Hypothèses!$D$6:$F$14,3,0))</f>
        <v>0</v>
      </c>
      <c r="AK116" s="1335">
        <f>IF(ISNA(I116*VLOOKUP($D116,Hypothèses!$D$6:$F$14,3,0)),0,I116*VLOOKUP($D116,Hypothèses!$D$6:$F$14,3,0))</f>
        <v>0</v>
      </c>
      <c r="AL116" s="1335">
        <f>IF(ISNA(J116*VLOOKUP($D116,Hypothèses!$D$6:$F$14,3,0)),0,J116*VLOOKUP($D116,Hypothèses!$D$6:$F$14,3,0))</f>
        <v>0</v>
      </c>
      <c r="AM116" s="1335">
        <f>IF(ISNA(K116*VLOOKUP($D116,Hypothèses!$D$6:$F$14,3,0)),0,K116*VLOOKUP($D116,Hypothèses!$D$6:$F$14,3,0))</f>
        <v>0</v>
      </c>
      <c r="AN116" s="1335">
        <f>IF(ISNA(L116*VLOOKUP($D116,Hypothèses!$D$6:$F$14,3,0)),0,L116*VLOOKUP($D116,Hypothèses!$D$6:$F$14,3,0))</f>
        <v>0</v>
      </c>
      <c r="AO116" s="1335">
        <f>IF(ISNA(M116*VLOOKUP($D116,Hypothèses!$D$6:$F$14,3,0)),0,M116*VLOOKUP($D116,Hypothèses!$D$6:$F$14,3,0))</f>
        <v>0</v>
      </c>
      <c r="AP116" s="1335">
        <f>IF(ISNA(N116*VLOOKUP($D116,Hypothèses!$D$6:$F$14,3,0)),0,N116*VLOOKUP($D116,Hypothèses!$D$6:$F$14,3,0))</f>
        <v>0</v>
      </c>
      <c r="AQ116" s="1335">
        <f>IF(ISNA(O116*VLOOKUP($D116,Hypothèses!$D$6:$F$14,3,0)),0,O116*VLOOKUP($D116,Hypothèses!$D$6:$F$14,3,0))</f>
        <v>0</v>
      </c>
      <c r="AR116" s="1335">
        <f>IF(ISNA(P116*VLOOKUP($D116,Hypothèses!$D$6:$F$14,3,0)),0,P116*VLOOKUP($D116,Hypothèses!$D$6:$F$14,3,0))</f>
        <v>0</v>
      </c>
      <c r="AS116" s="1335">
        <f>IF(ISNA(Q116*VLOOKUP($D116,Hypothèses!$D$6:$F$14,3,0)),0,Q116*VLOOKUP($D116,Hypothèses!$D$6:$F$14,3,0))</f>
        <v>0</v>
      </c>
      <c r="AT116" s="1335">
        <f>IF(ISNA(R116*VLOOKUP($D116,Hypothèses!$D$6:$F$14,3,0)),0,R116*VLOOKUP($D116,Hypothèses!$D$6:$F$14,3,0))</f>
        <v>0</v>
      </c>
      <c r="AU116" s="1335">
        <f>IF(ISNA(S116*VLOOKUP($D116,Hypothèses!$D$6:$F$14,3,0)),0,S116*VLOOKUP($D116,Hypothèses!$D$6:$F$14,3,0))</f>
        <v>0</v>
      </c>
      <c r="AV116" s="1335">
        <f>IF(ISNA(T116*VLOOKUP($D116,Hypothèses!$D$6:$F$14,3,0)),0,T116*VLOOKUP($D116,Hypothèses!$D$6:$F$14,3,0))</f>
        <v>0</v>
      </c>
      <c r="AW116" s="1335">
        <f>IF(ISNA(U116*VLOOKUP($D116,Hypothèses!$D$6:$F$14,3,0)),0,U116*VLOOKUP($D116,Hypothèses!$D$6:$F$14,3,0))</f>
        <v>0</v>
      </c>
      <c r="AX116" s="1335">
        <f>IF(ISNA(V116*VLOOKUP($D116,Hypothèses!$D$6:$F$14,3,0)),0,V116*VLOOKUP($D116,Hypothèses!$D$6:$F$14,3,0))</f>
        <v>0</v>
      </c>
      <c r="AY116" s="1335">
        <f>IF(ISNA(W116*VLOOKUP($D116,Hypothèses!$D$6:$F$14,3,0)),0,W116*VLOOKUP($D116,Hypothèses!$D$6:$F$14,3,0))</f>
        <v>0</v>
      </c>
      <c r="AZ116" s="1335">
        <f>IF(ISNA(X116*VLOOKUP($D116,Hypothèses!$D$6:$F$14,3,0)),0,X116*VLOOKUP($D116,Hypothèses!$D$6:$F$14,3,0))</f>
        <v>0</v>
      </c>
      <c r="BA116" s="1335">
        <f>IF(ISNA(Y116*VLOOKUP($D116,Hypothèses!$D$6:$F$14,3,0)),0,Y116*VLOOKUP($D116,Hypothèses!$D$6:$F$14,3,0))</f>
        <v>0</v>
      </c>
      <c r="BB116" s="1335">
        <f>IF(ISNA(Z116*VLOOKUP($D116,Hypothèses!$D$6:$F$14,3,0)),0,Z116*VLOOKUP($D116,Hypothèses!$D$6:$F$14,3,0))</f>
        <v>0</v>
      </c>
      <c r="BC116" s="1335">
        <f>IF(ISNA(AA116*VLOOKUP($D116,Hypothèses!$D$6:$F$14,3,0)),0,AA116*VLOOKUP($D116,Hypothèses!$D$6:$F$14,3,0))</f>
        <v>0</v>
      </c>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row>
    <row r="117" spans="1:89" s="3" customFormat="1">
      <c r="A117" s="1817">
        <v>110</v>
      </c>
      <c r="B117" s="1790"/>
      <c r="C117" s="1333"/>
      <c r="D117" s="1334"/>
      <c r="E117" s="1332" t="str">
        <f>IF(ISNA(VLOOKUP(D117,Hypothèses!$D$6:$G$16,4,0)),"",VLOOKUP(D117,Hypothèses!$D$6:$G$16,4,0))</f>
        <v/>
      </c>
      <c r="F117" s="1842"/>
      <c r="G117" s="1843"/>
      <c r="H117" s="1843"/>
      <c r="I117" s="1843"/>
      <c r="J117" s="1843"/>
      <c r="K117" s="1843"/>
      <c r="L117" s="1843"/>
      <c r="M117" s="1843"/>
      <c r="N117" s="1843"/>
      <c r="O117" s="1843"/>
      <c r="P117" s="1843"/>
      <c r="Q117" s="1843"/>
      <c r="R117" s="1843"/>
      <c r="S117" s="1843"/>
      <c r="T117" s="1843"/>
      <c r="U117" s="1843"/>
      <c r="V117" s="1843"/>
      <c r="W117" s="1843"/>
      <c r="X117" s="1843"/>
      <c r="Y117" s="1843"/>
      <c r="Z117" s="1843"/>
      <c r="AA117" s="1844"/>
      <c r="AB117" s="1335"/>
      <c r="AC117" s="1335"/>
      <c r="AD117" s="1335"/>
      <c r="AE117" s="1335"/>
      <c r="AF117" s="1335"/>
      <c r="AG117"/>
      <c r="AH117" s="1335">
        <f>IF(ISNA(F117*VLOOKUP($D117,Hypothèses!$D$6:$F$14,3,0)),0,F117*VLOOKUP($D117,Hypothèses!$D$6:$F$14,3,0))</f>
        <v>0</v>
      </c>
      <c r="AI117" s="1335">
        <f>IF(ISNA(G117*VLOOKUP($D117,Hypothèses!$D$6:$F$14,3,0)),0,G117*VLOOKUP($D117,Hypothèses!$D$6:$F$14,3,0))</f>
        <v>0</v>
      </c>
      <c r="AJ117" s="1335">
        <f>IF(ISNA(H117*VLOOKUP($D117,Hypothèses!$D$6:$F$14,3,0)),0,H117*VLOOKUP($D117,Hypothèses!$D$6:$F$14,3,0))</f>
        <v>0</v>
      </c>
      <c r="AK117" s="1335">
        <f>IF(ISNA(I117*VLOOKUP($D117,Hypothèses!$D$6:$F$14,3,0)),0,I117*VLOOKUP($D117,Hypothèses!$D$6:$F$14,3,0))</f>
        <v>0</v>
      </c>
      <c r="AL117" s="1335">
        <f>IF(ISNA(J117*VLOOKUP($D117,Hypothèses!$D$6:$F$14,3,0)),0,J117*VLOOKUP($D117,Hypothèses!$D$6:$F$14,3,0))</f>
        <v>0</v>
      </c>
      <c r="AM117" s="1335">
        <f>IF(ISNA(K117*VLOOKUP($D117,Hypothèses!$D$6:$F$14,3,0)),0,K117*VLOOKUP($D117,Hypothèses!$D$6:$F$14,3,0))</f>
        <v>0</v>
      </c>
      <c r="AN117" s="1335">
        <f>IF(ISNA(L117*VLOOKUP($D117,Hypothèses!$D$6:$F$14,3,0)),0,L117*VLOOKUP($D117,Hypothèses!$D$6:$F$14,3,0))</f>
        <v>0</v>
      </c>
      <c r="AO117" s="1335">
        <f>IF(ISNA(M117*VLOOKUP($D117,Hypothèses!$D$6:$F$14,3,0)),0,M117*VLOOKUP($D117,Hypothèses!$D$6:$F$14,3,0))</f>
        <v>0</v>
      </c>
      <c r="AP117" s="1335">
        <f>IF(ISNA(N117*VLOOKUP($D117,Hypothèses!$D$6:$F$14,3,0)),0,N117*VLOOKUP($D117,Hypothèses!$D$6:$F$14,3,0))</f>
        <v>0</v>
      </c>
      <c r="AQ117" s="1335">
        <f>IF(ISNA(O117*VLOOKUP($D117,Hypothèses!$D$6:$F$14,3,0)),0,O117*VLOOKUP($D117,Hypothèses!$D$6:$F$14,3,0))</f>
        <v>0</v>
      </c>
      <c r="AR117" s="1335">
        <f>IF(ISNA(P117*VLOOKUP($D117,Hypothèses!$D$6:$F$14,3,0)),0,P117*VLOOKUP($D117,Hypothèses!$D$6:$F$14,3,0))</f>
        <v>0</v>
      </c>
      <c r="AS117" s="1335">
        <f>IF(ISNA(Q117*VLOOKUP($D117,Hypothèses!$D$6:$F$14,3,0)),0,Q117*VLOOKUP($D117,Hypothèses!$D$6:$F$14,3,0))</f>
        <v>0</v>
      </c>
      <c r="AT117" s="1335">
        <f>IF(ISNA(R117*VLOOKUP($D117,Hypothèses!$D$6:$F$14,3,0)),0,R117*VLOOKUP($D117,Hypothèses!$D$6:$F$14,3,0))</f>
        <v>0</v>
      </c>
      <c r="AU117" s="1335">
        <f>IF(ISNA(S117*VLOOKUP($D117,Hypothèses!$D$6:$F$14,3,0)),0,S117*VLOOKUP($D117,Hypothèses!$D$6:$F$14,3,0))</f>
        <v>0</v>
      </c>
      <c r="AV117" s="1335">
        <f>IF(ISNA(T117*VLOOKUP($D117,Hypothèses!$D$6:$F$14,3,0)),0,T117*VLOOKUP($D117,Hypothèses!$D$6:$F$14,3,0))</f>
        <v>0</v>
      </c>
      <c r="AW117" s="1335">
        <f>IF(ISNA(U117*VLOOKUP($D117,Hypothèses!$D$6:$F$14,3,0)),0,U117*VLOOKUP($D117,Hypothèses!$D$6:$F$14,3,0))</f>
        <v>0</v>
      </c>
      <c r="AX117" s="1335">
        <f>IF(ISNA(V117*VLOOKUP($D117,Hypothèses!$D$6:$F$14,3,0)),0,V117*VLOOKUP($D117,Hypothèses!$D$6:$F$14,3,0))</f>
        <v>0</v>
      </c>
      <c r="AY117" s="1335">
        <f>IF(ISNA(W117*VLOOKUP($D117,Hypothèses!$D$6:$F$14,3,0)),0,W117*VLOOKUP($D117,Hypothèses!$D$6:$F$14,3,0))</f>
        <v>0</v>
      </c>
      <c r="AZ117" s="1335">
        <f>IF(ISNA(X117*VLOOKUP($D117,Hypothèses!$D$6:$F$14,3,0)),0,X117*VLOOKUP($D117,Hypothèses!$D$6:$F$14,3,0))</f>
        <v>0</v>
      </c>
      <c r="BA117" s="1335">
        <f>IF(ISNA(Y117*VLOOKUP($D117,Hypothèses!$D$6:$F$14,3,0)),0,Y117*VLOOKUP($D117,Hypothèses!$D$6:$F$14,3,0))</f>
        <v>0</v>
      </c>
      <c r="BB117" s="1335">
        <f>IF(ISNA(Z117*VLOOKUP($D117,Hypothèses!$D$6:$F$14,3,0)),0,Z117*VLOOKUP($D117,Hypothèses!$D$6:$F$14,3,0))</f>
        <v>0</v>
      </c>
      <c r="BC117" s="1335">
        <f>IF(ISNA(AA117*VLOOKUP($D117,Hypothèses!$D$6:$F$14,3,0)),0,AA117*VLOOKUP($D117,Hypothèses!$D$6:$F$14,3,0))</f>
        <v>0</v>
      </c>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row>
    <row r="118" spans="1:89" s="3" customFormat="1">
      <c r="A118" s="1817">
        <v>111</v>
      </c>
      <c r="B118" s="1790"/>
      <c r="C118" s="1333"/>
      <c r="D118" s="1334"/>
      <c r="E118" s="1332" t="str">
        <f>IF(ISNA(VLOOKUP(D118,Hypothèses!$D$6:$G$16,4,0)),"",VLOOKUP(D118,Hypothèses!$D$6:$G$16,4,0))</f>
        <v/>
      </c>
      <c r="F118" s="1842"/>
      <c r="G118" s="1843"/>
      <c r="H118" s="1843"/>
      <c r="I118" s="1843"/>
      <c r="J118" s="1843"/>
      <c r="K118" s="1843"/>
      <c r="L118" s="1843"/>
      <c r="M118" s="1843"/>
      <c r="N118" s="1843"/>
      <c r="O118" s="1843"/>
      <c r="P118" s="1843"/>
      <c r="Q118" s="1843"/>
      <c r="R118" s="1843"/>
      <c r="S118" s="1843"/>
      <c r="T118" s="1843"/>
      <c r="U118" s="1843"/>
      <c r="V118" s="1843"/>
      <c r="W118" s="1843"/>
      <c r="X118" s="1843"/>
      <c r="Y118" s="1843"/>
      <c r="Z118" s="1843"/>
      <c r="AA118" s="1844"/>
      <c r="AB118" s="1335"/>
      <c r="AC118" s="1335"/>
      <c r="AD118" s="1335"/>
      <c r="AE118" s="1335"/>
      <c r="AF118" s="1335"/>
      <c r="AG118"/>
      <c r="AH118" s="1335">
        <f>IF(ISNA(F118*VLOOKUP($D118,Hypothèses!$D$6:$F$14,3,0)),0,F118*VLOOKUP($D118,Hypothèses!$D$6:$F$14,3,0))</f>
        <v>0</v>
      </c>
      <c r="AI118" s="1335">
        <f>IF(ISNA(G118*VLOOKUP($D118,Hypothèses!$D$6:$F$14,3,0)),0,G118*VLOOKUP($D118,Hypothèses!$D$6:$F$14,3,0))</f>
        <v>0</v>
      </c>
      <c r="AJ118" s="1335">
        <f>IF(ISNA(H118*VLOOKUP($D118,Hypothèses!$D$6:$F$14,3,0)),0,H118*VLOOKUP($D118,Hypothèses!$D$6:$F$14,3,0))</f>
        <v>0</v>
      </c>
      <c r="AK118" s="1335">
        <f>IF(ISNA(I118*VLOOKUP($D118,Hypothèses!$D$6:$F$14,3,0)),0,I118*VLOOKUP($D118,Hypothèses!$D$6:$F$14,3,0))</f>
        <v>0</v>
      </c>
      <c r="AL118" s="1335">
        <f>IF(ISNA(J118*VLOOKUP($D118,Hypothèses!$D$6:$F$14,3,0)),0,J118*VLOOKUP($D118,Hypothèses!$D$6:$F$14,3,0))</f>
        <v>0</v>
      </c>
      <c r="AM118" s="1335">
        <f>IF(ISNA(K118*VLOOKUP($D118,Hypothèses!$D$6:$F$14,3,0)),0,K118*VLOOKUP($D118,Hypothèses!$D$6:$F$14,3,0))</f>
        <v>0</v>
      </c>
      <c r="AN118" s="1335">
        <f>IF(ISNA(L118*VLOOKUP($D118,Hypothèses!$D$6:$F$14,3,0)),0,L118*VLOOKUP($D118,Hypothèses!$D$6:$F$14,3,0))</f>
        <v>0</v>
      </c>
      <c r="AO118" s="1335">
        <f>IF(ISNA(M118*VLOOKUP($D118,Hypothèses!$D$6:$F$14,3,0)),0,M118*VLOOKUP($D118,Hypothèses!$D$6:$F$14,3,0))</f>
        <v>0</v>
      </c>
      <c r="AP118" s="1335">
        <f>IF(ISNA(N118*VLOOKUP($D118,Hypothèses!$D$6:$F$14,3,0)),0,N118*VLOOKUP($D118,Hypothèses!$D$6:$F$14,3,0))</f>
        <v>0</v>
      </c>
      <c r="AQ118" s="1335">
        <f>IF(ISNA(O118*VLOOKUP($D118,Hypothèses!$D$6:$F$14,3,0)),0,O118*VLOOKUP($D118,Hypothèses!$D$6:$F$14,3,0))</f>
        <v>0</v>
      </c>
      <c r="AR118" s="1335">
        <f>IF(ISNA(P118*VLOOKUP($D118,Hypothèses!$D$6:$F$14,3,0)),0,P118*VLOOKUP($D118,Hypothèses!$D$6:$F$14,3,0))</f>
        <v>0</v>
      </c>
      <c r="AS118" s="1335">
        <f>IF(ISNA(Q118*VLOOKUP($D118,Hypothèses!$D$6:$F$14,3,0)),0,Q118*VLOOKUP($D118,Hypothèses!$D$6:$F$14,3,0))</f>
        <v>0</v>
      </c>
      <c r="AT118" s="1335">
        <f>IF(ISNA(R118*VLOOKUP($D118,Hypothèses!$D$6:$F$14,3,0)),0,R118*VLOOKUP($D118,Hypothèses!$D$6:$F$14,3,0))</f>
        <v>0</v>
      </c>
      <c r="AU118" s="1335">
        <f>IF(ISNA(S118*VLOOKUP($D118,Hypothèses!$D$6:$F$14,3,0)),0,S118*VLOOKUP($D118,Hypothèses!$D$6:$F$14,3,0))</f>
        <v>0</v>
      </c>
      <c r="AV118" s="1335">
        <f>IF(ISNA(T118*VLOOKUP($D118,Hypothèses!$D$6:$F$14,3,0)),0,T118*VLOOKUP($D118,Hypothèses!$D$6:$F$14,3,0))</f>
        <v>0</v>
      </c>
      <c r="AW118" s="1335">
        <f>IF(ISNA(U118*VLOOKUP($D118,Hypothèses!$D$6:$F$14,3,0)),0,U118*VLOOKUP($D118,Hypothèses!$D$6:$F$14,3,0))</f>
        <v>0</v>
      </c>
      <c r="AX118" s="1335">
        <f>IF(ISNA(V118*VLOOKUP($D118,Hypothèses!$D$6:$F$14,3,0)),0,V118*VLOOKUP($D118,Hypothèses!$D$6:$F$14,3,0))</f>
        <v>0</v>
      </c>
      <c r="AY118" s="1335">
        <f>IF(ISNA(W118*VLOOKUP($D118,Hypothèses!$D$6:$F$14,3,0)),0,W118*VLOOKUP($D118,Hypothèses!$D$6:$F$14,3,0))</f>
        <v>0</v>
      </c>
      <c r="AZ118" s="1335">
        <f>IF(ISNA(X118*VLOOKUP($D118,Hypothèses!$D$6:$F$14,3,0)),0,X118*VLOOKUP($D118,Hypothèses!$D$6:$F$14,3,0))</f>
        <v>0</v>
      </c>
      <c r="BA118" s="1335">
        <f>IF(ISNA(Y118*VLOOKUP($D118,Hypothèses!$D$6:$F$14,3,0)),0,Y118*VLOOKUP($D118,Hypothèses!$D$6:$F$14,3,0))</f>
        <v>0</v>
      </c>
      <c r="BB118" s="1335">
        <f>IF(ISNA(Z118*VLOOKUP($D118,Hypothèses!$D$6:$F$14,3,0)),0,Z118*VLOOKUP($D118,Hypothèses!$D$6:$F$14,3,0))</f>
        <v>0</v>
      </c>
      <c r="BC118" s="1335">
        <f>IF(ISNA(AA118*VLOOKUP($D118,Hypothèses!$D$6:$F$14,3,0)),0,AA118*VLOOKUP($D118,Hypothèses!$D$6:$F$14,3,0))</f>
        <v>0</v>
      </c>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row>
    <row r="119" spans="1:89" s="3" customFormat="1">
      <c r="A119" s="1817">
        <v>112</v>
      </c>
      <c r="B119" s="1790"/>
      <c r="C119" s="1333"/>
      <c r="D119" s="1334"/>
      <c r="E119" s="1332" t="str">
        <f>IF(ISNA(VLOOKUP(D119,Hypothèses!$D$6:$G$16,4,0)),"",VLOOKUP(D119,Hypothèses!$D$6:$G$16,4,0))</f>
        <v/>
      </c>
      <c r="F119" s="1842"/>
      <c r="G119" s="1843"/>
      <c r="H119" s="1843"/>
      <c r="I119" s="1843"/>
      <c r="J119" s="1843"/>
      <c r="K119" s="1843"/>
      <c r="L119" s="1843"/>
      <c r="M119" s="1843"/>
      <c r="N119" s="1843"/>
      <c r="O119" s="1843"/>
      <c r="P119" s="1843"/>
      <c r="Q119" s="1843"/>
      <c r="R119" s="1843"/>
      <c r="S119" s="1843"/>
      <c r="T119" s="1843"/>
      <c r="U119" s="1843"/>
      <c r="V119" s="1843"/>
      <c r="W119" s="1843"/>
      <c r="X119" s="1843"/>
      <c r="Y119" s="1843"/>
      <c r="Z119" s="1843"/>
      <c r="AA119" s="1844"/>
      <c r="AB119" s="1335"/>
      <c r="AC119" s="1335"/>
      <c r="AD119" s="1335"/>
      <c r="AE119" s="1335"/>
      <c r="AF119" s="1335"/>
      <c r="AG119"/>
      <c r="AH119" s="1335">
        <f>IF(ISNA(F119*VLOOKUP($D119,Hypothèses!$D$6:$F$14,3,0)),0,F119*VLOOKUP($D119,Hypothèses!$D$6:$F$14,3,0))</f>
        <v>0</v>
      </c>
      <c r="AI119" s="1335">
        <f>IF(ISNA(G119*VLOOKUP($D119,Hypothèses!$D$6:$F$14,3,0)),0,G119*VLOOKUP($D119,Hypothèses!$D$6:$F$14,3,0))</f>
        <v>0</v>
      </c>
      <c r="AJ119" s="1335">
        <f>IF(ISNA(H119*VLOOKUP($D119,Hypothèses!$D$6:$F$14,3,0)),0,H119*VLOOKUP($D119,Hypothèses!$D$6:$F$14,3,0))</f>
        <v>0</v>
      </c>
      <c r="AK119" s="1335">
        <f>IF(ISNA(I119*VLOOKUP($D119,Hypothèses!$D$6:$F$14,3,0)),0,I119*VLOOKUP($D119,Hypothèses!$D$6:$F$14,3,0))</f>
        <v>0</v>
      </c>
      <c r="AL119" s="1335">
        <f>IF(ISNA(J119*VLOOKUP($D119,Hypothèses!$D$6:$F$14,3,0)),0,J119*VLOOKUP($D119,Hypothèses!$D$6:$F$14,3,0))</f>
        <v>0</v>
      </c>
      <c r="AM119" s="1335">
        <f>IF(ISNA(K119*VLOOKUP($D119,Hypothèses!$D$6:$F$14,3,0)),0,K119*VLOOKUP($D119,Hypothèses!$D$6:$F$14,3,0))</f>
        <v>0</v>
      </c>
      <c r="AN119" s="1335">
        <f>IF(ISNA(L119*VLOOKUP($D119,Hypothèses!$D$6:$F$14,3,0)),0,L119*VLOOKUP($D119,Hypothèses!$D$6:$F$14,3,0))</f>
        <v>0</v>
      </c>
      <c r="AO119" s="1335">
        <f>IF(ISNA(M119*VLOOKUP($D119,Hypothèses!$D$6:$F$14,3,0)),0,M119*VLOOKUP($D119,Hypothèses!$D$6:$F$14,3,0))</f>
        <v>0</v>
      </c>
      <c r="AP119" s="1335">
        <f>IF(ISNA(N119*VLOOKUP($D119,Hypothèses!$D$6:$F$14,3,0)),0,N119*VLOOKUP($D119,Hypothèses!$D$6:$F$14,3,0))</f>
        <v>0</v>
      </c>
      <c r="AQ119" s="1335">
        <f>IF(ISNA(O119*VLOOKUP($D119,Hypothèses!$D$6:$F$14,3,0)),0,O119*VLOOKUP($D119,Hypothèses!$D$6:$F$14,3,0))</f>
        <v>0</v>
      </c>
      <c r="AR119" s="1335">
        <f>IF(ISNA(P119*VLOOKUP($D119,Hypothèses!$D$6:$F$14,3,0)),0,P119*VLOOKUP($D119,Hypothèses!$D$6:$F$14,3,0))</f>
        <v>0</v>
      </c>
      <c r="AS119" s="1335">
        <f>IF(ISNA(Q119*VLOOKUP($D119,Hypothèses!$D$6:$F$14,3,0)),0,Q119*VLOOKUP($D119,Hypothèses!$D$6:$F$14,3,0))</f>
        <v>0</v>
      </c>
      <c r="AT119" s="1335">
        <f>IF(ISNA(R119*VLOOKUP($D119,Hypothèses!$D$6:$F$14,3,0)),0,R119*VLOOKUP($D119,Hypothèses!$D$6:$F$14,3,0))</f>
        <v>0</v>
      </c>
      <c r="AU119" s="1335">
        <f>IF(ISNA(S119*VLOOKUP($D119,Hypothèses!$D$6:$F$14,3,0)),0,S119*VLOOKUP($D119,Hypothèses!$D$6:$F$14,3,0))</f>
        <v>0</v>
      </c>
      <c r="AV119" s="1335">
        <f>IF(ISNA(T119*VLOOKUP($D119,Hypothèses!$D$6:$F$14,3,0)),0,T119*VLOOKUP($D119,Hypothèses!$D$6:$F$14,3,0))</f>
        <v>0</v>
      </c>
      <c r="AW119" s="1335">
        <f>IF(ISNA(U119*VLOOKUP($D119,Hypothèses!$D$6:$F$14,3,0)),0,U119*VLOOKUP($D119,Hypothèses!$D$6:$F$14,3,0))</f>
        <v>0</v>
      </c>
      <c r="AX119" s="1335">
        <f>IF(ISNA(V119*VLOOKUP($D119,Hypothèses!$D$6:$F$14,3,0)),0,V119*VLOOKUP($D119,Hypothèses!$D$6:$F$14,3,0))</f>
        <v>0</v>
      </c>
      <c r="AY119" s="1335">
        <f>IF(ISNA(W119*VLOOKUP($D119,Hypothèses!$D$6:$F$14,3,0)),0,W119*VLOOKUP($D119,Hypothèses!$D$6:$F$14,3,0))</f>
        <v>0</v>
      </c>
      <c r="AZ119" s="1335">
        <f>IF(ISNA(X119*VLOOKUP($D119,Hypothèses!$D$6:$F$14,3,0)),0,X119*VLOOKUP($D119,Hypothèses!$D$6:$F$14,3,0))</f>
        <v>0</v>
      </c>
      <c r="BA119" s="1335">
        <f>IF(ISNA(Y119*VLOOKUP($D119,Hypothèses!$D$6:$F$14,3,0)),0,Y119*VLOOKUP($D119,Hypothèses!$D$6:$F$14,3,0))</f>
        <v>0</v>
      </c>
      <c r="BB119" s="1335">
        <f>IF(ISNA(Z119*VLOOKUP($D119,Hypothèses!$D$6:$F$14,3,0)),0,Z119*VLOOKUP($D119,Hypothèses!$D$6:$F$14,3,0))</f>
        <v>0</v>
      </c>
      <c r="BC119" s="1335">
        <f>IF(ISNA(AA119*VLOOKUP($D119,Hypothèses!$D$6:$F$14,3,0)),0,AA119*VLOOKUP($D119,Hypothèses!$D$6:$F$14,3,0))</f>
        <v>0</v>
      </c>
      <c r="BD119" s="70"/>
      <c r="BE119" s="70"/>
      <c r="BF119" s="70"/>
      <c r="BG119" s="70"/>
      <c r="BH119" s="70"/>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c r="CF119" s="70"/>
      <c r="CG119" s="70"/>
      <c r="CH119" s="70"/>
      <c r="CI119" s="70"/>
      <c r="CJ119" s="70"/>
      <c r="CK119" s="70"/>
    </row>
    <row r="120" spans="1:89" s="3" customFormat="1">
      <c r="A120" s="1817">
        <v>113</v>
      </c>
      <c r="B120" s="1790"/>
      <c r="C120" s="1333"/>
      <c r="D120" s="1334"/>
      <c r="E120" s="1332" t="str">
        <f>IF(ISNA(VLOOKUP(D120,Hypothèses!$D$6:$G$16,4,0)),"",VLOOKUP(D120,Hypothèses!$D$6:$G$16,4,0))</f>
        <v/>
      </c>
      <c r="F120" s="1842"/>
      <c r="G120" s="1843"/>
      <c r="H120" s="1843"/>
      <c r="I120" s="1843"/>
      <c r="J120" s="1843"/>
      <c r="K120" s="1843"/>
      <c r="L120" s="1843"/>
      <c r="M120" s="1843"/>
      <c r="N120" s="1843"/>
      <c r="O120" s="1843"/>
      <c r="P120" s="1843"/>
      <c r="Q120" s="1843"/>
      <c r="R120" s="1843"/>
      <c r="S120" s="1843"/>
      <c r="T120" s="1843"/>
      <c r="U120" s="1843"/>
      <c r="V120" s="1843"/>
      <c r="W120" s="1843"/>
      <c r="X120" s="1843"/>
      <c r="Y120" s="1843"/>
      <c r="Z120" s="1843"/>
      <c r="AA120" s="1844"/>
      <c r="AB120" s="1335"/>
      <c r="AC120" s="1335"/>
      <c r="AD120" s="1335"/>
      <c r="AE120" s="1335"/>
      <c r="AF120" s="1335"/>
      <c r="AG120"/>
      <c r="AH120" s="1335">
        <f>IF(ISNA(F120*VLOOKUP($D120,Hypothèses!$D$6:$F$14,3,0)),0,F120*VLOOKUP($D120,Hypothèses!$D$6:$F$14,3,0))</f>
        <v>0</v>
      </c>
      <c r="AI120" s="1335">
        <f>IF(ISNA(G120*VLOOKUP($D120,Hypothèses!$D$6:$F$14,3,0)),0,G120*VLOOKUP($D120,Hypothèses!$D$6:$F$14,3,0))</f>
        <v>0</v>
      </c>
      <c r="AJ120" s="1335">
        <f>IF(ISNA(H120*VLOOKUP($D120,Hypothèses!$D$6:$F$14,3,0)),0,H120*VLOOKUP($D120,Hypothèses!$D$6:$F$14,3,0))</f>
        <v>0</v>
      </c>
      <c r="AK120" s="1335">
        <f>IF(ISNA(I120*VLOOKUP($D120,Hypothèses!$D$6:$F$14,3,0)),0,I120*VLOOKUP($D120,Hypothèses!$D$6:$F$14,3,0))</f>
        <v>0</v>
      </c>
      <c r="AL120" s="1335">
        <f>IF(ISNA(J120*VLOOKUP($D120,Hypothèses!$D$6:$F$14,3,0)),0,J120*VLOOKUP($D120,Hypothèses!$D$6:$F$14,3,0))</f>
        <v>0</v>
      </c>
      <c r="AM120" s="1335">
        <f>IF(ISNA(K120*VLOOKUP($D120,Hypothèses!$D$6:$F$14,3,0)),0,K120*VLOOKUP($D120,Hypothèses!$D$6:$F$14,3,0))</f>
        <v>0</v>
      </c>
      <c r="AN120" s="1335">
        <f>IF(ISNA(L120*VLOOKUP($D120,Hypothèses!$D$6:$F$14,3,0)),0,L120*VLOOKUP($D120,Hypothèses!$D$6:$F$14,3,0))</f>
        <v>0</v>
      </c>
      <c r="AO120" s="1335">
        <f>IF(ISNA(M120*VLOOKUP($D120,Hypothèses!$D$6:$F$14,3,0)),0,M120*VLOOKUP($D120,Hypothèses!$D$6:$F$14,3,0))</f>
        <v>0</v>
      </c>
      <c r="AP120" s="1335">
        <f>IF(ISNA(N120*VLOOKUP($D120,Hypothèses!$D$6:$F$14,3,0)),0,N120*VLOOKUP($D120,Hypothèses!$D$6:$F$14,3,0))</f>
        <v>0</v>
      </c>
      <c r="AQ120" s="1335">
        <f>IF(ISNA(O120*VLOOKUP($D120,Hypothèses!$D$6:$F$14,3,0)),0,O120*VLOOKUP($D120,Hypothèses!$D$6:$F$14,3,0))</f>
        <v>0</v>
      </c>
      <c r="AR120" s="1335">
        <f>IF(ISNA(P120*VLOOKUP($D120,Hypothèses!$D$6:$F$14,3,0)),0,P120*VLOOKUP($D120,Hypothèses!$D$6:$F$14,3,0))</f>
        <v>0</v>
      </c>
      <c r="AS120" s="1335">
        <f>IF(ISNA(Q120*VLOOKUP($D120,Hypothèses!$D$6:$F$14,3,0)),0,Q120*VLOOKUP($D120,Hypothèses!$D$6:$F$14,3,0))</f>
        <v>0</v>
      </c>
      <c r="AT120" s="1335">
        <f>IF(ISNA(R120*VLOOKUP($D120,Hypothèses!$D$6:$F$14,3,0)),0,R120*VLOOKUP($D120,Hypothèses!$D$6:$F$14,3,0))</f>
        <v>0</v>
      </c>
      <c r="AU120" s="1335">
        <f>IF(ISNA(S120*VLOOKUP($D120,Hypothèses!$D$6:$F$14,3,0)),0,S120*VLOOKUP($D120,Hypothèses!$D$6:$F$14,3,0))</f>
        <v>0</v>
      </c>
      <c r="AV120" s="1335">
        <f>IF(ISNA(T120*VLOOKUP($D120,Hypothèses!$D$6:$F$14,3,0)),0,T120*VLOOKUP($D120,Hypothèses!$D$6:$F$14,3,0))</f>
        <v>0</v>
      </c>
      <c r="AW120" s="1335">
        <f>IF(ISNA(U120*VLOOKUP($D120,Hypothèses!$D$6:$F$14,3,0)),0,U120*VLOOKUP($D120,Hypothèses!$D$6:$F$14,3,0))</f>
        <v>0</v>
      </c>
      <c r="AX120" s="1335">
        <f>IF(ISNA(V120*VLOOKUP($D120,Hypothèses!$D$6:$F$14,3,0)),0,V120*VLOOKUP($D120,Hypothèses!$D$6:$F$14,3,0))</f>
        <v>0</v>
      </c>
      <c r="AY120" s="1335">
        <f>IF(ISNA(W120*VLOOKUP($D120,Hypothèses!$D$6:$F$14,3,0)),0,W120*VLOOKUP($D120,Hypothèses!$D$6:$F$14,3,0))</f>
        <v>0</v>
      </c>
      <c r="AZ120" s="1335">
        <f>IF(ISNA(X120*VLOOKUP($D120,Hypothèses!$D$6:$F$14,3,0)),0,X120*VLOOKUP($D120,Hypothèses!$D$6:$F$14,3,0))</f>
        <v>0</v>
      </c>
      <c r="BA120" s="1335">
        <f>IF(ISNA(Y120*VLOOKUP($D120,Hypothèses!$D$6:$F$14,3,0)),0,Y120*VLOOKUP($D120,Hypothèses!$D$6:$F$14,3,0))</f>
        <v>0</v>
      </c>
      <c r="BB120" s="1335">
        <f>IF(ISNA(Z120*VLOOKUP($D120,Hypothèses!$D$6:$F$14,3,0)),0,Z120*VLOOKUP($D120,Hypothèses!$D$6:$F$14,3,0))</f>
        <v>0</v>
      </c>
      <c r="BC120" s="1335">
        <f>IF(ISNA(AA120*VLOOKUP($D120,Hypothèses!$D$6:$F$14,3,0)),0,AA120*VLOOKUP($D120,Hypothèses!$D$6:$F$14,3,0))</f>
        <v>0</v>
      </c>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row>
    <row r="121" spans="1:89" s="3" customFormat="1">
      <c r="A121" s="1817">
        <v>114</v>
      </c>
      <c r="B121" s="1790"/>
      <c r="C121" s="1333"/>
      <c r="D121" s="1334"/>
      <c r="E121" s="1332" t="str">
        <f>IF(ISNA(VLOOKUP(D121,Hypothèses!$D$6:$G$16,4,0)),"",VLOOKUP(D121,Hypothèses!$D$6:$G$16,4,0))</f>
        <v/>
      </c>
      <c r="F121" s="1842"/>
      <c r="G121" s="1843"/>
      <c r="H121" s="1843"/>
      <c r="I121" s="1843"/>
      <c r="J121" s="1843"/>
      <c r="K121" s="1843"/>
      <c r="L121" s="1843"/>
      <c r="M121" s="1843"/>
      <c r="N121" s="1843"/>
      <c r="O121" s="1843"/>
      <c r="P121" s="1843"/>
      <c r="Q121" s="1843"/>
      <c r="R121" s="1843"/>
      <c r="S121" s="1843"/>
      <c r="T121" s="1843"/>
      <c r="U121" s="1843"/>
      <c r="V121" s="1843"/>
      <c r="W121" s="1843"/>
      <c r="X121" s="1843"/>
      <c r="Y121" s="1843"/>
      <c r="Z121" s="1843"/>
      <c r="AA121" s="1844"/>
      <c r="AB121" s="1335"/>
      <c r="AC121" s="1335"/>
      <c r="AD121" s="1335"/>
      <c r="AE121" s="1335"/>
      <c r="AF121" s="1335"/>
      <c r="AG121"/>
      <c r="AH121" s="1335">
        <f>IF(ISNA(F121*VLOOKUP($D121,Hypothèses!$D$6:$F$14,3,0)),0,F121*VLOOKUP($D121,Hypothèses!$D$6:$F$14,3,0))</f>
        <v>0</v>
      </c>
      <c r="AI121" s="1335">
        <f>IF(ISNA(G121*VLOOKUP($D121,Hypothèses!$D$6:$F$14,3,0)),0,G121*VLOOKUP($D121,Hypothèses!$D$6:$F$14,3,0))</f>
        <v>0</v>
      </c>
      <c r="AJ121" s="1335">
        <f>IF(ISNA(H121*VLOOKUP($D121,Hypothèses!$D$6:$F$14,3,0)),0,H121*VLOOKUP($D121,Hypothèses!$D$6:$F$14,3,0))</f>
        <v>0</v>
      </c>
      <c r="AK121" s="1335">
        <f>IF(ISNA(I121*VLOOKUP($D121,Hypothèses!$D$6:$F$14,3,0)),0,I121*VLOOKUP($D121,Hypothèses!$D$6:$F$14,3,0))</f>
        <v>0</v>
      </c>
      <c r="AL121" s="1335">
        <f>IF(ISNA(J121*VLOOKUP($D121,Hypothèses!$D$6:$F$14,3,0)),0,J121*VLOOKUP($D121,Hypothèses!$D$6:$F$14,3,0))</f>
        <v>0</v>
      </c>
      <c r="AM121" s="1335">
        <f>IF(ISNA(K121*VLOOKUP($D121,Hypothèses!$D$6:$F$14,3,0)),0,K121*VLOOKUP($D121,Hypothèses!$D$6:$F$14,3,0))</f>
        <v>0</v>
      </c>
      <c r="AN121" s="1335">
        <f>IF(ISNA(L121*VLOOKUP($D121,Hypothèses!$D$6:$F$14,3,0)),0,L121*VLOOKUP($D121,Hypothèses!$D$6:$F$14,3,0))</f>
        <v>0</v>
      </c>
      <c r="AO121" s="1335">
        <f>IF(ISNA(M121*VLOOKUP($D121,Hypothèses!$D$6:$F$14,3,0)),0,M121*VLOOKUP($D121,Hypothèses!$D$6:$F$14,3,0))</f>
        <v>0</v>
      </c>
      <c r="AP121" s="1335">
        <f>IF(ISNA(N121*VLOOKUP($D121,Hypothèses!$D$6:$F$14,3,0)),0,N121*VLOOKUP($D121,Hypothèses!$D$6:$F$14,3,0))</f>
        <v>0</v>
      </c>
      <c r="AQ121" s="1335">
        <f>IF(ISNA(O121*VLOOKUP($D121,Hypothèses!$D$6:$F$14,3,0)),0,O121*VLOOKUP($D121,Hypothèses!$D$6:$F$14,3,0))</f>
        <v>0</v>
      </c>
      <c r="AR121" s="1335">
        <f>IF(ISNA(P121*VLOOKUP($D121,Hypothèses!$D$6:$F$14,3,0)),0,P121*VLOOKUP($D121,Hypothèses!$D$6:$F$14,3,0))</f>
        <v>0</v>
      </c>
      <c r="AS121" s="1335">
        <f>IF(ISNA(Q121*VLOOKUP($D121,Hypothèses!$D$6:$F$14,3,0)),0,Q121*VLOOKUP($D121,Hypothèses!$D$6:$F$14,3,0))</f>
        <v>0</v>
      </c>
      <c r="AT121" s="1335">
        <f>IF(ISNA(R121*VLOOKUP($D121,Hypothèses!$D$6:$F$14,3,0)),0,R121*VLOOKUP($D121,Hypothèses!$D$6:$F$14,3,0))</f>
        <v>0</v>
      </c>
      <c r="AU121" s="1335">
        <f>IF(ISNA(S121*VLOOKUP($D121,Hypothèses!$D$6:$F$14,3,0)),0,S121*VLOOKUP($D121,Hypothèses!$D$6:$F$14,3,0))</f>
        <v>0</v>
      </c>
      <c r="AV121" s="1335">
        <f>IF(ISNA(T121*VLOOKUP($D121,Hypothèses!$D$6:$F$14,3,0)),0,T121*VLOOKUP($D121,Hypothèses!$D$6:$F$14,3,0))</f>
        <v>0</v>
      </c>
      <c r="AW121" s="1335">
        <f>IF(ISNA(U121*VLOOKUP($D121,Hypothèses!$D$6:$F$14,3,0)),0,U121*VLOOKUP($D121,Hypothèses!$D$6:$F$14,3,0))</f>
        <v>0</v>
      </c>
      <c r="AX121" s="1335">
        <f>IF(ISNA(V121*VLOOKUP($D121,Hypothèses!$D$6:$F$14,3,0)),0,V121*VLOOKUP($D121,Hypothèses!$D$6:$F$14,3,0))</f>
        <v>0</v>
      </c>
      <c r="AY121" s="1335">
        <f>IF(ISNA(W121*VLOOKUP($D121,Hypothèses!$D$6:$F$14,3,0)),0,W121*VLOOKUP($D121,Hypothèses!$D$6:$F$14,3,0))</f>
        <v>0</v>
      </c>
      <c r="AZ121" s="1335">
        <f>IF(ISNA(X121*VLOOKUP($D121,Hypothèses!$D$6:$F$14,3,0)),0,X121*VLOOKUP($D121,Hypothèses!$D$6:$F$14,3,0))</f>
        <v>0</v>
      </c>
      <c r="BA121" s="1335">
        <f>IF(ISNA(Y121*VLOOKUP($D121,Hypothèses!$D$6:$F$14,3,0)),0,Y121*VLOOKUP($D121,Hypothèses!$D$6:$F$14,3,0))</f>
        <v>0</v>
      </c>
      <c r="BB121" s="1335">
        <f>IF(ISNA(Z121*VLOOKUP($D121,Hypothèses!$D$6:$F$14,3,0)),0,Z121*VLOOKUP($D121,Hypothèses!$D$6:$F$14,3,0))</f>
        <v>0</v>
      </c>
      <c r="BC121" s="1335">
        <f>IF(ISNA(AA121*VLOOKUP($D121,Hypothèses!$D$6:$F$14,3,0)),0,AA121*VLOOKUP($D121,Hypothèses!$D$6:$F$14,3,0))</f>
        <v>0</v>
      </c>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row>
    <row r="122" spans="1:89" s="3" customFormat="1">
      <c r="A122" s="1817">
        <v>115</v>
      </c>
      <c r="B122" s="1790"/>
      <c r="C122" s="1333"/>
      <c r="D122" s="1334"/>
      <c r="E122" s="1332" t="str">
        <f>IF(ISNA(VLOOKUP(D122,Hypothèses!$D$6:$G$16,4,0)),"",VLOOKUP(D122,Hypothèses!$D$6:$G$16,4,0))</f>
        <v/>
      </c>
      <c r="F122" s="1842"/>
      <c r="G122" s="1843"/>
      <c r="H122" s="1843"/>
      <c r="I122" s="1843"/>
      <c r="J122" s="1843"/>
      <c r="K122" s="1843"/>
      <c r="L122" s="1843"/>
      <c r="M122" s="1843"/>
      <c r="N122" s="1843"/>
      <c r="O122" s="1843"/>
      <c r="P122" s="1843"/>
      <c r="Q122" s="1843"/>
      <c r="R122" s="1843"/>
      <c r="S122" s="1843"/>
      <c r="T122" s="1843"/>
      <c r="U122" s="1843"/>
      <c r="V122" s="1843"/>
      <c r="W122" s="1843"/>
      <c r="X122" s="1843"/>
      <c r="Y122" s="1843"/>
      <c r="Z122" s="1843"/>
      <c r="AA122" s="1844"/>
      <c r="AB122" s="1335"/>
      <c r="AC122" s="1335"/>
      <c r="AD122" s="1335"/>
      <c r="AE122" s="1335"/>
      <c r="AF122" s="1335"/>
      <c r="AG122"/>
      <c r="AH122" s="1335">
        <f>IF(ISNA(F122*VLOOKUP($D122,Hypothèses!$D$6:$F$14,3,0)),0,F122*VLOOKUP($D122,Hypothèses!$D$6:$F$14,3,0))</f>
        <v>0</v>
      </c>
      <c r="AI122" s="1335">
        <f>IF(ISNA(G122*VLOOKUP($D122,Hypothèses!$D$6:$F$14,3,0)),0,G122*VLOOKUP($D122,Hypothèses!$D$6:$F$14,3,0))</f>
        <v>0</v>
      </c>
      <c r="AJ122" s="1335">
        <f>IF(ISNA(H122*VLOOKUP($D122,Hypothèses!$D$6:$F$14,3,0)),0,H122*VLOOKUP($D122,Hypothèses!$D$6:$F$14,3,0))</f>
        <v>0</v>
      </c>
      <c r="AK122" s="1335">
        <f>IF(ISNA(I122*VLOOKUP($D122,Hypothèses!$D$6:$F$14,3,0)),0,I122*VLOOKUP($D122,Hypothèses!$D$6:$F$14,3,0))</f>
        <v>0</v>
      </c>
      <c r="AL122" s="1335">
        <f>IF(ISNA(J122*VLOOKUP($D122,Hypothèses!$D$6:$F$14,3,0)),0,J122*VLOOKUP($D122,Hypothèses!$D$6:$F$14,3,0))</f>
        <v>0</v>
      </c>
      <c r="AM122" s="1335">
        <f>IF(ISNA(K122*VLOOKUP($D122,Hypothèses!$D$6:$F$14,3,0)),0,K122*VLOOKUP($D122,Hypothèses!$D$6:$F$14,3,0))</f>
        <v>0</v>
      </c>
      <c r="AN122" s="1335">
        <f>IF(ISNA(L122*VLOOKUP($D122,Hypothèses!$D$6:$F$14,3,0)),0,L122*VLOOKUP($D122,Hypothèses!$D$6:$F$14,3,0))</f>
        <v>0</v>
      </c>
      <c r="AO122" s="1335">
        <f>IF(ISNA(M122*VLOOKUP($D122,Hypothèses!$D$6:$F$14,3,0)),0,M122*VLOOKUP($D122,Hypothèses!$D$6:$F$14,3,0))</f>
        <v>0</v>
      </c>
      <c r="AP122" s="1335">
        <f>IF(ISNA(N122*VLOOKUP($D122,Hypothèses!$D$6:$F$14,3,0)),0,N122*VLOOKUP($D122,Hypothèses!$D$6:$F$14,3,0))</f>
        <v>0</v>
      </c>
      <c r="AQ122" s="1335">
        <f>IF(ISNA(O122*VLOOKUP($D122,Hypothèses!$D$6:$F$14,3,0)),0,O122*VLOOKUP($D122,Hypothèses!$D$6:$F$14,3,0))</f>
        <v>0</v>
      </c>
      <c r="AR122" s="1335">
        <f>IF(ISNA(P122*VLOOKUP($D122,Hypothèses!$D$6:$F$14,3,0)),0,P122*VLOOKUP($D122,Hypothèses!$D$6:$F$14,3,0))</f>
        <v>0</v>
      </c>
      <c r="AS122" s="1335">
        <f>IF(ISNA(Q122*VLOOKUP($D122,Hypothèses!$D$6:$F$14,3,0)),0,Q122*VLOOKUP($D122,Hypothèses!$D$6:$F$14,3,0))</f>
        <v>0</v>
      </c>
      <c r="AT122" s="1335">
        <f>IF(ISNA(R122*VLOOKUP($D122,Hypothèses!$D$6:$F$14,3,0)),0,R122*VLOOKUP($D122,Hypothèses!$D$6:$F$14,3,0))</f>
        <v>0</v>
      </c>
      <c r="AU122" s="1335">
        <f>IF(ISNA(S122*VLOOKUP($D122,Hypothèses!$D$6:$F$14,3,0)),0,S122*VLOOKUP($D122,Hypothèses!$D$6:$F$14,3,0))</f>
        <v>0</v>
      </c>
      <c r="AV122" s="1335">
        <f>IF(ISNA(T122*VLOOKUP($D122,Hypothèses!$D$6:$F$14,3,0)),0,T122*VLOOKUP($D122,Hypothèses!$D$6:$F$14,3,0))</f>
        <v>0</v>
      </c>
      <c r="AW122" s="1335">
        <f>IF(ISNA(U122*VLOOKUP($D122,Hypothèses!$D$6:$F$14,3,0)),0,U122*VLOOKUP($D122,Hypothèses!$D$6:$F$14,3,0))</f>
        <v>0</v>
      </c>
      <c r="AX122" s="1335">
        <f>IF(ISNA(V122*VLOOKUP($D122,Hypothèses!$D$6:$F$14,3,0)),0,V122*VLOOKUP($D122,Hypothèses!$D$6:$F$14,3,0))</f>
        <v>0</v>
      </c>
      <c r="AY122" s="1335">
        <f>IF(ISNA(W122*VLOOKUP($D122,Hypothèses!$D$6:$F$14,3,0)),0,W122*VLOOKUP($D122,Hypothèses!$D$6:$F$14,3,0))</f>
        <v>0</v>
      </c>
      <c r="AZ122" s="1335">
        <f>IF(ISNA(X122*VLOOKUP($D122,Hypothèses!$D$6:$F$14,3,0)),0,X122*VLOOKUP($D122,Hypothèses!$D$6:$F$14,3,0))</f>
        <v>0</v>
      </c>
      <c r="BA122" s="1335">
        <f>IF(ISNA(Y122*VLOOKUP($D122,Hypothèses!$D$6:$F$14,3,0)),0,Y122*VLOOKUP($D122,Hypothèses!$D$6:$F$14,3,0))</f>
        <v>0</v>
      </c>
      <c r="BB122" s="1335">
        <f>IF(ISNA(Z122*VLOOKUP($D122,Hypothèses!$D$6:$F$14,3,0)),0,Z122*VLOOKUP($D122,Hypothèses!$D$6:$F$14,3,0))</f>
        <v>0</v>
      </c>
      <c r="BC122" s="1335">
        <f>IF(ISNA(AA122*VLOOKUP($D122,Hypothèses!$D$6:$F$14,3,0)),0,AA122*VLOOKUP($D122,Hypothèses!$D$6:$F$14,3,0))</f>
        <v>0</v>
      </c>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row>
    <row r="123" spans="1:89" s="3" customFormat="1">
      <c r="A123" s="1817">
        <v>116</v>
      </c>
      <c r="B123" s="1790"/>
      <c r="C123" s="1333"/>
      <c r="D123" s="1334"/>
      <c r="E123" s="1332" t="str">
        <f>IF(ISNA(VLOOKUP(D123,Hypothèses!$D$6:$G$16,4,0)),"",VLOOKUP(D123,Hypothèses!$D$6:$G$16,4,0))</f>
        <v/>
      </c>
      <c r="F123" s="1842"/>
      <c r="G123" s="1843"/>
      <c r="H123" s="1843"/>
      <c r="I123" s="1843"/>
      <c r="J123" s="1843"/>
      <c r="K123" s="1843"/>
      <c r="L123" s="1843"/>
      <c r="M123" s="1843"/>
      <c r="N123" s="1843"/>
      <c r="O123" s="1843"/>
      <c r="P123" s="1843"/>
      <c r="Q123" s="1843"/>
      <c r="R123" s="1843"/>
      <c r="S123" s="1843"/>
      <c r="T123" s="1843"/>
      <c r="U123" s="1843"/>
      <c r="V123" s="1843"/>
      <c r="W123" s="1843"/>
      <c r="X123" s="1843"/>
      <c r="Y123" s="1843"/>
      <c r="Z123" s="1843"/>
      <c r="AA123" s="1844"/>
      <c r="AB123" s="1335"/>
      <c r="AC123" s="1335"/>
      <c r="AD123" s="1335"/>
      <c r="AE123" s="1335"/>
      <c r="AF123" s="1335"/>
      <c r="AG123"/>
      <c r="AH123" s="1335">
        <f>IF(ISNA(F123*VLOOKUP($D123,Hypothèses!$D$6:$F$14,3,0)),0,F123*VLOOKUP($D123,Hypothèses!$D$6:$F$14,3,0))</f>
        <v>0</v>
      </c>
      <c r="AI123" s="1335">
        <f>IF(ISNA(G123*VLOOKUP($D123,Hypothèses!$D$6:$F$14,3,0)),0,G123*VLOOKUP($D123,Hypothèses!$D$6:$F$14,3,0))</f>
        <v>0</v>
      </c>
      <c r="AJ123" s="1335">
        <f>IF(ISNA(H123*VLOOKUP($D123,Hypothèses!$D$6:$F$14,3,0)),0,H123*VLOOKUP($D123,Hypothèses!$D$6:$F$14,3,0))</f>
        <v>0</v>
      </c>
      <c r="AK123" s="1335">
        <f>IF(ISNA(I123*VLOOKUP($D123,Hypothèses!$D$6:$F$14,3,0)),0,I123*VLOOKUP($D123,Hypothèses!$D$6:$F$14,3,0))</f>
        <v>0</v>
      </c>
      <c r="AL123" s="1335">
        <f>IF(ISNA(J123*VLOOKUP($D123,Hypothèses!$D$6:$F$14,3,0)),0,J123*VLOOKUP($D123,Hypothèses!$D$6:$F$14,3,0))</f>
        <v>0</v>
      </c>
      <c r="AM123" s="1335">
        <f>IF(ISNA(K123*VLOOKUP($D123,Hypothèses!$D$6:$F$14,3,0)),0,K123*VLOOKUP($D123,Hypothèses!$D$6:$F$14,3,0))</f>
        <v>0</v>
      </c>
      <c r="AN123" s="1335">
        <f>IF(ISNA(L123*VLOOKUP($D123,Hypothèses!$D$6:$F$14,3,0)),0,L123*VLOOKUP($D123,Hypothèses!$D$6:$F$14,3,0))</f>
        <v>0</v>
      </c>
      <c r="AO123" s="1335">
        <f>IF(ISNA(M123*VLOOKUP($D123,Hypothèses!$D$6:$F$14,3,0)),0,M123*VLOOKUP($D123,Hypothèses!$D$6:$F$14,3,0))</f>
        <v>0</v>
      </c>
      <c r="AP123" s="1335">
        <f>IF(ISNA(N123*VLOOKUP($D123,Hypothèses!$D$6:$F$14,3,0)),0,N123*VLOOKUP($D123,Hypothèses!$D$6:$F$14,3,0))</f>
        <v>0</v>
      </c>
      <c r="AQ123" s="1335">
        <f>IF(ISNA(O123*VLOOKUP($D123,Hypothèses!$D$6:$F$14,3,0)),0,O123*VLOOKUP($D123,Hypothèses!$D$6:$F$14,3,0))</f>
        <v>0</v>
      </c>
      <c r="AR123" s="1335">
        <f>IF(ISNA(P123*VLOOKUP($D123,Hypothèses!$D$6:$F$14,3,0)),0,P123*VLOOKUP($D123,Hypothèses!$D$6:$F$14,3,0))</f>
        <v>0</v>
      </c>
      <c r="AS123" s="1335">
        <f>IF(ISNA(Q123*VLOOKUP($D123,Hypothèses!$D$6:$F$14,3,0)),0,Q123*VLOOKUP($D123,Hypothèses!$D$6:$F$14,3,0))</f>
        <v>0</v>
      </c>
      <c r="AT123" s="1335">
        <f>IF(ISNA(R123*VLOOKUP($D123,Hypothèses!$D$6:$F$14,3,0)),0,R123*VLOOKUP($D123,Hypothèses!$D$6:$F$14,3,0))</f>
        <v>0</v>
      </c>
      <c r="AU123" s="1335">
        <f>IF(ISNA(S123*VLOOKUP($D123,Hypothèses!$D$6:$F$14,3,0)),0,S123*VLOOKUP($D123,Hypothèses!$D$6:$F$14,3,0))</f>
        <v>0</v>
      </c>
      <c r="AV123" s="1335">
        <f>IF(ISNA(T123*VLOOKUP($D123,Hypothèses!$D$6:$F$14,3,0)),0,T123*VLOOKUP($D123,Hypothèses!$D$6:$F$14,3,0))</f>
        <v>0</v>
      </c>
      <c r="AW123" s="1335">
        <f>IF(ISNA(U123*VLOOKUP($D123,Hypothèses!$D$6:$F$14,3,0)),0,U123*VLOOKUP($D123,Hypothèses!$D$6:$F$14,3,0))</f>
        <v>0</v>
      </c>
      <c r="AX123" s="1335">
        <f>IF(ISNA(V123*VLOOKUP($D123,Hypothèses!$D$6:$F$14,3,0)),0,V123*VLOOKUP($D123,Hypothèses!$D$6:$F$14,3,0))</f>
        <v>0</v>
      </c>
      <c r="AY123" s="1335">
        <f>IF(ISNA(W123*VLOOKUP($D123,Hypothèses!$D$6:$F$14,3,0)),0,W123*VLOOKUP($D123,Hypothèses!$D$6:$F$14,3,0))</f>
        <v>0</v>
      </c>
      <c r="AZ123" s="1335">
        <f>IF(ISNA(X123*VLOOKUP($D123,Hypothèses!$D$6:$F$14,3,0)),0,X123*VLOOKUP($D123,Hypothèses!$D$6:$F$14,3,0))</f>
        <v>0</v>
      </c>
      <c r="BA123" s="1335">
        <f>IF(ISNA(Y123*VLOOKUP($D123,Hypothèses!$D$6:$F$14,3,0)),0,Y123*VLOOKUP($D123,Hypothèses!$D$6:$F$14,3,0))</f>
        <v>0</v>
      </c>
      <c r="BB123" s="1335">
        <f>IF(ISNA(Z123*VLOOKUP($D123,Hypothèses!$D$6:$F$14,3,0)),0,Z123*VLOOKUP($D123,Hypothèses!$D$6:$F$14,3,0))</f>
        <v>0</v>
      </c>
      <c r="BC123" s="1335">
        <f>IF(ISNA(AA123*VLOOKUP($D123,Hypothèses!$D$6:$F$14,3,0)),0,AA123*VLOOKUP($D123,Hypothèses!$D$6:$F$14,3,0))</f>
        <v>0</v>
      </c>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row>
    <row r="124" spans="1:89" s="3" customFormat="1">
      <c r="A124" s="1817">
        <v>117</v>
      </c>
      <c r="B124" s="1790"/>
      <c r="C124" s="1333"/>
      <c r="D124" s="1334"/>
      <c r="E124" s="1332" t="str">
        <f>IF(ISNA(VLOOKUP(D124,Hypothèses!$D$6:$G$16,4,0)),"",VLOOKUP(D124,Hypothèses!$D$6:$G$16,4,0))</f>
        <v/>
      </c>
      <c r="F124" s="1842"/>
      <c r="G124" s="1843"/>
      <c r="H124" s="1843"/>
      <c r="I124" s="1843"/>
      <c r="J124" s="1843"/>
      <c r="K124" s="1843"/>
      <c r="L124" s="1843"/>
      <c r="M124" s="1843"/>
      <c r="N124" s="1843"/>
      <c r="O124" s="1843"/>
      <c r="P124" s="1843"/>
      <c r="Q124" s="1843"/>
      <c r="R124" s="1843"/>
      <c r="S124" s="1843"/>
      <c r="T124" s="1843"/>
      <c r="U124" s="1843"/>
      <c r="V124" s="1843"/>
      <c r="W124" s="1843"/>
      <c r="X124" s="1843"/>
      <c r="Y124" s="1843"/>
      <c r="Z124" s="1843"/>
      <c r="AA124" s="1844"/>
      <c r="AB124" s="1335"/>
      <c r="AC124" s="1335"/>
      <c r="AD124" s="1335"/>
      <c r="AE124" s="1335"/>
      <c r="AF124" s="1335"/>
      <c r="AG124"/>
      <c r="AH124" s="1335">
        <f>IF(ISNA(F124*VLOOKUP($D124,Hypothèses!$D$6:$F$14,3,0)),0,F124*VLOOKUP($D124,Hypothèses!$D$6:$F$14,3,0))</f>
        <v>0</v>
      </c>
      <c r="AI124" s="1335">
        <f>IF(ISNA(G124*VLOOKUP($D124,Hypothèses!$D$6:$F$14,3,0)),0,G124*VLOOKUP($D124,Hypothèses!$D$6:$F$14,3,0))</f>
        <v>0</v>
      </c>
      <c r="AJ124" s="1335">
        <f>IF(ISNA(H124*VLOOKUP($D124,Hypothèses!$D$6:$F$14,3,0)),0,H124*VLOOKUP($D124,Hypothèses!$D$6:$F$14,3,0))</f>
        <v>0</v>
      </c>
      <c r="AK124" s="1335">
        <f>IF(ISNA(I124*VLOOKUP($D124,Hypothèses!$D$6:$F$14,3,0)),0,I124*VLOOKUP($D124,Hypothèses!$D$6:$F$14,3,0))</f>
        <v>0</v>
      </c>
      <c r="AL124" s="1335">
        <f>IF(ISNA(J124*VLOOKUP($D124,Hypothèses!$D$6:$F$14,3,0)),0,J124*VLOOKUP($D124,Hypothèses!$D$6:$F$14,3,0))</f>
        <v>0</v>
      </c>
      <c r="AM124" s="1335">
        <f>IF(ISNA(K124*VLOOKUP($D124,Hypothèses!$D$6:$F$14,3,0)),0,K124*VLOOKUP($D124,Hypothèses!$D$6:$F$14,3,0))</f>
        <v>0</v>
      </c>
      <c r="AN124" s="1335">
        <f>IF(ISNA(L124*VLOOKUP($D124,Hypothèses!$D$6:$F$14,3,0)),0,L124*VLOOKUP($D124,Hypothèses!$D$6:$F$14,3,0))</f>
        <v>0</v>
      </c>
      <c r="AO124" s="1335">
        <f>IF(ISNA(M124*VLOOKUP($D124,Hypothèses!$D$6:$F$14,3,0)),0,M124*VLOOKUP($D124,Hypothèses!$D$6:$F$14,3,0))</f>
        <v>0</v>
      </c>
      <c r="AP124" s="1335">
        <f>IF(ISNA(N124*VLOOKUP($D124,Hypothèses!$D$6:$F$14,3,0)),0,N124*VLOOKUP($D124,Hypothèses!$D$6:$F$14,3,0))</f>
        <v>0</v>
      </c>
      <c r="AQ124" s="1335">
        <f>IF(ISNA(O124*VLOOKUP($D124,Hypothèses!$D$6:$F$14,3,0)),0,O124*VLOOKUP($D124,Hypothèses!$D$6:$F$14,3,0))</f>
        <v>0</v>
      </c>
      <c r="AR124" s="1335">
        <f>IF(ISNA(P124*VLOOKUP($D124,Hypothèses!$D$6:$F$14,3,0)),0,P124*VLOOKUP($D124,Hypothèses!$D$6:$F$14,3,0))</f>
        <v>0</v>
      </c>
      <c r="AS124" s="1335">
        <f>IF(ISNA(Q124*VLOOKUP($D124,Hypothèses!$D$6:$F$14,3,0)),0,Q124*VLOOKUP($D124,Hypothèses!$D$6:$F$14,3,0))</f>
        <v>0</v>
      </c>
      <c r="AT124" s="1335">
        <f>IF(ISNA(R124*VLOOKUP($D124,Hypothèses!$D$6:$F$14,3,0)),0,R124*VLOOKUP($D124,Hypothèses!$D$6:$F$14,3,0))</f>
        <v>0</v>
      </c>
      <c r="AU124" s="1335">
        <f>IF(ISNA(S124*VLOOKUP($D124,Hypothèses!$D$6:$F$14,3,0)),0,S124*VLOOKUP($D124,Hypothèses!$D$6:$F$14,3,0))</f>
        <v>0</v>
      </c>
      <c r="AV124" s="1335">
        <f>IF(ISNA(T124*VLOOKUP($D124,Hypothèses!$D$6:$F$14,3,0)),0,T124*VLOOKUP($D124,Hypothèses!$D$6:$F$14,3,0))</f>
        <v>0</v>
      </c>
      <c r="AW124" s="1335">
        <f>IF(ISNA(U124*VLOOKUP($D124,Hypothèses!$D$6:$F$14,3,0)),0,U124*VLOOKUP($D124,Hypothèses!$D$6:$F$14,3,0))</f>
        <v>0</v>
      </c>
      <c r="AX124" s="1335">
        <f>IF(ISNA(V124*VLOOKUP($D124,Hypothèses!$D$6:$F$14,3,0)),0,V124*VLOOKUP($D124,Hypothèses!$D$6:$F$14,3,0))</f>
        <v>0</v>
      </c>
      <c r="AY124" s="1335">
        <f>IF(ISNA(W124*VLOOKUP($D124,Hypothèses!$D$6:$F$14,3,0)),0,W124*VLOOKUP($D124,Hypothèses!$D$6:$F$14,3,0))</f>
        <v>0</v>
      </c>
      <c r="AZ124" s="1335">
        <f>IF(ISNA(X124*VLOOKUP($D124,Hypothèses!$D$6:$F$14,3,0)),0,X124*VLOOKUP($D124,Hypothèses!$D$6:$F$14,3,0))</f>
        <v>0</v>
      </c>
      <c r="BA124" s="1335">
        <f>IF(ISNA(Y124*VLOOKUP($D124,Hypothèses!$D$6:$F$14,3,0)),0,Y124*VLOOKUP($D124,Hypothèses!$D$6:$F$14,3,0))</f>
        <v>0</v>
      </c>
      <c r="BB124" s="1335">
        <f>IF(ISNA(Z124*VLOOKUP($D124,Hypothèses!$D$6:$F$14,3,0)),0,Z124*VLOOKUP($D124,Hypothèses!$D$6:$F$14,3,0))</f>
        <v>0</v>
      </c>
      <c r="BC124" s="1335">
        <f>IF(ISNA(AA124*VLOOKUP($D124,Hypothèses!$D$6:$F$14,3,0)),0,AA124*VLOOKUP($D124,Hypothèses!$D$6:$F$14,3,0))</f>
        <v>0</v>
      </c>
      <c r="BD124" s="70"/>
      <c r="BE124" s="70"/>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row>
    <row r="125" spans="1:89" s="3" customFormat="1">
      <c r="A125" s="1817">
        <v>118</v>
      </c>
      <c r="B125" s="1790"/>
      <c r="C125" s="1333"/>
      <c r="D125" s="1334"/>
      <c r="E125" s="1332" t="str">
        <f>IF(ISNA(VLOOKUP(D125,Hypothèses!$D$6:$G$16,4,0)),"",VLOOKUP(D125,Hypothèses!$D$6:$G$16,4,0))</f>
        <v/>
      </c>
      <c r="F125" s="1842"/>
      <c r="G125" s="1843"/>
      <c r="H125" s="1843"/>
      <c r="I125" s="1843"/>
      <c r="J125" s="1843"/>
      <c r="K125" s="1843"/>
      <c r="L125" s="1843"/>
      <c r="M125" s="1843"/>
      <c r="N125" s="1843"/>
      <c r="O125" s="1843"/>
      <c r="P125" s="1843"/>
      <c r="Q125" s="1843"/>
      <c r="R125" s="1843"/>
      <c r="S125" s="1843"/>
      <c r="T125" s="1843"/>
      <c r="U125" s="1843"/>
      <c r="V125" s="1843"/>
      <c r="W125" s="1843"/>
      <c r="X125" s="1843"/>
      <c r="Y125" s="1843"/>
      <c r="Z125" s="1843"/>
      <c r="AA125" s="1844"/>
      <c r="AB125" s="1335"/>
      <c r="AC125" s="1335"/>
      <c r="AD125" s="1335"/>
      <c r="AE125" s="1335"/>
      <c r="AF125" s="1335"/>
      <c r="AG125"/>
      <c r="AH125" s="1335">
        <f>IF(ISNA(F125*VLOOKUP($D125,Hypothèses!$D$6:$F$14,3,0)),0,F125*VLOOKUP($D125,Hypothèses!$D$6:$F$14,3,0))</f>
        <v>0</v>
      </c>
      <c r="AI125" s="1335">
        <f>IF(ISNA(G125*VLOOKUP($D125,Hypothèses!$D$6:$F$14,3,0)),0,G125*VLOOKUP($D125,Hypothèses!$D$6:$F$14,3,0))</f>
        <v>0</v>
      </c>
      <c r="AJ125" s="1335">
        <f>IF(ISNA(H125*VLOOKUP($D125,Hypothèses!$D$6:$F$14,3,0)),0,H125*VLOOKUP($D125,Hypothèses!$D$6:$F$14,3,0))</f>
        <v>0</v>
      </c>
      <c r="AK125" s="1335">
        <f>IF(ISNA(I125*VLOOKUP($D125,Hypothèses!$D$6:$F$14,3,0)),0,I125*VLOOKUP($D125,Hypothèses!$D$6:$F$14,3,0))</f>
        <v>0</v>
      </c>
      <c r="AL125" s="1335">
        <f>IF(ISNA(J125*VLOOKUP($D125,Hypothèses!$D$6:$F$14,3,0)),0,J125*VLOOKUP($D125,Hypothèses!$D$6:$F$14,3,0))</f>
        <v>0</v>
      </c>
      <c r="AM125" s="1335">
        <f>IF(ISNA(K125*VLOOKUP($D125,Hypothèses!$D$6:$F$14,3,0)),0,K125*VLOOKUP($D125,Hypothèses!$D$6:$F$14,3,0))</f>
        <v>0</v>
      </c>
      <c r="AN125" s="1335">
        <f>IF(ISNA(L125*VLOOKUP($D125,Hypothèses!$D$6:$F$14,3,0)),0,L125*VLOOKUP($D125,Hypothèses!$D$6:$F$14,3,0))</f>
        <v>0</v>
      </c>
      <c r="AO125" s="1335">
        <f>IF(ISNA(M125*VLOOKUP($D125,Hypothèses!$D$6:$F$14,3,0)),0,M125*VLOOKUP($D125,Hypothèses!$D$6:$F$14,3,0))</f>
        <v>0</v>
      </c>
      <c r="AP125" s="1335">
        <f>IF(ISNA(N125*VLOOKUP($D125,Hypothèses!$D$6:$F$14,3,0)),0,N125*VLOOKUP($D125,Hypothèses!$D$6:$F$14,3,0))</f>
        <v>0</v>
      </c>
      <c r="AQ125" s="1335">
        <f>IF(ISNA(O125*VLOOKUP($D125,Hypothèses!$D$6:$F$14,3,0)),0,O125*VLOOKUP($D125,Hypothèses!$D$6:$F$14,3,0))</f>
        <v>0</v>
      </c>
      <c r="AR125" s="1335">
        <f>IF(ISNA(P125*VLOOKUP($D125,Hypothèses!$D$6:$F$14,3,0)),0,P125*VLOOKUP($D125,Hypothèses!$D$6:$F$14,3,0))</f>
        <v>0</v>
      </c>
      <c r="AS125" s="1335">
        <f>IF(ISNA(Q125*VLOOKUP($D125,Hypothèses!$D$6:$F$14,3,0)),0,Q125*VLOOKUP($D125,Hypothèses!$D$6:$F$14,3,0))</f>
        <v>0</v>
      </c>
      <c r="AT125" s="1335">
        <f>IF(ISNA(R125*VLOOKUP($D125,Hypothèses!$D$6:$F$14,3,0)),0,R125*VLOOKUP($D125,Hypothèses!$D$6:$F$14,3,0))</f>
        <v>0</v>
      </c>
      <c r="AU125" s="1335">
        <f>IF(ISNA(S125*VLOOKUP($D125,Hypothèses!$D$6:$F$14,3,0)),0,S125*VLOOKUP($D125,Hypothèses!$D$6:$F$14,3,0))</f>
        <v>0</v>
      </c>
      <c r="AV125" s="1335">
        <f>IF(ISNA(T125*VLOOKUP($D125,Hypothèses!$D$6:$F$14,3,0)),0,T125*VLOOKUP($D125,Hypothèses!$D$6:$F$14,3,0))</f>
        <v>0</v>
      </c>
      <c r="AW125" s="1335">
        <f>IF(ISNA(U125*VLOOKUP($D125,Hypothèses!$D$6:$F$14,3,0)),0,U125*VLOOKUP($D125,Hypothèses!$D$6:$F$14,3,0))</f>
        <v>0</v>
      </c>
      <c r="AX125" s="1335">
        <f>IF(ISNA(V125*VLOOKUP($D125,Hypothèses!$D$6:$F$14,3,0)),0,V125*VLOOKUP($D125,Hypothèses!$D$6:$F$14,3,0))</f>
        <v>0</v>
      </c>
      <c r="AY125" s="1335">
        <f>IF(ISNA(W125*VLOOKUP($D125,Hypothèses!$D$6:$F$14,3,0)),0,W125*VLOOKUP($D125,Hypothèses!$D$6:$F$14,3,0))</f>
        <v>0</v>
      </c>
      <c r="AZ125" s="1335">
        <f>IF(ISNA(X125*VLOOKUP($D125,Hypothèses!$D$6:$F$14,3,0)),0,X125*VLOOKUP($D125,Hypothèses!$D$6:$F$14,3,0))</f>
        <v>0</v>
      </c>
      <c r="BA125" s="1335">
        <f>IF(ISNA(Y125*VLOOKUP($D125,Hypothèses!$D$6:$F$14,3,0)),0,Y125*VLOOKUP($D125,Hypothèses!$D$6:$F$14,3,0))</f>
        <v>0</v>
      </c>
      <c r="BB125" s="1335">
        <f>IF(ISNA(Z125*VLOOKUP($D125,Hypothèses!$D$6:$F$14,3,0)),0,Z125*VLOOKUP($D125,Hypothèses!$D$6:$F$14,3,0))</f>
        <v>0</v>
      </c>
      <c r="BC125" s="1335">
        <f>IF(ISNA(AA125*VLOOKUP($D125,Hypothèses!$D$6:$F$14,3,0)),0,AA125*VLOOKUP($D125,Hypothèses!$D$6:$F$14,3,0))</f>
        <v>0</v>
      </c>
      <c r="BD125" s="70"/>
      <c r="BE125" s="70"/>
      <c r="BF125" s="70"/>
      <c r="BG125" s="70"/>
      <c r="BH125" s="70"/>
      <c r="BI125" s="70"/>
      <c r="BJ125" s="70"/>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row>
    <row r="126" spans="1:89" s="3" customFormat="1">
      <c r="A126" s="1817">
        <v>119</v>
      </c>
      <c r="B126" s="1790"/>
      <c r="C126" s="1333"/>
      <c r="D126" s="1334"/>
      <c r="E126" s="1332" t="str">
        <f>IF(ISNA(VLOOKUP(D126,Hypothèses!$D$6:$G$16,4,0)),"",VLOOKUP(D126,Hypothèses!$D$6:$G$16,4,0))</f>
        <v/>
      </c>
      <c r="F126" s="1842"/>
      <c r="G126" s="1843"/>
      <c r="H126" s="1843"/>
      <c r="I126" s="1843"/>
      <c r="J126" s="1843"/>
      <c r="K126" s="1843"/>
      <c r="L126" s="1843"/>
      <c r="M126" s="1843"/>
      <c r="N126" s="1843"/>
      <c r="O126" s="1843"/>
      <c r="P126" s="1843"/>
      <c r="Q126" s="1843"/>
      <c r="R126" s="1843"/>
      <c r="S126" s="1843"/>
      <c r="T126" s="1843"/>
      <c r="U126" s="1843"/>
      <c r="V126" s="1843"/>
      <c r="W126" s="1843"/>
      <c r="X126" s="1843"/>
      <c r="Y126" s="1843"/>
      <c r="Z126" s="1843"/>
      <c r="AA126" s="1844"/>
      <c r="AB126" s="1335"/>
      <c r="AC126" s="1335"/>
      <c r="AD126" s="1335"/>
      <c r="AE126" s="1335"/>
      <c r="AF126" s="1335"/>
      <c r="AG126"/>
      <c r="AH126" s="1335">
        <f>IF(ISNA(F126*VLOOKUP($D126,Hypothèses!$D$6:$F$14,3,0)),0,F126*VLOOKUP($D126,Hypothèses!$D$6:$F$14,3,0))</f>
        <v>0</v>
      </c>
      <c r="AI126" s="1335">
        <f>IF(ISNA(G126*VLOOKUP($D126,Hypothèses!$D$6:$F$14,3,0)),0,G126*VLOOKUP($D126,Hypothèses!$D$6:$F$14,3,0))</f>
        <v>0</v>
      </c>
      <c r="AJ126" s="1335">
        <f>IF(ISNA(H126*VLOOKUP($D126,Hypothèses!$D$6:$F$14,3,0)),0,H126*VLOOKUP($D126,Hypothèses!$D$6:$F$14,3,0))</f>
        <v>0</v>
      </c>
      <c r="AK126" s="1335">
        <f>IF(ISNA(I126*VLOOKUP($D126,Hypothèses!$D$6:$F$14,3,0)),0,I126*VLOOKUP($D126,Hypothèses!$D$6:$F$14,3,0))</f>
        <v>0</v>
      </c>
      <c r="AL126" s="1335">
        <f>IF(ISNA(J126*VLOOKUP($D126,Hypothèses!$D$6:$F$14,3,0)),0,J126*VLOOKUP($D126,Hypothèses!$D$6:$F$14,3,0))</f>
        <v>0</v>
      </c>
      <c r="AM126" s="1335">
        <f>IF(ISNA(K126*VLOOKUP($D126,Hypothèses!$D$6:$F$14,3,0)),0,K126*VLOOKUP($D126,Hypothèses!$D$6:$F$14,3,0))</f>
        <v>0</v>
      </c>
      <c r="AN126" s="1335">
        <f>IF(ISNA(L126*VLOOKUP($D126,Hypothèses!$D$6:$F$14,3,0)),0,L126*VLOOKUP($D126,Hypothèses!$D$6:$F$14,3,0))</f>
        <v>0</v>
      </c>
      <c r="AO126" s="1335">
        <f>IF(ISNA(M126*VLOOKUP($D126,Hypothèses!$D$6:$F$14,3,0)),0,M126*VLOOKUP($D126,Hypothèses!$D$6:$F$14,3,0))</f>
        <v>0</v>
      </c>
      <c r="AP126" s="1335">
        <f>IF(ISNA(N126*VLOOKUP($D126,Hypothèses!$D$6:$F$14,3,0)),0,N126*VLOOKUP($D126,Hypothèses!$D$6:$F$14,3,0))</f>
        <v>0</v>
      </c>
      <c r="AQ126" s="1335">
        <f>IF(ISNA(O126*VLOOKUP($D126,Hypothèses!$D$6:$F$14,3,0)),0,O126*VLOOKUP($D126,Hypothèses!$D$6:$F$14,3,0))</f>
        <v>0</v>
      </c>
      <c r="AR126" s="1335">
        <f>IF(ISNA(P126*VLOOKUP($D126,Hypothèses!$D$6:$F$14,3,0)),0,P126*VLOOKUP($D126,Hypothèses!$D$6:$F$14,3,0))</f>
        <v>0</v>
      </c>
      <c r="AS126" s="1335">
        <f>IF(ISNA(Q126*VLOOKUP($D126,Hypothèses!$D$6:$F$14,3,0)),0,Q126*VLOOKUP($D126,Hypothèses!$D$6:$F$14,3,0))</f>
        <v>0</v>
      </c>
      <c r="AT126" s="1335">
        <f>IF(ISNA(R126*VLOOKUP($D126,Hypothèses!$D$6:$F$14,3,0)),0,R126*VLOOKUP($D126,Hypothèses!$D$6:$F$14,3,0))</f>
        <v>0</v>
      </c>
      <c r="AU126" s="1335">
        <f>IF(ISNA(S126*VLOOKUP($D126,Hypothèses!$D$6:$F$14,3,0)),0,S126*VLOOKUP($D126,Hypothèses!$D$6:$F$14,3,0))</f>
        <v>0</v>
      </c>
      <c r="AV126" s="1335">
        <f>IF(ISNA(T126*VLOOKUP($D126,Hypothèses!$D$6:$F$14,3,0)),0,T126*VLOOKUP($D126,Hypothèses!$D$6:$F$14,3,0))</f>
        <v>0</v>
      </c>
      <c r="AW126" s="1335">
        <f>IF(ISNA(U126*VLOOKUP($D126,Hypothèses!$D$6:$F$14,3,0)),0,U126*VLOOKUP($D126,Hypothèses!$D$6:$F$14,3,0))</f>
        <v>0</v>
      </c>
      <c r="AX126" s="1335">
        <f>IF(ISNA(V126*VLOOKUP($D126,Hypothèses!$D$6:$F$14,3,0)),0,V126*VLOOKUP($D126,Hypothèses!$D$6:$F$14,3,0))</f>
        <v>0</v>
      </c>
      <c r="AY126" s="1335">
        <f>IF(ISNA(W126*VLOOKUP($D126,Hypothèses!$D$6:$F$14,3,0)),0,W126*VLOOKUP($D126,Hypothèses!$D$6:$F$14,3,0))</f>
        <v>0</v>
      </c>
      <c r="AZ126" s="1335">
        <f>IF(ISNA(X126*VLOOKUP($D126,Hypothèses!$D$6:$F$14,3,0)),0,X126*VLOOKUP($D126,Hypothèses!$D$6:$F$14,3,0))</f>
        <v>0</v>
      </c>
      <c r="BA126" s="1335">
        <f>IF(ISNA(Y126*VLOOKUP($D126,Hypothèses!$D$6:$F$14,3,0)),0,Y126*VLOOKUP($D126,Hypothèses!$D$6:$F$14,3,0))</f>
        <v>0</v>
      </c>
      <c r="BB126" s="1335">
        <f>IF(ISNA(Z126*VLOOKUP($D126,Hypothèses!$D$6:$F$14,3,0)),0,Z126*VLOOKUP($D126,Hypothèses!$D$6:$F$14,3,0))</f>
        <v>0</v>
      </c>
      <c r="BC126" s="1335">
        <f>IF(ISNA(AA126*VLOOKUP($D126,Hypothèses!$D$6:$F$14,3,0)),0,AA126*VLOOKUP($D126,Hypothèses!$D$6:$F$14,3,0))</f>
        <v>0</v>
      </c>
      <c r="BD126" s="70"/>
      <c r="BE126" s="70"/>
      <c r="BF126" s="70"/>
      <c r="BG126" s="70"/>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70"/>
      <c r="CE126" s="70"/>
      <c r="CF126" s="70"/>
      <c r="CG126" s="70"/>
      <c r="CH126" s="70"/>
      <c r="CI126" s="70"/>
      <c r="CJ126" s="70"/>
      <c r="CK126" s="70"/>
    </row>
    <row r="127" spans="1:89" s="3" customFormat="1">
      <c r="A127" s="1817">
        <v>120</v>
      </c>
      <c r="B127" s="1790"/>
      <c r="C127" s="1333"/>
      <c r="D127" s="1334"/>
      <c r="E127" s="1332" t="str">
        <f>IF(ISNA(VLOOKUP(D127,Hypothèses!$D$6:$G$16,4,0)),"",VLOOKUP(D127,Hypothèses!$D$6:$G$16,4,0))</f>
        <v/>
      </c>
      <c r="F127" s="1842"/>
      <c r="G127" s="1843"/>
      <c r="H127" s="1843"/>
      <c r="I127" s="1843"/>
      <c r="J127" s="1843"/>
      <c r="K127" s="1843"/>
      <c r="L127" s="1843"/>
      <c r="M127" s="1843"/>
      <c r="N127" s="1843"/>
      <c r="O127" s="1843"/>
      <c r="P127" s="1843"/>
      <c r="Q127" s="1843"/>
      <c r="R127" s="1843"/>
      <c r="S127" s="1843"/>
      <c r="T127" s="1843"/>
      <c r="U127" s="1843"/>
      <c r="V127" s="1843"/>
      <c r="W127" s="1843"/>
      <c r="X127" s="1843"/>
      <c r="Y127" s="1843"/>
      <c r="Z127" s="1843"/>
      <c r="AA127" s="1844"/>
      <c r="AB127" s="1335"/>
      <c r="AC127" s="1335"/>
      <c r="AD127" s="1335"/>
      <c r="AE127" s="1335"/>
      <c r="AF127" s="1335"/>
      <c r="AG127"/>
      <c r="AH127" s="1335">
        <f>IF(ISNA(F127*VLOOKUP($D127,Hypothèses!$D$6:$F$14,3,0)),0,F127*VLOOKUP($D127,Hypothèses!$D$6:$F$14,3,0))</f>
        <v>0</v>
      </c>
      <c r="AI127" s="1335">
        <f>IF(ISNA(G127*VLOOKUP($D127,Hypothèses!$D$6:$F$14,3,0)),0,G127*VLOOKUP($D127,Hypothèses!$D$6:$F$14,3,0))</f>
        <v>0</v>
      </c>
      <c r="AJ127" s="1335">
        <f>IF(ISNA(H127*VLOOKUP($D127,Hypothèses!$D$6:$F$14,3,0)),0,H127*VLOOKUP($D127,Hypothèses!$D$6:$F$14,3,0))</f>
        <v>0</v>
      </c>
      <c r="AK127" s="1335">
        <f>IF(ISNA(I127*VLOOKUP($D127,Hypothèses!$D$6:$F$14,3,0)),0,I127*VLOOKUP($D127,Hypothèses!$D$6:$F$14,3,0))</f>
        <v>0</v>
      </c>
      <c r="AL127" s="1335">
        <f>IF(ISNA(J127*VLOOKUP($D127,Hypothèses!$D$6:$F$14,3,0)),0,J127*VLOOKUP($D127,Hypothèses!$D$6:$F$14,3,0))</f>
        <v>0</v>
      </c>
      <c r="AM127" s="1335">
        <f>IF(ISNA(K127*VLOOKUP($D127,Hypothèses!$D$6:$F$14,3,0)),0,K127*VLOOKUP($D127,Hypothèses!$D$6:$F$14,3,0))</f>
        <v>0</v>
      </c>
      <c r="AN127" s="1335">
        <f>IF(ISNA(L127*VLOOKUP($D127,Hypothèses!$D$6:$F$14,3,0)),0,L127*VLOOKUP($D127,Hypothèses!$D$6:$F$14,3,0))</f>
        <v>0</v>
      </c>
      <c r="AO127" s="1335">
        <f>IF(ISNA(M127*VLOOKUP($D127,Hypothèses!$D$6:$F$14,3,0)),0,M127*VLOOKUP($D127,Hypothèses!$D$6:$F$14,3,0))</f>
        <v>0</v>
      </c>
      <c r="AP127" s="1335">
        <f>IF(ISNA(N127*VLOOKUP($D127,Hypothèses!$D$6:$F$14,3,0)),0,N127*VLOOKUP($D127,Hypothèses!$D$6:$F$14,3,0))</f>
        <v>0</v>
      </c>
      <c r="AQ127" s="1335">
        <f>IF(ISNA(O127*VLOOKUP($D127,Hypothèses!$D$6:$F$14,3,0)),0,O127*VLOOKUP($D127,Hypothèses!$D$6:$F$14,3,0))</f>
        <v>0</v>
      </c>
      <c r="AR127" s="1335">
        <f>IF(ISNA(P127*VLOOKUP($D127,Hypothèses!$D$6:$F$14,3,0)),0,P127*VLOOKUP($D127,Hypothèses!$D$6:$F$14,3,0))</f>
        <v>0</v>
      </c>
      <c r="AS127" s="1335">
        <f>IF(ISNA(Q127*VLOOKUP($D127,Hypothèses!$D$6:$F$14,3,0)),0,Q127*VLOOKUP($D127,Hypothèses!$D$6:$F$14,3,0))</f>
        <v>0</v>
      </c>
      <c r="AT127" s="1335">
        <f>IF(ISNA(R127*VLOOKUP($D127,Hypothèses!$D$6:$F$14,3,0)),0,R127*VLOOKUP($D127,Hypothèses!$D$6:$F$14,3,0))</f>
        <v>0</v>
      </c>
      <c r="AU127" s="1335">
        <f>IF(ISNA(S127*VLOOKUP($D127,Hypothèses!$D$6:$F$14,3,0)),0,S127*VLOOKUP($D127,Hypothèses!$D$6:$F$14,3,0))</f>
        <v>0</v>
      </c>
      <c r="AV127" s="1335">
        <f>IF(ISNA(T127*VLOOKUP($D127,Hypothèses!$D$6:$F$14,3,0)),0,T127*VLOOKUP($D127,Hypothèses!$D$6:$F$14,3,0))</f>
        <v>0</v>
      </c>
      <c r="AW127" s="1335">
        <f>IF(ISNA(U127*VLOOKUP($D127,Hypothèses!$D$6:$F$14,3,0)),0,U127*VLOOKUP($D127,Hypothèses!$D$6:$F$14,3,0))</f>
        <v>0</v>
      </c>
      <c r="AX127" s="1335">
        <f>IF(ISNA(V127*VLOOKUP($D127,Hypothèses!$D$6:$F$14,3,0)),0,V127*VLOOKUP($D127,Hypothèses!$D$6:$F$14,3,0))</f>
        <v>0</v>
      </c>
      <c r="AY127" s="1335">
        <f>IF(ISNA(W127*VLOOKUP($D127,Hypothèses!$D$6:$F$14,3,0)),0,W127*VLOOKUP($D127,Hypothèses!$D$6:$F$14,3,0))</f>
        <v>0</v>
      </c>
      <c r="AZ127" s="1335">
        <f>IF(ISNA(X127*VLOOKUP($D127,Hypothèses!$D$6:$F$14,3,0)),0,X127*VLOOKUP($D127,Hypothèses!$D$6:$F$14,3,0))</f>
        <v>0</v>
      </c>
      <c r="BA127" s="1335">
        <f>IF(ISNA(Y127*VLOOKUP($D127,Hypothèses!$D$6:$F$14,3,0)),0,Y127*VLOOKUP($D127,Hypothèses!$D$6:$F$14,3,0))</f>
        <v>0</v>
      </c>
      <c r="BB127" s="1335">
        <f>IF(ISNA(Z127*VLOOKUP($D127,Hypothèses!$D$6:$F$14,3,0)),0,Z127*VLOOKUP($D127,Hypothèses!$D$6:$F$14,3,0))</f>
        <v>0</v>
      </c>
      <c r="BC127" s="1335">
        <f>IF(ISNA(AA127*VLOOKUP($D127,Hypothèses!$D$6:$F$14,3,0)),0,AA127*VLOOKUP($D127,Hypothèses!$D$6:$F$14,3,0))</f>
        <v>0</v>
      </c>
      <c r="BD127" s="70"/>
      <c r="BE127" s="70"/>
      <c r="BF127" s="70"/>
      <c r="BG127" s="70"/>
      <c r="BH127" s="70"/>
      <c r="BI127" s="70"/>
      <c r="BJ127" s="70"/>
      <c r="BK127" s="70"/>
      <c r="BL127" s="70"/>
      <c r="BM127" s="70"/>
      <c r="BN127" s="70"/>
      <c r="BO127" s="70"/>
      <c r="BP127" s="70"/>
      <c r="BQ127" s="70"/>
      <c r="BR127" s="70"/>
      <c r="BS127" s="70"/>
      <c r="BT127" s="70"/>
      <c r="BU127" s="70"/>
      <c r="BV127" s="70"/>
      <c r="BW127" s="70"/>
      <c r="BX127" s="70"/>
      <c r="BY127" s="70"/>
      <c r="BZ127" s="70"/>
      <c r="CA127" s="70"/>
      <c r="CB127" s="70"/>
      <c r="CC127" s="70"/>
      <c r="CD127" s="70"/>
      <c r="CE127" s="70"/>
      <c r="CF127" s="70"/>
      <c r="CG127" s="70"/>
      <c r="CH127" s="70"/>
      <c r="CI127" s="70"/>
      <c r="CJ127" s="70"/>
      <c r="CK127" s="70"/>
    </row>
    <row r="128" spans="1:89" s="3" customFormat="1">
      <c r="A128" s="1817">
        <v>121</v>
      </c>
      <c r="B128" s="1790"/>
      <c r="C128" s="1333"/>
      <c r="D128" s="1334"/>
      <c r="E128" s="1332" t="str">
        <f>IF(ISNA(VLOOKUP(D128,Hypothèses!$D$6:$G$16,4,0)),"",VLOOKUP(D128,Hypothèses!$D$6:$G$16,4,0))</f>
        <v/>
      </c>
      <c r="F128" s="1842"/>
      <c r="G128" s="1843"/>
      <c r="H128" s="1843"/>
      <c r="I128" s="1843"/>
      <c r="J128" s="1843"/>
      <c r="K128" s="1843"/>
      <c r="L128" s="1843"/>
      <c r="M128" s="1843"/>
      <c r="N128" s="1843"/>
      <c r="O128" s="1843"/>
      <c r="P128" s="1843"/>
      <c r="Q128" s="1843"/>
      <c r="R128" s="1843"/>
      <c r="S128" s="1843"/>
      <c r="T128" s="1843"/>
      <c r="U128" s="1843"/>
      <c r="V128" s="1843"/>
      <c r="W128" s="1843"/>
      <c r="X128" s="1843"/>
      <c r="Y128" s="1843"/>
      <c r="Z128" s="1843"/>
      <c r="AA128" s="1844"/>
      <c r="AB128" s="1335"/>
      <c r="AC128" s="1335"/>
      <c r="AD128" s="1335"/>
      <c r="AE128" s="1335"/>
      <c r="AF128" s="1335"/>
      <c r="AG128"/>
      <c r="AH128" s="1335">
        <f>IF(ISNA(F128*VLOOKUP($D128,Hypothèses!$D$6:$F$14,3,0)),0,F128*VLOOKUP($D128,Hypothèses!$D$6:$F$14,3,0))</f>
        <v>0</v>
      </c>
      <c r="AI128" s="1335">
        <f>IF(ISNA(G128*VLOOKUP($D128,Hypothèses!$D$6:$F$14,3,0)),0,G128*VLOOKUP($D128,Hypothèses!$D$6:$F$14,3,0))</f>
        <v>0</v>
      </c>
      <c r="AJ128" s="1335">
        <f>IF(ISNA(H128*VLOOKUP($D128,Hypothèses!$D$6:$F$14,3,0)),0,H128*VLOOKUP($D128,Hypothèses!$D$6:$F$14,3,0))</f>
        <v>0</v>
      </c>
      <c r="AK128" s="1335">
        <f>IF(ISNA(I128*VLOOKUP($D128,Hypothèses!$D$6:$F$14,3,0)),0,I128*VLOOKUP($D128,Hypothèses!$D$6:$F$14,3,0))</f>
        <v>0</v>
      </c>
      <c r="AL128" s="1335">
        <f>IF(ISNA(J128*VLOOKUP($D128,Hypothèses!$D$6:$F$14,3,0)),0,J128*VLOOKUP($D128,Hypothèses!$D$6:$F$14,3,0))</f>
        <v>0</v>
      </c>
      <c r="AM128" s="1335">
        <f>IF(ISNA(K128*VLOOKUP($D128,Hypothèses!$D$6:$F$14,3,0)),0,K128*VLOOKUP($D128,Hypothèses!$D$6:$F$14,3,0))</f>
        <v>0</v>
      </c>
      <c r="AN128" s="1335">
        <f>IF(ISNA(L128*VLOOKUP($D128,Hypothèses!$D$6:$F$14,3,0)),0,L128*VLOOKUP($D128,Hypothèses!$D$6:$F$14,3,0))</f>
        <v>0</v>
      </c>
      <c r="AO128" s="1335">
        <f>IF(ISNA(M128*VLOOKUP($D128,Hypothèses!$D$6:$F$14,3,0)),0,M128*VLOOKUP($D128,Hypothèses!$D$6:$F$14,3,0))</f>
        <v>0</v>
      </c>
      <c r="AP128" s="1335">
        <f>IF(ISNA(N128*VLOOKUP($D128,Hypothèses!$D$6:$F$14,3,0)),0,N128*VLOOKUP($D128,Hypothèses!$D$6:$F$14,3,0))</f>
        <v>0</v>
      </c>
      <c r="AQ128" s="1335">
        <f>IF(ISNA(O128*VLOOKUP($D128,Hypothèses!$D$6:$F$14,3,0)),0,O128*VLOOKUP($D128,Hypothèses!$D$6:$F$14,3,0))</f>
        <v>0</v>
      </c>
      <c r="AR128" s="1335">
        <f>IF(ISNA(P128*VLOOKUP($D128,Hypothèses!$D$6:$F$14,3,0)),0,P128*VLOOKUP($D128,Hypothèses!$D$6:$F$14,3,0))</f>
        <v>0</v>
      </c>
      <c r="AS128" s="1335">
        <f>IF(ISNA(Q128*VLOOKUP($D128,Hypothèses!$D$6:$F$14,3,0)),0,Q128*VLOOKUP($D128,Hypothèses!$D$6:$F$14,3,0))</f>
        <v>0</v>
      </c>
      <c r="AT128" s="1335">
        <f>IF(ISNA(R128*VLOOKUP($D128,Hypothèses!$D$6:$F$14,3,0)),0,R128*VLOOKUP($D128,Hypothèses!$D$6:$F$14,3,0))</f>
        <v>0</v>
      </c>
      <c r="AU128" s="1335">
        <f>IF(ISNA(S128*VLOOKUP($D128,Hypothèses!$D$6:$F$14,3,0)),0,S128*VLOOKUP($D128,Hypothèses!$D$6:$F$14,3,0))</f>
        <v>0</v>
      </c>
      <c r="AV128" s="1335">
        <f>IF(ISNA(T128*VLOOKUP($D128,Hypothèses!$D$6:$F$14,3,0)),0,T128*VLOOKUP($D128,Hypothèses!$D$6:$F$14,3,0))</f>
        <v>0</v>
      </c>
      <c r="AW128" s="1335">
        <f>IF(ISNA(U128*VLOOKUP($D128,Hypothèses!$D$6:$F$14,3,0)),0,U128*VLOOKUP($D128,Hypothèses!$D$6:$F$14,3,0))</f>
        <v>0</v>
      </c>
      <c r="AX128" s="1335">
        <f>IF(ISNA(V128*VLOOKUP($D128,Hypothèses!$D$6:$F$14,3,0)),0,V128*VLOOKUP($D128,Hypothèses!$D$6:$F$14,3,0))</f>
        <v>0</v>
      </c>
      <c r="AY128" s="1335">
        <f>IF(ISNA(W128*VLOOKUP($D128,Hypothèses!$D$6:$F$14,3,0)),0,W128*VLOOKUP($D128,Hypothèses!$D$6:$F$14,3,0))</f>
        <v>0</v>
      </c>
      <c r="AZ128" s="1335">
        <f>IF(ISNA(X128*VLOOKUP($D128,Hypothèses!$D$6:$F$14,3,0)),0,X128*VLOOKUP($D128,Hypothèses!$D$6:$F$14,3,0))</f>
        <v>0</v>
      </c>
      <c r="BA128" s="1335">
        <f>IF(ISNA(Y128*VLOOKUP($D128,Hypothèses!$D$6:$F$14,3,0)),0,Y128*VLOOKUP($D128,Hypothèses!$D$6:$F$14,3,0))</f>
        <v>0</v>
      </c>
      <c r="BB128" s="1335">
        <f>IF(ISNA(Z128*VLOOKUP($D128,Hypothèses!$D$6:$F$14,3,0)),0,Z128*VLOOKUP($D128,Hypothèses!$D$6:$F$14,3,0))</f>
        <v>0</v>
      </c>
      <c r="BC128" s="1335">
        <f>IF(ISNA(AA128*VLOOKUP($D128,Hypothèses!$D$6:$F$14,3,0)),0,AA128*VLOOKUP($D128,Hypothèses!$D$6:$F$14,3,0))</f>
        <v>0</v>
      </c>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70"/>
      <c r="CB128" s="70"/>
      <c r="CC128" s="70"/>
      <c r="CD128" s="70"/>
      <c r="CE128" s="70"/>
      <c r="CF128" s="70"/>
      <c r="CG128" s="70"/>
      <c r="CH128" s="70"/>
      <c r="CI128" s="70"/>
      <c r="CJ128" s="70"/>
      <c r="CK128" s="70"/>
    </row>
    <row r="129" spans="1:89" s="3" customFormat="1">
      <c r="A129" s="1817">
        <v>122</v>
      </c>
      <c r="B129" s="1790"/>
      <c r="C129" s="1333"/>
      <c r="D129" s="1334"/>
      <c r="E129" s="1332" t="str">
        <f>IF(ISNA(VLOOKUP(D129,Hypothèses!$D$6:$G$16,4,0)),"",VLOOKUP(D129,Hypothèses!$D$6:$G$16,4,0))</f>
        <v/>
      </c>
      <c r="F129" s="1842"/>
      <c r="G129" s="1843"/>
      <c r="H129" s="1843"/>
      <c r="I129" s="1843"/>
      <c r="J129" s="1843"/>
      <c r="K129" s="1843"/>
      <c r="L129" s="1843"/>
      <c r="M129" s="1843"/>
      <c r="N129" s="1843"/>
      <c r="O129" s="1843"/>
      <c r="P129" s="1843"/>
      <c r="Q129" s="1843"/>
      <c r="R129" s="1843"/>
      <c r="S129" s="1843"/>
      <c r="T129" s="1843"/>
      <c r="U129" s="1843"/>
      <c r="V129" s="1843"/>
      <c r="W129" s="1843"/>
      <c r="X129" s="1843"/>
      <c r="Y129" s="1843"/>
      <c r="Z129" s="1843"/>
      <c r="AA129" s="1844"/>
      <c r="AB129" s="1335"/>
      <c r="AC129" s="1335"/>
      <c r="AD129" s="1335"/>
      <c r="AE129" s="1335"/>
      <c r="AF129" s="1335"/>
      <c r="AG129"/>
      <c r="AH129" s="1335">
        <f>IF(ISNA(F129*VLOOKUP($D129,Hypothèses!$D$6:$F$14,3,0)),0,F129*VLOOKUP($D129,Hypothèses!$D$6:$F$14,3,0))</f>
        <v>0</v>
      </c>
      <c r="AI129" s="1335">
        <f>IF(ISNA(G129*VLOOKUP($D129,Hypothèses!$D$6:$F$14,3,0)),0,G129*VLOOKUP($D129,Hypothèses!$D$6:$F$14,3,0))</f>
        <v>0</v>
      </c>
      <c r="AJ129" s="1335">
        <f>IF(ISNA(H129*VLOOKUP($D129,Hypothèses!$D$6:$F$14,3,0)),0,H129*VLOOKUP($D129,Hypothèses!$D$6:$F$14,3,0))</f>
        <v>0</v>
      </c>
      <c r="AK129" s="1335">
        <f>IF(ISNA(I129*VLOOKUP($D129,Hypothèses!$D$6:$F$14,3,0)),0,I129*VLOOKUP($D129,Hypothèses!$D$6:$F$14,3,0))</f>
        <v>0</v>
      </c>
      <c r="AL129" s="1335">
        <f>IF(ISNA(J129*VLOOKUP($D129,Hypothèses!$D$6:$F$14,3,0)),0,J129*VLOOKUP($D129,Hypothèses!$D$6:$F$14,3,0))</f>
        <v>0</v>
      </c>
      <c r="AM129" s="1335">
        <f>IF(ISNA(K129*VLOOKUP($D129,Hypothèses!$D$6:$F$14,3,0)),0,K129*VLOOKUP($D129,Hypothèses!$D$6:$F$14,3,0))</f>
        <v>0</v>
      </c>
      <c r="AN129" s="1335">
        <f>IF(ISNA(L129*VLOOKUP($D129,Hypothèses!$D$6:$F$14,3,0)),0,L129*VLOOKUP($D129,Hypothèses!$D$6:$F$14,3,0))</f>
        <v>0</v>
      </c>
      <c r="AO129" s="1335">
        <f>IF(ISNA(M129*VLOOKUP($D129,Hypothèses!$D$6:$F$14,3,0)),0,M129*VLOOKUP($D129,Hypothèses!$D$6:$F$14,3,0))</f>
        <v>0</v>
      </c>
      <c r="AP129" s="1335">
        <f>IF(ISNA(N129*VLOOKUP($D129,Hypothèses!$D$6:$F$14,3,0)),0,N129*VLOOKUP($D129,Hypothèses!$D$6:$F$14,3,0))</f>
        <v>0</v>
      </c>
      <c r="AQ129" s="1335">
        <f>IF(ISNA(O129*VLOOKUP($D129,Hypothèses!$D$6:$F$14,3,0)),0,O129*VLOOKUP($D129,Hypothèses!$D$6:$F$14,3,0))</f>
        <v>0</v>
      </c>
      <c r="AR129" s="1335">
        <f>IF(ISNA(P129*VLOOKUP($D129,Hypothèses!$D$6:$F$14,3,0)),0,P129*VLOOKUP($D129,Hypothèses!$D$6:$F$14,3,0))</f>
        <v>0</v>
      </c>
      <c r="AS129" s="1335">
        <f>IF(ISNA(Q129*VLOOKUP($D129,Hypothèses!$D$6:$F$14,3,0)),0,Q129*VLOOKUP($D129,Hypothèses!$D$6:$F$14,3,0))</f>
        <v>0</v>
      </c>
      <c r="AT129" s="1335">
        <f>IF(ISNA(R129*VLOOKUP($D129,Hypothèses!$D$6:$F$14,3,0)),0,R129*VLOOKUP($D129,Hypothèses!$D$6:$F$14,3,0))</f>
        <v>0</v>
      </c>
      <c r="AU129" s="1335">
        <f>IF(ISNA(S129*VLOOKUP($D129,Hypothèses!$D$6:$F$14,3,0)),0,S129*VLOOKUP($D129,Hypothèses!$D$6:$F$14,3,0))</f>
        <v>0</v>
      </c>
      <c r="AV129" s="1335">
        <f>IF(ISNA(T129*VLOOKUP($D129,Hypothèses!$D$6:$F$14,3,0)),0,T129*VLOOKUP($D129,Hypothèses!$D$6:$F$14,3,0))</f>
        <v>0</v>
      </c>
      <c r="AW129" s="1335">
        <f>IF(ISNA(U129*VLOOKUP($D129,Hypothèses!$D$6:$F$14,3,0)),0,U129*VLOOKUP($D129,Hypothèses!$D$6:$F$14,3,0))</f>
        <v>0</v>
      </c>
      <c r="AX129" s="1335">
        <f>IF(ISNA(V129*VLOOKUP($D129,Hypothèses!$D$6:$F$14,3,0)),0,V129*VLOOKUP($D129,Hypothèses!$D$6:$F$14,3,0))</f>
        <v>0</v>
      </c>
      <c r="AY129" s="1335">
        <f>IF(ISNA(W129*VLOOKUP($D129,Hypothèses!$D$6:$F$14,3,0)),0,W129*VLOOKUP($D129,Hypothèses!$D$6:$F$14,3,0))</f>
        <v>0</v>
      </c>
      <c r="AZ129" s="1335">
        <f>IF(ISNA(X129*VLOOKUP($D129,Hypothèses!$D$6:$F$14,3,0)),0,X129*VLOOKUP($D129,Hypothèses!$D$6:$F$14,3,0))</f>
        <v>0</v>
      </c>
      <c r="BA129" s="1335">
        <f>IF(ISNA(Y129*VLOOKUP($D129,Hypothèses!$D$6:$F$14,3,0)),0,Y129*VLOOKUP($D129,Hypothèses!$D$6:$F$14,3,0))</f>
        <v>0</v>
      </c>
      <c r="BB129" s="1335">
        <f>IF(ISNA(Z129*VLOOKUP($D129,Hypothèses!$D$6:$F$14,3,0)),0,Z129*VLOOKUP($D129,Hypothèses!$D$6:$F$14,3,0))</f>
        <v>0</v>
      </c>
      <c r="BC129" s="1335">
        <f>IF(ISNA(AA129*VLOOKUP($D129,Hypothèses!$D$6:$F$14,3,0)),0,AA129*VLOOKUP($D129,Hypothèses!$D$6:$F$14,3,0))</f>
        <v>0</v>
      </c>
      <c r="BD129" s="70"/>
      <c r="BE129" s="70"/>
      <c r="BF129" s="70"/>
      <c r="BG129" s="70"/>
      <c r="BH129" s="70"/>
      <c r="BI129" s="70"/>
      <c r="BJ129" s="70"/>
      <c r="BK129" s="70"/>
      <c r="BL129" s="70"/>
      <c r="BM129" s="70"/>
      <c r="BN129" s="70"/>
      <c r="BO129" s="70"/>
      <c r="BP129" s="70"/>
      <c r="BQ129" s="70"/>
      <c r="BR129" s="70"/>
      <c r="BS129" s="70"/>
      <c r="BT129" s="70"/>
      <c r="BU129" s="70"/>
      <c r="BV129" s="70"/>
      <c r="BW129" s="70"/>
      <c r="BX129" s="70"/>
      <c r="BY129" s="70"/>
      <c r="BZ129" s="70"/>
      <c r="CA129" s="70"/>
      <c r="CB129" s="70"/>
      <c r="CC129" s="70"/>
      <c r="CD129" s="70"/>
      <c r="CE129" s="70"/>
      <c r="CF129" s="70"/>
      <c r="CG129" s="70"/>
      <c r="CH129" s="70"/>
      <c r="CI129" s="70"/>
      <c r="CJ129" s="70"/>
      <c r="CK129" s="70"/>
    </row>
    <row r="130" spans="1:89" s="3" customFormat="1">
      <c r="A130" s="1817">
        <v>123</v>
      </c>
      <c r="B130" s="1790"/>
      <c r="C130" s="1333"/>
      <c r="D130" s="1334"/>
      <c r="E130" s="1332" t="str">
        <f>IF(ISNA(VLOOKUP(D130,Hypothèses!$D$6:$G$16,4,0)),"",VLOOKUP(D130,Hypothèses!$D$6:$G$16,4,0))</f>
        <v/>
      </c>
      <c r="F130" s="1842"/>
      <c r="G130" s="1843"/>
      <c r="H130" s="1843"/>
      <c r="I130" s="1843"/>
      <c r="J130" s="1843"/>
      <c r="K130" s="1843"/>
      <c r="L130" s="1843"/>
      <c r="M130" s="1843"/>
      <c r="N130" s="1843"/>
      <c r="O130" s="1843"/>
      <c r="P130" s="1843"/>
      <c r="Q130" s="1843"/>
      <c r="R130" s="1843"/>
      <c r="S130" s="1843"/>
      <c r="T130" s="1843"/>
      <c r="U130" s="1843"/>
      <c r="V130" s="1843"/>
      <c r="W130" s="1843"/>
      <c r="X130" s="1843"/>
      <c r="Y130" s="1843"/>
      <c r="Z130" s="1843"/>
      <c r="AA130" s="1844"/>
      <c r="AB130" s="1335"/>
      <c r="AC130" s="1335"/>
      <c r="AD130" s="1335"/>
      <c r="AE130" s="1335"/>
      <c r="AF130" s="1335"/>
      <c r="AG130"/>
      <c r="AH130" s="1335">
        <f>IF(ISNA(F130*VLOOKUP($D130,Hypothèses!$D$6:$F$14,3,0)),0,F130*VLOOKUP($D130,Hypothèses!$D$6:$F$14,3,0))</f>
        <v>0</v>
      </c>
      <c r="AI130" s="1335">
        <f>IF(ISNA(G130*VLOOKUP($D130,Hypothèses!$D$6:$F$14,3,0)),0,G130*VLOOKUP($D130,Hypothèses!$D$6:$F$14,3,0))</f>
        <v>0</v>
      </c>
      <c r="AJ130" s="1335">
        <f>IF(ISNA(H130*VLOOKUP($D130,Hypothèses!$D$6:$F$14,3,0)),0,H130*VLOOKUP($D130,Hypothèses!$D$6:$F$14,3,0))</f>
        <v>0</v>
      </c>
      <c r="AK130" s="1335">
        <f>IF(ISNA(I130*VLOOKUP($D130,Hypothèses!$D$6:$F$14,3,0)),0,I130*VLOOKUP($D130,Hypothèses!$D$6:$F$14,3,0))</f>
        <v>0</v>
      </c>
      <c r="AL130" s="1335">
        <f>IF(ISNA(J130*VLOOKUP($D130,Hypothèses!$D$6:$F$14,3,0)),0,J130*VLOOKUP($D130,Hypothèses!$D$6:$F$14,3,0))</f>
        <v>0</v>
      </c>
      <c r="AM130" s="1335">
        <f>IF(ISNA(K130*VLOOKUP($D130,Hypothèses!$D$6:$F$14,3,0)),0,K130*VLOOKUP($D130,Hypothèses!$D$6:$F$14,3,0))</f>
        <v>0</v>
      </c>
      <c r="AN130" s="1335">
        <f>IF(ISNA(L130*VLOOKUP($D130,Hypothèses!$D$6:$F$14,3,0)),0,L130*VLOOKUP($D130,Hypothèses!$D$6:$F$14,3,0))</f>
        <v>0</v>
      </c>
      <c r="AO130" s="1335">
        <f>IF(ISNA(M130*VLOOKUP($D130,Hypothèses!$D$6:$F$14,3,0)),0,M130*VLOOKUP($D130,Hypothèses!$D$6:$F$14,3,0))</f>
        <v>0</v>
      </c>
      <c r="AP130" s="1335">
        <f>IF(ISNA(N130*VLOOKUP($D130,Hypothèses!$D$6:$F$14,3,0)),0,N130*VLOOKUP($D130,Hypothèses!$D$6:$F$14,3,0))</f>
        <v>0</v>
      </c>
      <c r="AQ130" s="1335">
        <f>IF(ISNA(O130*VLOOKUP($D130,Hypothèses!$D$6:$F$14,3,0)),0,O130*VLOOKUP($D130,Hypothèses!$D$6:$F$14,3,0))</f>
        <v>0</v>
      </c>
      <c r="AR130" s="1335">
        <f>IF(ISNA(P130*VLOOKUP($D130,Hypothèses!$D$6:$F$14,3,0)),0,P130*VLOOKUP($D130,Hypothèses!$D$6:$F$14,3,0))</f>
        <v>0</v>
      </c>
      <c r="AS130" s="1335">
        <f>IF(ISNA(Q130*VLOOKUP($D130,Hypothèses!$D$6:$F$14,3,0)),0,Q130*VLOOKUP($D130,Hypothèses!$D$6:$F$14,3,0))</f>
        <v>0</v>
      </c>
      <c r="AT130" s="1335">
        <f>IF(ISNA(R130*VLOOKUP($D130,Hypothèses!$D$6:$F$14,3,0)),0,R130*VLOOKUP($D130,Hypothèses!$D$6:$F$14,3,0))</f>
        <v>0</v>
      </c>
      <c r="AU130" s="1335">
        <f>IF(ISNA(S130*VLOOKUP($D130,Hypothèses!$D$6:$F$14,3,0)),0,S130*VLOOKUP($D130,Hypothèses!$D$6:$F$14,3,0))</f>
        <v>0</v>
      </c>
      <c r="AV130" s="1335">
        <f>IF(ISNA(T130*VLOOKUP($D130,Hypothèses!$D$6:$F$14,3,0)),0,T130*VLOOKUP($D130,Hypothèses!$D$6:$F$14,3,0))</f>
        <v>0</v>
      </c>
      <c r="AW130" s="1335">
        <f>IF(ISNA(U130*VLOOKUP($D130,Hypothèses!$D$6:$F$14,3,0)),0,U130*VLOOKUP($D130,Hypothèses!$D$6:$F$14,3,0))</f>
        <v>0</v>
      </c>
      <c r="AX130" s="1335">
        <f>IF(ISNA(V130*VLOOKUP($D130,Hypothèses!$D$6:$F$14,3,0)),0,V130*VLOOKUP($D130,Hypothèses!$D$6:$F$14,3,0))</f>
        <v>0</v>
      </c>
      <c r="AY130" s="1335">
        <f>IF(ISNA(W130*VLOOKUP($D130,Hypothèses!$D$6:$F$14,3,0)),0,W130*VLOOKUP($D130,Hypothèses!$D$6:$F$14,3,0))</f>
        <v>0</v>
      </c>
      <c r="AZ130" s="1335">
        <f>IF(ISNA(X130*VLOOKUP($D130,Hypothèses!$D$6:$F$14,3,0)),0,X130*VLOOKUP($D130,Hypothèses!$D$6:$F$14,3,0))</f>
        <v>0</v>
      </c>
      <c r="BA130" s="1335">
        <f>IF(ISNA(Y130*VLOOKUP($D130,Hypothèses!$D$6:$F$14,3,0)),0,Y130*VLOOKUP($D130,Hypothèses!$D$6:$F$14,3,0))</f>
        <v>0</v>
      </c>
      <c r="BB130" s="1335">
        <f>IF(ISNA(Z130*VLOOKUP($D130,Hypothèses!$D$6:$F$14,3,0)),0,Z130*VLOOKUP($D130,Hypothèses!$D$6:$F$14,3,0))</f>
        <v>0</v>
      </c>
      <c r="BC130" s="1335">
        <f>IF(ISNA(AA130*VLOOKUP($D130,Hypothèses!$D$6:$F$14,3,0)),0,AA130*VLOOKUP($D130,Hypothèses!$D$6:$F$14,3,0))</f>
        <v>0</v>
      </c>
      <c r="BD130" s="70"/>
      <c r="BE130" s="70"/>
      <c r="BF130" s="70"/>
      <c r="BG130" s="70"/>
      <c r="BH130" s="70"/>
      <c r="BI130" s="70"/>
      <c r="BJ130" s="70"/>
      <c r="BK130" s="70"/>
      <c r="BL130" s="70"/>
      <c r="BM130" s="70"/>
      <c r="BN130" s="70"/>
      <c r="BO130" s="70"/>
      <c r="BP130" s="70"/>
      <c r="BQ130" s="70"/>
      <c r="BR130" s="70"/>
      <c r="BS130" s="70"/>
      <c r="BT130" s="70"/>
      <c r="BU130" s="70"/>
      <c r="BV130" s="70"/>
      <c r="BW130" s="70"/>
      <c r="BX130" s="70"/>
      <c r="BY130" s="70"/>
      <c r="BZ130" s="70"/>
      <c r="CA130" s="70"/>
      <c r="CB130" s="70"/>
      <c r="CC130" s="70"/>
      <c r="CD130" s="70"/>
      <c r="CE130" s="70"/>
      <c r="CF130" s="70"/>
      <c r="CG130" s="70"/>
      <c r="CH130" s="70"/>
      <c r="CI130" s="70"/>
      <c r="CJ130" s="70"/>
      <c r="CK130" s="70"/>
    </row>
    <row r="131" spans="1:89" s="3" customFormat="1">
      <c r="A131" s="1817">
        <v>124</v>
      </c>
      <c r="B131" s="1790"/>
      <c r="C131" s="1333"/>
      <c r="D131" s="1334"/>
      <c r="E131" s="1332" t="str">
        <f>IF(ISNA(VLOOKUP(D131,Hypothèses!$D$6:$G$16,4,0)),"",VLOOKUP(D131,Hypothèses!$D$6:$G$16,4,0))</f>
        <v/>
      </c>
      <c r="F131" s="1842"/>
      <c r="G131" s="1843"/>
      <c r="H131" s="1843"/>
      <c r="I131" s="1843"/>
      <c r="J131" s="1843"/>
      <c r="K131" s="1843"/>
      <c r="L131" s="1843"/>
      <c r="M131" s="1843"/>
      <c r="N131" s="1843"/>
      <c r="O131" s="1843"/>
      <c r="P131" s="1843"/>
      <c r="Q131" s="1843"/>
      <c r="R131" s="1843"/>
      <c r="S131" s="1843"/>
      <c r="T131" s="1843"/>
      <c r="U131" s="1843"/>
      <c r="V131" s="1843"/>
      <c r="W131" s="1843"/>
      <c r="X131" s="1843"/>
      <c r="Y131" s="1843"/>
      <c r="Z131" s="1843"/>
      <c r="AA131" s="1844"/>
      <c r="AB131" s="1335"/>
      <c r="AC131" s="1335"/>
      <c r="AD131" s="1335"/>
      <c r="AE131" s="1335"/>
      <c r="AF131" s="1335"/>
      <c r="AG131"/>
      <c r="AH131" s="1335">
        <f>IF(ISNA(F131*VLOOKUP($D131,Hypothèses!$D$6:$F$14,3,0)),0,F131*VLOOKUP($D131,Hypothèses!$D$6:$F$14,3,0))</f>
        <v>0</v>
      </c>
      <c r="AI131" s="1335">
        <f>IF(ISNA(G131*VLOOKUP($D131,Hypothèses!$D$6:$F$14,3,0)),0,G131*VLOOKUP($D131,Hypothèses!$D$6:$F$14,3,0))</f>
        <v>0</v>
      </c>
      <c r="AJ131" s="1335">
        <f>IF(ISNA(H131*VLOOKUP($D131,Hypothèses!$D$6:$F$14,3,0)),0,H131*VLOOKUP($D131,Hypothèses!$D$6:$F$14,3,0))</f>
        <v>0</v>
      </c>
      <c r="AK131" s="1335">
        <f>IF(ISNA(I131*VLOOKUP($D131,Hypothèses!$D$6:$F$14,3,0)),0,I131*VLOOKUP($D131,Hypothèses!$D$6:$F$14,3,0))</f>
        <v>0</v>
      </c>
      <c r="AL131" s="1335">
        <f>IF(ISNA(J131*VLOOKUP($D131,Hypothèses!$D$6:$F$14,3,0)),0,J131*VLOOKUP($D131,Hypothèses!$D$6:$F$14,3,0))</f>
        <v>0</v>
      </c>
      <c r="AM131" s="1335">
        <f>IF(ISNA(K131*VLOOKUP($D131,Hypothèses!$D$6:$F$14,3,0)),0,K131*VLOOKUP($D131,Hypothèses!$D$6:$F$14,3,0))</f>
        <v>0</v>
      </c>
      <c r="AN131" s="1335">
        <f>IF(ISNA(L131*VLOOKUP($D131,Hypothèses!$D$6:$F$14,3,0)),0,L131*VLOOKUP($D131,Hypothèses!$D$6:$F$14,3,0))</f>
        <v>0</v>
      </c>
      <c r="AO131" s="1335">
        <f>IF(ISNA(M131*VLOOKUP($D131,Hypothèses!$D$6:$F$14,3,0)),0,M131*VLOOKUP($D131,Hypothèses!$D$6:$F$14,3,0))</f>
        <v>0</v>
      </c>
      <c r="AP131" s="1335">
        <f>IF(ISNA(N131*VLOOKUP($D131,Hypothèses!$D$6:$F$14,3,0)),0,N131*VLOOKUP($D131,Hypothèses!$D$6:$F$14,3,0))</f>
        <v>0</v>
      </c>
      <c r="AQ131" s="1335">
        <f>IF(ISNA(O131*VLOOKUP($D131,Hypothèses!$D$6:$F$14,3,0)),0,O131*VLOOKUP($D131,Hypothèses!$D$6:$F$14,3,0))</f>
        <v>0</v>
      </c>
      <c r="AR131" s="1335">
        <f>IF(ISNA(P131*VLOOKUP($D131,Hypothèses!$D$6:$F$14,3,0)),0,P131*VLOOKUP($D131,Hypothèses!$D$6:$F$14,3,0))</f>
        <v>0</v>
      </c>
      <c r="AS131" s="1335">
        <f>IF(ISNA(Q131*VLOOKUP($D131,Hypothèses!$D$6:$F$14,3,0)),0,Q131*VLOOKUP($D131,Hypothèses!$D$6:$F$14,3,0))</f>
        <v>0</v>
      </c>
      <c r="AT131" s="1335">
        <f>IF(ISNA(R131*VLOOKUP($D131,Hypothèses!$D$6:$F$14,3,0)),0,R131*VLOOKUP($D131,Hypothèses!$D$6:$F$14,3,0))</f>
        <v>0</v>
      </c>
      <c r="AU131" s="1335">
        <f>IF(ISNA(S131*VLOOKUP($D131,Hypothèses!$D$6:$F$14,3,0)),0,S131*VLOOKUP($D131,Hypothèses!$D$6:$F$14,3,0))</f>
        <v>0</v>
      </c>
      <c r="AV131" s="1335">
        <f>IF(ISNA(T131*VLOOKUP($D131,Hypothèses!$D$6:$F$14,3,0)),0,T131*VLOOKUP($D131,Hypothèses!$D$6:$F$14,3,0))</f>
        <v>0</v>
      </c>
      <c r="AW131" s="1335">
        <f>IF(ISNA(U131*VLOOKUP($D131,Hypothèses!$D$6:$F$14,3,0)),0,U131*VLOOKUP($D131,Hypothèses!$D$6:$F$14,3,0))</f>
        <v>0</v>
      </c>
      <c r="AX131" s="1335">
        <f>IF(ISNA(V131*VLOOKUP($D131,Hypothèses!$D$6:$F$14,3,0)),0,V131*VLOOKUP($D131,Hypothèses!$D$6:$F$14,3,0))</f>
        <v>0</v>
      </c>
      <c r="AY131" s="1335">
        <f>IF(ISNA(W131*VLOOKUP($D131,Hypothèses!$D$6:$F$14,3,0)),0,W131*VLOOKUP($D131,Hypothèses!$D$6:$F$14,3,0))</f>
        <v>0</v>
      </c>
      <c r="AZ131" s="1335">
        <f>IF(ISNA(X131*VLOOKUP($D131,Hypothèses!$D$6:$F$14,3,0)),0,X131*VLOOKUP($D131,Hypothèses!$D$6:$F$14,3,0))</f>
        <v>0</v>
      </c>
      <c r="BA131" s="1335">
        <f>IF(ISNA(Y131*VLOOKUP($D131,Hypothèses!$D$6:$F$14,3,0)),0,Y131*VLOOKUP($D131,Hypothèses!$D$6:$F$14,3,0))</f>
        <v>0</v>
      </c>
      <c r="BB131" s="1335">
        <f>IF(ISNA(Z131*VLOOKUP($D131,Hypothèses!$D$6:$F$14,3,0)),0,Z131*VLOOKUP($D131,Hypothèses!$D$6:$F$14,3,0))</f>
        <v>0</v>
      </c>
      <c r="BC131" s="1335">
        <f>IF(ISNA(AA131*VLOOKUP($D131,Hypothèses!$D$6:$F$14,3,0)),0,AA131*VLOOKUP($D131,Hypothèses!$D$6:$F$14,3,0))</f>
        <v>0</v>
      </c>
      <c r="BD131" s="70"/>
      <c r="BE131" s="70"/>
      <c r="BF131" s="70"/>
      <c r="BG131" s="70"/>
      <c r="BH131" s="70"/>
      <c r="BI131" s="70"/>
      <c r="BJ131" s="70"/>
      <c r="BK131" s="70"/>
      <c r="BL131" s="70"/>
      <c r="BM131" s="70"/>
      <c r="BN131" s="70"/>
      <c r="BO131" s="70"/>
      <c r="BP131" s="70"/>
      <c r="BQ131" s="70"/>
      <c r="BR131" s="70"/>
      <c r="BS131" s="70"/>
      <c r="BT131" s="70"/>
      <c r="BU131" s="70"/>
      <c r="BV131" s="70"/>
      <c r="BW131" s="70"/>
      <c r="BX131" s="70"/>
      <c r="BY131" s="70"/>
      <c r="BZ131" s="70"/>
      <c r="CA131" s="70"/>
      <c r="CB131" s="70"/>
      <c r="CC131" s="70"/>
      <c r="CD131" s="70"/>
      <c r="CE131" s="70"/>
      <c r="CF131" s="70"/>
      <c r="CG131" s="70"/>
      <c r="CH131" s="70"/>
      <c r="CI131" s="70"/>
      <c r="CJ131" s="70"/>
      <c r="CK131" s="70"/>
    </row>
    <row r="132" spans="1:89" s="3" customFormat="1">
      <c r="A132" s="1817">
        <v>125</v>
      </c>
      <c r="B132" s="1790"/>
      <c r="C132" s="1333"/>
      <c r="D132" s="1334"/>
      <c r="E132" s="1332" t="str">
        <f>IF(ISNA(VLOOKUP(D132,Hypothèses!$D$6:$G$16,4,0)),"",VLOOKUP(D132,Hypothèses!$D$6:$G$16,4,0))</f>
        <v/>
      </c>
      <c r="F132" s="1842"/>
      <c r="G132" s="1843"/>
      <c r="H132" s="1843"/>
      <c r="I132" s="1843"/>
      <c r="J132" s="1843"/>
      <c r="K132" s="1843"/>
      <c r="L132" s="1843"/>
      <c r="M132" s="1843"/>
      <c r="N132" s="1843"/>
      <c r="O132" s="1843"/>
      <c r="P132" s="1843"/>
      <c r="Q132" s="1843"/>
      <c r="R132" s="1843"/>
      <c r="S132" s="1843"/>
      <c r="T132" s="1843"/>
      <c r="U132" s="1843"/>
      <c r="V132" s="1843"/>
      <c r="W132" s="1843"/>
      <c r="X132" s="1843"/>
      <c r="Y132" s="1843"/>
      <c r="Z132" s="1843"/>
      <c r="AA132" s="1844"/>
      <c r="AB132" s="1335"/>
      <c r="AC132" s="1335"/>
      <c r="AD132" s="1335"/>
      <c r="AE132" s="1335"/>
      <c r="AF132" s="1335"/>
      <c r="AG132"/>
      <c r="AH132" s="1335">
        <f>IF(ISNA(F132*VLOOKUP($D132,Hypothèses!$D$6:$F$14,3,0)),0,F132*VLOOKUP($D132,Hypothèses!$D$6:$F$14,3,0))</f>
        <v>0</v>
      </c>
      <c r="AI132" s="1335">
        <f>IF(ISNA(G132*VLOOKUP($D132,Hypothèses!$D$6:$F$14,3,0)),0,G132*VLOOKUP($D132,Hypothèses!$D$6:$F$14,3,0))</f>
        <v>0</v>
      </c>
      <c r="AJ132" s="1335">
        <f>IF(ISNA(H132*VLOOKUP($D132,Hypothèses!$D$6:$F$14,3,0)),0,H132*VLOOKUP($D132,Hypothèses!$D$6:$F$14,3,0))</f>
        <v>0</v>
      </c>
      <c r="AK132" s="1335">
        <f>IF(ISNA(I132*VLOOKUP($D132,Hypothèses!$D$6:$F$14,3,0)),0,I132*VLOOKUP($D132,Hypothèses!$D$6:$F$14,3,0))</f>
        <v>0</v>
      </c>
      <c r="AL132" s="1335">
        <f>IF(ISNA(J132*VLOOKUP($D132,Hypothèses!$D$6:$F$14,3,0)),0,J132*VLOOKUP($D132,Hypothèses!$D$6:$F$14,3,0))</f>
        <v>0</v>
      </c>
      <c r="AM132" s="1335">
        <f>IF(ISNA(K132*VLOOKUP($D132,Hypothèses!$D$6:$F$14,3,0)),0,K132*VLOOKUP($D132,Hypothèses!$D$6:$F$14,3,0))</f>
        <v>0</v>
      </c>
      <c r="AN132" s="1335">
        <f>IF(ISNA(L132*VLOOKUP($D132,Hypothèses!$D$6:$F$14,3,0)),0,L132*VLOOKUP($D132,Hypothèses!$D$6:$F$14,3,0))</f>
        <v>0</v>
      </c>
      <c r="AO132" s="1335">
        <f>IF(ISNA(M132*VLOOKUP($D132,Hypothèses!$D$6:$F$14,3,0)),0,M132*VLOOKUP($D132,Hypothèses!$D$6:$F$14,3,0))</f>
        <v>0</v>
      </c>
      <c r="AP132" s="1335">
        <f>IF(ISNA(N132*VLOOKUP($D132,Hypothèses!$D$6:$F$14,3,0)),0,N132*VLOOKUP($D132,Hypothèses!$D$6:$F$14,3,0))</f>
        <v>0</v>
      </c>
      <c r="AQ132" s="1335">
        <f>IF(ISNA(O132*VLOOKUP($D132,Hypothèses!$D$6:$F$14,3,0)),0,O132*VLOOKUP($D132,Hypothèses!$D$6:$F$14,3,0))</f>
        <v>0</v>
      </c>
      <c r="AR132" s="1335">
        <f>IF(ISNA(P132*VLOOKUP($D132,Hypothèses!$D$6:$F$14,3,0)),0,P132*VLOOKUP($D132,Hypothèses!$D$6:$F$14,3,0))</f>
        <v>0</v>
      </c>
      <c r="AS132" s="1335">
        <f>IF(ISNA(Q132*VLOOKUP($D132,Hypothèses!$D$6:$F$14,3,0)),0,Q132*VLOOKUP($D132,Hypothèses!$D$6:$F$14,3,0))</f>
        <v>0</v>
      </c>
      <c r="AT132" s="1335">
        <f>IF(ISNA(R132*VLOOKUP($D132,Hypothèses!$D$6:$F$14,3,0)),0,R132*VLOOKUP($D132,Hypothèses!$D$6:$F$14,3,0))</f>
        <v>0</v>
      </c>
      <c r="AU132" s="1335">
        <f>IF(ISNA(S132*VLOOKUP($D132,Hypothèses!$D$6:$F$14,3,0)),0,S132*VLOOKUP($D132,Hypothèses!$D$6:$F$14,3,0))</f>
        <v>0</v>
      </c>
      <c r="AV132" s="1335">
        <f>IF(ISNA(T132*VLOOKUP($D132,Hypothèses!$D$6:$F$14,3,0)),0,T132*VLOOKUP($D132,Hypothèses!$D$6:$F$14,3,0))</f>
        <v>0</v>
      </c>
      <c r="AW132" s="1335">
        <f>IF(ISNA(U132*VLOOKUP($D132,Hypothèses!$D$6:$F$14,3,0)),0,U132*VLOOKUP($D132,Hypothèses!$D$6:$F$14,3,0))</f>
        <v>0</v>
      </c>
      <c r="AX132" s="1335">
        <f>IF(ISNA(V132*VLOOKUP($D132,Hypothèses!$D$6:$F$14,3,0)),0,V132*VLOOKUP($D132,Hypothèses!$D$6:$F$14,3,0))</f>
        <v>0</v>
      </c>
      <c r="AY132" s="1335">
        <f>IF(ISNA(W132*VLOOKUP($D132,Hypothèses!$D$6:$F$14,3,0)),0,W132*VLOOKUP($D132,Hypothèses!$D$6:$F$14,3,0))</f>
        <v>0</v>
      </c>
      <c r="AZ132" s="1335">
        <f>IF(ISNA(X132*VLOOKUP($D132,Hypothèses!$D$6:$F$14,3,0)),0,X132*VLOOKUP($D132,Hypothèses!$D$6:$F$14,3,0))</f>
        <v>0</v>
      </c>
      <c r="BA132" s="1335">
        <f>IF(ISNA(Y132*VLOOKUP($D132,Hypothèses!$D$6:$F$14,3,0)),0,Y132*VLOOKUP($D132,Hypothèses!$D$6:$F$14,3,0))</f>
        <v>0</v>
      </c>
      <c r="BB132" s="1335">
        <f>IF(ISNA(Z132*VLOOKUP($D132,Hypothèses!$D$6:$F$14,3,0)),0,Z132*VLOOKUP($D132,Hypothèses!$D$6:$F$14,3,0))</f>
        <v>0</v>
      </c>
      <c r="BC132" s="1335">
        <f>IF(ISNA(AA132*VLOOKUP($D132,Hypothèses!$D$6:$F$14,3,0)),0,AA132*VLOOKUP($D132,Hypothèses!$D$6:$F$14,3,0))</f>
        <v>0</v>
      </c>
      <c r="BD132" s="70"/>
      <c r="BE132" s="70"/>
      <c r="BF132" s="70"/>
      <c r="BG132" s="70"/>
      <c r="BH132" s="70"/>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c r="CF132" s="70"/>
      <c r="CG132" s="70"/>
      <c r="CH132" s="70"/>
      <c r="CI132" s="70"/>
      <c r="CJ132" s="70"/>
      <c r="CK132" s="70"/>
    </row>
    <row r="133" spans="1:89" s="3" customFormat="1">
      <c r="A133" s="1817">
        <v>126</v>
      </c>
      <c r="B133" s="1790"/>
      <c r="C133" s="1333"/>
      <c r="D133" s="1334"/>
      <c r="E133" s="1332" t="str">
        <f>IF(ISNA(VLOOKUP(D133,Hypothèses!$D$6:$G$16,4,0)),"",VLOOKUP(D133,Hypothèses!$D$6:$G$16,4,0))</f>
        <v/>
      </c>
      <c r="F133" s="1842"/>
      <c r="G133" s="1843"/>
      <c r="H133" s="1843"/>
      <c r="I133" s="1843"/>
      <c r="J133" s="1843"/>
      <c r="K133" s="1843"/>
      <c r="L133" s="1843"/>
      <c r="M133" s="1843"/>
      <c r="N133" s="1843"/>
      <c r="O133" s="1843"/>
      <c r="P133" s="1843"/>
      <c r="Q133" s="1843"/>
      <c r="R133" s="1843"/>
      <c r="S133" s="1843"/>
      <c r="T133" s="1843"/>
      <c r="U133" s="1843"/>
      <c r="V133" s="1843"/>
      <c r="W133" s="1843"/>
      <c r="X133" s="1843"/>
      <c r="Y133" s="1843"/>
      <c r="Z133" s="1843"/>
      <c r="AA133" s="1844"/>
      <c r="AB133" s="1335"/>
      <c r="AC133" s="1335"/>
      <c r="AD133" s="1335"/>
      <c r="AE133" s="1335"/>
      <c r="AF133" s="1335"/>
      <c r="AG133"/>
      <c r="AH133" s="1335">
        <f>IF(ISNA(F133*VLOOKUP($D133,Hypothèses!$D$6:$F$14,3,0)),0,F133*VLOOKUP($D133,Hypothèses!$D$6:$F$14,3,0))</f>
        <v>0</v>
      </c>
      <c r="AI133" s="1335">
        <f>IF(ISNA(G133*VLOOKUP($D133,Hypothèses!$D$6:$F$14,3,0)),0,G133*VLOOKUP($D133,Hypothèses!$D$6:$F$14,3,0))</f>
        <v>0</v>
      </c>
      <c r="AJ133" s="1335">
        <f>IF(ISNA(H133*VLOOKUP($D133,Hypothèses!$D$6:$F$14,3,0)),0,H133*VLOOKUP($D133,Hypothèses!$D$6:$F$14,3,0))</f>
        <v>0</v>
      </c>
      <c r="AK133" s="1335">
        <f>IF(ISNA(I133*VLOOKUP($D133,Hypothèses!$D$6:$F$14,3,0)),0,I133*VLOOKUP($D133,Hypothèses!$D$6:$F$14,3,0))</f>
        <v>0</v>
      </c>
      <c r="AL133" s="1335">
        <f>IF(ISNA(J133*VLOOKUP($D133,Hypothèses!$D$6:$F$14,3,0)),0,J133*VLOOKUP($D133,Hypothèses!$D$6:$F$14,3,0))</f>
        <v>0</v>
      </c>
      <c r="AM133" s="1335">
        <f>IF(ISNA(K133*VLOOKUP($D133,Hypothèses!$D$6:$F$14,3,0)),0,K133*VLOOKUP($D133,Hypothèses!$D$6:$F$14,3,0))</f>
        <v>0</v>
      </c>
      <c r="AN133" s="1335">
        <f>IF(ISNA(L133*VLOOKUP($D133,Hypothèses!$D$6:$F$14,3,0)),0,L133*VLOOKUP($D133,Hypothèses!$D$6:$F$14,3,0))</f>
        <v>0</v>
      </c>
      <c r="AO133" s="1335">
        <f>IF(ISNA(M133*VLOOKUP($D133,Hypothèses!$D$6:$F$14,3,0)),0,M133*VLOOKUP($D133,Hypothèses!$D$6:$F$14,3,0))</f>
        <v>0</v>
      </c>
      <c r="AP133" s="1335">
        <f>IF(ISNA(N133*VLOOKUP($D133,Hypothèses!$D$6:$F$14,3,0)),0,N133*VLOOKUP($D133,Hypothèses!$D$6:$F$14,3,0))</f>
        <v>0</v>
      </c>
      <c r="AQ133" s="1335">
        <f>IF(ISNA(O133*VLOOKUP($D133,Hypothèses!$D$6:$F$14,3,0)),0,O133*VLOOKUP($D133,Hypothèses!$D$6:$F$14,3,0))</f>
        <v>0</v>
      </c>
      <c r="AR133" s="1335">
        <f>IF(ISNA(P133*VLOOKUP($D133,Hypothèses!$D$6:$F$14,3,0)),0,P133*VLOOKUP($D133,Hypothèses!$D$6:$F$14,3,0))</f>
        <v>0</v>
      </c>
      <c r="AS133" s="1335">
        <f>IF(ISNA(Q133*VLOOKUP($D133,Hypothèses!$D$6:$F$14,3,0)),0,Q133*VLOOKUP($D133,Hypothèses!$D$6:$F$14,3,0))</f>
        <v>0</v>
      </c>
      <c r="AT133" s="1335">
        <f>IF(ISNA(R133*VLOOKUP($D133,Hypothèses!$D$6:$F$14,3,0)),0,R133*VLOOKUP($D133,Hypothèses!$D$6:$F$14,3,0))</f>
        <v>0</v>
      </c>
      <c r="AU133" s="1335">
        <f>IF(ISNA(S133*VLOOKUP($D133,Hypothèses!$D$6:$F$14,3,0)),0,S133*VLOOKUP($D133,Hypothèses!$D$6:$F$14,3,0))</f>
        <v>0</v>
      </c>
      <c r="AV133" s="1335">
        <f>IF(ISNA(T133*VLOOKUP($D133,Hypothèses!$D$6:$F$14,3,0)),0,T133*VLOOKUP($D133,Hypothèses!$D$6:$F$14,3,0))</f>
        <v>0</v>
      </c>
      <c r="AW133" s="1335">
        <f>IF(ISNA(U133*VLOOKUP($D133,Hypothèses!$D$6:$F$14,3,0)),0,U133*VLOOKUP($D133,Hypothèses!$D$6:$F$14,3,0))</f>
        <v>0</v>
      </c>
      <c r="AX133" s="1335">
        <f>IF(ISNA(V133*VLOOKUP($D133,Hypothèses!$D$6:$F$14,3,0)),0,V133*VLOOKUP($D133,Hypothèses!$D$6:$F$14,3,0))</f>
        <v>0</v>
      </c>
      <c r="AY133" s="1335">
        <f>IF(ISNA(W133*VLOOKUP($D133,Hypothèses!$D$6:$F$14,3,0)),0,W133*VLOOKUP($D133,Hypothèses!$D$6:$F$14,3,0))</f>
        <v>0</v>
      </c>
      <c r="AZ133" s="1335">
        <f>IF(ISNA(X133*VLOOKUP($D133,Hypothèses!$D$6:$F$14,3,0)),0,X133*VLOOKUP($D133,Hypothèses!$D$6:$F$14,3,0))</f>
        <v>0</v>
      </c>
      <c r="BA133" s="1335">
        <f>IF(ISNA(Y133*VLOOKUP($D133,Hypothèses!$D$6:$F$14,3,0)),0,Y133*VLOOKUP($D133,Hypothèses!$D$6:$F$14,3,0))</f>
        <v>0</v>
      </c>
      <c r="BB133" s="1335">
        <f>IF(ISNA(Z133*VLOOKUP($D133,Hypothèses!$D$6:$F$14,3,0)),0,Z133*VLOOKUP($D133,Hypothèses!$D$6:$F$14,3,0))</f>
        <v>0</v>
      </c>
      <c r="BC133" s="1335">
        <f>IF(ISNA(AA133*VLOOKUP($D133,Hypothèses!$D$6:$F$14,3,0)),0,AA133*VLOOKUP($D133,Hypothèses!$D$6:$F$14,3,0))</f>
        <v>0</v>
      </c>
      <c r="BD133" s="70"/>
      <c r="BE133" s="70"/>
      <c r="BF133" s="70"/>
      <c r="BG133" s="70"/>
      <c r="BH133" s="70"/>
      <c r="BI133" s="70"/>
      <c r="BJ133" s="70"/>
      <c r="BK133" s="70"/>
      <c r="BL133" s="70"/>
      <c r="BM133" s="70"/>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row>
    <row r="134" spans="1:89" s="3" customFormat="1">
      <c r="A134" s="1817">
        <v>127</v>
      </c>
      <c r="B134" s="1790"/>
      <c r="C134" s="1333"/>
      <c r="D134" s="1334"/>
      <c r="E134" s="1332" t="str">
        <f>IF(ISNA(VLOOKUP(D134,Hypothèses!$D$6:$G$16,4,0)),"",VLOOKUP(D134,Hypothèses!$D$6:$G$16,4,0))</f>
        <v/>
      </c>
      <c r="F134" s="1842"/>
      <c r="G134" s="1843"/>
      <c r="H134" s="1843"/>
      <c r="I134" s="1843"/>
      <c r="J134" s="1843"/>
      <c r="K134" s="1843"/>
      <c r="L134" s="1843"/>
      <c r="M134" s="1843"/>
      <c r="N134" s="1843"/>
      <c r="O134" s="1843"/>
      <c r="P134" s="1843"/>
      <c r="Q134" s="1843"/>
      <c r="R134" s="1843"/>
      <c r="S134" s="1843"/>
      <c r="T134" s="1843"/>
      <c r="U134" s="1843"/>
      <c r="V134" s="1843"/>
      <c r="W134" s="1843"/>
      <c r="X134" s="1843"/>
      <c r="Y134" s="1843"/>
      <c r="Z134" s="1843"/>
      <c r="AA134" s="1844"/>
      <c r="AB134" s="1335"/>
      <c r="AC134" s="1335"/>
      <c r="AD134" s="1335"/>
      <c r="AE134" s="1335"/>
      <c r="AF134" s="1335"/>
      <c r="AG134"/>
      <c r="AH134" s="1335">
        <f>IF(ISNA(F134*VLOOKUP($D134,Hypothèses!$D$6:$F$14,3,0)),0,F134*VLOOKUP($D134,Hypothèses!$D$6:$F$14,3,0))</f>
        <v>0</v>
      </c>
      <c r="AI134" s="1335">
        <f>IF(ISNA(G134*VLOOKUP($D134,Hypothèses!$D$6:$F$14,3,0)),0,G134*VLOOKUP($D134,Hypothèses!$D$6:$F$14,3,0))</f>
        <v>0</v>
      </c>
      <c r="AJ134" s="1335">
        <f>IF(ISNA(H134*VLOOKUP($D134,Hypothèses!$D$6:$F$14,3,0)),0,H134*VLOOKUP($D134,Hypothèses!$D$6:$F$14,3,0))</f>
        <v>0</v>
      </c>
      <c r="AK134" s="1335">
        <f>IF(ISNA(I134*VLOOKUP($D134,Hypothèses!$D$6:$F$14,3,0)),0,I134*VLOOKUP($D134,Hypothèses!$D$6:$F$14,3,0))</f>
        <v>0</v>
      </c>
      <c r="AL134" s="1335">
        <f>IF(ISNA(J134*VLOOKUP($D134,Hypothèses!$D$6:$F$14,3,0)),0,J134*VLOOKUP($D134,Hypothèses!$D$6:$F$14,3,0))</f>
        <v>0</v>
      </c>
      <c r="AM134" s="1335">
        <f>IF(ISNA(K134*VLOOKUP($D134,Hypothèses!$D$6:$F$14,3,0)),0,K134*VLOOKUP($D134,Hypothèses!$D$6:$F$14,3,0))</f>
        <v>0</v>
      </c>
      <c r="AN134" s="1335">
        <f>IF(ISNA(L134*VLOOKUP($D134,Hypothèses!$D$6:$F$14,3,0)),0,L134*VLOOKUP($D134,Hypothèses!$D$6:$F$14,3,0))</f>
        <v>0</v>
      </c>
      <c r="AO134" s="1335">
        <f>IF(ISNA(M134*VLOOKUP($D134,Hypothèses!$D$6:$F$14,3,0)),0,M134*VLOOKUP($D134,Hypothèses!$D$6:$F$14,3,0))</f>
        <v>0</v>
      </c>
      <c r="AP134" s="1335">
        <f>IF(ISNA(N134*VLOOKUP($D134,Hypothèses!$D$6:$F$14,3,0)),0,N134*VLOOKUP($D134,Hypothèses!$D$6:$F$14,3,0))</f>
        <v>0</v>
      </c>
      <c r="AQ134" s="1335">
        <f>IF(ISNA(O134*VLOOKUP($D134,Hypothèses!$D$6:$F$14,3,0)),0,O134*VLOOKUP($D134,Hypothèses!$D$6:$F$14,3,0))</f>
        <v>0</v>
      </c>
      <c r="AR134" s="1335">
        <f>IF(ISNA(P134*VLOOKUP($D134,Hypothèses!$D$6:$F$14,3,0)),0,P134*VLOOKUP($D134,Hypothèses!$D$6:$F$14,3,0))</f>
        <v>0</v>
      </c>
      <c r="AS134" s="1335">
        <f>IF(ISNA(Q134*VLOOKUP($D134,Hypothèses!$D$6:$F$14,3,0)),0,Q134*VLOOKUP($D134,Hypothèses!$D$6:$F$14,3,0))</f>
        <v>0</v>
      </c>
      <c r="AT134" s="1335">
        <f>IF(ISNA(R134*VLOOKUP($D134,Hypothèses!$D$6:$F$14,3,0)),0,R134*VLOOKUP($D134,Hypothèses!$D$6:$F$14,3,0))</f>
        <v>0</v>
      </c>
      <c r="AU134" s="1335">
        <f>IF(ISNA(S134*VLOOKUP($D134,Hypothèses!$D$6:$F$14,3,0)),0,S134*VLOOKUP($D134,Hypothèses!$D$6:$F$14,3,0))</f>
        <v>0</v>
      </c>
      <c r="AV134" s="1335">
        <f>IF(ISNA(T134*VLOOKUP($D134,Hypothèses!$D$6:$F$14,3,0)),0,T134*VLOOKUP($D134,Hypothèses!$D$6:$F$14,3,0))</f>
        <v>0</v>
      </c>
      <c r="AW134" s="1335">
        <f>IF(ISNA(U134*VLOOKUP($D134,Hypothèses!$D$6:$F$14,3,0)),0,U134*VLOOKUP($D134,Hypothèses!$D$6:$F$14,3,0))</f>
        <v>0</v>
      </c>
      <c r="AX134" s="1335">
        <f>IF(ISNA(V134*VLOOKUP($D134,Hypothèses!$D$6:$F$14,3,0)),0,V134*VLOOKUP($D134,Hypothèses!$D$6:$F$14,3,0))</f>
        <v>0</v>
      </c>
      <c r="AY134" s="1335">
        <f>IF(ISNA(W134*VLOOKUP($D134,Hypothèses!$D$6:$F$14,3,0)),0,W134*VLOOKUP($D134,Hypothèses!$D$6:$F$14,3,0))</f>
        <v>0</v>
      </c>
      <c r="AZ134" s="1335">
        <f>IF(ISNA(X134*VLOOKUP($D134,Hypothèses!$D$6:$F$14,3,0)),0,X134*VLOOKUP($D134,Hypothèses!$D$6:$F$14,3,0))</f>
        <v>0</v>
      </c>
      <c r="BA134" s="1335">
        <f>IF(ISNA(Y134*VLOOKUP($D134,Hypothèses!$D$6:$F$14,3,0)),0,Y134*VLOOKUP($D134,Hypothèses!$D$6:$F$14,3,0))</f>
        <v>0</v>
      </c>
      <c r="BB134" s="1335">
        <f>IF(ISNA(Z134*VLOOKUP($D134,Hypothèses!$D$6:$F$14,3,0)),0,Z134*VLOOKUP($D134,Hypothèses!$D$6:$F$14,3,0))</f>
        <v>0</v>
      </c>
      <c r="BC134" s="1335">
        <f>IF(ISNA(AA134*VLOOKUP($D134,Hypothèses!$D$6:$F$14,3,0)),0,AA134*VLOOKUP($D134,Hypothèses!$D$6:$F$14,3,0))</f>
        <v>0</v>
      </c>
      <c r="BD134" s="70"/>
      <c r="BE134" s="70"/>
      <c r="BF134" s="70"/>
      <c r="BG134" s="70"/>
      <c r="BH134" s="70"/>
      <c r="BI134" s="70"/>
      <c r="BJ134" s="70"/>
      <c r="BK134" s="70"/>
      <c r="BL134" s="70"/>
      <c r="BM134" s="70"/>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row>
    <row r="135" spans="1:89" s="3" customFormat="1">
      <c r="A135" s="1817">
        <v>128</v>
      </c>
      <c r="B135" s="1790"/>
      <c r="C135" s="1333"/>
      <c r="D135" s="1334"/>
      <c r="E135" s="1332" t="str">
        <f>IF(ISNA(VLOOKUP(D135,Hypothèses!$D$6:$G$16,4,0)),"",VLOOKUP(D135,Hypothèses!$D$6:$G$16,4,0))</f>
        <v/>
      </c>
      <c r="F135" s="1842"/>
      <c r="G135" s="1843"/>
      <c r="H135" s="1843"/>
      <c r="I135" s="1843"/>
      <c r="J135" s="1843"/>
      <c r="K135" s="1843"/>
      <c r="L135" s="1843"/>
      <c r="M135" s="1843"/>
      <c r="N135" s="1843"/>
      <c r="O135" s="1843"/>
      <c r="P135" s="1843"/>
      <c r="Q135" s="1843"/>
      <c r="R135" s="1843"/>
      <c r="S135" s="1843"/>
      <c r="T135" s="1843"/>
      <c r="U135" s="1843"/>
      <c r="V135" s="1843"/>
      <c r="W135" s="1843"/>
      <c r="X135" s="1843"/>
      <c r="Y135" s="1843"/>
      <c r="Z135" s="1843"/>
      <c r="AA135" s="1844"/>
      <c r="AB135" s="1335"/>
      <c r="AC135" s="1335"/>
      <c r="AD135" s="1335"/>
      <c r="AE135" s="1335"/>
      <c r="AF135" s="1335"/>
      <c r="AG135"/>
      <c r="AH135" s="1335">
        <f>IF(ISNA(F135*VLOOKUP($D135,Hypothèses!$D$6:$F$14,3,0)),0,F135*VLOOKUP($D135,Hypothèses!$D$6:$F$14,3,0))</f>
        <v>0</v>
      </c>
      <c r="AI135" s="1335">
        <f>IF(ISNA(G135*VLOOKUP($D135,Hypothèses!$D$6:$F$14,3,0)),0,G135*VLOOKUP($D135,Hypothèses!$D$6:$F$14,3,0))</f>
        <v>0</v>
      </c>
      <c r="AJ135" s="1335">
        <f>IF(ISNA(H135*VLOOKUP($D135,Hypothèses!$D$6:$F$14,3,0)),0,H135*VLOOKUP($D135,Hypothèses!$D$6:$F$14,3,0))</f>
        <v>0</v>
      </c>
      <c r="AK135" s="1335">
        <f>IF(ISNA(I135*VLOOKUP($D135,Hypothèses!$D$6:$F$14,3,0)),0,I135*VLOOKUP($D135,Hypothèses!$D$6:$F$14,3,0))</f>
        <v>0</v>
      </c>
      <c r="AL135" s="1335">
        <f>IF(ISNA(J135*VLOOKUP($D135,Hypothèses!$D$6:$F$14,3,0)),0,J135*VLOOKUP($D135,Hypothèses!$D$6:$F$14,3,0))</f>
        <v>0</v>
      </c>
      <c r="AM135" s="1335">
        <f>IF(ISNA(K135*VLOOKUP($D135,Hypothèses!$D$6:$F$14,3,0)),0,K135*VLOOKUP($D135,Hypothèses!$D$6:$F$14,3,0))</f>
        <v>0</v>
      </c>
      <c r="AN135" s="1335">
        <f>IF(ISNA(L135*VLOOKUP($D135,Hypothèses!$D$6:$F$14,3,0)),0,L135*VLOOKUP($D135,Hypothèses!$D$6:$F$14,3,0))</f>
        <v>0</v>
      </c>
      <c r="AO135" s="1335">
        <f>IF(ISNA(M135*VLOOKUP($D135,Hypothèses!$D$6:$F$14,3,0)),0,M135*VLOOKUP($D135,Hypothèses!$D$6:$F$14,3,0))</f>
        <v>0</v>
      </c>
      <c r="AP135" s="1335">
        <f>IF(ISNA(N135*VLOOKUP($D135,Hypothèses!$D$6:$F$14,3,0)),0,N135*VLOOKUP($D135,Hypothèses!$D$6:$F$14,3,0))</f>
        <v>0</v>
      </c>
      <c r="AQ135" s="1335">
        <f>IF(ISNA(O135*VLOOKUP($D135,Hypothèses!$D$6:$F$14,3,0)),0,O135*VLOOKUP($D135,Hypothèses!$D$6:$F$14,3,0))</f>
        <v>0</v>
      </c>
      <c r="AR135" s="1335">
        <f>IF(ISNA(P135*VLOOKUP($D135,Hypothèses!$D$6:$F$14,3,0)),0,P135*VLOOKUP($D135,Hypothèses!$D$6:$F$14,3,0))</f>
        <v>0</v>
      </c>
      <c r="AS135" s="1335">
        <f>IF(ISNA(Q135*VLOOKUP($D135,Hypothèses!$D$6:$F$14,3,0)),0,Q135*VLOOKUP($D135,Hypothèses!$D$6:$F$14,3,0))</f>
        <v>0</v>
      </c>
      <c r="AT135" s="1335">
        <f>IF(ISNA(R135*VLOOKUP($D135,Hypothèses!$D$6:$F$14,3,0)),0,R135*VLOOKUP($D135,Hypothèses!$D$6:$F$14,3,0))</f>
        <v>0</v>
      </c>
      <c r="AU135" s="1335">
        <f>IF(ISNA(S135*VLOOKUP($D135,Hypothèses!$D$6:$F$14,3,0)),0,S135*VLOOKUP($D135,Hypothèses!$D$6:$F$14,3,0))</f>
        <v>0</v>
      </c>
      <c r="AV135" s="1335">
        <f>IF(ISNA(T135*VLOOKUP($D135,Hypothèses!$D$6:$F$14,3,0)),0,T135*VLOOKUP($D135,Hypothèses!$D$6:$F$14,3,0))</f>
        <v>0</v>
      </c>
      <c r="AW135" s="1335">
        <f>IF(ISNA(U135*VLOOKUP($D135,Hypothèses!$D$6:$F$14,3,0)),0,U135*VLOOKUP($D135,Hypothèses!$D$6:$F$14,3,0))</f>
        <v>0</v>
      </c>
      <c r="AX135" s="1335">
        <f>IF(ISNA(V135*VLOOKUP($D135,Hypothèses!$D$6:$F$14,3,0)),0,V135*VLOOKUP($D135,Hypothèses!$D$6:$F$14,3,0))</f>
        <v>0</v>
      </c>
      <c r="AY135" s="1335">
        <f>IF(ISNA(W135*VLOOKUP($D135,Hypothèses!$D$6:$F$14,3,0)),0,W135*VLOOKUP($D135,Hypothèses!$D$6:$F$14,3,0))</f>
        <v>0</v>
      </c>
      <c r="AZ135" s="1335">
        <f>IF(ISNA(X135*VLOOKUP($D135,Hypothèses!$D$6:$F$14,3,0)),0,X135*VLOOKUP($D135,Hypothèses!$D$6:$F$14,3,0))</f>
        <v>0</v>
      </c>
      <c r="BA135" s="1335">
        <f>IF(ISNA(Y135*VLOOKUP($D135,Hypothèses!$D$6:$F$14,3,0)),0,Y135*VLOOKUP($D135,Hypothèses!$D$6:$F$14,3,0))</f>
        <v>0</v>
      </c>
      <c r="BB135" s="1335">
        <f>IF(ISNA(Z135*VLOOKUP($D135,Hypothèses!$D$6:$F$14,3,0)),0,Z135*VLOOKUP($D135,Hypothèses!$D$6:$F$14,3,0))</f>
        <v>0</v>
      </c>
      <c r="BC135" s="1335">
        <f>IF(ISNA(AA135*VLOOKUP($D135,Hypothèses!$D$6:$F$14,3,0)),0,AA135*VLOOKUP($D135,Hypothèses!$D$6:$F$14,3,0))</f>
        <v>0</v>
      </c>
      <c r="BD135" s="70"/>
      <c r="BE135" s="70"/>
      <c r="BF135" s="70"/>
      <c r="BG135" s="70"/>
      <c r="BH135" s="70"/>
      <c r="BI135" s="70"/>
      <c r="BJ135" s="70"/>
      <c r="BK135" s="70"/>
      <c r="BL135" s="70"/>
      <c r="BM135" s="70"/>
      <c r="BN135" s="70"/>
      <c r="BO135" s="70"/>
      <c r="BP135" s="70"/>
      <c r="BQ135" s="70"/>
      <c r="BR135" s="70"/>
      <c r="BS135" s="70"/>
      <c r="BT135" s="70"/>
      <c r="BU135" s="70"/>
      <c r="BV135" s="70"/>
      <c r="BW135" s="70"/>
      <c r="BX135" s="70"/>
      <c r="BY135" s="70"/>
      <c r="BZ135" s="70"/>
      <c r="CA135" s="70"/>
      <c r="CB135" s="70"/>
      <c r="CC135" s="70"/>
      <c r="CD135" s="70"/>
      <c r="CE135" s="70"/>
      <c r="CF135" s="70"/>
      <c r="CG135" s="70"/>
      <c r="CH135" s="70"/>
      <c r="CI135" s="70"/>
      <c r="CJ135" s="70"/>
      <c r="CK135" s="70"/>
    </row>
    <row r="136" spans="1:89" s="3" customFormat="1">
      <c r="A136" s="1817">
        <v>129</v>
      </c>
      <c r="B136" s="1790"/>
      <c r="C136" s="1333"/>
      <c r="D136" s="1334"/>
      <c r="E136" s="1332" t="str">
        <f>IF(ISNA(VLOOKUP(D136,Hypothèses!$D$6:$G$16,4,0)),"",VLOOKUP(D136,Hypothèses!$D$6:$G$16,4,0))</f>
        <v/>
      </c>
      <c r="F136" s="1842"/>
      <c r="G136" s="1843"/>
      <c r="H136" s="1843"/>
      <c r="I136" s="1843"/>
      <c r="J136" s="1843"/>
      <c r="K136" s="1843"/>
      <c r="L136" s="1843"/>
      <c r="M136" s="1843"/>
      <c r="N136" s="1843"/>
      <c r="O136" s="1843"/>
      <c r="P136" s="1843"/>
      <c r="Q136" s="1843"/>
      <c r="R136" s="1843"/>
      <c r="S136" s="1843"/>
      <c r="T136" s="1843"/>
      <c r="U136" s="1843"/>
      <c r="V136" s="1843"/>
      <c r="W136" s="1843"/>
      <c r="X136" s="1843"/>
      <c r="Y136" s="1843"/>
      <c r="Z136" s="1843"/>
      <c r="AA136" s="1844"/>
      <c r="AB136" s="1335"/>
      <c r="AC136" s="1335"/>
      <c r="AD136" s="1335"/>
      <c r="AE136" s="1335"/>
      <c r="AF136" s="1335"/>
      <c r="AG136"/>
      <c r="AH136" s="1335">
        <f>IF(ISNA(F136*VLOOKUP($D136,Hypothèses!$D$6:$F$14,3,0)),0,F136*VLOOKUP($D136,Hypothèses!$D$6:$F$14,3,0))</f>
        <v>0</v>
      </c>
      <c r="AI136" s="1335">
        <f>IF(ISNA(G136*VLOOKUP($D136,Hypothèses!$D$6:$F$14,3,0)),0,G136*VLOOKUP($D136,Hypothèses!$D$6:$F$14,3,0))</f>
        <v>0</v>
      </c>
      <c r="AJ136" s="1335">
        <f>IF(ISNA(H136*VLOOKUP($D136,Hypothèses!$D$6:$F$14,3,0)),0,H136*VLOOKUP($D136,Hypothèses!$D$6:$F$14,3,0))</f>
        <v>0</v>
      </c>
      <c r="AK136" s="1335">
        <f>IF(ISNA(I136*VLOOKUP($D136,Hypothèses!$D$6:$F$14,3,0)),0,I136*VLOOKUP($D136,Hypothèses!$D$6:$F$14,3,0))</f>
        <v>0</v>
      </c>
      <c r="AL136" s="1335">
        <f>IF(ISNA(J136*VLOOKUP($D136,Hypothèses!$D$6:$F$14,3,0)),0,J136*VLOOKUP($D136,Hypothèses!$D$6:$F$14,3,0))</f>
        <v>0</v>
      </c>
      <c r="AM136" s="1335">
        <f>IF(ISNA(K136*VLOOKUP($D136,Hypothèses!$D$6:$F$14,3,0)),0,K136*VLOOKUP($D136,Hypothèses!$D$6:$F$14,3,0))</f>
        <v>0</v>
      </c>
      <c r="AN136" s="1335">
        <f>IF(ISNA(L136*VLOOKUP($D136,Hypothèses!$D$6:$F$14,3,0)),0,L136*VLOOKUP($D136,Hypothèses!$D$6:$F$14,3,0))</f>
        <v>0</v>
      </c>
      <c r="AO136" s="1335">
        <f>IF(ISNA(M136*VLOOKUP($D136,Hypothèses!$D$6:$F$14,3,0)),0,M136*VLOOKUP($D136,Hypothèses!$D$6:$F$14,3,0))</f>
        <v>0</v>
      </c>
      <c r="AP136" s="1335">
        <f>IF(ISNA(N136*VLOOKUP($D136,Hypothèses!$D$6:$F$14,3,0)),0,N136*VLOOKUP($D136,Hypothèses!$D$6:$F$14,3,0))</f>
        <v>0</v>
      </c>
      <c r="AQ136" s="1335">
        <f>IF(ISNA(O136*VLOOKUP($D136,Hypothèses!$D$6:$F$14,3,0)),0,O136*VLOOKUP($D136,Hypothèses!$D$6:$F$14,3,0))</f>
        <v>0</v>
      </c>
      <c r="AR136" s="1335">
        <f>IF(ISNA(P136*VLOOKUP($D136,Hypothèses!$D$6:$F$14,3,0)),0,P136*VLOOKUP($D136,Hypothèses!$D$6:$F$14,3,0))</f>
        <v>0</v>
      </c>
      <c r="AS136" s="1335">
        <f>IF(ISNA(Q136*VLOOKUP($D136,Hypothèses!$D$6:$F$14,3,0)),0,Q136*VLOOKUP($D136,Hypothèses!$D$6:$F$14,3,0))</f>
        <v>0</v>
      </c>
      <c r="AT136" s="1335">
        <f>IF(ISNA(R136*VLOOKUP($D136,Hypothèses!$D$6:$F$14,3,0)),0,R136*VLOOKUP($D136,Hypothèses!$D$6:$F$14,3,0))</f>
        <v>0</v>
      </c>
      <c r="AU136" s="1335">
        <f>IF(ISNA(S136*VLOOKUP($D136,Hypothèses!$D$6:$F$14,3,0)),0,S136*VLOOKUP($D136,Hypothèses!$D$6:$F$14,3,0))</f>
        <v>0</v>
      </c>
      <c r="AV136" s="1335">
        <f>IF(ISNA(T136*VLOOKUP($D136,Hypothèses!$D$6:$F$14,3,0)),0,T136*VLOOKUP($D136,Hypothèses!$D$6:$F$14,3,0))</f>
        <v>0</v>
      </c>
      <c r="AW136" s="1335">
        <f>IF(ISNA(U136*VLOOKUP($D136,Hypothèses!$D$6:$F$14,3,0)),0,U136*VLOOKUP($D136,Hypothèses!$D$6:$F$14,3,0))</f>
        <v>0</v>
      </c>
      <c r="AX136" s="1335">
        <f>IF(ISNA(V136*VLOOKUP($D136,Hypothèses!$D$6:$F$14,3,0)),0,V136*VLOOKUP($D136,Hypothèses!$D$6:$F$14,3,0))</f>
        <v>0</v>
      </c>
      <c r="AY136" s="1335">
        <f>IF(ISNA(W136*VLOOKUP($D136,Hypothèses!$D$6:$F$14,3,0)),0,W136*VLOOKUP($D136,Hypothèses!$D$6:$F$14,3,0))</f>
        <v>0</v>
      </c>
      <c r="AZ136" s="1335">
        <f>IF(ISNA(X136*VLOOKUP($D136,Hypothèses!$D$6:$F$14,3,0)),0,X136*VLOOKUP($D136,Hypothèses!$D$6:$F$14,3,0))</f>
        <v>0</v>
      </c>
      <c r="BA136" s="1335">
        <f>IF(ISNA(Y136*VLOOKUP($D136,Hypothèses!$D$6:$F$14,3,0)),0,Y136*VLOOKUP($D136,Hypothèses!$D$6:$F$14,3,0))</f>
        <v>0</v>
      </c>
      <c r="BB136" s="1335">
        <f>IF(ISNA(Z136*VLOOKUP($D136,Hypothèses!$D$6:$F$14,3,0)),0,Z136*VLOOKUP($D136,Hypothèses!$D$6:$F$14,3,0))</f>
        <v>0</v>
      </c>
      <c r="BC136" s="1335">
        <f>IF(ISNA(AA136*VLOOKUP($D136,Hypothèses!$D$6:$F$14,3,0)),0,AA136*VLOOKUP($D136,Hypothèses!$D$6:$F$14,3,0))</f>
        <v>0</v>
      </c>
      <c r="BD136" s="70"/>
      <c r="BE136" s="70"/>
      <c r="BF136" s="70"/>
      <c r="BG136" s="70"/>
      <c r="BH136" s="70"/>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c r="CF136" s="70"/>
      <c r="CG136" s="70"/>
      <c r="CH136" s="70"/>
      <c r="CI136" s="70"/>
      <c r="CJ136" s="70"/>
      <c r="CK136" s="70"/>
    </row>
    <row r="137" spans="1:89" s="3" customFormat="1">
      <c r="A137" s="1817">
        <v>130</v>
      </c>
      <c r="B137" s="1790"/>
      <c r="C137" s="1333"/>
      <c r="D137" s="1334"/>
      <c r="E137" s="1332" t="str">
        <f>IF(ISNA(VLOOKUP(D137,Hypothèses!$D$6:$G$16,4,0)),"",VLOOKUP(D137,Hypothèses!$D$6:$G$16,4,0))</f>
        <v/>
      </c>
      <c r="F137" s="1842"/>
      <c r="G137" s="1843"/>
      <c r="H137" s="1843"/>
      <c r="I137" s="1843"/>
      <c r="J137" s="1843"/>
      <c r="K137" s="1843"/>
      <c r="L137" s="1843"/>
      <c r="M137" s="1843"/>
      <c r="N137" s="1843"/>
      <c r="O137" s="1843"/>
      <c r="P137" s="1843"/>
      <c r="Q137" s="1843"/>
      <c r="R137" s="1843"/>
      <c r="S137" s="1843"/>
      <c r="T137" s="1843"/>
      <c r="U137" s="1843"/>
      <c r="V137" s="1843"/>
      <c r="W137" s="1843"/>
      <c r="X137" s="1843"/>
      <c r="Y137" s="1843"/>
      <c r="Z137" s="1843"/>
      <c r="AA137" s="1844"/>
      <c r="AB137" s="1335"/>
      <c r="AC137" s="1335"/>
      <c r="AD137" s="1335"/>
      <c r="AE137" s="1335"/>
      <c r="AF137" s="1335"/>
      <c r="AG137"/>
      <c r="AH137" s="1335">
        <f>IF(ISNA(F137*VLOOKUP($D137,Hypothèses!$D$6:$F$14,3,0)),0,F137*VLOOKUP($D137,Hypothèses!$D$6:$F$14,3,0))</f>
        <v>0</v>
      </c>
      <c r="AI137" s="1335">
        <f>IF(ISNA(G137*VLOOKUP($D137,Hypothèses!$D$6:$F$14,3,0)),0,G137*VLOOKUP($D137,Hypothèses!$D$6:$F$14,3,0))</f>
        <v>0</v>
      </c>
      <c r="AJ137" s="1335">
        <f>IF(ISNA(H137*VLOOKUP($D137,Hypothèses!$D$6:$F$14,3,0)),0,H137*VLOOKUP($D137,Hypothèses!$D$6:$F$14,3,0))</f>
        <v>0</v>
      </c>
      <c r="AK137" s="1335">
        <f>IF(ISNA(I137*VLOOKUP($D137,Hypothèses!$D$6:$F$14,3,0)),0,I137*VLOOKUP($D137,Hypothèses!$D$6:$F$14,3,0))</f>
        <v>0</v>
      </c>
      <c r="AL137" s="1335">
        <f>IF(ISNA(J137*VLOOKUP($D137,Hypothèses!$D$6:$F$14,3,0)),0,J137*VLOOKUP($D137,Hypothèses!$D$6:$F$14,3,0))</f>
        <v>0</v>
      </c>
      <c r="AM137" s="1335">
        <f>IF(ISNA(K137*VLOOKUP($D137,Hypothèses!$D$6:$F$14,3,0)),0,K137*VLOOKUP($D137,Hypothèses!$D$6:$F$14,3,0))</f>
        <v>0</v>
      </c>
      <c r="AN137" s="1335">
        <f>IF(ISNA(L137*VLOOKUP($D137,Hypothèses!$D$6:$F$14,3,0)),0,L137*VLOOKUP($D137,Hypothèses!$D$6:$F$14,3,0))</f>
        <v>0</v>
      </c>
      <c r="AO137" s="1335">
        <f>IF(ISNA(M137*VLOOKUP($D137,Hypothèses!$D$6:$F$14,3,0)),0,M137*VLOOKUP($D137,Hypothèses!$D$6:$F$14,3,0))</f>
        <v>0</v>
      </c>
      <c r="AP137" s="1335">
        <f>IF(ISNA(N137*VLOOKUP($D137,Hypothèses!$D$6:$F$14,3,0)),0,N137*VLOOKUP($D137,Hypothèses!$D$6:$F$14,3,0))</f>
        <v>0</v>
      </c>
      <c r="AQ137" s="1335">
        <f>IF(ISNA(O137*VLOOKUP($D137,Hypothèses!$D$6:$F$14,3,0)),0,O137*VLOOKUP($D137,Hypothèses!$D$6:$F$14,3,0))</f>
        <v>0</v>
      </c>
      <c r="AR137" s="1335">
        <f>IF(ISNA(P137*VLOOKUP($D137,Hypothèses!$D$6:$F$14,3,0)),0,P137*VLOOKUP($D137,Hypothèses!$D$6:$F$14,3,0))</f>
        <v>0</v>
      </c>
      <c r="AS137" s="1335">
        <f>IF(ISNA(Q137*VLOOKUP($D137,Hypothèses!$D$6:$F$14,3,0)),0,Q137*VLOOKUP($D137,Hypothèses!$D$6:$F$14,3,0))</f>
        <v>0</v>
      </c>
      <c r="AT137" s="1335">
        <f>IF(ISNA(R137*VLOOKUP($D137,Hypothèses!$D$6:$F$14,3,0)),0,R137*VLOOKUP($D137,Hypothèses!$D$6:$F$14,3,0))</f>
        <v>0</v>
      </c>
      <c r="AU137" s="1335">
        <f>IF(ISNA(S137*VLOOKUP($D137,Hypothèses!$D$6:$F$14,3,0)),0,S137*VLOOKUP($D137,Hypothèses!$D$6:$F$14,3,0))</f>
        <v>0</v>
      </c>
      <c r="AV137" s="1335">
        <f>IF(ISNA(T137*VLOOKUP($D137,Hypothèses!$D$6:$F$14,3,0)),0,T137*VLOOKUP($D137,Hypothèses!$D$6:$F$14,3,0))</f>
        <v>0</v>
      </c>
      <c r="AW137" s="1335">
        <f>IF(ISNA(U137*VLOOKUP($D137,Hypothèses!$D$6:$F$14,3,0)),0,U137*VLOOKUP($D137,Hypothèses!$D$6:$F$14,3,0))</f>
        <v>0</v>
      </c>
      <c r="AX137" s="1335">
        <f>IF(ISNA(V137*VLOOKUP($D137,Hypothèses!$D$6:$F$14,3,0)),0,V137*VLOOKUP($D137,Hypothèses!$D$6:$F$14,3,0))</f>
        <v>0</v>
      </c>
      <c r="AY137" s="1335">
        <f>IF(ISNA(W137*VLOOKUP($D137,Hypothèses!$D$6:$F$14,3,0)),0,W137*VLOOKUP($D137,Hypothèses!$D$6:$F$14,3,0))</f>
        <v>0</v>
      </c>
      <c r="AZ137" s="1335">
        <f>IF(ISNA(X137*VLOOKUP($D137,Hypothèses!$D$6:$F$14,3,0)),0,X137*VLOOKUP($D137,Hypothèses!$D$6:$F$14,3,0))</f>
        <v>0</v>
      </c>
      <c r="BA137" s="1335">
        <f>IF(ISNA(Y137*VLOOKUP($D137,Hypothèses!$D$6:$F$14,3,0)),0,Y137*VLOOKUP($D137,Hypothèses!$D$6:$F$14,3,0))</f>
        <v>0</v>
      </c>
      <c r="BB137" s="1335">
        <f>IF(ISNA(Z137*VLOOKUP($D137,Hypothèses!$D$6:$F$14,3,0)),0,Z137*VLOOKUP($D137,Hypothèses!$D$6:$F$14,3,0))</f>
        <v>0</v>
      </c>
      <c r="BC137" s="1335">
        <f>IF(ISNA(AA137*VLOOKUP($D137,Hypothèses!$D$6:$F$14,3,0)),0,AA137*VLOOKUP($D137,Hypothèses!$D$6:$F$14,3,0))</f>
        <v>0</v>
      </c>
      <c r="BD137" s="70"/>
      <c r="BE137" s="70"/>
      <c r="BF137" s="70"/>
      <c r="BG137" s="70"/>
      <c r="BH137" s="70"/>
      <c r="BI137" s="70"/>
      <c r="BJ137" s="70"/>
      <c r="BK137" s="70"/>
      <c r="BL137" s="70"/>
      <c r="BM137" s="70"/>
      <c r="BN137" s="70"/>
      <c r="BO137" s="70"/>
      <c r="BP137" s="70"/>
      <c r="BQ137" s="70"/>
      <c r="BR137" s="70"/>
      <c r="BS137" s="70"/>
      <c r="BT137" s="70"/>
      <c r="BU137" s="70"/>
      <c r="BV137" s="70"/>
      <c r="BW137" s="70"/>
      <c r="BX137" s="70"/>
      <c r="BY137" s="70"/>
      <c r="BZ137" s="70"/>
      <c r="CA137" s="70"/>
      <c r="CB137" s="70"/>
      <c r="CC137" s="70"/>
      <c r="CD137" s="70"/>
      <c r="CE137" s="70"/>
      <c r="CF137" s="70"/>
      <c r="CG137" s="70"/>
      <c r="CH137" s="70"/>
      <c r="CI137" s="70"/>
      <c r="CJ137" s="70"/>
      <c r="CK137" s="70"/>
    </row>
    <row r="138" spans="1:89" s="3" customFormat="1">
      <c r="A138" s="1817">
        <v>131</v>
      </c>
      <c r="B138" s="1790"/>
      <c r="C138" s="1333"/>
      <c r="D138" s="1334"/>
      <c r="E138" s="1332" t="str">
        <f>IF(ISNA(VLOOKUP(D138,Hypothèses!$D$6:$G$16,4,0)),"",VLOOKUP(D138,Hypothèses!$D$6:$G$16,4,0))</f>
        <v/>
      </c>
      <c r="F138" s="1842"/>
      <c r="G138" s="1843"/>
      <c r="H138" s="1843"/>
      <c r="I138" s="1843"/>
      <c r="J138" s="1843"/>
      <c r="K138" s="1843"/>
      <c r="L138" s="1843"/>
      <c r="M138" s="1843"/>
      <c r="N138" s="1843"/>
      <c r="O138" s="1843"/>
      <c r="P138" s="1843"/>
      <c r="Q138" s="1843"/>
      <c r="R138" s="1843"/>
      <c r="S138" s="1843"/>
      <c r="T138" s="1843"/>
      <c r="U138" s="1843"/>
      <c r="V138" s="1843"/>
      <c r="W138" s="1843"/>
      <c r="X138" s="1843"/>
      <c r="Y138" s="1843"/>
      <c r="Z138" s="1843"/>
      <c r="AA138" s="1844"/>
      <c r="AB138" s="1335"/>
      <c r="AC138" s="1335"/>
      <c r="AD138" s="1335"/>
      <c r="AE138" s="1335"/>
      <c r="AF138" s="1335"/>
      <c r="AG138"/>
      <c r="AH138" s="1335">
        <f>IF(ISNA(F138*VLOOKUP($D138,Hypothèses!$D$6:$F$14,3,0)),0,F138*VLOOKUP($D138,Hypothèses!$D$6:$F$14,3,0))</f>
        <v>0</v>
      </c>
      <c r="AI138" s="1335">
        <f>IF(ISNA(G138*VLOOKUP($D138,Hypothèses!$D$6:$F$14,3,0)),0,G138*VLOOKUP($D138,Hypothèses!$D$6:$F$14,3,0))</f>
        <v>0</v>
      </c>
      <c r="AJ138" s="1335">
        <f>IF(ISNA(H138*VLOOKUP($D138,Hypothèses!$D$6:$F$14,3,0)),0,H138*VLOOKUP($D138,Hypothèses!$D$6:$F$14,3,0))</f>
        <v>0</v>
      </c>
      <c r="AK138" s="1335">
        <f>IF(ISNA(I138*VLOOKUP($D138,Hypothèses!$D$6:$F$14,3,0)),0,I138*VLOOKUP($D138,Hypothèses!$D$6:$F$14,3,0))</f>
        <v>0</v>
      </c>
      <c r="AL138" s="1335">
        <f>IF(ISNA(J138*VLOOKUP($D138,Hypothèses!$D$6:$F$14,3,0)),0,J138*VLOOKUP($D138,Hypothèses!$D$6:$F$14,3,0))</f>
        <v>0</v>
      </c>
      <c r="AM138" s="1335">
        <f>IF(ISNA(K138*VLOOKUP($D138,Hypothèses!$D$6:$F$14,3,0)),0,K138*VLOOKUP($D138,Hypothèses!$D$6:$F$14,3,0))</f>
        <v>0</v>
      </c>
      <c r="AN138" s="1335">
        <f>IF(ISNA(L138*VLOOKUP($D138,Hypothèses!$D$6:$F$14,3,0)),0,L138*VLOOKUP($D138,Hypothèses!$D$6:$F$14,3,0))</f>
        <v>0</v>
      </c>
      <c r="AO138" s="1335">
        <f>IF(ISNA(M138*VLOOKUP($D138,Hypothèses!$D$6:$F$14,3,0)),0,M138*VLOOKUP($D138,Hypothèses!$D$6:$F$14,3,0))</f>
        <v>0</v>
      </c>
      <c r="AP138" s="1335">
        <f>IF(ISNA(N138*VLOOKUP($D138,Hypothèses!$D$6:$F$14,3,0)),0,N138*VLOOKUP($D138,Hypothèses!$D$6:$F$14,3,0))</f>
        <v>0</v>
      </c>
      <c r="AQ138" s="1335">
        <f>IF(ISNA(O138*VLOOKUP($D138,Hypothèses!$D$6:$F$14,3,0)),0,O138*VLOOKUP($D138,Hypothèses!$D$6:$F$14,3,0))</f>
        <v>0</v>
      </c>
      <c r="AR138" s="1335">
        <f>IF(ISNA(P138*VLOOKUP($D138,Hypothèses!$D$6:$F$14,3,0)),0,P138*VLOOKUP($D138,Hypothèses!$D$6:$F$14,3,0))</f>
        <v>0</v>
      </c>
      <c r="AS138" s="1335">
        <f>IF(ISNA(Q138*VLOOKUP($D138,Hypothèses!$D$6:$F$14,3,0)),0,Q138*VLOOKUP($D138,Hypothèses!$D$6:$F$14,3,0))</f>
        <v>0</v>
      </c>
      <c r="AT138" s="1335">
        <f>IF(ISNA(R138*VLOOKUP($D138,Hypothèses!$D$6:$F$14,3,0)),0,R138*VLOOKUP($D138,Hypothèses!$D$6:$F$14,3,0))</f>
        <v>0</v>
      </c>
      <c r="AU138" s="1335">
        <f>IF(ISNA(S138*VLOOKUP($D138,Hypothèses!$D$6:$F$14,3,0)),0,S138*VLOOKUP($D138,Hypothèses!$D$6:$F$14,3,0))</f>
        <v>0</v>
      </c>
      <c r="AV138" s="1335">
        <f>IF(ISNA(T138*VLOOKUP($D138,Hypothèses!$D$6:$F$14,3,0)),0,T138*VLOOKUP($D138,Hypothèses!$D$6:$F$14,3,0))</f>
        <v>0</v>
      </c>
      <c r="AW138" s="1335">
        <f>IF(ISNA(U138*VLOOKUP($D138,Hypothèses!$D$6:$F$14,3,0)),0,U138*VLOOKUP($D138,Hypothèses!$D$6:$F$14,3,0))</f>
        <v>0</v>
      </c>
      <c r="AX138" s="1335">
        <f>IF(ISNA(V138*VLOOKUP($D138,Hypothèses!$D$6:$F$14,3,0)),0,V138*VLOOKUP($D138,Hypothèses!$D$6:$F$14,3,0))</f>
        <v>0</v>
      </c>
      <c r="AY138" s="1335">
        <f>IF(ISNA(W138*VLOOKUP($D138,Hypothèses!$D$6:$F$14,3,0)),0,W138*VLOOKUP($D138,Hypothèses!$D$6:$F$14,3,0))</f>
        <v>0</v>
      </c>
      <c r="AZ138" s="1335">
        <f>IF(ISNA(X138*VLOOKUP($D138,Hypothèses!$D$6:$F$14,3,0)),0,X138*VLOOKUP($D138,Hypothèses!$D$6:$F$14,3,0))</f>
        <v>0</v>
      </c>
      <c r="BA138" s="1335">
        <f>IF(ISNA(Y138*VLOOKUP($D138,Hypothèses!$D$6:$F$14,3,0)),0,Y138*VLOOKUP($D138,Hypothèses!$D$6:$F$14,3,0))</f>
        <v>0</v>
      </c>
      <c r="BB138" s="1335">
        <f>IF(ISNA(Z138*VLOOKUP($D138,Hypothèses!$D$6:$F$14,3,0)),0,Z138*VLOOKUP($D138,Hypothèses!$D$6:$F$14,3,0))</f>
        <v>0</v>
      </c>
      <c r="BC138" s="1335">
        <f>IF(ISNA(AA138*VLOOKUP($D138,Hypothèses!$D$6:$F$14,3,0)),0,AA138*VLOOKUP($D138,Hypothèses!$D$6:$F$14,3,0))</f>
        <v>0</v>
      </c>
      <c r="BD138" s="70"/>
      <c r="BE138" s="70"/>
      <c r="BF138" s="70"/>
      <c r="BG138" s="70"/>
      <c r="BH138" s="70"/>
      <c r="BI138" s="70"/>
      <c r="BJ138" s="70"/>
      <c r="BK138" s="70"/>
      <c r="BL138" s="70"/>
      <c r="BM138" s="70"/>
      <c r="BN138" s="70"/>
      <c r="BO138" s="70"/>
      <c r="BP138" s="70"/>
      <c r="BQ138" s="70"/>
      <c r="BR138" s="70"/>
      <c r="BS138" s="70"/>
      <c r="BT138" s="70"/>
      <c r="BU138" s="70"/>
      <c r="BV138" s="70"/>
      <c r="BW138" s="70"/>
      <c r="BX138" s="70"/>
      <c r="BY138" s="70"/>
      <c r="BZ138" s="70"/>
      <c r="CA138" s="70"/>
      <c r="CB138" s="70"/>
      <c r="CC138" s="70"/>
      <c r="CD138" s="70"/>
      <c r="CE138" s="70"/>
      <c r="CF138" s="70"/>
      <c r="CG138" s="70"/>
      <c r="CH138" s="70"/>
      <c r="CI138" s="70"/>
      <c r="CJ138" s="70"/>
      <c r="CK138" s="70"/>
    </row>
    <row r="139" spans="1:89" s="3" customFormat="1">
      <c r="A139" s="1817">
        <v>132</v>
      </c>
      <c r="B139" s="1790"/>
      <c r="C139" s="1333"/>
      <c r="D139" s="1334"/>
      <c r="E139" s="1332" t="str">
        <f>IF(ISNA(VLOOKUP(D139,Hypothèses!$D$6:$G$16,4,0)),"",VLOOKUP(D139,Hypothèses!$D$6:$G$16,4,0))</f>
        <v/>
      </c>
      <c r="F139" s="1842"/>
      <c r="G139" s="1843"/>
      <c r="H139" s="1843"/>
      <c r="I139" s="1843"/>
      <c r="J139" s="1843"/>
      <c r="K139" s="1843"/>
      <c r="L139" s="1843"/>
      <c r="M139" s="1843"/>
      <c r="N139" s="1843"/>
      <c r="O139" s="1843"/>
      <c r="P139" s="1843"/>
      <c r="Q139" s="1843"/>
      <c r="R139" s="1843"/>
      <c r="S139" s="1843"/>
      <c r="T139" s="1843"/>
      <c r="U139" s="1843"/>
      <c r="V139" s="1843"/>
      <c r="W139" s="1843"/>
      <c r="X139" s="1843"/>
      <c r="Y139" s="1843"/>
      <c r="Z139" s="1843"/>
      <c r="AA139" s="1844"/>
      <c r="AB139" s="1335"/>
      <c r="AC139" s="1335"/>
      <c r="AD139" s="1335"/>
      <c r="AE139" s="1335"/>
      <c r="AF139" s="1335"/>
      <c r="AG139"/>
      <c r="AH139" s="1335">
        <f>IF(ISNA(F139*VLOOKUP($D139,Hypothèses!$D$6:$F$14,3,0)),0,F139*VLOOKUP($D139,Hypothèses!$D$6:$F$14,3,0))</f>
        <v>0</v>
      </c>
      <c r="AI139" s="1335">
        <f>IF(ISNA(G139*VLOOKUP($D139,Hypothèses!$D$6:$F$14,3,0)),0,G139*VLOOKUP($D139,Hypothèses!$D$6:$F$14,3,0))</f>
        <v>0</v>
      </c>
      <c r="AJ139" s="1335">
        <f>IF(ISNA(H139*VLOOKUP($D139,Hypothèses!$D$6:$F$14,3,0)),0,H139*VLOOKUP($D139,Hypothèses!$D$6:$F$14,3,0))</f>
        <v>0</v>
      </c>
      <c r="AK139" s="1335">
        <f>IF(ISNA(I139*VLOOKUP($D139,Hypothèses!$D$6:$F$14,3,0)),0,I139*VLOOKUP($D139,Hypothèses!$D$6:$F$14,3,0))</f>
        <v>0</v>
      </c>
      <c r="AL139" s="1335">
        <f>IF(ISNA(J139*VLOOKUP($D139,Hypothèses!$D$6:$F$14,3,0)),0,J139*VLOOKUP($D139,Hypothèses!$D$6:$F$14,3,0))</f>
        <v>0</v>
      </c>
      <c r="AM139" s="1335">
        <f>IF(ISNA(K139*VLOOKUP($D139,Hypothèses!$D$6:$F$14,3,0)),0,K139*VLOOKUP($D139,Hypothèses!$D$6:$F$14,3,0))</f>
        <v>0</v>
      </c>
      <c r="AN139" s="1335">
        <f>IF(ISNA(L139*VLOOKUP($D139,Hypothèses!$D$6:$F$14,3,0)),0,L139*VLOOKUP($D139,Hypothèses!$D$6:$F$14,3,0))</f>
        <v>0</v>
      </c>
      <c r="AO139" s="1335">
        <f>IF(ISNA(M139*VLOOKUP($D139,Hypothèses!$D$6:$F$14,3,0)),0,M139*VLOOKUP($D139,Hypothèses!$D$6:$F$14,3,0))</f>
        <v>0</v>
      </c>
      <c r="AP139" s="1335">
        <f>IF(ISNA(N139*VLOOKUP($D139,Hypothèses!$D$6:$F$14,3,0)),0,N139*VLOOKUP($D139,Hypothèses!$D$6:$F$14,3,0))</f>
        <v>0</v>
      </c>
      <c r="AQ139" s="1335">
        <f>IF(ISNA(O139*VLOOKUP($D139,Hypothèses!$D$6:$F$14,3,0)),0,O139*VLOOKUP($D139,Hypothèses!$D$6:$F$14,3,0))</f>
        <v>0</v>
      </c>
      <c r="AR139" s="1335">
        <f>IF(ISNA(P139*VLOOKUP($D139,Hypothèses!$D$6:$F$14,3,0)),0,P139*VLOOKUP($D139,Hypothèses!$D$6:$F$14,3,0))</f>
        <v>0</v>
      </c>
      <c r="AS139" s="1335">
        <f>IF(ISNA(Q139*VLOOKUP($D139,Hypothèses!$D$6:$F$14,3,0)),0,Q139*VLOOKUP($D139,Hypothèses!$D$6:$F$14,3,0))</f>
        <v>0</v>
      </c>
      <c r="AT139" s="1335">
        <f>IF(ISNA(R139*VLOOKUP($D139,Hypothèses!$D$6:$F$14,3,0)),0,R139*VLOOKUP($D139,Hypothèses!$D$6:$F$14,3,0))</f>
        <v>0</v>
      </c>
      <c r="AU139" s="1335">
        <f>IF(ISNA(S139*VLOOKUP($D139,Hypothèses!$D$6:$F$14,3,0)),0,S139*VLOOKUP($D139,Hypothèses!$D$6:$F$14,3,0))</f>
        <v>0</v>
      </c>
      <c r="AV139" s="1335">
        <f>IF(ISNA(T139*VLOOKUP($D139,Hypothèses!$D$6:$F$14,3,0)),0,T139*VLOOKUP($D139,Hypothèses!$D$6:$F$14,3,0))</f>
        <v>0</v>
      </c>
      <c r="AW139" s="1335">
        <f>IF(ISNA(U139*VLOOKUP($D139,Hypothèses!$D$6:$F$14,3,0)),0,U139*VLOOKUP($D139,Hypothèses!$D$6:$F$14,3,0))</f>
        <v>0</v>
      </c>
      <c r="AX139" s="1335">
        <f>IF(ISNA(V139*VLOOKUP($D139,Hypothèses!$D$6:$F$14,3,0)),0,V139*VLOOKUP($D139,Hypothèses!$D$6:$F$14,3,0))</f>
        <v>0</v>
      </c>
      <c r="AY139" s="1335">
        <f>IF(ISNA(W139*VLOOKUP($D139,Hypothèses!$D$6:$F$14,3,0)),0,W139*VLOOKUP($D139,Hypothèses!$D$6:$F$14,3,0))</f>
        <v>0</v>
      </c>
      <c r="AZ139" s="1335">
        <f>IF(ISNA(X139*VLOOKUP($D139,Hypothèses!$D$6:$F$14,3,0)),0,X139*VLOOKUP($D139,Hypothèses!$D$6:$F$14,3,0))</f>
        <v>0</v>
      </c>
      <c r="BA139" s="1335">
        <f>IF(ISNA(Y139*VLOOKUP($D139,Hypothèses!$D$6:$F$14,3,0)),0,Y139*VLOOKUP($D139,Hypothèses!$D$6:$F$14,3,0))</f>
        <v>0</v>
      </c>
      <c r="BB139" s="1335">
        <f>IF(ISNA(Z139*VLOOKUP($D139,Hypothèses!$D$6:$F$14,3,0)),0,Z139*VLOOKUP($D139,Hypothèses!$D$6:$F$14,3,0))</f>
        <v>0</v>
      </c>
      <c r="BC139" s="1335">
        <f>IF(ISNA(AA139*VLOOKUP($D139,Hypothèses!$D$6:$F$14,3,0)),0,AA139*VLOOKUP($D139,Hypothèses!$D$6:$F$14,3,0))</f>
        <v>0</v>
      </c>
      <c r="BD139" s="70"/>
      <c r="BE139" s="70"/>
      <c r="BF139" s="70"/>
      <c r="BG139" s="70"/>
      <c r="BH139" s="70"/>
      <c r="BI139" s="70"/>
      <c r="BJ139" s="70"/>
      <c r="BK139" s="70"/>
      <c r="BL139" s="70"/>
      <c r="BM139" s="70"/>
      <c r="BN139" s="70"/>
      <c r="BO139" s="70"/>
      <c r="BP139" s="70"/>
      <c r="BQ139" s="70"/>
      <c r="BR139" s="70"/>
      <c r="BS139" s="70"/>
      <c r="BT139" s="70"/>
      <c r="BU139" s="70"/>
      <c r="BV139" s="70"/>
      <c r="BW139" s="70"/>
      <c r="BX139" s="70"/>
      <c r="BY139" s="70"/>
      <c r="BZ139" s="70"/>
      <c r="CA139" s="70"/>
      <c r="CB139" s="70"/>
      <c r="CC139" s="70"/>
      <c r="CD139" s="70"/>
      <c r="CE139" s="70"/>
      <c r="CF139" s="70"/>
      <c r="CG139" s="70"/>
      <c r="CH139" s="70"/>
      <c r="CI139" s="70"/>
      <c r="CJ139" s="70"/>
      <c r="CK139" s="70"/>
    </row>
    <row r="140" spans="1:89" s="3" customFormat="1">
      <c r="A140" s="1817">
        <v>133</v>
      </c>
      <c r="B140" s="1790"/>
      <c r="C140" s="1333"/>
      <c r="D140" s="1334"/>
      <c r="E140" s="1332" t="str">
        <f>IF(ISNA(VLOOKUP(D140,Hypothèses!$D$6:$G$16,4,0)),"",VLOOKUP(D140,Hypothèses!$D$6:$G$16,4,0))</f>
        <v/>
      </c>
      <c r="F140" s="1842"/>
      <c r="G140" s="1843"/>
      <c r="H140" s="1843"/>
      <c r="I140" s="1843"/>
      <c r="J140" s="1843"/>
      <c r="K140" s="1843"/>
      <c r="L140" s="1843"/>
      <c r="M140" s="1843"/>
      <c r="N140" s="1843"/>
      <c r="O140" s="1843"/>
      <c r="P140" s="1843"/>
      <c r="Q140" s="1843"/>
      <c r="R140" s="1843"/>
      <c r="S140" s="1843"/>
      <c r="T140" s="1843"/>
      <c r="U140" s="1843"/>
      <c r="V140" s="1843"/>
      <c r="W140" s="1843"/>
      <c r="X140" s="1843"/>
      <c r="Y140" s="1843"/>
      <c r="Z140" s="1843"/>
      <c r="AA140" s="1844"/>
      <c r="AB140" s="1335"/>
      <c r="AC140" s="1335"/>
      <c r="AD140" s="1335"/>
      <c r="AE140" s="1335"/>
      <c r="AF140" s="1335"/>
      <c r="AG140"/>
      <c r="AH140" s="1335">
        <f>IF(ISNA(F140*VLOOKUP($D140,Hypothèses!$D$6:$F$14,3,0)),0,F140*VLOOKUP($D140,Hypothèses!$D$6:$F$14,3,0))</f>
        <v>0</v>
      </c>
      <c r="AI140" s="1335">
        <f>IF(ISNA(G140*VLOOKUP($D140,Hypothèses!$D$6:$F$14,3,0)),0,G140*VLOOKUP($D140,Hypothèses!$D$6:$F$14,3,0))</f>
        <v>0</v>
      </c>
      <c r="AJ140" s="1335">
        <f>IF(ISNA(H140*VLOOKUP($D140,Hypothèses!$D$6:$F$14,3,0)),0,H140*VLOOKUP($D140,Hypothèses!$D$6:$F$14,3,0))</f>
        <v>0</v>
      </c>
      <c r="AK140" s="1335">
        <f>IF(ISNA(I140*VLOOKUP($D140,Hypothèses!$D$6:$F$14,3,0)),0,I140*VLOOKUP($D140,Hypothèses!$D$6:$F$14,3,0))</f>
        <v>0</v>
      </c>
      <c r="AL140" s="1335">
        <f>IF(ISNA(J140*VLOOKUP($D140,Hypothèses!$D$6:$F$14,3,0)),0,J140*VLOOKUP($D140,Hypothèses!$D$6:$F$14,3,0))</f>
        <v>0</v>
      </c>
      <c r="AM140" s="1335">
        <f>IF(ISNA(K140*VLOOKUP($D140,Hypothèses!$D$6:$F$14,3,0)),0,K140*VLOOKUP($D140,Hypothèses!$D$6:$F$14,3,0))</f>
        <v>0</v>
      </c>
      <c r="AN140" s="1335">
        <f>IF(ISNA(L140*VLOOKUP($D140,Hypothèses!$D$6:$F$14,3,0)),0,L140*VLOOKUP($D140,Hypothèses!$D$6:$F$14,3,0))</f>
        <v>0</v>
      </c>
      <c r="AO140" s="1335">
        <f>IF(ISNA(M140*VLOOKUP($D140,Hypothèses!$D$6:$F$14,3,0)),0,M140*VLOOKUP($D140,Hypothèses!$D$6:$F$14,3,0))</f>
        <v>0</v>
      </c>
      <c r="AP140" s="1335">
        <f>IF(ISNA(N140*VLOOKUP($D140,Hypothèses!$D$6:$F$14,3,0)),0,N140*VLOOKUP($D140,Hypothèses!$D$6:$F$14,3,0))</f>
        <v>0</v>
      </c>
      <c r="AQ140" s="1335">
        <f>IF(ISNA(O140*VLOOKUP($D140,Hypothèses!$D$6:$F$14,3,0)),0,O140*VLOOKUP($D140,Hypothèses!$D$6:$F$14,3,0))</f>
        <v>0</v>
      </c>
      <c r="AR140" s="1335">
        <f>IF(ISNA(P140*VLOOKUP($D140,Hypothèses!$D$6:$F$14,3,0)),0,P140*VLOOKUP($D140,Hypothèses!$D$6:$F$14,3,0))</f>
        <v>0</v>
      </c>
      <c r="AS140" s="1335">
        <f>IF(ISNA(Q140*VLOOKUP($D140,Hypothèses!$D$6:$F$14,3,0)),0,Q140*VLOOKUP($D140,Hypothèses!$D$6:$F$14,3,0))</f>
        <v>0</v>
      </c>
      <c r="AT140" s="1335">
        <f>IF(ISNA(R140*VLOOKUP($D140,Hypothèses!$D$6:$F$14,3,0)),0,R140*VLOOKUP($D140,Hypothèses!$D$6:$F$14,3,0))</f>
        <v>0</v>
      </c>
      <c r="AU140" s="1335">
        <f>IF(ISNA(S140*VLOOKUP($D140,Hypothèses!$D$6:$F$14,3,0)),0,S140*VLOOKUP($D140,Hypothèses!$D$6:$F$14,3,0))</f>
        <v>0</v>
      </c>
      <c r="AV140" s="1335">
        <f>IF(ISNA(T140*VLOOKUP($D140,Hypothèses!$D$6:$F$14,3,0)),0,T140*VLOOKUP($D140,Hypothèses!$D$6:$F$14,3,0))</f>
        <v>0</v>
      </c>
      <c r="AW140" s="1335">
        <f>IF(ISNA(U140*VLOOKUP($D140,Hypothèses!$D$6:$F$14,3,0)),0,U140*VLOOKUP($D140,Hypothèses!$D$6:$F$14,3,0))</f>
        <v>0</v>
      </c>
      <c r="AX140" s="1335">
        <f>IF(ISNA(V140*VLOOKUP($D140,Hypothèses!$D$6:$F$14,3,0)),0,V140*VLOOKUP($D140,Hypothèses!$D$6:$F$14,3,0))</f>
        <v>0</v>
      </c>
      <c r="AY140" s="1335">
        <f>IF(ISNA(W140*VLOOKUP($D140,Hypothèses!$D$6:$F$14,3,0)),0,W140*VLOOKUP($D140,Hypothèses!$D$6:$F$14,3,0))</f>
        <v>0</v>
      </c>
      <c r="AZ140" s="1335">
        <f>IF(ISNA(X140*VLOOKUP($D140,Hypothèses!$D$6:$F$14,3,0)),0,X140*VLOOKUP($D140,Hypothèses!$D$6:$F$14,3,0))</f>
        <v>0</v>
      </c>
      <c r="BA140" s="1335">
        <f>IF(ISNA(Y140*VLOOKUP($D140,Hypothèses!$D$6:$F$14,3,0)),0,Y140*VLOOKUP($D140,Hypothèses!$D$6:$F$14,3,0))</f>
        <v>0</v>
      </c>
      <c r="BB140" s="1335">
        <f>IF(ISNA(Z140*VLOOKUP($D140,Hypothèses!$D$6:$F$14,3,0)),0,Z140*VLOOKUP($D140,Hypothèses!$D$6:$F$14,3,0))</f>
        <v>0</v>
      </c>
      <c r="BC140" s="1335">
        <f>IF(ISNA(AA140*VLOOKUP($D140,Hypothèses!$D$6:$F$14,3,0)),0,AA140*VLOOKUP($D140,Hypothèses!$D$6:$F$14,3,0))</f>
        <v>0</v>
      </c>
      <c r="BD140" s="70"/>
      <c r="BE140" s="70"/>
      <c r="BF140" s="70"/>
      <c r="BG140" s="70"/>
      <c r="BH140" s="70"/>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c r="CF140" s="70"/>
      <c r="CG140" s="70"/>
      <c r="CH140" s="70"/>
      <c r="CI140" s="70"/>
      <c r="CJ140" s="70"/>
      <c r="CK140" s="70"/>
    </row>
    <row r="141" spans="1:89" s="3" customFormat="1">
      <c r="A141" s="1817">
        <v>134</v>
      </c>
      <c r="B141" s="1790"/>
      <c r="C141" s="1333"/>
      <c r="D141" s="1334"/>
      <c r="E141" s="1332" t="str">
        <f>IF(ISNA(VLOOKUP(D141,Hypothèses!$D$6:$G$16,4,0)),"",VLOOKUP(D141,Hypothèses!$D$6:$G$16,4,0))</f>
        <v/>
      </c>
      <c r="F141" s="1842"/>
      <c r="G141" s="1843"/>
      <c r="H141" s="1843"/>
      <c r="I141" s="1843"/>
      <c r="J141" s="1843"/>
      <c r="K141" s="1843"/>
      <c r="L141" s="1843"/>
      <c r="M141" s="1843"/>
      <c r="N141" s="1843"/>
      <c r="O141" s="1843"/>
      <c r="P141" s="1843"/>
      <c r="Q141" s="1843"/>
      <c r="R141" s="1843"/>
      <c r="S141" s="1843"/>
      <c r="T141" s="1843"/>
      <c r="U141" s="1843"/>
      <c r="V141" s="1843"/>
      <c r="W141" s="1843"/>
      <c r="X141" s="1843"/>
      <c r="Y141" s="1843"/>
      <c r="Z141" s="1843"/>
      <c r="AA141" s="1844"/>
      <c r="AB141" s="1335"/>
      <c r="AC141" s="1335"/>
      <c r="AD141" s="1335"/>
      <c r="AE141" s="1335"/>
      <c r="AF141" s="1335"/>
      <c r="AG141"/>
      <c r="AH141" s="1335">
        <f>IF(ISNA(F141*VLOOKUP($D141,Hypothèses!$D$6:$F$14,3,0)),0,F141*VLOOKUP($D141,Hypothèses!$D$6:$F$14,3,0))</f>
        <v>0</v>
      </c>
      <c r="AI141" s="1335">
        <f>IF(ISNA(G141*VLOOKUP($D141,Hypothèses!$D$6:$F$14,3,0)),0,G141*VLOOKUP($D141,Hypothèses!$D$6:$F$14,3,0))</f>
        <v>0</v>
      </c>
      <c r="AJ141" s="1335">
        <f>IF(ISNA(H141*VLOOKUP($D141,Hypothèses!$D$6:$F$14,3,0)),0,H141*VLOOKUP($D141,Hypothèses!$D$6:$F$14,3,0))</f>
        <v>0</v>
      </c>
      <c r="AK141" s="1335">
        <f>IF(ISNA(I141*VLOOKUP($D141,Hypothèses!$D$6:$F$14,3,0)),0,I141*VLOOKUP($D141,Hypothèses!$D$6:$F$14,3,0))</f>
        <v>0</v>
      </c>
      <c r="AL141" s="1335">
        <f>IF(ISNA(J141*VLOOKUP($D141,Hypothèses!$D$6:$F$14,3,0)),0,J141*VLOOKUP($D141,Hypothèses!$D$6:$F$14,3,0))</f>
        <v>0</v>
      </c>
      <c r="AM141" s="1335">
        <f>IF(ISNA(K141*VLOOKUP($D141,Hypothèses!$D$6:$F$14,3,0)),0,K141*VLOOKUP($D141,Hypothèses!$D$6:$F$14,3,0))</f>
        <v>0</v>
      </c>
      <c r="AN141" s="1335">
        <f>IF(ISNA(L141*VLOOKUP($D141,Hypothèses!$D$6:$F$14,3,0)),0,L141*VLOOKUP($D141,Hypothèses!$D$6:$F$14,3,0))</f>
        <v>0</v>
      </c>
      <c r="AO141" s="1335">
        <f>IF(ISNA(M141*VLOOKUP($D141,Hypothèses!$D$6:$F$14,3,0)),0,M141*VLOOKUP($D141,Hypothèses!$D$6:$F$14,3,0))</f>
        <v>0</v>
      </c>
      <c r="AP141" s="1335">
        <f>IF(ISNA(N141*VLOOKUP($D141,Hypothèses!$D$6:$F$14,3,0)),0,N141*VLOOKUP($D141,Hypothèses!$D$6:$F$14,3,0))</f>
        <v>0</v>
      </c>
      <c r="AQ141" s="1335">
        <f>IF(ISNA(O141*VLOOKUP($D141,Hypothèses!$D$6:$F$14,3,0)),0,O141*VLOOKUP($D141,Hypothèses!$D$6:$F$14,3,0))</f>
        <v>0</v>
      </c>
      <c r="AR141" s="1335">
        <f>IF(ISNA(P141*VLOOKUP($D141,Hypothèses!$D$6:$F$14,3,0)),0,P141*VLOOKUP($D141,Hypothèses!$D$6:$F$14,3,0))</f>
        <v>0</v>
      </c>
      <c r="AS141" s="1335">
        <f>IF(ISNA(Q141*VLOOKUP($D141,Hypothèses!$D$6:$F$14,3,0)),0,Q141*VLOOKUP($D141,Hypothèses!$D$6:$F$14,3,0))</f>
        <v>0</v>
      </c>
      <c r="AT141" s="1335">
        <f>IF(ISNA(R141*VLOOKUP($D141,Hypothèses!$D$6:$F$14,3,0)),0,R141*VLOOKUP($D141,Hypothèses!$D$6:$F$14,3,0))</f>
        <v>0</v>
      </c>
      <c r="AU141" s="1335">
        <f>IF(ISNA(S141*VLOOKUP($D141,Hypothèses!$D$6:$F$14,3,0)),0,S141*VLOOKUP($D141,Hypothèses!$D$6:$F$14,3,0))</f>
        <v>0</v>
      </c>
      <c r="AV141" s="1335">
        <f>IF(ISNA(T141*VLOOKUP($D141,Hypothèses!$D$6:$F$14,3,0)),0,T141*VLOOKUP($D141,Hypothèses!$D$6:$F$14,3,0))</f>
        <v>0</v>
      </c>
      <c r="AW141" s="1335">
        <f>IF(ISNA(U141*VLOOKUP($D141,Hypothèses!$D$6:$F$14,3,0)),0,U141*VLOOKUP($D141,Hypothèses!$D$6:$F$14,3,0))</f>
        <v>0</v>
      </c>
      <c r="AX141" s="1335">
        <f>IF(ISNA(V141*VLOOKUP($D141,Hypothèses!$D$6:$F$14,3,0)),0,V141*VLOOKUP($D141,Hypothèses!$D$6:$F$14,3,0))</f>
        <v>0</v>
      </c>
      <c r="AY141" s="1335">
        <f>IF(ISNA(W141*VLOOKUP($D141,Hypothèses!$D$6:$F$14,3,0)),0,W141*VLOOKUP($D141,Hypothèses!$D$6:$F$14,3,0))</f>
        <v>0</v>
      </c>
      <c r="AZ141" s="1335">
        <f>IF(ISNA(X141*VLOOKUP($D141,Hypothèses!$D$6:$F$14,3,0)),0,X141*VLOOKUP($D141,Hypothèses!$D$6:$F$14,3,0))</f>
        <v>0</v>
      </c>
      <c r="BA141" s="1335">
        <f>IF(ISNA(Y141*VLOOKUP($D141,Hypothèses!$D$6:$F$14,3,0)),0,Y141*VLOOKUP($D141,Hypothèses!$D$6:$F$14,3,0))</f>
        <v>0</v>
      </c>
      <c r="BB141" s="1335">
        <f>IF(ISNA(Z141*VLOOKUP($D141,Hypothèses!$D$6:$F$14,3,0)),0,Z141*VLOOKUP($D141,Hypothèses!$D$6:$F$14,3,0))</f>
        <v>0</v>
      </c>
      <c r="BC141" s="1335">
        <f>IF(ISNA(AA141*VLOOKUP($D141,Hypothèses!$D$6:$F$14,3,0)),0,AA141*VLOOKUP($D141,Hypothèses!$D$6:$F$14,3,0))</f>
        <v>0</v>
      </c>
      <c r="BD141" s="70"/>
      <c r="BE141" s="70"/>
      <c r="BF141" s="70"/>
      <c r="BG141" s="70"/>
      <c r="BH141" s="70"/>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c r="CF141" s="70"/>
      <c r="CG141" s="70"/>
      <c r="CH141" s="70"/>
      <c r="CI141" s="70"/>
      <c r="CJ141" s="70"/>
      <c r="CK141" s="70"/>
    </row>
    <row r="142" spans="1:89" s="3" customFormat="1">
      <c r="A142" s="1817">
        <v>135</v>
      </c>
      <c r="B142" s="1790"/>
      <c r="C142" s="1333"/>
      <c r="D142" s="1334"/>
      <c r="E142" s="1332" t="str">
        <f>IF(ISNA(VLOOKUP(D142,Hypothèses!$D$6:$G$16,4,0)),"",VLOOKUP(D142,Hypothèses!$D$6:$G$16,4,0))</f>
        <v/>
      </c>
      <c r="F142" s="1842"/>
      <c r="G142" s="1843"/>
      <c r="H142" s="1843"/>
      <c r="I142" s="1843"/>
      <c r="J142" s="1843"/>
      <c r="K142" s="1843"/>
      <c r="L142" s="1843"/>
      <c r="M142" s="1843"/>
      <c r="N142" s="1843"/>
      <c r="O142" s="1843"/>
      <c r="P142" s="1843"/>
      <c r="Q142" s="1843"/>
      <c r="R142" s="1843"/>
      <c r="S142" s="1843"/>
      <c r="T142" s="1843"/>
      <c r="U142" s="1843"/>
      <c r="V142" s="1843"/>
      <c r="W142" s="1843"/>
      <c r="X142" s="1843"/>
      <c r="Y142" s="1843"/>
      <c r="Z142" s="1843"/>
      <c r="AA142" s="1844"/>
      <c r="AB142" s="1335"/>
      <c r="AC142" s="1335"/>
      <c r="AD142" s="1335"/>
      <c r="AE142" s="1335"/>
      <c r="AF142" s="1335"/>
      <c r="AG142"/>
      <c r="AH142" s="1335">
        <f>IF(ISNA(F142*VLOOKUP($D142,Hypothèses!$D$6:$F$14,3,0)),0,F142*VLOOKUP($D142,Hypothèses!$D$6:$F$14,3,0))</f>
        <v>0</v>
      </c>
      <c r="AI142" s="1335">
        <f>IF(ISNA(G142*VLOOKUP($D142,Hypothèses!$D$6:$F$14,3,0)),0,G142*VLOOKUP($D142,Hypothèses!$D$6:$F$14,3,0))</f>
        <v>0</v>
      </c>
      <c r="AJ142" s="1335">
        <f>IF(ISNA(H142*VLOOKUP($D142,Hypothèses!$D$6:$F$14,3,0)),0,H142*VLOOKUP($D142,Hypothèses!$D$6:$F$14,3,0))</f>
        <v>0</v>
      </c>
      <c r="AK142" s="1335">
        <f>IF(ISNA(I142*VLOOKUP($D142,Hypothèses!$D$6:$F$14,3,0)),0,I142*VLOOKUP($D142,Hypothèses!$D$6:$F$14,3,0))</f>
        <v>0</v>
      </c>
      <c r="AL142" s="1335">
        <f>IF(ISNA(J142*VLOOKUP($D142,Hypothèses!$D$6:$F$14,3,0)),0,J142*VLOOKUP($D142,Hypothèses!$D$6:$F$14,3,0))</f>
        <v>0</v>
      </c>
      <c r="AM142" s="1335">
        <f>IF(ISNA(K142*VLOOKUP($D142,Hypothèses!$D$6:$F$14,3,0)),0,K142*VLOOKUP($D142,Hypothèses!$D$6:$F$14,3,0))</f>
        <v>0</v>
      </c>
      <c r="AN142" s="1335">
        <f>IF(ISNA(L142*VLOOKUP($D142,Hypothèses!$D$6:$F$14,3,0)),0,L142*VLOOKUP($D142,Hypothèses!$D$6:$F$14,3,0))</f>
        <v>0</v>
      </c>
      <c r="AO142" s="1335">
        <f>IF(ISNA(M142*VLOOKUP($D142,Hypothèses!$D$6:$F$14,3,0)),0,M142*VLOOKUP($D142,Hypothèses!$D$6:$F$14,3,0))</f>
        <v>0</v>
      </c>
      <c r="AP142" s="1335">
        <f>IF(ISNA(N142*VLOOKUP($D142,Hypothèses!$D$6:$F$14,3,0)),0,N142*VLOOKUP($D142,Hypothèses!$D$6:$F$14,3,0))</f>
        <v>0</v>
      </c>
      <c r="AQ142" s="1335">
        <f>IF(ISNA(O142*VLOOKUP($D142,Hypothèses!$D$6:$F$14,3,0)),0,O142*VLOOKUP($D142,Hypothèses!$D$6:$F$14,3,0))</f>
        <v>0</v>
      </c>
      <c r="AR142" s="1335">
        <f>IF(ISNA(P142*VLOOKUP($D142,Hypothèses!$D$6:$F$14,3,0)),0,P142*VLOOKUP($D142,Hypothèses!$D$6:$F$14,3,0))</f>
        <v>0</v>
      </c>
      <c r="AS142" s="1335">
        <f>IF(ISNA(Q142*VLOOKUP($D142,Hypothèses!$D$6:$F$14,3,0)),0,Q142*VLOOKUP($D142,Hypothèses!$D$6:$F$14,3,0))</f>
        <v>0</v>
      </c>
      <c r="AT142" s="1335">
        <f>IF(ISNA(R142*VLOOKUP($D142,Hypothèses!$D$6:$F$14,3,0)),0,R142*VLOOKUP($D142,Hypothèses!$D$6:$F$14,3,0))</f>
        <v>0</v>
      </c>
      <c r="AU142" s="1335">
        <f>IF(ISNA(S142*VLOOKUP($D142,Hypothèses!$D$6:$F$14,3,0)),0,S142*VLOOKUP($D142,Hypothèses!$D$6:$F$14,3,0))</f>
        <v>0</v>
      </c>
      <c r="AV142" s="1335">
        <f>IF(ISNA(T142*VLOOKUP($D142,Hypothèses!$D$6:$F$14,3,0)),0,T142*VLOOKUP($D142,Hypothèses!$D$6:$F$14,3,0))</f>
        <v>0</v>
      </c>
      <c r="AW142" s="1335">
        <f>IF(ISNA(U142*VLOOKUP($D142,Hypothèses!$D$6:$F$14,3,0)),0,U142*VLOOKUP($D142,Hypothèses!$D$6:$F$14,3,0))</f>
        <v>0</v>
      </c>
      <c r="AX142" s="1335">
        <f>IF(ISNA(V142*VLOOKUP($D142,Hypothèses!$D$6:$F$14,3,0)),0,V142*VLOOKUP($D142,Hypothèses!$D$6:$F$14,3,0))</f>
        <v>0</v>
      </c>
      <c r="AY142" s="1335">
        <f>IF(ISNA(W142*VLOOKUP($D142,Hypothèses!$D$6:$F$14,3,0)),0,W142*VLOOKUP($D142,Hypothèses!$D$6:$F$14,3,0))</f>
        <v>0</v>
      </c>
      <c r="AZ142" s="1335">
        <f>IF(ISNA(X142*VLOOKUP($D142,Hypothèses!$D$6:$F$14,3,0)),0,X142*VLOOKUP($D142,Hypothèses!$D$6:$F$14,3,0))</f>
        <v>0</v>
      </c>
      <c r="BA142" s="1335">
        <f>IF(ISNA(Y142*VLOOKUP($D142,Hypothèses!$D$6:$F$14,3,0)),0,Y142*VLOOKUP($D142,Hypothèses!$D$6:$F$14,3,0))</f>
        <v>0</v>
      </c>
      <c r="BB142" s="1335">
        <f>IF(ISNA(Z142*VLOOKUP($D142,Hypothèses!$D$6:$F$14,3,0)),0,Z142*VLOOKUP($D142,Hypothèses!$D$6:$F$14,3,0))</f>
        <v>0</v>
      </c>
      <c r="BC142" s="1335">
        <f>IF(ISNA(AA142*VLOOKUP($D142,Hypothèses!$D$6:$F$14,3,0)),0,AA142*VLOOKUP($D142,Hypothèses!$D$6:$F$14,3,0))</f>
        <v>0</v>
      </c>
      <c r="BD142" s="70"/>
      <c r="BE142" s="70"/>
      <c r="BF142" s="70"/>
      <c r="BG142" s="70"/>
      <c r="BH142" s="70"/>
      <c r="BI142" s="70"/>
      <c r="BJ142" s="70"/>
      <c r="BK142" s="70"/>
      <c r="BL142" s="70"/>
      <c r="BM142" s="70"/>
      <c r="BN142" s="70"/>
      <c r="BO142" s="70"/>
      <c r="BP142" s="70"/>
      <c r="BQ142" s="70"/>
      <c r="BR142" s="70"/>
      <c r="BS142" s="70"/>
      <c r="BT142" s="70"/>
      <c r="BU142" s="70"/>
      <c r="BV142" s="70"/>
      <c r="BW142" s="70"/>
      <c r="BX142" s="70"/>
      <c r="BY142" s="70"/>
      <c r="BZ142" s="70"/>
      <c r="CA142" s="70"/>
      <c r="CB142" s="70"/>
      <c r="CC142" s="70"/>
      <c r="CD142" s="70"/>
      <c r="CE142" s="70"/>
      <c r="CF142" s="70"/>
      <c r="CG142" s="70"/>
      <c r="CH142" s="70"/>
      <c r="CI142" s="70"/>
      <c r="CJ142" s="70"/>
      <c r="CK142" s="70"/>
    </row>
    <row r="143" spans="1:89" s="3" customFormat="1">
      <c r="A143" s="1817">
        <v>136</v>
      </c>
      <c r="B143" s="1790"/>
      <c r="C143" s="1333"/>
      <c r="D143" s="1334"/>
      <c r="E143" s="1332" t="str">
        <f>IF(ISNA(VLOOKUP(D143,Hypothèses!$D$6:$G$16,4,0)),"",VLOOKUP(D143,Hypothèses!$D$6:$G$16,4,0))</f>
        <v/>
      </c>
      <c r="F143" s="1842"/>
      <c r="G143" s="1843"/>
      <c r="H143" s="1843"/>
      <c r="I143" s="1843"/>
      <c r="J143" s="1843"/>
      <c r="K143" s="1843"/>
      <c r="L143" s="1843"/>
      <c r="M143" s="1843"/>
      <c r="N143" s="1843"/>
      <c r="O143" s="1843"/>
      <c r="P143" s="1843"/>
      <c r="Q143" s="1843"/>
      <c r="R143" s="1843"/>
      <c r="S143" s="1843"/>
      <c r="T143" s="1843"/>
      <c r="U143" s="1843"/>
      <c r="V143" s="1843"/>
      <c r="W143" s="1843"/>
      <c r="X143" s="1843"/>
      <c r="Y143" s="1843"/>
      <c r="Z143" s="1843"/>
      <c r="AA143" s="1844"/>
      <c r="AB143" s="1335"/>
      <c r="AC143" s="1335"/>
      <c r="AD143" s="1335"/>
      <c r="AE143" s="1335"/>
      <c r="AF143" s="1335"/>
      <c r="AG143"/>
      <c r="AH143" s="1335">
        <f>IF(ISNA(F143*VLOOKUP($D143,Hypothèses!$D$6:$F$14,3,0)),0,F143*VLOOKUP($D143,Hypothèses!$D$6:$F$14,3,0))</f>
        <v>0</v>
      </c>
      <c r="AI143" s="1335">
        <f>IF(ISNA(G143*VLOOKUP($D143,Hypothèses!$D$6:$F$14,3,0)),0,G143*VLOOKUP($D143,Hypothèses!$D$6:$F$14,3,0))</f>
        <v>0</v>
      </c>
      <c r="AJ143" s="1335">
        <f>IF(ISNA(H143*VLOOKUP($D143,Hypothèses!$D$6:$F$14,3,0)),0,H143*VLOOKUP($D143,Hypothèses!$D$6:$F$14,3,0))</f>
        <v>0</v>
      </c>
      <c r="AK143" s="1335">
        <f>IF(ISNA(I143*VLOOKUP($D143,Hypothèses!$D$6:$F$14,3,0)),0,I143*VLOOKUP($D143,Hypothèses!$D$6:$F$14,3,0))</f>
        <v>0</v>
      </c>
      <c r="AL143" s="1335">
        <f>IF(ISNA(J143*VLOOKUP($D143,Hypothèses!$D$6:$F$14,3,0)),0,J143*VLOOKUP($D143,Hypothèses!$D$6:$F$14,3,0))</f>
        <v>0</v>
      </c>
      <c r="AM143" s="1335">
        <f>IF(ISNA(K143*VLOOKUP($D143,Hypothèses!$D$6:$F$14,3,0)),0,K143*VLOOKUP($D143,Hypothèses!$D$6:$F$14,3,0))</f>
        <v>0</v>
      </c>
      <c r="AN143" s="1335">
        <f>IF(ISNA(L143*VLOOKUP($D143,Hypothèses!$D$6:$F$14,3,0)),0,L143*VLOOKUP($D143,Hypothèses!$D$6:$F$14,3,0))</f>
        <v>0</v>
      </c>
      <c r="AO143" s="1335">
        <f>IF(ISNA(M143*VLOOKUP($D143,Hypothèses!$D$6:$F$14,3,0)),0,M143*VLOOKUP($D143,Hypothèses!$D$6:$F$14,3,0))</f>
        <v>0</v>
      </c>
      <c r="AP143" s="1335">
        <f>IF(ISNA(N143*VLOOKUP($D143,Hypothèses!$D$6:$F$14,3,0)),0,N143*VLOOKUP($D143,Hypothèses!$D$6:$F$14,3,0))</f>
        <v>0</v>
      </c>
      <c r="AQ143" s="1335">
        <f>IF(ISNA(O143*VLOOKUP($D143,Hypothèses!$D$6:$F$14,3,0)),0,O143*VLOOKUP($D143,Hypothèses!$D$6:$F$14,3,0))</f>
        <v>0</v>
      </c>
      <c r="AR143" s="1335">
        <f>IF(ISNA(P143*VLOOKUP($D143,Hypothèses!$D$6:$F$14,3,0)),0,P143*VLOOKUP($D143,Hypothèses!$D$6:$F$14,3,0))</f>
        <v>0</v>
      </c>
      <c r="AS143" s="1335">
        <f>IF(ISNA(Q143*VLOOKUP($D143,Hypothèses!$D$6:$F$14,3,0)),0,Q143*VLOOKUP($D143,Hypothèses!$D$6:$F$14,3,0))</f>
        <v>0</v>
      </c>
      <c r="AT143" s="1335">
        <f>IF(ISNA(R143*VLOOKUP($D143,Hypothèses!$D$6:$F$14,3,0)),0,R143*VLOOKUP($D143,Hypothèses!$D$6:$F$14,3,0))</f>
        <v>0</v>
      </c>
      <c r="AU143" s="1335">
        <f>IF(ISNA(S143*VLOOKUP($D143,Hypothèses!$D$6:$F$14,3,0)),0,S143*VLOOKUP($D143,Hypothèses!$D$6:$F$14,3,0))</f>
        <v>0</v>
      </c>
      <c r="AV143" s="1335">
        <f>IF(ISNA(T143*VLOOKUP($D143,Hypothèses!$D$6:$F$14,3,0)),0,T143*VLOOKUP($D143,Hypothèses!$D$6:$F$14,3,0))</f>
        <v>0</v>
      </c>
      <c r="AW143" s="1335">
        <f>IF(ISNA(U143*VLOOKUP($D143,Hypothèses!$D$6:$F$14,3,0)),0,U143*VLOOKUP($D143,Hypothèses!$D$6:$F$14,3,0))</f>
        <v>0</v>
      </c>
      <c r="AX143" s="1335">
        <f>IF(ISNA(V143*VLOOKUP($D143,Hypothèses!$D$6:$F$14,3,0)),0,V143*VLOOKUP($D143,Hypothèses!$D$6:$F$14,3,0))</f>
        <v>0</v>
      </c>
      <c r="AY143" s="1335">
        <f>IF(ISNA(W143*VLOOKUP($D143,Hypothèses!$D$6:$F$14,3,0)),0,W143*VLOOKUP($D143,Hypothèses!$D$6:$F$14,3,0))</f>
        <v>0</v>
      </c>
      <c r="AZ143" s="1335">
        <f>IF(ISNA(X143*VLOOKUP($D143,Hypothèses!$D$6:$F$14,3,0)),0,X143*VLOOKUP($D143,Hypothèses!$D$6:$F$14,3,0))</f>
        <v>0</v>
      </c>
      <c r="BA143" s="1335">
        <f>IF(ISNA(Y143*VLOOKUP($D143,Hypothèses!$D$6:$F$14,3,0)),0,Y143*VLOOKUP($D143,Hypothèses!$D$6:$F$14,3,0))</f>
        <v>0</v>
      </c>
      <c r="BB143" s="1335">
        <f>IF(ISNA(Z143*VLOOKUP($D143,Hypothèses!$D$6:$F$14,3,0)),0,Z143*VLOOKUP($D143,Hypothèses!$D$6:$F$14,3,0))</f>
        <v>0</v>
      </c>
      <c r="BC143" s="1335">
        <f>IF(ISNA(AA143*VLOOKUP($D143,Hypothèses!$D$6:$F$14,3,0)),0,AA143*VLOOKUP($D143,Hypothèses!$D$6:$F$14,3,0))</f>
        <v>0</v>
      </c>
      <c r="BD143" s="70"/>
      <c r="BE143" s="70"/>
      <c r="BF143" s="70"/>
      <c r="BG143" s="70"/>
      <c r="BH143" s="70"/>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row>
    <row r="144" spans="1:89" s="3" customFormat="1">
      <c r="A144" s="1817">
        <v>137</v>
      </c>
      <c r="B144" s="1790"/>
      <c r="C144" s="1333"/>
      <c r="D144" s="1334"/>
      <c r="E144" s="1332" t="str">
        <f>IF(ISNA(VLOOKUP(D144,Hypothèses!$D$6:$G$16,4,0)),"",VLOOKUP(D144,Hypothèses!$D$6:$G$16,4,0))</f>
        <v/>
      </c>
      <c r="F144" s="1842"/>
      <c r="G144" s="1843"/>
      <c r="H144" s="1843"/>
      <c r="I144" s="1843"/>
      <c r="J144" s="1843"/>
      <c r="K144" s="1843"/>
      <c r="L144" s="1843"/>
      <c r="M144" s="1843"/>
      <c r="N144" s="1843"/>
      <c r="O144" s="1843"/>
      <c r="P144" s="1843"/>
      <c r="Q144" s="1843"/>
      <c r="R144" s="1843"/>
      <c r="S144" s="1843"/>
      <c r="T144" s="1843"/>
      <c r="U144" s="1843"/>
      <c r="V144" s="1843"/>
      <c r="W144" s="1843"/>
      <c r="X144" s="1843"/>
      <c r="Y144" s="1843"/>
      <c r="Z144" s="1843"/>
      <c r="AA144" s="1844"/>
      <c r="AB144" s="1335"/>
      <c r="AC144" s="1335"/>
      <c r="AD144" s="1335"/>
      <c r="AE144" s="1335"/>
      <c r="AF144" s="1335"/>
      <c r="AG144"/>
      <c r="AH144" s="1335">
        <f>IF(ISNA(F144*VLOOKUP($D144,Hypothèses!$D$6:$F$14,3,0)),0,F144*VLOOKUP($D144,Hypothèses!$D$6:$F$14,3,0))</f>
        <v>0</v>
      </c>
      <c r="AI144" s="1335">
        <f>IF(ISNA(G144*VLOOKUP($D144,Hypothèses!$D$6:$F$14,3,0)),0,G144*VLOOKUP($D144,Hypothèses!$D$6:$F$14,3,0))</f>
        <v>0</v>
      </c>
      <c r="AJ144" s="1335">
        <f>IF(ISNA(H144*VLOOKUP($D144,Hypothèses!$D$6:$F$14,3,0)),0,H144*VLOOKUP($D144,Hypothèses!$D$6:$F$14,3,0))</f>
        <v>0</v>
      </c>
      <c r="AK144" s="1335">
        <f>IF(ISNA(I144*VLOOKUP($D144,Hypothèses!$D$6:$F$14,3,0)),0,I144*VLOOKUP($D144,Hypothèses!$D$6:$F$14,3,0))</f>
        <v>0</v>
      </c>
      <c r="AL144" s="1335">
        <f>IF(ISNA(J144*VLOOKUP($D144,Hypothèses!$D$6:$F$14,3,0)),0,J144*VLOOKUP($D144,Hypothèses!$D$6:$F$14,3,0))</f>
        <v>0</v>
      </c>
      <c r="AM144" s="1335">
        <f>IF(ISNA(K144*VLOOKUP($D144,Hypothèses!$D$6:$F$14,3,0)),0,K144*VLOOKUP($D144,Hypothèses!$D$6:$F$14,3,0))</f>
        <v>0</v>
      </c>
      <c r="AN144" s="1335">
        <f>IF(ISNA(L144*VLOOKUP($D144,Hypothèses!$D$6:$F$14,3,0)),0,L144*VLOOKUP($D144,Hypothèses!$D$6:$F$14,3,0))</f>
        <v>0</v>
      </c>
      <c r="AO144" s="1335">
        <f>IF(ISNA(M144*VLOOKUP($D144,Hypothèses!$D$6:$F$14,3,0)),0,M144*VLOOKUP($D144,Hypothèses!$D$6:$F$14,3,0))</f>
        <v>0</v>
      </c>
      <c r="AP144" s="1335">
        <f>IF(ISNA(N144*VLOOKUP($D144,Hypothèses!$D$6:$F$14,3,0)),0,N144*VLOOKUP($D144,Hypothèses!$D$6:$F$14,3,0))</f>
        <v>0</v>
      </c>
      <c r="AQ144" s="1335">
        <f>IF(ISNA(O144*VLOOKUP($D144,Hypothèses!$D$6:$F$14,3,0)),0,O144*VLOOKUP($D144,Hypothèses!$D$6:$F$14,3,0))</f>
        <v>0</v>
      </c>
      <c r="AR144" s="1335">
        <f>IF(ISNA(P144*VLOOKUP($D144,Hypothèses!$D$6:$F$14,3,0)),0,P144*VLOOKUP($D144,Hypothèses!$D$6:$F$14,3,0))</f>
        <v>0</v>
      </c>
      <c r="AS144" s="1335">
        <f>IF(ISNA(Q144*VLOOKUP($D144,Hypothèses!$D$6:$F$14,3,0)),0,Q144*VLOOKUP($D144,Hypothèses!$D$6:$F$14,3,0))</f>
        <v>0</v>
      </c>
      <c r="AT144" s="1335">
        <f>IF(ISNA(R144*VLOOKUP($D144,Hypothèses!$D$6:$F$14,3,0)),0,R144*VLOOKUP($D144,Hypothèses!$D$6:$F$14,3,0))</f>
        <v>0</v>
      </c>
      <c r="AU144" s="1335">
        <f>IF(ISNA(S144*VLOOKUP($D144,Hypothèses!$D$6:$F$14,3,0)),0,S144*VLOOKUP($D144,Hypothèses!$D$6:$F$14,3,0))</f>
        <v>0</v>
      </c>
      <c r="AV144" s="1335">
        <f>IF(ISNA(T144*VLOOKUP($D144,Hypothèses!$D$6:$F$14,3,0)),0,T144*VLOOKUP($D144,Hypothèses!$D$6:$F$14,3,0))</f>
        <v>0</v>
      </c>
      <c r="AW144" s="1335">
        <f>IF(ISNA(U144*VLOOKUP($D144,Hypothèses!$D$6:$F$14,3,0)),0,U144*VLOOKUP($D144,Hypothèses!$D$6:$F$14,3,0))</f>
        <v>0</v>
      </c>
      <c r="AX144" s="1335">
        <f>IF(ISNA(V144*VLOOKUP($D144,Hypothèses!$D$6:$F$14,3,0)),0,V144*VLOOKUP($D144,Hypothèses!$D$6:$F$14,3,0))</f>
        <v>0</v>
      </c>
      <c r="AY144" s="1335">
        <f>IF(ISNA(W144*VLOOKUP($D144,Hypothèses!$D$6:$F$14,3,0)),0,W144*VLOOKUP($D144,Hypothèses!$D$6:$F$14,3,0))</f>
        <v>0</v>
      </c>
      <c r="AZ144" s="1335">
        <f>IF(ISNA(X144*VLOOKUP($D144,Hypothèses!$D$6:$F$14,3,0)),0,X144*VLOOKUP($D144,Hypothèses!$D$6:$F$14,3,0))</f>
        <v>0</v>
      </c>
      <c r="BA144" s="1335">
        <f>IF(ISNA(Y144*VLOOKUP($D144,Hypothèses!$D$6:$F$14,3,0)),0,Y144*VLOOKUP($D144,Hypothèses!$D$6:$F$14,3,0))</f>
        <v>0</v>
      </c>
      <c r="BB144" s="1335">
        <f>IF(ISNA(Z144*VLOOKUP($D144,Hypothèses!$D$6:$F$14,3,0)),0,Z144*VLOOKUP($D144,Hypothèses!$D$6:$F$14,3,0))</f>
        <v>0</v>
      </c>
      <c r="BC144" s="1335">
        <f>IF(ISNA(AA144*VLOOKUP($D144,Hypothèses!$D$6:$F$14,3,0)),0,AA144*VLOOKUP($D144,Hypothèses!$D$6:$F$14,3,0))</f>
        <v>0</v>
      </c>
      <c r="BD144" s="70"/>
      <c r="BE144" s="70"/>
      <c r="BF144" s="70"/>
      <c r="BG144" s="70"/>
      <c r="BH144" s="70"/>
      <c r="BI144" s="70"/>
      <c r="BJ144" s="70"/>
      <c r="BK144" s="70"/>
      <c r="BL144" s="70"/>
      <c r="BM144" s="70"/>
      <c r="BN144" s="70"/>
      <c r="BO144" s="70"/>
      <c r="BP144" s="70"/>
      <c r="BQ144" s="70"/>
      <c r="BR144" s="70"/>
      <c r="BS144" s="70"/>
      <c r="BT144" s="70"/>
      <c r="BU144" s="70"/>
      <c r="BV144" s="70"/>
      <c r="BW144" s="70"/>
      <c r="BX144" s="70"/>
      <c r="BY144" s="70"/>
      <c r="BZ144" s="70"/>
      <c r="CA144" s="70"/>
      <c r="CB144" s="70"/>
      <c r="CC144" s="70"/>
      <c r="CD144" s="70"/>
      <c r="CE144" s="70"/>
      <c r="CF144" s="70"/>
      <c r="CG144" s="70"/>
      <c r="CH144" s="70"/>
      <c r="CI144" s="70"/>
      <c r="CJ144" s="70"/>
      <c r="CK144" s="70"/>
    </row>
    <row r="145" spans="1:89" s="3" customFormat="1">
      <c r="A145" s="1817">
        <v>138</v>
      </c>
      <c r="B145" s="1790"/>
      <c r="C145" s="1333"/>
      <c r="D145" s="1334"/>
      <c r="E145" s="1332" t="str">
        <f>IF(ISNA(VLOOKUP(D145,Hypothèses!$D$6:$G$16,4,0)),"",VLOOKUP(D145,Hypothèses!$D$6:$G$16,4,0))</f>
        <v/>
      </c>
      <c r="F145" s="1842"/>
      <c r="G145" s="1843"/>
      <c r="H145" s="1843"/>
      <c r="I145" s="1843"/>
      <c r="J145" s="1843"/>
      <c r="K145" s="1843"/>
      <c r="L145" s="1843"/>
      <c r="M145" s="1843"/>
      <c r="N145" s="1843"/>
      <c r="O145" s="1843"/>
      <c r="P145" s="1843"/>
      <c r="Q145" s="1843"/>
      <c r="R145" s="1843"/>
      <c r="S145" s="1843"/>
      <c r="T145" s="1843"/>
      <c r="U145" s="1843"/>
      <c r="V145" s="1843"/>
      <c r="W145" s="1843"/>
      <c r="X145" s="1843"/>
      <c r="Y145" s="1843"/>
      <c r="Z145" s="1843"/>
      <c r="AA145" s="1844"/>
      <c r="AB145" s="1335"/>
      <c r="AC145" s="1335"/>
      <c r="AD145" s="1335"/>
      <c r="AE145" s="1335"/>
      <c r="AF145" s="1335"/>
      <c r="AG145"/>
      <c r="AH145" s="1335">
        <f>IF(ISNA(F145*VLOOKUP($D145,Hypothèses!$D$6:$F$14,3,0)),0,F145*VLOOKUP($D145,Hypothèses!$D$6:$F$14,3,0))</f>
        <v>0</v>
      </c>
      <c r="AI145" s="1335">
        <f>IF(ISNA(G145*VLOOKUP($D145,Hypothèses!$D$6:$F$14,3,0)),0,G145*VLOOKUP($D145,Hypothèses!$D$6:$F$14,3,0))</f>
        <v>0</v>
      </c>
      <c r="AJ145" s="1335">
        <f>IF(ISNA(H145*VLOOKUP($D145,Hypothèses!$D$6:$F$14,3,0)),0,H145*VLOOKUP($D145,Hypothèses!$D$6:$F$14,3,0))</f>
        <v>0</v>
      </c>
      <c r="AK145" s="1335">
        <f>IF(ISNA(I145*VLOOKUP($D145,Hypothèses!$D$6:$F$14,3,0)),0,I145*VLOOKUP($D145,Hypothèses!$D$6:$F$14,3,0))</f>
        <v>0</v>
      </c>
      <c r="AL145" s="1335">
        <f>IF(ISNA(J145*VLOOKUP($D145,Hypothèses!$D$6:$F$14,3,0)),0,J145*VLOOKUP($D145,Hypothèses!$D$6:$F$14,3,0))</f>
        <v>0</v>
      </c>
      <c r="AM145" s="1335">
        <f>IF(ISNA(K145*VLOOKUP($D145,Hypothèses!$D$6:$F$14,3,0)),0,K145*VLOOKUP($D145,Hypothèses!$D$6:$F$14,3,0))</f>
        <v>0</v>
      </c>
      <c r="AN145" s="1335">
        <f>IF(ISNA(L145*VLOOKUP($D145,Hypothèses!$D$6:$F$14,3,0)),0,L145*VLOOKUP($D145,Hypothèses!$D$6:$F$14,3,0))</f>
        <v>0</v>
      </c>
      <c r="AO145" s="1335">
        <f>IF(ISNA(M145*VLOOKUP($D145,Hypothèses!$D$6:$F$14,3,0)),0,M145*VLOOKUP($D145,Hypothèses!$D$6:$F$14,3,0))</f>
        <v>0</v>
      </c>
      <c r="AP145" s="1335">
        <f>IF(ISNA(N145*VLOOKUP($D145,Hypothèses!$D$6:$F$14,3,0)),0,N145*VLOOKUP($D145,Hypothèses!$D$6:$F$14,3,0))</f>
        <v>0</v>
      </c>
      <c r="AQ145" s="1335">
        <f>IF(ISNA(O145*VLOOKUP($D145,Hypothèses!$D$6:$F$14,3,0)),0,O145*VLOOKUP($D145,Hypothèses!$D$6:$F$14,3,0))</f>
        <v>0</v>
      </c>
      <c r="AR145" s="1335">
        <f>IF(ISNA(P145*VLOOKUP($D145,Hypothèses!$D$6:$F$14,3,0)),0,P145*VLOOKUP($D145,Hypothèses!$D$6:$F$14,3,0))</f>
        <v>0</v>
      </c>
      <c r="AS145" s="1335">
        <f>IF(ISNA(Q145*VLOOKUP($D145,Hypothèses!$D$6:$F$14,3,0)),0,Q145*VLOOKUP($D145,Hypothèses!$D$6:$F$14,3,0))</f>
        <v>0</v>
      </c>
      <c r="AT145" s="1335">
        <f>IF(ISNA(R145*VLOOKUP($D145,Hypothèses!$D$6:$F$14,3,0)),0,R145*VLOOKUP($D145,Hypothèses!$D$6:$F$14,3,0))</f>
        <v>0</v>
      </c>
      <c r="AU145" s="1335">
        <f>IF(ISNA(S145*VLOOKUP($D145,Hypothèses!$D$6:$F$14,3,0)),0,S145*VLOOKUP($D145,Hypothèses!$D$6:$F$14,3,0))</f>
        <v>0</v>
      </c>
      <c r="AV145" s="1335">
        <f>IF(ISNA(T145*VLOOKUP($D145,Hypothèses!$D$6:$F$14,3,0)),0,T145*VLOOKUP($D145,Hypothèses!$D$6:$F$14,3,0))</f>
        <v>0</v>
      </c>
      <c r="AW145" s="1335">
        <f>IF(ISNA(U145*VLOOKUP($D145,Hypothèses!$D$6:$F$14,3,0)),0,U145*VLOOKUP($D145,Hypothèses!$D$6:$F$14,3,0))</f>
        <v>0</v>
      </c>
      <c r="AX145" s="1335">
        <f>IF(ISNA(V145*VLOOKUP($D145,Hypothèses!$D$6:$F$14,3,0)),0,V145*VLOOKUP($D145,Hypothèses!$D$6:$F$14,3,0))</f>
        <v>0</v>
      </c>
      <c r="AY145" s="1335">
        <f>IF(ISNA(W145*VLOOKUP($D145,Hypothèses!$D$6:$F$14,3,0)),0,W145*VLOOKUP($D145,Hypothèses!$D$6:$F$14,3,0))</f>
        <v>0</v>
      </c>
      <c r="AZ145" s="1335">
        <f>IF(ISNA(X145*VLOOKUP($D145,Hypothèses!$D$6:$F$14,3,0)),0,X145*VLOOKUP($D145,Hypothèses!$D$6:$F$14,3,0))</f>
        <v>0</v>
      </c>
      <c r="BA145" s="1335">
        <f>IF(ISNA(Y145*VLOOKUP($D145,Hypothèses!$D$6:$F$14,3,0)),0,Y145*VLOOKUP($D145,Hypothèses!$D$6:$F$14,3,0))</f>
        <v>0</v>
      </c>
      <c r="BB145" s="1335">
        <f>IF(ISNA(Z145*VLOOKUP($D145,Hypothèses!$D$6:$F$14,3,0)),0,Z145*VLOOKUP($D145,Hypothèses!$D$6:$F$14,3,0))</f>
        <v>0</v>
      </c>
      <c r="BC145" s="1335">
        <f>IF(ISNA(AA145*VLOOKUP($D145,Hypothèses!$D$6:$F$14,3,0)),0,AA145*VLOOKUP($D145,Hypothèses!$D$6:$F$14,3,0))</f>
        <v>0</v>
      </c>
      <c r="BD145" s="70"/>
      <c r="BE145" s="70"/>
      <c r="BF145" s="70"/>
      <c r="BG145" s="70"/>
      <c r="BH145" s="70"/>
      <c r="BI145" s="70"/>
      <c r="BJ145" s="70"/>
      <c r="BK145" s="70"/>
      <c r="BL145" s="70"/>
      <c r="BM145" s="70"/>
      <c r="BN145" s="70"/>
      <c r="BO145" s="70"/>
      <c r="BP145" s="70"/>
      <c r="BQ145" s="70"/>
      <c r="BR145" s="70"/>
      <c r="BS145" s="70"/>
      <c r="BT145" s="70"/>
      <c r="BU145" s="70"/>
      <c r="BV145" s="70"/>
      <c r="BW145" s="70"/>
      <c r="BX145" s="70"/>
      <c r="BY145" s="70"/>
      <c r="BZ145" s="70"/>
      <c r="CA145" s="70"/>
      <c r="CB145" s="70"/>
      <c r="CC145" s="70"/>
      <c r="CD145" s="70"/>
      <c r="CE145" s="70"/>
      <c r="CF145" s="70"/>
      <c r="CG145" s="70"/>
      <c r="CH145" s="70"/>
      <c r="CI145" s="70"/>
      <c r="CJ145" s="70"/>
      <c r="CK145" s="70"/>
    </row>
    <row r="146" spans="1:89" s="3" customFormat="1">
      <c r="A146" s="1817">
        <v>139</v>
      </c>
      <c r="B146" s="1790"/>
      <c r="C146" s="1333"/>
      <c r="D146" s="1334"/>
      <c r="E146" s="1332" t="str">
        <f>IF(ISNA(VLOOKUP(D146,Hypothèses!$D$6:$G$16,4,0)),"",VLOOKUP(D146,Hypothèses!$D$6:$G$16,4,0))</f>
        <v/>
      </c>
      <c r="F146" s="1842"/>
      <c r="G146" s="1843"/>
      <c r="H146" s="1843"/>
      <c r="I146" s="1843"/>
      <c r="J146" s="1843"/>
      <c r="K146" s="1843"/>
      <c r="L146" s="1843"/>
      <c r="M146" s="1843"/>
      <c r="N146" s="1843"/>
      <c r="O146" s="1843"/>
      <c r="P146" s="1843"/>
      <c r="Q146" s="1843"/>
      <c r="R146" s="1843"/>
      <c r="S146" s="1843"/>
      <c r="T146" s="1843"/>
      <c r="U146" s="1843"/>
      <c r="V146" s="1843"/>
      <c r="W146" s="1843"/>
      <c r="X146" s="1843"/>
      <c r="Y146" s="1843"/>
      <c r="Z146" s="1843"/>
      <c r="AA146" s="1844"/>
      <c r="AB146" s="1335"/>
      <c r="AC146" s="1335"/>
      <c r="AD146" s="1335"/>
      <c r="AE146" s="1335"/>
      <c r="AF146" s="1335"/>
      <c r="AG146"/>
      <c r="AH146" s="1335">
        <f>IF(ISNA(F146*VLOOKUP($D146,Hypothèses!$D$6:$F$14,3,0)),0,F146*VLOOKUP($D146,Hypothèses!$D$6:$F$14,3,0))</f>
        <v>0</v>
      </c>
      <c r="AI146" s="1335">
        <f>IF(ISNA(G146*VLOOKUP($D146,Hypothèses!$D$6:$F$14,3,0)),0,G146*VLOOKUP($D146,Hypothèses!$D$6:$F$14,3,0))</f>
        <v>0</v>
      </c>
      <c r="AJ146" s="1335">
        <f>IF(ISNA(H146*VLOOKUP($D146,Hypothèses!$D$6:$F$14,3,0)),0,H146*VLOOKUP($D146,Hypothèses!$D$6:$F$14,3,0))</f>
        <v>0</v>
      </c>
      <c r="AK146" s="1335">
        <f>IF(ISNA(I146*VLOOKUP($D146,Hypothèses!$D$6:$F$14,3,0)),0,I146*VLOOKUP($D146,Hypothèses!$D$6:$F$14,3,0))</f>
        <v>0</v>
      </c>
      <c r="AL146" s="1335">
        <f>IF(ISNA(J146*VLOOKUP($D146,Hypothèses!$D$6:$F$14,3,0)),0,J146*VLOOKUP($D146,Hypothèses!$D$6:$F$14,3,0))</f>
        <v>0</v>
      </c>
      <c r="AM146" s="1335">
        <f>IF(ISNA(K146*VLOOKUP($D146,Hypothèses!$D$6:$F$14,3,0)),0,K146*VLOOKUP($D146,Hypothèses!$D$6:$F$14,3,0))</f>
        <v>0</v>
      </c>
      <c r="AN146" s="1335">
        <f>IF(ISNA(L146*VLOOKUP($D146,Hypothèses!$D$6:$F$14,3,0)),0,L146*VLOOKUP($D146,Hypothèses!$D$6:$F$14,3,0))</f>
        <v>0</v>
      </c>
      <c r="AO146" s="1335">
        <f>IF(ISNA(M146*VLOOKUP($D146,Hypothèses!$D$6:$F$14,3,0)),0,M146*VLOOKUP($D146,Hypothèses!$D$6:$F$14,3,0))</f>
        <v>0</v>
      </c>
      <c r="AP146" s="1335">
        <f>IF(ISNA(N146*VLOOKUP($D146,Hypothèses!$D$6:$F$14,3,0)),0,N146*VLOOKUP($D146,Hypothèses!$D$6:$F$14,3,0))</f>
        <v>0</v>
      </c>
      <c r="AQ146" s="1335">
        <f>IF(ISNA(O146*VLOOKUP($D146,Hypothèses!$D$6:$F$14,3,0)),0,O146*VLOOKUP($D146,Hypothèses!$D$6:$F$14,3,0))</f>
        <v>0</v>
      </c>
      <c r="AR146" s="1335">
        <f>IF(ISNA(P146*VLOOKUP($D146,Hypothèses!$D$6:$F$14,3,0)),0,P146*VLOOKUP($D146,Hypothèses!$D$6:$F$14,3,0))</f>
        <v>0</v>
      </c>
      <c r="AS146" s="1335">
        <f>IF(ISNA(Q146*VLOOKUP($D146,Hypothèses!$D$6:$F$14,3,0)),0,Q146*VLOOKUP($D146,Hypothèses!$D$6:$F$14,3,0))</f>
        <v>0</v>
      </c>
      <c r="AT146" s="1335">
        <f>IF(ISNA(R146*VLOOKUP($D146,Hypothèses!$D$6:$F$14,3,0)),0,R146*VLOOKUP($D146,Hypothèses!$D$6:$F$14,3,0))</f>
        <v>0</v>
      </c>
      <c r="AU146" s="1335">
        <f>IF(ISNA(S146*VLOOKUP($D146,Hypothèses!$D$6:$F$14,3,0)),0,S146*VLOOKUP($D146,Hypothèses!$D$6:$F$14,3,0))</f>
        <v>0</v>
      </c>
      <c r="AV146" s="1335">
        <f>IF(ISNA(T146*VLOOKUP($D146,Hypothèses!$D$6:$F$14,3,0)),0,T146*VLOOKUP($D146,Hypothèses!$D$6:$F$14,3,0))</f>
        <v>0</v>
      </c>
      <c r="AW146" s="1335">
        <f>IF(ISNA(U146*VLOOKUP($D146,Hypothèses!$D$6:$F$14,3,0)),0,U146*VLOOKUP($D146,Hypothèses!$D$6:$F$14,3,0))</f>
        <v>0</v>
      </c>
      <c r="AX146" s="1335">
        <f>IF(ISNA(V146*VLOOKUP($D146,Hypothèses!$D$6:$F$14,3,0)),0,V146*VLOOKUP($D146,Hypothèses!$D$6:$F$14,3,0))</f>
        <v>0</v>
      </c>
      <c r="AY146" s="1335">
        <f>IF(ISNA(W146*VLOOKUP($D146,Hypothèses!$D$6:$F$14,3,0)),0,W146*VLOOKUP($D146,Hypothèses!$D$6:$F$14,3,0))</f>
        <v>0</v>
      </c>
      <c r="AZ146" s="1335">
        <f>IF(ISNA(X146*VLOOKUP($D146,Hypothèses!$D$6:$F$14,3,0)),0,X146*VLOOKUP($D146,Hypothèses!$D$6:$F$14,3,0))</f>
        <v>0</v>
      </c>
      <c r="BA146" s="1335">
        <f>IF(ISNA(Y146*VLOOKUP($D146,Hypothèses!$D$6:$F$14,3,0)),0,Y146*VLOOKUP($D146,Hypothèses!$D$6:$F$14,3,0))</f>
        <v>0</v>
      </c>
      <c r="BB146" s="1335">
        <f>IF(ISNA(Z146*VLOOKUP($D146,Hypothèses!$D$6:$F$14,3,0)),0,Z146*VLOOKUP($D146,Hypothèses!$D$6:$F$14,3,0))</f>
        <v>0</v>
      </c>
      <c r="BC146" s="1335">
        <f>IF(ISNA(AA146*VLOOKUP($D146,Hypothèses!$D$6:$F$14,3,0)),0,AA146*VLOOKUP($D146,Hypothèses!$D$6:$F$14,3,0))</f>
        <v>0</v>
      </c>
      <c r="BD146" s="70"/>
      <c r="BE146" s="70"/>
      <c r="BF146" s="70"/>
      <c r="BG146" s="70"/>
      <c r="BH146" s="70"/>
      <c r="BI146" s="70"/>
      <c r="BJ146" s="70"/>
      <c r="BK146" s="70"/>
      <c r="BL146" s="70"/>
      <c r="BM146" s="70"/>
      <c r="BN146" s="70"/>
      <c r="BO146" s="70"/>
      <c r="BP146" s="70"/>
      <c r="BQ146" s="70"/>
      <c r="BR146" s="70"/>
      <c r="BS146" s="70"/>
      <c r="BT146" s="70"/>
      <c r="BU146" s="70"/>
      <c r="BV146" s="70"/>
      <c r="BW146" s="70"/>
      <c r="BX146" s="70"/>
      <c r="BY146" s="70"/>
      <c r="BZ146" s="70"/>
      <c r="CA146" s="70"/>
      <c r="CB146" s="70"/>
      <c r="CC146" s="70"/>
      <c r="CD146" s="70"/>
      <c r="CE146" s="70"/>
      <c r="CF146" s="70"/>
      <c r="CG146" s="70"/>
      <c r="CH146" s="70"/>
      <c r="CI146" s="70"/>
      <c r="CJ146" s="70"/>
      <c r="CK146" s="70"/>
    </row>
    <row r="147" spans="1:89" s="3" customFormat="1">
      <c r="A147" s="1817">
        <v>140</v>
      </c>
      <c r="B147" s="1790"/>
      <c r="C147" s="1333"/>
      <c r="D147" s="1334"/>
      <c r="E147" s="1332" t="str">
        <f>IF(ISNA(VLOOKUP(D147,Hypothèses!$D$6:$G$16,4,0)),"",VLOOKUP(D147,Hypothèses!$D$6:$G$16,4,0))</f>
        <v/>
      </c>
      <c r="F147" s="1842"/>
      <c r="G147" s="1843"/>
      <c r="H147" s="1843"/>
      <c r="I147" s="1843"/>
      <c r="J147" s="1843"/>
      <c r="K147" s="1843"/>
      <c r="L147" s="1843"/>
      <c r="M147" s="1843"/>
      <c r="N147" s="1843"/>
      <c r="O147" s="1843"/>
      <c r="P147" s="1843"/>
      <c r="Q147" s="1843"/>
      <c r="R147" s="1843"/>
      <c r="S147" s="1843"/>
      <c r="T147" s="1843"/>
      <c r="U147" s="1843"/>
      <c r="V147" s="1843"/>
      <c r="W147" s="1843"/>
      <c r="X147" s="1843"/>
      <c r="Y147" s="1843"/>
      <c r="Z147" s="1843"/>
      <c r="AA147" s="1844"/>
      <c r="AB147" s="1335"/>
      <c r="AC147" s="1335"/>
      <c r="AD147" s="1335"/>
      <c r="AE147" s="1335"/>
      <c r="AF147" s="1335"/>
      <c r="AG147"/>
      <c r="AH147" s="1335">
        <f>IF(ISNA(F147*VLOOKUP($D147,Hypothèses!$D$6:$F$14,3,0)),0,F147*VLOOKUP($D147,Hypothèses!$D$6:$F$14,3,0))</f>
        <v>0</v>
      </c>
      <c r="AI147" s="1335">
        <f>IF(ISNA(G147*VLOOKUP($D147,Hypothèses!$D$6:$F$14,3,0)),0,G147*VLOOKUP($D147,Hypothèses!$D$6:$F$14,3,0))</f>
        <v>0</v>
      </c>
      <c r="AJ147" s="1335">
        <f>IF(ISNA(H147*VLOOKUP($D147,Hypothèses!$D$6:$F$14,3,0)),0,H147*VLOOKUP($D147,Hypothèses!$D$6:$F$14,3,0))</f>
        <v>0</v>
      </c>
      <c r="AK147" s="1335">
        <f>IF(ISNA(I147*VLOOKUP($D147,Hypothèses!$D$6:$F$14,3,0)),0,I147*VLOOKUP($D147,Hypothèses!$D$6:$F$14,3,0))</f>
        <v>0</v>
      </c>
      <c r="AL147" s="1335">
        <f>IF(ISNA(J147*VLOOKUP($D147,Hypothèses!$D$6:$F$14,3,0)),0,J147*VLOOKUP($D147,Hypothèses!$D$6:$F$14,3,0))</f>
        <v>0</v>
      </c>
      <c r="AM147" s="1335">
        <f>IF(ISNA(K147*VLOOKUP($D147,Hypothèses!$D$6:$F$14,3,0)),0,K147*VLOOKUP($D147,Hypothèses!$D$6:$F$14,3,0))</f>
        <v>0</v>
      </c>
      <c r="AN147" s="1335">
        <f>IF(ISNA(L147*VLOOKUP($D147,Hypothèses!$D$6:$F$14,3,0)),0,L147*VLOOKUP($D147,Hypothèses!$D$6:$F$14,3,0))</f>
        <v>0</v>
      </c>
      <c r="AO147" s="1335">
        <f>IF(ISNA(M147*VLOOKUP($D147,Hypothèses!$D$6:$F$14,3,0)),0,M147*VLOOKUP($D147,Hypothèses!$D$6:$F$14,3,0))</f>
        <v>0</v>
      </c>
      <c r="AP147" s="1335">
        <f>IF(ISNA(N147*VLOOKUP($D147,Hypothèses!$D$6:$F$14,3,0)),0,N147*VLOOKUP($D147,Hypothèses!$D$6:$F$14,3,0))</f>
        <v>0</v>
      </c>
      <c r="AQ147" s="1335">
        <f>IF(ISNA(O147*VLOOKUP($D147,Hypothèses!$D$6:$F$14,3,0)),0,O147*VLOOKUP($D147,Hypothèses!$D$6:$F$14,3,0))</f>
        <v>0</v>
      </c>
      <c r="AR147" s="1335">
        <f>IF(ISNA(P147*VLOOKUP($D147,Hypothèses!$D$6:$F$14,3,0)),0,P147*VLOOKUP($D147,Hypothèses!$D$6:$F$14,3,0))</f>
        <v>0</v>
      </c>
      <c r="AS147" s="1335">
        <f>IF(ISNA(Q147*VLOOKUP($D147,Hypothèses!$D$6:$F$14,3,0)),0,Q147*VLOOKUP($D147,Hypothèses!$D$6:$F$14,3,0))</f>
        <v>0</v>
      </c>
      <c r="AT147" s="1335">
        <f>IF(ISNA(R147*VLOOKUP($D147,Hypothèses!$D$6:$F$14,3,0)),0,R147*VLOOKUP($D147,Hypothèses!$D$6:$F$14,3,0))</f>
        <v>0</v>
      </c>
      <c r="AU147" s="1335">
        <f>IF(ISNA(S147*VLOOKUP($D147,Hypothèses!$D$6:$F$14,3,0)),0,S147*VLOOKUP($D147,Hypothèses!$D$6:$F$14,3,0))</f>
        <v>0</v>
      </c>
      <c r="AV147" s="1335">
        <f>IF(ISNA(T147*VLOOKUP($D147,Hypothèses!$D$6:$F$14,3,0)),0,T147*VLOOKUP($D147,Hypothèses!$D$6:$F$14,3,0))</f>
        <v>0</v>
      </c>
      <c r="AW147" s="1335">
        <f>IF(ISNA(U147*VLOOKUP($D147,Hypothèses!$D$6:$F$14,3,0)),0,U147*VLOOKUP($D147,Hypothèses!$D$6:$F$14,3,0))</f>
        <v>0</v>
      </c>
      <c r="AX147" s="1335">
        <f>IF(ISNA(V147*VLOOKUP($D147,Hypothèses!$D$6:$F$14,3,0)),0,V147*VLOOKUP($D147,Hypothèses!$D$6:$F$14,3,0))</f>
        <v>0</v>
      </c>
      <c r="AY147" s="1335">
        <f>IF(ISNA(W147*VLOOKUP($D147,Hypothèses!$D$6:$F$14,3,0)),0,W147*VLOOKUP($D147,Hypothèses!$D$6:$F$14,3,0))</f>
        <v>0</v>
      </c>
      <c r="AZ147" s="1335">
        <f>IF(ISNA(X147*VLOOKUP($D147,Hypothèses!$D$6:$F$14,3,0)),0,X147*VLOOKUP($D147,Hypothèses!$D$6:$F$14,3,0))</f>
        <v>0</v>
      </c>
      <c r="BA147" s="1335">
        <f>IF(ISNA(Y147*VLOOKUP($D147,Hypothèses!$D$6:$F$14,3,0)),0,Y147*VLOOKUP($D147,Hypothèses!$D$6:$F$14,3,0))</f>
        <v>0</v>
      </c>
      <c r="BB147" s="1335">
        <f>IF(ISNA(Z147*VLOOKUP($D147,Hypothèses!$D$6:$F$14,3,0)),0,Z147*VLOOKUP($D147,Hypothèses!$D$6:$F$14,3,0))</f>
        <v>0</v>
      </c>
      <c r="BC147" s="1335">
        <f>IF(ISNA(AA147*VLOOKUP($D147,Hypothèses!$D$6:$F$14,3,0)),0,AA147*VLOOKUP($D147,Hypothèses!$D$6:$F$14,3,0))</f>
        <v>0</v>
      </c>
      <c r="BD147" s="70"/>
      <c r="BE147" s="70"/>
      <c r="BF147" s="70"/>
      <c r="BG147" s="70"/>
      <c r="BH147" s="70"/>
      <c r="BI147" s="70"/>
      <c r="BJ147" s="70"/>
      <c r="BK147" s="70"/>
      <c r="BL147" s="70"/>
      <c r="BM147" s="70"/>
      <c r="BN147" s="70"/>
      <c r="BO147" s="70"/>
      <c r="BP147" s="70"/>
      <c r="BQ147" s="70"/>
      <c r="BR147" s="70"/>
      <c r="BS147" s="70"/>
      <c r="BT147" s="70"/>
      <c r="BU147" s="70"/>
      <c r="BV147" s="70"/>
      <c r="BW147" s="70"/>
      <c r="BX147" s="70"/>
      <c r="BY147" s="70"/>
      <c r="BZ147" s="70"/>
      <c r="CA147" s="70"/>
      <c r="CB147" s="70"/>
      <c r="CC147" s="70"/>
      <c r="CD147" s="70"/>
      <c r="CE147" s="70"/>
      <c r="CF147" s="70"/>
      <c r="CG147" s="70"/>
      <c r="CH147" s="70"/>
      <c r="CI147" s="70"/>
      <c r="CJ147" s="70"/>
      <c r="CK147" s="70"/>
    </row>
    <row r="148" spans="1:89" s="3" customFormat="1">
      <c r="A148" s="1817">
        <v>141</v>
      </c>
      <c r="B148" s="1790"/>
      <c r="C148" s="1333"/>
      <c r="D148" s="1334"/>
      <c r="E148" s="1332" t="str">
        <f>IF(ISNA(VLOOKUP(D148,Hypothèses!$D$6:$G$16,4,0)),"",VLOOKUP(D148,Hypothèses!$D$6:$G$16,4,0))</f>
        <v/>
      </c>
      <c r="F148" s="1842"/>
      <c r="G148" s="1843"/>
      <c r="H148" s="1843"/>
      <c r="I148" s="1843"/>
      <c r="J148" s="1843"/>
      <c r="K148" s="1843"/>
      <c r="L148" s="1843"/>
      <c r="M148" s="1843"/>
      <c r="N148" s="1843"/>
      <c r="O148" s="1843"/>
      <c r="P148" s="1843"/>
      <c r="Q148" s="1843"/>
      <c r="R148" s="1843"/>
      <c r="S148" s="1843"/>
      <c r="T148" s="1843"/>
      <c r="U148" s="1843"/>
      <c r="V148" s="1843"/>
      <c r="W148" s="1843"/>
      <c r="X148" s="1843"/>
      <c r="Y148" s="1843"/>
      <c r="Z148" s="1843"/>
      <c r="AA148" s="1844"/>
      <c r="AB148" s="1335"/>
      <c r="AC148" s="1335"/>
      <c r="AD148" s="1335"/>
      <c r="AE148" s="1335"/>
      <c r="AF148" s="1335"/>
      <c r="AG148"/>
      <c r="AH148" s="1335">
        <f>IF(ISNA(F148*VLOOKUP($D148,Hypothèses!$D$6:$F$14,3,0)),0,F148*VLOOKUP($D148,Hypothèses!$D$6:$F$14,3,0))</f>
        <v>0</v>
      </c>
      <c r="AI148" s="1335">
        <f>IF(ISNA(G148*VLOOKUP($D148,Hypothèses!$D$6:$F$14,3,0)),0,G148*VLOOKUP($D148,Hypothèses!$D$6:$F$14,3,0))</f>
        <v>0</v>
      </c>
      <c r="AJ148" s="1335">
        <f>IF(ISNA(H148*VLOOKUP($D148,Hypothèses!$D$6:$F$14,3,0)),0,H148*VLOOKUP($D148,Hypothèses!$D$6:$F$14,3,0))</f>
        <v>0</v>
      </c>
      <c r="AK148" s="1335">
        <f>IF(ISNA(I148*VLOOKUP($D148,Hypothèses!$D$6:$F$14,3,0)),0,I148*VLOOKUP($D148,Hypothèses!$D$6:$F$14,3,0))</f>
        <v>0</v>
      </c>
      <c r="AL148" s="1335">
        <f>IF(ISNA(J148*VLOOKUP($D148,Hypothèses!$D$6:$F$14,3,0)),0,J148*VLOOKUP($D148,Hypothèses!$D$6:$F$14,3,0))</f>
        <v>0</v>
      </c>
      <c r="AM148" s="1335">
        <f>IF(ISNA(K148*VLOOKUP($D148,Hypothèses!$D$6:$F$14,3,0)),0,K148*VLOOKUP($D148,Hypothèses!$D$6:$F$14,3,0))</f>
        <v>0</v>
      </c>
      <c r="AN148" s="1335">
        <f>IF(ISNA(L148*VLOOKUP($D148,Hypothèses!$D$6:$F$14,3,0)),0,L148*VLOOKUP($D148,Hypothèses!$D$6:$F$14,3,0))</f>
        <v>0</v>
      </c>
      <c r="AO148" s="1335">
        <f>IF(ISNA(M148*VLOOKUP($D148,Hypothèses!$D$6:$F$14,3,0)),0,M148*VLOOKUP($D148,Hypothèses!$D$6:$F$14,3,0))</f>
        <v>0</v>
      </c>
      <c r="AP148" s="1335">
        <f>IF(ISNA(N148*VLOOKUP($D148,Hypothèses!$D$6:$F$14,3,0)),0,N148*VLOOKUP($D148,Hypothèses!$D$6:$F$14,3,0))</f>
        <v>0</v>
      </c>
      <c r="AQ148" s="1335">
        <f>IF(ISNA(O148*VLOOKUP($D148,Hypothèses!$D$6:$F$14,3,0)),0,O148*VLOOKUP($D148,Hypothèses!$D$6:$F$14,3,0))</f>
        <v>0</v>
      </c>
      <c r="AR148" s="1335">
        <f>IF(ISNA(P148*VLOOKUP($D148,Hypothèses!$D$6:$F$14,3,0)),0,P148*VLOOKUP($D148,Hypothèses!$D$6:$F$14,3,0))</f>
        <v>0</v>
      </c>
      <c r="AS148" s="1335">
        <f>IF(ISNA(Q148*VLOOKUP($D148,Hypothèses!$D$6:$F$14,3,0)),0,Q148*VLOOKUP($D148,Hypothèses!$D$6:$F$14,3,0))</f>
        <v>0</v>
      </c>
      <c r="AT148" s="1335">
        <f>IF(ISNA(R148*VLOOKUP($D148,Hypothèses!$D$6:$F$14,3,0)),0,R148*VLOOKUP($D148,Hypothèses!$D$6:$F$14,3,0))</f>
        <v>0</v>
      </c>
      <c r="AU148" s="1335">
        <f>IF(ISNA(S148*VLOOKUP($D148,Hypothèses!$D$6:$F$14,3,0)),0,S148*VLOOKUP($D148,Hypothèses!$D$6:$F$14,3,0))</f>
        <v>0</v>
      </c>
      <c r="AV148" s="1335">
        <f>IF(ISNA(T148*VLOOKUP($D148,Hypothèses!$D$6:$F$14,3,0)),0,T148*VLOOKUP($D148,Hypothèses!$D$6:$F$14,3,0))</f>
        <v>0</v>
      </c>
      <c r="AW148" s="1335">
        <f>IF(ISNA(U148*VLOOKUP($D148,Hypothèses!$D$6:$F$14,3,0)),0,U148*VLOOKUP($D148,Hypothèses!$D$6:$F$14,3,0))</f>
        <v>0</v>
      </c>
      <c r="AX148" s="1335">
        <f>IF(ISNA(V148*VLOOKUP($D148,Hypothèses!$D$6:$F$14,3,0)),0,V148*VLOOKUP($D148,Hypothèses!$D$6:$F$14,3,0))</f>
        <v>0</v>
      </c>
      <c r="AY148" s="1335">
        <f>IF(ISNA(W148*VLOOKUP($D148,Hypothèses!$D$6:$F$14,3,0)),0,W148*VLOOKUP($D148,Hypothèses!$D$6:$F$14,3,0))</f>
        <v>0</v>
      </c>
      <c r="AZ148" s="1335">
        <f>IF(ISNA(X148*VLOOKUP($D148,Hypothèses!$D$6:$F$14,3,0)),0,X148*VLOOKUP($D148,Hypothèses!$D$6:$F$14,3,0))</f>
        <v>0</v>
      </c>
      <c r="BA148" s="1335">
        <f>IF(ISNA(Y148*VLOOKUP($D148,Hypothèses!$D$6:$F$14,3,0)),0,Y148*VLOOKUP($D148,Hypothèses!$D$6:$F$14,3,0))</f>
        <v>0</v>
      </c>
      <c r="BB148" s="1335">
        <f>IF(ISNA(Z148*VLOOKUP($D148,Hypothèses!$D$6:$F$14,3,0)),0,Z148*VLOOKUP($D148,Hypothèses!$D$6:$F$14,3,0))</f>
        <v>0</v>
      </c>
      <c r="BC148" s="1335">
        <f>IF(ISNA(AA148*VLOOKUP($D148,Hypothèses!$D$6:$F$14,3,0)),0,AA148*VLOOKUP($D148,Hypothèses!$D$6:$F$14,3,0))</f>
        <v>0</v>
      </c>
      <c r="BD148" s="70"/>
      <c r="BE148" s="70"/>
      <c r="BF148" s="70"/>
      <c r="BG148" s="70"/>
      <c r="BH148" s="70"/>
      <c r="BI148" s="70"/>
      <c r="BJ148" s="70"/>
      <c r="BK148" s="70"/>
      <c r="BL148" s="70"/>
      <c r="BM148" s="70"/>
      <c r="BN148" s="70"/>
      <c r="BO148" s="70"/>
      <c r="BP148" s="70"/>
      <c r="BQ148" s="70"/>
      <c r="BR148" s="70"/>
      <c r="BS148" s="70"/>
      <c r="BT148" s="70"/>
      <c r="BU148" s="70"/>
      <c r="BV148" s="70"/>
      <c r="BW148" s="70"/>
      <c r="BX148" s="70"/>
      <c r="BY148" s="70"/>
      <c r="BZ148" s="70"/>
      <c r="CA148" s="70"/>
      <c r="CB148" s="70"/>
      <c r="CC148" s="70"/>
      <c r="CD148" s="70"/>
      <c r="CE148" s="70"/>
      <c r="CF148" s="70"/>
      <c r="CG148" s="70"/>
      <c r="CH148" s="70"/>
      <c r="CI148" s="70"/>
      <c r="CJ148" s="70"/>
      <c r="CK148" s="70"/>
    </row>
    <row r="149" spans="1:89" s="3" customFormat="1">
      <c r="A149" s="1817">
        <v>142</v>
      </c>
      <c r="B149" s="1790"/>
      <c r="C149" s="1333"/>
      <c r="D149" s="1334"/>
      <c r="E149" s="1332" t="str">
        <f>IF(ISNA(VLOOKUP(D149,Hypothèses!$D$6:$G$16,4,0)),"",VLOOKUP(D149,Hypothèses!$D$6:$G$16,4,0))</f>
        <v/>
      </c>
      <c r="F149" s="1842"/>
      <c r="G149" s="1843"/>
      <c r="H149" s="1843"/>
      <c r="I149" s="1843"/>
      <c r="J149" s="1843"/>
      <c r="K149" s="1843"/>
      <c r="L149" s="1843"/>
      <c r="M149" s="1843"/>
      <c r="N149" s="1843"/>
      <c r="O149" s="1843"/>
      <c r="P149" s="1843"/>
      <c r="Q149" s="1843"/>
      <c r="R149" s="1843"/>
      <c r="S149" s="1843"/>
      <c r="T149" s="1843"/>
      <c r="U149" s="1843"/>
      <c r="V149" s="1843"/>
      <c r="W149" s="1843"/>
      <c r="X149" s="1843"/>
      <c r="Y149" s="1843"/>
      <c r="Z149" s="1843"/>
      <c r="AA149" s="1844"/>
      <c r="AB149" s="1335"/>
      <c r="AC149" s="1335"/>
      <c r="AD149" s="1335"/>
      <c r="AE149" s="1335"/>
      <c r="AF149" s="1335"/>
      <c r="AG149"/>
      <c r="AH149" s="1335">
        <f>IF(ISNA(F149*VLOOKUP($D149,Hypothèses!$D$6:$F$14,3,0)),0,F149*VLOOKUP($D149,Hypothèses!$D$6:$F$14,3,0))</f>
        <v>0</v>
      </c>
      <c r="AI149" s="1335">
        <f>IF(ISNA(G149*VLOOKUP($D149,Hypothèses!$D$6:$F$14,3,0)),0,G149*VLOOKUP($D149,Hypothèses!$D$6:$F$14,3,0))</f>
        <v>0</v>
      </c>
      <c r="AJ149" s="1335">
        <f>IF(ISNA(H149*VLOOKUP($D149,Hypothèses!$D$6:$F$14,3,0)),0,H149*VLOOKUP($D149,Hypothèses!$D$6:$F$14,3,0))</f>
        <v>0</v>
      </c>
      <c r="AK149" s="1335">
        <f>IF(ISNA(I149*VLOOKUP($D149,Hypothèses!$D$6:$F$14,3,0)),0,I149*VLOOKUP($D149,Hypothèses!$D$6:$F$14,3,0))</f>
        <v>0</v>
      </c>
      <c r="AL149" s="1335">
        <f>IF(ISNA(J149*VLOOKUP($D149,Hypothèses!$D$6:$F$14,3,0)),0,J149*VLOOKUP($D149,Hypothèses!$D$6:$F$14,3,0))</f>
        <v>0</v>
      </c>
      <c r="AM149" s="1335">
        <f>IF(ISNA(K149*VLOOKUP($D149,Hypothèses!$D$6:$F$14,3,0)),0,K149*VLOOKUP($D149,Hypothèses!$D$6:$F$14,3,0))</f>
        <v>0</v>
      </c>
      <c r="AN149" s="1335">
        <f>IF(ISNA(L149*VLOOKUP($D149,Hypothèses!$D$6:$F$14,3,0)),0,L149*VLOOKUP($D149,Hypothèses!$D$6:$F$14,3,0))</f>
        <v>0</v>
      </c>
      <c r="AO149" s="1335">
        <f>IF(ISNA(M149*VLOOKUP($D149,Hypothèses!$D$6:$F$14,3,0)),0,M149*VLOOKUP($D149,Hypothèses!$D$6:$F$14,3,0))</f>
        <v>0</v>
      </c>
      <c r="AP149" s="1335">
        <f>IF(ISNA(N149*VLOOKUP($D149,Hypothèses!$D$6:$F$14,3,0)),0,N149*VLOOKUP($D149,Hypothèses!$D$6:$F$14,3,0))</f>
        <v>0</v>
      </c>
      <c r="AQ149" s="1335">
        <f>IF(ISNA(O149*VLOOKUP($D149,Hypothèses!$D$6:$F$14,3,0)),0,O149*VLOOKUP($D149,Hypothèses!$D$6:$F$14,3,0))</f>
        <v>0</v>
      </c>
      <c r="AR149" s="1335">
        <f>IF(ISNA(P149*VLOOKUP($D149,Hypothèses!$D$6:$F$14,3,0)),0,P149*VLOOKUP($D149,Hypothèses!$D$6:$F$14,3,0))</f>
        <v>0</v>
      </c>
      <c r="AS149" s="1335">
        <f>IF(ISNA(Q149*VLOOKUP($D149,Hypothèses!$D$6:$F$14,3,0)),0,Q149*VLOOKUP($D149,Hypothèses!$D$6:$F$14,3,0))</f>
        <v>0</v>
      </c>
      <c r="AT149" s="1335">
        <f>IF(ISNA(R149*VLOOKUP($D149,Hypothèses!$D$6:$F$14,3,0)),0,R149*VLOOKUP($D149,Hypothèses!$D$6:$F$14,3,0))</f>
        <v>0</v>
      </c>
      <c r="AU149" s="1335">
        <f>IF(ISNA(S149*VLOOKUP($D149,Hypothèses!$D$6:$F$14,3,0)),0,S149*VLOOKUP($D149,Hypothèses!$D$6:$F$14,3,0))</f>
        <v>0</v>
      </c>
      <c r="AV149" s="1335">
        <f>IF(ISNA(T149*VLOOKUP($D149,Hypothèses!$D$6:$F$14,3,0)),0,T149*VLOOKUP($D149,Hypothèses!$D$6:$F$14,3,0))</f>
        <v>0</v>
      </c>
      <c r="AW149" s="1335">
        <f>IF(ISNA(U149*VLOOKUP($D149,Hypothèses!$D$6:$F$14,3,0)),0,U149*VLOOKUP($D149,Hypothèses!$D$6:$F$14,3,0))</f>
        <v>0</v>
      </c>
      <c r="AX149" s="1335">
        <f>IF(ISNA(V149*VLOOKUP($D149,Hypothèses!$D$6:$F$14,3,0)),0,V149*VLOOKUP($D149,Hypothèses!$D$6:$F$14,3,0))</f>
        <v>0</v>
      </c>
      <c r="AY149" s="1335">
        <f>IF(ISNA(W149*VLOOKUP($D149,Hypothèses!$D$6:$F$14,3,0)),0,W149*VLOOKUP($D149,Hypothèses!$D$6:$F$14,3,0))</f>
        <v>0</v>
      </c>
      <c r="AZ149" s="1335">
        <f>IF(ISNA(X149*VLOOKUP($D149,Hypothèses!$D$6:$F$14,3,0)),0,X149*VLOOKUP($D149,Hypothèses!$D$6:$F$14,3,0))</f>
        <v>0</v>
      </c>
      <c r="BA149" s="1335">
        <f>IF(ISNA(Y149*VLOOKUP($D149,Hypothèses!$D$6:$F$14,3,0)),0,Y149*VLOOKUP($D149,Hypothèses!$D$6:$F$14,3,0))</f>
        <v>0</v>
      </c>
      <c r="BB149" s="1335">
        <f>IF(ISNA(Z149*VLOOKUP($D149,Hypothèses!$D$6:$F$14,3,0)),0,Z149*VLOOKUP($D149,Hypothèses!$D$6:$F$14,3,0))</f>
        <v>0</v>
      </c>
      <c r="BC149" s="1335">
        <f>IF(ISNA(AA149*VLOOKUP($D149,Hypothèses!$D$6:$F$14,3,0)),0,AA149*VLOOKUP($D149,Hypothèses!$D$6:$F$14,3,0))</f>
        <v>0</v>
      </c>
      <c r="BD149" s="70"/>
      <c r="BE149" s="70"/>
      <c r="BF149" s="70"/>
      <c r="BG149" s="70"/>
      <c r="BH149" s="70"/>
      <c r="BI149" s="70"/>
      <c r="BJ149" s="70"/>
      <c r="BK149" s="70"/>
      <c r="BL149" s="70"/>
      <c r="BM149" s="70"/>
      <c r="BN149" s="70"/>
      <c r="BO149" s="70"/>
      <c r="BP149" s="70"/>
      <c r="BQ149" s="70"/>
      <c r="BR149" s="70"/>
      <c r="BS149" s="70"/>
      <c r="BT149" s="70"/>
      <c r="BU149" s="70"/>
      <c r="BV149" s="70"/>
      <c r="BW149" s="70"/>
      <c r="BX149" s="70"/>
      <c r="BY149" s="70"/>
      <c r="BZ149" s="70"/>
      <c r="CA149" s="70"/>
      <c r="CB149" s="70"/>
      <c r="CC149" s="70"/>
      <c r="CD149" s="70"/>
      <c r="CE149" s="70"/>
      <c r="CF149" s="70"/>
      <c r="CG149" s="70"/>
      <c r="CH149" s="70"/>
      <c r="CI149" s="70"/>
      <c r="CJ149" s="70"/>
      <c r="CK149" s="70"/>
    </row>
    <row r="150" spans="1:89" s="3" customFormat="1">
      <c r="A150" s="1817">
        <v>143</v>
      </c>
      <c r="B150" s="1790"/>
      <c r="C150" s="1333"/>
      <c r="D150" s="1334"/>
      <c r="E150" s="1332" t="str">
        <f>IF(ISNA(VLOOKUP(D150,Hypothèses!$D$6:$G$16,4,0)),"",VLOOKUP(D150,Hypothèses!$D$6:$G$16,4,0))</f>
        <v/>
      </c>
      <c r="F150" s="1842"/>
      <c r="G150" s="1843"/>
      <c r="H150" s="1843"/>
      <c r="I150" s="1843"/>
      <c r="J150" s="1843"/>
      <c r="K150" s="1843"/>
      <c r="L150" s="1843"/>
      <c r="M150" s="1843"/>
      <c r="N150" s="1843"/>
      <c r="O150" s="1843"/>
      <c r="P150" s="1843"/>
      <c r="Q150" s="1843"/>
      <c r="R150" s="1843"/>
      <c r="S150" s="1843"/>
      <c r="T150" s="1843"/>
      <c r="U150" s="1843"/>
      <c r="V150" s="1843"/>
      <c r="W150" s="1843"/>
      <c r="X150" s="1843"/>
      <c r="Y150" s="1843"/>
      <c r="Z150" s="1843"/>
      <c r="AA150" s="1844"/>
      <c r="AB150" s="1335"/>
      <c r="AC150" s="1335"/>
      <c r="AD150" s="1335"/>
      <c r="AE150" s="1335"/>
      <c r="AF150" s="1335"/>
      <c r="AG150"/>
      <c r="AH150" s="1335">
        <f>IF(ISNA(F150*VLOOKUP($D150,Hypothèses!$D$6:$F$14,3,0)),0,F150*VLOOKUP($D150,Hypothèses!$D$6:$F$14,3,0))</f>
        <v>0</v>
      </c>
      <c r="AI150" s="1335">
        <f>IF(ISNA(G150*VLOOKUP($D150,Hypothèses!$D$6:$F$14,3,0)),0,G150*VLOOKUP($D150,Hypothèses!$D$6:$F$14,3,0))</f>
        <v>0</v>
      </c>
      <c r="AJ150" s="1335">
        <f>IF(ISNA(H150*VLOOKUP($D150,Hypothèses!$D$6:$F$14,3,0)),0,H150*VLOOKUP($D150,Hypothèses!$D$6:$F$14,3,0))</f>
        <v>0</v>
      </c>
      <c r="AK150" s="1335">
        <f>IF(ISNA(I150*VLOOKUP($D150,Hypothèses!$D$6:$F$14,3,0)),0,I150*VLOOKUP($D150,Hypothèses!$D$6:$F$14,3,0))</f>
        <v>0</v>
      </c>
      <c r="AL150" s="1335">
        <f>IF(ISNA(J150*VLOOKUP($D150,Hypothèses!$D$6:$F$14,3,0)),0,J150*VLOOKUP($D150,Hypothèses!$D$6:$F$14,3,0))</f>
        <v>0</v>
      </c>
      <c r="AM150" s="1335">
        <f>IF(ISNA(K150*VLOOKUP($D150,Hypothèses!$D$6:$F$14,3,0)),0,K150*VLOOKUP($D150,Hypothèses!$D$6:$F$14,3,0))</f>
        <v>0</v>
      </c>
      <c r="AN150" s="1335">
        <f>IF(ISNA(L150*VLOOKUP($D150,Hypothèses!$D$6:$F$14,3,0)),0,L150*VLOOKUP($D150,Hypothèses!$D$6:$F$14,3,0))</f>
        <v>0</v>
      </c>
      <c r="AO150" s="1335">
        <f>IF(ISNA(M150*VLOOKUP($D150,Hypothèses!$D$6:$F$14,3,0)),0,M150*VLOOKUP($D150,Hypothèses!$D$6:$F$14,3,0))</f>
        <v>0</v>
      </c>
      <c r="AP150" s="1335">
        <f>IF(ISNA(N150*VLOOKUP($D150,Hypothèses!$D$6:$F$14,3,0)),0,N150*VLOOKUP($D150,Hypothèses!$D$6:$F$14,3,0))</f>
        <v>0</v>
      </c>
      <c r="AQ150" s="1335">
        <f>IF(ISNA(O150*VLOOKUP($D150,Hypothèses!$D$6:$F$14,3,0)),0,O150*VLOOKUP($D150,Hypothèses!$D$6:$F$14,3,0))</f>
        <v>0</v>
      </c>
      <c r="AR150" s="1335">
        <f>IF(ISNA(P150*VLOOKUP($D150,Hypothèses!$D$6:$F$14,3,0)),0,P150*VLOOKUP($D150,Hypothèses!$D$6:$F$14,3,0))</f>
        <v>0</v>
      </c>
      <c r="AS150" s="1335">
        <f>IF(ISNA(Q150*VLOOKUP($D150,Hypothèses!$D$6:$F$14,3,0)),0,Q150*VLOOKUP($D150,Hypothèses!$D$6:$F$14,3,0))</f>
        <v>0</v>
      </c>
      <c r="AT150" s="1335">
        <f>IF(ISNA(R150*VLOOKUP($D150,Hypothèses!$D$6:$F$14,3,0)),0,R150*VLOOKUP($D150,Hypothèses!$D$6:$F$14,3,0))</f>
        <v>0</v>
      </c>
      <c r="AU150" s="1335">
        <f>IF(ISNA(S150*VLOOKUP($D150,Hypothèses!$D$6:$F$14,3,0)),0,S150*VLOOKUP($D150,Hypothèses!$D$6:$F$14,3,0))</f>
        <v>0</v>
      </c>
      <c r="AV150" s="1335">
        <f>IF(ISNA(T150*VLOOKUP($D150,Hypothèses!$D$6:$F$14,3,0)),0,T150*VLOOKUP($D150,Hypothèses!$D$6:$F$14,3,0))</f>
        <v>0</v>
      </c>
      <c r="AW150" s="1335">
        <f>IF(ISNA(U150*VLOOKUP($D150,Hypothèses!$D$6:$F$14,3,0)),0,U150*VLOOKUP($D150,Hypothèses!$D$6:$F$14,3,0))</f>
        <v>0</v>
      </c>
      <c r="AX150" s="1335">
        <f>IF(ISNA(V150*VLOOKUP($D150,Hypothèses!$D$6:$F$14,3,0)),0,V150*VLOOKUP($D150,Hypothèses!$D$6:$F$14,3,0))</f>
        <v>0</v>
      </c>
      <c r="AY150" s="1335">
        <f>IF(ISNA(W150*VLOOKUP($D150,Hypothèses!$D$6:$F$14,3,0)),0,W150*VLOOKUP($D150,Hypothèses!$D$6:$F$14,3,0))</f>
        <v>0</v>
      </c>
      <c r="AZ150" s="1335">
        <f>IF(ISNA(X150*VLOOKUP($D150,Hypothèses!$D$6:$F$14,3,0)),0,X150*VLOOKUP($D150,Hypothèses!$D$6:$F$14,3,0))</f>
        <v>0</v>
      </c>
      <c r="BA150" s="1335">
        <f>IF(ISNA(Y150*VLOOKUP($D150,Hypothèses!$D$6:$F$14,3,0)),0,Y150*VLOOKUP($D150,Hypothèses!$D$6:$F$14,3,0))</f>
        <v>0</v>
      </c>
      <c r="BB150" s="1335">
        <f>IF(ISNA(Z150*VLOOKUP($D150,Hypothèses!$D$6:$F$14,3,0)),0,Z150*VLOOKUP($D150,Hypothèses!$D$6:$F$14,3,0))</f>
        <v>0</v>
      </c>
      <c r="BC150" s="1335">
        <f>IF(ISNA(AA150*VLOOKUP($D150,Hypothèses!$D$6:$F$14,3,0)),0,AA150*VLOOKUP($D150,Hypothèses!$D$6:$F$14,3,0))</f>
        <v>0</v>
      </c>
      <c r="BD150" s="70"/>
      <c r="BE150" s="70"/>
      <c r="BF150" s="70"/>
      <c r="BG150" s="70"/>
      <c r="BH150" s="70"/>
      <c r="BI150" s="70"/>
      <c r="BJ150" s="70"/>
      <c r="BK150" s="70"/>
      <c r="BL150" s="70"/>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row>
    <row r="151" spans="1:89" s="3" customFormat="1">
      <c r="A151" s="1817">
        <v>144</v>
      </c>
      <c r="B151" s="1790"/>
      <c r="C151" s="1333"/>
      <c r="D151" s="1334"/>
      <c r="E151" s="1332" t="str">
        <f>IF(ISNA(VLOOKUP(D151,Hypothèses!$D$6:$G$16,4,0)),"",VLOOKUP(D151,Hypothèses!$D$6:$G$16,4,0))</f>
        <v/>
      </c>
      <c r="F151" s="1842"/>
      <c r="G151" s="1843"/>
      <c r="H151" s="1843"/>
      <c r="I151" s="1843"/>
      <c r="J151" s="1843"/>
      <c r="K151" s="1843"/>
      <c r="L151" s="1843"/>
      <c r="M151" s="1843"/>
      <c r="N151" s="1843"/>
      <c r="O151" s="1843"/>
      <c r="P151" s="1843"/>
      <c r="Q151" s="1843"/>
      <c r="R151" s="1843"/>
      <c r="S151" s="1843"/>
      <c r="T151" s="1843"/>
      <c r="U151" s="1843"/>
      <c r="V151" s="1843"/>
      <c r="W151" s="1843"/>
      <c r="X151" s="1843"/>
      <c r="Y151" s="1843"/>
      <c r="Z151" s="1843"/>
      <c r="AA151" s="1844"/>
      <c r="AB151" s="1335"/>
      <c r="AC151" s="1335"/>
      <c r="AD151" s="1335"/>
      <c r="AE151" s="1335"/>
      <c r="AF151" s="1335"/>
      <c r="AG151"/>
      <c r="AH151" s="1335">
        <f>IF(ISNA(F151*VLOOKUP($D151,Hypothèses!$D$6:$F$14,3,0)),0,F151*VLOOKUP($D151,Hypothèses!$D$6:$F$14,3,0))</f>
        <v>0</v>
      </c>
      <c r="AI151" s="1335">
        <f>IF(ISNA(G151*VLOOKUP($D151,Hypothèses!$D$6:$F$14,3,0)),0,G151*VLOOKUP($D151,Hypothèses!$D$6:$F$14,3,0))</f>
        <v>0</v>
      </c>
      <c r="AJ151" s="1335">
        <f>IF(ISNA(H151*VLOOKUP($D151,Hypothèses!$D$6:$F$14,3,0)),0,H151*VLOOKUP($D151,Hypothèses!$D$6:$F$14,3,0))</f>
        <v>0</v>
      </c>
      <c r="AK151" s="1335">
        <f>IF(ISNA(I151*VLOOKUP($D151,Hypothèses!$D$6:$F$14,3,0)),0,I151*VLOOKUP($D151,Hypothèses!$D$6:$F$14,3,0))</f>
        <v>0</v>
      </c>
      <c r="AL151" s="1335">
        <f>IF(ISNA(J151*VLOOKUP($D151,Hypothèses!$D$6:$F$14,3,0)),0,J151*VLOOKUP($D151,Hypothèses!$D$6:$F$14,3,0))</f>
        <v>0</v>
      </c>
      <c r="AM151" s="1335">
        <f>IF(ISNA(K151*VLOOKUP($D151,Hypothèses!$D$6:$F$14,3,0)),0,K151*VLOOKUP($D151,Hypothèses!$D$6:$F$14,3,0))</f>
        <v>0</v>
      </c>
      <c r="AN151" s="1335">
        <f>IF(ISNA(L151*VLOOKUP($D151,Hypothèses!$D$6:$F$14,3,0)),0,L151*VLOOKUP($D151,Hypothèses!$D$6:$F$14,3,0))</f>
        <v>0</v>
      </c>
      <c r="AO151" s="1335">
        <f>IF(ISNA(M151*VLOOKUP($D151,Hypothèses!$D$6:$F$14,3,0)),0,M151*VLOOKUP($D151,Hypothèses!$D$6:$F$14,3,0))</f>
        <v>0</v>
      </c>
      <c r="AP151" s="1335">
        <f>IF(ISNA(N151*VLOOKUP($D151,Hypothèses!$D$6:$F$14,3,0)),0,N151*VLOOKUP($D151,Hypothèses!$D$6:$F$14,3,0))</f>
        <v>0</v>
      </c>
      <c r="AQ151" s="1335">
        <f>IF(ISNA(O151*VLOOKUP($D151,Hypothèses!$D$6:$F$14,3,0)),0,O151*VLOOKUP($D151,Hypothèses!$D$6:$F$14,3,0))</f>
        <v>0</v>
      </c>
      <c r="AR151" s="1335">
        <f>IF(ISNA(P151*VLOOKUP($D151,Hypothèses!$D$6:$F$14,3,0)),0,P151*VLOOKUP($D151,Hypothèses!$D$6:$F$14,3,0))</f>
        <v>0</v>
      </c>
      <c r="AS151" s="1335">
        <f>IF(ISNA(Q151*VLOOKUP($D151,Hypothèses!$D$6:$F$14,3,0)),0,Q151*VLOOKUP($D151,Hypothèses!$D$6:$F$14,3,0))</f>
        <v>0</v>
      </c>
      <c r="AT151" s="1335">
        <f>IF(ISNA(R151*VLOOKUP($D151,Hypothèses!$D$6:$F$14,3,0)),0,R151*VLOOKUP($D151,Hypothèses!$D$6:$F$14,3,0))</f>
        <v>0</v>
      </c>
      <c r="AU151" s="1335">
        <f>IF(ISNA(S151*VLOOKUP($D151,Hypothèses!$D$6:$F$14,3,0)),0,S151*VLOOKUP($D151,Hypothèses!$D$6:$F$14,3,0))</f>
        <v>0</v>
      </c>
      <c r="AV151" s="1335">
        <f>IF(ISNA(T151*VLOOKUP($D151,Hypothèses!$D$6:$F$14,3,0)),0,T151*VLOOKUP($D151,Hypothèses!$D$6:$F$14,3,0))</f>
        <v>0</v>
      </c>
      <c r="AW151" s="1335">
        <f>IF(ISNA(U151*VLOOKUP($D151,Hypothèses!$D$6:$F$14,3,0)),0,U151*VLOOKUP($D151,Hypothèses!$D$6:$F$14,3,0))</f>
        <v>0</v>
      </c>
      <c r="AX151" s="1335">
        <f>IF(ISNA(V151*VLOOKUP($D151,Hypothèses!$D$6:$F$14,3,0)),0,V151*VLOOKUP($D151,Hypothèses!$D$6:$F$14,3,0))</f>
        <v>0</v>
      </c>
      <c r="AY151" s="1335">
        <f>IF(ISNA(W151*VLOOKUP($D151,Hypothèses!$D$6:$F$14,3,0)),0,W151*VLOOKUP($D151,Hypothèses!$D$6:$F$14,3,0))</f>
        <v>0</v>
      </c>
      <c r="AZ151" s="1335">
        <f>IF(ISNA(X151*VLOOKUP($D151,Hypothèses!$D$6:$F$14,3,0)),0,X151*VLOOKUP($D151,Hypothèses!$D$6:$F$14,3,0))</f>
        <v>0</v>
      </c>
      <c r="BA151" s="1335">
        <f>IF(ISNA(Y151*VLOOKUP($D151,Hypothèses!$D$6:$F$14,3,0)),0,Y151*VLOOKUP($D151,Hypothèses!$D$6:$F$14,3,0))</f>
        <v>0</v>
      </c>
      <c r="BB151" s="1335">
        <f>IF(ISNA(Z151*VLOOKUP($D151,Hypothèses!$D$6:$F$14,3,0)),0,Z151*VLOOKUP($D151,Hypothèses!$D$6:$F$14,3,0))</f>
        <v>0</v>
      </c>
      <c r="BC151" s="1335">
        <f>IF(ISNA(AA151*VLOOKUP($D151,Hypothèses!$D$6:$F$14,3,0)),0,AA151*VLOOKUP($D151,Hypothèses!$D$6:$F$14,3,0))</f>
        <v>0</v>
      </c>
      <c r="BD151" s="70"/>
      <c r="BE151" s="70"/>
      <c r="BF151" s="70"/>
      <c r="BG151" s="70"/>
      <c r="BH151" s="70"/>
      <c r="BI151" s="70"/>
      <c r="BJ151" s="70"/>
      <c r="BK151" s="70"/>
      <c r="BL151" s="70"/>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row>
    <row r="152" spans="1:89" s="3" customFormat="1">
      <c r="A152" s="1817">
        <v>145</v>
      </c>
      <c r="B152" s="1790"/>
      <c r="C152" s="1333"/>
      <c r="D152" s="1334"/>
      <c r="E152" s="1332" t="str">
        <f>IF(ISNA(VLOOKUP(D152,Hypothèses!$D$6:$G$16,4,0)),"",VLOOKUP(D152,Hypothèses!$D$6:$G$16,4,0))</f>
        <v/>
      </c>
      <c r="F152" s="1842"/>
      <c r="G152" s="1843"/>
      <c r="H152" s="1843"/>
      <c r="I152" s="1843"/>
      <c r="J152" s="1843"/>
      <c r="K152" s="1843"/>
      <c r="L152" s="1843"/>
      <c r="M152" s="1843"/>
      <c r="N152" s="1843"/>
      <c r="O152" s="1843"/>
      <c r="P152" s="1843"/>
      <c r="Q152" s="1843"/>
      <c r="R152" s="1843"/>
      <c r="S152" s="1843"/>
      <c r="T152" s="1843"/>
      <c r="U152" s="1843"/>
      <c r="V152" s="1843"/>
      <c r="W152" s="1843"/>
      <c r="X152" s="1843"/>
      <c r="Y152" s="1843"/>
      <c r="Z152" s="1843"/>
      <c r="AA152" s="1844"/>
      <c r="AB152" s="1335"/>
      <c r="AC152" s="1335"/>
      <c r="AD152" s="1335"/>
      <c r="AE152" s="1335"/>
      <c r="AF152" s="1335"/>
      <c r="AG152"/>
      <c r="AH152" s="1335">
        <f>IF(ISNA(F152*VLOOKUP($D152,Hypothèses!$D$6:$F$14,3,0)),0,F152*VLOOKUP($D152,Hypothèses!$D$6:$F$14,3,0))</f>
        <v>0</v>
      </c>
      <c r="AI152" s="1335">
        <f>IF(ISNA(G152*VLOOKUP($D152,Hypothèses!$D$6:$F$14,3,0)),0,G152*VLOOKUP($D152,Hypothèses!$D$6:$F$14,3,0))</f>
        <v>0</v>
      </c>
      <c r="AJ152" s="1335">
        <f>IF(ISNA(H152*VLOOKUP($D152,Hypothèses!$D$6:$F$14,3,0)),0,H152*VLOOKUP($D152,Hypothèses!$D$6:$F$14,3,0))</f>
        <v>0</v>
      </c>
      <c r="AK152" s="1335">
        <f>IF(ISNA(I152*VLOOKUP($D152,Hypothèses!$D$6:$F$14,3,0)),0,I152*VLOOKUP($D152,Hypothèses!$D$6:$F$14,3,0))</f>
        <v>0</v>
      </c>
      <c r="AL152" s="1335">
        <f>IF(ISNA(J152*VLOOKUP($D152,Hypothèses!$D$6:$F$14,3,0)),0,J152*VLOOKUP($D152,Hypothèses!$D$6:$F$14,3,0))</f>
        <v>0</v>
      </c>
      <c r="AM152" s="1335">
        <f>IF(ISNA(K152*VLOOKUP($D152,Hypothèses!$D$6:$F$14,3,0)),0,K152*VLOOKUP($D152,Hypothèses!$D$6:$F$14,3,0))</f>
        <v>0</v>
      </c>
      <c r="AN152" s="1335">
        <f>IF(ISNA(L152*VLOOKUP($D152,Hypothèses!$D$6:$F$14,3,0)),0,L152*VLOOKUP($D152,Hypothèses!$D$6:$F$14,3,0))</f>
        <v>0</v>
      </c>
      <c r="AO152" s="1335">
        <f>IF(ISNA(M152*VLOOKUP($D152,Hypothèses!$D$6:$F$14,3,0)),0,M152*VLOOKUP($D152,Hypothèses!$D$6:$F$14,3,0))</f>
        <v>0</v>
      </c>
      <c r="AP152" s="1335">
        <f>IF(ISNA(N152*VLOOKUP($D152,Hypothèses!$D$6:$F$14,3,0)),0,N152*VLOOKUP($D152,Hypothèses!$D$6:$F$14,3,0))</f>
        <v>0</v>
      </c>
      <c r="AQ152" s="1335">
        <f>IF(ISNA(O152*VLOOKUP($D152,Hypothèses!$D$6:$F$14,3,0)),0,O152*VLOOKUP($D152,Hypothèses!$D$6:$F$14,3,0))</f>
        <v>0</v>
      </c>
      <c r="AR152" s="1335">
        <f>IF(ISNA(P152*VLOOKUP($D152,Hypothèses!$D$6:$F$14,3,0)),0,P152*VLOOKUP($D152,Hypothèses!$D$6:$F$14,3,0))</f>
        <v>0</v>
      </c>
      <c r="AS152" s="1335">
        <f>IF(ISNA(Q152*VLOOKUP($D152,Hypothèses!$D$6:$F$14,3,0)),0,Q152*VLOOKUP($D152,Hypothèses!$D$6:$F$14,3,0))</f>
        <v>0</v>
      </c>
      <c r="AT152" s="1335">
        <f>IF(ISNA(R152*VLOOKUP($D152,Hypothèses!$D$6:$F$14,3,0)),0,R152*VLOOKUP($D152,Hypothèses!$D$6:$F$14,3,0))</f>
        <v>0</v>
      </c>
      <c r="AU152" s="1335">
        <f>IF(ISNA(S152*VLOOKUP($D152,Hypothèses!$D$6:$F$14,3,0)),0,S152*VLOOKUP($D152,Hypothèses!$D$6:$F$14,3,0))</f>
        <v>0</v>
      </c>
      <c r="AV152" s="1335">
        <f>IF(ISNA(T152*VLOOKUP($D152,Hypothèses!$D$6:$F$14,3,0)),0,T152*VLOOKUP($D152,Hypothèses!$D$6:$F$14,3,0))</f>
        <v>0</v>
      </c>
      <c r="AW152" s="1335">
        <f>IF(ISNA(U152*VLOOKUP($D152,Hypothèses!$D$6:$F$14,3,0)),0,U152*VLOOKUP($D152,Hypothèses!$D$6:$F$14,3,0))</f>
        <v>0</v>
      </c>
      <c r="AX152" s="1335">
        <f>IF(ISNA(V152*VLOOKUP($D152,Hypothèses!$D$6:$F$14,3,0)),0,V152*VLOOKUP($D152,Hypothèses!$D$6:$F$14,3,0))</f>
        <v>0</v>
      </c>
      <c r="AY152" s="1335">
        <f>IF(ISNA(W152*VLOOKUP($D152,Hypothèses!$D$6:$F$14,3,0)),0,W152*VLOOKUP($D152,Hypothèses!$D$6:$F$14,3,0))</f>
        <v>0</v>
      </c>
      <c r="AZ152" s="1335">
        <f>IF(ISNA(X152*VLOOKUP($D152,Hypothèses!$D$6:$F$14,3,0)),0,X152*VLOOKUP($D152,Hypothèses!$D$6:$F$14,3,0))</f>
        <v>0</v>
      </c>
      <c r="BA152" s="1335">
        <f>IF(ISNA(Y152*VLOOKUP($D152,Hypothèses!$D$6:$F$14,3,0)),0,Y152*VLOOKUP($D152,Hypothèses!$D$6:$F$14,3,0))</f>
        <v>0</v>
      </c>
      <c r="BB152" s="1335">
        <f>IF(ISNA(Z152*VLOOKUP($D152,Hypothèses!$D$6:$F$14,3,0)),0,Z152*VLOOKUP($D152,Hypothèses!$D$6:$F$14,3,0))</f>
        <v>0</v>
      </c>
      <c r="BC152" s="1335">
        <f>IF(ISNA(AA152*VLOOKUP($D152,Hypothèses!$D$6:$F$14,3,0)),0,AA152*VLOOKUP($D152,Hypothèses!$D$6:$F$14,3,0))</f>
        <v>0</v>
      </c>
      <c r="BD152" s="70"/>
      <c r="BE152" s="70"/>
      <c r="BF152" s="70"/>
      <c r="BG152" s="70"/>
      <c r="BH152" s="70"/>
      <c r="BI152" s="70"/>
      <c r="BJ152" s="70"/>
      <c r="BK152" s="70"/>
      <c r="BL152" s="70"/>
      <c r="BM152" s="70"/>
      <c r="BN152" s="70"/>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row>
    <row r="153" spans="1:89" s="3" customFormat="1">
      <c r="A153" s="1817">
        <v>146</v>
      </c>
      <c r="B153" s="1790"/>
      <c r="C153" s="1333"/>
      <c r="D153" s="1334"/>
      <c r="E153" s="1332" t="str">
        <f>IF(ISNA(VLOOKUP(D153,Hypothèses!$D$6:$G$16,4,0)),"",VLOOKUP(D153,Hypothèses!$D$6:$G$16,4,0))</f>
        <v/>
      </c>
      <c r="F153" s="1842"/>
      <c r="G153" s="1843"/>
      <c r="H153" s="1843"/>
      <c r="I153" s="1843"/>
      <c r="J153" s="1843"/>
      <c r="K153" s="1843"/>
      <c r="L153" s="1843"/>
      <c r="M153" s="1843"/>
      <c r="N153" s="1843"/>
      <c r="O153" s="1843"/>
      <c r="P153" s="1843"/>
      <c r="Q153" s="1843"/>
      <c r="R153" s="1843"/>
      <c r="S153" s="1843"/>
      <c r="T153" s="1843"/>
      <c r="U153" s="1843"/>
      <c r="V153" s="1843"/>
      <c r="W153" s="1843"/>
      <c r="X153" s="1843"/>
      <c r="Y153" s="1843"/>
      <c r="Z153" s="1843"/>
      <c r="AA153" s="1844"/>
      <c r="AB153" s="1335"/>
      <c r="AC153" s="1335"/>
      <c r="AD153" s="1335"/>
      <c r="AE153" s="1335"/>
      <c r="AF153" s="1335"/>
      <c r="AG153"/>
      <c r="AH153" s="1335">
        <f>IF(ISNA(F153*VLOOKUP($D153,Hypothèses!$D$6:$F$14,3,0)),0,F153*VLOOKUP($D153,Hypothèses!$D$6:$F$14,3,0))</f>
        <v>0</v>
      </c>
      <c r="AI153" s="1335">
        <f>IF(ISNA(G153*VLOOKUP($D153,Hypothèses!$D$6:$F$14,3,0)),0,G153*VLOOKUP($D153,Hypothèses!$D$6:$F$14,3,0))</f>
        <v>0</v>
      </c>
      <c r="AJ153" s="1335">
        <f>IF(ISNA(H153*VLOOKUP($D153,Hypothèses!$D$6:$F$14,3,0)),0,H153*VLOOKUP($D153,Hypothèses!$D$6:$F$14,3,0))</f>
        <v>0</v>
      </c>
      <c r="AK153" s="1335">
        <f>IF(ISNA(I153*VLOOKUP($D153,Hypothèses!$D$6:$F$14,3,0)),0,I153*VLOOKUP($D153,Hypothèses!$D$6:$F$14,3,0))</f>
        <v>0</v>
      </c>
      <c r="AL153" s="1335">
        <f>IF(ISNA(J153*VLOOKUP($D153,Hypothèses!$D$6:$F$14,3,0)),0,J153*VLOOKUP($D153,Hypothèses!$D$6:$F$14,3,0))</f>
        <v>0</v>
      </c>
      <c r="AM153" s="1335">
        <f>IF(ISNA(K153*VLOOKUP($D153,Hypothèses!$D$6:$F$14,3,0)),0,K153*VLOOKUP($D153,Hypothèses!$D$6:$F$14,3,0))</f>
        <v>0</v>
      </c>
      <c r="AN153" s="1335">
        <f>IF(ISNA(L153*VLOOKUP($D153,Hypothèses!$D$6:$F$14,3,0)),0,L153*VLOOKUP($D153,Hypothèses!$D$6:$F$14,3,0))</f>
        <v>0</v>
      </c>
      <c r="AO153" s="1335">
        <f>IF(ISNA(M153*VLOOKUP($D153,Hypothèses!$D$6:$F$14,3,0)),0,M153*VLOOKUP($D153,Hypothèses!$D$6:$F$14,3,0))</f>
        <v>0</v>
      </c>
      <c r="AP153" s="1335">
        <f>IF(ISNA(N153*VLOOKUP($D153,Hypothèses!$D$6:$F$14,3,0)),0,N153*VLOOKUP($D153,Hypothèses!$D$6:$F$14,3,0))</f>
        <v>0</v>
      </c>
      <c r="AQ153" s="1335">
        <f>IF(ISNA(O153*VLOOKUP($D153,Hypothèses!$D$6:$F$14,3,0)),0,O153*VLOOKUP($D153,Hypothèses!$D$6:$F$14,3,0))</f>
        <v>0</v>
      </c>
      <c r="AR153" s="1335">
        <f>IF(ISNA(P153*VLOOKUP($D153,Hypothèses!$D$6:$F$14,3,0)),0,P153*VLOOKUP($D153,Hypothèses!$D$6:$F$14,3,0))</f>
        <v>0</v>
      </c>
      <c r="AS153" s="1335">
        <f>IF(ISNA(Q153*VLOOKUP($D153,Hypothèses!$D$6:$F$14,3,0)),0,Q153*VLOOKUP($D153,Hypothèses!$D$6:$F$14,3,0))</f>
        <v>0</v>
      </c>
      <c r="AT153" s="1335">
        <f>IF(ISNA(R153*VLOOKUP($D153,Hypothèses!$D$6:$F$14,3,0)),0,R153*VLOOKUP($D153,Hypothèses!$D$6:$F$14,3,0))</f>
        <v>0</v>
      </c>
      <c r="AU153" s="1335">
        <f>IF(ISNA(S153*VLOOKUP($D153,Hypothèses!$D$6:$F$14,3,0)),0,S153*VLOOKUP($D153,Hypothèses!$D$6:$F$14,3,0))</f>
        <v>0</v>
      </c>
      <c r="AV153" s="1335">
        <f>IF(ISNA(T153*VLOOKUP($D153,Hypothèses!$D$6:$F$14,3,0)),0,T153*VLOOKUP($D153,Hypothèses!$D$6:$F$14,3,0))</f>
        <v>0</v>
      </c>
      <c r="AW153" s="1335">
        <f>IF(ISNA(U153*VLOOKUP($D153,Hypothèses!$D$6:$F$14,3,0)),0,U153*VLOOKUP($D153,Hypothèses!$D$6:$F$14,3,0))</f>
        <v>0</v>
      </c>
      <c r="AX153" s="1335">
        <f>IF(ISNA(V153*VLOOKUP($D153,Hypothèses!$D$6:$F$14,3,0)),0,V153*VLOOKUP($D153,Hypothèses!$D$6:$F$14,3,0))</f>
        <v>0</v>
      </c>
      <c r="AY153" s="1335">
        <f>IF(ISNA(W153*VLOOKUP($D153,Hypothèses!$D$6:$F$14,3,0)),0,W153*VLOOKUP($D153,Hypothèses!$D$6:$F$14,3,0))</f>
        <v>0</v>
      </c>
      <c r="AZ153" s="1335">
        <f>IF(ISNA(X153*VLOOKUP($D153,Hypothèses!$D$6:$F$14,3,0)),0,X153*VLOOKUP($D153,Hypothèses!$D$6:$F$14,3,0))</f>
        <v>0</v>
      </c>
      <c r="BA153" s="1335">
        <f>IF(ISNA(Y153*VLOOKUP($D153,Hypothèses!$D$6:$F$14,3,0)),0,Y153*VLOOKUP($D153,Hypothèses!$D$6:$F$14,3,0))</f>
        <v>0</v>
      </c>
      <c r="BB153" s="1335">
        <f>IF(ISNA(Z153*VLOOKUP($D153,Hypothèses!$D$6:$F$14,3,0)),0,Z153*VLOOKUP($D153,Hypothèses!$D$6:$F$14,3,0))</f>
        <v>0</v>
      </c>
      <c r="BC153" s="1335">
        <f>IF(ISNA(AA153*VLOOKUP($D153,Hypothèses!$D$6:$F$14,3,0)),0,AA153*VLOOKUP($D153,Hypothèses!$D$6:$F$14,3,0))</f>
        <v>0</v>
      </c>
      <c r="BD153" s="70"/>
      <c r="BE153" s="70"/>
      <c r="BF153" s="70"/>
      <c r="BG153" s="70"/>
      <c r="BH153" s="70"/>
      <c r="BI153" s="70"/>
      <c r="BJ153" s="70"/>
      <c r="BK153" s="70"/>
      <c r="BL153" s="70"/>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row>
    <row r="154" spans="1:89" s="3" customFormat="1">
      <c r="A154" s="1817">
        <v>147</v>
      </c>
      <c r="B154" s="1790"/>
      <c r="C154" s="1333"/>
      <c r="D154" s="1334"/>
      <c r="E154" s="1332" t="str">
        <f>IF(ISNA(VLOOKUP(D154,Hypothèses!$D$6:$G$16,4,0)),"",VLOOKUP(D154,Hypothèses!$D$6:$G$16,4,0))</f>
        <v/>
      </c>
      <c r="F154" s="1842"/>
      <c r="G154" s="1843"/>
      <c r="H154" s="1843"/>
      <c r="I154" s="1843"/>
      <c r="J154" s="1843"/>
      <c r="K154" s="1843"/>
      <c r="L154" s="1843"/>
      <c r="M154" s="1843"/>
      <c r="N154" s="1843"/>
      <c r="O154" s="1843"/>
      <c r="P154" s="1843"/>
      <c r="Q154" s="1843"/>
      <c r="R154" s="1843"/>
      <c r="S154" s="1843"/>
      <c r="T154" s="1843"/>
      <c r="U154" s="1843"/>
      <c r="V154" s="1843"/>
      <c r="W154" s="1843"/>
      <c r="X154" s="1843"/>
      <c r="Y154" s="1843"/>
      <c r="Z154" s="1843"/>
      <c r="AA154" s="1844"/>
      <c r="AB154" s="1335"/>
      <c r="AC154" s="1335"/>
      <c r="AD154" s="1335"/>
      <c r="AE154" s="1335"/>
      <c r="AF154" s="1335"/>
      <c r="AG154"/>
      <c r="AH154" s="1335">
        <f>IF(ISNA(F154*VLOOKUP($D154,Hypothèses!$D$6:$F$14,3,0)),0,F154*VLOOKUP($D154,Hypothèses!$D$6:$F$14,3,0))</f>
        <v>0</v>
      </c>
      <c r="AI154" s="1335">
        <f>IF(ISNA(G154*VLOOKUP($D154,Hypothèses!$D$6:$F$14,3,0)),0,G154*VLOOKUP($D154,Hypothèses!$D$6:$F$14,3,0))</f>
        <v>0</v>
      </c>
      <c r="AJ154" s="1335">
        <f>IF(ISNA(H154*VLOOKUP($D154,Hypothèses!$D$6:$F$14,3,0)),0,H154*VLOOKUP($D154,Hypothèses!$D$6:$F$14,3,0))</f>
        <v>0</v>
      </c>
      <c r="AK154" s="1335">
        <f>IF(ISNA(I154*VLOOKUP($D154,Hypothèses!$D$6:$F$14,3,0)),0,I154*VLOOKUP($D154,Hypothèses!$D$6:$F$14,3,0))</f>
        <v>0</v>
      </c>
      <c r="AL154" s="1335">
        <f>IF(ISNA(J154*VLOOKUP($D154,Hypothèses!$D$6:$F$14,3,0)),0,J154*VLOOKUP($D154,Hypothèses!$D$6:$F$14,3,0))</f>
        <v>0</v>
      </c>
      <c r="AM154" s="1335">
        <f>IF(ISNA(K154*VLOOKUP($D154,Hypothèses!$D$6:$F$14,3,0)),0,K154*VLOOKUP($D154,Hypothèses!$D$6:$F$14,3,0))</f>
        <v>0</v>
      </c>
      <c r="AN154" s="1335">
        <f>IF(ISNA(L154*VLOOKUP($D154,Hypothèses!$D$6:$F$14,3,0)),0,L154*VLOOKUP($D154,Hypothèses!$D$6:$F$14,3,0))</f>
        <v>0</v>
      </c>
      <c r="AO154" s="1335">
        <f>IF(ISNA(M154*VLOOKUP($D154,Hypothèses!$D$6:$F$14,3,0)),0,M154*VLOOKUP($D154,Hypothèses!$D$6:$F$14,3,0))</f>
        <v>0</v>
      </c>
      <c r="AP154" s="1335">
        <f>IF(ISNA(N154*VLOOKUP($D154,Hypothèses!$D$6:$F$14,3,0)),0,N154*VLOOKUP($D154,Hypothèses!$D$6:$F$14,3,0))</f>
        <v>0</v>
      </c>
      <c r="AQ154" s="1335">
        <f>IF(ISNA(O154*VLOOKUP($D154,Hypothèses!$D$6:$F$14,3,0)),0,O154*VLOOKUP($D154,Hypothèses!$D$6:$F$14,3,0))</f>
        <v>0</v>
      </c>
      <c r="AR154" s="1335">
        <f>IF(ISNA(P154*VLOOKUP($D154,Hypothèses!$D$6:$F$14,3,0)),0,P154*VLOOKUP($D154,Hypothèses!$D$6:$F$14,3,0))</f>
        <v>0</v>
      </c>
      <c r="AS154" s="1335">
        <f>IF(ISNA(Q154*VLOOKUP($D154,Hypothèses!$D$6:$F$14,3,0)),0,Q154*VLOOKUP($D154,Hypothèses!$D$6:$F$14,3,0))</f>
        <v>0</v>
      </c>
      <c r="AT154" s="1335">
        <f>IF(ISNA(R154*VLOOKUP($D154,Hypothèses!$D$6:$F$14,3,0)),0,R154*VLOOKUP($D154,Hypothèses!$D$6:$F$14,3,0))</f>
        <v>0</v>
      </c>
      <c r="AU154" s="1335">
        <f>IF(ISNA(S154*VLOOKUP($D154,Hypothèses!$D$6:$F$14,3,0)),0,S154*VLOOKUP($D154,Hypothèses!$D$6:$F$14,3,0))</f>
        <v>0</v>
      </c>
      <c r="AV154" s="1335">
        <f>IF(ISNA(T154*VLOOKUP($D154,Hypothèses!$D$6:$F$14,3,0)),0,T154*VLOOKUP($D154,Hypothèses!$D$6:$F$14,3,0))</f>
        <v>0</v>
      </c>
      <c r="AW154" s="1335">
        <f>IF(ISNA(U154*VLOOKUP($D154,Hypothèses!$D$6:$F$14,3,0)),0,U154*VLOOKUP($D154,Hypothèses!$D$6:$F$14,3,0))</f>
        <v>0</v>
      </c>
      <c r="AX154" s="1335">
        <f>IF(ISNA(V154*VLOOKUP($D154,Hypothèses!$D$6:$F$14,3,0)),0,V154*VLOOKUP($D154,Hypothèses!$D$6:$F$14,3,0))</f>
        <v>0</v>
      </c>
      <c r="AY154" s="1335">
        <f>IF(ISNA(W154*VLOOKUP($D154,Hypothèses!$D$6:$F$14,3,0)),0,W154*VLOOKUP($D154,Hypothèses!$D$6:$F$14,3,0))</f>
        <v>0</v>
      </c>
      <c r="AZ154" s="1335">
        <f>IF(ISNA(X154*VLOOKUP($D154,Hypothèses!$D$6:$F$14,3,0)),0,X154*VLOOKUP($D154,Hypothèses!$D$6:$F$14,3,0))</f>
        <v>0</v>
      </c>
      <c r="BA154" s="1335">
        <f>IF(ISNA(Y154*VLOOKUP($D154,Hypothèses!$D$6:$F$14,3,0)),0,Y154*VLOOKUP($D154,Hypothèses!$D$6:$F$14,3,0))</f>
        <v>0</v>
      </c>
      <c r="BB154" s="1335">
        <f>IF(ISNA(Z154*VLOOKUP($D154,Hypothèses!$D$6:$F$14,3,0)),0,Z154*VLOOKUP($D154,Hypothèses!$D$6:$F$14,3,0))</f>
        <v>0</v>
      </c>
      <c r="BC154" s="1335">
        <f>IF(ISNA(AA154*VLOOKUP($D154,Hypothèses!$D$6:$F$14,3,0)),0,AA154*VLOOKUP($D154,Hypothèses!$D$6:$F$14,3,0))</f>
        <v>0</v>
      </c>
      <c r="BD154" s="70"/>
      <c r="BE154" s="70"/>
      <c r="BF154" s="70"/>
      <c r="BG154" s="70"/>
      <c r="BH154" s="70"/>
      <c r="BI154" s="70"/>
      <c r="BJ154" s="70"/>
      <c r="BK154" s="70"/>
      <c r="BL154" s="70"/>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row>
    <row r="155" spans="1:89" s="3" customFormat="1">
      <c r="A155" s="1817">
        <v>148</v>
      </c>
      <c r="B155" s="1790"/>
      <c r="C155" s="1333"/>
      <c r="D155" s="1334"/>
      <c r="E155" s="1332"/>
      <c r="F155" s="1842"/>
      <c r="G155" s="1843"/>
      <c r="H155" s="1843"/>
      <c r="I155" s="1843"/>
      <c r="J155" s="1843"/>
      <c r="K155" s="1843"/>
      <c r="L155" s="1843"/>
      <c r="M155" s="1843"/>
      <c r="N155" s="1843"/>
      <c r="O155" s="1843"/>
      <c r="P155" s="1843"/>
      <c r="Q155" s="1843"/>
      <c r="R155" s="1843"/>
      <c r="S155" s="1843"/>
      <c r="T155" s="1843"/>
      <c r="U155" s="1843"/>
      <c r="V155" s="1843"/>
      <c r="W155" s="1843"/>
      <c r="X155" s="1843"/>
      <c r="Y155" s="1843"/>
      <c r="Z155" s="1843"/>
      <c r="AA155" s="1844"/>
      <c r="AB155" s="1335"/>
      <c r="AC155" s="1335"/>
      <c r="AD155" s="1335"/>
      <c r="AE155" s="1335"/>
      <c r="AF155" s="1335"/>
      <c r="AG155"/>
      <c r="AH155" s="1335">
        <f>IF(ISNA(F155*VLOOKUP($D155,Hypothèses!$D$6:$F$14,3,0)),0,F155*VLOOKUP($D155,Hypothèses!$D$6:$F$14,3,0))</f>
        <v>0</v>
      </c>
      <c r="AI155" s="1335">
        <f>IF(ISNA(G155*VLOOKUP($D155,Hypothèses!$D$6:$F$14,3,0)),0,G155*VLOOKUP($D155,Hypothèses!$D$6:$F$14,3,0))</f>
        <v>0</v>
      </c>
      <c r="AJ155" s="1335">
        <f>IF(ISNA(H155*VLOOKUP($D155,Hypothèses!$D$6:$F$14,3,0)),0,H155*VLOOKUP($D155,Hypothèses!$D$6:$F$14,3,0))</f>
        <v>0</v>
      </c>
      <c r="AK155" s="1335">
        <f>IF(ISNA(I155*VLOOKUP($D155,Hypothèses!$D$6:$F$14,3,0)),0,I155*VLOOKUP($D155,Hypothèses!$D$6:$F$14,3,0))</f>
        <v>0</v>
      </c>
      <c r="AL155" s="1335">
        <f>IF(ISNA(J155*VLOOKUP($D155,Hypothèses!$D$6:$F$14,3,0)),0,J155*VLOOKUP($D155,Hypothèses!$D$6:$F$14,3,0))</f>
        <v>0</v>
      </c>
      <c r="AM155" s="1335">
        <f>IF(ISNA(K155*VLOOKUP($D155,Hypothèses!$D$6:$F$14,3,0)),0,K155*VLOOKUP($D155,Hypothèses!$D$6:$F$14,3,0))</f>
        <v>0</v>
      </c>
      <c r="AN155" s="1335">
        <f>IF(ISNA(L155*VLOOKUP($D155,Hypothèses!$D$6:$F$14,3,0)),0,L155*VLOOKUP($D155,Hypothèses!$D$6:$F$14,3,0))</f>
        <v>0</v>
      </c>
      <c r="AO155" s="1335">
        <f>IF(ISNA(M155*VLOOKUP($D155,Hypothèses!$D$6:$F$14,3,0)),0,M155*VLOOKUP($D155,Hypothèses!$D$6:$F$14,3,0))</f>
        <v>0</v>
      </c>
      <c r="AP155" s="1335">
        <f>IF(ISNA(N155*VLOOKUP($D155,Hypothèses!$D$6:$F$14,3,0)),0,N155*VLOOKUP($D155,Hypothèses!$D$6:$F$14,3,0))</f>
        <v>0</v>
      </c>
      <c r="AQ155" s="1335">
        <f>IF(ISNA(O155*VLOOKUP($D155,Hypothèses!$D$6:$F$14,3,0)),0,O155*VLOOKUP($D155,Hypothèses!$D$6:$F$14,3,0))</f>
        <v>0</v>
      </c>
      <c r="AR155" s="1335">
        <f>IF(ISNA(P155*VLOOKUP($D155,Hypothèses!$D$6:$F$14,3,0)),0,P155*VLOOKUP($D155,Hypothèses!$D$6:$F$14,3,0))</f>
        <v>0</v>
      </c>
      <c r="AS155" s="1335">
        <f>IF(ISNA(Q155*VLOOKUP($D155,Hypothèses!$D$6:$F$14,3,0)),0,Q155*VLOOKUP($D155,Hypothèses!$D$6:$F$14,3,0))</f>
        <v>0</v>
      </c>
      <c r="AT155" s="1335">
        <f>IF(ISNA(R155*VLOOKUP($D155,Hypothèses!$D$6:$F$14,3,0)),0,R155*VLOOKUP($D155,Hypothèses!$D$6:$F$14,3,0))</f>
        <v>0</v>
      </c>
      <c r="AU155" s="1335">
        <f>IF(ISNA(S155*VLOOKUP($D155,Hypothèses!$D$6:$F$14,3,0)),0,S155*VLOOKUP($D155,Hypothèses!$D$6:$F$14,3,0))</f>
        <v>0</v>
      </c>
      <c r="AV155" s="1335">
        <f>IF(ISNA(T155*VLOOKUP($D155,Hypothèses!$D$6:$F$14,3,0)),0,T155*VLOOKUP($D155,Hypothèses!$D$6:$F$14,3,0))</f>
        <v>0</v>
      </c>
      <c r="AW155" s="1335">
        <f>IF(ISNA(U155*VLOOKUP($D155,Hypothèses!$D$6:$F$14,3,0)),0,U155*VLOOKUP($D155,Hypothèses!$D$6:$F$14,3,0))</f>
        <v>0</v>
      </c>
      <c r="AX155" s="1335">
        <f>IF(ISNA(V155*VLOOKUP($D155,Hypothèses!$D$6:$F$14,3,0)),0,V155*VLOOKUP($D155,Hypothèses!$D$6:$F$14,3,0))</f>
        <v>0</v>
      </c>
      <c r="AY155" s="1335">
        <f>IF(ISNA(W155*VLOOKUP($D155,Hypothèses!$D$6:$F$14,3,0)),0,W155*VLOOKUP($D155,Hypothèses!$D$6:$F$14,3,0))</f>
        <v>0</v>
      </c>
      <c r="AZ155" s="1335">
        <f>IF(ISNA(X155*VLOOKUP($D155,Hypothèses!$D$6:$F$14,3,0)),0,X155*VLOOKUP($D155,Hypothèses!$D$6:$F$14,3,0))</f>
        <v>0</v>
      </c>
      <c r="BA155" s="1335">
        <f>IF(ISNA(Y155*VLOOKUP($D155,Hypothèses!$D$6:$F$14,3,0)),0,Y155*VLOOKUP($D155,Hypothèses!$D$6:$F$14,3,0))</f>
        <v>0</v>
      </c>
      <c r="BB155" s="1335">
        <f>IF(ISNA(Z155*VLOOKUP($D155,Hypothèses!$D$6:$F$14,3,0)),0,Z155*VLOOKUP($D155,Hypothèses!$D$6:$F$14,3,0))</f>
        <v>0</v>
      </c>
      <c r="BC155" s="1335">
        <f>IF(ISNA(AA155*VLOOKUP($D155,Hypothèses!$D$6:$F$14,3,0)),0,AA155*VLOOKUP($D155,Hypothèses!$D$6:$F$14,3,0))</f>
        <v>0</v>
      </c>
      <c r="BD155" s="70"/>
      <c r="BE155" s="70"/>
      <c r="BF155" s="70"/>
      <c r="BG155" s="70"/>
      <c r="BH155" s="70"/>
      <c r="BI155" s="70"/>
      <c r="BJ155" s="70"/>
      <c r="BK155" s="70"/>
      <c r="BL155" s="70"/>
      <c r="BM155" s="70"/>
      <c r="BN155" s="70"/>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row>
    <row r="156" spans="1:89" s="3" customFormat="1">
      <c r="A156" s="1817">
        <v>149</v>
      </c>
      <c r="B156" s="1790"/>
      <c r="C156" s="1333"/>
      <c r="D156" s="1334"/>
      <c r="E156" s="1332"/>
      <c r="F156" s="1842"/>
      <c r="G156" s="1843"/>
      <c r="H156" s="1843"/>
      <c r="I156" s="1843"/>
      <c r="J156" s="1843"/>
      <c r="K156" s="1843"/>
      <c r="L156" s="1843"/>
      <c r="M156" s="1843"/>
      <c r="N156" s="1843"/>
      <c r="O156" s="1843"/>
      <c r="P156" s="1843"/>
      <c r="Q156" s="1843"/>
      <c r="R156" s="1843"/>
      <c r="S156" s="1843"/>
      <c r="T156" s="1843"/>
      <c r="U156" s="1843"/>
      <c r="V156" s="1843"/>
      <c r="W156" s="1843"/>
      <c r="X156" s="1843"/>
      <c r="Y156" s="1843"/>
      <c r="Z156" s="1843"/>
      <c r="AA156" s="1844"/>
      <c r="AB156" s="1335"/>
      <c r="AC156" s="1335"/>
      <c r="AD156" s="1335"/>
      <c r="AE156" s="1335"/>
      <c r="AF156" s="1335"/>
      <c r="AG156"/>
      <c r="AH156" s="1335">
        <f>IF(ISNA(F156*VLOOKUP($D156,Hypothèses!$D$6:$F$14,3,0)),0,F156*VLOOKUP($D156,Hypothèses!$D$6:$F$14,3,0))</f>
        <v>0</v>
      </c>
      <c r="AI156" s="1335">
        <f>IF(ISNA(G156*VLOOKUP($D156,Hypothèses!$D$6:$F$14,3,0)),0,G156*VLOOKUP($D156,Hypothèses!$D$6:$F$14,3,0))</f>
        <v>0</v>
      </c>
      <c r="AJ156" s="1335">
        <f>IF(ISNA(H156*VLOOKUP($D156,Hypothèses!$D$6:$F$14,3,0)),0,H156*VLOOKUP($D156,Hypothèses!$D$6:$F$14,3,0))</f>
        <v>0</v>
      </c>
      <c r="AK156" s="1335">
        <f>IF(ISNA(I156*VLOOKUP($D156,Hypothèses!$D$6:$F$14,3,0)),0,I156*VLOOKUP($D156,Hypothèses!$D$6:$F$14,3,0))</f>
        <v>0</v>
      </c>
      <c r="AL156" s="1335">
        <f>IF(ISNA(J156*VLOOKUP($D156,Hypothèses!$D$6:$F$14,3,0)),0,J156*VLOOKUP($D156,Hypothèses!$D$6:$F$14,3,0))</f>
        <v>0</v>
      </c>
      <c r="AM156" s="1335">
        <f>IF(ISNA(K156*VLOOKUP($D156,Hypothèses!$D$6:$F$14,3,0)),0,K156*VLOOKUP($D156,Hypothèses!$D$6:$F$14,3,0))</f>
        <v>0</v>
      </c>
      <c r="AN156" s="1335">
        <f>IF(ISNA(L156*VLOOKUP($D156,Hypothèses!$D$6:$F$14,3,0)),0,L156*VLOOKUP($D156,Hypothèses!$D$6:$F$14,3,0))</f>
        <v>0</v>
      </c>
      <c r="AO156" s="1335">
        <f>IF(ISNA(M156*VLOOKUP($D156,Hypothèses!$D$6:$F$14,3,0)),0,M156*VLOOKUP($D156,Hypothèses!$D$6:$F$14,3,0))</f>
        <v>0</v>
      </c>
      <c r="AP156" s="1335">
        <f>IF(ISNA(N156*VLOOKUP($D156,Hypothèses!$D$6:$F$14,3,0)),0,N156*VLOOKUP($D156,Hypothèses!$D$6:$F$14,3,0))</f>
        <v>0</v>
      </c>
      <c r="AQ156" s="1335">
        <f>IF(ISNA(O156*VLOOKUP($D156,Hypothèses!$D$6:$F$14,3,0)),0,O156*VLOOKUP($D156,Hypothèses!$D$6:$F$14,3,0))</f>
        <v>0</v>
      </c>
      <c r="AR156" s="1335">
        <f>IF(ISNA(P156*VLOOKUP($D156,Hypothèses!$D$6:$F$14,3,0)),0,P156*VLOOKUP($D156,Hypothèses!$D$6:$F$14,3,0))</f>
        <v>0</v>
      </c>
      <c r="AS156" s="1335">
        <f>IF(ISNA(Q156*VLOOKUP($D156,Hypothèses!$D$6:$F$14,3,0)),0,Q156*VLOOKUP($D156,Hypothèses!$D$6:$F$14,3,0))</f>
        <v>0</v>
      </c>
      <c r="AT156" s="1335">
        <f>IF(ISNA(R156*VLOOKUP($D156,Hypothèses!$D$6:$F$14,3,0)),0,R156*VLOOKUP($D156,Hypothèses!$D$6:$F$14,3,0))</f>
        <v>0</v>
      </c>
      <c r="AU156" s="1335">
        <f>IF(ISNA(S156*VLOOKUP($D156,Hypothèses!$D$6:$F$14,3,0)),0,S156*VLOOKUP($D156,Hypothèses!$D$6:$F$14,3,0))</f>
        <v>0</v>
      </c>
      <c r="AV156" s="1335">
        <f>IF(ISNA(T156*VLOOKUP($D156,Hypothèses!$D$6:$F$14,3,0)),0,T156*VLOOKUP($D156,Hypothèses!$D$6:$F$14,3,0))</f>
        <v>0</v>
      </c>
      <c r="AW156" s="1335">
        <f>IF(ISNA(U156*VLOOKUP($D156,Hypothèses!$D$6:$F$14,3,0)),0,U156*VLOOKUP($D156,Hypothèses!$D$6:$F$14,3,0))</f>
        <v>0</v>
      </c>
      <c r="AX156" s="1335">
        <f>IF(ISNA(V156*VLOOKUP($D156,Hypothèses!$D$6:$F$14,3,0)),0,V156*VLOOKUP($D156,Hypothèses!$D$6:$F$14,3,0))</f>
        <v>0</v>
      </c>
      <c r="AY156" s="1335">
        <f>IF(ISNA(W156*VLOOKUP($D156,Hypothèses!$D$6:$F$14,3,0)),0,W156*VLOOKUP($D156,Hypothèses!$D$6:$F$14,3,0))</f>
        <v>0</v>
      </c>
      <c r="AZ156" s="1335">
        <f>IF(ISNA(X156*VLOOKUP($D156,Hypothèses!$D$6:$F$14,3,0)),0,X156*VLOOKUP($D156,Hypothèses!$D$6:$F$14,3,0))</f>
        <v>0</v>
      </c>
      <c r="BA156" s="1335">
        <f>IF(ISNA(Y156*VLOOKUP($D156,Hypothèses!$D$6:$F$14,3,0)),0,Y156*VLOOKUP($D156,Hypothèses!$D$6:$F$14,3,0))</f>
        <v>0</v>
      </c>
      <c r="BB156" s="1335">
        <f>IF(ISNA(Z156*VLOOKUP($D156,Hypothèses!$D$6:$F$14,3,0)),0,Z156*VLOOKUP($D156,Hypothèses!$D$6:$F$14,3,0))</f>
        <v>0</v>
      </c>
      <c r="BC156" s="1335">
        <f>IF(ISNA(AA156*VLOOKUP($D156,Hypothèses!$D$6:$F$14,3,0)),0,AA156*VLOOKUP($D156,Hypothèses!$D$6:$F$14,3,0))</f>
        <v>0</v>
      </c>
      <c r="BD156" s="70"/>
      <c r="BE156" s="70"/>
      <c r="BF156" s="70"/>
      <c r="BG156" s="70"/>
      <c r="BH156" s="70"/>
      <c r="BI156" s="70"/>
      <c r="BJ156" s="70"/>
      <c r="BK156" s="70"/>
      <c r="BL156" s="70"/>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row>
    <row r="157" spans="1:89" s="3" customFormat="1">
      <c r="A157" s="1824">
        <v>150</v>
      </c>
      <c r="B157" s="1825"/>
      <c r="C157" s="1826"/>
      <c r="D157" s="1827"/>
      <c r="E157" s="1828"/>
      <c r="F157" s="1845"/>
      <c r="G157" s="1846"/>
      <c r="H157" s="1846"/>
      <c r="I157" s="1846"/>
      <c r="J157" s="1846"/>
      <c r="K157" s="1846"/>
      <c r="L157" s="1846"/>
      <c r="M157" s="1846"/>
      <c r="N157" s="1846"/>
      <c r="O157" s="1846"/>
      <c r="P157" s="1846"/>
      <c r="Q157" s="1846"/>
      <c r="R157" s="1846"/>
      <c r="S157" s="1846"/>
      <c r="T157" s="1846"/>
      <c r="U157" s="1846"/>
      <c r="V157" s="1846"/>
      <c r="W157" s="1846"/>
      <c r="X157" s="1846"/>
      <c r="Y157" s="1846"/>
      <c r="Z157" s="1846"/>
      <c r="AA157" s="1847"/>
      <c r="AB157" s="1335"/>
      <c r="AC157" s="1335"/>
      <c r="AD157" s="1335"/>
      <c r="AE157" s="1335"/>
      <c r="AF157" s="1335"/>
      <c r="AG157"/>
      <c r="AH157" s="1335">
        <f>IF(ISNA(F157*VLOOKUP($D157,Hypothèses!$D$6:$F$14,3,0)),0,F157*VLOOKUP($D157,Hypothèses!$D$6:$F$14,3,0))</f>
        <v>0</v>
      </c>
      <c r="AI157" s="1335">
        <f>IF(ISNA(G157*VLOOKUP($D157,Hypothèses!$D$6:$F$14,3,0)),0,G157*VLOOKUP($D157,Hypothèses!$D$6:$F$14,3,0))</f>
        <v>0</v>
      </c>
      <c r="AJ157" s="1335">
        <f>IF(ISNA(H157*VLOOKUP($D157,Hypothèses!$D$6:$F$14,3,0)),0,H157*VLOOKUP($D157,Hypothèses!$D$6:$F$14,3,0))</f>
        <v>0</v>
      </c>
      <c r="AK157" s="1335">
        <f>IF(ISNA(I157*VLOOKUP($D157,Hypothèses!$D$6:$F$14,3,0)),0,I157*VLOOKUP($D157,Hypothèses!$D$6:$F$14,3,0))</f>
        <v>0</v>
      </c>
      <c r="AL157" s="1335">
        <f>IF(ISNA(J157*VLOOKUP($D157,Hypothèses!$D$6:$F$14,3,0)),0,J157*VLOOKUP($D157,Hypothèses!$D$6:$F$14,3,0))</f>
        <v>0</v>
      </c>
      <c r="AM157" s="1335">
        <f>IF(ISNA(K157*VLOOKUP($D157,Hypothèses!$D$6:$F$14,3,0)),0,K157*VLOOKUP($D157,Hypothèses!$D$6:$F$14,3,0))</f>
        <v>0</v>
      </c>
      <c r="AN157" s="1335">
        <f>IF(ISNA(L157*VLOOKUP($D157,Hypothèses!$D$6:$F$14,3,0)),0,L157*VLOOKUP($D157,Hypothèses!$D$6:$F$14,3,0))</f>
        <v>0</v>
      </c>
      <c r="AO157" s="1335">
        <f>IF(ISNA(M157*VLOOKUP($D157,Hypothèses!$D$6:$F$14,3,0)),0,M157*VLOOKUP($D157,Hypothèses!$D$6:$F$14,3,0))</f>
        <v>0</v>
      </c>
      <c r="AP157" s="1335">
        <f>IF(ISNA(N157*VLOOKUP($D157,Hypothèses!$D$6:$F$14,3,0)),0,N157*VLOOKUP($D157,Hypothèses!$D$6:$F$14,3,0))</f>
        <v>0</v>
      </c>
      <c r="AQ157" s="1335">
        <f>IF(ISNA(O157*VLOOKUP($D157,Hypothèses!$D$6:$F$14,3,0)),0,O157*VLOOKUP($D157,Hypothèses!$D$6:$F$14,3,0))</f>
        <v>0</v>
      </c>
      <c r="AR157" s="1335">
        <f>IF(ISNA(P157*VLOOKUP($D157,Hypothèses!$D$6:$F$14,3,0)),0,P157*VLOOKUP($D157,Hypothèses!$D$6:$F$14,3,0))</f>
        <v>0</v>
      </c>
      <c r="AS157" s="1335">
        <f>IF(ISNA(Q157*VLOOKUP($D157,Hypothèses!$D$6:$F$14,3,0)),0,Q157*VLOOKUP($D157,Hypothèses!$D$6:$F$14,3,0))</f>
        <v>0</v>
      </c>
      <c r="AT157" s="1335">
        <f>IF(ISNA(R157*VLOOKUP($D157,Hypothèses!$D$6:$F$14,3,0)),0,R157*VLOOKUP($D157,Hypothèses!$D$6:$F$14,3,0))</f>
        <v>0</v>
      </c>
      <c r="AU157" s="1335">
        <f>IF(ISNA(S157*VLOOKUP($D157,Hypothèses!$D$6:$F$14,3,0)),0,S157*VLOOKUP($D157,Hypothèses!$D$6:$F$14,3,0))</f>
        <v>0</v>
      </c>
      <c r="AV157" s="1335">
        <f>IF(ISNA(T157*VLOOKUP($D157,Hypothèses!$D$6:$F$14,3,0)),0,T157*VLOOKUP($D157,Hypothèses!$D$6:$F$14,3,0))</f>
        <v>0</v>
      </c>
      <c r="AW157" s="1335">
        <f>IF(ISNA(U157*VLOOKUP($D157,Hypothèses!$D$6:$F$14,3,0)),0,U157*VLOOKUP($D157,Hypothèses!$D$6:$F$14,3,0))</f>
        <v>0</v>
      </c>
      <c r="AX157" s="1335">
        <f>IF(ISNA(V157*VLOOKUP($D157,Hypothèses!$D$6:$F$14,3,0)),0,V157*VLOOKUP($D157,Hypothèses!$D$6:$F$14,3,0))</f>
        <v>0</v>
      </c>
      <c r="AY157" s="1335">
        <f>IF(ISNA(W157*VLOOKUP($D157,Hypothèses!$D$6:$F$14,3,0)),0,W157*VLOOKUP($D157,Hypothèses!$D$6:$F$14,3,0))</f>
        <v>0</v>
      </c>
      <c r="AZ157" s="1335">
        <f>IF(ISNA(X157*VLOOKUP($D157,Hypothèses!$D$6:$F$14,3,0)),0,X157*VLOOKUP($D157,Hypothèses!$D$6:$F$14,3,0))</f>
        <v>0</v>
      </c>
      <c r="BA157" s="1335">
        <f>IF(ISNA(Y157*VLOOKUP($D157,Hypothèses!$D$6:$F$14,3,0)),0,Y157*VLOOKUP($D157,Hypothèses!$D$6:$F$14,3,0))</f>
        <v>0</v>
      </c>
      <c r="BB157" s="1335">
        <f>IF(ISNA(Z157*VLOOKUP($D157,Hypothèses!$D$6:$F$14,3,0)),0,Z157*VLOOKUP($D157,Hypothèses!$D$6:$F$14,3,0))</f>
        <v>0</v>
      </c>
      <c r="BC157" s="1335">
        <f>IF(ISNA(AA157*VLOOKUP($D157,Hypothèses!$D$6:$F$14,3,0)),0,AA157*VLOOKUP($D157,Hypothèses!$D$6:$F$14,3,0))</f>
        <v>0</v>
      </c>
      <c r="BD157" s="70"/>
      <c r="BE157" s="70"/>
      <c r="BF157" s="70"/>
      <c r="BG157" s="70"/>
      <c r="BH157" s="70"/>
      <c r="BI157" s="70"/>
      <c r="BJ157" s="70"/>
      <c r="BK157" s="70"/>
      <c r="BL157" s="70"/>
      <c r="BM157" s="70"/>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row>
    <row r="160" spans="1:89" ht="18">
      <c r="A160" s="71" t="s">
        <v>86</v>
      </c>
      <c r="B160" s="70"/>
      <c r="C160" s="70"/>
      <c r="D160" s="70"/>
      <c r="E160" s="70"/>
      <c r="F160" s="70"/>
      <c r="G160" s="70"/>
      <c r="H160" s="70"/>
      <c r="I160" s="70"/>
      <c r="J160" s="70"/>
      <c r="K160" s="70"/>
      <c r="L160" s="70"/>
      <c r="M160" s="70"/>
      <c r="N160" s="70"/>
      <c r="O160" s="70"/>
      <c r="P160" s="70"/>
      <c r="Q160" s="70"/>
      <c r="R160" s="72"/>
      <c r="S160" s="73"/>
      <c r="T160" s="73"/>
      <c r="U160" s="73"/>
      <c r="V160" s="73"/>
      <c r="W160" s="73"/>
      <c r="X160" s="73"/>
      <c r="Y160" s="73"/>
      <c r="Z160" s="73"/>
      <c r="AA160" s="73"/>
    </row>
    <row r="161" spans="1:33" ht="18" customHeight="1">
      <c r="A161" s="1862" t="s">
        <v>77</v>
      </c>
      <c r="B161" s="1687" t="s">
        <v>3100</v>
      </c>
      <c r="C161" s="1861" t="s">
        <v>2218</v>
      </c>
      <c r="D161" s="1864" t="s">
        <v>3110</v>
      </c>
      <c r="E161" s="1865" t="s">
        <v>3123</v>
      </c>
      <c r="F161" s="1686" t="s">
        <v>119</v>
      </c>
      <c r="G161" s="1331" t="s">
        <v>120</v>
      </c>
      <c r="H161" s="1331" t="s">
        <v>121</v>
      </c>
      <c r="I161" s="1331" t="s">
        <v>122</v>
      </c>
      <c r="J161" s="1331" t="s">
        <v>123</v>
      </c>
      <c r="K161" s="1331" t="s">
        <v>124</v>
      </c>
      <c r="L161" s="1331" t="s">
        <v>125</v>
      </c>
      <c r="M161" s="1331" t="s">
        <v>126</v>
      </c>
      <c r="N161" s="1331" t="s">
        <v>127</v>
      </c>
      <c r="O161" s="1331" t="s">
        <v>128</v>
      </c>
      <c r="P161" s="1331" t="s">
        <v>129</v>
      </c>
      <c r="Q161" s="1331" t="s">
        <v>130</v>
      </c>
      <c r="R161" s="1331" t="s">
        <v>131</v>
      </c>
      <c r="S161" s="1331" t="s">
        <v>132</v>
      </c>
      <c r="T161" s="1331" t="s">
        <v>133</v>
      </c>
      <c r="U161" s="1331" t="s">
        <v>134</v>
      </c>
      <c r="V161" s="1331" t="s">
        <v>135</v>
      </c>
      <c r="W161" s="1331" t="s">
        <v>136</v>
      </c>
      <c r="X161" s="1331" t="s">
        <v>137</v>
      </c>
      <c r="Y161" s="1331" t="s">
        <v>138</v>
      </c>
      <c r="Z161" s="1331" t="s">
        <v>139</v>
      </c>
      <c r="AA161" s="1863" t="s">
        <v>140</v>
      </c>
      <c r="AB161" s="1331" t="s">
        <v>81</v>
      </c>
      <c r="AC161" s="1331" t="s">
        <v>82</v>
      </c>
      <c r="AD161" s="1331" t="s">
        <v>83</v>
      </c>
      <c r="AE161" s="1331" t="s">
        <v>84</v>
      </c>
      <c r="AF161" s="1331" t="s">
        <v>85</v>
      </c>
      <c r="AG161" s="1331" t="s">
        <v>87</v>
      </c>
    </row>
    <row r="162" spans="1:33">
      <c r="A162" s="1817">
        <v>1</v>
      </c>
      <c r="B162" s="1791"/>
      <c r="C162" s="1860"/>
      <c r="D162" s="1866"/>
      <c r="E162" s="1867"/>
      <c r="F162" s="1848"/>
      <c r="G162" s="1843"/>
      <c r="H162" s="1843"/>
      <c r="I162" s="1843"/>
      <c r="J162" s="1843"/>
      <c r="K162" s="1843"/>
      <c r="L162" s="1843"/>
      <c r="M162" s="1843"/>
      <c r="N162" s="1843"/>
      <c r="O162" s="1843"/>
      <c r="P162" s="1843"/>
      <c r="Q162" s="1843"/>
      <c r="R162" s="1843"/>
      <c r="S162" s="1843"/>
      <c r="T162" s="1843"/>
      <c r="U162" s="1843"/>
      <c r="V162" s="1843"/>
      <c r="W162" s="1843"/>
      <c r="X162" s="1843"/>
      <c r="Y162" s="1843"/>
      <c r="Z162" s="1843"/>
      <c r="AA162" s="1844"/>
      <c r="AB162" s="1335"/>
      <c r="AC162" s="1335"/>
      <c r="AD162" s="1335"/>
      <c r="AE162" s="1335"/>
      <c r="AF162" s="1335"/>
      <c r="AG162" s="1335"/>
    </row>
    <row r="163" spans="1:33">
      <c r="A163" s="1817">
        <v>2</v>
      </c>
      <c r="B163" s="1791"/>
      <c r="C163" s="1860"/>
      <c r="D163" s="1866"/>
      <c r="E163" s="1867"/>
      <c r="F163" s="1842"/>
      <c r="G163" s="1843"/>
      <c r="H163" s="1843"/>
      <c r="I163" s="1843"/>
      <c r="J163" s="1843"/>
      <c r="K163" s="1843"/>
      <c r="L163" s="1843"/>
      <c r="M163" s="1843"/>
      <c r="N163" s="1843"/>
      <c r="O163" s="1843"/>
      <c r="P163" s="1843"/>
      <c r="Q163" s="1843"/>
      <c r="R163" s="1843"/>
      <c r="S163" s="1843"/>
      <c r="T163" s="1843"/>
      <c r="U163" s="1843"/>
      <c r="V163" s="1843"/>
      <c r="W163" s="1843"/>
      <c r="X163" s="1843"/>
      <c r="Y163" s="1843"/>
      <c r="Z163" s="1843"/>
      <c r="AA163" s="1844"/>
      <c r="AB163" s="1335"/>
      <c r="AC163" s="1335"/>
      <c r="AD163" s="1335"/>
      <c r="AE163" s="1335"/>
      <c r="AF163" s="1335"/>
      <c r="AG163" s="1335"/>
    </row>
    <row r="164" spans="1:33">
      <c r="A164" s="1817">
        <v>3</v>
      </c>
      <c r="B164" s="1791"/>
      <c r="C164" s="1860"/>
      <c r="D164" s="1866"/>
      <c r="E164" s="1867"/>
      <c r="F164" s="1842"/>
      <c r="G164" s="1843"/>
      <c r="H164" s="1843"/>
      <c r="I164" s="1843"/>
      <c r="J164" s="1843"/>
      <c r="K164" s="1843"/>
      <c r="L164" s="1843"/>
      <c r="M164" s="1843"/>
      <c r="N164" s="1843"/>
      <c r="O164" s="1843"/>
      <c r="P164" s="1843"/>
      <c r="Q164" s="1843"/>
      <c r="R164" s="1843"/>
      <c r="S164" s="1843"/>
      <c r="T164" s="1843"/>
      <c r="U164" s="1843"/>
      <c r="V164" s="1843"/>
      <c r="W164" s="1843"/>
      <c r="X164" s="1843"/>
      <c r="Y164" s="1843"/>
      <c r="Z164" s="1843"/>
      <c r="AA164" s="1844"/>
      <c r="AB164" s="1335"/>
      <c r="AC164" s="1335"/>
      <c r="AD164" s="1335"/>
      <c r="AE164" s="1335"/>
      <c r="AF164" s="1335"/>
      <c r="AG164" s="1335"/>
    </row>
    <row r="165" spans="1:33">
      <c r="A165" s="1817">
        <v>4</v>
      </c>
      <c r="B165" s="1791"/>
      <c r="C165" s="1860"/>
      <c r="D165" s="1866"/>
      <c r="E165" s="1867"/>
      <c r="F165" s="1842"/>
      <c r="G165" s="1843"/>
      <c r="H165" s="1843"/>
      <c r="I165" s="1843"/>
      <c r="J165" s="1843"/>
      <c r="K165" s="1843"/>
      <c r="L165" s="1843"/>
      <c r="M165" s="1843"/>
      <c r="N165" s="1843"/>
      <c r="O165" s="1843"/>
      <c r="P165" s="1843"/>
      <c r="Q165" s="1843"/>
      <c r="R165" s="1843"/>
      <c r="S165" s="1843"/>
      <c r="T165" s="1843"/>
      <c r="U165" s="1843"/>
      <c r="V165" s="1843"/>
      <c r="W165" s="1843"/>
      <c r="X165" s="1843"/>
      <c r="Y165" s="1843"/>
      <c r="Z165" s="1843"/>
      <c r="AA165" s="1844"/>
      <c r="AB165" s="1335"/>
      <c r="AC165" s="1335"/>
      <c r="AD165" s="1335"/>
      <c r="AE165" s="1335"/>
      <c r="AF165" s="1335"/>
      <c r="AG165" s="1335"/>
    </row>
    <row r="166" spans="1:33">
      <c r="A166" s="1817">
        <v>5</v>
      </c>
      <c r="B166" s="1791"/>
      <c r="C166" s="1860"/>
      <c r="D166" s="1866"/>
      <c r="E166" s="1867"/>
      <c r="F166" s="1842"/>
      <c r="G166" s="1843"/>
      <c r="H166" s="1843"/>
      <c r="I166" s="1843"/>
      <c r="J166" s="1843"/>
      <c r="K166" s="1843"/>
      <c r="L166" s="1843"/>
      <c r="M166" s="1843"/>
      <c r="N166" s="1843"/>
      <c r="O166" s="1843"/>
      <c r="P166" s="1843"/>
      <c r="Q166" s="1843"/>
      <c r="R166" s="1843"/>
      <c r="S166" s="1843"/>
      <c r="T166" s="1843"/>
      <c r="U166" s="1843"/>
      <c r="V166" s="1843"/>
      <c r="W166" s="1843"/>
      <c r="X166" s="1843"/>
      <c r="Y166" s="1843"/>
      <c r="Z166" s="1843"/>
      <c r="AA166" s="1844"/>
      <c r="AB166" s="1335"/>
      <c r="AC166" s="1335"/>
      <c r="AD166" s="1335"/>
      <c r="AE166" s="1335"/>
      <c r="AF166" s="1335"/>
      <c r="AG166" s="1335"/>
    </row>
    <row r="167" spans="1:33">
      <c r="A167" s="1817">
        <v>6</v>
      </c>
      <c r="B167" s="1791"/>
      <c r="C167" s="1860"/>
      <c r="D167" s="1866"/>
      <c r="E167" s="1867"/>
      <c r="F167" s="1842"/>
      <c r="G167" s="1843"/>
      <c r="H167" s="1843"/>
      <c r="I167" s="1843"/>
      <c r="J167" s="1843"/>
      <c r="K167" s="1843"/>
      <c r="L167" s="1843"/>
      <c r="M167" s="1843"/>
      <c r="N167" s="1843"/>
      <c r="O167" s="1843"/>
      <c r="P167" s="1843"/>
      <c r="Q167" s="1843"/>
      <c r="R167" s="1843"/>
      <c r="S167" s="1843"/>
      <c r="T167" s="1843"/>
      <c r="U167" s="1843"/>
      <c r="V167" s="1843"/>
      <c r="W167" s="1843"/>
      <c r="X167" s="1843"/>
      <c r="Y167" s="1843"/>
      <c r="Z167" s="1843"/>
      <c r="AA167" s="1844"/>
      <c r="AB167" s="1335"/>
      <c r="AC167" s="1335"/>
      <c r="AD167" s="1335"/>
      <c r="AE167" s="1335"/>
      <c r="AF167" s="1335"/>
      <c r="AG167" s="1335"/>
    </row>
    <row r="168" spans="1:33">
      <c r="A168" s="1817">
        <v>7</v>
      </c>
      <c r="B168" s="1791"/>
      <c r="C168" s="1860"/>
      <c r="D168" s="1866"/>
      <c r="E168" s="1867"/>
      <c r="F168" s="1842"/>
      <c r="G168" s="1843"/>
      <c r="H168" s="1843"/>
      <c r="I168" s="1843"/>
      <c r="J168" s="1843"/>
      <c r="K168" s="1843"/>
      <c r="L168" s="1843"/>
      <c r="M168" s="1843"/>
      <c r="N168" s="1843"/>
      <c r="O168" s="1843"/>
      <c r="P168" s="1843"/>
      <c r="Q168" s="1843"/>
      <c r="R168" s="1843"/>
      <c r="S168" s="1843"/>
      <c r="T168" s="1843"/>
      <c r="U168" s="1843"/>
      <c r="V168" s="1843"/>
      <c r="W168" s="1843"/>
      <c r="X168" s="1843"/>
      <c r="Y168" s="1843"/>
      <c r="Z168" s="1843"/>
      <c r="AA168" s="1844"/>
      <c r="AB168" s="1335"/>
      <c r="AC168" s="1335"/>
      <c r="AD168" s="1335"/>
      <c r="AE168" s="1335"/>
      <c r="AF168" s="1335"/>
      <c r="AG168" s="1335"/>
    </row>
    <row r="169" spans="1:33">
      <c r="A169" s="1817">
        <v>8</v>
      </c>
      <c r="B169" s="1791"/>
      <c r="C169" s="1860"/>
      <c r="D169" s="1866"/>
      <c r="E169" s="1867"/>
      <c r="F169" s="1842"/>
      <c r="G169" s="1843"/>
      <c r="H169" s="1843"/>
      <c r="I169" s="1843"/>
      <c r="J169" s="1843"/>
      <c r="K169" s="1843"/>
      <c r="L169" s="1843"/>
      <c r="M169" s="1843"/>
      <c r="N169" s="1843"/>
      <c r="O169" s="1843"/>
      <c r="P169" s="1843"/>
      <c r="Q169" s="1843"/>
      <c r="R169" s="1843"/>
      <c r="S169" s="1843"/>
      <c r="T169" s="1843"/>
      <c r="U169" s="1843"/>
      <c r="V169" s="1843"/>
      <c r="W169" s="1843"/>
      <c r="X169" s="1843"/>
      <c r="Y169" s="1843"/>
      <c r="Z169" s="1843"/>
      <c r="AA169" s="1844"/>
      <c r="AB169" s="1335"/>
      <c r="AC169" s="1335"/>
      <c r="AD169" s="1335"/>
      <c r="AE169" s="1335"/>
      <c r="AF169" s="1335"/>
      <c r="AG169" s="1335"/>
    </row>
    <row r="170" spans="1:33">
      <c r="A170" s="1817">
        <v>9</v>
      </c>
      <c r="B170" s="1791"/>
      <c r="C170" s="1860"/>
      <c r="D170" s="1866"/>
      <c r="E170" s="1867"/>
      <c r="F170" s="1842"/>
      <c r="G170" s="1843"/>
      <c r="H170" s="1843"/>
      <c r="I170" s="1843"/>
      <c r="J170" s="1843"/>
      <c r="K170" s="1843"/>
      <c r="L170" s="1843"/>
      <c r="M170" s="1843"/>
      <c r="N170" s="1843"/>
      <c r="O170" s="1843"/>
      <c r="P170" s="1843"/>
      <c r="Q170" s="1843"/>
      <c r="R170" s="1843"/>
      <c r="S170" s="1843"/>
      <c r="T170" s="1843"/>
      <c r="U170" s="1843"/>
      <c r="V170" s="1843"/>
      <c r="W170" s="1843"/>
      <c r="X170" s="1843"/>
      <c r="Y170" s="1843"/>
      <c r="Z170" s="1843"/>
      <c r="AA170" s="1844"/>
      <c r="AB170" s="1335"/>
      <c r="AC170" s="1335"/>
      <c r="AD170" s="1335"/>
      <c r="AE170" s="1335"/>
      <c r="AF170" s="1335"/>
      <c r="AG170" s="1335"/>
    </row>
    <row r="171" spans="1:33">
      <c r="A171" s="1817">
        <v>10</v>
      </c>
      <c r="B171" s="1791"/>
      <c r="C171" s="1860"/>
      <c r="D171" s="1866"/>
      <c r="E171" s="1867"/>
      <c r="F171" s="1842"/>
      <c r="G171" s="1843"/>
      <c r="H171" s="1843"/>
      <c r="I171" s="1843"/>
      <c r="J171" s="1843"/>
      <c r="K171" s="1843"/>
      <c r="L171" s="1843"/>
      <c r="M171" s="1843"/>
      <c r="N171" s="1843"/>
      <c r="O171" s="1843"/>
      <c r="P171" s="1843"/>
      <c r="Q171" s="1843"/>
      <c r="R171" s="1843"/>
      <c r="S171" s="1843"/>
      <c r="T171" s="1843"/>
      <c r="U171" s="1843"/>
      <c r="V171" s="1843"/>
      <c r="W171" s="1843"/>
      <c r="X171" s="1843"/>
      <c r="Y171" s="1843"/>
      <c r="Z171" s="1843"/>
      <c r="AA171" s="1844"/>
      <c r="AB171" s="1335"/>
      <c r="AC171" s="1335"/>
      <c r="AD171" s="1335"/>
      <c r="AE171" s="1335"/>
      <c r="AF171" s="1335"/>
      <c r="AG171" s="1335"/>
    </row>
    <row r="172" spans="1:33">
      <c r="A172" s="1817">
        <v>11</v>
      </c>
      <c r="B172" s="1791"/>
      <c r="C172" s="1860"/>
      <c r="D172" s="1866"/>
      <c r="E172" s="1867"/>
      <c r="F172" s="1842"/>
      <c r="G172" s="1843"/>
      <c r="H172" s="1843"/>
      <c r="I172" s="1843"/>
      <c r="J172" s="1843"/>
      <c r="K172" s="1843"/>
      <c r="L172" s="1843"/>
      <c r="M172" s="1843"/>
      <c r="N172" s="1843"/>
      <c r="O172" s="1843"/>
      <c r="P172" s="1843"/>
      <c r="Q172" s="1843"/>
      <c r="R172" s="1843"/>
      <c r="S172" s="1843"/>
      <c r="T172" s="1843"/>
      <c r="U172" s="1843"/>
      <c r="V172" s="1843"/>
      <c r="W172" s="1843"/>
      <c r="X172" s="1843"/>
      <c r="Y172" s="1843"/>
      <c r="Z172" s="1843"/>
      <c r="AA172" s="1844"/>
      <c r="AB172" s="1335"/>
      <c r="AC172" s="1335"/>
      <c r="AD172" s="1335"/>
      <c r="AE172" s="1335"/>
      <c r="AF172" s="1335"/>
      <c r="AG172" s="1335"/>
    </row>
    <row r="173" spans="1:33">
      <c r="A173" s="1817">
        <v>12</v>
      </c>
      <c r="B173" s="1791"/>
      <c r="C173" s="1860"/>
      <c r="D173" s="1866"/>
      <c r="E173" s="1867"/>
      <c r="F173" s="1842"/>
      <c r="G173" s="1843"/>
      <c r="H173" s="1843"/>
      <c r="I173" s="1843"/>
      <c r="J173" s="1843"/>
      <c r="K173" s="1843"/>
      <c r="L173" s="1843"/>
      <c r="M173" s="1843"/>
      <c r="N173" s="1843"/>
      <c r="O173" s="1843"/>
      <c r="P173" s="1843"/>
      <c r="Q173" s="1843"/>
      <c r="R173" s="1843"/>
      <c r="S173" s="1843"/>
      <c r="T173" s="1843"/>
      <c r="U173" s="1843"/>
      <c r="V173" s="1843"/>
      <c r="W173" s="1843"/>
      <c r="X173" s="1843"/>
      <c r="Y173" s="1843"/>
      <c r="Z173" s="1843"/>
      <c r="AA173" s="1844"/>
      <c r="AB173" s="1335"/>
      <c r="AC173" s="1335"/>
      <c r="AD173" s="1335"/>
      <c r="AE173" s="1335"/>
      <c r="AF173" s="1335"/>
      <c r="AG173" s="1335"/>
    </row>
    <row r="174" spans="1:33">
      <c r="A174" s="1817">
        <v>13</v>
      </c>
      <c r="B174" s="1791"/>
      <c r="C174" s="1860"/>
      <c r="D174" s="1866"/>
      <c r="E174" s="1867"/>
      <c r="F174" s="1842"/>
      <c r="G174" s="1843"/>
      <c r="H174" s="1843"/>
      <c r="I174" s="1843"/>
      <c r="J174" s="1843"/>
      <c r="K174" s="1843"/>
      <c r="L174" s="1843"/>
      <c r="M174" s="1843"/>
      <c r="N174" s="1843"/>
      <c r="O174" s="1843"/>
      <c r="P174" s="1843"/>
      <c r="Q174" s="1843"/>
      <c r="R174" s="1843"/>
      <c r="S174" s="1843"/>
      <c r="T174" s="1843"/>
      <c r="U174" s="1843"/>
      <c r="V174" s="1843"/>
      <c r="W174" s="1843"/>
      <c r="X174" s="1843"/>
      <c r="Y174" s="1843"/>
      <c r="Z174" s="1843"/>
      <c r="AA174" s="1844"/>
      <c r="AB174" s="1335"/>
      <c r="AC174" s="1335"/>
      <c r="AD174" s="1335"/>
      <c r="AE174" s="1335"/>
      <c r="AF174" s="1335"/>
      <c r="AG174" s="1335"/>
    </row>
    <row r="175" spans="1:33">
      <c r="A175" s="1817">
        <v>14</v>
      </c>
      <c r="B175" s="1791"/>
      <c r="C175" s="1860"/>
      <c r="D175" s="1866"/>
      <c r="E175" s="1867"/>
      <c r="F175" s="1842"/>
      <c r="G175" s="1843"/>
      <c r="H175" s="1843"/>
      <c r="I175" s="1843"/>
      <c r="J175" s="1843"/>
      <c r="K175" s="1843"/>
      <c r="L175" s="1843"/>
      <c r="M175" s="1843"/>
      <c r="N175" s="1843"/>
      <c r="O175" s="1843"/>
      <c r="P175" s="1843"/>
      <c r="Q175" s="1843"/>
      <c r="R175" s="1843"/>
      <c r="S175" s="1843"/>
      <c r="T175" s="1843"/>
      <c r="U175" s="1843"/>
      <c r="V175" s="1843"/>
      <c r="W175" s="1843"/>
      <c r="X175" s="1843"/>
      <c r="Y175" s="1843"/>
      <c r="Z175" s="1843"/>
      <c r="AA175" s="1844"/>
      <c r="AB175" s="1335"/>
      <c r="AC175" s="1335"/>
      <c r="AD175" s="1335"/>
      <c r="AE175" s="1335"/>
      <c r="AF175" s="1335"/>
      <c r="AG175" s="1335"/>
    </row>
    <row r="176" spans="1:33">
      <c r="A176" s="1817">
        <v>15</v>
      </c>
      <c r="B176" s="1791"/>
      <c r="C176" s="1860"/>
      <c r="D176" s="1866"/>
      <c r="E176" s="1867"/>
      <c r="F176" s="1842"/>
      <c r="G176" s="1843"/>
      <c r="H176" s="1843"/>
      <c r="I176" s="1843"/>
      <c r="J176" s="1843"/>
      <c r="K176" s="1843"/>
      <c r="L176" s="1843"/>
      <c r="M176" s="1843"/>
      <c r="N176" s="1843"/>
      <c r="O176" s="1843"/>
      <c r="P176" s="1843"/>
      <c r="Q176" s="1843"/>
      <c r="R176" s="1843"/>
      <c r="S176" s="1843"/>
      <c r="T176" s="1843"/>
      <c r="U176" s="1843"/>
      <c r="V176" s="1843"/>
      <c r="W176" s="1843"/>
      <c r="X176" s="1843"/>
      <c r="Y176" s="1843"/>
      <c r="Z176" s="1843"/>
      <c r="AA176" s="1844"/>
      <c r="AB176" s="1335"/>
      <c r="AC176" s="1335"/>
      <c r="AD176" s="1335"/>
      <c r="AE176" s="1335"/>
      <c r="AF176" s="1335"/>
      <c r="AG176" s="1335"/>
    </row>
    <row r="177" spans="1:33">
      <c r="A177" s="1817">
        <v>16</v>
      </c>
      <c r="B177" s="1791"/>
      <c r="C177" s="1860"/>
      <c r="D177" s="1866"/>
      <c r="E177" s="1867"/>
      <c r="F177" s="1842"/>
      <c r="G177" s="1843"/>
      <c r="H177" s="1843"/>
      <c r="I177" s="1843"/>
      <c r="J177" s="1843"/>
      <c r="K177" s="1843"/>
      <c r="L177" s="1843"/>
      <c r="M177" s="1843"/>
      <c r="N177" s="1843"/>
      <c r="O177" s="1843"/>
      <c r="P177" s="1843"/>
      <c r="Q177" s="1843"/>
      <c r="R177" s="1843"/>
      <c r="S177" s="1843"/>
      <c r="T177" s="1843"/>
      <c r="U177" s="1843"/>
      <c r="V177" s="1843"/>
      <c r="W177" s="1843"/>
      <c r="X177" s="1843"/>
      <c r="Y177" s="1843"/>
      <c r="Z177" s="1843"/>
      <c r="AA177" s="1844"/>
      <c r="AB177" s="1335"/>
      <c r="AC177" s="1335"/>
      <c r="AD177" s="1335"/>
      <c r="AE177" s="1335"/>
      <c r="AF177" s="1335"/>
      <c r="AG177" s="1335"/>
    </row>
    <row r="178" spans="1:33">
      <c r="A178" s="1817">
        <v>17</v>
      </c>
      <c r="B178" s="1791"/>
      <c r="C178" s="1860"/>
      <c r="D178" s="1866"/>
      <c r="E178" s="1867"/>
      <c r="F178" s="1842"/>
      <c r="G178" s="1843"/>
      <c r="H178" s="1843"/>
      <c r="I178" s="1843"/>
      <c r="J178" s="1843"/>
      <c r="K178" s="1843"/>
      <c r="L178" s="1843"/>
      <c r="M178" s="1843"/>
      <c r="N178" s="1843"/>
      <c r="O178" s="1843"/>
      <c r="P178" s="1843"/>
      <c r="Q178" s="1843"/>
      <c r="R178" s="1843"/>
      <c r="S178" s="1843"/>
      <c r="T178" s="1843"/>
      <c r="U178" s="1843"/>
      <c r="V178" s="1843"/>
      <c r="W178" s="1843"/>
      <c r="X178" s="1843"/>
      <c r="Y178" s="1843"/>
      <c r="Z178" s="1843"/>
      <c r="AA178" s="1844"/>
      <c r="AB178" s="1335"/>
      <c r="AC178" s="1335"/>
      <c r="AD178" s="1335"/>
      <c r="AE178" s="1335"/>
      <c r="AF178" s="1335"/>
      <c r="AG178" s="1335"/>
    </row>
    <row r="179" spans="1:33">
      <c r="A179" s="1817">
        <v>18</v>
      </c>
      <c r="B179" s="1791"/>
      <c r="C179" s="1860"/>
      <c r="D179" s="1866"/>
      <c r="E179" s="1867"/>
      <c r="F179" s="1842"/>
      <c r="G179" s="1843"/>
      <c r="H179" s="1843"/>
      <c r="I179" s="1843"/>
      <c r="J179" s="1843"/>
      <c r="K179" s="1843"/>
      <c r="L179" s="1843"/>
      <c r="M179" s="1843"/>
      <c r="N179" s="1843"/>
      <c r="O179" s="1843"/>
      <c r="P179" s="1843"/>
      <c r="Q179" s="1843"/>
      <c r="R179" s="1843"/>
      <c r="S179" s="1843"/>
      <c r="T179" s="1843"/>
      <c r="U179" s="1843"/>
      <c r="V179" s="1843"/>
      <c r="W179" s="1843"/>
      <c r="X179" s="1843"/>
      <c r="Y179" s="1843"/>
      <c r="Z179" s="1843"/>
      <c r="AA179" s="1844"/>
      <c r="AB179" s="1335"/>
      <c r="AC179" s="1335"/>
      <c r="AD179" s="1335"/>
      <c r="AE179" s="1335"/>
      <c r="AF179" s="1335"/>
      <c r="AG179" s="1335"/>
    </row>
    <row r="180" spans="1:33">
      <c r="A180" s="1817">
        <v>19</v>
      </c>
      <c r="B180" s="1791"/>
      <c r="C180" s="1860"/>
      <c r="D180" s="1866"/>
      <c r="E180" s="1867"/>
      <c r="F180" s="1842"/>
      <c r="G180" s="1843"/>
      <c r="H180" s="1843"/>
      <c r="I180" s="1843"/>
      <c r="J180" s="1843"/>
      <c r="K180" s="1843"/>
      <c r="L180" s="1843"/>
      <c r="M180" s="1843"/>
      <c r="N180" s="1843"/>
      <c r="O180" s="1843"/>
      <c r="P180" s="1843"/>
      <c r="Q180" s="1843"/>
      <c r="R180" s="1843"/>
      <c r="S180" s="1843"/>
      <c r="T180" s="1843"/>
      <c r="U180" s="1843"/>
      <c r="V180" s="1843"/>
      <c r="W180" s="1843"/>
      <c r="X180" s="1843"/>
      <c r="Y180" s="1843"/>
      <c r="Z180" s="1843"/>
      <c r="AA180" s="1844"/>
      <c r="AB180" s="1335"/>
      <c r="AC180" s="1335"/>
      <c r="AD180" s="1335"/>
      <c r="AE180" s="1335"/>
      <c r="AF180" s="1335"/>
      <c r="AG180" s="1335"/>
    </row>
    <row r="181" spans="1:33">
      <c r="A181" s="1817">
        <v>20</v>
      </c>
      <c r="B181" s="1791"/>
      <c r="C181" s="1860"/>
      <c r="D181" s="1866"/>
      <c r="E181" s="1867"/>
      <c r="F181" s="1842"/>
      <c r="G181" s="1843"/>
      <c r="H181" s="1843"/>
      <c r="I181" s="1843"/>
      <c r="J181" s="1843"/>
      <c r="K181" s="1843"/>
      <c r="L181" s="1843"/>
      <c r="M181" s="1843"/>
      <c r="N181" s="1843"/>
      <c r="O181" s="1843"/>
      <c r="P181" s="1843"/>
      <c r="Q181" s="1843"/>
      <c r="R181" s="1843"/>
      <c r="S181" s="1843"/>
      <c r="T181" s="1843"/>
      <c r="U181" s="1843"/>
      <c r="V181" s="1843"/>
      <c r="W181" s="1843"/>
      <c r="X181" s="1843"/>
      <c r="Y181" s="1843"/>
      <c r="Z181" s="1843"/>
      <c r="AA181" s="1844"/>
      <c r="AB181" s="1335"/>
      <c r="AC181" s="1335"/>
      <c r="AD181" s="1335"/>
      <c r="AE181" s="1335"/>
      <c r="AF181" s="1335"/>
      <c r="AG181" s="1335"/>
    </row>
    <row r="182" spans="1:33">
      <c r="A182" s="1817">
        <v>21</v>
      </c>
      <c r="B182" s="1791"/>
      <c r="C182" s="1860"/>
      <c r="D182" s="1866"/>
      <c r="E182" s="1867"/>
      <c r="F182" s="1842"/>
      <c r="G182" s="1843"/>
      <c r="H182" s="1843"/>
      <c r="I182" s="1843"/>
      <c r="J182" s="1843"/>
      <c r="K182" s="1843"/>
      <c r="L182" s="1843"/>
      <c r="M182" s="1843"/>
      <c r="N182" s="1843"/>
      <c r="O182" s="1843"/>
      <c r="P182" s="1843"/>
      <c r="Q182" s="1843"/>
      <c r="R182" s="1843"/>
      <c r="S182" s="1843"/>
      <c r="T182" s="1843"/>
      <c r="U182" s="1843"/>
      <c r="V182" s="1843"/>
      <c r="W182" s="1843"/>
      <c r="X182" s="1843"/>
      <c r="Y182" s="1843"/>
      <c r="Z182" s="1843"/>
      <c r="AA182" s="1844"/>
      <c r="AB182" s="1335"/>
      <c r="AC182" s="1335"/>
      <c r="AD182" s="1335"/>
      <c r="AE182" s="1335"/>
      <c r="AF182" s="1335"/>
      <c r="AG182" s="1335"/>
    </row>
    <row r="183" spans="1:33">
      <c r="A183" s="1817">
        <v>22</v>
      </c>
      <c r="B183" s="1791"/>
      <c r="C183" s="1860"/>
      <c r="D183" s="1866"/>
      <c r="E183" s="1867"/>
      <c r="F183" s="1842"/>
      <c r="G183" s="1843"/>
      <c r="H183" s="1843"/>
      <c r="I183" s="1843"/>
      <c r="J183" s="1843"/>
      <c r="K183" s="1843"/>
      <c r="L183" s="1843"/>
      <c r="M183" s="1843"/>
      <c r="N183" s="1843"/>
      <c r="O183" s="1843"/>
      <c r="P183" s="1843"/>
      <c r="Q183" s="1843"/>
      <c r="R183" s="1843"/>
      <c r="S183" s="1843"/>
      <c r="T183" s="1843"/>
      <c r="U183" s="1843"/>
      <c r="V183" s="1843"/>
      <c r="W183" s="1843"/>
      <c r="X183" s="1843"/>
      <c r="Y183" s="1843"/>
      <c r="Z183" s="1843"/>
      <c r="AA183" s="1844"/>
      <c r="AB183" s="1335"/>
      <c r="AC183" s="1335"/>
      <c r="AD183" s="1335"/>
      <c r="AE183" s="1335"/>
      <c r="AF183" s="1335"/>
      <c r="AG183" s="1335"/>
    </row>
    <row r="184" spans="1:33">
      <c r="A184" s="1817">
        <v>23</v>
      </c>
      <c r="B184" s="1791"/>
      <c r="C184" s="1860"/>
      <c r="D184" s="1866"/>
      <c r="E184" s="1867"/>
      <c r="F184" s="1842"/>
      <c r="G184" s="1843"/>
      <c r="H184" s="1843"/>
      <c r="I184" s="1843"/>
      <c r="J184" s="1843"/>
      <c r="K184" s="1843"/>
      <c r="L184" s="1843"/>
      <c r="M184" s="1843"/>
      <c r="N184" s="1843"/>
      <c r="O184" s="1843"/>
      <c r="P184" s="1843"/>
      <c r="Q184" s="1843"/>
      <c r="R184" s="1843"/>
      <c r="S184" s="1843"/>
      <c r="T184" s="1843"/>
      <c r="U184" s="1843"/>
      <c r="V184" s="1843"/>
      <c r="W184" s="1843"/>
      <c r="X184" s="1843"/>
      <c r="Y184" s="1843"/>
      <c r="Z184" s="1843"/>
      <c r="AA184" s="1844"/>
      <c r="AB184" s="1335"/>
      <c r="AC184" s="1335"/>
      <c r="AD184" s="1335"/>
      <c r="AE184" s="1335"/>
      <c r="AF184" s="1335"/>
      <c r="AG184" s="1335"/>
    </row>
    <row r="185" spans="1:33">
      <c r="A185" s="1817">
        <v>24</v>
      </c>
      <c r="B185" s="1791"/>
      <c r="C185" s="1860"/>
      <c r="D185" s="1866"/>
      <c r="E185" s="1867"/>
      <c r="F185" s="1842"/>
      <c r="G185" s="1843"/>
      <c r="H185" s="1843"/>
      <c r="I185" s="1843"/>
      <c r="J185" s="1843"/>
      <c r="K185" s="1843"/>
      <c r="L185" s="1843"/>
      <c r="M185" s="1843"/>
      <c r="N185" s="1843"/>
      <c r="O185" s="1843"/>
      <c r="P185" s="1843"/>
      <c r="Q185" s="1843"/>
      <c r="R185" s="1843"/>
      <c r="S185" s="1843"/>
      <c r="T185" s="1843"/>
      <c r="U185" s="1843"/>
      <c r="V185" s="1843"/>
      <c r="W185" s="1843"/>
      <c r="X185" s="1843"/>
      <c r="Y185" s="1843"/>
      <c r="Z185" s="1843"/>
      <c r="AA185" s="1844"/>
      <c r="AB185" s="1335"/>
      <c r="AC185" s="1335"/>
      <c r="AD185" s="1335"/>
      <c r="AE185" s="1335"/>
      <c r="AF185" s="1335"/>
      <c r="AG185" s="1335"/>
    </row>
    <row r="186" spans="1:33">
      <c r="A186" s="1817">
        <v>25</v>
      </c>
      <c r="B186" s="1791"/>
      <c r="C186" s="1860"/>
      <c r="D186" s="1866"/>
      <c r="E186" s="1867"/>
      <c r="F186" s="1842"/>
      <c r="G186" s="1843"/>
      <c r="H186" s="1843"/>
      <c r="I186" s="1843"/>
      <c r="J186" s="1843"/>
      <c r="K186" s="1843"/>
      <c r="L186" s="1843"/>
      <c r="M186" s="1843"/>
      <c r="N186" s="1843"/>
      <c r="O186" s="1843"/>
      <c r="P186" s="1843"/>
      <c r="Q186" s="1843"/>
      <c r="R186" s="1843"/>
      <c r="S186" s="1843"/>
      <c r="T186" s="1843"/>
      <c r="U186" s="1843"/>
      <c r="V186" s="1843"/>
      <c r="W186" s="1843"/>
      <c r="X186" s="1843"/>
      <c r="Y186" s="1843"/>
      <c r="Z186" s="1843"/>
      <c r="AA186" s="1844"/>
      <c r="AB186" s="1335"/>
      <c r="AC186" s="1335"/>
      <c r="AD186" s="1335"/>
      <c r="AE186" s="1335"/>
      <c r="AF186" s="1335"/>
      <c r="AG186" s="1335"/>
    </row>
    <row r="187" spans="1:33">
      <c r="A187" s="1817">
        <v>26</v>
      </c>
      <c r="B187" s="1791"/>
      <c r="C187" s="1860"/>
      <c r="D187" s="1866"/>
      <c r="E187" s="1867"/>
      <c r="F187" s="1842"/>
      <c r="G187" s="1843"/>
      <c r="H187" s="1843"/>
      <c r="I187" s="1843"/>
      <c r="J187" s="1843"/>
      <c r="K187" s="1843"/>
      <c r="L187" s="1843"/>
      <c r="M187" s="1843"/>
      <c r="N187" s="1843"/>
      <c r="O187" s="1843"/>
      <c r="P187" s="1843"/>
      <c r="Q187" s="1843"/>
      <c r="R187" s="1843"/>
      <c r="S187" s="1843"/>
      <c r="T187" s="1843"/>
      <c r="U187" s="1843"/>
      <c r="V187" s="1843"/>
      <c r="W187" s="1843"/>
      <c r="X187" s="1843"/>
      <c r="Y187" s="1843"/>
      <c r="Z187" s="1843"/>
      <c r="AA187" s="1844"/>
      <c r="AB187" s="1335"/>
      <c r="AC187" s="1335"/>
      <c r="AD187" s="1335"/>
      <c r="AE187" s="1335"/>
      <c r="AF187" s="1335"/>
      <c r="AG187" s="1335"/>
    </row>
    <row r="188" spans="1:33">
      <c r="A188" s="1817">
        <v>27</v>
      </c>
      <c r="B188" s="1791"/>
      <c r="C188" s="1860"/>
      <c r="D188" s="1866"/>
      <c r="E188" s="1867"/>
      <c r="F188" s="1842"/>
      <c r="G188" s="1843"/>
      <c r="H188" s="1843"/>
      <c r="I188" s="1843"/>
      <c r="J188" s="1843"/>
      <c r="K188" s="1843"/>
      <c r="L188" s="1843"/>
      <c r="M188" s="1843"/>
      <c r="N188" s="1843"/>
      <c r="O188" s="1843"/>
      <c r="P188" s="1843"/>
      <c r="Q188" s="1843"/>
      <c r="R188" s="1843"/>
      <c r="S188" s="1843"/>
      <c r="T188" s="1843"/>
      <c r="U188" s="1843"/>
      <c r="V188" s="1843"/>
      <c r="W188" s="1843"/>
      <c r="X188" s="1843"/>
      <c r="Y188" s="1843"/>
      <c r="Z188" s="1843"/>
      <c r="AA188" s="1844"/>
      <c r="AB188" s="1335"/>
      <c r="AC188" s="1335"/>
      <c r="AD188" s="1335"/>
      <c r="AE188" s="1335"/>
      <c r="AF188" s="1335"/>
      <c r="AG188" s="1335"/>
    </row>
    <row r="189" spans="1:33">
      <c r="A189" s="1817">
        <v>28</v>
      </c>
      <c r="B189" s="1791"/>
      <c r="C189" s="1860"/>
      <c r="D189" s="1866"/>
      <c r="E189" s="1867"/>
      <c r="F189" s="1842"/>
      <c r="G189" s="1843"/>
      <c r="H189" s="1843"/>
      <c r="I189" s="1843"/>
      <c r="J189" s="1843"/>
      <c r="K189" s="1843"/>
      <c r="L189" s="1843"/>
      <c r="M189" s="1843"/>
      <c r="N189" s="1843"/>
      <c r="O189" s="1843"/>
      <c r="P189" s="1843"/>
      <c r="Q189" s="1843"/>
      <c r="R189" s="1843"/>
      <c r="S189" s="1843"/>
      <c r="T189" s="1843"/>
      <c r="U189" s="1843"/>
      <c r="V189" s="1843"/>
      <c r="W189" s="1843"/>
      <c r="X189" s="1843"/>
      <c r="Y189" s="1843"/>
      <c r="Z189" s="1843"/>
      <c r="AA189" s="1844"/>
      <c r="AB189" s="1335"/>
      <c r="AC189" s="1335"/>
      <c r="AD189" s="1335"/>
      <c r="AE189" s="1335"/>
      <c r="AF189" s="1335"/>
      <c r="AG189" s="1335"/>
    </row>
    <row r="190" spans="1:33">
      <c r="A190" s="1817">
        <v>29</v>
      </c>
      <c r="B190" s="1791"/>
      <c r="C190" s="1860"/>
      <c r="D190" s="1866"/>
      <c r="E190" s="1867"/>
      <c r="F190" s="1842"/>
      <c r="G190" s="1843"/>
      <c r="H190" s="1843"/>
      <c r="I190" s="1843"/>
      <c r="J190" s="1843"/>
      <c r="K190" s="1843"/>
      <c r="L190" s="1843"/>
      <c r="M190" s="1843"/>
      <c r="N190" s="1843"/>
      <c r="O190" s="1843"/>
      <c r="P190" s="1843"/>
      <c r="Q190" s="1843"/>
      <c r="R190" s="1843"/>
      <c r="S190" s="1843"/>
      <c r="T190" s="1843"/>
      <c r="U190" s="1843"/>
      <c r="V190" s="1843"/>
      <c r="W190" s="1843"/>
      <c r="X190" s="1843"/>
      <c r="Y190" s="1843"/>
      <c r="Z190" s="1843"/>
      <c r="AA190" s="1844"/>
      <c r="AB190" s="1335"/>
      <c r="AC190" s="1335"/>
      <c r="AD190" s="1335"/>
      <c r="AE190" s="1335"/>
      <c r="AF190" s="1335"/>
      <c r="AG190" s="1335"/>
    </row>
    <row r="191" spans="1:33">
      <c r="A191" s="1817">
        <v>30</v>
      </c>
      <c r="B191" s="1791"/>
      <c r="C191" s="1860"/>
      <c r="D191" s="1866"/>
      <c r="E191" s="1867"/>
      <c r="F191" s="1842"/>
      <c r="G191" s="1843"/>
      <c r="H191" s="1843"/>
      <c r="I191" s="1843"/>
      <c r="J191" s="1843"/>
      <c r="K191" s="1843"/>
      <c r="L191" s="1843"/>
      <c r="M191" s="1843"/>
      <c r="N191" s="1843"/>
      <c r="O191" s="1843"/>
      <c r="P191" s="1843"/>
      <c r="Q191" s="1843"/>
      <c r="R191" s="1843"/>
      <c r="S191" s="1843"/>
      <c r="T191" s="1843"/>
      <c r="U191" s="1843"/>
      <c r="V191" s="1843"/>
      <c r="W191" s="1843"/>
      <c r="X191" s="1843"/>
      <c r="Y191" s="1843"/>
      <c r="Z191" s="1843"/>
      <c r="AA191" s="1844"/>
      <c r="AB191" s="1335"/>
      <c r="AC191" s="1335"/>
      <c r="AD191" s="1335"/>
      <c r="AE191" s="1335"/>
      <c r="AF191" s="1335"/>
      <c r="AG191" s="1335"/>
    </row>
    <row r="192" spans="1:33">
      <c r="A192" s="1817">
        <v>31</v>
      </c>
      <c r="B192" s="1791"/>
      <c r="C192" s="1860"/>
      <c r="D192" s="1866"/>
      <c r="E192" s="1867"/>
      <c r="F192" s="1842"/>
      <c r="G192" s="1843"/>
      <c r="H192" s="1843"/>
      <c r="I192" s="1843"/>
      <c r="J192" s="1843"/>
      <c r="K192" s="1843"/>
      <c r="L192" s="1843"/>
      <c r="M192" s="1843"/>
      <c r="N192" s="1843"/>
      <c r="O192" s="1843"/>
      <c r="P192" s="1843"/>
      <c r="Q192" s="1843"/>
      <c r="R192" s="1843"/>
      <c r="S192" s="1843"/>
      <c r="T192" s="1843"/>
      <c r="U192" s="1843"/>
      <c r="V192" s="1843"/>
      <c r="W192" s="1843"/>
      <c r="X192" s="1843"/>
      <c r="Y192" s="1843"/>
      <c r="Z192" s="1843"/>
      <c r="AA192" s="1844"/>
      <c r="AB192" s="1335"/>
      <c r="AC192" s="1335"/>
      <c r="AD192" s="1335"/>
      <c r="AE192" s="1335"/>
      <c r="AF192" s="1335"/>
      <c r="AG192" s="1335"/>
    </row>
    <row r="193" spans="1:33">
      <c r="A193" s="1817">
        <v>32</v>
      </c>
      <c r="B193" s="1791"/>
      <c r="C193" s="1860"/>
      <c r="D193" s="1866"/>
      <c r="E193" s="1867"/>
      <c r="F193" s="1842"/>
      <c r="G193" s="1843"/>
      <c r="H193" s="1843"/>
      <c r="I193" s="1843"/>
      <c r="J193" s="1843"/>
      <c r="K193" s="1843"/>
      <c r="L193" s="1843"/>
      <c r="M193" s="1843"/>
      <c r="N193" s="1843"/>
      <c r="O193" s="1843"/>
      <c r="P193" s="1843"/>
      <c r="Q193" s="1843"/>
      <c r="R193" s="1843"/>
      <c r="S193" s="1843"/>
      <c r="T193" s="1843"/>
      <c r="U193" s="1843"/>
      <c r="V193" s="1843"/>
      <c r="W193" s="1843"/>
      <c r="X193" s="1843"/>
      <c r="Y193" s="1843"/>
      <c r="Z193" s="1843"/>
      <c r="AA193" s="1844"/>
      <c r="AB193" s="1335"/>
      <c r="AC193" s="1335"/>
      <c r="AD193" s="1335"/>
      <c r="AE193" s="1335"/>
      <c r="AF193" s="1335"/>
      <c r="AG193" s="1335"/>
    </row>
    <row r="194" spans="1:33">
      <c r="A194" s="1817">
        <v>33</v>
      </c>
      <c r="B194" s="1791"/>
      <c r="C194" s="1860"/>
      <c r="D194" s="1866"/>
      <c r="E194" s="1867"/>
      <c r="F194" s="1842"/>
      <c r="G194" s="1843"/>
      <c r="H194" s="1843"/>
      <c r="I194" s="1843"/>
      <c r="J194" s="1843"/>
      <c r="K194" s="1843"/>
      <c r="L194" s="1843"/>
      <c r="M194" s="1843"/>
      <c r="N194" s="1843"/>
      <c r="O194" s="1843"/>
      <c r="P194" s="1843"/>
      <c r="Q194" s="1843"/>
      <c r="R194" s="1843"/>
      <c r="S194" s="1843"/>
      <c r="T194" s="1843"/>
      <c r="U194" s="1843"/>
      <c r="V194" s="1843"/>
      <c r="W194" s="1843"/>
      <c r="X194" s="1843"/>
      <c r="Y194" s="1843"/>
      <c r="Z194" s="1843"/>
      <c r="AA194" s="1844"/>
      <c r="AB194" s="1335"/>
      <c r="AC194" s="1335"/>
      <c r="AD194" s="1335"/>
      <c r="AE194" s="1335"/>
      <c r="AF194" s="1335"/>
      <c r="AG194" s="1335"/>
    </row>
    <row r="195" spans="1:33">
      <c r="A195" s="1817">
        <v>34</v>
      </c>
      <c r="B195" s="1791"/>
      <c r="C195" s="1860"/>
      <c r="D195" s="1866"/>
      <c r="E195" s="1867"/>
      <c r="F195" s="1842"/>
      <c r="G195" s="1843"/>
      <c r="H195" s="1843"/>
      <c r="I195" s="1843"/>
      <c r="J195" s="1843"/>
      <c r="K195" s="1843"/>
      <c r="L195" s="1843"/>
      <c r="M195" s="1843"/>
      <c r="N195" s="1843"/>
      <c r="O195" s="1843"/>
      <c r="P195" s="1843"/>
      <c r="Q195" s="1843"/>
      <c r="R195" s="1843"/>
      <c r="S195" s="1843"/>
      <c r="T195" s="1843"/>
      <c r="U195" s="1843"/>
      <c r="V195" s="1843"/>
      <c r="W195" s="1843"/>
      <c r="X195" s="1843"/>
      <c r="Y195" s="1843"/>
      <c r="Z195" s="1843"/>
      <c r="AA195" s="1844"/>
      <c r="AB195" s="1335"/>
      <c r="AC195" s="1335"/>
      <c r="AD195" s="1335"/>
      <c r="AE195" s="1335"/>
      <c r="AF195" s="1335"/>
      <c r="AG195" s="1335"/>
    </row>
    <row r="196" spans="1:33">
      <c r="A196" s="1817">
        <v>35</v>
      </c>
      <c r="B196" s="1791"/>
      <c r="C196" s="1860"/>
      <c r="D196" s="1866"/>
      <c r="E196" s="1867"/>
      <c r="F196" s="1842"/>
      <c r="G196" s="1843"/>
      <c r="H196" s="1843"/>
      <c r="I196" s="1843"/>
      <c r="J196" s="1843"/>
      <c r="K196" s="1843"/>
      <c r="L196" s="1843"/>
      <c r="M196" s="1843"/>
      <c r="N196" s="1843"/>
      <c r="O196" s="1843"/>
      <c r="P196" s="1843"/>
      <c r="Q196" s="1843"/>
      <c r="R196" s="1843"/>
      <c r="S196" s="1843"/>
      <c r="T196" s="1843"/>
      <c r="U196" s="1843"/>
      <c r="V196" s="1843"/>
      <c r="W196" s="1843"/>
      <c r="X196" s="1843"/>
      <c r="Y196" s="1843"/>
      <c r="Z196" s="1843"/>
      <c r="AA196" s="1844"/>
      <c r="AB196" s="1335"/>
      <c r="AC196" s="1335"/>
      <c r="AD196" s="1335"/>
      <c r="AE196" s="1335"/>
      <c r="AF196" s="1335"/>
      <c r="AG196" s="1335"/>
    </row>
    <row r="197" spans="1:33">
      <c r="A197" s="1817">
        <v>36</v>
      </c>
      <c r="B197" s="1791"/>
      <c r="C197" s="1860"/>
      <c r="D197" s="1866"/>
      <c r="E197" s="1867"/>
      <c r="F197" s="1842"/>
      <c r="G197" s="1843"/>
      <c r="H197" s="1843"/>
      <c r="I197" s="1843"/>
      <c r="J197" s="1843"/>
      <c r="K197" s="1843"/>
      <c r="L197" s="1843"/>
      <c r="M197" s="1843"/>
      <c r="N197" s="1843"/>
      <c r="O197" s="1843"/>
      <c r="P197" s="1843"/>
      <c r="Q197" s="1843"/>
      <c r="R197" s="1843"/>
      <c r="S197" s="1843"/>
      <c r="T197" s="1843"/>
      <c r="U197" s="1843"/>
      <c r="V197" s="1843"/>
      <c r="W197" s="1843"/>
      <c r="X197" s="1843"/>
      <c r="Y197" s="1843"/>
      <c r="Z197" s="1843"/>
      <c r="AA197" s="1844"/>
      <c r="AB197" s="1335"/>
      <c r="AC197" s="1335"/>
      <c r="AD197" s="1335"/>
      <c r="AE197" s="1335"/>
      <c r="AF197" s="1335"/>
      <c r="AG197" s="1335"/>
    </row>
    <row r="198" spans="1:33">
      <c r="A198" s="1817">
        <v>37</v>
      </c>
      <c r="B198" s="1791"/>
      <c r="C198" s="1860"/>
      <c r="D198" s="1866"/>
      <c r="E198" s="1867"/>
      <c r="F198" s="1842"/>
      <c r="G198" s="1843"/>
      <c r="H198" s="1843"/>
      <c r="I198" s="1843"/>
      <c r="J198" s="1843"/>
      <c r="K198" s="1843"/>
      <c r="L198" s="1843"/>
      <c r="M198" s="1843"/>
      <c r="N198" s="1843"/>
      <c r="O198" s="1843"/>
      <c r="P198" s="1843"/>
      <c r="Q198" s="1843"/>
      <c r="R198" s="1843"/>
      <c r="S198" s="1843"/>
      <c r="T198" s="1843"/>
      <c r="U198" s="1843"/>
      <c r="V198" s="1843"/>
      <c r="W198" s="1843"/>
      <c r="X198" s="1843"/>
      <c r="Y198" s="1843"/>
      <c r="Z198" s="1843"/>
      <c r="AA198" s="1844"/>
      <c r="AB198" s="1335"/>
      <c r="AC198" s="1335"/>
      <c r="AD198" s="1335"/>
      <c r="AE198" s="1335"/>
      <c r="AF198" s="1335"/>
      <c r="AG198" s="1335"/>
    </row>
    <row r="199" spans="1:33">
      <c r="A199" s="1817">
        <v>38</v>
      </c>
      <c r="B199" s="1791"/>
      <c r="C199" s="1860"/>
      <c r="D199" s="1866"/>
      <c r="E199" s="1867"/>
      <c r="F199" s="1842"/>
      <c r="G199" s="1843"/>
      <c r="H199" s="1843"/>
      <c r="I199" s="1843"/>
      <c r="J199" s="1843"/>
      <c r="K199" s="1843"/>
      <c r="L199" s="1843"/>
      <c r="M199" s="1843"/>
      <c r="N199" s="1843"/>
      <c r="O199" s="1843"/>
      <c r="P199" s="1843"/>
      <c r="Q199" s="1843"/>
      <c r="R199" s="1843"/>
      <c r="S199" s="1843"/>
      <c r="T199" s="1843"/>
      <c r="U199" s="1843"/>
      <c r="V199" s="1843"/>
      <c r="W199" s="1843"/>
      <c r="X199" s="1843"/>
      <c r="Y199" s="1843"/>
      <c r="Z199" s="1843"/>
      <c r="AA199" s="1844"/>
      <c r="AB199" s="1335"/>
      <c r="AC199" s="1335"/>
      <c r="AD199" s="1335"/>
      <c r="AE199" s="1335"/>
      <c r="AF199" s="1335"/>
      <c r="AG199" s="1335"/>
    </row>
    <row r="200" spans="1:33">
      <c r="A200" s="1817">
        <v>39</v>
      </c>
      <c r="B200" s="1791"/>
      <c r="C200" s="1860"/>
      <c r="D200" s="1866"/>
      <c r="E200" s="1867"/>
      <c r="F200" s="1842"/>
      <c r="G200" s="1843"/>
      <c r="H200" s="1843"/>
      <c r="I200" s="1843"/>
      <c r="J200" s="1843"/>
      <c r="K200" s="1843"/>
      <c r="L200" s="1843"/>
      <c r="M200" s="1843"/>
      <c r="N200" s="1843"/>
      <c r="O200" s="1843"/>
      <c r="P200" s="1843"/>
      <c r="Q200" s="1843"/>
      <c r="R200" s="1843"/>
      <c r="S200" s="1843"/>
      <c r="T200" s="1843"/>
      <c r="U200" s="1843"/>
      <c r="V200" s="1843"/>
      <c r="W200" s="1843"/>
      <c r="X200" s="1843"/>
      <c r="Y200" s="1843"/>
      <c r="Z200" s="1843"/>
      <c r="AA200" s="1844"/>
      <c r="AB200" s="1335"/>
      <c r="AC200" s="1335"/>
      <c r="AD200" s="1335"/>
      <c r="AE200" s="1335"/>
      <c r="AF200" s="1335"/>
      <c r="AG200" s="1335"/>
    </row>
    <row r="201" spans="1:33">
      <c r="A201" s="1817">
        <v>40</v>
      </c>
      <c r="B201" s="1791"/>
      <c r="C201" s="1860"/>
      <c r="D201" s="1866"/>
      <c r="E201" s="1867"/>
      <c r="F201" s="1842"/>
      <c r="G201" s="1843"/>
      <c r="H201" s="1843"/>
      <c r="I201" s="1843"/>
      <c r="J201" s="1843"/>
      <c r="K201" s="1843"/>
      <c r="L201" s="1843"/>
      <c r="M201" s="1843"/>
      <c r="N201" s="1843"/>
      <c r="O201" s="1843"/>
      <c r="P201" s="1843"/>
      <c r="Q201" s="1843"/>
      <c r="R201" s="1843"/>
      <c r="S201" s="1843"/>
      <c r="T201" s="1843"/>
      <c r="U201" s="1843"/>
      <c r="V201" s="1843"/>
      <c r="W201" s="1843"/>
      <c r="X201" s="1843"/>
      <c r="Y201" s="1843"/>
      <c r="Z201" s="1843"/>
      <c r="AA201" s="1844"/>
      <c r="AB201" s="1335"/>
      <c r="AC201" s="1335"/>
      <c r="AD201" s="1335"/>
      <c r="AE201" s="1335"/>
      <c r="AF201" s="1335"/>
      <c r="AG201" s="1335"/>
    </row>
    <row r="202" spans="1:33">
      <c r="A202" s="1817">
        <v>41</v>
      </c>
      <c r="B202" s="1791"/>
      <c r="C202" s="1860"/>
      <c r="D202" s="1866"/>
      <c r="E202" s="1867"/>
      <c r="F202" s="1842"/>
      <c r="G202" s="1843"/>
      <c r="H202" s="1843"/>
      <c r="I202" s="1843"/>
      <c r="J202" s="1843"/>
      <c r="K202" s="1843"/>
      <c r="L202" s="1843"/>
      <c r="M202" s="1843"/>
      <c r="N202" s="1843"/>
      <c r="O202" s="1843"/>
      <c r="P202" s="1843"/>
      <c r="Q202" s="1843"/>
      <c r="R202" s="1843"/>
      <c r="S202" s="1843"/>
      <c r="T202" s="1843"/>
      <c r="U202" s="1843"/>
      <c r="V202" s="1843"/>
      <c r="W202" s="1843"/>
      <c r="X202" s="1843"/>
      <c r="Y202" s="1843"/>
      <c r="Z202" s="1843"/>
      <c r="AA202" s="1844"/>
      <c r="AB202" s="1335"/>
      <c r="AC202" s="1335"/>
      <c r="AD202" s="1335"/>
      <c r="AE202" s="1335"/>
      <c r="AF202" s="1335"/>
      <c r="AG202" s="1335"/>
    </row>
    <row r="203" spans="1:33">
      <c r="A203" s="1817">
        <v>42</v>
      </c>
      <c r="B203" s="1791"/>
      <c r="C203" s="1860"/>
      <c r="D203" s="1866"/>
      <c r="E203" s="1867"/>
      <c r="F203" s="1842"/>
      <c r="G203" s="1843"/>
      <c r="H203" s="1843"/>
      <c r="I203" s="1843"/>
      <c r="J203" s="1843"/>
      <c r="K203" s="1843"/>
      <c r="L203" s="1843"/>
      <c r="M203" s="1843"/>
      <c r="N203" s="1843"/>
      <c r="O203" s="1843"/>
      <c r="P203" s="1843"/>
      <c r="Q203" s="1843"/>
      <c r="R203" s="1843"/>
      <c r="S203" s="1843"/>
      <c r="T203" s="1843"/>
      <c r="U203" s="1843"/>
      <c r="V203" s="1843"/>
      <c r="W203" s="1843"/>
      <c r="X203" s="1843"/>
      <c r="Y203" s="1843"/>
      <c r="Z203" s="1843"/>
      <c r="AA203" s="1844"/>
      <c r="AB203" s="1335"/>
      <c r="AC203" s="1335"/>
      <c r="AD203" s="1335"/>
      <c r="AE203" s="1335"/>
      <c r="AF203" s="1335"/>
      <c r="AG203" s="1335"/>
    </row>
    <row r="204" spans="1:33">
      <c r="A204" s="1817">
        <v>43</v>
      </c>
      <c r="B204" s="1791"/>
      <c r="C204" s="1860"/>
      <c r="D204" s="1866"/>
      <c r="E204" s="1867"/>
      <c r="F204" s="1842"/>
      <c r="G204" s="1843"/>
      <c r="H204" s="1843"/>
      <c r="I204" s="1843"/>
      <c r="J204" s="1843"/>
      <c r="K204" s="1843"/>
      <c r="L204" s="1843"/>
      <c r="M204" s="1843"/>
      <c r="N204" s="1843"/>
      <c r="O204" s="1843"/>
      <c r="P204" s="1843"/>
      <c r="Q204" s="1843"/>
      <c r="R204" s="1843"/>
      <c r="S204" s="1843"/>
      <c r="T204" s="1843"/>
      <c r="U204" s="1843"/>
      <c r="V204" s="1843"/>
      <c r="W204" s="1843"/>
      <c r="X204" s="1843"/>
      <c r="Y204" s="1843"/>
      <c r="Z204" s="1843"/>
      <c r="AA204" s="1844"/>
      <c r="AB204" s="1335"/>
      <c r="AC204" s="1335"/>
      <c r="AD204" s="1335"/>
      <c r="AE204" s="1335"/>
      <c r="AF204" s="1335"/>
      <c r="AG204" s="1335"/>
    </row>
    <row r="205" spans="1:33">
      <c r="A205" s="1817">
        <v>44</v>
      </c>
      <c r="B205" s="1791"/>
      <c r="C205" s="1860"/>
      <c r="D205" s="1866"/>
      <c r="E205" s="1867"/>
      <c r="F205" s="1842"/>
      <c r="G205" s="1843"/>
      <c r="H205" s="1843"/>
      <c r="I205" s="1843"/>
      <c r="J205" s="1843"/>
      <c r="K205" s="1843"/>
      <c r="L205" s="1843"/>
      <c r="M205" s="1843"/>
      <c r="N205" s="1843"/>
      <c r="O205" s="1843"/>
      <c r="P205" s="1843"/>
      <c r="Q205" s="1843"/>
      <c r="R205" s="1843"/>
      <c r="S205" s="1843"/>
      <c r="T205" s="1843"/>
      <c r="U205" s="1843"/>
      <c r="V205" s="1843"/>
      <c r="W205" s="1843"/>
      <c r="X205" s="1843"/>
      <c r="Y205" s="1843"/>
      <c r="Z205" s="1843"/>
      <c r="AA205" s="1844"/>
      <c r="AB205" s="1335"/>
      <c r="AC205" s="1335"/>
      <c r="AD205" s="1335"/>
      <c r="AE205" s="1335"/>
      <c r="AF205" s="1335"/>
      <c r="AG205" s="1335"/>
    </row>
    <row r="206" spans="1:33">
      <c r="A206" s="1817">
        <v>45</v>
      </c>
      <c r="B206" s="1791"/>
      <c r="C206" s="1860"/>
      <c r="D206" s="1866"/>
      <c r="E206" s="1867"/>
      <c r="F206" s="1842"/>
      <c r="G206" s="1843"/>
      <c r="H206" s="1843"/>
      <c r="I206" s="1843"/>
      <c r="J206" s="1843"/>
      <c r="K206" s="1843"/>
      <c r="L206" s="1843"/>
      <c r="M206" s="1843"/>
      <c r="N206" s="1843"/>
      <c r="O206" s="1843"/>
      <c r="P206" s="1843"/>
      <c r="Q206" s="1843"/>
      <c r="R206" s="1843"/>
      <c r="S206" s="1843"/>
      <c r="T206" s="1843"/>
      <c r="U206" s="1843"/>
      <c r="V206" s="1843"/>
      <c r="W206" s="1843"/>
      <c r="X206" s="1843"/>
      <c r="Y206" s="1843"/>
      <c r="Z206" s="1843"/>
      <c r="AA206" s="1844"/>
      <c r="AB206" s="1335"/>
      <c r="AC206" s="1335"/>
      <c r="AD206" s="1335"/>
      <c r="AE206" s="1335"/>
      <c r="AF206" s="1335"/>
      <c r="AG206" s="1335"/>
    </row>
    <row r="207" spans="1:33">
      <c r="A207" s="1817">
        <v>46</v>
      </c>
      <c r="B207" s="1791"/>
      <c r="C207" s="1860"/>
      <c r="D207" s="1866"/>
      <c r="E207" s="1867"/>
      <c r="F207" s="1842"/>
      <c r="G207" s="1843"/>
      <c r="H207" s="1843"/>
      <c r="I207" s="1843"/>
      <c r="J207" s="1843"/>
      <c r="K207" s="1843"/>
      <c r="L207" s="1843"/>
      <c r="M207" s="1843"/>
      <c r="N207" s="1843"/>
      <c r="O207" s="1843"/>
      <c r="P207" s="1843"/>
      <c r="Q207" s="1843"/>
      <c r="R207" s="1843"/>
      <c r="S207" s="1843"/>
      <c r="T207" s="1843"/>
      <c r="U207" s="1843"/>
      <c r="V207" s="1843"/>
      <c r="W207" s="1843"/>
      <c r="X207" s="1843"/>
      <c r="Y207" s="1843"/>
      <c r="Z207" s="1843"/>
      <c r="AA207" s="1844"/>
      <c r="AB207" s="1335"/>
      <c r="AC207" s="1335"/>
      <c r="AD207" s="1335"/>
      <c r="AE207" s="1335"/>
      <c r="AF207" s="1335"/>
      <c r="AG207" s="1335"/>
    </row>
    <row r="208" spans="1:33">
      <c r="A208" s="1817">
        <v>47</v>
      </c>
      <c r="B208" s="1791"/>
      <c r="C208" s="1860"/>
      <c r="D208" s="1866"/>
      <c r="E208" s="1867"/>
      <c r="F208" s="1842"/>
      <c r="G208" s="1843"/>
      <c r="H208" s="1843"/>
      <c r="I208" s="1843"/>
      <c r="J208" s="1843"/>
      <c r="K208" s="1843"/>
      <c r="L208" s="1843"/>
      <c r="M208" s="1843"/>
      <c r="N208" s="1843"/>
      <c r="O208" s="1843"/>
      <c r="P208" s="1843"/>
      <c r="Q208" s="1843"/>
      <c r="R208" s="1843"/>
      <c r="S208" s="1843"/>
      <c r="T208" s="1843"/>
      <c r="U208" s="1843"/>
      <c r="V208" s="1843"/>
      <c r="W208" s="1843"/>
      <c r="X208" s="1843"/>
      <c r="Y208" s="1843"/>
      <c r="Z208" s="1843"/>
      <c r="AA208" s="1844"/>
      <c r="AB208" s="1335"/>
      <c r="AC208" s="1335"/>
      <c r="AD208" s="1335"/>
      <c r="AE208" s="1335"/>
      <c r="AF208" s="1335"/>
      <c r="AG208" s="1335"/>
    </row>
    <row r="209" spans="1:33">
      <c r="A209" s="1817">
        <v>48</v>
      </c>
      <c r="B209" s="1791"/>
      <c r="C209" s="1860"/>
      <c r="D209" s="1866"/>
      <c r="E209" s="1867"/>
      <c r="F209" s="1842"/>
      <c r="G209" s="1843"/>
      <c r="H209" s="1843"/>
      <c r="I209" s="1843"/>
      <c r="J209" s="1843"/>
      <c r="K209" s="1843"/>
      <c r="L209" s="1843"/>
      <c r="M209" s="1843"/>
      <c r="N209" s="1843"/>
      <c r="O209" s="1843"/>
      <c r="P209" s="1843"/>
      <c r="Q209" s="1843"/>
      <c r="R209" s="1843"/>
      <c r="S209" s="1843"/>
      <c r="T209" s="1843"/>
      <c r="U209" s="1843"/>
      <c r="V209" s="1843"/>
      <c r="W209" s="1843"/>
      <c r="X209" s="1843"/>
      <c r="Y209" s="1843"/>
      <c r="Z209" s="1843"/>
      <c r="AA209" s="1844"/>
      <c r="AB209" s="1335"/>
      <c r="AC209" s="1335"/>
      <c r="AD209" s="1335"/>
      <c r="AE209" s="1335"/>
      <c r="AF209" s="1335"/>
      <c r="AG209" s="1335"/>
    </row>
    <row r="210" spans="1:33">
      <c r="A210" s="1817">
        <v>49</v>
      </c>
      <c r="B210" s="1791"/>
      <c r="C210" s="1860"/>
      <c r="D210" s="1866"/>
      <c r="E210" s="1867"/>
      <c r="F210" s="1842"/>
      <c r="G210" s="1843"/>
      <c r="H210" s="1843"/>
      <c r="I210" s="1843"/>
      <c r="J210" s="1843"/>
      <c r="K210" s="1843"/>
      <c r="L210" s="1843"/>
      <c r="M210" s="1843"/>
      <c r="N210" s="1843"/>
      <c r="O210" s="1843"/>
      <c r="P210" s="1843"/>
      <c r="Q210" s="1843"/>
      <c r="R210" s="1843"/>
      <c r="S210" s="1843"/>
      <c r="T210" s="1843"/>
      <c r="U210" s="1843"/>
      <c r="V210" s="1843"/>
      <c r="W210" s="1843"/>
      <c r="X210" s="1843"/>
      <c r="Y210" s="1843"/>
      <c r="Z210" s="1843"/>
      <c r="AA210" s="1844"/>
      <c r="AB210" s="1335"/>
      <c r="AC210" s="1335"/>
      <c r="AD210" s="1335"/>
      <c r="AE210" s="1335"/>
      <c r="AF210" s="1335"/>
      <c r="AG210" s="1335"/>
    </row>
    <row r="211" spans="1:33">
      <c r="A211" s="1817">
        <v>50</v>
      </c>
      <c r="B211" s="1791"/>
      <c r="C211" s="1860"/>
      <c r="D211" s="1866"/>
      <c r="E211" s="1867"/>
      <c r="F211" s="1842"/>
      <c r="G211" s="1843"/>
      <c r="H211" s="1843"/>
      <c r="I211" s="1843"/>
      <c r="J211" s="1843"/>
      <c r="K211" s="1843"/>
      <c r="L211" s="1843"/>
      <c r="M211" s="1843"/>
      <c r="N211" s="1843"/>
      <c r="O211" s="1843"/>
      <c r="P211" s="1843"/>
      <c r="Q211" s="1843"/>
      <c r="R211" s="1843"/>
      <c r="S211" s="1843"/>
      <c r="T211" s="1843"/>
      <c r="U211" s="1843"/>
      <c r="V211" s="1843"/>
      <c r="W211" s="1843"/>
      <c r="X211" s="1843"/>
      <c r="Y211" s="1843"/>
      <c r="Z211" s="1843"/>
      <c r="AA211" s="1844"/>
      <c r="AB211" s="1335"/>
      <c r="AC211" s="1335"/>
      <c r="AD211" s="1335"/>
      <c r="AE211" s="1335"/>
      <c r="AF211" s="1335"/>
      <c r="AG211" s="1335"/>
    </row>
    <row r="212" spans="1:33">
      <c r="A212" s="1817">
        <v>51</v>
      </c>
      <c r="B212" s="1791"/>
      <c r="C212" s="1860"/>
      <c r="D212" s="1866"/>
      <c r="E212" s="1867"/>
      <c r="F212" s="1842"/>
      <c r="G212" s="1843"/>
      <c r="H212" s="1843"/>
      <c r="I212" s="1843"/>
      <c r="J212" s="1843"/>
      <c r="K212" s="1843"/>
      <c r="L212" s="1843"/>
      <c r="M212" s="1843"/>
      <c r="N212" s="1843"/>
      <c r="O212" s="1843"/>
      <c r="P212" s="1843"/>
      <c r="Q212" s="1843"/>
      <c r="R212" s="1843"/>
      <c r="S212" s="1843"/>
      <c r="T212" s="1843"/>
      <c r="U212" s="1843"/>
      <c r="V212" s="1843"/>
      <c r="W212" s="1843"/>
      <c r="X212" s="1843"/>
      <c r="Y212" s="1843"/>
      <c r="Z212" s="1843"/>
      <c r="AA212" s="1844"/>
      <c r="AB212" s="1335"/>
      <c r="AC212" s="1335"/>
      <c r="AD212" s="1335"/>
      <c r="AE212" s="1335"/>
      <c r="AF212" s="1335"/>
      <c r="AG212" s="1335"/>
    </row>
    <row r="213" spans="1:33">
      <c r="A213" s="1817">
        <v>52</v>
      </c>
      <c r="B213" s="1791"/>
      <c r="C213" s="1860"/>
      <c r="D213" s="1866"/>
      <c r="E213" s="1867"/>
      <c r="F213" s="1842"/>
      <c r="G213" s="1843"/>
      <c r="H213" s="1843"/>
      <c r="I213" s="1843"/>
      <c r="J213" s="1843"/>
      <c r="K213" s="1843"/>
      <c r="L213" s="1843"/>
      <c r="M213" s="1843"/>
      <c r="N213" s="1843"/>
      <c r="O213" s="1843"/>
      <c r="P213" s="1843"/>
      <c r="Q213" s="1843"/>
      <c r="R213" s="1843"/>
      <c r="S213" s="1843"/>
      <c r="T213" s="1843"/>
      <c r="U213" s="1843"/>
      <c r="V213" s="1843"/>
      <c r="W213" s="1843"/>
      <c r="X213" s="1843"/>
      <c r="Y213" s="1843"/>
      <c r="Z213" s="1843"/>
      <c r="AA213" s="1844"/>
      <c r="AB213" s="1335"/>
      <c r="AC213" s="1335"/>
      <c r="AD213" s="1335"/>
      <c r="AE213" s="1335"/>
      <c r="AF213" s="1335"/>
      <c r="AG213" s="1335"/>
    </row>
    <row r="214" spans="1:33">
      <c r="A214" s="1817">
        <v>53</v>
      </c>
      <c r="B214" s="1791"/>
      <c r="C214" s="1860"/>
      <c r="D214" s="1866"/>
      <c r="E214" s="1867"/>
      <c r="F214" s="1842"/>
      <c r="G214" s="1843"/>
      <c r="H214" s="1843"/>
      <c r="I214" s="1843"/>
      <c r="J214" s="1843"/>
      <c r="K214" s="1843"/>
      <c r="L214" s="1843"/>
      <c r="M214" s="1843"/>
      <c r="N214" s="1843"/>
      <c r="O214" s="1843"/>
      <c r="P214" s="1843"/>
      <c r="Q214" s="1843"/>
      <c r="R214" s="1843"/>
      <c r="S214" s="1843"/>
      <c r="T214" s="1843"/>
      <c r="U214" s="1843"/>
      <c r="V214" s="1843"/>
      <c r="W214" s="1843"/>
      <c r="X214" s="1843"/>
      <c r="Y214" s="1843"/>
      <c r="Z214" s="1843"/>
      <c r="AA214" s="1844"/>
      <c r="AB214" s="1335"/>
      <c r="AC214" s="1335"/>
      <c r="AD214" s="1335"/>
      <c r="AE214" s="1335"/>
      <c r="AF214" s="1335"/>
      <c r="AG214" s="1335"/>
    </row>
    <row r="215" spans="1:33">
      <c r="A215" s="1817">
        <v>54</v>
      </c>
      <c r="B215" s="1791"/>
      <c r="C215" s="1860"/>
      <c r="D215" s="1866"/>
      <c r="E215" s="1867"/>
      <c r="F215" s="1842"/>
      <c r="G215" s="1843"/>
      <c r="H215" s="1843"/>
      <c r="I215" s="1843"/>
      <c r="J215" s="1843"/>
      <c r="K215" s="1843"/>
      <c r="L215" s="1843"/>
      <c r="M215" s="1843"/>
      <c r="N215" s="1843"/>
      <c r="O215" s="1843"/>
      <c r="P215" s="1843"/>
      <c r="Q215" s="1843"/>
      <c r="R215" s="1843"/>
      <c r="S215" s="1843"/>
      <c r="T215" s="1843"/>
      <c r="U215" s="1843"/>
      <c r="V215" s="1843"/>
      <c r="W215" s="1843"/>
      <c r="X215" s="1843"/>
      <c r="Y215" s="1843"/>
      <c r="Z215" s="1843"/>
      <c r="AA215" s="1844"/>
      <c r="AB215" s="1335"/>
      <c r="AC215" s="1335"/>
      <c r="AD215" s="1335"/>
      <c r="AE215" s="1335"/>
      <c r="AF215" s="1335"/>
      <c r="AG215" s="1335"/>
    </row>
    <row r="216" spans="1:33">
      <c r="A216" s="1817">
        <v>55</v>
      </c>
      <c r="B216" s="1791"/>
      <c r="C216" s="1860"/>
      <c r="D216" s="1866"/>
      <c r="E216" s="1867"/>
      <c r="F216" s="1842"/>
      <c r="G216" s="1843"/>
      <c r="H216" s="1843"/>
      <c r="I216" s="1843"/>
      <c r="J216" s="1843"/>
      <c r="K216" s="1843"/>
      <c r="L216" s="1843"/>
      <c r="M216" s="1843"/>
      <c r="N216" s="1843"/>
      <c r="O216" s="1843"/>
      <c r="P216" s="1843"/>
      <c r="Q216" s="1843"/>
      <c r="R216" s="1843"/>
      <c r="S216" s="1843"/>
      <c r="T216" s="1843"/>
      <c r="U216" s="1843"/>
      <c r="V216" s="1843"/>
      <c r="W216" s="1843"/>
      <c r="X216" s="1843"/>
      <c r="Y216" s="1843"/>
      <c r="Z216" s="1843"/>
      <c r="AA216" s="1844"/>
      <c r="AB216" s="1335"/>
      <c r="AC216" s="1335"/>
      <c r="AD216" s="1335"/>
      <c r="AE216" s="1335"/>
      <c r="AF216" s="1335"/>
      <c r="AG216" s="1335"/>
    </row>
    <row r="217" spans="1:33">
      <c r="A217" s="1817">
        <v>56</v>
      </c>
      <c r="B217" s="1791"/>
      <c r="C217" s="1860"/>
      <c r="D217" s="1866"/>
      <c r="E217" s="1867"/>
      <c r="F217" s="1842"/>
      <c r="G217" s="1843"/>
      <c r="H217" s="1843"/>
      <c r="I217" s="1843"/>
      <c r="J217" s="1843"/>
      <c r="K217" s="1843"/>
      <c r="L217" s="1843"/>
      <c r="M217" s="1843"/>
      <c r="N217" s="1843"/>
      <c r="O217" s="1843"/>
      <c r="P217" s="1843"/>
      <c r="Q217" s="1843"/>
      <c r="R217" s="1843"/>
      <c r="S217" s="1843"/>
      <c r="T217" s="1843"/>
      <c r="U217" s="1843"/>
      <c r="V217" s="1843"/>
      <c r="W217" s="1843"/>
      <c r="X217" s="1843"/>
      <c r="Y217" s="1843"/>
      <c r="Z217" s="1843"/>
      <c r="AA217" s="1844"/>
      <c r="AB217" s="1335"/>
      <c r="AC217" s="1335"/>
      <c r="AD217" s="1335"/>
      <c r="AE217" s="1335"/>
      <c r="AF217" s="1335"/>
      <c r="AG217" s="1335"/>
    </row>
    <row r="218" spans="1:33">
      <c r="A218" s="1817">
        <v>57</v>
      </c>
      <c r="B218" s="1791"/>
      <c r="C218" s="1860"/>
      <c r="D218" s="1866"/>
      <c r="E218" s="1867"/>
      <c r="F218" s="1842"/>
      <c r="G218" s="1843"/>
      <c r="H218" s="1843"/>
      <c r="I218" s="1843"/>
      <c r="J218" s="1843"/>
      <c r="K218" s="1843"/>
      <c r="L218" s="1843"/>
      <c r="M218" s="1843"/>
      <c r="N218" s="1843"/>
      <c r="O218" s="1843"/>
      <c r="P218" s="1843"/>
      <c r="Q218" s="1843"/>
      <c r="R218" s="1843"/>
      <c r="S218" s="1843"/>
      <c r="T218" s="1843"/>
      <c r="U218" s="1843"/>
      <c r="V218" s="1843"/>
      <c r="W218" s="1843"/>
      <c r="X218" s="1843"/>
      <c r="Y218" s="1843"/>
      <c r="Z218" s="1843"/>
      <c r="AA218" s="1844"/>
      <c r="AB218" s="1335"/>
      <c r="AC218" s="1335"/>
      <c r="AD218" s="1335"/>
      <c r="AE218" s="1335"/>
      <c r="AF218" s="1335"/>
      <c r="AG218" s="1335"/>
    </row>
    <row r="219" spans="1:33">
      <c r="A219" s="1817">
        <v>58</v>
      </c>
      <c r="B219" s="1791"/>
      <c r="C219" s="1860"/>
      <c r="D219" s="1866"/>
      <c r="E219" s="1867"/>
      <c r="F219" s="1842"/>
      <c r="G219" s="1843"/>
      <c r="H219" s="1843"/>
      <c r="I219" s="1843"/>
      <c r="J219" s="1843"/>
      <c r="K219" s="1843"/>
      <c r="L219" s="1843"/>
      <c r="M219" s="1843"/>
      <c r="N219" s="1843"/>
      <c r="O219" s="1843"/>
      <c r="P219" s="1843"/>
      <c r="Q219" s="1843"/>
      <c r="R219" s="1843"/>
      <c r="S219" s="1843"/>
      <c r="T219" s="1843"/>
      <c r="U219" s="1843"/>
      <c r="V219" s="1843"/>
      <c r="W219" s="1843"/>
      <c r="X219" s="1843"/>
      <c r="Y219" s="1843"/>
      <c r="Z219" s="1843"/>
      <c r="AA219" s="1844"/>
      <c r="AB219" s="1335"/>
      <c r="AC219" s="1335"/>
      <c r="AD219" s="1335"/>
      <c r="AE219" s="1335"/>
      <c r="AF219" s="1335"/>
      <c r="AG219" s="1335"/>
    </row>
    <row r="220" spans="1:33">
      <c r="A220" s="1817">
        <v>59</v>
      </c>
      <c r="B220" s="1791"/>
      <c r="C220" s="1860"/>
      <c r="D220" s="1866"/>
      <c r="E220" s="1867"/>
      <c r="F220" s="1842"/>
      <c r="G220" s="1843"/>
      <c r="H220" s="1843"/>
      <c r="I220" s="1843"/>
      <c r="J220" s="1843"/>
      <c r="K220" s="1843"/>
      <c r="L220" s="1843"/>
      <c r="M220" s="1843"/>
      <c r="N220" s="1843"/>
      <c r="O220" s="1843"/>
      <c r="P220" s="1843"/>
      <c r="Q220" s="1843"/>
      <c r="R220" s="1843"/>
      <c r="S220" s="1843"/>
      <c r="T220" s="1843"/>
      <c r="U220" s="1843"/>
      <c r="V220" s="1843"/>
      <c r="W220" s="1843"/>
      <c r="X220" s="1843"/>
      <c r="Y220" s="1843"/>
      <c r="Z220" s="1843"/>
      <c r="AA220" s="1844"/>
      <c r="AB220" s="1335"/>
      <c r="AC220" s="1335"/>
      <c r="AD220" s="1335"/>
      <c r="AE220" s="1335"/>
      <c r="AF220" s="1335"/>
      <c r="AG220" s="1335"/>
    </row>
    <row r="221" spans="1:33">
      <c r="A221" s="1817">
        <v>60</v>
      </c>
      <c r="B221" s="1791"/>
      <c r="C221" s="1860"/>
      <c r="D221" s="1866"/>
      <c r="E221" s="1867"/>
      <c r="F221" s="1842"/>
      <c r="G221" s="1843"/>
      <c r="H221" s="1843"/>
      <c r="I221" s="1843"/>
      <c r="J221" s="1843"/>
      <c r="K221" s="1843"/>
      <c r="L221" s="1843"/>
      <c r="M221" s="1843"/>
      <c r="N221" s="1843"/>
      <c r="O221" s="1843"/>
      <c r="P221" s="1843"/>
      <c r="Q221" s="1843"/>
      <c r="R221" s="1843"/>
      <c r="S221" s="1843"/>
      <c r="T221" s="1843"/>
      <c r="U221" s="1843"/>
      <c r="V221" s="1843"/>
      <c r="W221" s="1843"/>
      <c r="X221" s="1843"/>
      <c r="Y221" s="1843"/>
      <c r="Z221" s="1843"/>
      <c r="AA221" s="1844"/>
      <c r="AB221" s="1335"/>
      <c r="AC221" s="1335"/>
      <c r="AD221" s="1335"/>
      <c r="AE221" s="1335"/>
      <c r="AF221" s="1335"/>
      <c r="AG221" s="1335"/>
    </row>
    <row r="222" spans="1:33">
      <c r="A222" s="1817">
        <v>61</v>
      </c>
      <c r="B222" s="1791"/>
      <c r="C222" s="1860"/>
      <c r="D222" s="1866"/>
      <c r="E222" s="1867"/>
      <c r="F222" s="1842"/>
      <c r="G222" s="1843"/>
      <c r="H222" s="1843"/>
      <c r="I222" s="1843"/>
      <c r="J222" s="1843"/>
      <c r="K222" s="1843"/>
      <c r="L222" s="1843"/>
      <c r="M222" s="1843"/>
      <c r="N222" s="1843"/>
      <c r="O222" s="1843"/>
      <c r="P222" s="1843"/>
      <c r="Q222" s="1843"/>
      <c r="R222" s="1843"/>
      <c r="S222" s="1843"/>
      <c r="T222" s="1843"/>
      <c r="U222" s="1843"/>
      <c r="V222" s="1843"/>
      <c r="W222" s="1843"/>
      <c r="X222" s="1843"/>
      <c r="Y222" s="1843"/>
      <c r="Z222" s="1843"/>
      <c r="AA222" s="1844"/>
      <c r="AB222" s="1335"/>
      <c r="AC222" s="1335"/>
      <c r="AD222" s="1335"/>
      <c r="AE222" s="1335"/>
      <c r="AF222" s="1335"/>
      <c r="AG222" s="1335"/>
    </row>
    <row r="223" spans="1:33">
      <c r="A223" s="1817">
        <v>62</v>
      </c>
      <c r="B223" s="1791"/>
      <c r="C223" s="1860"/>
      <c r="D223" s="1866"/>
      <c r="E223" s="1867"/>
      <c r="F223" s="1842"/>
      <c r="G223" s="1843"/>
      <c r="H223" s="1843"/>
      <c r="I223" s="1843"/>
      <c r="J223" s="1843"/>
      <c r="K223" s="1843"/>
      <c r="L223" s="1843"/>
      <c r="M223" s="1843"/>
      <c r="N223" s="1843"/>
      <c r="O223" s="1843"/>
      <c r="P223" s="1843"/>
      <c r="Q223" s="1843"/>
      <c r="R223" s="1843"/>
      <c r="S223" s="1843"/>
      <c r="T223" s="1843"/>
      <c r="U223" s="1843"/>
      <c r="V223" s="1843"/>
      <c r="W223" s="1843"/>
      <c r="X223" s="1843"/>
      <c r="Y223" s="1843"/>
      <c r="Z223" s="1843"/>
      <c r="AA223" s="1844"/>
      <c r="AB223" s="1335"/>
      <c r="AC223" s="1335"/>
      <c r="AD223" s="1335"/>
      <c r="AE223" s="1335"/>
      <c r="AF223" s="1335"/>
      <c r="AG223" s="1335"/>
    </row>
    <row r="224" spans="1:33">
      <c r="A224" s="1817">
        <v>63</v>
      </c>
      <c r="B224" s="1791"/>
      <c r="C224" s="1860"/>
      <c r="D224" s="1866"/>
      <c r="E224" s="1867"/>
      <c r="F224" s="1842"/>
      <c r="G224" s="1843"/>
      <c r="H224" s="1843"/>
      <c r="I224" s="1843"/>
      <c r="J224" s="1843"/>
      <c r="K224" s="1843"/>
      <c r="L224" s="1843"/>
      <c r="M224" s="1843"/>
      <c r="N224" s="1843"/>
      <c r="O224" s="1843"/>
      <c r="P224" s="1843"/>
      <c r="Q224" s="1843"/>
      <c r="R224" s="1843"/>
      <c r="S224" s="1843"/>
      <c r="T224" s="1843"/>
      <c r="U224" s="1843"/>
      <c r="V224" s="1843"/>
      <c r="W224" s="1843"/>
      <c r="X224" s="1843"/>
      <c r="Y224" s="1843"/>
      <c r="Z224" s="1843"/>
      <c r="AA224" s="1844"/>
      <c r="AB224" s="1335"/>
      <c r="AC224" s="1335"/>
      <c r="AD224" s="1335"/>
      <c r="AE224" s="1335"/>
      <c r="AF224" s="1335"/>
      <c r="AG224" s="1335"/>
    </row>
    <row r="225" spans="1:33">
      <c r="A225" s="1817">
        <v>64</v>
      </c>
      <c r="B225" s="1791"/>
      <c r="C225" s="1860"/>
      <c r="D225" s="1866"/>
      <c r="E225" s="1867"/>
      <c r="F225" s="1842"/>
      <c r="G225" s="1843"/>
      <c r="H225" s="1843"/>
      <c r="I225" s="1843"/>
      <c r="J225" s="1843"/>
      <c r="K225" s="1843"/>
      <c r="L225" s="1843"/>
      <c r="M225" s="1843"/>
      <c r="N225" s="1843"/>
      <c r="O225" s="1843"/>
      <c r="P225" s="1843"/>
      <c r="Q225" s="1843"/>
      <c r="R225" s="1843"/>
      <c r="S225" s="1843"/>
      <c r="T225" s="1843"/>
      <c r="U225" s="1843"/>
      <c r="V225" s="1843"/>
      <c r="W225" s="1843"/>
      <c r="X225" s="1843"/>
      <c r="Y225" s="1843"/>
      <c r="Z225" s="1843"/>
      <c r="AA225" s="1844"/>
      <c r="AB225" s="1335"/>
      <c r="AC225" s="1335"/>
      <c r="AD225" s="1335"/>
      <c r="AE225" s="1335"/>
      <c r="AF225" s="1335"/>
      <c r="AG225" s="1335"/>
    </row>
    <row r="226" spans="1:33">
      <c r="A226" s="1817">
        <v>65</v>
      </c>
      <c r="B226" s="1791"/>
      <c r="C226" s="1860"/>
      <c r="D226" s="1866"/>
      <c r="E226" s="1867"/>
      <c r="F226" s="1842"/>
      <c r="G226" s="1843"/>
      <c r="H226" s="1843"/>
      <c r="I226" s="1843"/>
      <c r="J226" s="1843"/>
      <c r="K226" s="1843"/>
      <c r="L226" s="1843"/>
      <c r="M226" s="1843"/>
      <c r="N226" s="1843"/>
      <c r="O226" s="1843"/>
      <c r="P226" s="1843"/>
      <c r="Q226" s="1843"/>
      <c r="R226" s="1843"/>
      <c r="S226" s="1843"/>
      <c r="T226" s="1843"/>
      <c r="U226" s="1843"/>
      <c r="V226" s="1843"/>
      <c r="W226" s="1843"/>
      <c r="X226" s="1843"/>
      <c r="Y226" s="1843"/>
      <c r="Z226" s="1843"/>
      <c r="AA226" s="1844"/>
      <c r="AB226" s="1335"/>
      <c r="AC226" s="1335"/>
      <c r="AD226" s="1335"/>
      <c r="AE226" s="1335"/>
      <c r="AF226" s="1335"/>
      <c r="AG226" s="1335"/>
    </row>
    <row r="227" spans="1:33">
      <c r="A227" s="1817">
        <v>66</v>
      </c>
      <c r="B227" s="1791"/>
      <c r="C227" s="1860"/>
      <c r="D227" s="1866"/>
      <c r="E227" s="1867"/>
      <c r="F227" s="1842"/>
      <c r="G227" s="1843"/>
      <c r="H227" s="1843"/>
      <c r="I227" s="1843"/>
      <c r="J227" s="1843"/>
      <c r="K227" s="1843"/>
      <c r="L227" s="1843"/>
      <c r="M227" s="1843"/>
      <c r="N227" s="1843"/>
      <c r="O227" s="1843"/>
      <c r="P227" s="1843"/>
      <c r="Q227" s="1843"/>
      <c r="R227" s="1843"/>
      <c r="S227" s="1843"/>
      <c r="T227" s="1843"/>
      <c r="U227" s="1843"/>
      <c r="V227" s="1843"/>
      <c r="W227" s="1843"/>
      <c r="X227" s="1843"/>
      <c r="Y227" s="1843"/>
      <c r="Z227" s="1843"/>
      <c r="AA227" s="1844"/>
      <c r="AB227" s="1335"/>
      <c r="AC227" s="1335"/>
      <c r="AD227" s="1335"/>
      <c r="AE227" s="1335"/>
      <c r="AF227" s="1335"/>
      <c r="AG227" s="1335"/>
    </row>
    <row r="228" spans="1:33">
      <c r="A228" s="1817">
        <v>67</v>
      </c>
      <c r="B228" s="1791"/>
      <c r="C228" s="1860"/>
      <c r="D228" s="1866"/>
      <c r="E228" s="1867"/>
      <c r="F228" s="1842"/>
      <c r="G228" s="1843"/>
      <c r="H228" s="1843"/>
      <c r="I228" s="1843"/>
      <c r="J228" s="1843"/>
      <c r="K228" s="1843"/>
      <c r="L228" s="1843"/>
      <c r="M228" s="1843"/>
      <c r="N228" s="1843"/>
      <c r="O228" s="1843"/>
      <c r="P228" s="1843"/>
      <c r="Q228" s="1843"/>
      <c r="R228" s="1843"/>
      <c r="S228" s="1843"/>
      <c r="T228" s="1843"/>
      <c r="U228" s="1843"/>
      <c r="V228" s="1843"/>
      <c r="W228" s="1843"/>
      <c r="X228" s="1843"/>
      <c r="Y228" s="1843"/>
      <c r="Z228" s="1843"/>
      <c r="AA228" s="1844"/>
      <c r="AB228" s="1335"/>
      <c r="AC228" s="1335"/>
      <c r="AD228" s="1335"/>
      <c r="AE228" s="1335"/>
      <c r="AF228" s="1335"/>
      <c r="AG228" s="1335"/>
    </row>
    <row r="229" spans="1:33">
      <c r="A229" s="1817">
        <v>68</v>
      </c>
      <c r="B229" s="1791"/>
      <c r="C229" s="1860"/>
      <c r="D229" s="1866"/>
      <c r="E229" s="1867"/>
      <c r="F229" s="1842"/>
      <c r="G229" s="1843"/>
      <c r="H229" s="1843"/>
      <c r="I229" s="1843"/>
      <c r="J229" s="1843"/>
      <c r="K229" s="1843"/>
      <c r="L229" s="1843"/>
      <c r="M229" s="1843"/>
      <c r="N229" s="1843"/>
      <c r="O229" s="1843"/>
      <c r="P229" s="1843"/>
      <c r="Q229" s="1843"/>
      <c r="R229" s="1843"/>
      <c r="S229" s="1843"/>
      <c r="T229" s="1843"/>
      <c r="U229" s="1843"/>
      <c r="V229" s="1843"/>
      <c r="W229" s="1843"/>
      <c r="X229" s="1843"/>
      <c r="Y229" s="1843"/>
      <c r="Z229" s="1843"/>
      <c r="AA229" s="1844"/>
      <c r="AB229" s="1335"/>
      <c r="AC229" s="1335"/>
      <c r="AD229" s="1335"/>
      <c r="AE229" s="1335"/>
      <c r="AF229" s="1335"/>
      <c r="AG229" s="1335"/>
    </row>
    <row r="230" spans="1:33">
      <c r="A230" s="1817">
        <v>69</v>
      </c>
      <c r="B230" s="1791"/>
      <c r="C230" s="1860"/>
      <c r="D230" s="1866"/>
      <c r="E230" s="1867"/>
      <c r="F230" s="1842"/>
      <c r="G230" s="1843"/>
      <c r="H230" s="1843"/>
      <c r="I230" s="1843"/>
      <c r="J230" s="1843"/>
      <c r="K230" s="1843"/>
      <c r="L230" s="1843"/>
      <c r="M230" s="1843"/>
      <c r="N230" s="1843"/>
      <c r="O230" s="1843"/>
      <c r="P230" s="1843"/>
      <c r="Q230" s="1843"/>
      <c r="R230" s="1843"/>
      <c r="S230" s="1843"/>
      <c r="T230" s="1843"/>
      <c r="U230" s="1843"/>
      <c r="V230" s="1843"/>
      <c r="W230" s="1843"/>
      <c r="X230" s="1843"/>
      <c r="Y230" s="1843"/>
      <c r="Z230" s="1843"/>
      <c r="AA230" s="1844"/>
      <c r="AB230" s="1335"/>
      <c r="AC230" s="1335"/>
      <c r="AD230" s="1335"/>
      <c r="AE230" s="1335"/>
      <c r="AF230" s="1335"/>
      <c r="AG230" s="1335"/>
    </row>
    <row r="231" spans="1:33">
      <c r="A231" s="1817">
        <v>70</v>
      </c>
      <c r="B231" s="1791"/>
      <c r="C231" s="1860"/>
      <c r="D231" s="1866"/>
      <c r="E231" s="1867"/>
      <c r="F231" s="1842"/>
      <c r="G231" s="1843"/>
      <c r="H231" s="1843"/>
      <c r="I231" s="1843"/>
      <c r="J231" s="1843"/>
      <c r="K231" s="1843"/>
      <c r="L231" s="1843"/>
      <c r="M231" s="1843"/>
      <c r="N231" s="1843"/>
      <c r="O231" s="1843"/>
      <c r="P231" s="1843"/>
      <c r="Q231" s="1843"/>
      <c r="R231" s="1843"/>
      <c r="S231" s="1843"/>
      <c r="T231" s="1843"/>
      <c r="U231" s="1843"/>
      <c r="V231" s="1843"/>
      <c r="W231" s="1843"/>
      <c r="X231" s="1843"/>
      <c r="Y231" s="1843"/>
      <c r="Z231" s="1843"/>
      <c r="AA231" s="1844"/>
      <c r="AB231" s="1335"/>
      <c r="AC231" s="1335"/>
      <c r="AD231" s="1335"/>
      <c r="AE231" s="1335"/>
      <c r="AF231" s="1335"/>
      <c r="AG231" s="1335"/>
    </row>
    <row r="232" spans="1:33">
      <c r="A232" s="1817">
        <v>71</v>
      </c>
      <c r="B232" s="1791"/>
      <c r="C232" s="1860"/>
      <c r="D232" s="1866"/>
      <c r="E232" s="1867"/>
      <c r="F232" s="1842"/>
      <c r="G232" s="1843"/>
      <c r="H232" s="1843"/>
      <c r="I232" s="1843"/>
      <c r="J232" s="1843"/>
      <c r="K232" s="1843"/>
      <c r="L232" s="1843"/>
      <c r="M232" s="1843"/>
      <c r="N232" s="1843"/>
      <c r="O232" s="1843"/>
      <c r="P232" s="1843"/>
      <c r="Q232" s="1843"/>
      <c r="R232" s="1843"/>
      <c r="S232" s="1843"/>
      <c r="T232" s="1843"/>
      <c r="U232" s="1843"/>
      <c r="V232" s="1843"/>
      <c r="W232" s="1843"/>
      <c r="X232" s="1843"/>
      <c r="Y232" s="1843"/>
      <c r="Z232" s="1843"/>
      <c r="AA232" s="1844"/>
      <c r="AB232" s="1335"/>
      <c r="AC232" s="1335"/>
      <c r="AD232" s="1335"/>
      <c r="AE232" s="1335"/>
      <c r="AF232" s="1335"/>
      <c r="AG232" s="1335"/>
    </row>
    <row r="233" spans="1:33">
      <c r="A233" s="1817">
        <v>72</v>
      </c>
      <c r="B233" s="1791"/>
      <c r="C233" s="1860"/>
      <c r="D233" s="1866"/>
      <c r="E233" s="1867"/>
      <c r="F233" s="1842"/>
      <c r="G233" s="1843"/>
      <c r="H233" s="1843"/>
      <c r="I233" s="1843"/>
      <c r="J233" s="1843"/>
      <c r="K233" s="1843"/>
      <c r="L233" s="1843"/>
      <c r="M233" s="1843"/>
      <c r="N233" s="1843"/>
      <c r="O233" s="1843"/>
      <c r="P233" s="1843"/>
      <c r="Q233" s="1843"/>
      <c r="R233" s="1843"/>
      <c r="S233" s="1843"/>
      <c r="T233" s="1843"/>
      <c r="U233" s="1843"/>
      <c r="V233" s="1843"/>
      <c r="W233" s="1843"/>
      <c r="X233" s="1843"/>
      <c r="Y233" s="1843"/>
      <c r="Z233" s="1843"/>
      <c r="AA233" s="1844"/>
      <c r="AB233" s="1335"/>
      <c r="AC233" s="1335"/>
      <c r="AD233" s="1335"/>
      <c r="AE233" s="1335"/>
      <c r="AF233" s="1335"/>
      <c r="AG233" s="1335"/>
    </row>
    <row r="234" spans="1:33">
      <c r="A234" s="1817">
        <v>73</v>
      </c>
      <c r="B234" s="1791"/>
      <c r="C234" s="1860"/>
      <c r="D234" s="1866"/>
      <c r="E234" s="1867"/>
      <c r="F234" s="1842"/>
      <c r="G234" s="1843"/>
      <c r="H234" s="1843"/>
      <c r="I234" s="1843"/>
      <c r="J234" s="1843"/>
      <c r="K234" s="1843"/>
      <c r="L234" s="1843"/>
      <c r="M234" s="1843"/>
      <c r="N234" s="1843"/>
      <c r="O234" s="1843"/>
      <c r="P234" s="1843"/>
      <c r="Q234" s="1843"/>
      <c r="R234" s="1843"/>
      <c r="S234" s="1843"/>
      <c r="T234" s="1843"/>
      <c r="U234" s="1843"/>
      <c r="V234" s="1843"/>
      <c r="W234" s="1843"/>
      <c r="X234" s="1843"/>
      <c r="Y234" s="1843"/>
      <c r="Z234" s="1843"/>
      <c r="AA234" s="1844"/>
      <c r="AB234" s="1335"/>
      <c r="AC234" s="1335"/>
      <c r="AD234" s="1335"/>
      <c r="AE234" s="1335"/>
      <c r="AF234" s="1335"/>
      <c r="AG234" s="1335"/>
    </row>
    <row r="235" spans="1:33">
      <c r="A235" s="1817">
        <v>74</v>
      </c>
      <c r="B235" s="1791"/>
      <c r="C235" s="1860"/>
      <c r="D235" s="1866"/>
      <c r="E235" s="1867"/>
      <c r="F235" s="1842"/>
      <c r="G235" s="1843"/>
      <c r="H235" s="1843"/>
      <c r="I235" s="1843"/>
      <c r="J235" s="1843"/>
      <c r="K235" s="1843"/>
      <c r="L235" s="1843"/>
      <c r="M235" s="1843"/>
      <c r="N235" s="1843"/>
      <c r="O235" s="1843"/>
      <c r="P235" s="1843"/>
      <c r="Q235" s="1843"/>
      <c r="R235" s="1843"/>
      <c r="S235" s="1843"/>
      <c r="T235" s="1843"/>
      <c r="U235" s="1843"/>
      <c r="V235" s="1843"/>
      <c r="W235" s="1843"/>
      <c r="X235" s="1843"/>
      <c r="Y235" s="1843"/>
      <c r="Z235" s="1843"/>
      <c r="AA235" s="1844"/>
      <c r="AB235" s="1335"/>
      <c r="AC235" s="1335"/>
      <c r="AD235" s="1335"/>
      <c r="AE235" s="1335"/>
      <c r="AF235" s="1335"/>
      <c r="AG235" s="1335"/>
    </row>
    <row r="236" spans="1:33">
      <c r="A236" s="1817">
        <v>75</v>
      </c>
      <c r="B236" s="1791"/>
      <c r="C236" s="1860"/>
      <c r="D236" s="1866"/>
      <c r="E236" s="1867"/>
      <c r="F236" s="1842"/>
      <c r="G236" s="1843"/>
      <c r="H236" s="1843"/>
      <c r="I236" s="1843"/>
      <c r="J236" s="1843"/>
      <c r="K236" s="1843"/>
      <c r="L236" s="1843"/>
      <c r="M236" s="1843"/>
      <c r="N236" s="1843"/>
      <c r="O236" s="1843"/>
      <c r="P236" s="1843"/>
      <c r="Q236" s="1843"/>
      <c r="R236" s="1843"/>
      <c r="S236" s="1843"/>
      <c r="T236" s="1843"/>
      <c r="U236" s="1843"/>
      <c r="V236" s="1843"/>
      <c r="W236" s="1843"/>
      <c r="X236" s="1843"/>
      <c r="Y236" s="1843"/>
      <c r="Z236" s="1843"/>
      <c r="AA236" s="1844"/>
      <c r="AB236" s="1335"/>
      <c r="AC236" s="1335"/>
      <c r="AD236" s="1335"/>
      <c r="AE236" s="1335"/>
      <c r="AF236" s="1335"/>
      <c r="AG236" s="1335"/>
    </row>
    <row r="237" spans="1:33">
      <c r="A237" s="1817">
        <v>76</v>
      </c>
      <c r="B237" s="1791"/>
      <c r="C237" s="1860"/>
      <c r="D237" s="1866"/>
      <c r="E237" s="1867"/>
      <c r="F237" s="1842"/>
      <c r="G237" s="1843"/>
      <c r="H237" s="1843"/>
      <c r="I237" s="1843"/>
      <c r="J237" s="1843"/>
      <c r="K237" s="1843"/>
      <c r="L237" s="1843"/>
      <c r="M237" s="1843"/>
      <c r="N237" s="1843"/>
      <c r="O237" s="1843"/>
      <c r="P237" s="1843"/>
      <c r="Q237" s="1843"/>
      <c r="R237" s="1843"/>
      <c r="S237" s="1843"/>
      <c r="T237" s="1843"/>
      <c r="U237" s="1843"/>
      <c r="V237" s="1843"/>
      <c r="W237" s="1843"/>
      <c r="X237" s="1843"/>
      <c r="Y237" s="1843"/>
      <c r="Z237" s="1843"/>
      <c r="AA237" s="1844"/>
      <c r="AB237" s="1335"/>
      <c r="AC237" s="1335"/>
      <c r="AD237" s="1335"/>
      <c r="AE237" s="1335"/>
      <c r="AF237" s="1335"/>
      <c r="AG237" s="1335"/>
    </row>
    <row r="238" spans="1:33">
      <c r="A238" s="1817">
        <v>77</v>
      </c>
      <c r="B238" s="1791"/>
      <c r="C238" s="1860"/>
      <c r="D238" s="1866"/>
      <c r="E238" s="1867"/>
      <c r="F238" s="1842"/>
      <c r="G238" s="1843"/>
      <c r="H238" s="1843"/>
      <c r="I238" s="1843"/>
      <c r="J238" s="1843"/>
      <c r="K238" s="1843"/>
      <c r="L238" s="1843"/>
      <c r="M238" s="1843"/>
      <c r="N238" s="1843"/>
      <c r="O238" s="1843"/>
      <c r="P238" s="1843"/>
      <c r="Q238" s="1843"/>
      <c r="R238" s="1843"/>
      <c r="S238" s="1843"/>
      <c r="T238" s="1843"/>
      <c r="U238" s="1843"/>
      <c r="V238" s="1843"/>
      <c r="W238" s="1843"/>
      <c r="X238" s="1843"/>
      <c r="Y238" s="1843"/>
      <c r="Z238" s="1843"/>
      <c r="AA238" s="1844"/>
      <c r="AB238" s="1335"/>
      <c r="AC238" s="1335"/>
      <c r="AD238" s="1335"/>
      <c r="AE238" s="1335"/>
      <c r="AF238" s="1335"/>
      <c r="AG238" s="1335"/>
    </row>
    <row r="239" spans="1:33">
      <c r="A239" s="1817">
        <v>78</v>
      </c>
      <c r="B239" s="1791"/>
      <c r="C239" s="1860"/>
      <c r="D239" s="1866"/>
      <c r="E239" s="1867"/>
      <c r="F239" s="1842"/>
      <c r="G239" s="1843"/>
      <c r="H239" s="1843"/>
      <c r="I239" s="1843"/>
      <c r="J239" s="1843"/>
      <c r="K239" s="1843"/>
      <c r="L239" s="1843"/>
      <c r="M239" s="1843"/>
      <c r="N239" s="1843"/>
      <c r="O239" s="1843"/>
      <c r="P239" s="1843"/>
      <c r="Q239" s="1843"/>
      <c r="R239" s="1843"/>
      <c r="S239" s="1843"/>
      <c r="T239" s="1843"/>
      <c r="U239" s="1843"/>
      <c r="V239" s="1843"/>
      <c r="W239" s="1843"/>
      <c r="X239" s="1843"/>
      <c r="Y239" s="1843"/>
      <c r="Z239" s="1843"/>
      <c r="AA239" s="1844"/>
      <c r="AB239" s="1335"/>
      <c r="AC239" s="1335"/>
      <c r="AD239" s="1335"/>
      <c r="AE239" s="1335"/>
      <c r="AF239" s="1335"/>
      <c r="AG239" s="1335"/>
    </row>
    <row r="240" spans="1:33">
      <c r="A240" s="1817">
        <v>79</v>
      </c>
      <c r="B240" s="1791"/>
      <c r="C240" s="1860"/>
      <c r="D240" s="1866"/>
      <c r="E240" s="1867"/>
      <c r="F240" s="1842"/>
      <c r="G240" s="1843"/>
      <c r="H240" s="1843"/>
      <c r="I240" s="1843"/>
      <c r="J240" s="1843"/>
      <c r="K240" s="1843"/>
      <c r="L240" s="1843"/>
      <c r="M240" s="1843"/>
      <c r="N240" s="1843"/>
      <c r="O240" s="1843"/>
      <c r="P240" s="1843"/>
      <c r="Q240" s="1843"/>
      <c r="R240" s="1843"/>
      <c r="S240" s="1843"/>
      <c r="T240" s="1843"/>
      <c r="U240" s="1843"/>
      <c r="V240" s="1843"/>
      <c r="W240" s="1843"/>
      <c r="X240" s="1843"/>
      <c r="Y240" s="1843"/>
      <c r="Z240" s="1843"/>
      <c r="AA240" s="1844"/>
      <c r="AB240" s="1335"/>
      <c r="AC240" s="1335"/>
      <c r="AD240" s="1335"/>
      <c r="AE240" s="1335"/>
      <c r="AF240" s="1335"/>
      <c r="AG240" s="1335"/>
    </row>
    <row r="241" spans="1:33">
      <c r="A241" s="1817">
        <v>80</v>
      </c>
      <c r="B241" s="1791"/>
      <c r="C241" s="1860"/>
      <c r="D241" s="1866"/>
      <c r="E241" s="1867"/>
      <c r="F241" s="1842"/>
      <c r="G241" s="1843"/>
      <c r="H241" s="1843"/>
      <c r="I241" s="1843"/>
      <c r="J241" s="1843"/>
      <c r="K241" s="1843"/>
      <c r="L241" s="1843"/>
      <c r="M241" s="1843"/>
      <c r="N241" s="1843"/>
      <c r="O241" s="1843"/>
      <c r="P241" s="1843"/>
      <c r="Q241" s="1843"/>
      <c r="R241" s="1843"/>
      <c r="S241" s="1843"/>
      <c r="T241" s="1843"/>
      <c r="U241" s="1843"/>
      <c r="V241" s="1843"/>
      <c r="W241" s="1843"/>
      <c r="X241" s="1843"/>
      <c r="Y241" s="1843"/>
      <c r="Z241" s="1843"/>
      <c r="AA241" s="1844"/>
      <c r="AB241" s="1335"/>
      <c r="AC241" s="1335"/>
      <c r="AD241" s="1335"/>
      <c r="AE241" s="1335"/>
      <c r="AF241" s="1335"/>
      <c r="AG241" s="1335"/>
    </row>
    <row r="242" spans="1:33">
      <c r="A242" s="1817">
        <v>81</v>
      </c>
      <c r="B242" s="1791"/>
      <c r="C242" s="1860"/>
      <c r="D242" s="1866"/>
      <c r="E242" s="1867"/>
      <c r="F242" s="1842"/>
      <c r="G242" s="1843"/>
      <c r="H242" s="1843"/>
      <c r="I242" s="1843"/>
      <c r="J242" s="1843"/>
      <c r="K242" s="1843"/>
      <c r="L242" s="1843"/>
      <c r="M242" s="1843"/>
      <c r="N242" s="1843"/>
      <c r="O242" s="1843"/>
      <c r="P242" s="1843"/>
      <c r="Q242" s="1843"/>
      <c r="R242" s="1843"/>
      <c r="S242" s="1843"/>
      <c r="T242" s="1843"/>
      <c r="U242" s="1843"/>
      <c r="V242" s="1843"/>
      <c r="W242" s="1843"/>
      <c r="X242" s="1843"/>
      <c r="Y242" s="1843"/>
      <c r="Z242" s="1843"/>
      <c r="AA242" s="1844"/>
      <c r="AB242" s="1335"/>
      <c r="AC242" s="1335"/>
      <c r="AD242" s="1335"/>
      <c r="AE242" s="1335"/>
      <c r="AF242" s="1335"/>
      <c r="AG242" s="1335"/>
    </row>
    <row r="243" spans="1:33">
      <c r="A243" s="1817">
        <v>82</v>
      </c>
      <c r="B243" s="1791"/>
      <c r="C243" s="1860"/>
      <c r="D243" s="1866"/>
      <c r="E243" s="1867"/>
      <c r="F243" s="1842"/>
      <c r="G243" s="1843"/>
      <c r="H243" s="1843"/>
      <c r="I243" s="1843"/>
      <c r="J243" s="1843"/>
      <c r="K243" s="1843"/>
      <c r="L243" s="1843"/>
      <c r="M243" s="1843"/>
      <c r="N243" s="1843"/>
      <c r="O243" s="1843"/>
      <c r="P243" s="1843"/>
      <c r="Q243" s="1843"/>
      <c r="R243" s="1843"/>
      <c r="S243" s="1843"/>
      <c r="T243" s="1843"/>
      <c r="U243" s="1843"/>
      <c r="V243" s="1843"/>
      <c r="W243" s="1843"/>
      <c r="X243" s="1843"/>
      <c r="Y243" s="1843"/>
      <c r="Z243" s="1843"/>
      <c r="AA243" s="1844"/>
      <c r="AB243" s="1335"/>
      <c r="AC243" s="1335"/>
      <c r="AD243" s="1335"/>
      <c r="AE243" s="1335"/>
      <c r="AF243" s="1335"/>
      <c r="AG243" s="1335"/>
    </row>
    <row r="244" spans="1:33">
      <c r="A244" s="1817">
        <v>83</v>
      </c>
      <c r="B244" s="1791"/>
      <c r="C244" s="1860"/>
      <c r="D244" s="1866"/>
      <c r="E244" s="1867"/>
      <c r="F244" s="1842"/>
      <c r="G244" s="1843"/>
      <c r="H244" s="1843"/>
      <c r="I244" s="1843"/>
      <c r="J244" s="1843"/>
      <c r="K244" s="1843"/>
      <c r="L244" s="1843"/>
      <c r="M244" s="1843"/>
      <c r="N244" s="1843"/>
      <c r="O244" s="1843"/>
      <c r="P244" s="1843"/>
      <c r="Q244" s="1843"/>
      <c r="R244" s="1843"/>
      <c r="S244" s="1843"/>
      <c r="T244" s="1843"/>
      <c r="U244" s="1843"/>
      <c r="V244" s="1843"/>
      <c r="W244" s="1843"/>
      <c r="X244" s="1843"/>
      <c r="Y244" s="1843"/>
      <c r="Z244" s="1843"/>
      <c r="AA244" s="1844"/>
      <c r="AB244" s="1335"/>
      <c r="AC244" s="1335"/>
      <c r="AD244" s="1335"/>
      <c r="AE244" s="1335"/>
      <c r="AF244" s="1335"/>
      <c r="AG244" s="1335"/>
    </row>
    <row r="245" spans="1:33">
      <c r="A245" s="1817">
        <v>84</v>
      </c>
      <c r="B245" s="1791"/>
      <c r="C245" s="1860"/>
      <c r="D245" s="1866"/>
      <c r="E245" s="1867"/>
      <c r="F245" s="1842"/>
      <c r="G245" s="1843"/>
      <c r="H245" s="1843"/>
      <c r="I245" s="1843"/>
      <c r="J245" s="1843"/>
      <c r="K245" s="1843"/>
      <c r="L245" s="1843"/>
      <c r="M245" s="1843"/>
      <c r="N245" s="1843"/>
      <c r="O245" s="1843"/>
      <c r="P245" s="1843"/>
      <c r="Q245" s="1843"/>
      <c r="R245" s="1843"/>
      <c r="S245" s="1843"/>
      <c r="T245" s="1843"/>
      <c r="U245" s="1843"/>
      <c r="V245" s="1843"/>
      <c r="W245" s="1843"/>
      <c r="X245" s="1843"/>
      <c r="Y245" s="1843"/>
      <c r="Z245" s="1843"/>
      <c r="AA245" s="1844"/>
      <c r="AB245" s="1335"/>
      <c r="AC245" s="1335"/>
      <c r="AD245" s="1335"/>
      <c r="AE245" s="1335"/>
      <c r="AF245" s="1335"/>
      <c r="AG245" s="1335"/>
    </row>
    <row r="246" spans="1:33">
      <c r="A246" s="1817">
        <v>85</v>
      </c>
      <c r="B246" s="1791"/>
      <c r="C246" s="1860"/>
      <c r="D246" s="1866"/>
      <c r="E246" s="1867"/>
      <c r="F246" s="1842"/>
      <c r="G246" s="1843"/>
      <c r="H246" s="1843"/>
      <c r="I246" s="1843"/>
      <c r="J246" s="1843"/>
      <c r="K246" s="1843"/>
      <c r="L246" s="1843"/>
      <c r="M246" s="1843"/>
      <c r="N246" s="1843"/>
      <c r="O246" s="1843"/>
      <c r="P246" s="1843"/>
      <c r="Q246" s="1843"/>
      <c r="R246" s="1843"/>
      <c r="S246" s="1843"/>
      <c r="T246" s="1843"/>
      <c r="U246" s="1843"/>
      <c r="V246" s="1843"/>
      <c r="W246" s="1843"/>
      <c r="X246" s="1843"/>
      <c r="Y246" s="1843"/>
      <c r="Z246" s="1843"/>
      <c r="AA246" s="1844"/>
      <c r="AB246" s="1335"/>
      <c r="AC246" s="1335"/>
      <c r="AD246" s="1335"/>
      <c r="AE246" s="1335"/>
      <c r="AF246" s="1335"/>
      <c r="AG246" s="1335"/>
    </row>
    <row r="247" spans="1:33">
      <c r="A247" s="1817">
        <v>86</v>
      </c>
      <c r="B247" s="1791"/>
      <c r="C247" s="1860"/>
      <c r="D247" s="1866"/>
      <c r="E247" s="1867"/>
      <c r="F247" s="1842"/>
      <c r="G247" s="1843"/>
      <c r="H247" s="1843"/>
      <c r="I247" s="1843"/>
      <c r="J247" s="1843"/>
      <c r="K247" s="1843"/>
      <c r="L247" s="1843"/>
      <c r="M247" s="1843"/>
      <c r="N247" s="1843"/>
      <c r="O247" s="1843"/>
      <c r="P247" s="1843"/>
      <c r="Q247" s="1843"/>
      <c r="R247" s="1843"/>
      <c r="S247" s="1843"/>
      <c r="T247" s="1843"/>
      <c r="U247" s="1843"/>
      <c r="V247" s="1843"/>
      <c r="W247" s="1843"/>
      <c r="X247" s="1843"/>
      <c r="Y247" s="1843"/>
      <c r="Z247" s="1843"/>
      <c r="AA247" s="1844"/>
      <c r="AB247" s="1335"/>
      <c r="AC247" s="1335"/>
      <c r="AD247" s="1335"/>
      <c r="AE247" s="1335"/>
      <c r="AF247" s="1335"/>
      <c r="AG247" s="1335"/>
    </row>
    <row r="248" spans="1:33">
      <c r="A248" s="1817">
        <v>87</v>
      </c>
      <c r="B248" s="1791"/>
      <c r="C248" s="1860"/>
      <c r="D248" s="1866"/>
      <c r="E248" s="1867"/>
      <c r="F248" s="1842"/>
      <c r="G248" s="1843"/>
      <c r="H248" s="1843"/>
      <c r="I248" s="1843"/>
      <c r="J248" s="1843"/>
      <c r="K248" s="1843"/>
      <c r="L248" s="1843"/>
      <c r="M248" s="1843"/>
      <c r="N248" s="1843"/>
      <c r="O248" s="1843"/>
      <c r="P248" s="1843"/>
      <c r="Q248" s="1843"/>
      <c r="R248" s="1843"/>
      <c r="S248" s="1843"/>
      <c r="T248" s="1843"/>
      <c r="U248" s="1843"/>
      <c r="V248" s="1843"/>
      <c r="W248" s="1843"/>
      <c r="X248" s="1843"/>
      <c r="Y248" s="1843"/>
      <c r="Z248" s="1843"/>
      <c r="AA248" s="1844"/>
      <c r="AB248" s="1335"/>
      <c r="AC248" s="1335"/>
      <c r="AD248" s="1335"/>
      <c r="AE248" s="1335"/>
      <c r="AF248" s="1335"/>
      <c r="AG248" s="1335"/>
    </row>
    <row r="249" spans="1:33">
      <c r="A249" s="1817">
        <v>88</v>
      </c>
      <c r="B249" s="1791"/>
      <c r="C249" s="1860"/>
      <c r="D249" s="1866"/>
      <c r="E249" s="1867"/>
      <c r="F249" s="1842"/>
      <c r="G249" s="1843"/>
      <c r="H249" s="1843"/>
      <c r="I249" s="1843"/>
      <c r="J249" s="1843"/>
      <c r="K249" s="1843"/>
      <c r="L249" s="1843"/>
      <c r="M249" s="1843"/>
      <c r="N249" s="1843"/>
      <c r="O249" s="1843"/>
      <c r="P249" s="1843"/>
      <c r="Q249" s="1843"/>
      <c r="R249" s="1843"/>
      <c r="S249" s="1843"/>
      <c r="T249" s="1843"/>
      <c r="U249" s="1843"/>
      <c r="V249" s="1843"/>
      <c r="W249" s="1843"/>
      <c r="X249" s="1843"/>
      <c r="Y249" s="1843"/>
      <c r="Z249" s="1843"/>
      <c r="AA249" s="1844"/>
      <c r="AB249" s="1335"/>
      <c r="AC249" s="1335"/>
      <c r="AD249" s="1335"/>
      <c r="AE249" s="1335"/>
      <c r="AF249" s="1335"/>
      <c r="AG249" s="1335"/>
    </row>
    <row r="250" spans="1:33">
      <c r="A250" s="1817">
        <v>89</v>
      </c>
      <c r="B250" s="1791"/>
      <c r="C250" s="1860"/>
      <c r="D250" s="1866"/>
      <c r="E250" s="1867"/>
      <c r="F250" s="1842"/>
      <c r="G250" s="1843"/>
      <c r="H250" s="1843"/>
      <c r="I250" s="1843"/>
      <c r="J250" s="1843"/>
      <c r="K250" s="1843"/>
      <c r="L250" s="1843"/>
      <c r="M250" s="1843"/>
      <c r="N250" s="1843"/>
      <c r="O250" s="1843"/>
      <c r="P250" s="1843"/>
      <c r="Q250" s="1843"/>
      <c r="R250" s="1843"/>
      <c r="S250" s="1843"/>
      <c r="T250" s="1843"/>
      <c r="U250" s="1843"/>
      <c r="V250" s="1843"/>
      <c r="W250" s="1843"/>
      <c r="X250" s="1843"/>
      <c r="Y250" s="1843"/>
      <c r="Z250" s="1843"/>
      <c r="AA250" s="1844"/>
      <c r="AB250" s="1335"/>
      <c r="AC250" s="1335"/>
      <c r="AD250" s="1335"/>
      <c r="AE250" s="1335"/>
      <c r="AF250" s="1335"/>
      <c r="AG250" s="1335"/>
    </row>
    <row r="251" spans="1:33">
      <c r="A251" s="1817">
        <v>90</v>
      </c>
      <c r="B251" s="1791"/>
      <c r="C251" s="1860"/>
      <c r="D251" s="1866"/>
      <c r="E251" s="1867"/>
      <c r="F251" s="1842"/>
      <c r="G251" s="1843"/>
      <c r="H251" s="1843"/>
      <c r="I251" s="1843"/>
      <c r="J251" s="1843"/>
      <c r="K251" s="1843"/>
      <c r="L251" s="1843"/>
      <c r="M251" s="1843"/>
      <c r="N251" s="1843"/>
      <c r="O251" s="1843"/>
      <c r="P251" s="1843"/>
      <c r="Q251" s="1843"/>
      <c r="R251" s="1843"/>
      <c r="S251" s="1843"/>
      <c r="T251" s="1843"/>
      <c r="U251" s="1843"/>
      <c r="V251" s="1843"/>
      <c r="W251" s="1843"/>
      <c r="X251" s="1843"/>
      <c r="Y251" s="1843"/>
      <c r="Z251" s="1843"/>
      <c r="AA251" s="1844"/>
      <c r="AB251" s="1335"/>
      <c r="AC251" s="1335"/>
      <c r="AD251" s="1335"/>
      <c r="AE251" s="1335"/>
      <c r="AF251" s="1335"/>
      <c r="AG251" s="1335"/>
    </row>
    <row r="252" spans="1:33">
      <c r="A252" s="1817">
        <v>91</v>
      </c>
      <c r="B252" s="1791"/>
      <c r="C252" s="1860"/>
      <c r="D252" s="1866"/>
      <c r="E252" s="1867"/>
      <c r="F252" s="1842"/>
      <c r="G252" s="1843"/>
      <c r="H252" s="1843"/>
      <c r="I252" s="1843"/>
      <c r="J252" s="1843"/>
      <c r="K252" s="1843"/>
      <c r="L252" s="1843"/>
      <c r="M252" s="1843"/>
      <c r="N252" s="1843"/>
      <c r="O252" s="1843"/>
      <c r="P252" s="1843"/>
      <c r="Q252" s="1843"/>
      <c r="R252" s="1843"/>
      <c r="S252" s="1843"/>
      <c r="T252" s="1843"/>
      <c r="U252" s="1843"/>
      <c r="V252" s="1843"/>
      <c r="W252" s="1843"/>
      <c r="X252" s="1843"/>
      <c r="Y252" s="1843"/>
      <c r="Z252" s="1843"/>
      <c r="AA252" s="1844"/>
      <c r="AB252" s="1335"/>
      <c r="AC252" s="1335"/>
      <c r="AD252" s="1335"/>
      <c r="AE252" s="1335"/>
      <c r="AF252" s="1335"/>
      <c r="AG252" s="1335"/>
    </row>
    <row r="253" spans="1:33">
      <c r="A253" s="1817">
        <v>92</v>
      </c>
      <c r="B253" s="1791"/>
      <c r="C253" s="1860"/>
      <c r="D253" s="1866"/>
      <c r="E253" s="1867"/>
      <c r="F253" s="1842"/>
      <c r="G253" s="1843"/>
      <c r="H253" s="1843"/>
      <c r="I253" s="1843"/>
      <c r="J253" s="1843"/>
      <c r="K253" s="1843"/>
      <c r="L253" s="1843"/>
      <c r="M253" s="1843"/>
      <c r="N253" s="1843"/>
      <c r="O253" s="1843"/>
      <c r="P253" s="1843"/>
      <c r="Q253" s="1843"/>
      <c r="R253" s="1843"/>
      <c r="S253" s="1843"/>
      <c r="T253" s="1843"/>
      <c r="U253" s="1843"/>
      <c r="V253" s="1843"/>
      <c r="W253" s="1843"/>
      <c r="X253" s="1843"/>
      <c r="Y253" s="1843"/>
      <c r="Z253" s="1843"/>
      <c r="AA253" s="1844"/>
      <c r="AB253" s="1335"/>
      <c r="AC253" s="1335"/>
      <c r="AD253" s="1335"/>
      <c r="AE253" s="1335"/>
      <c r="AF253" s="1335"/>
      <c r="AG253" s="1335"/>
    </row>
    <row r="254" spans="1:33">
      <c r="A254" s="1817">
        <v>93</v>
      </c>
      <c r="B254" s="1791"/>
      <c r="C254" s="1860"/>
      <c r="D254" s="1866"/>
      <c r="E254" s="1867"/>
      <c r="F254" s="1842"/>
      <c r="G254" s="1843"/>
      <c r="H254" s="1843"/>
      <c r="I254" s="1843"/>
      <c r="J254" s="1843"/>
      <c r="K254" s="1843"/>
      <c r="L254" s="1843"/>
      <c r="M254" s="1843"/>
      <c r="N254" s="1843"/>
      <c r="O254" s="1843"/>
      <c r="P254" s="1843"/>
      <c r="Q254" s="1843"/>
      <c r="R254" s="1843"/>
      <c r="S254" s="1843"/>
      <c r="T254" s="1843"/>
      <c r="U254" s="1843"/>
      <c r="V254" s="1843"/>
      <c r="W254" s="1843"/>
      <c r="X254" s="1843"/>
      <c r="Y254" s="1843"/>
      <c r="Z254" s="1843"/>
      <c r="AA254" s="1844"/>
      <c r="AB254" s="1335"/>
      <c r="AC254" s="1335"/>
      <c r="AD254" s="1335"/>
      <c r="AE254" s="1335"/>
      <c r="AF254" s="1335"/>
      <c r="AG254" s="1335"/>
    </row>
    <row r="255" spans="1:33">
      <c r="A255" s="1817">
        <v>94</v>
      </c>
      <c r="B255" s="1791"/>
      <c r="C255" s="1860"/>
      <c r="D255" s="1866"/>
      <c r="E255" s="1867"/>
      <c r="F255" s="1842"/>
      <c r="G255" s="1843"/>
      <c r="H255" s="1843"/>
      <c r="I255" s="1843"/>
      <c r="J255" s="1843"/>
      <c r="K255" s="1843"/>
      <c r="L255" s="1843"/>
      <c r="M255" s="1843"/>
      <c r="N255" s="1843"/>
      <c r="O255" s="1843"/>
      <c r="P255" s="1843"/>
      <c r="Q255" s="1843"/>
      <c r="R255" s="1843"/>
      <c r="S255" s="1843"/>
      <c r="T255" s="1843"/>
      <c r="U255" s="1843"/>
      <c r="V255" s="1843"/>
      <c r="W255" s="1843"/>
      <c r="X255" s="1843"/>
      <c r="Y255" s="1843"/>
      <c r="Z255" s="1843"/>
      <c r="AA255" s="1844"/>
      <c r="AB255" s="1335"/>
      <c r="AC255" s="1335"/>
      <c r="AD255" s="1335"/>
      <c r="AE255" s="1335"/>
      <c r="AF255" s="1335"/>
      <c r="AG255" s="1335"/>
    </row>
    <row r="256" spans="1:33">
      <c r="A256" s="1817">
        <v>95</v>
      </c>
      <c r="B256" s="1791"/>
      <c r="C256" s="1860"/>
      <c r="D256" s="1866"/>
      <c r="E256" s="1867"/>
      <c r="F256" s="1842"/>
      <c r="G256" s="1843"/>
      <c r="H256" s="1843"/>
      <c r="I256" s="1843"/>
      <c r="J256" s="1843"/>
      <c r="K256" s="1843"/>
      <c r="L256" s="1843"/>
      <c r="M256" s="1843"/>
      <c r="N256" s="1843"/>
      <c r="O256" s="1843"/>
      <c r="P256" s="1843"/>
      <c r="Q256" s="1843"/>
      <c r="R256" s="1843"/>
      <c r="S256" s="1843"/>
      <c r="T256" s="1843"/>
      <c r="U256" s="1843"/>
      <c r="V256" s="1843"/>
      <c r="W256" s="1843"/>
      <c r="X256" s="1843"/>
      <c r="Y256" s="1843"/>
      <c r="Z256" s="1843"/>
      <c r="AA256" s="1844"/>
      <c r="AB256" s="1335"/>
      <c r="AC256" s="1335"/>
      <c r="AD256" s="1335"/>
      <c r="AE256" s="1335"/>
      <c r="AF256" s="1335"/>
      <c r="AG256" s="1335"/>
    </row>
    <row r="257" spans="1:33">
      <c r="A257" s="1817">
        <v>96</v>
      </c>
      <c r="B257" s="1791"/>
      <c r="C257" s="1860"/>
      <c r="D257" s="1866"/>
      <c r="E257" s="1867"/>
      <c r="F257" s="1842"/>
      <c r="G257" s="1843"/>
      <c r="H257" s="1843"/>
      <c r="I257" s="1843"/>
      <c r="J257" s="1843"/>
      <c r="K257" s="1843"/>
      <c r="L257" s="1843"/>
      <c r="M257" s="1843"/>
      <c r="N257" s="1843"/>
      <c r="O257" s="1843"/>
      <c r="P257" s="1843"/>
      <c r="Q257" s="1843"/>
      <c r="R257" s="1843"/>
      <c r="S257" s="1843"/>
      <c r="T257" s="1843"/>
      <c r="U257" s="1843"/>
      <c r="V257" s="1843"/>
      <c r="W257" s="1843"/>
      <c r="X257" s="1843"/>
      <c r="Y257" s="1843"/>
      <c r="Z257" s="1843"/>
      <c r="AA257" s="1844"/>
      <c r="AB257" s="1335"/>
      <c r="AC257" s="1335"/>
      <c r="AD257" s="1335"/>
      <c r="AE257" s="1335"/>
      <c r="AF257" s="1335"/>
      <c r="AG257" s="1335"/>
    </row>
    <row r="258" spans="1:33">
      <c r="A258" s="1817">
        <v>97</v>
      </c>
      <c r="B258" s="1791"/>
      <c r="C258" s="1860"/>
      <c r="D258" s="1866"/>
      <c r="E258" s="1867"/>
      <c r="F258" s="1842"/>
      <c r="G258" s="1843"/>
      <c r="H258" s="1843"/>
      <c r="I258" s="1843"/>
      <c r="J258" s="1843"/>
      <c r="K258" s="1843"/>
      <c r="L258" s="1843"/>
      <c r="M258" s="1843"/>
      <c r="N258" s="1843"/>
      <c r="O258" s="1843"/>
      <c r="P258" s="1843"/>
      <c r="Q258" s="1843"/>
      <c r="R258" s="1843"/>
      <c r="S258" s="1843"/>
      <c r="T258" s="1843"/>
      <c r="U258" s="1843"/>
      <c r="V258" s="1843"/>
      <c r="W258" s="1843"/>
      <c r="X258" s="1843"/>
      <c r="Y258" s="1843"/>
      <c r="Z258" s="1843"/>
      <c r="AA258" s="1844"/>
      <c r="AB258" s="1335"/>
      <c r="AC258" s="1335"/>
      <c r="AD258" s="1335"/>
      <c r="AE258" s="1335"/>
      <c r="AF258" s="1335"/>
      <c r="AG258" s="1335"/>
    </row>
    <row r="259" spans="1:33">
      <c r="A259" s="1817">
        <v>98</v>
      </c>
      <c r="B259" s="1791"/>
      <c r="C259" s="1860"/>
      <c r="D259" s="1866"/>
      <c r="E259" s="1867"/>
      <c r="F259" s="1842"/>
      <c r="G259" s="1843"/>
      <c r="H259" s="1843"/>
      <c r="I259" s="1843"/>
      <c r="J259" s="1843"/>
      <c r="K259" s="1843"/>
      <c r="L259" s="1843"/>
      <c r="M259" s="1843"/>
      <c r="N259" s="1843"/>
      <c r="O259" s="1843"/>
      <c r="P259" s="1843"/>
      <c r="Q259" s="1843"/>
      <c r="R259" s="1843"/>
      <c r="S259" s="1843"/>
      <c r="T259" s="1843"/>
      <c r="U259" s="1843"/>
      <c r="V259" s="1843"/>
      <c r="W259" s="1843"/>
      <c r="X259" s="1843"/>
      <c r="Y259" s="1843"/>
      <c r="Z259" s="1843"/>
      <c r="AA259" s="1844"/>
      <c r="AB259" s="1335"/>
      <c r="AC259" s="1335"/>
      <c r="AD259" s="1335"/>
      <c r="AE259" s="1335"/>
      <c r="AF259" s="1335"/>
      <c r="AG259" s="1335"/>
    </row>
    <row r="260" spans="1:33">
      <c r="A260" s="1817">
        <v>99</v>
      </c>
      <c r="B260" s="1791"/>
      <c r="C260" s="1860"/>
      <c r="D260" s="1866"/>
      <c r="E260" s="1867"/>
      <c r="F260" s="1842"/>
      <c r="G260" s="1843"/>
      <c r="H260" s="1843"/>
      <c r="I260" s="1843"/>
      <c r="J260" s="1843"/>
      <c r="K260" s="1843"/>
      <c r="L260" s="1843"/>
      <c r="M260" s="1843"/>
      <c r="N260" s="1843"/>
      <c r="O260" s="1843"/>
      <c r="P260" s="1843"/>
      <c r="Q260" s="1843"/>
      <c r="R260" s="1843"/>
      <c r="S260" s="1843"/>
      <c r="T260" s="1843"/>
      <c r="U260" s="1843"/>
      <c r="V260" s="1843"/>
      <c r="W260" s="1843"/>
      <c r="X260" s="1843"/>
      <c r="Y260" s="1843"/>
      <c r="Z260" s="1843"/>
      <c r="AA260" s="1844"/>
      <c r="AB260" s="1335"/>
      <c r="AC260" s="1335"/>
      <c r="AD260" s="1335"/>
      <c r="AE260" s="1335"/>
      <c r="AF260" s="1335"/>
      <c r="AG260" s="1335"/>
    </row>
    <row r="261" spans="1:33">
      <c r="A261" s="1817">
        <v>100</v>
      </c>
      <c r="B261" s="1791"/>
      <c r="C261" s="1860"/>
      <c r="D261" s="1866"/>
      <c r="E261" s="1867"/>
      <c r="F261" s="1842"/>
      <c r="G261" s="1843"/>
      <c r="H261" s="1843"/>
      <c r="I261" s="1843"/>
      <c r="J261" s="1843"/>
      <c r="K261" s="1843"/>
      <c r="L261" s="1843"/>
      <c r="M261" s="1843"/>
      <c r="N261" s="1843"/>
      <c r="O261" s="1843"/>
      <c r="P261" s="1843"/>
      <c r="Q261" s="1843"/>
      <c r="R261" s="1843"/>
      <c r="S261" s="1843"/>
      <c r="T261" s="1843"/>
      <c r="U261" s="1843"/>
      <c r="V261" s="1843"/>
      <c r="W261" s="1843"/>
      <c r="X261" s="1843"/>
      <c r="Y261" s="1843"/>
      <c r="Z261" s="1843"/>
      <c r="AA261" s="1844"/>
      <c r="AB261" s="1335"/>
      <c r="AC261" s="1335"/>
      <c r="AD261" s="1335"/>
      <c r="AE261" s="1335"/>
      <c r="AF261" s="1335"/>
      <c r="AG261" s="1335"/>
    </row>
    <row r="262" spans="1:33">
      <c r="A262" s="1817">
        <v>101</v>
      </c>
      <c r="B262" s="1791"/>
      <c r="C262" s="1860"/>
      <c r="D262" s="1866"/>
      <c r="E262" s="1867"/>
      <c r="F262" s="1842"/>
      <c r="G262" s="1843"/>
      <c r="H262" s="1843"/>
      <c r="I262" s="1843"/>
      <c r="J262" s="1843"/>
      <c r="K262" s="1843"/>
      <c r="L262" s="1843"/>
      <c r="M262" s="1843"/>
      <c r="N262" s="1843"/>
      <c r="O262" s="1843"/>
      <c r="P262" s="1843"/>
      <c r="Q262" s="1843"/>
      <c r="R262" s="1843"/>
      <c r="S262" s="1843"/>
      <c r="T262" s="1843"/>
      <c r="U262" s="1843"/>
      <c r="V262" s="1843"/>
      <c r="W262" s="1843"/>
      <c r="X262" s="1843"/>
      <c r="Y262" s="1843"/>
      <c r="Z262" s="1843"/>
      <c r="AA262" s="1844"/>
      <c r="AB262" s="1335"/>
      <c r="AC262" s="1335"/>
      <c r="AD262" s="1335"/>
      <c r="AE262" s="1335"/>
      <c r="AF262" s="1335"/>
      <c r="AG262" s="1335"/>
    </row>
    <row r="263" spans="1:33">
      <c r="A263" s="1817">
        <v>102</v>
      </c>
      <c r="B263" s="1791"/>
      <c r="C263" s="1860"/>
      <c r="D263" s="1866"/>
      <c r="E263" s="1867"/>
      <c r="F263" s="1842"/>
      <c r="G263" s="1843"/>
      <c r="H263" s="1843"/>
      <c r="I263" s="1843"/>
      <c r="J263" s="1843"/>
      <c r="K263" s="1843"/>
      <c r="L263" s="1843"/>
      <c r="M263" s="1843"/>
      <c r="N263" s="1843"/>
      <c r="O263" s="1843"/>
      <c r="P263" s="1843"/>
      <c r="Q263" s="1843"/>
      <c r="R263" s="1843"/>
      <c r="S263" s="1843"/>
      <c r="T263" s="1843"/>
      <c r="U263" s="1843"/>
      <c r="V263" s="1843"/>
      <c r="W263" s="1843"/>
      <c r="X263" s="1843"/>
      <c r="Y263" s="1843"/>
      <c r="Z263" s="1843"/>
      <c r="AA263" s="1844"/>
      <c r="AB263" s="1335"/>
      <c r="AC263" s="1335"/>
      <c r="AD263" s="1335"/>
      <c r="AE263" s="1335"/>
      <c r="AF263" s="1335"/>
      <c r="AG263" s="1335"/>
    </row>
    <row r="264" spans="1:33">
      <c r="A264" s="1817">
        <v>103</v>
      </c>
      <c r="B264" s="1791"/>
      <c r="C264" s="1860"/>
      <c r="D264" s="1866"/>
      <c r="E264" s="1867"/>
      <c r="F264" s="1842"/>
      <c r="G264" s="1843"/>
      <c r="H264" s="1843"/>
      <c r="I264" s="1843"/>
      <c r="J264" s="1843"/>
      <c r="K264" s="1843"/>
      <c r="L264" s="1843"/>
      <c r="M264" s="1843"/>
      <c r="N264" s="1843"/>
      <c r="O264" s="1843"/>
      <c r="P264" s="1843"/>
      <c r="Q264" s="1843"/>
      <c r="R264" s="1843"/>
      <c r="S264" s="1843"/>
      <c r="T264" s="1843"/>
      <c r="U264" s="1843"/>
      <c r="V264" s="1843"/>
      <c r="W264" s="1843"/>
      <c r="X264" s="1843"/>
      <c r="Y264" s="1843"/>
      <c r="Z264" s="1843"/>
      <c r="AA264" s="1844"/>
      <c r="AB264" s="1335"/>
      <c r="AC264" s="1335"/>
      <c r="AD264" s="1335"/>
      <c r="AE264" s="1335"/>
      <c r="AF264" s="1335"/>
      <c r="AG264" s="1335"/>
    </row>
    <row r="265" spans="1:33">
      <c r="A265" s="1817">
        <v>104</v>
      </c>
      <c r="B265" s="1791"/>
      <c r="C265" s="1860"/>
      <c r="D265" s="1866"/>
      <c r="E265" s="1867"/>
      <c r="F265" s="1842"/>
      <c r="G265" s="1843"/>
      <c r="H265" s="1843"/>
      <c r="I265" s="1843"/>
      <c r="J265" s="1843"/>
      <c r="K265" s="1843"/>
      <c r="L265" s="1843"/>
      <c r="M265" s="1843"/>
      <c r="N265" s="1843"/>
      <c r="O265" s="1843"/>
      <c r="P265" s="1843"/>
      <c r="Q265" s="1843"/>
      <c r="R265" s="1843"/>
      <c r="S265" s="1843"/>
      <c r="T265" s="1843"/>
      <c r="U265" s="1843"/>
      <c r="V265" s="1843"/>
      <c r="W265" s="1843"/>
      <c r="X265" s="1843"/>
      <c r="Y265" s="1843"/>
      <c r="Z265" s="1843"/>
      <c r="AA265" s="1844"/>
      <c r="AB265" s="1335"/>
      <c r="AC265" s="1335"/>
      <c r="AD265" s="1335"/>
      <c r="AE265" s="1335"/>
      <c r="AF265" s="1335"/>
      <c r="AG265" s="1335"/>
    </row>
    <row r="266" spans="1:33">
      <c r="A266" s="1817">
        <v>105</v>
      </c>
      <c r="B266" s="1791"/>
      <c r="C266" s="1860"/>
      <c r="D266" s="1866"/>
      <c r="E266" s="1867"/>
      <c r="F266" s="1842"/>
      <c r="G266" s="1843"/>
      <c r="H266" s="1843"/>
      <c r="I266" s="1843"/>
      <c r="J266" s="1843"/>
      <c r="K266" s="1843"/>
      <c r="L266" s="1843"/>
      <c r="M266" s="1843"/>
      <c r="N266" s="1843"/>
      <c r="O266" s="1843"/>
      <c r="P266" s="1843"/>
      <c r="Q266" s="1843"/>
      <c r="R266" s="1843"/>
      <c r="S266" s="1843"/>
      <c r="T266" s="1843"/>
      <c r="U266" s="1843"/>
      <c r="V266" s="1843"/>
      <c r="W266" s="1843"/>
      <c r="X266" s="1843"/>
      <c r="Y266" s="1843"/>
      <c r="Z266" s="1843"/>
      <c r="AA266" s="1844"/>
      <c r="AB266" s="1335"/>
      <c r="AC266" s="1335"/>
      <c r="AD266" s="1335"/>
      <c r="AE266" s="1335"/>
      <c r="AF266" s="1335"/>
      <c r="AG266" s="1335"/>
    </row>
    <row r="267" spans="1:33">
      <c r="A267" s="1817">
        <v>106</v>
      </c>
      <c r="B267" s="1791"/>
      <c r="C267" s="1860"/>
      <c r="D267" s="1866"/>
      <c r="E267" s="1867"/>
      <c r="F267" s="1842"/>
      <c r="G267" s="1843"/>
      <c r="H267" s="1843"/>
      <c r="I267" s="1843"/>
      <c r="J267" s="1843"/>
      <c r="K267" s="1843"/>
      <c r="L267" s="1843"/>
      <c r="M267" s="1843"/>
      <c r="N267" s="1843"/>
      <c r="O267" s="1843"/>
      <c r="P267" s="1843"/>
      <c r="Q267" s="1843"/>
      <c r="R267" s="1843"/>
      <c r="S267" s="1843"/>
      <c r="T267" s="1843"/>
      <c r="U267" s="1843"/>
      <c r="V267" s="1843"/>
      <c r="W267" s="1843"/>
      <c r="X267" s="1843"/>
      <c r="Y267" s="1843"/>
      <c r="Z267" s="1843"/>
      <c r="AA267" s="1844"/>
      <c r="AB267" s="1335"/>
      <c r="AC267" s="1335"/>
      <c r="AD267" s="1335"/>
      <c r="AE267" s="1335"/>
      <c r="AF267" s="1335"/>
      <c r="AG267" s="1335"/>
    </row>
    <row r="268" spans="1:33">
      <c r="A268" s="1817">
        <v>107</v>
      </c>
      <c r="B268" s="1791"/>
      <c r="C268" s="1860"/>
      <c r="D268" s="1866"/>
      <c r="E268" s="1867"/>
      <c r="F268" s="1842"/>
      <c r="G268" s="1843"/>
      <c r="H268" s="1843"/>
      <c r="I268" s="1843"/>
      <c r="J268" s="1843"/>
      <c r="K268" s="1843"/>
      <c r="L268" s="1843"/>
      <c r="M268" s="1843"/>
      <c r="N268" s="1843"/>
      <c r="O268" s="1843"/>
      <c r="P268" s="1843"/>
      <c r="Q268" s="1843"/>
      <c r="R268" s="1843"/>
      <c r="S268" s="1843"/>
      <c r="T268" s="1843"/>
      <c r="U268" s="1843"/>
      <c r="V268" s="1843"/>
      <c r="W268" s="1843"/>
      <c r="X268" s="1843"/>
      <c r="Y268" s="1843"/>
      <c r="Z268" s="1843"/>
      <c r="AA268" s="1844"/>
      <c r="AB268" s="1335"/>
      <c r="AC268" s="1335"/>
      <c r="AD268" s="1335"/>
      <c r="AE268" s="1335"/>
      <c r="AF268" s="1335"/>
      <c r="AG268" s="1335"/>
    </row>
    <row r="269" spans="1:33">
      <c r="A269" s="1817">
        <v>108</v>
      </c>
      <c r="B269" s="1791"/>
      <c r="C269" s="1860"/>
      <c r="D269" s="1866"/>
      <c r="E269" s="1867"/>
      <c r="F269" s="1842"/>
      <c r="G269" s="1843"/>
      <c r="H269" s="1843"/>
      <c r="I269" s="1843"/>
      <c r="J269" s="1843"/>
      <c r="K269" s="1843"/>
      <c r="L269" s="1843"/>
      <c r="M269" s="1843"/>
      <c r="N269" s="1843"/>
      <c r="O269" s="1843"/>
      <c r="P269" s="1843"/>
      <c r="Q269" s="1843"/>
      <c r="R269" s="1843"/>
      <c r="S269" s="1843"/>
      <c r="T269" s="1843"/>
      <c r="U269" s="1843"/>
      <c r="V269" s="1843"/>
      <c r="W269" s="1843"/>
      <c r="X269" s="1843"/>
      <c r="Y269" s="1843"/>
      <c r="Z269" s="1843"/>
      <c r="AA269" s="1844"/>
      <c r="AB269" s="1335"/>
      <c r="AC269" s="1335"/>
      <c r="AD269" s="1335"/>
      <c r="AE269" s="1335"/>
      <c r="AF269" s="1335"/>
      <c r="AG269" s="1335"/>
    </row>
    <row r="270" spans="1:33">
      <c r="A270" s="1817">
        <v>109</v>
      </c>
      <c r="B270" s="1791"/>
      <c r="C270" s="1860"/>
      <c r="D270" s="1866"/>
      <c r="E270" s="1867"/>
      <c r="F270" s="1842"/>
      <c r="G270" s="1843"/>
      <c r="H270" s="1843"/>
      <c r="I270" s="1843"/>
      <c r="J270" s="1843"/>
      <c r="K270" s="1843"/>
      <c r="L270" s="1843"/>
      <c r="M270" s="1843"/>
      <c r="N270" s="1843"/>
      <c r="O270" s="1843"/>
      <c r="P270" s="1843"/>
      <c r="Q270" s="1843"/>
      <c r="R270" s="1843"/>
      <c r="S270" s="1843"/>
      <c r="T270" s="1843"/>
      <c r="U270" s="1843"/>
      <c r="V270" s="1843"/>
      <c r="W270" s="1843"/>
      <c r="X270" s="1843"/>
      <c r="Y270" s="1843"/>
      <c r="Z270" s="1843"/>
      <c r="AA270" s="1844"/>
      <c r="AB270" s="1335"/>
      <c r="AC270" s="1335"/>
      <c r="AD270" s="1335"/>
      <c r="AE270" s="1335"/>
      <c r="AF270" s="1335"/>
      <c r="AG270" s="1335"/>
    </row>
    <row r="271" spans="1:33">
      <c r="A271" s="1817">
        <v>110</v>
      </c>
      <c r="B271" s="1791"/>
      <c r="C271" s="1860"/>
      <c r="D271" s="1866"/>
      <c r="E271" s="1867"/>
      <c r="F271" s="1842"/>
      <c r="G271" s="1843"/>
      <c r="H271" s="1843"/>
      <c r="I271" s="1843"/>
      <c r="J271" s="1843"/>
      <c r="K271" s="1843"/>
      <c r="L271" s="1843"/>
      <c r="M271" s="1843"/>
      <c r="N271" s="1843"/>
      <c r="O271" s="1843"/>
      <c r="P271" s="1843"/>
      <c r="Q271" s="1843"/>
      <c r="R271" s="1843"/>
      <c r="S271" s="1843"/>
      <c r="T271" s="1843"/>
      <c r="U271" s="1843"/>
      <c r="V271" s="1843"/>
      <c r="W271" s="1843"/>
      <c r="X271" s="1843"/>
      <c r="Y271" s="1843"/>
      <c r="Z271" s="1843"/>
      <c r="AA271" s="1844"/>
      <c r="AB271" s="1335"/>
      <c r="AC271" s="1335"/>
      <c r="AD271" s="1335"/>
      <c r="AE271" s="1335"/>
      <c r="AF271" s="1335"/>
      <c r="AG271" s="1335"/>
    </row>
    <row r="272" spans="1:33">
      <c r="A272" s="1817">
        <v>111</v>
      </c>
      <c r="B272" s="1791"/>
      <c r="C272" s="1860"/>
      <c r="D272" s="1866"/>
      <c r="E272" s="1867"/>
      <c r="F272" s="1842"/>
      <c r="G272" s="1843"/>
      <c r="H272" s="1843"/>
      <c r="I272" s="1843"/>
      <c r="J272" s="1843"/>
      <c r="K272" s="1843"/>
      <c r="L272" s="1843"/>
      <c r="M272" s="1843"/>
      <c r="N272" s="1843"/>
      <c r="O272" s="1843"/>
      <c r="P272" s="1843"/>
      <c r="Q272" s="1843"/>
      <c r="R272" s="1843"/>
      <c r="S272" s="1843"/>
      <c r="T272" s="1843"/>
      <c r="U272" s="1843"/>
      <c r="V272" s="1843"/>
      <c r="W272" s="1843"/>
      <c r="X272" s="1843"/>
      <c r="Y272" s="1843"/>
      <c r="Z272" s="1843"/>
      <c r="AA272" s="1844"/>
      <c r="AB272" s="1335"/>
      <c r="AC272" s="1335"/>
      <c r="AD272" s="1335"/>
      <c r="AE272" s="1335"/>
      <c r="AF272" s="1335"/>
      <c r="AG272" s="1335"/>
    </row>
    <row r="273" spans="1:33">
      <c r="A273" s="1817">
        <v>112</v>
      </c>
      <c r="B273" s="1791"/>
      <c r="C273" s="1860"/>
      <c r="D273" s="1866"/>
      <c r="E273" s="1867"/>
      <c r="F273" s="1842"/>
      <c r="G273" s="1843"/>
      <c r="H273" s="1843"/>
      <c r="I273" s="1843"/>
      <c r="J273" s="1843"/>
      <c r="K273" s="1843"/>
      <c r="L273" s="1843"/>
      <c r="M273" s="1843"/>
      <c r="N273" s="1843"/>
      <c r="O273" s="1843"/>
      <c r="P273" s="1843"/>
      <c r="Q273" s="1843"/>
      <c r="R273" s="1843"/>
      <c r="S273" s="1843"/>
      <c r="T273" s="1843"/>
      <c r="U273" s="1843"/>
      <c r="V273" s="1843"/>
      <c r="W273" s="1843"/>
      <c r="X273" s="1843"/>
      <c r="Y273" s="1843"/>
      <c r="Z273" s="1843"/>
      <c r="AA273" s="1844"/>
      <c r="AB273" s="1335"/>
      <c r="AC273" s="1335"/>
      <c r="AD273" s="1335"/>
      <c r="AE273" s="1335"/>
      <c r="AF273" s="1335"/>
      <c r="AG273" s="1335"/>
    </row>
    <row r="274" spans="1:33">
      <c r="A274" s="1817">
        <v>113</v>
      </c>
      <c r="B274" s="1791"/>
      <c r="C274" s="1860"/>
      <c r="D274" s="1866"/>
      <c r="E274" s="1867"/>
      <c r="F274" s="1842"/>
      <c r="G274" s="1843"/>
      <c r="H274" s="1843"/>
      <c r="I274" s="1843"/>
      <c r="J274" s="1843"/>
      <c r="K274" s="1843"/>
      <c r="L274" s="1843"/>
      <c r="M274" s="1843"/>
      <c r="N274" s="1843"/>
      <c r="O274" s="1843"/>
      <c r="P274" s="1843"/>
      <c r="Q274" s="1843"/>
      <c r="R274" s="1843"/>
      <c r="S274" s="1843"/>
      <c r="T274" s="1843"/>
      <c r="U274" s="1843"/>
      <c r="V274" s="1843"/>
      <c r="W274" s="1843"/>
      <c r="X274" s="1843"/>
      <c r="Y274" s="1843"/>
      <c r="Z274" s="1843"/>
      <c r="AA274" s="1844"/>
      <c r="AB274" s="1335"/>
      <c r="AC274" s="1335"/>
      <c r="AD274" s="1335"/>
      <c r="AE274" s="1335"/>
      <c r="AF274" s="1335"/>
      <c r="AG274" s="1335"/>
    </row>
    <row r="275" spans="1:33">
      <c r="A275" s="1817">
        <v>114</v>
      </c>
      <c r="B275" s="1791"/>
      <c r="C275" s="1860"/>
      <c r="D275" s="1866"/>
      <c r="E275" s="1867"/>
      <c r="F275" s="1842"/>
      <c r="G275" s="1843"/>
      <c r="H275" s="1843"/>
      <c r="I275" s="1843"/>
      <c r="J275" s="1843"/>
      <c r="K275" s="1843"/>
      <c r="L275" s="1843"/>
      <c r="M275" s="1843"/>
      <c r="N275" s="1843"/>
      <c r="O275" s="1843"/>
      <c r="P275" s="1843"/>
      <c r="Q275" s="1843"/>
      <c r="R275" s="1843"/>
      <c r="S275" s="1843"/>
      <c r="T275" s="1843"/>
      <c r="U275" s="1843"/>
      <c r="V275" s="1843"/>
      <c r="W275" s="1843"/>
      <c r="X275" s="1843"/>
      <c r="Y275" s="1843"/>
      <c r="Z275" s="1843"/>
      <c r="AA275" s="1844"/>
      <c r="AB275" s="1335"/>
      <c r="AC275" s="1335"/>
      <c r="AD275" s="1335"/>
      <c r="AE275" s="1335"/>
      <c r="AF275" s="1335"/>
      <c r="AG275" s="1335"/>
    </row>
    <row r="276" spans="1:33">
      <c r="A276" s="1817">
        <v>115</v>
      </c>
      <c r="B276" s="1791"/>
      <c r="C276" s="1860"/>
      <c r="D276" s="1866"/>
      <c r="E276" s="1867"/>
      <c r="F276" s="1842"/>
      <c r="G276" s="1843"/>
      <c r="H276" s="1843"/>
      <c r="I276" s="1843"/>
      <c r="J276" s="1843"/>
      <c r="K276" s="1843"/>
      <c r="L276" s="1843"/>
      <c r="M276" s="1843"/>
      <c r="N276" s="1843"/>
      <c r="O276" s="1843"/>
      <c r="P276" s="1843"/>
      <c r="Q276" s="1843"/>
      <c r="R276" s="1843"/>
      <c r="S276" s="1843"/>
      <c r="T276" s="1843"/>
      <c r="U276" s="1843"/>
      <c r="V276" s="1843"/>
      <c r="W276" s="1843"/>
      <c r="X276" s="1843"/>
      <c r="Y276" s="1843"/>
      <c r="Z276" s="1843"/>
      <c r="AA276" s="1844"/>
      <c r="AB276" s="1335"/>
      <c r="AC276" s="1335"/>
      <c r="AD276" s="1335"/>
      <c r="AE276" s="1335"/>
      <c r="AF276" s="1335"/>
      <c r="AG276" s="1335"/>
    </row>
    <row r="277" spans="1:33">
      <c r="A277" s="1817">
        <v>116</v>
      </c>
      <c r="B277" s="1791"/>
      <c r="C277" s="1860"/>
      <c r="D277" s="1866"/>
      <c r="E277" s="1867"/>
      <c r="F277" s="1842"/>
      <c r="G277" s="1843"/>
      <c r="H277" s="1843"/>
      <c r="I277" s="1843"/>
      <c r="J277" s="1843"/>
      <c r="K277" s="1843"/>
      <c r="L277" s="1843"/>
      <c r="M277" s="1843"/>
      <c r="N277" s="1843"/>
      <c r="O277" s="1843"/>
      <c r="P277" s="1843"/>
      <c r="Q277" s="1843"/>
      <c r="R277" s="1843"/>
      <c r="S277" s="1843"/>
      <c r="T277" s="1843"/>
      <c r="U277" s="1843"/>
      <c r="V277" s="1843"/>
      <c r="W277" s="1843"/>
      <c r="X277" s="1843"/>
      <c r="Y277" s="1843"/>
      <c r="Z277" s="1843"/>
      <c r="AA277" s="1844"/>
      <c r="AB277" s="1335"/>
      <c r="AC277" s="1335"/>
      <c r="AD277" s="1335"/>
      <c r="AE277" s="1335"/>
      <c r="AF277" s="1335"/>
      <c r="AG277" s="1335"/>
    </row>
    <row r="278" spans="1:33">
      <c r="A278" s="1817">
        <v>117</v>
      </c>
      <c r="B278" s="1791"/>
      <c r="C278" s="1860"/>
      <c r="D278" s="1866"/>
      <c r="E278" s="1867"/>
      <c r="F278" s="1842"/>
      <c r="G278" s="1843"/>
      <c r="H278" s="1843"/>
      <c r="I278" s="1843"/>
      <c r="J278" s="1843"/>
      <c r="K278" s="1843"/>
      <c r="L278" s="1843"/>
      <c r="M278" s="1843"/>
      <c r="N278" s="1843"/>
      <c r="O278" s="1843"/>
      <c r="P278" s="1843"/>
      <c r="Q278" s="1843"/>
      <c r="R278" s="1843"/>
      <c r="S278" s="1843"/>
      <c r="T278" s="1843"/>
      <c r="U278" s="1843"/>
      <c r="V278" s="1843"/>
      <c r="W278" s="1843"/>
      <c r="X278" s="1843"/>
      <c r="Y278" s="1843"/>
      <c r="Z278" s="1843"/>
      <c r="AA278" s="1844"/>
      <c r="AB278" s="1335"/>
      <c r="AC278" s="1335"/>
      <c r="AD278" s="1335"/>
      <c r="AE278" s="1335"/>
      <c r="AF278" s="1335"/>
      <c r="AG278" s="1335"/>
    </row>
    <row r="279" spans="1:33">
      <c r="A279" s="1817">
        <v>118</v>
      </c>
      <c r="B279" s="1791"/>
      <c r="C279" s="1860"/>
      <c r="D279" s="1866"/>
      <c r="E279" s="1867"/>
      <c r="F279" s="1842"/>
      <c r="G279" s="1843"/>
      <c r="H279" s="1843"/>
      <c r="I279" s="1843"/>
      <c r="J279" s="1843"/>
      <c r="K279" s="1843"/>
      <c r="L279" s="1843"/>
      <c r="M279" s="1843"/>
      <c r="N279" s="1843"/>
      <c r="O279" s="1843"/>
      <c r="P279" s="1843"/>
      <c r="Q279" s="1843"/>
      <c r="R279" s="1843"/>
      <c r="S279" s="1843"/>
      <c r="T279" s="1843"/>
      <c r="U279" s="1843"/>
      <c r="V279" s="1843"/>
      <c r="W279" s="1843"/>
      <c r="X279" s="1843"/>
      <c r="Y279" s="1843"/>
      <c r="Z279" s="1843"/>
      <c r="AA279" s="1844"/>
      <c r="AB279" s="1335"/>
      <c r="AC279" s="1335"/>
      <c r="AD279" s="1335"/>
      <c r="AE279" s="1335"/>
      <c r="AF279" s="1335"/>
      <c r="AG279" s="1335"/>
    </row>
    <row r="280" spans="1:33">
      <c r="A280" s="1817">
        <v>119</v>
      </c>
      <c r="B280" s="1791"/>
      <c r="C280" s="1860"/>
      <c r="D280" s="1866"/>
      <c r="E280" s="1867"/>
      <c r="F280" s="1842"/>
      <c r="G280" s="1843"/>
      <c r="H280" s="1843"/>
      <c r="I280" s="1843"/>
      <c r="J280" s="1843"/>
      <c r="K280" s="1843"/>
      <c r="L280" s="1843"/>
      <c r="M280" s="1843"/>
      <c r="N280" s="1843"/>
      <c r="O280" s="1843"/>
      <c r="P280" s="1843"/>
      <c r="Q280" s="1843"/>
      <c r="R280" s="1843"/>
      <c r="S280" s="1843"/>
      <c r="T280" s="1843"/>
      <c r="U280" s="1843"/>
      <c r="V280" s="1843"/>
      <c r="W280" s="1843"/>
      <c r="X280" s="1843"/>
      <c r="Y280" s="1843"/>
      <c r="Z280" s="1843"/>
      <c r="AA280" s="1844"/>
      <c r="AB280" s="1335"/>
      <c r="AC280" s="1335"/>
      <c r="AD280" s="1335"/>
      <c r="AE280" s="1335"/>
      <c r="AF280" s="1335"/>
      <c r="AG280" s="1335"/>
    </row>
    <row r="281" spans="1:33">
      <c r="A281" s="1817">
        <v>120</v>
      </c>
      <c r="B281" s="1791"/>
      <c r="C281" s="1860"/>
      <c r="D281" s="1866"/>
      <c r="E281" s="1867"/>
      <c r="F281" s="1842"/>
      <c r="G281" s="1843"/>
      <c r="H281" s="1843"/>
      <c r="I281" s="1843"/>
      <c r="J281" s="1843"/>
      <c r="K281" s="1843"/>
      <c r="L281" s="1843"/>
      <c r="M281" s="1843"/>
      <c r="N281" s="1843"/>
      <c r="O281" s="1843"/>
      <c r="P281" s="1843"/>
      <c r="Q281" s="1843"/>
      <c r="R281" s="1843"/>
      <c r="S281" s="1843"/>
      <c r="T281" s="1843"/>
      <c r="U281" s="1843"/>
      <c r="V281" s="1843"/>
      <c r="W281" s="1843"/>
      <c r="X281" s="1843"/>
      <c r="Y281" s="1843"/>
      <c r="Z281" s="1843"/>
      <c r="AA281" s="1844"/>
      <c r="AB281" s="1335"/>
      <c r="AC281" s="1335"/>
      <c r="AD281" s="1335"/>
      <c r="AE281" s="1335"/>
      <c r="AF281" s="1335"/>
      <c r="AG281" s="1335"/>
    </row>
    <row r="282" spans="1:33">
      <c r="A282" s="1817">
        <v>121</v>
      </c>
      <c r="B282" s="1791"/>
      <c r="C282" s="1860"/>
      <c r="D282" s="1866"/>
      <c r="E282" s="1867"/>
      <c r="F282" s="1842"/>
      <c r="G282" s="1843"/>
      <c r="H282" s="1843"/>
      <c r="I282" s="1843"/>
      <c r="J282" s="1843"/>
      <c r="K282" s="1843"/>
      <c r="L282" s="1843"/>
      <c r="M282" s="1843"/>
      <c r="N282" s="1843"/>
      <c r="O282" s="1843"/>
      <c r="P282" s="1843"/>
      <c r="Q282" s="1843"/>
      <c r="R282" s="1843"/>
      <c r="S282" s="1843"/>
      <c r="T282" s="1843"/>
      <c r="U282" s="1843"/>
      <c r="V282" s="1843"/>
      <c r="W282" s="1843"/>
      <c r="X282" s="1843"/>
      <c r="Y282" s="1843"/>
      <c r="Z282" s="1843"/>
      <c r="AA282" s="1844"/>
      <c r="AB282" s="1335"/>
      <c r="AC282" s="1335"/>
      <c r="AD282" s="1335"/>
      <c r="AE282" s="1335"/>
      <c r="AF282" s="1335"/>
      <c r="AG282" s="1335"/>
    </row>
    <row r="283" spans="1:33">
      <c r="A283" s="1817">
        <v>122</v>
      </c>
      <c r="B283" s="1791"/>
      <c r="C283" s="1860"/>
      <c r="D283" s="1866"/>
      <c r="E283" s="1867"/>
      <c r="F283" s="1842"/>
      <c r="G283" s="1843"/>
      <c r="H283" s="1843"/>
      <c r="I283" s="1843"/>
      <c r="J283" s="1843"/>
      <c r="K283" s="1843"/>
      <c r="L283" s="1843"/>
      <c r="M283" s="1843"/>
      <c r="N283" s="1843"/>
      <c r="O283" s="1843"/>
      <c r="P283" s="1843"/>
      <c r="Q283" s="1843"/>
      <c r="R283" s="1843"/>
      <c r="S283" s="1843"/>
      <c r="T283" s="1843"/>
      <c r="U283" s="1843"/>
      <c r="V283" s="1843"/>
      <c r="W283" s="1843"/>
      <c r="X283" s="1843"/>
      <c r="Y283" s="1843"/>
      <c r="Z283" s="1843"/>
      <c r="AA283" s="1844"/>
      <c r="AB283" s="1335"/>
      <c r="AC283" s="1335"/>
      <c r="AD283" s="1335"/>
      <c r="AE283" s="1335"/>
      <c r="AF283" s="1335"/>
      <c r="AG283" s="1335"/>
    </row>
    <row r="284" spans="1:33">
      <c r="A284" s="1817">
        <v>123</v>
      </c>
      <c r="B284" s="1791"/>
      <c r="C284" s="1860"/>
      <c r="D284" s="1866"/>
      <c r="E284" s="1867"/>
      <c r="F284" s="1842"/>
      <c r="G284" s="1843"/>
      <c r="H284" s="1843"/>
      <c r="I284" s="1843"/>
      <c r="J284" s="1843"/>
      <c r="K284" s="1843"/>
      <c r="L284" s="1843"/>
      <c r="M284" s="1843"/>
      <c r="N284" s="1843"/>
      <c r="O284" s="1843"/>
      <c r="P284" s="1843"/>
      <c r="Q284" s="1843"/>
      <c r="R284" s="1843"/>
      <c r="S284" s="1843"/>
      <c r="T284" s="1843"/>
      <c r="U284" s="1843"/>
      <c r="V284" s="1843"/>
      <c r="W284" s="1843"/>
      <c r="X284" s="1843"/>
      <c r="Y284" s="1843"/>
      <c r="Z284" s="1843"/>
      <c r="AA284" s="1844"/>
      <c r="AB284" s="1335"/>
      <c r="AC284" s="1335"/>
      <c r="AD284" s="1335"/>
      <c r="AE284" s="1335"/>
      <c r="AF284" s="1335"/>
      <c r="AG284" s="1335"/>
    </row>
    <row r="285" spans="1:33">
      <c r="A285" s="1817">
        <v>124</v>
      </c>
      <c r="B285" s="1791"/>
      <c r="C285" s="1860"/>
      <c r="D285" s="1866"/>
      <c r="E285" s="1867"/>
      <c r="F285" s="1842"/>
      <c r="G285" s="1843"/>
      <c r="H285" s="1843"/>
      <c r="I285" s="1843"/>
      <c r="J285" s="1843"/>
      <c r="K285" s="1843"/>
      <c r="L285" s="1843"/>
      <c r="M285" s="1843"/>
      <c r="N285" s="1843"/>
      <c r="O285" s="1843"/>
      <c r="P285" s="1843"/>
      <c r="Q285" s="1843"/>
      <c r="R285" s="1843"/>
      <c r="S285" s="1843"/>
      <c r="T285" s="1843"/>
      <c r="U285" s="1843"/>
      <c r="V285" s="1843"/>
      <c r="W285" s="1843"/>
      <c r="X285" s="1843"/>
      <c r="Y285" s="1843"/>
      <c r="Z285" s="1843"/>
      <c r="AA285" s="1844"/>
      <c r="AB285" s="1335"/>
      <c r="AC285" s="1335"/>
      <c r="AD285" s="1335"/>
      <c r="AE285" s="1335"/>
      <c r="AF285" s="1335"/>
      <c r="AG285" s="1335"/>
    </row>
    <row r="286" spans="1:33">
      <c r="A286" s="1817">
        <v>125</v>
      </c>
      <c r="B286" s="1791"/>
      <c r="C286" s="1860"/>
      <c r="D286" s="1866"/>
      <c r="E286" s="1867"/>
      <c r="F286" s="1842"/>
      <c r="G286" s="1843"/>
      <c r="H286" s="1843"/>
      <c r="I286" s="1843"/>
      <c r="J286" s="1843"/>
      <c r="K286" s="1843"/>
      <c r="L286" s="1843"/>
      <c r="M286" s="1843"/>
      <c r="N286" s="1843"/>
      <c r="O286" s="1843"/>
      <c r="P286" s="1843"/>
      <c r="Q286" s="1843"/>
      <c r="R286" s="1843"/>
      <c r="S286" s="1843"/>
      <c r="T286" s="1843"/>
      <c r="U286" s="1843"/>
      <c r="V286" s="1843"/>
      <c r="W286" s="1843"/>
      <c r="X286" s="1843"/>
      <c r="Y286" s="1843"/>
      <c r="Z286" s="1843"/>
      <c r="AA286" s="1844"/>
      <c r="AB286" s="1335"/>
      <c r="AC286" s="1335"/>
      <c r="AD286" s="1335"/>
      <c r="AE286" s="1335"/>
      <c r="AF286" s="1335"/>
      <c r="AG286" s="1335"/>
    </row>
    <row r="287" spans="1:33">
      <c r="A287" s="1817">
        <v>126</v>
      </c>
      <c r="B287" s="1791"/>
      <c r="C287" s="1860"/>
      <c r="D287" s="1866"/>
      <c r="E287" s="1867"/>
      <c r="F287" s="1842"/>
      <c r="G287" s="1843"/>
      <c r="H287" s="1843"/>
      <c r="I287" s="1843"/>
      <c r="J287" s="1843"/>
      <c r="K287" s="1843"/>
      <c r="L287" s="1843"/>
      <c r="M287" s="1843"/>
      <c r="N287" s="1843"/>
      <c r="O287" s="1843"/>
      <c r="P287" s="1843"/>
      <c r="Q287" s="1843"/>
      <c r="R287" s="1843"/>
      <c r="S287" s="1843"/>
      <c r="T287" s="1843"/>
      <c r="U287" s="1843"/>
      <c r="V287" s="1843"/>
      <c r="W287" s="1843"/>
      <c r="X287" s="1843"/>
      <c r="Y287" s="1843"/>
      <c r="Z287" s="1843"/>
      <c r="AA287" s="1844"/>
      <c r="AB287" s="1335"/>
      <c r="AC287" s="1335"/>
      <c r="AD287" s="1335"/>
      <c r="AE287" s="1335"/>
      <c r="AF287" s="1335"/>
      <c r="AG287" s="1335"/>
    </row>
    <row r="288" spans="1:33">
      <c r="A288" s="1817">
        <v>127</v>
      </c>
      <c r="B288" s="1791"/>
      <c r="C288" s="1860"/>
      <c r="D288" s="1866"/>
      <c r="E288" s="1867"/>
      <c r="F288" s="1842"/>
      <c r="G288" s="1843"/>
      <c r="H288" s="1843"/>
      <c r="I288" s="1843"/>
      <c r="J288" s="1843"/>
      <c r="K288" s="1843"/>
      <c r="L288" s="1843"/>
      <c r="M288" s="1843"/>
      <c r="N288" s="1843"/>
      <c r="O288" s="1843"/>
      <c r="P288" s="1843"/>
      <c r="Q288" s="1843"/>
      <c r="R288" s="1843"/>
      <c r="S288" s="1843"/>
      <c r="T288" s="1843"/>
      <c r="U288" s="1843"/>
      <c r="V288" s="1843"/>
      <c r="W288" s="1843"/>
      <c r="X288" s="1843"/>
      <c r="Y288" s="1843"/>
      <c r="Z288" s="1843"/>
      <c r="AA288" s="1844"/>
      <c r="AB288" s="1335"/>
      <c r="AC288" s="1335"/>
      <c r="AD288" s="1335"/>
      <c r="AE288" s="1335"/>
      <c r="AF288" s="1335"/>
      <c r="AG288" s="1335"/>
    </row>
    <row r="289" spans="1:33">
      <c r="A289" s="1817">
        <v>128</v>
      </c>
      <c r="B289" s="1791"/>
      <c r="C289" s="1860"/>
      <c r="D289" s="1866"/>
      <c r="E289" s="1867"/>
      <c r="F289" s="1842"/>
      <c r="G289" s="1843"/>
      <c r="H289" s="1843"/>
      <c r="I289" s="1843"/>
      <c r="J289" s="1843"/>
      <c r="K289" s="1843"/>
      <c r="L289" s="1843"/>
      <c r="M289" s="1843"/>
      <c r="N289" s="1843"/>
      <c r="O289" s="1843"/>
      <c r="P289" s="1843"/>
      <c r="Q289" s="1843"/>
      <c r="R289" s="1843"/>
      <c r="S289" s="1843"/>
      <c r="T289" s="1843"/>
      <c r="U289" s="1843"/>
      <c r="V289" s="1843"/>
      <c r="W289" s="1843"/>
      <c r="X289" s="1843"/>
      <c r="Y289" s="1843"/>
      <c r="Z289" s="1843"/>
      <c r="AA289" s="1844"/>
      <c r="AB289" s="1335"/>
      <c r="AC289" s="1335"/>
      <c r="AD289" s="1335"/>
      <c r="AE289" s="1335"/>
      <c r="AF289" s="1335"/>
      <c r="AG289" s="1335"/>
    </row>
    <row r="290" spans="1:33">
      <c r="A290" s="1817">
        <v>129</v>
      </c>
      <c r="B290" s="1791"/>
      <c r="C290" s="1860"/>
      <c r="D290" s="1866"/>
      <c r="E290" s="1867"/>
      <c r="F290" s="1842"/>
      <c r="G290" s="1843"/>
      <c r="H290" s="1843"/>
      <c r="I290" s="1843"/>
      <c r="J290" s="1843"/>
      <c r="K290" s="1843"/>
      <c r="L290" s="1843"/>
      <c r="M290" s="1843"/>
      <c r="N290" s="1843"/>
      <c r="O290" s="1843"/>
      <c r="P290" s="1843"/>
      <c r="Q290" s="1843"/>
      <c r="R290" s="1843"/>
      <c r="S290" s="1843"/>
      <c r="T290" s="1843"/>
      <c r="U290" s="1843"/>
      <c r="V290" s="1843"/>
      <c r="W290" s="1843"/>
      <c r="X290" s="1843"/>
      <c r="Y290" s="1843"/>
      <c r="Z290" s="1843"/>
      <c r="AA290" s="1844"/>
      <c r="AB290" s="1335"/>
      <c r="AC290" s="1335"/>
      <c r="AD290" s="1335"/>
      <c r="AE290" s="1335"/>
      <c r="AF290" s="1335"/>
      <c r="AG290" s="1335"/>
    </row>
    <row r="291" spans="1:33">
      <c r="A291" s="1817">
        <v>130</v>
      </c>
      <c r="B291" s="1791"/>
      <c r="C291" s="1860"/>
      <c r="D291" s="1866"/>
      <c r="E291" s="1867"/>
      <c r="F291" s="1842"/>
      <c r="G291" s="1843"/>
      <c r="H291" s="1843"/>
      <c r="I291" s="1843"/>
      <c r="J291" s="1843"/>
      <c r="K291" s="1843"/>
      <c r="L291" s="1843"/>
      <c r="M291" s="1843"/>
      <c r="N291" s="1843"/>
      <c r="O291" s="1843"/>
      <c r="P291" s="1843"/>
      <c r="Q291" s="1843"/>
      <c r="R291" s="1843"/>
      <c r="S291" s="1843"/>
      <c r="T291" s="1843"/>
      <c r="U291" s="1843"/>
      <c r="V291" s="1843"/>
      <c r="W291" s="1843"/>
      <c r="X291" s="1843"/>
      <c r="Y291" s="1843"/>
      <c r="Z291" s="1843"/>
      <c r="AA291" s="1844"/>
      <c r="AB291" s="1335"/>
      <c r="AC291" s="1335"/>
      <c r="AD291" s="1335"/>
      <c r="AE291" s="1335"/>
      <c r="AF291" s="1335"/>
      <c r="AG291" s="1335"/>
    </row>
    <row r="292" spans="1:33">
      <c r="A292" s="1817">
        <v>131</v>
      </c>
      <c r="B292" s="1791"/>
      <c r="C292" s="1860"/>
      <c r="D292" s="1866"/>
      <c r="E292" s="1867"/>
      <c r="F292" s="1842"/>
      <c r="G292" s="1843"/>
      <c r="H292" s="1843"/>
      <c r="I292" s="1843"/>
      <c r="J292" s="1843"/>
      <c r="K292" s="1843"/>
      <c r="L292" s="1843"/>
      <c r="M292" s="1843"/>
      <c r="N292" s="1843"/>
      <c r="O292" s="1843"/>
      <c r="P292" s="1843"/>
      <c r="Q292" s="1843"/>
      <c r="R292" s="1843"/>
      <c r="S292" s="1843"/>
      <c r="T292" s="1843"/>
      <c r="U292" s="1843"/>
      <c r="V292" s="1843"/>
      <c r="W292" s="1843"/>
      <c r="X292" s="1843"/>
      <c r="Y292" s="1843"/>
      <c r="Z292" s="1843"/>
      <c r="AA292" s="1844"/>
      <c r="AB292" s="1335"/>
      <c r="AC292" s="1335"/>
      <c r="AD292" s="1335"/>
      <c r="AE292" s="1335"/>
      <c r="AF292" s="1335"/>
      <c r="AG292" s="1335"/>
    </row>
    <row r="293" spans="1:33">
      <c r="A293" s="1817">
        <v>132</v>
      </c>
      <c r="B293" s="1791"/>
      <c r="C293" s="1860"/>
      <c r="D293" s="1866"/>
      <c r="E293" s="1867"/>
      <c r="F293" s="1842"/>
      <c r="G293" s="1843"/>
      <c r="H293" s="1843"/>
      <c r="I293" s="1843"/>
      <c r="J293" s="1843"/>
      <c r="K293" s="1843"/>
      <c r="L293" s="1843"/>
      <c r="M293" s="1843"/>
      <c r="N293" s="1843"/>
      <c r="O293" s="1843"/>
      <c r="P293" s="1843"/>
      <c r="Q293" s="1843"/>
      <c r="R293" s="1843"/>
      <c r="S293" s="1843"/>
      <c r="T293" s="1843"/>
      <c r="U293" s="1843"/>
      <c r="V293" s="1843"/>
      <c r="W293" s="1843"/>
      <c r="X293" s="1843"/>
      <c r="Y293" s="1843"/>
      <c r="Z293" s="1843"/>
      <c r="AA293" s="1844"/>
      <c r="AB293" s="1335"/>
      <c r="AC293" s="1335"/>
      <c r="AD293" s="1335"/>
      <c r="AE293" s="1335"/>
      <c r="AF293" s="1335"/>
      <c r="AG293" s="1335"/>
    </row>
    <row r="294" spans="1:33">
      <c r="A294" s="1817">
        <v>133</v>
      </c>
      <c r="B294" s="1791"/>
      <c r="C294" s="1860"/>
      <c r="D294" s="1866"/>
      <c r="E294" s="1867"/>
      <c r="F294" s="1842"/>
      <c r="G294" s="1843"/>
      <c r="H294" s="1843"/>
      <c r="I294" s="1843"/>
      <c r="J294" s="1843"/>
      <c r="K294" s="1843"/>
      <c r="L294" s="1843"/>
      <c r="M294" s="1843"/>
      <c r="N294" s="1843"/>
      <c r="O294" s="1843"/>
      <c r="P294" s="1843"/>
      <c r="Q294" s="1843"/>
      <c r="R294" s="1843"/>
      <c r="S294" s="1843"/>
      <c r="T294" s="1843"/>
      <c r="U294" s="1843"/>
      <c r="V294" s="1843"/>
      <c r="W294" s="1843"/>
      <c r="X294" s="1843"/>
      <c r="Y294" s="1843"/>
      <c r="Z294" s="1843"/>
      <c r="AA294" s="1844"/>
      <c r="AB294" s="1335"/>
      <c r="AC294" s="1335"/>
      <c r="AD294" s="1335"/>
      <c r="AE294" s="1335"/>
      <c r="AF294" s="1335"/>
      <c r="AG294" s="1335"/>
    </row>
    <row r="295" spans="1:33">
      <c r="A295" s="1817">
        <v>134</v>
      </c>
      <c r="B295" s="1791"/>
      <c r="C295" s="1860"/>
      <c r="D295" s="1866"/>
      <c r="E295" s="1867"/>
      <c r="F295" s="1842"/>
      <c r="G295" s="1843"/>
      <c r="H295" s="1843"/>
      <c r="I295" s="1843"/>
      <c r="J295" s="1843"/>
      <c r="K295" s="1843"/>
      <c r="L295" s="1843"/>
      <c r="M295" s="1843"/>
      <c r="N295" s="1843"/>
      <c r="O295" s="1843"/>
      <c r="P295" s="1843"/>
      <c r="Q295" s="1843"/>
      <c r="R295" s="1843"/>
      <c r="S295" s="1843"/>
      <c r="T295" s="1843"/>
      <c r="U295" s="1843"/>
      <c r="V295" s="1843"/>
      <c r="W295" s="1843"/>
      <c r="X295" s="1843"/>
      <c r="Y295" s="1843"/>
      <c r="Z295" s="1843"/>
      <c r="AA295" s="1844"/>
      <c r="AB295" s="1335"/>
      <c r="AC295" s="1335"/>
      <c r="AD295" s="1335"/>
      <c r="AE295" s="1335"/>
      <c r="AF295" s="1335"/>
      <c r="AG295" s="1335"/>
    </row>
    <row r="296" spans="1:33">
      <c r="A296" s="1817">
        <v>135</v>
      </c>
      <c r="B296" s="1791"/>
      <c r="C296" s="1860"/>
      <c r="D296" s="1866"/>
      <c r="E296" s="1867"/>
      <c r="F296" s="1842"/>
      <c r="G296" s="1843"/>
      <c r="H296" s="1843"/>
      <c r="I296" s="1843"/>
      <c r="J296" s="1843"/>
      <c r="K296" s="1843"/>
      <c r="L296" s="1843"/>
      <c r="M296" s="1843"/>
      <c r="N296" s="1843"/>
      <c r="O296" s="1843"/>
      <c r="P296" s="1843"/>
      <c r="Q296" s="1843"/>
      <c r="R296" s="1843"/>
      <c r="S296" s="1843"/>
      <c r="T296" s="1843"/>
      <c r="U296" s="1843"/>
      <c r="V296" s="1843"/>
      <c r="W296" s="1843"/>
      <c r="X296" s="1843"/>
      <c r="Y296" s="1843"/>
      <c r="Z296" s="1843"/>
      <c r="AA296" s="1844"/>
      <c r="AB296" s="1335"/>
      <c r="AC296" s="1335"/>
      <c r="AD296" s="1335"/>
      <c r="AE296" s="1335"/>
      <c r="AF296" s="1335"/>
      <c r="AG296" s="1335"/>
    </row>
    <row r="297" spans="1:33">
      <c r="A297" s="1817">
        <v>136</v>
      </c>
      <c r="B297" s="1791"/>
      <c r="C297" s="1860"/>
      <c r="D297" s="1866"/>
      <c r="E297" s="1867"/>
      <c r="F297" s="1842"/>
      <c r="G297" s="1843"/>
      <c r="H297" s="1843"/>
      <c r="I297" s="1843"/>
      <c r="J297" s="1843"/>
      <c r="K297" s="1843"/>
      <c r="L297" s="1843"/>
      <c r="M297" s="1843"/>
      <c r="N297" s="1843"/>
      <c r="O297" s="1843"/>
      <c r="P297" s="1843"/>
      <c r="Q297" s="1843"/>
      <c r="R297" s="1843"/>
      <c r="S297" s="1843"/>
      <c r="T297" s="1843"/>
      <c r="U297" s="1843"/>
      <c r="V297" s="1843"/>
      <c r="W297" s="1843"/>
      <c r="X297" s="1843"/>
      <c r="Y297" s="1843"/>
      <c r="Z297" s="1843"/>
      <c r="AA297" s="1844"/>
      <c r="AB297" s="1335"/>
      <c r="AC297" s="1335"/>
      <c r="AD297" s="1335"/>
      <c r="AE297" s="1335"/>
      <c r="AF297" s="1335"/>
      <c r="AG297" s="1335"/>
    </row>
    <row r="298" spans="1:33">
      <c r="A298" s="1817">
        <v>137</v>
      </c>
      <c r="B298" s="1791"/>
      <c r="C298" s="1860"/>
      <c r="D298" s="1866"/>
      <c r="E298" s="1867"/>
      <c r="F298" s="1842"/>
      <c r="G298" s="1843"/>
      <c r="H298" s="1843"/>
      <c r="I298" s="1843"/>
      <c r="J298" s="1843"/>
      <c r="K298" s="1843"/>
      <c r="L298" s="1843"/>
      <c r="M298" s="1843"/>
      <c r="N298" s="1843"/>
      <c r="O298" s="1843"/>
      <c r="P298" s="1843"/>
      <c r="Q298" s="1843"/>
      <c r="R298" s="1843"/>
      <c r="S298" s="1843"/>
      <c r="T298" s="1843"/>
      <c r="U298" s="1843"/>
      <c r="V298" s="1843"/>
      <c r="W298" s="1843"/>
      <c r="X298" s="1843"/>
      <c r="Y298" s="1843"/>
      <c r="Z298" s="1843"/>
      <c r="AA298" s="1844"/>
      <c r="AB298" s="1335"/>
      <c r="AC298" s="1335"/>
      <c r="AD298" s="1335"/>
      <c r="AE298" s="1335"/>
      <c r="AF298" s="1335"/>
      <c r="AG298" s="1335"/>
    </row>
    <row r="299" spans="1:33">
      <c r="A299" s="1817">
        <v>138</v>
      </c>
      <c r="B299" s="1791"/>
      <c r="C299" s="1860"/>
      <c r="D299" s="1866"/>
      <c r="E299" s="1867"/>
      <c r="F299" s="1842"/>
      <c r="G299" s="1843"/>
      <c r="H299" s="1843"/>
      <c r="I299" s="1843"/>
      <c r="J299" s="1843"/>
      <c r="K299" s="1843"/>
      <c r="L299" s="1843"/>
      <c r="M299" s="1843"/>
      <c r="N299" s="1843"/>
      <c r="O299" s="1843"/>
      <c r="P299" s="1843"/>
      <c r="Q299" s="1843"/>
      <c r="R299" s="1843"/>
      <c r="S299" s="1843"/>
      <c r="T299" s="1843"/>
      <c r="U299" s="1843"/>
      <c r="V299" s="1843"/>
      <c r="W299" s="1843"/>
      <c r="X299" s="1843"/>
      <c r="Y299" s="1843"/>
      <c r="Z299" s="1843"/>
      <c r="AA299" s="1844"/>
      <c r="AB299" s="1335"/>
      <c r="AC299" s="1335"/>
      <c r="AD299" s="1335"/>
      <c r="AE299" s="1335"/>
      <c r="AF299" s="1335"/>
      <c r="AG299" s="1335"/>
    </row>
    <row r="300" spans="1:33">
      <c r="A300" s="1817">
        <v>139</v>
      </c>
      <c r="B300" s="1791"/>
      <c r="C300" s="1860"/>
      <c r="D300" s="1866"/>
      <c r="E300" s="1867"/>
      <c r="F300" s="1842"/>
      <c r="G300" s="1843"/>
      <c r="H300" s="1843"/>
      <c r="I300" s="1843"/>
      <c r="J300" s="1843"/>
      <c r="K300" s="1843"/>
      <c r="L300" s="1843"/>
      <c r="M300" s="1843"/>
      <c r="N300" s="1843"/>
      <c r="O300" s="1843"/>
      <c r="P300" s="1843"/>
      <c r="Q300" s="1843"/>
      <c r="R300" s="1843"/>
      <c r="S300" s="1843"/>
      <c r="T300" s="1843"/>
      <c r="U300" s="1843"/>
      <c r="V300" s="1843"/>
      <c r="W300" s="1843"/>
      <c r="X300" s="1843"/>
      <c r="Y300" s="1843"/>
      <c r="Z300" s="1843"/>
      <c r="AA300" s="1844"/>
      <c r="AB300" s="1335"/>
      <c r="AC300" s="1335"/>
      <c r="AD300" s="1335"/>
      <c r="AE300" s="1335"/>
      <c r="AF300" s="1335"/>
      <c r="AG300" s="1335"/>
    </row>
    <row r="301" spans="1:33">
      <c r="A301" s="1817">
        <v>140</v>
      </c>
      <c r="B301" s="1791"/>
      <c r="C301" s="1860"/>
      <c r="D301" s="1866"/>
      <c r="E301" s="1867"/>
      <c r="F301" s="1842"/>
      <c r="G301" s="1843"/>
      <c r="H301" s="1843"/>
      <c r="I301" s="1843"/>
      <c r="J301" s="1843"/>
      <c r="K301" s="1843"/>
      <c r="L301" s="1843"/>
      <c r="M301" s="1843"/>
      <c r="N301" s="1843"/>
      <c r="O301" s="1843"/>
      <c r="P301" s="1843"/>
      <c r="Q301" s="1843"/>
      <c r="R301" s="1843"/>
      <c r="S301" s="1843"/>
      <c r="T301" s="1843"/>
      <c r="U301" s="1843"/>
      <c r="V301" s="1843"/>
      <c r="W301" s="1843"/>
      <c r="X301" s="1843"/>
      <c r="Y301" s="1843"/>
      <c r="Z301" s="1843"/>
      <c r="AA301" s="1844"/>
      <c r="AB301" s="1335"/>
      <c r="AC301" s="1335"/>
      <c r="AD301" s="1335"/>
      <c r="AE301" s="1335"/>
      <c r="AF301" s="1335"/>
      <c r="AG301" s="1335"/>
    </row>
    <row r="302" spans="1:33">
      <c r="A302" s="1817">
        <v>141</v>
      </c>
      <c r="B302" s="1791"/>
      <c r="C302" s="1860"/>
      <c r="D302" s="1866"/>
      <c r="E302" s="1867"/>
      <c r="F302" s="1842"/>
      <c r="G302" s="1843"/>
      <c r="H302" s="1843"/>
      <c r="I302" s="1843"/>
      <c r="J302" s="1843"/>
      <c r="K302" s="1843"/>
      <c r="L302" s="1843"/>
      <c r="M302" s="1843"/>
      <c r="N302" s="1843"/>
      <c r="O302" s="1843"/>
      <c r="P302" s="1843"/>
      <c r="Q302" s="1843"/>
      <c r="R302" s="1843"/>
      <c r="S302" s="1843"/>
      <c r="T302" s="1843"/>
      <c r="U302" s="1843"/>
      <c r="V302" s="1843"/>
      <c r="W302" s="1843"/>
      <c r="X302" s="1843"/>
      <c r="Y302" s="1843"/>
      <c r="Z302" s="1843"/>
      <c r="AA302" s="1844"/>
      <c r="AB302" s="1335"/>
      <c r="AC302" s="1335"/>
      <c r="AD302" s="1335"/>
      <c r="AE302" s="1335"/>
      <c r="AF302" s="1335"/>
      <c r="AG302" s="1335"/>
    </row>
    <row r="303" spans="1:33">
      <c r="A303" s="1817">
        <v>142</v>
      </c>
      <c r="B303" s="1791"/>
      <c r="C303" s="1860"/>
      <c r="D303" s="1866"/>
      <c r="E303" s="1867"/>
      <c r="F303" s="1842"/>
      <c r="G303" s="1843"/>
      <c r="H303" s="1843"/>
      <c r="I303" s="1843"/>
      <c r="J303" s="1843"/>
      <c r="K303" s="1843"/>
      <c r="L303" s="1843"/>
      <c r="M303" s="1843"/>
      <c r="N303" s="1843"/>
      <c r="O303" s="1843"/>
      <c r="P303" s="1843"/>
      <c r="Q303" s="1843"/>
      <c r="R303" s="1843"/>
      <c r="S303" s="1843"/>
      <c r="T303" s="1843"/>
      <c r="U303" s="1843"/>
      <c r="V303" s="1843"/>
      <c r="W303" s="1843"/>
      <c r="X303" s="1843"/>
      <c r="Y303" s="1843"/>
      <c r="Z303" s="1843"/>
      <c r="AA303" s="1844"/>
      <c r="AB303" s="1335"/>
      <c r="AC303" s="1335"/>
      <c r="AD303" s="1335"/>
      <c r="AE303" s="1335"/>
      <c r="AF303" s="1335"/>
      <c r="AG303" s="1335"/>
    </row>
    <row r="304" spans="1:33">
      <c r="A304" s="1817">
        <v>143</v>
      </c>
      <c r="B304" s="1791"/>
      <c r="C304" s="1860"/>
      <c r="D304" s="1866"/>
      <c r="E304" s="1867"/>
      <c r="F304" s="1842"/>
      <c r="G304" s="1843"/>
      <c r="H304" s="1843"/>
      <c r="I304" s="1843"/>
      <c r="J304" s="1843"/>
      <c r="K304" s="1843"/>
      <c r="L304" s="1843"/>
      <c r="M304" s="1843"/>
      <c r="N304" s="1843"/>
      <c r="O304" s="1843"/>
      <c r="P304" s="1843"/>
      <c r="Q304" s="1843"/>
      <c r="R304" s="1843"/>
      <c r="S304" s="1843"/>
      <c r="T304" s="1843"/>
      <c r="U304" s="1843"/>
      <c r="V304" s="1843"/>
      <c r="W304" s="1843"/>
      <c r="X304" s="1843"/>
      <c r="Y304" s="1843"/>
      <c r="Z304" s="1843"/>
      <c r="AA304" s="1844"/>
      <c r="AB304" s="1335"/>
      <c r="AC304" s="1335"/>
      <c r="AD304" s="1335"/>
      <c r="AE304" s="1335"/>
      <c r="AF304" s="1335"/>
      <c r="AG304" s="1335"/>
    </row>
    <row r="305" spans="1:33">
      <c r="A305" s="1817">
        <v>144</v>
      </c>
      <c r="B305" s="1791"/>
      <c r="C305" s="1860"/>
      <c r="D305" s="1866"/>
      <c r="E305" s="1867"/>
      <c r="F305" s="1842"/>
      <c r="G305" s="1843"/>
      <c r="H305" s="1843"/>
      <c r="I305" s="1843"/>
      <c r="J305" s="1843"/>
      <c r="K305" s="1843"/>
      <c r="L305" s="1843"/>
      <c r="M305" s="1843"/>
      <c r="N305" s="1843"/>
      <c r="O305" s="1843"/>
      <c r="P305" s="1843"/>
      <c r="Q305" s="1843"/>
      <c r="R305" s="1843"/>
      <c r="S305" s="1843"/>
      <c r="T305" s="1843"/>
      <c r="U305" s="1843"/>
      <c r="V305" s="1843"/>
      <c r="W305" s="1843"/>
      <c r="X305" s="1843"/>
      <c r="Y305" s="1843"/>
      <c r="Z305" s="1843"/>
      <c r="AA305" s="1844"/>
      <c r="AB305" s="1335"/>
      <c r="AC305" s="1335"/>
      <c r="AD305" s="1335"/>
      <c r="AE305" s="1335"/>
      <c r="AF305" s="1335"/>
      <c r="AG305" s="1335"/>
    </row>
    <row r="306" spans="1:33">
      <c r="A306" s="1817">
        <v>145</v>
      </c>
      <c r="B306" s="1791"/>
      <c r="C306" s="1860"/>
      <c r="D306" s="1866"/>
      <c r="E306" s="1867"/>
      <c r="F306" s="1842"/>
      <c r="G306" s="1843"/>
      <c r="H306" s="1843"/>
      <c r="I306" s="1843"/>
      <c r="J306" s="1843"/>
      <c r="K306" s="1843"/>
      <c r="L306" s="1843"/>
      <c r="M306" s="1843"/>
      <c r="N306" s="1843"/>
      <c r="O306" s="1843"/>
      <c r="P306" s="1843"/>
      <c r="Q306" s="1843"/>
      <c r="R306" s="1843"/>
      <c r="S306" s="1843"/>
      <c r="T306" s="1843"/>
      <c r="U306" s="1843"/>
      <c r="V306" s="1843"/>
      <c r="W306" s="1843"/>
      <c r="X306" s="1843"/>
      <c r="Y306" s="1843"/>
      <c r="Z306" s="1843"/>
      <c r="AA306" s="1844"/>
      <c r="AB306" s="1335"/>
      <c r="AC306" s="1335"/>
      <c r="AD306" s="1335"/>
      <c r="AE306" s="1335"/>
      <c r="AF306" s="1335"/>
      <c r="AG306" s="1335"/>
    </row>
    <row r="307" spans="1:33">
      <c r="A307" s="1817">
        <v>146</v>
      </c>
      <c r="B307" s="1791"/>
      <c r="C307" s="1860"/>
      <c r="D307" s="1866"/>
      <c r="E307" s="1867"/>
      <c r="F307" s="1842"/>
      <c r="G307" s="1843"/>
      <c r="H307" s="1843"/>
      <c r="I307" s="1843"/>
      <c r="J307" s="1843"/>
      <c r="K307" s="1843"/>
      <c r="L307" s="1843"/>
      <c r="M307" s="1843"/>
      <c r="N307" s="1843"/>
      <c r="O307" s="1843"/>
      <c r="P307" s="1843"/>
      <c r="Q307" s="1843"/>
      <c r="R307" s="1843"/>
      <c r="S307" s="1843"/>
      <c r="T307" s="1843"/>
      <c r="U307" s="1843"/>
      <c r="V307" s="1843"/>
      <c r="W307" s="1843"/>
      <c r="X307" s="1843"/>
      <c r="Y307" s="1843"/>
      <c r="Z307" s="1843"/>
      <c r="AA307" s="1844"/>
      <c r="AB307" s="1335"/>
      <c r="AC307" s="1335"/>
      <c r="AD307" s="1335"/>
      <c r="AE307" s="1335"/>
      <c r="AF307" s="1335"/>
      <c r="AG307" s="1335"/>
    </row>
    <row r="308" spans="1:33">
      <c r="A308" s="1817">
        <v>147</v>
      </c>
      <c r="B308" s="1791"/>
      <c r="C308" s="1860"/>
      <c r="D308" s="1866"/>
      <c r="E308" s="1867"/>
      <c r="F308" s="1842"/>
      <c r="G308" s="1843"/>
      <c r="H308" s="1843"/>
      <c r="I308" s="1843"/>
      <c r="J308" s="1843"/>
      <c r="K308" s="1843"/>
      <c r="L308" s="1843"/>
      <c r="M308" s="1843"/>
      <c r="N308" s="1843"/>
      <c r="O308" s="1843"/>
      <c r="P308" s="1843"/>
      <c r="Q308" s="1843"/>
      <c r="R308" s="1843"/>
      <c r="S308" s="1843"/>
      <c r="T308" s="1843"/>
      <c r="U308" s="1843"/>
      <c r="V308" s="1843"/>
      <c r="W308" s="1843"/>
      <c r="X308" s="1843"/>
      <c r="Y308" s="1843"/>
      <c r="Z308" s="1843"/>
      <c r="AA308" s="1844"/>
      <c r="AB308" s="1335"/>
      <c r="AC308" s="1335"/>
      <c r="AD308" s="1335"/>
      <c r="AE308" s="1335"/>
      <c r="AF308" s="1335"/>
      <c r="AG308" s="1335"/>
    </row>
    <row r="309" spans="1:33">
      <c r="A309" s="1817">
        <v>148</v>
      </c>
      <c r="B309" s="1791"/>
      <c r="C309" s="1860"/>
      <c r="D309" s="1866"/>
      <c r="E309" s="1867"/>
      <c r="F309" s="1842"/>
      <c r="G309" s="1843"/>
      <c r="H309" s="1843"/>
      <c r="I309" s="1843"/>
      <c r="J309" s="1843"/>
      <c r="K309" s="1843"/>
      <c r="L309" s="1843"/>
      <c r="M309" s="1843"/>
      <c r="N309" s="1843"/>
      <c r="O309" s="1843"/>
      <c r="P309" s="1843"/>
      <c r="Q309" s="1843"/>
      <c r="R309" s="1843"/>
      <c r="S309" s="1843"/>
      <c r="T309" s="1843"/>
      <c r="U309" s="1843"/>
      <c r="V309" s="1843"/>
      <c r="W309" s="1843"/>
      <c r="X309" s="1843"/>
      <c r="Y309" s="1843"/>
      <c r="Z309" s="1843"/>
      <c r="AA309" s="1844"/>
      <c r="AB309" s="1335"/>
      <c r="AC309" s="1335"/>
      <c r="AD309" s="1335"/>
      <c r="AE309" s="1335"/>
      <c r="AF309" s="1335"/>
      <c r="AG309" s="1335"/>
    </row>
    <row r="310" spans="1:33">
      <c r="A310" s="1817">
        <v>149</v>
      </c>
      <c r="B310" s="1791"/>
      <c r="C310" s="1860"/>
      <c r="D310" s="1866"/>
      <c r="E310" s="1867"/>
      <c r="F310" s="1842"/>
      <c r="G310" s="1843"/>
      <c r="H310" s="1843"/>
      <c r="I310" s="1843"/>
      <c r="J310" s="1843"/>
      <c r="K310" s="1843"/>
      <c r="L310" s="1843"/>
      <c r="M310" s="1843"/>
      <c r="N310" s="1843"/>
      <c r="O310" s="1843"/>
      <c r="P310" s="1843"/>
      <c r="Q310" s="1843"/>
      <c r="R310" s="1843"/>
      <c r="S310" s="1843"/>
      <c r="T310" s="1843"/>
      <c r="U310" s="1843"/>
      <c r="V310" s="1843"/>
      <c r="W310" s="1843"/>
      <c r="X310" s="1843"/>
      <c r="Y310" s="1843"/>
      <c r="Z310" s="1843"/>
      <c r="AA310" s="1844"/>
      <c r="AB310" s="1335"/>
      <c r="AC310" s="1335"/>
      <c r="AD310" s="1335"/>
      <c r="AE310" s="1335"/>
      <c r="AF310" s="1335"/>
      <c r="AG310" s="1335"/>
    </row>
    <row r="311" spans="1:33">
      <c r="A311" s="1817">
        <v>150</v>
      </c>
      <c r="B311" s="1791"/>
      <c r="C311" s="1860"/>
      <c r="D311" s="1866"/>
      <c r="E311" s="1867"/>
      <c r="F311" s="1842"/>
      <c r="G311" s="1843"/>
      <c r="H311" s="1843"/>
      <c r="I311" s="1843"/>
      <c r="J311" s="1843"/>
      <c r="K311" s="1843"/>
      <c r="L311" s="1843"/>
      <c r="M311" s="1843"/>
      <c r="N311" s="1843"/>
      <c r="O311" s="1843"/>
      <c r="P311" s="1843"/>
      <c r="Q311" s="1843"/>
      <c r="R311" s="1843"/>
      <c r="S311" s="1843"/>
      <c r="T311" s="1843"/>
      <c r="U311" s="1843"/>
      <c r="V311" s="1843"/>
      <c r="W311" s="1843"/>
      <c r="X311" s="1843"/>
      <c r="Y311" s="1843"/>
      <c r="Z311" s="1843"/>
      <c r="AA311" s="1844"/>
      <c r="AB311" s="1335"/>
      <c r="AC311" s="1335"/>
      <c r="AD311" s="1335"/>
      <c r="AE311" s="1335"/>
      <c r="AF311" s="1335"/>
      <c r="AG311" s="1335"/>
    </row>
    <row r="314" spans="1:33" ht="18">
      <c r="A314" s="71" t="s">
        <v>88</v>
      </c>
      <c r="B314" s="70"/>
      <c r="C314" s="70"/>
      <c r="D314" s="70"/>
      <c r="E314" s="70"/>
      <c r="F314" s="70"/>
      <c r="G314" s="70"/>
      <c r="H314" s="70"/>
      <c r="I314" s="70"/>
      <c r="J314" s="70"/>
      <c r="K314" s="70"/>
      <c r="L314" s="70"/>
      <c r="M314" s="70"/>
      <c r="N314" s="70"/>
      <c r="O314" s="70"/>
      <c r="P314" s="70"/>
      <c r="Q314" s="70"/>
      <c r="R314" s="72"/>
      <c r="S314" s="73"/>
      <c r="T314" s="73"/>
      <c r="U314" s="73"/>
      <c r="V314" s="73"/>
      <c r="W314" s="73"/>
      <c r="X314" s="73"/>
      <c r="Y314" s="73"/>
      <c r="Z314" s="73"/>
      <c r="AA314" s="73"/>
    </row>
    <row r="315" spans="1:33">
      <c r="A315" s="1818" t="s">
        <v>77</v>
      </c>
      <c r="B315" s="1876" t="s">
        <v>89</v>
      </c>
      <c r="C315" s="1868" t="s">
        <v>3110</v>
      </c>
      <c r="D315" s="1868" t="s">
        <v>3123</v>
      </c>
      <c r="E315" s="1869" t="s">
        <v>3124</v>
      </c>
      <c r="F315" s="1822" t="s">
        <v>119</v>
      </c>
      <c r="G315" s="1822" t="s">
        <v>120</v>
      </c>
      <c r="H315" s="1822" t="s">
        <v>121</v>
      </c>
      <c r="I315" s="1822" t="s">
        <v>122</v>
      </c>
      <c r="J315" s="1822" t="s">
        <v>123</v>
      </c>
      <c r="K315" s="1822" t="s">
        <v>124</v>
      </c>
      <c r="L315" s="1822" t="s">
        <v>125</v>
      </c>
      <c r="M315" s="1822" t="s">
        <v>126</v>
      </c>
      <c r="N315" s="1822" t="s">
        <v>127</v>
      </c>
      <c r="O315" s="1822" t="s">
        <v>128</v>
      </c>
      <c r="P315" s="1822" t="s">
        <v>129</v>
      </c>
      <c r="Q315" s="1822" t="s">
        <v>130</v>
      </c>
      <c r="R315" s="1822" t="s">
        <v>131</v>
      </c>
      <c r="S315" s="1822" t="s">
        <v>132</v>
      </c>
      <c r="T315" s="1822" t="s">
        <v>133</v>
      </c>
      <c r="U315" s="1822" t="s">
        <v>134</v>
      </c>
      <c r="V315" s="1822" t="s">
        <v>135</v>
      </c>
      <c r="W315" s="1822" t="s">
        <v>136</v>
      </c>
      <c r="X315" s="1822" t="s">
        <v>137</v>
      </c>
      <c r="Y315" s="1822" t="s">
        <v>138</v>
      </c>
      <c r="Z315" s="1822" t="s">
        <v>139</v>
      </c>
      <c r="AA315" s="1823" t="s">
        <v>140</v>
      </c>
      <c r="AB315" s="1331" t="s">
        <v>87</v>
      </c>
    </row>
    <row r="316" spans="1:33">
      <c r="A316" s="1874">
        <v>1</v>
      </c>
      <c r="B316" s="1860"/>
      <c r="C316" s="1870"/>
      <c r="D316" s="1870"/>
      <c r="E316" s="1871"/>
      <c r="F316" s="1842"/>
      <c r="G316" s="1843"/>
      <c r="H316" s="1843"/>
      <c r="I316" s="1843"/>
      <c r="J316" s="1843"/>
      <c r="K316" s="1843"/>
      <c r="L316" s="1843"/>
      <c r="M316" s="1843"/>
      <c r="N316" s="1843"/>
      <c r="O316" s="1843"/>
      <c r="P316" s="1843"/>
      <c r="Q316" s="1843"/>
      <c r="R316" s="1843"/>
      <c r="S316" s="1843"/>
      <c r="T316" s="1843"/>
      <c r="U316" s="1843"/>
      <c r="V316" s="1843"/>
      <c r="W316" s="1843"/>
      <c r="X316" s="1843"/>
      <c r="Y316" s="1843"/>
      <c r="Z316" s="1843"/>
      <c r="AA316" s="1844"/>
      <c r="AB316" s="1335"/>
    </row>
    <row r="317" spans="1:33">
      <c r="A317" s="1874">
        <v>2</v>
      </c>
      <c r="B317" s="1860"/>
      <c r="C317" s="1870"/>
      <c r="D317" s="1870"/>
      <c r="E317" s="1871"/>
      <c r="F317" s="1842"/>
      <c r="G317" s="1843"/>
      <c r="H317" s="1843"/>
      <c r="I317" s="1843"/>
      <c r="J317" s="1843"/>
      <c r="K317" s="1843"/>
      <c r="L317" s="1843"/>
      <c r="M317" s="1843"/>
      <c r="N317" s="1843"/>
      <c r="O317" s="1843"/>
      <c r="P317" s="1843"/>
      <c r="Q317" s="1843"/>
      <c r="R317" s="1843"/>
      <c r="S317" s="1843"/>
      <c r="T317" s="1843"/>
      <c r="U317" s="1843"/>
      <c r="V317" s="1843"/>
      <c r="W317" s="1843"/>
      <c r="X317" s="1843"/>
      <c r="Y317" s="1843"/>
      <c r="Z317" s="1843"/>
      <c r="AA317" s="1844"/>
      <c r="AB317" s="1335"/>
    </row>
    <row r="318" spans="1:33">
      <c r="A318" s="1874">
        <v>3</v>
      </c>
      <c r="B318" s="1860"/>
      <c r="C318" s="1870"/>
      <c r="D318" s="1870"/>
      <c r="E318" s="1871"/>
      <c r="F318" s="1842"/>
      <c r="G318" s="1843"/>
      <c r="H318" s="1843"/>
      <c r="I318" s="1843"/>
      <c r="J318" s="1843"/>
      <c r="K318" s="1843"/>
      <c r="L318" s="1843"/>
      <c r="M318" s="1843"/>
      <c r="N318" s="1843"/>
      <c r="O318" s="1843"/>
      <c r="P318" s="1843"/>
      <c r="Q318" s="1843"/>
      <c r="R318" s="1843"/>
      <c r="S318" s="1843"/>
      <c r="T318" s="1843"/>
      <c r="U318" s="1843"/>
      <c r="V318" s="1843"/>
      <c r="W318" s="1843"/>
      <c r="X318" s="1843"/>
      <c r="Y318" s="1843"/>
      <c r="Z318" s="1843"/>
      <c r="AA318" s="1844"/>
      <c r="AB318" s="1335"/>
    </row>
    <row r="319" spans="1:33">
      <c r="A319" s="1874">
        <v>4</v>
      </c>
      <c r="B319" s="1860"/>
      <c r="C319" s="1870"/>
      <c r="D319" s="1870"/>
      <c r="E319" s="1871"/>
      <c r="F319" s="1842"/>
      <c r="G319" s="1843"/>
      <c r="H319" s="1843"/>
      <c r="I319" s="1843"/>
      <c r="J319" s="1843"/>
      <c r="K319" s="1843"/>
      <c r="L319" s="1843"/>
      <c r="M319" s="1843"/>
      <c r="N319" s="1843"/>
      <c r="O319" s="1843"/>
      <c r="P319" s="1843"/>
      <c r="Q319" s="1843"/>
      <c r="R319" s="1843"/>
      <c r="S319" s="1843"/>
      <c r="T319" s="1843"/>
      <c r="U319" s="1843"/>
      <c r="V319" s="1843"/>
      <c r="W319" s="1843"/>
      <c r="X319" s="1843"/>
      <c r="Y319" s="1843"/>
      <c r="Z319" s="1843"/>
      <c r="AA319" s="1844"/>
      <c r="AB319" s="1335"/>
    </row>
    <row r="320" spans="1:33">
      <c r="A320" s="1874">
        <v>5</v>
      </c>
      <c r="B320" s="1860"/>
      <c r="C320" s="1870"/>
      <c r="D320" s="1870"/>
      <c r="E320" s="1871"/>
      <c r="F320" s="1842"/>
      <c r="G320" s="1843"/>
      <c r="H320" s="1843"/>
      <c r="I320" s="1843"/>
      <c r="J320" s="1843"/>
      <c r="K320" s="1843"/>
      <c r="L320" s="1843"/>
      <c r="M320" s="1843"/>
      <c r="N320" s="1843"/>
      <c r="O320" s="1843"/>
      <c r="P320" s="1843"/>
      <c r="Q320" s="1843"/>
      <c r="R320" s="1843"/>
      <c r="S320" s="1843"/>
      <c r="T320" s="1843"/>
      <c r="U320" s="1843"/>
      <c r="V320" s="1843"/>
      <c r="W320" s="1843"/>
      <c r="X320" s="1843"/>
      <c r="Y320" s="1843"/>
      <c r="Z320" s="1843"/>
      <c r="AA320" s="1844"/>
      <c r="AB320" s="1335"/>
    </row>
    <row r="321" spans="1:28">
      <c r="A321" s="1874">
        <v>6</v>
      </c>
      <c r="B321" s="1860"/>
      <c r="C321" s="1870"/>
      <c r="D321" s="1870"/>
      <c r="E321" s="1871"/>
      <c r="F321" s="1842"/>
      <c r="G321" s="1843"/>
      <c r="H321" s="1843"/>
      <c r="I321" s="1843"/>
      <c r="J321" s="1843"/>
      <c r="K321" s="1843"/>
      <c r="L321" s="1843"/>
      <c r="M321" s="1843"/>
      <c r="N321" s="1843"/>
      <c r="O321" s="1843"/>
      <c r="P321" s="1843"/>
      <c r="Q321" s="1843"/>
      <c r="R321" s="1843"/>
      <c r="S321" s="1843"/>
      <c r="T321" s="1843"/>
      <c r="U321" s="1843"/>
      <c r="V321" s="1843"/>
      <c r="W321" s="1843"/>
      <c r="X321" s="1843"/>
      <c r="Y321" s="1843"/>
      <c r="Z321" s="1843"/>
      <c r="AA321" s="1844"/>
      <c r="AB321" s="1335"/>
    </row>
    <row r="322" spans="1:28">
      <c r="A322" s="1874">
        <v>7</v>
      </c>
      <c r="B322" s="1860"/>
      <c r="C322" s="1870"/>
      <c r="D322" s="1870"/>
      <c r="E322" s="1871"/>
      <c r="F322" s="1842"/>
      <c r="G322" s="1843"/>
      <c r="H322" s="1843"/>
      <c r="I322" s="1843"/>
      <c r="J322" s="1843"/>
      <c r="K322" s="1843"/>
      <c r="L322" s="1843"/>
      <c r="M322" s="1843"/>
      <c r="N322" s="1843"/>
      <c r="O322" s="1843"/>
      <c r="P322" s="1843"/>
      <c r="Q322" s="1843"/>
      <c r="R322" s="1843"/>
      <c r="S322" s="1843"/>
      <c r="T322" s="1843"/>
      <c r="U322" s="1843"/>
      <c r="V322" s="1843"/>
      <c r="W322" s="1843"/>
      <c r="X322" s="1843"/>
      <c r="Y322" s="1843"/>
      <c r="Z322" s="1843"/>
      <c r="AA322" s="1844"/>
      <c r="AB322" s="1335"/>
    </row>
    <row r="323" spans="1:28">
      <c r="A323" s="1874">
        <v>8</v>
      </c>
      <c r="B323" s="1860"/>
      <c r="C323" s="1870"/>
      <c r="D323" s="1870"/>
      <c r="E323" s="1871"/>
      <c r="F323" s="1842"/>
      <c r="G323" s="1843"/>
      <c r="H323" s="1843"/>
      <c r="I323" s="1843"/>
      <c r="J323" s="1843"/>
      <c r="K323" s="1843"/>
      <c r="L323" s="1843"/>
      <c r="M323" s="1843"/>
      <c r="N323" s="1843"/>
      <c r="O323" s="1843"/>
      <c r="P323" s="1843"/>
      <c r="Q323" s="1843"/>
      <c r="R323" s="1843"/>
      <c r="S323" s="1843"/>
      <c r="T323" s="1843"/>
      <c r="U323" s="1843"/>
      <c r="V323" s="1843"/>
      <c r="W323" s="1843"/>
      <c r="X323" s="1843"/>
      <c r="Y323" s="1843"/>
      <c r="Z323" s="1843"/>
      <c r="AA323" s="1844"/>
      <c r="AB323" s="1335"/>
    </row>
    <row r="324" spans="1:28">
      <c r="A324" s="1874">
        <v>9</v>
      </c>
      <c r="B324" s="1860"/>
      <c r="C324" s="1870"/>
      <c r="D324" s="1870"/>
      <c r="E324" s="1871"/>
      <c r="F324" s="1842"/>
      <c r="G324" s="1843"/>
      <c r="H324" s="1843"/>
      <c r="I324" s="1843"/>
      <c r="J324" s="1843"/>
      <c r="K324" s="1843"/>
      <c r="L324" s="1843"/>
      <c r="M324" s="1843"/>
      <c r="N324" s="1843"/>
      <c r="O324" s="1843"/>
      <c r="P324" s="1843"/>
      <c r="Q324" s="1843"/>
      <c r="R324" s="1843"/>
      <c r="S324" s="1843"/>
      <c r="T324" s="1843"/>
      <c r="U324" s="1843"/>
      <c r="V324" s="1843"/>
      <c r="W324" s="1843"/>
      <c r="X324" s="1843"/>
      <c r="Y324" s="1843"/>
      <c r="Z324" s="1843"/>
      <c r="AA324" s="1844"/>
      <c r="AB324" s="1335"/>
    </row>
    <row r="325" spans="1:28">
      <c r="A325" s="1874">
        <v>10</v>
      </c>
      <c r="B325" s="1860"/>
      <c r="C325" s="1870"/>
      <c r="D325" s="1870"/>
      <c r="E325" s="1871"/>
      <c r="F325" s="1842"/>
      <c r="G325" s="1843"/>
      <c r="H325" s="1843"/>
      <c r="I325" s="1843"/>
      <c r="J325" s="1843"/>
      <c r="K325" s="1843"/>
      <c r="L325" s="1843"/>
      <c r="M325" s="1843"/>
      <c r="N325" s="1843"/>
      <c r="O325" s="1843"/>
      <c r="P325" s="1843"/>
      <c r="Q325" s="1843"/>
      <c r="R325" s="1843"/>
      <c r="S325" s="1843"/>
      <c r="T325" s="1843"/>
      <c r="U325" s="1843"/>
      <c r="V325" s="1843"/>
      <c r="W325" s="1843"/>
      <c r="X325" s="1843"/>
      <c r="Y325" s="1843"/>
      <c r="Z325" s="1843"/>
      <c r="AA325" s="1844"/>
      <c r="AB325" s="1335"/>
    </row>
    <row r="326" spans="1:28">
      <c r="A326" s="1874">
        <v>11</v>
      </c>
      <c r="B326" s="1860"/>
      <c r="C326" s="1870"/>
      <c r="D326" s="1870"/>
      <c r="E326" s="1871"/>
      <c r="F326" s="1842"/>
      <c r="G326" s="1843"/>
      <c r="H326" s="1843"/>
      <c r="I326" s="1843"/>
      <c r="J326" s="1843"/>
      <c r="K326" s="1843"/>
      <c r="L326" s="1843"/>
      <c r="M326" s="1843"/>
      <c r="N326" s="1843"/>
      <c r="O326" s="1843"/>
      <c r="P326" s="1843"/>
      <c r="Q326" s="1843"/>
      <c r="R326" s="1843"/>
      <c r="S326" s="1843"/>
      <c r="T326" s="1843"/>
      <c r="U326" s="1843"/>
      <c r="V326" s="1843"/>
      <c r="W326" s="1843"/>
      <c r="X326" s="1843"/>
      <c r="Y326" s="1843"/>
      <c r="Z326" s="1843"/>
      <c r="AA326" s="1844"/>
      <c r="AB326" s="1335"/>
    </row>
    <row r="327" spans="1:28">
      <c r="A327" s="1874">
        <v>12</v>
      </c>
      <c r="B327" s="1860"/>
      <c r="C327" s="1870"/>
      <c r="D327" s="1870"/>
      <c r="E327" s="1871"/>
      <c r="F327" s="1842"/>
      <c r="G327" s="1843"/>
      <c r="H327" s="1843"/>
      <c r="I327" s="1843"/>
      <c r="J327" s="1843"/>
      <c r="K327" s="1843"/>
      <c r="L327" s="1843"/>
      <c r="M327" s="1843"/>
      <c r="N327" s="1843"/>
      <c r="O327" s="1843"/>
      <c r="P327" s="1843"/>
      <c r="Q327" s="1843"/>
      <c r="R327" s="1843"/>
      <c r="S327" s="1843"/>
      <c r="T327" s="1843"/>
      <c r="U327" s="1843"/>
      <c r="V327" s="1843"/>
      <c r="W327" s="1843"/>
      <c r="X327" s="1843"/>
      <c r="Y327" s="1843"/>
      <c r="Z327" s="1843"/>
      <c r="AA327" s="1844"/>
      <c r="AB327" s="1335"/>
    </row>
    <row r="328" spans="1:28">
      <c r="A328" s="1874">
        <v>13</v>
      </c>
      <c r="B328" s="1860"/>
      <c r="C328" s="1870"/>
      <c r="D328" s="1870"/>
      <c r="E328" s="1871"/>
      <c r="F328" s="1842"/>
      <c r="G328" s="1843"/>
      <c r="H328" s="1843"/>
      <c r="I328" s="1843"/>
      <c r="J328" s="1843"/>
      <c r="K328" s="1843"/>
      <c r="L328" s="1843"/>
      <c r="M328" s="1843"/>
      <c r="N328" s="1843"/>
      <c r="O328" s="1843"/>
      <c r="P328" s="1843"/>
      <c r="Q328" s="1843"/>
      <c r="R328" s="1843"/>
      <c r="S328" s="1843"/>
      <c r="T328" s="1843"/>
      <c r="U328" s="1843"/>
      <c r="V328" s="1843"/>
      <c r="W328" s="1843"/>
      <c r="X328" s="1843"/>
      <c r="Y328" s="1843"/>
      <c r="Z328" s="1843"/>
      <c r="AA328" s="1844"/>
      <c r="AB328" s="1335"/>
    </row>
    <row r="329" spans="1:28">
      <c r="A329" s="1874">
        <v>14</v>
      </c>
      <c r="B329" s="1860"/>
      <c r="C329" s="1870"/>
      <c r="D329" s="1870"/>
      <c r="E329" s="1871"/>
      <c r="F329" s="1842"/>
      <c r="G329" s="1843"/>
      <c r="H329" s="1843"/>
      <c r="I329" s="1843"/>
      <c r="J329" s="1843"/>
      <c r="K329" s="1843"/>
      <c r="L329" s="1843"/>
      <c r="M329" s="1843"/>
      <c r="N329" s="1843"/>
      <c r="O329" s="1843"/>
      <c r="P329" s="1843"/>
      <c r="Q329" s="1843"/>
      <c r="R329" s="1843"/>
      <c r="S329" s="1843"/>
      <c r="T329" s="1843"/>
      <c r="U329" s="1843"/>
      <c r="V329" s="1843"/>
      <c r="W329" s="1843"/>
      <c r="X329" s="1843"/>
      <c r="Y329" s="1843"/>
      <c r="Z329" s="1843"/>
      <c r="AA329" s="1844"/>
      <c r="AB329" s="1335"/>
    </row>
    <row r="330" spans="1:28">
      <c r="A330" s="1874">
        <v>15</v>
      </c>
      <c r="B330" s="1860"/>
      <c r="C330" s="1870"/>
      <c r="D330" s="1870"/>
      <c r="E330" s="1871"/>
      <c r="F330" s="1842"/>
      <c r="G330" s="1843"/>
      <c r="H330" s="1843"/>
      <c r="I330" s="1843"/>
      <c r="J330" s="1843"/>
      <c r="K330" s="1843"/>
      <c r="L330" s="1843"/>
      <c r="M330" s="1843"/>
      <c r="N330" s="1843"/>
      <c r="O330" s="1843"/>
      <c r="P330" s="1843"/>
      <c r="Q330" s="1843"/>
      <c r="R330" s="1843"/>
      <c r="S330" s="1843"/>
      <c r="T330" s="1843"/>
      <c r="U330" s="1843"/>
      <c r="V330" s="1843"/>
      <c r="W330" s="1843"/>
      <c r="X330" s="1843"/>
      <c r="Y330" s="1843"/>
      <c r="Z330" s="1843"/>
      <c r="AA330" s="1844"/>
      <c r="AB330" s="1335"/>
    </row>
    <row r="331" spans="1:28">
      <c r="A331" s="1874">
        <v>16</v>
      </c>
      <c r="B331" s="1860"/>
      <c r="C331" s="1870"/>
      <c r="D331" s="1870"/>
      <c r="E331" s="1871"/>
      <c r="F331" s="1842"/>
      <c r="G331" s="1843"/>
      <c r="H331" s="1843"/>
      <c r="I331" s="1843"/>
      <c r="J331" s="1843"/>
      <c r="K331" s="1843"/>
      <c r="L331" s="1843"/>
      <c r="M331" s="1843"/>
      <c r="N331" s="1843"/>
      <c r="O331" s="1843"/>
      <c r="P331" s="1843"/>
      <c r="Q331" s="1843"/>
      <c r="R331" s="1843"/>
      <c r="S331" s="1843"/>
      <c r="T331" s="1843"/>
      <c r="U331" s="1843"/>
      <c r="V331" s="1843"/>
      <c r="W331" s="1843"/>
      <c r="X331" s="1843"/>
      <c r="Y331" s="1843"/>
      <c r="Z331" s="1843"/>
      <c r="AA331" s="1844"/>
      <c r="AB331" s="1335"/>
    </row>
    <row r="332" spans="1:28">
      <c r="A332" s="1874">
        <v>17</v>
      </c>
      <c r="B332" s="1860"/>
      <c r="C332" s="1870"/>
      <c r="D332" s="1870"/>
      <c r="E332" s="1871"/>
      <c r="F332" s="1842"/>
      <c r="G332" s="1843"/>
      <c r="H332" s="1843"/>
      <c r="I332" s="1843"/>
      <c r="J332" s="1843"/>
      <c r="K332" s="1843"/>
      <c r="L332" s="1843"/>
      <c r="M332" s="1843"/>
      <c r="N332" s="1843"/>
      <c r="O332" s="1843"/>
      <c r="P332" s="1843"/>
      <c r="Q332" s="1843"/>
      <c r="R332" s="1843"/>
      <c r="S332" s="1843"/>
      <c r="T332" s="1843"/>
      <c r="U332" s="1843"/>
      <c r="V332" s="1843"/>
      <c r="W332" s="1843"/>
      <c r="X332" s="1843"/>
      <c r="Y332" s="1843"/>
      <c r="Z332" s="1843"/>
      <c r="AA332" s="1844"/>
      <c r="AB332" s="1335"/>
    </row>
    <row r="333" spans="1:28">
      <c r="A333" s="1874">
        <v>18</v>
      </c>
      <c r="B333" s="1860"/>
      <c r="C333" s="1870"/>
      <c r="D333" s="1870"/>
      <c r="E333" s="1871"/>
      <c r="F333" s="1842"/>
      <c r="G333" s="1843"/>
      <c r="H333" s="1843"/>
      <c r="I333" s="1843"/>
      <c r="J333" s="1843"/>
      <c r="K333" s="1843"/>
      <c r="L333" s="1843"/>
      <c r="M333" s="1843"/>
      <c r="N333" s="1843"/>
      <c r="O333" s="1843"/>
      <c r="P333" s="1843"/>
      <c r="Q333" s="1843"/>
      <c r="R333" s="1843"/>
      <c r="S333" s="1843"/>
      <c r="T333" s="1843"/>
      <c r="U333" s="1843"/>
      <c r="V333" s="1843"/>
      <c r="W333" s="1843"/>
      <c r="X333" s="1843"/>
      <c r="Y333" s="1843"/>
      <c r="Z333" s="1843"/>
      <c r="AA333" s="1844"/>
      <c r="AB333" s="1335"/>
    </row>
    <row r="334" spans="1:28">
      <c r="A334" s="1874">
        <v>19</v>
      </c>
      <c r="B334" s="1860"/>
      <c r="C334" s="1870"/>
      <c r="D334" s="1870"/>
      <c r="E334" s="1871"/>
      <c r="F334" s="1842"/>
      <c r="G334" s="1843"/>
      <c r="H334" s="1843"/>
      <c r="I334" s="1843"/>
      <c r="J334" s="1843"/>
      <c r="K334" s="1843"/>
      <c r="L334" s="1843"/>
      <c r="M334" s="1843"/>
      <c r="N334" s="1843"/>
      <c r="O334" s="1843"/>
      <c r="P334" s="1843"/>
      <c r="Q334" s="1843"/>
      <c r="R334" s="1843"/>
      <c r="S334" s="1843"/>
      <c r="T334" s="1843"/>
      <c r="U334" s="1843"/>
      <c r="V334" s="1843"/>
      <c r="W334" s="1843"/>
      <c r="X334" s="1843"/>
      <c r="Y334" s="1843"/>
      <c r="Z334" s="1843"/>
      <c r="AA334" s="1844"/>
      <c r="AB334" s="1335"/>
    </row>
    <row r="335" spans="1:28">
      <c r="A335" s="1874">
        <v>20</v>
      </c>
      <c r="B335" s="1860"/>
      <c r="C335" s="1870"/>
      <c r="D335" s="1870"/>
      <c r="E335" s="1871"/>
      <c r="F335" s="1842"/>
      <c r="G335" s="1843"/>
      <c r="H335" s="1843"/>
      <c r="I335" s="1843"/>
      <c r="J335" s="1843"/>
      <c r="K335" s="1843"/>
      <c r="L335" s="1843"/>
      <c r="M335" s="1843"/>
      <c r="N335" s="1843"/>
      <c r="O335" s="1843"/>
      <c r="P335" s="1843"/>
      <c r="Q335" s="1843"/>
      <c r="R335" s="1843"/>
      <c r="S335" s="1843"/>
      <c r="T335" s="1843"/>
      <c r="U335" s="1843"/>
      <c r="V335" s="1843"/>
      <c r="W335" s="1843"/>
      <c r="X335" s="1843"/>
      <c r="Y335" s="1843"/>
      <c r="Z335" s="1843"/>
      <c r="AA335" s="1844"/>
      <c r="AB335" s="1335"/>
    </row>
    <row r="336" spans="1:28">
      <c r="A336" s="1874">
        <v>21</v>
      </c>
      <c r="B336" s="1860"/>
      <c r="C336" s="1870"/>
      <c r="D336" s="1870"/>
      <c r="E336" s="1871"/>
      <c r="F336" s="1842"/>
      <c r="G336" s="1843"/>
      <c r="H336" s="1843"/>
      <c r="I336" s="1843"/>
      <c r="J336" s="1843"/>
      <c r="K336" s="1843"/>
      <c r="L336" s="1843"/>
      <c r="M336" s="1843"/>
      <c r="N336" s="1843"/>
      <c r="O336" s="1843"/>
      <c r="P336" s="1843"/>
      <c r="Q336" s="1843"/>
      <c r="R336" s="1843"/>
      <c r="S336" s="1843"/>
      <c r="T336" s="1843"/>
      <c r="U336" s="1843"/>
      <c r="V336" s="1843"/>
      <c r="W336" s="1843"/>
      <c r="X336" s="1843"/>
      <c r="Y336" s="1843"/>
      <c r="Z336" s="1843"/>
      <c r="AA336" s="1844"/>
      <c r="AB336" s="1335"/>
    </row>
    <row r="337" spans="1:28">
      <c r="A337" s="1874">
        <v>22</v>
      </c>
      <c r="B337" s="1860"/>
      <c r="C337" s="1870"/>
      <c r="D337" s="1870"/>
      <c r="E337" s="1871"/>
      <c r="F337" s="1842"/>
      <c r="G337" s="1843"/>
      <c r="H337" s="1843"/>
      <c r="I337" s="1843"/>
      <c r="J337" s="1843"/>
      <c r="K337" s="1843"/>
      <c r="L337" s="1843"/>
      <c r="M337" s="1843"/>
      <c r="N337" s="1843"/>
      <c r="O337" s="1843"/>
      <c r="P337" s="1843"/>
      <c r="Q337" s="1843"/>
      <c r="R337" s="1843"/>
      <c r="S337" s="1843"/>
      <c r="T337" s="1843"/>
      <c r="U337" s="1843"/>
      <c r="V337" s="1843"/>
      <c r="W337" s="1843"/>
      <c r="X337" s="1843"/>
      <c r="Y337" s="1843"/>
      <c r="Z337" s="1843"/>
      <c r="AA337" s="1844"/>
      <c r="AB337" s="1335"/>
    </row>
    <row r="338" spans="1:28">
      <c r="A338" s="1874">
        <v>23</v>
      </c>
      <c r="B338" s="1860"/>
      <c r="C338" s="1870"/>
      <c r="D338" s="1870"/>
      <c r="E338" s="1871"/>
      <c r="F338" s="1842"/>
      <c r="G338" s="1843"/>
      <c r="H338" s="1843"/>
      <c r="I338" s="1843"/>
      <c r="J338" s="1843"/>
      <c r="K338" s="1843"/>
      <c r="L338" s="1843"/>
      <c r="M338" s="1843"/>
      <c r="N338" s="1843"/>
      <c r="O338" s="1843"/>
      <c r="P338" s="1843"/>
      <c r="Q338" s="1843"/>
      <c r="R338" s="1843"/>
      <c r="S338" s="1843"/>
      <c r="T338" s="1843"/>
      <c r="U338" s="1843"/>
      <c r="V338" s="1843"/>
      <c r="W338" s="1843"/>
      <c r="X338" s="1843"/>
      <c r="Y338" s="1843"/>
      <c r="Z338" s="1843"/>
      <c r="AA338" s="1844"/>
      <c r="AB338" s="1335"/>
    </row>
    <row r="339" spans="1:28">
      <c r="A339" s="1874">
        <v>24</v>
      </c>
      <c r="B339" s="1860"/>
      <c r="C339" s="1870"/>
      <c r="D339" s="1870"/>
      <c r="E339" s="1871"/>
      <c r="F339" s="1842"/>
      <c r="G339" s="1843"/>
      <c r="H339" s="1843"/>
      <c r="I339" s="1843"/>
      <c r="J339" s="1843"/>
      <c r="K339" s="1843"/>
      <c r="L339" s="1843"/>
      <c r="M339" s="1843"/>
      <c r="N339" s="1843"/>
      <c r="O339" s="1843"/>
      <c r="P339" s="1843"/>
      <c r="Q339" s="1843"/>
      <c r="R339" s="1843"/>
      <c r="S339" s="1843"/>
      <c r="T339" s="1843"/>
      <c r="U339" s="1843"/>
      <c r="V339" s="1843"/>
      <c r="W339" s="1843"/>
      <c r="X339" s="1843"/>
      <c r="Y339" s="1843"/>
      <c r="Z339" s="1843"/>
      <c r="AA339" s="1844"/>
      <c r="AB339" s="1335"/>
    </row>
    <row r="340" spans="1:28">
      <c r="A340" s="1874">
        <v>25</v>
      </c>
      <c r="B340" s="1860"/>
      <c r="C340" s="1870"/>
      <c r="D340" s="1870"/>
      <c r="E340" s="1871"/>
      <c r="F340" s="1842"/>
      <c r="G340" s="1843"/>
      <c r="H340" s="1843"/>
      <c r="I340" s="1843"/>
      <c r="J340" s="1843"/>
      <c r="K340" s="1843"/>
      <c r="L340" s="1843"/>
      <c r="M340" s="1843"/>
      <c r="N340" s="1843"/>
      <c r="O340" s="1843"/>
      <c r="P340" s="1843"/>
      <c r="Q340" s="1843"/>
      <c r="R340" s="1843"/>
      <c r="S340" s="1843"/>
      <c r="T340" s="1843"/>
      <c r="U340" s="1843"/>
      <c r="V340" s="1843"/>
      <c r="W340" s="1843"/>
      <c r="X340" s="1843"/>
      <c r="Y340" s="1843"/>
      <c r="Z340" s="1843"/>
      <c r="AA340" s="1844"/>
      <c r="AB340" s="1335"/>
    </row>
    <row r="341" spans="1:28">
      <c r="A341" s="1874">
        <v>26</v>
      </c>
      <c r="B341" s="1860"/>
      <c r="C341" s="1870"/>
      <c r="D341" s="1870"/>
      <c r="E341" s="1871"/>
      <c r="F341" s="1842"/>
      <c r="G341" s="1843"/>
      <c r="H341" s="1843"/>
      <c r="I341" s="1843"/>
      <c r="J341" s="1843"/>
      <c r="K341" s="1843"/>
      <c r="L341" s="1843"/>
      <c r="M341" s="1843"/>
      <c r="N341" s="1843"/>
      <c r="O341" s="1843"/>
      <c r="P341" s="1843"/>
      <c r="Q341" s="1843"/>
      <c r="R341" s="1843"/>
      <c r="S341" s="1843"/>
      <c r="T341" s="1843"/>
      <c r="U341" s="1843"/>
      <c r="V341" s="1843"/>
      <c r="W341" s="1843"/>
      <c r="X341" s="1843"/>
      <c r="Y341" s="1843"/>
      <c r="Z341" s="1843"/>
      <c r="AA341" s="1844"/>
      <c r="AB341" s="1335"/>
    </row>
    <row r="342" spans="1:28">
      <c r="A342" s="1874">
        <v>27</v>
      </c>
      <c r="B342" s="1860"/>
      <c r="C342" s="1870"/>
      <c r="D342" s="1870"/>
      <c r="E342" s="1871"/>
      <c r="F342" s="1842"/>
      <c r="G342" s="1843"/>
      <c r="H342" s="1843"/>
      <c r="I342" s="1843"/>
      <c r="J342" s="1843"/>
      <c r="K342" s="1843"/>
      <c r="L342" s="1843"/>
      <c r="M342" s="1843"/>
      <c r="N342" s="1843"/>
      <c r="O342" s="1843"/>
      <c r="P342" s="1843"/>
      <c r="Q342" s="1843"/>
      <c r="R342" s="1843"/>
      <c r="S342" s="1843"/>
      <c r="T342" s="1843"/>
      <c r="U342" s="1843"/>
      <c r="V342" s="1843"/>
      <c r="W342" s="1843"/>
      <c r="X342" s="1843"/>
      <c r="Y342" s="1843"/>
      <c r="Z342" s="1843"/>
      <c r="AA342" s="1844"/>
      <c r="AB342" s="1335"/>
    </row>
    <row r="343" spans="1:28">
      <c r="A343" s="1874">
        <v>28</v>
      </c>
      <c r="B343" s="1860"/>
      <c r="C343" s="1870"/>
      <c r="D343" s="1870"/>
      <c r="E343" s="1871"/>
      <c r="F343" s="1842"/>
      <c r="G343" s="1843"/>
      <c r="H343" s="1843"/>
      <c r="I343" s="1843"/>
      <c r="J343" s="1843"/>
      <c r="K343" s="1843"/>
      <c r="L343" s="1843"/>
      <c r="M343" s="1843"/>
      <c r="N343" s="1843"/>
      <c r="O343" s="1843"/>
      <c r="P343" s="1843"/>
      <c r="Q343" s="1843"/>
      <c r="R343" s="1843"/>
      <c r="S343" s="1843"/>
      <c r="T343" s="1843"/>
      <c r="U343" s="1843"/>
      <c r="V343" s="1843"/>
      <c r="W343" s="1843"/>
      <c r="X343" s="1843"/>
      <c r="Y343" s="1843"/>
      <c r="Z343" s="1843"/>
      <c r="AA343" s="1844"/>
      <c r="AB343" s="1335"/>
    </row>
    <row r="344" spans="1:28">
      <c r="A344" s="1874">
        <v>29</v>
      </c>
      <c r="B344" s="1860"/>
      <c r="C344" s="1870"/>
      <c r="D344" s="1870"/>
      <c r="E344" s="1871"/>
      <c r="F344" s="1842"/>
      <c r="G344" s="1843"/>
      <c r="H344" s="1843"/>
      <c r="I344" s="1843"/>
      <c r="J344" s="1843"/>
      <c r="K344" s="1843"/>
      <c r="L344" s="1843"/>
      <c r="M344" s="1843"/>
      <c r="N344" s="1843"/>
      <c r="O344" s="1843"/>
      <c r="P344" s="1843"/>
      <c r="Q344" s="1843"/>
      <c r="R344" s="1843"/>
      <c r="S344" s="1843"/>
      <c r="T344" s="1843"/>
      <c r="U344" s="1843"/>
      <c r="V344" s="1843"/>
      <c r="W344" s="1843"/>
      <c r="X344" s="1843"/>
      <c r="Y344" s="1843"/>
      <c r="Z344" s="1843"/>
      <c r="AA344" s="1844"/>
      <c r="AB344" s="1335"/>
    </row>
    <row r="345" spans="1:28">
      <c r="A345" s="1875">
        <v>30</v>
      </c>
      <c r="B345" s="1860"/>
      <c r="C345" s="1872"/>
      <c r="D345" s="1872"/>
      <c r="E345" s="1873"/>
      <c r="F345" s="1845"/>
      <c r="G345" s="1846"/>
      <c r="H345" s="1846"/>
      <c r="I345" s="1846"/>
      <c r="J345" s="1846"/>
      <c r="K345" s="1846"/>
      <c r="L345" s="1846"/>
      <c r="M345" s="1846"/>
      <c r="N345" s="1846"/>
      <c r="O345" s="1846"/>
      <c r="P345" s="1846"/>
      <c r="Q345" s="1846"/>
      <c r="R345" s="1846"/>
      <c r="S345" s="1846"/>
      <c r="T345" s="1846"/>
      <c r="U345" s="1846"/>
      <c r="V345" s="1846"/>
      <c r="W345" s="1846"/>
      <c r="X345" s="1846"/>
      <c r="Y345" s="1846"/>
      <c r="Z345" s="1846"/>
      <c r="AA345" s="1847"/>
      <c r="AB345" s="1335"/>
    </row>
    <row r="348" spans="1:28" ht="18">
      <c r="A348" s="71" t="s">
        <v>90</v>
      </c>
      <c r="B348" s="70"/>
      <c r="C348" s="70"/>
      <c r="D348" s="70"/>
      <c r="E348" s="70"/>
      <c r="F348" s="70"/>
      <c r="G348" s="70"/>
      <c r="H348" s="70"/>
      <c r="I348" s="70"/>
      <c r="J348" s="70"/>
      <c r="K348" s="70"/>
      <c r="L348" s="70"/>
      <c r="M348" s="70"/>
      <c r="N348" s="70"/>
      <c r="O348" s="70"/>
      <c r="P348" s="70"/>
      <c r="Q348" s="70"/>
      <c r="R348" s="72"/>
      <c r="S348" s="73"/>
      <c r="T348" s="73"/>
      <c r="U348" s="73"/>
      <c r="V348" s="73"/>
      <c r="W348" s="73"/>
      <c r="X348" s="73"/>
      <c r="Y348" s="73"/>
      <c r="Z348" s="73"/>
      <c r="AA348" s="73"/>
    </row>
    <row r="349" spans="1:28">
      <c r="A349" s="87"/>
      <c r="B349" s="1914" t="s">
        <v>91</v>
      </c>
      <c r="C349" s="1914"/>
      <c r="D349" s="1914"/>
      <c r="E349" s="1915"/>
      <c r="F349" s="1822" t="s">
        <v>119</v>
      </c>
      <c r="G349" s="1822" t="s">
        <v>120</v>
      </c>
      <c r="H349" s="1822" t="s">
        <v>121</v>
      </c>
      <c r="I349" s="1822" t="s">
        <v>122</v>
      </c>
      <c r="J349" s="1822" t="s">
        <v>123</v>
      </c>
      <c r="K349" s="1822" t="s">
        <v>124</v>
      </c>
      <c r="L349" s="1822" t="s">
        <v>125</v>
      </c>
      <c r="M349" s="1822" t="s">
        <v>126</v>
      </c>
      <c r="N349" s="1822" t="s">
        <v>127</v>
      </c>
      <c r="O349" s="1822" t="s">
        <v>128</v>
      </c>
      <c r="P349" s="1822" t="s">
        <v>129</v>
      </c>
      <c r="Q349" s="1822" t="s">
        <v>130</v>
      </c>
      <c r="R349" s="1822" t="s">
        <v>131</v>
      </c>
      <c r="S349" s="1822" t="s">
        <v>132</v>
      </c>
      <c r="T349" s="1822" t="s">
        <v>133</v>
      </c>
      <c r="U349" s="1822" t="s">
        <v>134</v>
      </c>
      <c r="V349" s="1822" t="s">
        <v>135</v>
      </c>
      <c r="W349" s="1822" t="s">
        <v>136</v>
      </c>
      <c r="X349" s="1822" t="s">
        <v>137</v>
      </c>
      <c r="Y349" s="1822" t="s">
        <v>138</v>
      </c>
      <c r="Z349" s="1822" t="s">
        <v>139</v>
      </c>
      <c r="AA349" s="1823" t="s">
        <v>140</v>
      </c>
    </row>
    <row r="350" spans="1:28">
      <c r="A350" s="70"/>
      <c r="B350" s="1916"/>
      <c r="C350" s="1916"/>
      <c r="D350" s="1916"/>
      <c r="E350" s="1917"/>
      <c r="F350" s="1877"/>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7"/>
    </row>
    <row r="353" spans="1:55" ht="18">
      <c r="A353" s="71" t="s">
        <v>92</v>
      </c>
      <c r="AH353" s="70" t="s">
        <v>76</v>
      </c>
      <c r="AI353" s="70"/>
      <c r="AJ353" s="70"/>
      <c r="AK353" s="70"/>
      <c r="AL353" s="70"/>
      <c r="AM353" s="70"/>
      <c r="AN353" s="70"/>
      <c r="AO353" s="70"/>
      <c r="AP353" s="70"/>
      <c r="AQ353" s="70"/>
      <c r="AR353" s="70"/>
      <c r="AS353" s="70"/>
      <c r="AT353" s="70"/>
      <c r="AU353" s="70"/>
      <c r="AV353" s="70"/>
      <c r="AW353" s="70"/>
      <c r="AX353" s="70"/>
      <c r="AY353" s="70"/>
      <c r="AZ353" s="70"/>
      <c r="BA353" s="70"/>
      <c r="BB353" s="70"/>
      <c r="BC353" s="70"/>
    </row>
    <row r="354" spans="1:55">
      <c r="A354" s="1104" t="s">
        <v>79</v>
      </c>
      <c r="B354" s="1336" t="s">
        <v>80</v>
      </c>
      <c r="C354" s="1918" t="s">
        <v>91</v>
      </c>
      <c r="D354" s="1919"/>
      <c r="E354" s="1919"/>
      <c r="F354" s="1822" t="s">
        <v>119</v>
      </c>
      <c r="G354" s="1822" t="s">
        <v>120</v>
      </c>
      <c r="H354" s="1822" t="s">
        <v>121</v>
      </c>
      <c r="I354" s="1822" t="s">
        <v>122</v>
      </c>
      <c r="J354" s="1822" t="s">
        <v>123</v>
      </c>
      <c r="K354" s="1822" t="s">
        <v>124</v>
      </c>
      <c r="L354" s="1822" t="s">
        <v>125</v>
      </c>
      <c r="M354" s="1822" t="s">
        <v>126</v>
      </c>
      <c r="N354" s="1822" t="s">
        <v>127</v>
      </c>
      <c r="O354" s="1822" t="s">
        <v>128</v>
      </c>
      <c r="P354" s="1822" t="s">
        <v>129</v>
      </c>
      <c r="Q354" s="1822" t="s">
        <v>130</v>
      </c>
      <c r="R354" s="1822" t="s">
        <v>131</v>
      </c>
      <c r="S354" s="1822" t="s">
        <v>132</v>
      </c>
      <c r="T354" s="1822" t="s">
        <v>133</v>
      </c>
      <c r="U354" s="1822" t="s">
        <v>134</v>
      </c>
      <c r="V354" s="1822" t="s">
        <v>135</v>
      </c>
      <c r="W354" s="1822" t="s">
        <v>136</v>
      </c>
      <c r="X354" s="1822" t="s">
        <v>137</v>
      </c>
      <c r="Y354" s="1822" t="s">
        <v>138</v>
      </c>
      <c r="Z354" s="1822" t="s">
        <v>139</v>
      </c>
      <c r="AA354" s="1823" t="s">
        <v>140</v>
      </c>
      <c r="AH354" s="1331">
        <v>2006</v>
      </c>
      <c r="AI354" s="1331">
        <v>2010</v>
      </c>
      <c r="AJ354" s="1331">
        <v>2011</v>
      </c>
      <c r="AK354" s="1331">
        <v>2012</v>
      </c>
      <c r="AL354" s="1331">
        <v>2013</v>
      </c>
      <c r="AM354" s="1331">
        <v>2014</v>
      </c>
      <c r="AN354" s="1331">
        <v>2015</v>
      </c>
      <c r="AO354" s="1331">
        <v>2016</v>
      </c>
      <c r="AP354" s="1331">
        <v>2017</v>
      </c>
      <c r="AQ354" s="1331">
        <v>2018</v>
      </c>
      <c r="AR354" s="1331">
        <v>2019</v>
      </c>
      <c r="AS354" s="1331">
        <v>2020</v>
      </c>
      <c r="AT354" s="1331">
        <v>2021</v>
      </c>
      <c r="AU354" s="1331">
        <v>2022</v>
      </c>
      <c r="AV354" s="1331">
        <v>2023</v>
      </c>
      <c r="AW354" s="1331">
        <v>2024</v>
      </c>
      <c r="AX354" s="1331">
        <v>2025</v>
      </c>
      <c r="AY354" s="1331">
        <v>2026</v>
      </c>
      <c r="AZ354" s="1331">
        <v>2027</v>
      </c>
      <c r="BA354" s="1331">
        <v>2028</v>
      </c>
      <c r="BB354" s="1331">
        <v>2029</v>
      </c>
      <c r="BC354" s="1331">
        <v>2030</v>
      </c>
    </row>
    <row r="355" spans="1:55">
      <c r="A355" s="1105" t="s">
        <v>93</v>
      </c>
      <c r="B355" s="1337" t="s">
        <v>76</v>
      </c>
      <c r="C355" s="1920"/>
      <c r="D355" s="1921"/>
      <c r="E355" s="1921"/>
      <c r="F355" s="1849"/>
      <c r="G355" s="1843"/>
      <c r="H355" s="1843"/>
      <c r="I355" s="1843"/>
      <c r="J355" s="1843"/>
      <c r="K355" s="1843"/>
      <c r="L355" s="1843"/>
      <c r="M355" s="1843"/>
      <c r="N355" s="1843"/>
      <c r="O355" s="1843"/>
      <c r="P355" s="1843"/>
      <c r="Q355" s="1843"/>
      <c r="R355" s="1843"/>
      <c r="S355" s="1843"/>
      <c r="T355" s="1843"/>
      <c r="U355" s="1843"/>
      <c r="V355" s="1843"/>
      <c r="W355" s="1843"/>
      <c r="X355" s="1843"/>
      <c r="Y355" s="1843"/>
      <c r="Z355" s="1843"/>
      <c r="AA355" s="1844"/>
      <c r="AH355" s="1335">
        <f>IF(ISNA(F355*VLOOKUP($A355,Hypothèses!$D$6:$F$14,3,0)),0,F355*VLOOKUP($A355,Hypothèses!$D$6:$F$14,3,0))</f>
        <v>0</v>
      </c>
      <c r="AI355" s="1335">
        <f>IF(ISNA(G355*VLOOKUP($A355,Hypothèses!$D$6:$F$14,3,0)),0,G355*VLOOKUP($A355,Hypothèses!$D$6:$F$14,3,0))</f>
        <v>0</v>
      </c>
      <c r="AJ355" s="1335">
        <f>IF(ISNA(H355*VLOOKUP($A355,Hypothèses!$D$6:$F$14,3,0)),0,H355*VLOOKUP($A355,Hypothèses!$D$6:$F$14,3,0))</f>
        <v>0</v>
      </c>
      <c r="AK355" s="1335">
        <f>IF(ISNA(I355*VLOOKUP($A355,Hypothèses!$D$6:$F$14,3,0)),0,I355*VLOOKUP($A355,Hypothèses!$D$6:$F$14,3,0))</f>
        <v>0</v>
      </c>
      <c r="AL355" s="1335">
        <f>IF(ISNA(J355*VLOOKUP($A355,Hypothèses!$D$6:$F$14,3,0)),0,J355*VLOOKUP($A355,Hypothèses!$D$6:$F$14,3,0))</f>
        <v>0</v>
      </c>
      <c r="AM355" s="1335">
        <f>IF(ISNA(K355*VLOOKUP($A355,Hypothèses!$D$6:$F$14,3,0)),0,K355*VLOOKUP($A355,Hypothèses!$D$6:$F$14,3,0))</f>
        <v>0</v>
      </c>
      <c r="AN355" s="1335">
        <f>IF(ISNA(L355*VLOOKUP($A355,Hypothèses!$D$6:$F$14,3,0)),0,L355*VLOOKUP($A355,Hypothèses!$D$6:$F$14,3,0))</f>
        <v>0</v>
      </c>
      <c r="AO355" s="1335">
        <f>IF(ISNA(M355*VLOOKUP($A355,Hypothèses!$D$6:$F$14,3,0)),0,M355*VLOOKUP($A355,Hypothèses!$D$6:$F$14,3,0))</f>
        <v>0</v>
      </c>
      <c r="AP355" s="1335">
        <f>IF(ISNA(N355*VLOOKUP($A355,Hypothèses!$D$6:$F$14,3,0)),0,N355*VLOOKUP($A355,Hypothèses!$D$6:$F$14,3,0))</f>
        <v>0</v>
      </c>
      <c r="AQ355" s="1335">
        <f>IF(ISNA(O355*VLOOKUP($A355,Hypothèses!$D$6:$F$14,3,0)),0,O355*VLOOKUP($A355,Hypothèses!$D$6:$F$14,3,0))</f>
        <v>0</v>
      </c>
      <c r="AR355" s="1335">
        <f>IF(ISNA(P355*VLOOKUP($A355,Hypothèses!$D$6:$F$14,3,0)),0,P355*VLOOKUP($A355,Hypothèses!$D$6:$F$14,3,0))</f>
        <v>0</v>
      </c>
      <c r="AS355" s="1335">
        <f>IF(ISNA(Q355*VLOOKUP($A355,Hypothèses!$D$6:$F$14,3,0)),0,Q355*VLOOKUP($A355,Hypothèses!$D$6:$F$14,3,0))</f>
        <v>0</v>
      </c>
      <c r="AT355" s="1335">
        <f>IF(ISNA(R355*VLOOKUP($A355,Hypothèses!$D$6:$F$14,3,0)),0,R355*VLOOKUP($A355,Hypothèses!$D$6:$F$14,3,0))</f>
        <v>0</v>
      </c>
      <c r="AU355" s="1335">
        <f>IF(ISNA(S355*VLOOKUP($A355,Hypothèses!$D$6:$F$14,3,0)),0,S355*VLOOKUP($A355,Hypothèses!$D$6:$F$14,3,0))</f>
        <v>0</v>
      </c>
      <c r="AV355" s="1335">
        <f>IF(ISNA(T355*VLOOKUP($A355,Hypothèses!$D$6:$F$14,3,0)),0,T355*VLOOKUP($A355,Hypothèses!$D$6:$F$14,3,0))</f>
        <v>0</v>
      </c>
      <c r="AW355" s="1335">
        <f>IF(ISNA(U355*VLOOKUP($A355,Hypothèses!$D$6:$F$14,3,0)),0,U355*VLOOKUP($A355,Hypothèses!$D$6:$F$14,3,0))</f>
        <v>0</v>
      </c>
      <c r="AX355" s="1335">
        <f>IF(ISNA(V355*VLOOKUP($A355,Hypothèses!$D$6:$F$14,3,0)),0,V355*VLOOKUP($A355,Hypothèses!$D$6:$F$14,3,0))</f>
        <v>0</v>
      </c>
      <c r="AY355" s="1335">
        <f>IF(ISNA(W355*VLOOKUP($A355,Hypothèses!$D$6:$F$14,3,0)),0,W355*VLOOKUP($A355,Hypothèses!$D$6:$F$14,3,0))</f>
        <v>0</v>
      </c>
      <c r="AZ355" s="1335">
        <f>IF(ISNA(X355*VLOOKUP($A355,Hypothèses!$D$6:$F$14,3,0)),0,X355*VLOOKUP($A355,Hypothèses!$D$6:$F$14,3,0))</f>
        <v>0</v>
      </c>
      <c r="BA355" s="1335">
        <f>IF(ISNA(Y355*VLOOKUP($A355,Hypothèses!$D$6:$F$14,3,0)),0,Y355*VLOOKUP($A355,Hypothèses!$D$6:$F$14,3,0))</f>
        <v>0</v>
      </c>
      <c r="BB355" s="1335">
        <f>IF(ISNA(Z355*VLOOKUP($A355,Hypothèses!$D$6:$F$14,3,0)),0,Z355*VLOOKUP($A355,Hypothèses!$D$6:$F$14,3,0))</f>
        <v>0</v>
      </c>
      <c r="BC355" s="1335">
        <f>IF(ISNA(AA355*VLOOKUP($A355,Hypothèses!$D$6:$F$14,3,0)),0,AA355*VLOOKUP($A355,Hypothèses!$D$6:$F$14,3,0))</f>
        <v>0</v>
      </c>
    </row>
    <row r="356" spans="1:55">
      <c r="A356" s="1106" t="s">
        <v>94</v>
      </c>
      <c r="B356" s="1337" t="s">
        <v>95</v>
      </c>
      <c r="C356" s="1920"/>
      <c r="D356" s="1921"/>
      <c r="E356" s="1921"/>
      <c r="F356" s="1849"/>
      <c r="G356" s="1843"/>
      <c r="H356" s="1843"/>
      <c r="I356" s="1843"/>
      <c r="J356" s="1843"/>
      <c r="K356" s="1843"/>
      <c r="L356" s="1843"/>
      <c r="M356" s="1843"/>
      <c r="N356" s="1843"/>
      <c r="O356" s="1843"/>
      <c r="P356" s="1843"/>
      <c r="Q356" s="1843"/>
      <c r="R356" s="1843"/>
      <c r="S356" s="1843"/>
      <c r="T356" s="1843"/>
      <c r="U356" s="1843"/>
      <c r="V356" s="1843"/>
      <c r="W356" s="1843"/>
      <c r="X356" s="1843"/>
      <c r="Y356" s="1843"/>
      <c r="Z356" s="1843"/>
      <c r="AA356" s="1844"/>
      <c r="AH356" s="1335">
        <f>IF(ISNA(F356*VLOOKUP($A356,Hypothèses!$D$6:$F$14,3,0)),0,F356*VLOOKUP($A356,Hypothèses!$D$6:$F$14,3,0))</f>
        <v>0</v>
      </c>
      <c r="AI356" s="1335">
        <f>IF(ISNA(G356*VLOOKUP($A356,Hypothèses!$D$6:$F$14,3,0)),0,G356*VLOOKUP($A356,Hypothèses!$D$6:$F$14,3,0))</f>
        <v>0</v>
      </c>
      <c r="AJ356" s="1335">
        <f>IF(ISNA(H356*VLOOKUP($A356,Hypothèses!$D$6:$F$14,3,0)),0,H356*VLOOKUP($A356,Hypothèses!$D$6:$F$14,3,0))</f>
        <v>0</v>
      </c>
      <c r="AK356" s="1335">
        <f>IF(ISNA(I356*VLOOKUP($A356,Hypothèses!$D$6:$F$14,3,0)),0,I356*VLOOKUP($A356,Hypothèses!$D$6:$F$14,3,0))</f>
        <v>0</v>
      </c>
      <c r="AL356" s="1335">
        <f>IF(ISNA(J356*VLOOKUP($A356,Hypothèses!$D$6:$F$14,3,0)),0,J356*VLOOKUP($A356,Hypothèses!$D$6:$F$14,3,0))</f>
        <v>0</v>
      </c>
      <c r="AM356" s="1335">
        <f>IF(ISNA(K356*VLOOKUP($A356,Hypothèses!$D$6:$F$14,3,0)),0,K356*VLOOKUP($A356,Hypothèses!$D$6:$F$14,3,0))</f>
        <v>0</v>
      </c>
      <c r="AN356" s="1335">
        <f>IF(ISNA(L356*VLOOKUP($A356,Hypothèses!$D$6:$F$14,3,0)),0,L356*VLOOKUP($A356,Hypothèses!$D$6:$F$14,3,0))</f>
        <v>0</v>
      </c>
      <c r="AO356" s="1335">
        <f>IF(ISNA(M356*VLOOKUP($A356,Hypothèses!$D$6:$F$14,3,0)),0,M356*VLOOKUP($A356,Hypothèses!$D$6:$F$14,3,0))</f>
        <v>0</v>
      </c>
      <c r="AP356" s="1335">
        <f>IF(ISNA(N356*VLOOKUP($A356,Hypothèses!$D$6:$F$14,3,0)),0,N356*VLOOKUP($A356,Hypothèses!$D$6:$F$14,3,0))</f>
        <v>0</v>
      </c>
      <c r="AQ356" s="1335">
        <f>IF(ISNA(O356*VLOOKUP($A356,Hypothèses!$D$6:$F$14,3,0)),0,O356*VLOOKUP($A356,Hypothèses!$D$6:$F$14,3,0))</f>
        <v>0</v>
      </c>
      <c r="AR356" s="1335">
        <f>IF(ISNA(P356*VLOOKUP($A356,Hypothèses!$D$6:$F$14,3,0)),0,P356*VLOOKUP($A356,Hypothèses!$D$6:$F$14,3,0))</f>
        <v>0</v>
      </c>
      <c r="AS356" s="1335">
        <f>IF(ISNA(Q356*VLOOKUP($A356,Hypothèses!$D$6:$F$14,3,0)),0,Q356*VLOOKUP($A356,Hypothèses!$D$6:$F$14,3,0))</f>
        <v>0</v>
      </c>
      <c r="AT356" s="1335">
        <f>IF(ISNA(R356*VLOOKUP($A356,Hypothèses!$D$6:$F$14,3,0)),0,R356*VLOOKUP($A356,Hypothèses!$D$6:$F$14,3,0))</f>
        <v>0</v>
      </c>
      <c r="AU356" s="1335">
        <f>IF(ISNA(S356*VLOOKUP($A356,Hypothèses!$D$6:$F$14,3,0)),0,S356*VLOOKUP($A356,Hypothèses!$D$6:$F$14,3,0))</f>
        <v>0</v>
      </c>
      <c r="AV356" s="1335">
        <f>IF(ISNA(T356*VLOOKUP($A356,Hypothèses!$D$6:$F$14,3,0)),0,T356*VLOOKUP($A356,Hypothèses!$D$6:$F$14,3,0))</f>
        <v>0</v>
      </c>
      <c r="AW356" s="1335">
        <f>IF(ISNA(U356*VLOOKUP($A356,Hypothèses!$D$6:$F$14,3,0)),0,U356*VLOOKUP($A356,Hypothèses!$D$6:$F$14,3,0))</f>
        <v>0</v>
      </c>
      <c r="AX356" s="1335">
        <f>IF(ISNA(V356*VLOOKUP($A356,Hypothèses!$D$6:$F$14,3,0)),0,V356*VLOOKUP($A356,Hypothèses!$D$6:$F$14,3,0))</f>
        <v>0</v>
      </c>
      <c r="AY356" s="1335">
        <f>IF(ISNA(W356*VLOOKUP($A356,Hypothèses!$D$6:$F$14,3,0)),0,W356*VLOOKUP($A356,Hypothèses!$D$6:$F$14,3,0))</f>
        <v>0</v>
      </c>
      <c r="AZ356" s="1335">
        <f>IF(ISNA(X356*VLOOKUP($A356,Hypothèses!$D$6:$F$14,3,0)),0,X356*VLOOKUP($A356,Hypothèses!$D$6:$F$14,3,0))</f>
        <v>0</v>
      </c>
      <c r="BA356" s="1335">
        <f>IF(ISNA(Y356*VLOOKUP($A356,Hypothèses!$D$6:$F$14,3,0)),0,Y356*VLOOKUP($A356,Hypothèses!$D$6:$F$14,3,0))</f>
        <v>0</v>
      </c>
      <c r="BB356" s="1335">
        <f>IF(ISNA(Z356*VLOOKUP($A356,Hypothèses!$D$6:$F$14,3,0)),0,Z356*VLOOKUP($A356,Hypothèses!$D$6:$F$14,3,0))</f>
        <v>0</v>
      </c>
      <c r="BC356" s="1335">
        <f>IF(ISNA(AA356*VLOOKUP($A356,Hypothèses!$D$6:$F$14,3,0)),0,AA356*VLOOKUP($A356,Hypothèses!$D$6:$F$14,3,0))</f>
        <v>0</v>
      </c>
    </row>
    <row r="357" spans="1:55">
      <c r="A357" s="1106" t="s">
        <v>96</v>
      </c>
      <c r="B357" s="1337" t="s">
        <v>95</v>
      </c>
      <c r="C357" s="1920"/>
      <c r="D357" s="1921"/>
      <c r="E357" s="1921"/>
      <c r="F357" s="1849"/>
      <c r="G357" s="1843"/>
      <c r="H357" s="1843"/>
      <c r="I357" s="1843"/>
      <c r="J357" s="1843"/>
      <c r="K357" s="1843"/>
      <c r="L357" s="1843"/>
      <c r="M357" s="1843"/>
      <c r="N357" s="1843"/>
      <c r="O357" s="1843"/>
      <c r="P357" s="1843"/>
      <c r="Q357" s="1843"/>
      <c r="R357" s="1843"/>
      <c r="S357" s="1843"/>
      <c r="T357" s="1843"/>
      <c r="U357" s="1843"/>
      <c r="V357" s="1843"/>
      <c r="W357" s="1843"/>
      <c r="X357" s="1843"/>
      <c r="Y357" s="1843"/>
      <c r="Z357" s="1843"/>
      <c r="AA357" s="1844"/>
      <c r="AH357" s="1335">
        <f>IF(ISNA(F357*VLOOKUP($A357,Hypothèses!$D$6:$F$14,3,0)),0,F357*VLOOKUP($A357,Hypothèses!$D$6:$F$14,3,0))</f>
        <v>0</v>
      </c>
      <c r="AI357" s="1335">
        <f>IF(ISNA(G357*VLOOKUP($A357,Hypothèses!$D$6:$F$14,3,0)),0,G357*VLOOKUP($A357,Hypothèses!$D$6:$F$14,3,0))</f>
        <v>0</v>
      </c>
      <c r="AJ357" s="1335">
        <f>IF(ISNA(H357*VLOOKUP($A357,Hypothèses!$D$6:$F$14,3,0)),0,H357*VLOOKUP($A357,Hypothèses!$D$6:$F$14,3,0))</f>
        <v>0</v>
      </c>
      <c r="AK357" s="1335">
        <f>IF(ISNA(I357*VLOOKUP($A357,Hypothèses!$D$6:$F$14,3,0)),0,I357*VLOOKUP($A357,Hypothèses!$D$6:$F$14,3,0))</f>
        <v>0</v>
      </c>
      <c r="AL357" s="1335">
        <f>IF(ISNA(J357*VLOOKUP($A357,Hypothèses!$D$6:$F$14,3,0)),0,J357*VLOOKUP($A357,Hypothèses!$D$6:$F$14,3,0))</f>
        <v>0</v>
      </c>
      <c r="AM357" s="1335">
        <f>IF(ISNA(K357*VLOOKUP($A357,Hypothèses!$D$6:$F$14,3,0)),0,K357*VLOOKUP($A357,Hypothèses!$D$6:$F$14,3,0))</f>
        <v>0</v>
      </c>
      <c r="AN357" s="1335">
        <f>IF(ISNA(L357*VLOOKUP($A357,Hypothèses!$D$6:$F$14,3,0)),0,L357*VLOOKUP($A357,Hypothèses!$D$6:$F$14,3,0))</f>
        <v>0</v>
      </c>
      <c r="AO357" s="1335">
        <f>IF(ISNA(M357*VLOOKUP($A357,Hypothèses!$D$6:$F$14,3,0)),0,M357*VLOOKUP($A357,Hypothèses!$D$6:$F$14,3,0))</f>
        <v>0</v>
      </c>
      <c r="AP357" s="1335">
        <f>IF(ISNA(N357*VLOOKUP($A357,Hypothèses!$D$6:$F$14,3,0)),0,N357*VLOOKUP($A357,Hypothèses!$D$6:$F$14,3,0))</f>
        <v>0</v>
      </c>
      <c r="AQ357" s="1335">
        <f>IF(ISNA(O357*VLOOKUP($A357,Hypothèses!$D$6:$F$14,3,0)),0,O357*VLOOKUP($A357,Hypothèses!$D$6:$F$14,3,0))</f>
        <v>0</v>
      </c>
      <c r="AR357" s="1335">
        <f>IF(ISNA(P357*VLOOKUP($A357,Hypothèses!$D$6:$F$14,3,0)),0,P357*VLOOKUP($A357,Hypothèses!$D$6:$F$14,3,0))</f>
        <v>0</v>
      </c>
      <c r="AS357" s="1335">
        <f>IF(ISNA(Q357*VLOOKUP($A357,Hypothèses!$D$6:$F$14,3,0)),0,Q357*VLOOKUP($A357,Hypothèses!$D$6:$F$14,3,0))</f>
        <v>0</v>
      </c>
      <c r="AT357" s="1335">
        <f>IF(ISNA(R357*VLOOKUP($A357,Hypothèses!$D$6:$F$14,3,0)),0,R357*VLOOKUP($A357,Hypothèses!$D$6:$F$14,3,0))</f>
        <v>0</v>
      </c>
      <c r="AU357" s="1335">
        <f>IF(ISNA(S357*VLOOKUP($A357,Hypothèses!$D$6:$F$14,3,0)),0,S357*VLOOKUP($A357,Hypothèses!$D$6:$F$14,3,0))</f>
        <v>0</v>
      </c>
      <c r="AV357" s="1335">
        <f>IF(ISNA(T357*VLOOKUP($A357,Hypothèses!$D$6:$F$14,3,0)),0,T357*VLOOKUP($A357,Hypothèses!$D$6:$F$14,3,0))</f>
        <v>0</v>
      </c>
      <c r="AW357" s="1335">
        <f>IF(ISNA(U357*VLOOKUP($A357,Hypothèses!$D$6:$F$14,3,0)),0,U357*VLOOKUP($A357,Hypothèses!$D$6:$F$14,3,0))</f>
        <v>0</v>
      </c>
      <c r="AX357" s="1335">
        <f>IF(ISNA(V357*VLOOKUP($A357,Hypothèses!$D$6:$F$14,3,0)),0,V357*VLOOKUP($A357,Hypothèses!$D$6:$F$14,3,0))</f>
        <v>0</v>
      </c>
      <c r="AY357" s="1335">
        <f>IF(ISNA(W357*VLOOKUP($A357,Hypothèses!$D$6:$F$14,3,0)),0,W357*VLOOKUP($A357,Hypothèses!$D$6:$F$14,3,0))</f>
        <v>0</v>
      </c>
      <c r="AZ357" s="1335">
        <f>IF(ISNA(X357*VLOOKUP($A357,Hypothèses!$D$6:$F$14,3,0)),0,X357*VLOOKUP($A357,Hypothèses!$D$6:$F$14,3,0))</f>
        <v>0</v>
      </c>
      <c r="BA357" s="1335">
        <f>IF(ISNA(Y357*VLOOKUP($A357,Hypothèses!$D$6:$F$14,3,0)),0,Y357*VLOOKUP($A357,Hypothèses!$D$6:$F$14,3,0))</f>
        <v>0</v>
      </c>
      <c r="BB357" s="1335">
        <f>IF(ISNA(Z357*VLOOKUP($A357,Hypothèses!$D$6:$F$14,3,0)),0,Z357*VLOOKUP($A357,Hypothèses!$D$6:$F$14,3,0))</f>
        <v>0</v>
      </c>
      <c r="BC357" s="1335">
        <f>IF(ISNA(AA357*VLOOKUP($A357,Hypothèses!$D$6:$F$14,3,0)),0,AA357*VLOOKUP($A357,Hypothèses!$D$6:$F$14,3,0))</f>
        <v>0</v>
      </c>
    </row>
    <row r="358" spans="1:55">
      <c r="A358" s="1106" t="s">
        <v>97</v>
      </c>
      <c r="B358" s="1337" t="s">
        <v>95</v>
      </c>
      <c r="C358" s="1920"/>
      <c r="D358" s="1921"/>
      <c r="E358" s="1921"/>
      <c r="F358" s="1849"/>
      <c r="G358" s="1843"/>
      <c r="H358" s="1843"/>
      <c r="I358" s="1843"/>
      <c r="J358" s="1843"/>
      <c r="K358" s="1843"/>
      <c r="L358" s="1843"/>
      <c r="M358" s="1843"/>
      <c r="N358" s="1843"/>
      <c r="O358" s="1843"/>
      <c r="P358" s="1843"/>
      <c r="Q358" s="1843"/>
      <c r="R358" s="1843"/>
      <c r="S358" s="1843"/>
      <c r="T358" s="1843"/>
      <c r="U358" s="1843"/>
      <c r="V358" s="1843"/>
      <c r="W358" s="1843"/>
      <c r="X358" s="1843"/>
      <c r="Y358" s="1843"/>
      <c r="Z358" s="1843"/>
      <c r="AA358" s="1844"/>
      <c r="AH358" s="1335">
        <f>IF(ISNA(F358*VLOOKUP("Propane, butane, LPG",Hypothèses!$D$6:$F$14,3,0)),0,F358*VLOOKUP("Propane, butane, LPG",Hypothèses!$D$6:$F$14,3,0))</f>
        <v>0</v>
      </c>
      <c r="AI358" s="1335">
        <f>IF(ISNA(G358*VLOOKUP("Propane, butane, LPG",Hypothèses!$D$6:$F$14,3,0)),0,G358*VLOOKUP("Propane, butane, LPG",Hypothèses!$D$6:$F$14,3,0))</f>
        <v>0</v>
      </c>
      <c r="AJ358" s="1335">
        <f>IF(ISNA(H358*VLOOKUP("Propane, butane, LPG",Hypothèses!$D$6:$F$14,3,0)),0,H358*VLOOKUP("Propane, butane, LPG",Hypothèses!$D$6:$F$14,3,0))</f>
        <v>0</v>
      </c>
      <c r="AK358" s="1335">
        <f>IF(ISNA(I358*VLOOKUP("Propane, butane, LPG",Hypothèses!$D$6:$F$14,3,0)),0,I358*VLOOKUP("Propane, butane, LPG",Hypothèses!$D$6:$F$14,3,0))</f>
        <v>0</v>
      </c>
      <c r="AL358" s="1335">
        <f>IF(ISNA(J358*VLOOKUP("Propane, butane, LPG",Hypothèses!$D$6:$F$14,3,0)),0,J358*VLOOKUP("Propane, butane, LPG",Hypothèses!$D$6:$F$14,3,0))</f>
        <v>0</v>
      </c>
      <c r="AM358" s="1335">
        <f>IF(ISNA(K358*VLOOKUP("Propane, butane, LPG",Hypothèses!$D$6:$F$14,3,0)),0,K358*VLOOKUP("Propane, butane, LPG",Hypothèses!$D$6:$F$14,3,0))</f>
        <v>0</v>
      </c>
      <c r="AN358" s="1335">
        <f>IF(ISNA(L358*VLOOKUP("Propane, butane, LPG",Hypothèses!$D$6:$F$14,3,0)),0,L358*VLOOKUP("Propane, butane, LPG",Hypothèses!$D$6:$F$14,3,0))</f>
        <v>0</v>
      </c>
      <c r="AO358" s="1335">
        <f>IF(ISNA(M358*VLOOKUP("Propane, butane, LPG",Hypothèses!$D$6:$F$14,3,0)),0,M358*VLOOKUP("Propane, butane, LPG",Hypothèses!$D$6:$F$14,3,0))</f>
        <v>0</v>
      </c>
      <c r="AP358" s="1335">
        <f>IF(ISNA(N358*VLOOKUP("Propane, butane, LPG",Hypothèses!$D$6:$F$14,3,0)),0,N358*VLOOKUP("Propane, butane, LPG",Hypothèses!$D$6:$F$14,3,0))</f>
        <v>0</v>
      </c>
      <c r="AQ358" s="1335">
        <f>IF(ISNA(O358*VLOOKUP("Propane, butane, LPG",Hypothèses!$D$6:$F$14,3,0)),0,O358*VLOOKUP("Propane, butane, LPG",Hypothèses!$D$6:$F$14,3,0))</f>
        <v>0</v>
      </c>
      <c r="AR358" s="1335">
        <f>IF(ISNA(P358*VLOOKUP("Propane, butane, LPG",Hypothèses!$D$6:$F$14,3,0)),0,P358*VLOOKUP("Propane, butane, LPG",Hypothèses!$D$6:$F$14,3,0))</f>
        <v>0</v>
      </c>
      <c r="AS358" s="1335">
        <f>IF(ISNA(Q358*VLOOKUP("Propane, butane, LPG",Hypothèses!$D$6:$F$14,3,0)),0,Q358*VLOOKUP("Propane, butane, LPG",Hypothèses!$D$6:$F$14,3,0))</f>
        <v>0</v>
      </c>
      <c r="AT358" s="1335">
        <f>IF(ISNA(R358*VLOOKUP("Propane, butane, LPG",Hypothèses!$D$6:$F$14,3,0)),0,R358*VLOOKUP("Propane, butane, LPG",Hypothèses!$D$6:$F$14,3,0))</f>
        <v>0</v>
      </c>
      <c r="AU358" s="1335">
        <f>IF(ISNA(S358*VLOOKUP("Propane, butane, LPG",Hypothèses!$D$6:$F$14,3,0)),0,S358*VLOOKUP("Propane, butane, LPG",Hypothèses!$D$6:$F$14,3,0))</f>
        <v>0</v>
      </c>
      <c r="AV358" s="1335">
        <f>IF(ISNA(T358*VLOOKUP("Propane, butane, LPG",Hypothèses!$D$6:$F$14,3,0)),0,T358*VLOOKUP("Propane, butane, LPG",Hypothèses!$D$6:$F$14,3,0))</f>
        <v>0</v>
      </c>
      <c r="AW358" s="1335">
        <f>IF(ISNA(U358*VLOOKUP("Propane, butane, LPG",Hypothèses!$D$6:$F$14,3,0)),0,U358*VLOOKUP("Propane, butane, LPG",Hypothèses!$D$6:$F$14,3,0))</f>
        <v>0</v>
      </c>
      <c r="AX358" s="1335">
        <f>IF(ISNA(V358*VLOOKUP("Propane, butane, LPG",Hypothèses!$D$6:$F$14,3,0)),0,V358*VLOOKUP("Propane, butane, LPG",Hypothèses!$D$6:$F$14,3,0))</f>
        <v>0</v>
      </c>
      <c r="AY358" s="1335">
        <f>IF(ISNA(W358*VLOOKUP("Propane, butane, LPG",Hypothèses!$D$6:$F$14,3,0)),0,W358*VLOOKUP("Propane, butane, LPG",Hypothèses!$D$6:$F$14,3,0))</f>
        <v>0</v>
      </c>
      <c r="AZ358" s="1335">
        <f>IF(ISNA(X358*VLOOKUP("Propane, butane, LPG",Hypothèses!$D$6:$F$14,3,0)),0,X358*VLOOKUP("Propane, butane, LPG",Hypothèses!$D$6:$F$14,3,0))</f>
        <v>0</v>
      </c>
      <c r="BA358" s="1335">
        <f>IF(ISNA(Y358*VLOOKUP("Propane, butane, LPG",Hypothèses!$D$6:$F$14,3,0)),0,Y358*VLOOKUP("Propane, butane, LPG",Hypothèses!$D$6:$F$14,3,0))</f>
        <v>0</v>
      </c>
      <c r="BB358" s="1335">
        <f>IF(ISNA(Z358*VLOOKUP("Propane, butane, LPG",Hypothèses!$D$6:$F$14,3,0)),0,Z358*VLOOKUP("Propane, butane, LPG",Hypothèses!$D$6:$F$14,3,0))</f>
        <v>0</v>
      </c>
      <c r="BC358" s="1335">
        <f>IF(ISNA(AA358*VLOOKUP("Propane, butane, LPG",Hypothèses!$D$6:$F$14,3,0)),0,AA358*VLOOKUP("Propane, butane, LPG",Hypothèses!$D$6:$F$14,3,0))</f>
        <v>0</v>
      </c>
    </row>
    <row r="359" spans="1:55">
      <c r="A359" s="1106" t="s">
        <v>98</v>
      </c>
      <c r="B359" s="1337" t="s">
        <v>99</v>
      </c>
      <c r="C359" s="1920"/>
      <c r="D359" s="1921"/>
      <c r="E359" s="1921"/>
      <c r="F359" s="1877"/>
      <c r="G359" s="1846"/>
      <c r="H359" s="1846"/>
      <c r="I359" s="1846"/>
      <c r="J359" s="1846"/>
      <c r="K359" s="1846"/>
      <c r="L359" s="1846"/>
      <c r="M359" s="1846"/>
      <c r="N359" s="1846"/>
      <c r="O359" s="1846"/>
      <c r="P359" s="1846"/>
      <c r="Q359" s="1846"/>
      <c r="R359" s="1846"/>
      <c r="S359" s="1846"/>
      <c r="T359" s="1846"/>
      <c r="U359" s="1846"/>
      <c r="V359" s="1846"/>
      <c r="W359" s="1846"/>
      <c r="X359" s="1846"/>
      <c r="Y359" s="1846"/>
      <c r="Z359" s="1846"/>
      <c r="AA359" s="1847"/>
      <c r="AH359" s="1335">
        <f>IF(ISNA(F359*VLOOKUP("Gaz naturel (m³)",Hypothèses!$D$6:$F$14,3,0)),0,F359*VLOOKUP("Gaz naturel (m³)",Hypothèses!$D$6:$F$14,3,0))</f>
        <v>0</v>
      </c>
      <c r="AI359" s="1335">
        <f>IF(ISNA(G359*VLOOKUP("Gaz naturel (m³)",Hypothèses!$D$6:$F$14,3,0)),0,G359*VLOOKUP("Gaz naturel (m³)",Hypothèses!$D$6:$F$14,3,0))</f>
        <v>0</v>
      </c>
      <c r="AJ359" s="1335">
        <f>IF(ISNA(H359*VLOOKUP("Gaz naturel (m³)",Hypothèses!$D$6:$F$14,3,0)),0,H359*VLOOKUP("Gaz naturel (m³)",Hypothèses!$D$6:$F$14,3,0))</f>
        <v>0</v>
      </c>
      <c r="AK359" s="1335">
        <f>IF(ISNA(I359*VLOOKUP("Gaz naturel (m³)",Hypothèses!$D$6:$F$14,3,0)),0,I359*VLOOKUP("Gaz naturel (m³)",Hypothèses!$D$6:$F$14,3,0))</f>
        <v>0</v>
      </c>
      <c r="AL359" s="1335">
        <f>IF(ISNA(J359*VLOOKUP("Gaz naturel (m³)",Hypothèses!$D$6:$F$14,3,0)),0,J359*VLOOKUP("Gaz naturel (m³)",Hypothèses!$D$6:$F$14,3,0))</f>
        <v>0</v>
      </c>
      <c r="AM359" s="1335">
        <f>IF(ISNA(K359*VLOOKUP("Gaz naturel (m³)",Hypothèses!$D$6:$F$14,3,0)),0,K359*VLOOKUP("Gaz naturel (m³)",Hypothèses!$D$6:$F$14,3,0))</f>
        <v>0</v>
      </c>
      <c r="AN359" s="1335">
        <f>IF(ISNA(L359*VLOOKUP("Gaz naturel (m³)",Hypothèses!$D$6:$F$14,3,0)),0,L359*VLOOKUP("Gaz naturel (m³)",Hypothèses!$D$6:$F$14,3,0))</f>
        <v>0</v>
      </c>
      <c r="AO359" s="1335">
        <f>IF(ISNA(M359*VLOOKUP("Gaz naturel (m³)",Hypothèses!$D$6:$F$14,3,0)),0,M359*VLOOKUP("Gaz naturel (m³)",Hypothèses!$D$6:$F$14,3,0))</f>
        <v>0</v>
      </c>
      <c r="AP359" s="1335">
        <f>IF(ISNA(N359*VLOOKUP("Gaz naturel (m³)",Hypothèses!$D$6:$F$14,3,0)),0,N359*VLOOKUP("Gaz naturel (m³)",Hypothèses!$D$6:$F$14,3,0))</f>
        <v>0</v>
      </c>
      <c r="AQ359" s="1335">
        <f>IF(ISNA(O359*VLOOKUP("Gaz naturel (m³)",Hypothèses!$D$6:$F$14,3,0)),0,O359*VLOOKUP("Gaz naturel (m³)",Hypothèses!$D$6:$F$14,3,0))</f>
        <v>0</v>
      </c>
      <c r="AR359" s="1335">
        <f>IF(ISNA(P359*VLOOKUP("Gaz naturel (m³)",Hypothèses!$D$6:$F$14,3,0)),0,P359*VLOOKUP("Gaz naturel (m³)",Hypothèses!$D$6:$F$14,3,0))</f>
        <v>0</v>
      </c>
      <c r="AS359" s="1335">
        <f>IF(ISNA(Q359*VLOOKUP("Gaz naturel (m³)",Hypothèses!$D$6:$F$14,3,0)),0,Q359*VLOOKUP("Gaz naturel (m³)",Hypothèses!$D$6:$F$14,3,0))</f>
        <v>0</v>
      </c>
      <c r="AT359" s="1335">
        <f>IF(ISNA(R359*VLOOKUP("Gaz naturel (m³)",Hypothèses!$D$6:$F$14,3,0)),0,R359*VLOOKUP("Gaz naturel (m³)",Hypothèses!$D$6:$F$14,3,0))</f>
        <v>0</v>
      </c>
      <c r="AU359" s="1335">
        <f>IF(ISNA(S359*VLOOKUP("Gaz naturel (m³)",Hypothèses!$D$6:$F$14,3,0)),0,S359*VLOOKUP("Gaz naturel (m³)",Hypothèses!$D$6:$F$14,3,0))</f>
        <v>0</v>
      </c>
      <c r="AV359" s="1335">
        <f>IF(ISNA(T359*VLOOKUP("Gaz naturel (m³)",Hypothèses!$D$6:$F$14,3,0)),0,T359*VLOOKUP("Gaz naturel (m³)",Hypothèses!$D$6:$F$14,3,0))</f>
        <v>0</v>
      </c>
      <c r="AW359" s="1335">
        <f>IF(ISNA(U359*VLOOKUP("Gaz naturel (m³)",Hypothèses!$D$6:$F$14,3,0)),0,U359*VLOOKUP("Gaz naturel (m³)",Hypothèses!$D$6:$F$14,3,0))</f>
        <v>0</v>
      </c>
      <c r="AX359" s="1335">
        <f>IF(ISNA(V359*VLOOKUP("Gaz naturel (m³)",Hypothèses!$D$6:$F$14,3,0)),0,V359*VLOOKUP("Gaz naturel (m³)",Hypothèses!$D$6:$F$14,3,0))</f>
        <v>0</v>
      </c>
      <c r="AY359" s="1335">
        <f>IF(ISNA(W359*VLOOKUP("Gaz naturel (m³)",Hypothèses!$D$6:$F$14,3,0)),0,W359*VLOOKUP("Gaz naturel (m³)",Hypothèses!$D$6:$F$14,3,0))</f>
        <v>0</v>
      </c>
      <c r="AZ359" s="1335">
        <f>IF(ISNA(X359*VLOOKUP("Gaz naturel (m³)",Hypothèses!$D$6:$F$14,3,0)),0,X359*VLOOKUP("Gaz naturel (m³)",Hypothèses!$D$6:$F$14,3,0))</f>
        <v>0</v>
      </c>
      <c r="BA359" s="1335">
        <f>IF(ISNA(Y359*VLOOKUP("Gaz naturel (m³)",Hypothèses!$D$6:$F$14,3,0)),0,Y359*VLOOKUP("Gaz naturel (m³)",Hypothèses!$D$6:$F$14,3,0))</f>
        <v>0</v>
      </c>
      <c r="BB359" s="1335">
        <f>IF(ISNA(Z359*VLOOKUP("Gaz naturel (m³)",Hypothèses!$D$6:$F$14,3,0)),0,Z359*VLOOKUP("Gaz naturel (m³)",Hypothèses!$D$6:$F$14,3,0))</f>
        <v>0</v>
      </c>
      <c r="BC359" s="1335">
        <f>IF(ISNA(AA359*VLOOKUP("Gaz naturel (m³)",Hypothèses!$D$6:$F$14,3,0)),0,AA359*VLOOKUP("Gaz naturel (m³)",Hypothèses!$D$6:$F$14,3,0))</f>
        <v>0</v>
      </c>
    </row>
    <row r="362" spans="1:55" ht="18.600000000000001" thickBot="1">
      <c r="A362" s="71" t="s">
        <v>2107</v>
      </c>
    </row>
    <row r="363" spans="1:55" ht="15" thickBot="1">
      <c r="C363" s="1858" t="s">
        <v>3111</v>
      </c>
      <c r="D363" s="1859"/>
      <c r="F363" s="55">
        <v>2006</v>
      </c>
      <c r="G363" s="55">
        <v>2010</v>
      </c>
      <c r="H363" s="55">
        <v>2011</v>
      </c>
      <c r="I363" s="55">
        <v>2012</v>
      </c>
      <c r="J363" s="55">
        <v>2013</v>
      </c>
      <c r="K363" s="55">
        <v>2014</v>
      </c>
      <c r="L363" s="55">
        <v>2015</v>
      </c>
      <c r="M363" s="55">
        <v>2016</v>
      </c>
      <c r="N363" s="55">
        <v>2017</v>
      </c>
      <c r="O363" s="55">
        <v>2018</v>
      </c>
      <c r="P363" s="55">
        <v>2019</v>
      </c>
      <c r="Q363" s="55">
        <v>2020</v>
      </c>
      <c r="R363" s="55">
        <v>2021</v>
      </c>
      <c r="S363" s="55">
        <v>2022</v>
      </c>
      <c r="T363" s="55">
        <v>2023</v>
      </c>
      <c r="U363" s="55">
        <v>2024</v>
      </c>
      <c r="V363" s="55">
        <v>2025</v>
      </c>
      <c r="W363" s="55">
        <v>2026</v>
      </c>
      <c r="X363" s="55">
        <v>2027</v>
      </c>
      <c r="Y363" s="55">
        <v>2028</v>
      </c>
      <c r="Z363" s="55">
        <v>2029</v>
      </c>
      <c r="AA363" s="55">
        <v>2030</v>
      </c>
      <c r="AB363">
        <v>2031</v>
      </c>
      <c r="AC363">
        <v>2032</v>
      </c>
      <c r="AD363">
        <v>2033</v>
      </c>
      <c r="AE363">
        <v>2034</v>
      </c>
      <c r="AF363">
        <v>2035</v>
      </c>
      <c r="AG363">
        <v>2036</v>
      </c>
      <c r="AH363">
        <v>2037</v>
      </c>
      <c r="AI363">
        <v>2038</v>
      </c>
      <c r="AJ363">
        <v>2039</v>
      </c>
      <c r="AK363">
        <v>2040</v>
      </c>
      <c r="AL363">
        <v>2041</v>
      </c>
      <c r="AM363">
        <v>2042</v>
      </c>
      <c r="AN363">
        <v>2043</v>
      </c>
      <c r="AO363">
        <v>2044</v>
      </c>
      <c r="AP363">
        <v>2045</v>
      </c>
      <c r="AQ363">
        <v>2046</v>
      </c>
      <c r="AR363">
        <v>2047</v>
      </c>
      <c r="AS363">
        <v>2048</v>
      </c>
      <c r="AT363">
        <v>2049</v>
      </c>
      <c r="AU363">
        <v>2050</v>
      </c>
      <c r="AV363">
        <v>2051</v>
      </c>
      <c r="AW363">
        <v>2052</v>
      </c>
      <c r="AX363">
        <v>2053</v>
      </c>
      <c r="AY363">
        <v>2054</v>
      </c>
      <c r="AZ363">
        <v>2055</v>
      </c>
      <c r="BA363">
        <v>2056</v>
      </c>
      <c r="BB363">
        <v>2057</v>
      </c>
      <c r="BC363">
        <v>2058</v>
      </c>
    </row>
    <row r="364" spans="1:55" ht="15" thickBot="1">
      <c r="F364" s="1829" t="s">
        <v>119</v>
      </c>
      <c r="G364" s="1642" t="s">
        <v>120</v>
      </c>
      <c r="H364" s="1642" t="s">
        <v>121</v>
      </c>
      <c r="I364" s="1642" t="s">
        <v>122</v>
      </c>
      <c r="J364" s="1642" t="s">
        <v>123</v>
      </c>
      <c r="K364" s="1642" t="s">
        <v>124</v>
      </c>
      <c r="L364" s="1642" t="s">
        <v>125</v>
      </c>
      <c r="M364" s="1642" t="s">
        <v>126</v>
      </c>
      <c r="N364" s="1642" t="s">
        <v>127</v>
      </c>
      <c r="O364" s="1642" t="s">
        <v>128</v>
      </c>
      <c r="P364" s="1642" t="s">
        <v>129</v>
      </c>
      <c r="Q364" s="1642" t="s">
        <v>130</v>
      </c>
      <c r="R364" s="1642" t="s">
        <v>131</v>
      </c>
      <c r="S364" s="1642" t="s">
        <v>132</v>
      </c>
      <c r="T364" s="1642" t="s">
        <v>133</v>
      </c>
      <c r="U364" s="1642" t="s">
        <v>134</v>
      </c>
      <c r="V364" s="1642" t="s">
        <v>135</v>
      </c>
      <c r="W364" s="1642" t="s">
        <v>136</v>
      </c>
      <c r="X364" s="1642" t="s">
        <v>137</v>
      </c>
      <c r="Y364" s="1642" t="s">
        <v>138</v>
      </c>
      <c r="Z364" s="1642" t="s">
        <v>139</v>
      </c>
      <c r="AA364" s="1642" t="s">
        <v>140</v>
      </c>
      <c r="AB364" t="s">
        <v>3110</v>
      </c>
    </row>
    <row r="365" spans="1:55">
      <c r="A365" s="55"/>
      <c r="B365" s="1904" t="s">
        <v>2111</v>
      </c>
      <c r="C365" s="1909" t="s">
        <v>2109</v>
      </c>
      <c r="D365" s="1910"/>
      <c r="E365" s="1911"/>
      <c r="F365" s="1850"/>
      <c r="G365" s="1851"/>
      <c r="H365" s="1851"/>
      <c r="I365" s="1851"/>
      <c r="J365" s="1851"/>
      <c r="K365" s="1851"/>
      <c r="L365" s="1851"/>
      <c r="M365" s="1851"/>
      <c r="N365" s="1851"/>
      <c r="O365" s="1851"/>
      <c r="P365" s="1851"/>
      <c r="Q365" s="1851"/>
      <c r="R365" s="1851"/>
      <c r="S365" s="1851"/>
      <c r="T365" s="1851"/>
      <c r="U365" s="1851"/>
      <c r="V365" s="1851"/>
      <c r="W365" s="1851"/>
      <c r="X365" s="1851"/>
      <c r="Y365" s="1851"/>
      <c r="Z365" s="1851"/>
      <c r="AA365" s="1852"/>
    </row>
    <row r="366" spans="1:55" ht="15" thickBot="1">
      <c r="A366" s="55">
        <f>'Potentiel EnR'!B22</f>
        <v>950</v>
      </c>
      <c r="B366" s="1905"/>
      <c r="C366" s="1906" t="s">
        <v>2110</v>
      </c>
      <c r="D366" s="1907"/>
      <c r="E366" s="1908"/>
      <c r="F366" s="1853">
        <v>0</v>
      </c>
      <c r="G366" s="1854">
        <v>0</v>
      </c>
      <c r="H366" s="1854">
        <v>0</v>
      </c>
      <c r="I366" s="1854">
        <v>0</v>
      </c>
      <c r="J366" s="1854">
        <v>0</v>
      </c>
      <c r="K366" s="1854">
        <v>0</v>
      </c>
      <c r="L366" s="1854">
        <v>0</v>
      </c>
      <c r="M366" s="1854">
        <v>0</v>
      </c>
      <c r="N366" s="1854">
        <v>0</v>
      </c>
      <c r="O366" s="1854">
        <v>0</v>
      </c>
      <c r="P366" s="1854">
        <v>0</v>
      </c>
      <c r="Q366" s="1854">
        <v>0</v>
      </c>
      <c r="R366" s="1854">
        <v>0</v>
      </c>
      <c r="S366" s="1854">
        <v>0</v>
      </c>
      <c r="T366" s="1854">
        <v>0</v>
      </c>
      <c r="U366" s="1854">
        <v>0</v>
      </c>
      <c r="V366" s="1854">
        <v>0</v>
      </c>
      <c r="W366" s="1854">
        <v>0</v>
      </c>
      <c r="X366" s="1854">
        <v>0</v>
      </c>
      <c r="Y366" s="1854">
        <v>0</v>
      </c>
      <c r="Z366" s="1854">
        <v>0</v>
      </c>
      <c r="AA366" s="1855">
        <v>0</v>
      </c>
    </row>
    <row r="367" spans="1:55" ht="15" hidden="1" thickBot="1">
      <c r="A367" s="55"/>
      <c r="B367" s="1643"/>
      <c r="C367" s="1685"/>
      <c r="D367" s="1644"/>
      <c r="E367" s="1644"/>
      <c r="F367" s="1856">
        <f>F365*$A366</f>
        <v>0</v>
      </c>
      <c r="G367" s="1857">
        <f t="shared" ref="G367:AA367" si="0">G365*$A366</f>
        <v>0</v>
      </c>
      <c r="H367" s="1857">
        <f t="shared" si="0"/>
        <v>0</v>
      </c>
      <c r="I367" s="1857">
        <f t="shared" si="0"/>
        <v>0</v>
      </c>
      <c r="J367" s="1857">
        <f t="shared" si="0"/>
        <v>0</v>
      </c>
      <c r="K367" s="1857">
        <f t="shared" si="0"/>
        <v>0</v>
      </c>
      <c r="L367" s="1857">
        <f t="shared" si="0"/>
        <v>0</v>
      </c>
      <c r="M367" s="1857">
        <f t="shared" si="0"/>
        <v>0</v>
      </c>
      <c r="N367" s="1857">
        <f t="shared" si="0"/>
        <v>0</v>
      </c>
      <c r="O367" s="1857">
        <f t="shared" si="0"/>
        <v>0</v>
      </c>
      <c r="P367" s="1857">
        <f t="shared" si="0"/>
        <v>0</v>
      </c>
      <c r="Q367" s="1857">
        <f t="shared" si="0"/>
        <v>0</v>
      </c>
      <c r="R367" s="1857">
        <f t="shared" si="0"/>
        <v>0</v>
      </c>
      <c r="S367" s="1857">
        <f t="shared" si="0"/>
        <v>0</v>
      </c>
      <c r="T367" s="1857">
        <f t="shared" si="0"/>
        <v>0</v>
      </c>
      <c r="U367" s="1857">
        <f t="shared" si="0"/>
        <v>0</v>
      </c>
      <c r="V367" s="1857">
        <f t="shared" si="0"/>
        <v>0</v>
      </c>
      <c r="W367" s="1857">
        <f t="shared" si="0"/>
        <v>0</v>
      </c>
      <c r="X367" s="1857">
        <f t="shared" si="0"/>
        <v>0</v>
      </c>
      <c r="Y367" s="1857">
        <f t="shared" si="0"/>
        <v>0</v>
      </c>
      <c r="Z367" s="1857">
        <f t="shared" si="0"/>
        <v>0</v>
      </c>
      <c r="AA367" s="1857">
        <f t="shared" si="0"/>
        <v>0</v>
      </c>
    </row>
    <row r="368" spans="1:55" ht="13.95" customHeight="1">
      <c r="A368" s="55"/>
      <c r="B368" s="1904" t="s">
        <v>2108</v>
      </c>
      <c r="C368" s="1909" t="s">
        <v>2109</v>
      </c>
      <c r="D368" s="1910"/>
      <c r="E368" s="1911"/>
      <c r="F368" s="1850"/>
      <c r="G368" s="1851"/>
      <c r="H368" s="1851"/>
      <c r="I368" s="1851"/>
      <c r="J368" s="1851"/>
      <c r="K368" s="1851"/>
      <c r="L368" s="1851"/>
      <c r="M368" s="1851"/>
      <c r="N368" s="1851"/>
      <c r="O368" s="1851"/>
      <c r="P368" s="1851"/>
      <c r="Q368" s="1851"/>
      <c r="R368" s="1851"/>
      <c r="S368" s="1851"/>
      <c r="T368" s="1851"/>
      <c r="U368" s="1851"/>
      <c r="V368" s="1851"/>
      <c r="W368" s="1851"/>
      <c r="X368" s="1851"/>
      <c r="Y368" s="1851"/>
      <c r="Z368" s="1851"/>
      <c r="AA368" s="1852"/>
    </row>
    <row r="369" spans="1:27" ht="13.95" customHeight="1" thickBot="1">
      <c r="A369" s="55">
        <v>800</v>
      </c>
      <c r="B369" s="1905"/>
      <c r="C369" s="1906" t="s">
        <v>2110</v>
      </c>
      <c r="D369" s="1907"/>
      <c r="E369" s="1908"/>
      <c r="F369" s="1853">
        <v>0</v>
      </c>
      <c r="G369" s="1854">
        <v>0</v>
      </c>
      <c r="H369" s="1854">
        <v>0</v>
      </c>
      <c r="I369" s="1854">
        <v>0</v>
      </c>
      <c r="J369" s="1854">
        <v>0</v>
      </c>
      <c r="K369" s="1854">
        <v>0</v>
      </c>
      <c r="L369" s="1854">
        <v>0</v>
      </c>
      <c r="M369" s="1854">
        <v>0</v>
      </c>
      <c r="N369" s="1854">
        <v>0</v>
      </c>
      <c r="O369" s="1854">
        <v>0</v>
      </c>
      <c r="P369" s="1854">
        <v>0</v>
      </c>
      <c r="Q369" s="1854">
        <v>0</v>
      </c>
      <c r="R369" s="1854">
        <v>0</v>
      </c>
      <c r="S369" s="1854">
        <v>0</v>
      </c>
      <c r="T369" s="1854">
        <v>0</v>
      </c>
      <c r="U369" s="1854">
        <v>0</v>
      </c>
      <c r="V369" s="1854">
        <v>0</v>
      </c>
      <c r="W369" s="1854">
        <v>0</v>
      </c>
      <c r="X369" s="1854">
        <v>0</v>
      </c>
      <c r="Y369" s="1854">
        <v>0</v>
      </c>
      <c r="Z369" s="1854">
        <v>0</v>
      </c>
      <c r="AA369" s="1855">
        <v>0</v>
      </c>
    </row>
    <row r="370" spans="1:27" ht="13.95" hidden="1" customHeight="1" thickBot="1">
      <c r="A370" s="55"/>
      <c r="B370" s="1643"/>
      <c r="C370" s="1685"/>
      <c r="D370" s="1644"/>
      <c r="E370" s="1644"/>
      <c r="F370" s="1856">
        <f>F368*$A369</f>
        <v>0</v>
      </c>
      <c r="G370" s="1857">
        <f t="shared" ref="G370" si="1">G368*$A369</f>
        <v>0</v>
      </c>
      <c r="H370" s="1857">
        <f t="shared" ref="H370" si="2">H368*$A369</f>
        <v>0</v>
      </c>
      <c r="I370" s="1857">
        <f t="shared" ref="I370" si="3">I368*$A369</f>
        <v>0</v>
      </c>
      <c r="J370" s="1857">
        <f t="shared" ref="J370" si="4">J368*$A369</f>
        <v>0</v>
      </c>
      <c r="K370" s="1857">
        <f t="shared" ref="K370" si="5">K368*$A369</f>
        <v>0</v>
      </c>
      <c r="L370" s="1857">
        <f t="shared" ref="L370" si="6">L368*$A369</f>
        <v>0</v>
      </c>
      <c r="M370" s="1857">
        <f t="shared" ref="M370" si="7">M368*$A369</f>
        <v>0</v>
      </c>
      <c r="N370" s="1857">
        <f t="shared" ref="N370" si="8">N368*$A369</f>
        <v>0</v>
      </c>
      <c r="O370" s="1857">
        <f t="shared" ref="O370" si="9">O368*$A369</f>
        <v>0</v>
      </c>
      <c r="P370" s="1857">
        <f t="shared" ref="P370" si="10">P368*$A369</f>
        <v>0</v>
      </c>
      <c r="Q370" s="1857">
        <f t="shared" ref="Q370" si="11">Q368*$A369</f>
        <v>0</v>
      </c>
      <c r="R370" s="1857">
        <f t="shared" ref="R370" si="12">R368*$A369</f>
        <v>0</v>
      </c>
      <c r="S370" s="1857">
        <f t="shared" ref="S370" si="13">S368*$A369</f>
        <v>0</v>
      </c>
      <c r="T370" s="1857">
        <f t="shared" ref="T370" si="14">T368*$A369</f>
        <v>0</v>
      </c>
      <c r="U370" s="1857">
        <f t="shared" ref="U370" si="15">U368*$A369</f>
        <v>0</v>
      </c>
      <c r="V370" s="1857">
        <f t="shared" ref="V370" si="16">V368*$A369</f>
        <v>0</v>
      </c>
      <c r="W370" s="1857">
        <f t="shared" ref="W370" si="17">W368*$A369</f>
        <v>0</v>
      </c>
      <c r="X370" s="1857">
        <f t="shared" ref="X370" si="18">X368*$A369</f>
        <v>0</v>
      </c>
      <c r="Y370" s="1857">
        <f t="shared" ref="Y370" si="19">Y368*$A369</f>
        <v>0</v>
      </c>
      <c r="Z370" s="1857">
        <f t="shared" ref="Z370" si="20">Z368*$A369</f>
        <v>0</v>
      </c>
      <c r="AA370" s="1857">
        <f t="shared" ref="AA370" si="21">AA368*$A369</f>
        <v>0</v>
      </c>
    </row>
    <row r="371" spans="1:27">
      <c r="A371" s="55"/>
      <c r="B371" s="1904" t="s">
        <v>323</v>
      </c>
      <c r="C371" s="1909" t="s">
        <v>2109</v>
      </c>
      <c r="D371" s="1910"/>
      <c r="E371" s="1911"/>
      <c r="F371" s="1850"/>
      <c r="G371" s="1851"/>
      <c r="H371" s="1851"/>
      <c r="I371" s="1851"/>
      <c r="J371" s="1851"/>
      <c r="K371" s="1851"/>
      <c r="L371" s="1851"/>
      <c r="M371" s="1851"/>
      <c r="N371" s="1851"/>
      <c r="O371" s="1851"/>
      <c r="P371" s="1851"/>
      <c r="Q371" s="1851"/>
      <c r="R371" s="1851"/>
      <c r="S371" s="1851"/>
      <c r="T371" s="1851"/>
      <c r="U371" s="1851"/>
      <c r="V371" s="1851"/>
      <c r="W371" s="1851"/>
      <c r="X371" s="1851"/>
      <c r="Y371" s="1851"/>
      <c r="Z371" s="1851"/>
      <c r="AA371" s="1852"/>
    </row>
    <row r="372" spans="1:27" ht="15" thickBot="1">
      <c r="A372" s="1645">
        <f>'Potentiel EnR'!B17</f>
        <v>3300</v>
      </c>
      <c r="B372" s="1905"/>
      <c r="C372" s="1906" t="s">
        <v>2110</v>
      </c>
      <c r="D372" s="1907"/>
      <c r="E372" s="1908"/>
      <c r="F372" s="1853">
        <v>0</v>
      </c>
      <c r="G372" s="1854">
        <v>0</v>
      </c>
      <c r="H372" s="1854">
        <v>0</v>
      </c>
      <c r="I372" s="1854">
        <v>0</v>
      </c>
      <c r="J372" s="1854">
        <v>0</v>
      </c>
      <c r="K372" s="1854">
        <v>0</v>
      </c>
      <c r="L372" s="1854">
        <v>0</v>
      </c>
      <c r="M372" s="1854">
        <v>0</v>
      </c>
      <c r="N372" s="1854">
        <v>0</v>
      </c>
      <c r="O372" s="1854">
        <v>0</v>
      </c>
      <c r="P372" s="1854">
        <v>0</v>
      </c>
      <c r="Q372" s="1854">
        <v>0</v>
      </c>
      <c r="R372" s="1854">
        <v>0</v>
      </c>
      <c r="S372" s="1854">
        <v>0</v>
      </c>
      <c r="T372" s="1854">
        <v>0</v>
      </c>
      <c r="U372" s="1854">
        <v>0</v>
      </c>
      <c r="V372" s="1854">
        <v>0</v>
      </c>
      <c r="W372" s="1854">
        <v>0</v>
      </c>
      <c r="X372" s="1854">
        <v>0</v>
      </c>
      <c r="Y372" s="1854">
        <v>0</v>
      </c>
      <c r="Z372" s="1854">
        <v>0</v>
      </c>
      <c r="AA372" s="1855">
        <v>0</v>
      </c>
    </row>
    <row r="373" spans="1:27" hidden="1">
      <c r="F373" s="1656">
        <f>F371*$A372</f>
        <v>0</v>
      </c>
      <c r="G373" s="1656">
        <f t="shared" ref="G373" si="22">G371*$A372</f>
        <v>0</v>
      </c>
      <c r="H373" s="1656">
        <f t="shared" ref="H373" si="23">H371*$A372</f>
        <v>0</v>
      </c>
      <c r="I373" s="1656">
        <f t="shared" ref="I373" si="24">I371*$A372</f>
        <v>0</v>
      </c>
      <c r="J373" s="1656">
        <f t="shared" ref="J373" si="25">J371*$A372</f>
        <v>0</v>
      </c>
      <c r="K373" s="1656">
        <f t="shared" ref="K373" si="26">K371*$A372</f>
        <v>0</v>
      </c>
      <c r="L373" s="1656">
        <f t="shared" ref="L373" si="27">L371*$A372</f>
        <v>0</v>
      </c>
      <c r="M373" s="1656">
        <f t="shared" ref="M373" si="28">M371*$A372</f>
        <v>0</v>
      </c>
      <c r="N373" s="1656">
        <f t="shared" ref="N373" si="29">N371*$A372</f>
        <v>0</v>
      </c>
      <c r="O373" s="1656">
        <f t="shared" ref="O373" si="30">O371*$A372</f>
        <v>0</v>
      </c>
      <c r="P373" s="1656">
        <f t="shared" ref="P373" si="31">P371*$A372</f>
        <v>0</v>
      </c>
      <c r="Q373" s="1656">
        <f t="shared" ref="Q373" si="32">Q371*$A372</f>
        <v>0</v>
      </c>
      <c r="R373" s="1656">
        <f t="shared" ref="R373" si="33">R371*$A372</f>
        <v>0</v>
      </c>
      <c r="S373" s="1656">
        <f t="shared" ref="S373" si="34">S371*$A372</f>
        <v>0</v>
      </c>
      <c r="T373" s="1656">
        <f t="shared" ref="T373" si="35">T371*$A372</f>
        <v>0</v>
      </c>
      <c r="U373" s="1656">
        <f t="shared" ref="U373" si="36">U371*$A372</f>
        <v>0</v>
      </c>
      <c r="V373" s="1656">
        <f t="shared" ref="V373" si="37">V371*$A372</f>
        <v>0</v>
      </c>
      <c r="W373" s="1656">
        <f t="shared" ref="W373" si="38">W371*$A372</f>
        <v>0</v>
      </c>
      <c r="X373" s="1656">
        <f t="shared" ref="X373" si="39">X371*$A372</f>
        <v>0</v>
      </c>
      <c r="Y373" s="1656">
        <f t="shared" ref="Y373" si="40">Y371*$A372</f>
        <v>0</v>
      </c>
      <c r="Z373" s="1656">
        <f t="shared" ref="Z373" si="41">Z371*$A372</f>
        <v>0</v>
      </c>
      <c r="AA373" s="1656">
        <f t="shared" ref="AA373" si="42">AA371*$A372</f>
        <v>0</v>
      </c>
    </row>
  </sheetData>
  <sheetProtection algorithmName="SHA-512" hashValue="0+dmslWOTaEtnak1YHHhFdWhLqilBaCr5AbA4cyAbX9yGFb4Jz+7QZBISRKk9QRTO82LI/OTSmyuzC4sQ0sCGg==" saltValue="NqQT0eOrdlxH2Ruz8WKIuQ==" spinCount="100000" sheet="1" objects="1" scenarios="1" formatColumns="0" formatRows="0"/>
  <mergeCells count="19">
    <mergeCell ref="C355:E355"/>
    <mergeCell ref="C356:E356"/>
    <mergeCell ref="C357:E357"/>
    <mergeCell ref="C358:E358"/>
    <mergeCell ref="C359:E359"/>
    <mergeCell ref="J2:N2"/>
    <mergeCell ref="J3:N3"/>
    <mergeCell ref="B349:E349"/>
    <mergeCell ref="B350:E350"/>
    <mergeCell ref="C354:E354"/>
    <mergeCell ref="B365:B366"/>
    <mergeCell ref="B368:B369"/>
    <mergeCell ref="B371:B372"/>
    <mergeCell ref="C369:E369"/>
    <mergeCell ref="C371:E371"/>
    <mergeCell ref="C372:E372"/>
    <mergeCell ref="C365:E365"/>
    <mergeCell ref="C366:E366"/>
    <mergeCell ref="C368:E368"/>
  </mergeCells>
  <phoneticPr fontId="188" type="noConversion"/>
  <dataValidations count="8">
    <dataValidation type="whole" operator="greaterThan" allowBlank="1" showInputMessage="1" showErrorMessage="1" sqref="AC162:AG311 AC8:AF157" xr:uid="{00000000-0002-0000-0200-000000000000}">
      <formula1>0</formula1>
    </dataValidation>
    <dataValidation type="list" allowBlank="1" showInputMessage="1" showErrorMessage="1" sqref="D8:D157" xr:uid="{00000000-0002-0000-0200-000001000000}">
      <formula1>v</formula1>
    </dataValidation>
    <dataValidation type="list" operator="greaterThan" allowBlank="1" showInputMessage="1" showErrorMessage="1" sqref="AB162:AB311 AB8:AB157" xr:uid="{00000000-0002-0000-0200-000002000000}">
      <formula1>Branches</formula1>
    </dataValidation>
    <dataValidation type="decimal" operator="greaterThan" allowBlank="1" showInputMessage="1" showErrorMessage="1" sqref="F350:AA350 F8:AA157 F162:AA311 F316:AA345 F355:AA359 F365:AA372" xr:uid="{00000000-0002-0000-0200-000003000000}">
      <formula1>0</formula1>
    </dataValidation>
    <dataValidation operator="greaterThan" allowBlank="1" showInputMessage="1" showErrorMessage="1" sqref="AH8:BC157 AH355:BC359 AB316:AB345 F373:AA373" xr:uid="{00000000-0002-0000-0200-000004000000}"/>
    <dataValidation type="list" allowBlank="1" showInputMessage="1" showErrorMessage="1" sqref="N5" xr:uid="{DA808382-4E13-4CE9-AAD1-8225030ED4EC}">
      <formula1>Choix</formula1>
    </dataValidation>
    <dataValidation type="list" allowBlank="1" showInputMessage="1" showErrorMessage="1" sqref="C8:C157 C162:E311" xr:uid="{7D9D5DB3-7A40-4B85-9B41-796E6BC87DD7}">
      <formula1>Liste_batiments</formula1>
    </dataValidation>
    <dataValidation type="list" allowBlank="1" showInputMessage="1" showErrorMessage="1" sqref="D363" xr:uid="{624EF8B2-4433-4BC3-AE7F-C18E97C78CB9}">
      <formula1>"Réelles,Estimées"</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5" r:id="rId3" name="Button 3">
              <controlPr defaultSize="0" print="0" autoFill="0" autoPict="0" macro="[0]!Estimer_Prod">
                <anchor moveWithCells="1" sizeWithCells="1">
                  <from>
                    <xdr:col>0</xdr:col>
                    <xdr:colOff>38100</xdr:colOff>
                    <xdr:row>364</xdr:row>
                    <xdr:rowOff>0</xdr:rowOff>
                  </from>
                  <to>
                    <xdr:col>0</xdr:col>
                    <xdr:colOff>1249680</xdr:colOff>
                    <xdr:row>372</xdr:row>
                    <xdr:rowOff>0</xdr:rowOff>
                  </to>
                </anchor>
              </controlPr>
            </control>
          </mc:Choice>
        </mc:AlternateContent>
      </controls>
    </mc:Choice>
  </mc:AlternateContent>
  <tableParts count="6">
    <tablePart r:id="rId4"/>
    <tablePart r:id="rId5"/>
    <tablePart r:id="rId6"/>
    <tablePart r:id="rId7"/>
    <tablePart r:id="rId8"/>
    <tablePart r:id="rId9"/>
  </tableParts>
  <extLst>
    <ext xmlns:x14="http://schemas.microsoft.com/office/spreadsheetml/2009/9/main" uri="{78C0D931-6437-407d-A8EE-F0AAD7539E65}">
      <x14:conditionalFormattings>
        <x14:conditionalFormatting xmlns:xm="http://schemas.microsoft.com/office/excel/2006/main">
          <x14:cfRule type="expression" priority="6" id="{5F10A6DE-D7A9-472F-A86A-075D7312E199}">
            <xm:f>Accueil!$E$29=G$7</xm:f>
            <x14:dxf>
              <fill>
                <patternFill>
                  <bgColor theme="8" tint="0.59996337778862885"/>
                </patternFill>
              </fill>
            </x14:dxf>
          </x14:cfRule>
          <xm:sqref>G8:AA157</xm:sqref>
        </x14:conditionalFormatting>
        <x14:conditionalFormatting xmlns:xm="http://schemas.microsoft.com/office/excel/2006/main">
          <x14:cfRule type="expression" priority="5" id="{3DE4B727-A6E9-4F61-9D69-9170C6EAC0E3}">
            <xm:f>Accueil!$E$29=G$7</xm:f>
            <x14:dxf>
              <fill>
                <patternFill>
                  <bgColor theme="8" tint="0.59996337778862885"/>
                </patternFill>
              </fill>
            </x14:dxf>
          </x14:cfRule>
          <xm:sqref>G162:AA311</xm:sqref>
        </x14:conditionalFormatting>
        <x14:conditionalFormatting xmlns:xm="http://schemas.microsoft.com/office/excel/2006/main">
          <x14:cfRule type="expression" priority="4" id="{26EF529E-067C-4CB1-AF9A-F846CE6EC95D}">
            <xm:f>Accueil!$E$29=G$7</xm:f>
            <x14:dxf>
              <fill>
                <patternFill>
                  <bgColor theme="8" tint="0.59996337778862885"/>
                </patternFill>
              </fill>
            </x14:dxf>
          </x14:cfRule>
          <xm:sqref>G316:AA345</xm:sqref>
        </x14:conditionalFormatting>
        <x14:conditionalFormatting xmlns:xm="http://schemas.microsoft.com/office/excel/2006/main">
          <x14:cfRule type="expression" priority="3" id="{A490D2A4-D382-4969-AD63-DF1CB16FA5E3}">
            <xm:f>Accueil!$E$29=G$7</xm:f>
            <x14:dxf>
              <fill>
                <patternFill>
                  <bgColor theme="8" tint="0.59996337778862885"/>
                </patternFill>
              </fill>
            </x14:dxf>
          </x14:cfRule>
          <xm:sqref>G350:AA350</xm:sqref>
        </x14:conditionalFormatting>
        <x14:conditionalFormatting xmlns:xm="http://schemas.microsoft.com/office/excel/2006/main">
          <x14:cfRule type="expression" priority="2" id="{81D02A69-104B-4E98-9290-3248195E54AF}">
            <xm:f>Accueil!$E$29=G$7</xm:f>
            <x14:dxf>
              <fill>
                <patternFill>
                  <bgColor theme="8" tint="0.59996337778862885"/>
                </patternFill>
              </fill>
            </x14:dxf>
          </x14:cfRule>
          <xm:sqref>G355:AA359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9">
    <tabColor theme="8" tint="-0.499984740745262"/>
  </sheetPr>
  <dimension ref="A1:AL173"/>
  <sheetViews>
    <sheetView showGridLines="0" zoomScale="90" zoomScaleNormal="90" workbookViewId="0">
      <pane xSplit="10" ySplit="12" topLeftCell="AC13" activePane="bottomRight" state="frozen"/>
      <selection pane="topRight" activeCell="D90" sqref="D90"/>
      <selection pane="bottomLeft" activeCell="D90" sqref="D90"/>
      <selection pane="bottomRight" activeCell="AC7" sqref="AC7"/>
    </sheetView>
  </sheetViews>
  <sheetFormatPr baseColWidth="10" defaultColWidth="11.5546875" defaultRowHeight="13.8"/>
  <cols>
    <col min="1" max="1" width="47.109375" style="550" bestFit="1" customWidth="1"/>
    <col min="2" max="2" width="13.44140625" style="550" bestFit="1" customWidth="1"/>
    <col min="3" max="3" width="11.109375" style="550" bestFit="1" customWidth="1"/>
    <col min="4" max="4" width="22.5546875" style="550" customWidth="1"/>
    <col min="5" max="5" width="13.44140625" style="550" bestFit="1" customWidth="1"/>
    <col min="6" max="6" width="37.44140625" style="550" customWidth="1"/>
    <col min="7" max="8" width="8.5546875" style="550" hidden="1" customWidth="1"/>
    <col min="9" max="10" width="10.44140625" style="550" hidden="1" customWidth="1"/>
    <col min="11" max="32" width="20.44140625" style="550" bestFit="1" customWidth="1"/>
    <col min="33" max="16384" width="11.5546875" style="550"/>
  </cols>
  <sheetData>
    <row r="1" spans="1:33" s="551" customFormat="1" ht="66" customHeight="1"/>
    <row r="2" spans="1:33" ht="68.25" customHeight="1"/>
    <row r="3" spans="1:33" ht="28.8">
      <c r="A3" s="255" t="s">
        <v>100</v>
      </c>
      <c r="B3" s="567"/>
      <c r="C3" s="567"/>
    </row>
    <row r="4" spans="1:33" ht="15.6">
      <c r="A4" s="567"/>
      <c r="B4" s="1922"/>
      <c r="C4" s="1922"/>
      <c r="F4" s="573" t="s">
        <v>101</v>
      </c>
    </row>
    <row r="5" spans="1:33" ht="14.4">
      <c r="A5" s="1923" t="s">
        <v>102</v>
      </c>
      <c r="B5" s="1923"/>
      <c r="C5" s="1923"/>
      <c r="D5" s="1923"/>
      <c r="E5" s="571"/>
      <c r="F5" s="332" t="s">
        <v>103</v>
      </c>
      <c r="G5" s="1924"/>
      <c r="H5" s="1925"/>
      <c r="I5" s="1925"/>
      <c r="J5" s="1926"/>
      <c r="K5" s="568">
        <v>2006</v>
      </c>
      <c r="L5" s="568">
        <v>2010</v>
      </c>
      <c r="M5" s="568">
        <v>2011</v>
      </c>
      <c r="N5" s="568">
        <v>2012</v>
      </c>
      <c r="O5" s="568">
        <v>2013</v>
      </c>
      <c r="P5" s="568">
        <v>2014</v>
      </c>
      <c r="Q5" s="568">
        <v>2015</v>
      </c>
      <c r="R5" s="568">
        <v>2016</v>
      </c>
      <c r="S5" s="568">
        <v>2017</v>
      </c>
      <c r="T5" s="568">
        <v>2018</v>
      </c>
      <c r="U5" s="568">
        <v>2019</v>
      </c>
      <c r="V5" s="568">
        <v>2020</v>
      </c>
      <c r="W5" s="568">
        <v>2021</v>
      </c>
      <c r="X5" s="568">
        <v>2022</v>
      </c>
      <c r="Y5" s="568">
        <v>2023</v>
      </c>
      <c r="Z5" s="568">
        <v>2024</v>
      </c>
      <c r="AA5" s="568">
        <v>2025</v>
      </c>
      <c r="AB5" s="568">
        <v>2026</v>
      </c>
      <c r="AC5" s="568">
        <v>2027</v>
      </c>
      <c r="AD5" s="568">
        <v>2028</v>
      </c>
      <c r="AE5" s="568">
        <v>2029</v>
      </c>
      <c r="AF5" s="568">
        <v>2030</v>
      </c>
      <c r="AG5" s="571"/>
    </row>
    <row r="6" spans="1:33" ht="14.4">
      <c r="A6" s="1923"/>
      <c r="B6" s="1923"/>
      <c r="C6" s="1923"/>
      <c r="D6" s="1923"/>
      <c r="E6" s="572"/>
      <c r="F6" s="569" t="s">
        <v>104</v>
      </c>
      <c r="G6" s="1927"/>
      <c r="H6" s="1928"/>
      <c r="I6" s="1928"/>
      <c r="J6" s="1929"/>
      <c r="K6" s="570"/>
      <c r="L6" s="570"/>
      <c r="M6" s="570"/>
      <c r="N6" s="570"/>
      <c r="O6" s="570"/>
      <c r="P6" s="570"/>
      <c r="Q6" s="570"/>
      <c r="R6" s="570"/>
      <c r="S6" s="570"/>
      <c r="T6" s="570"/>
      <c r="U6" s="570"/>
      <c r="V6" s="570"/>
      <c r="W6" s="570"/>
      <c r="X6" s="570"/>
      <c r="Y6" s="570"/>
      <c r="Z6" s="570"/>
      <c r="AA6" s="570"/>
      <c r="AB6" s="570"/>
      <c r="AC6" s="570"/>
      <c r="AD6" s="570"/>
      <c r="AE6" s="570"/>
      <c r="AF6" s="570"/>
      <c r="AG6" s="572"/>
    </row>
    <row r="7" spans="1:33" ht="14.4">
      <c r="A7" s="1923"/>
      <c r="B7" s="1923"/>
      <c r="C7" s="1923"/>
      <c r="D7" s="1923"/>
      <c r="E7" s="572"/>
      <c r="F7" s="569" t="s">
        <v>105</v>
      </c>
      <c r="G7" s="1927"/>
      <c r="H7" s="1928"/>
      <c r="I7" s="1928"/>
      <c r="J7" s="1929"/>
      <c r="K7" s="570"/>
      <c r="L7" s="570"/>
      <c r="M7" s="570"/>
      <c r="N7" s="570"/>
      <c r="O7" s="570"/>
      <c r="P7" s="570"/>
      <c r="Q7" s="570"/>
      <c r="R7" s="570"/>
      <c r="S7" s="570"/>
      <c r="T7" s="570"/>
      <c r="U7" s="570"/>
      <c r="V7" s="570"/>
      <c r="W7" s="570"/>
      <c r="X7" s="570"/>
      <c r="Y7" s="570"/>
      <c r="Z7" s="570"/>
      <c r="AA7" s="570"/>
      <c r="AB7" s="570"/>
      <c r="AC7" s="570"/>
      <c r="AD7" s="570"/>
      <c r="AE7" s="570"/>
      <c r="AF7" s="570"/>
      <c r="AG7" s="572"/>
    </row>
    <row r="8" spans="1:33" ht="14.4">
      <c r="A8" s="1923"/>
      <c r="B8" s="1923"/>
      <c r="C8" s="1923"/>
      <c r="D8" s="1923"/>
      <c r="E8" s="572"/>
      <c r="F8" s="569" t="s">
        <v>106</v>
      </c>
      <c r="G8" s="1927"/>
      <c r="H8" s="1928"/>
      <c r="I8" s="1928"/>
      <c r="J8" s="1929"/>
      <c r="K8" s="570"/>
      <c r="L8" s="570"/>
      <c r="M8" s="570"/>
      <c r="N8" s="570"/>
      <c r="O8" s="570"/>
      <c r="P8" s="570"/>
      <c r="Q8" s="570"/>
      <c r="R8" s="570"/>
      <c r="S8" s="570"/>
      <c r="T8" s="570"/>
      <c r="U8" s="570"/>
      <c r="V8" s="570"/>
      <c r="W8" s="570"/>
      <c r="X8" s="570"/>
      <c r="Y8" s="570"/>
      <c r="Z8" s="570"/>
      <c r="AA8" s="570"/>
      <c r="AB8" s="570"/>
      <c r="AC8" s="570"/>
      <c r="AD8" s="570"/>
      <c r="AE8" s="570"/>
      <c r="AF8" s="570"/>
      <c r="AG8" s="572"/>
    </row>
    <row r="9" spans="1:33" ht="14.4">
      <c r="F9" s="332" t="s">
        <v>107</v>
      </c>
      <c r="G9" s="1930"/>
      <c r="H9" s="1931"/>
      <c r="I9" s="1931"/>
      <c r="J9" s="1932"/>
      <c r="K9" s="568">
        <f>SUM(K6:K8)</f>
        <v>0</v>
      </c>
      <c r="L9" s="568">
        <f t="shared" ref="L9:AF9" si="0">SUM(L6:L8)</f>
        <v>0</v>
      </c>
      <c r="M9" s="568">
        <f t="shared" si="0"/>
        <v>0</v>
      </c>
      <c r="N9" s="568">
        <f t="shared" si="0"/>
        <v>0</v>
      </c>
      <c r="O9" s="568">
        <f t="shared" si="0"/>
        <v>0</v>
      </c>
      <c r="P9" s="568">
        <f t="shared" si="0"/>
        <v>0</v>
      </c>
      <c r="Q9" s="568">
        <f t="shared" si="0"/>
        <v>0</v>
      </c>
      <c r="R9" s="568">
        <f t="shared" si="0"/>
        <v>0</v>
      </c>
      <c r="S9" s="568">
        <f t="shared" si="0"/>
        <v>0</v>
      </c>
      <c r="T9" s="568">
        <f t="shared" si="0"/>
        <v>0</v>
      </c>
      <c r="U9" s="568">
        <f t="shared" si="0"/>
        <v>0</v>
      </c>
      <c r="V9" s="568">
        <f t="shared" si="0"/>
        <v>0</v>
      </c>
      <c r="W9" s="568">
        <f t="shared" si="0"/>
        <v>0</v>
      </c>
      <c r="X9" s="568">
        <f t="shared" si="0"/>
        <v>0</v>
      </c>
      <c r="Y9" s="568">
        <f t="shared" si="0"/>
        <v>0</v>
      </c>
      <c r="Z9" s="568">
        <f t="shared" si="0"/>
        <v>0</v>
      </c>
      <c r="AA9" s="568">
        <f t="shared" si="0"/>
        <v>0</v>
      </c>
      <c r="AB9" s="568">
        <f t="shared" si="0"/>
        <v>0</v>
      </c>
      <c r="AC9" s="568">
        <f t="shared" si="0"/>
        <v>0</v>
      </c>
      <c r="AD9" s="568">
        <f t="shared" si="0"/>
        <v>0</v>
      </c>
      <c r="AE9" s="568">
        <f t="shared" si="0"/>
        <v>0</v>
      </c>
      <c r="AF9" s="568">
        <f t="shared" si="0"/>
        <v>0</v>
      </c>
    </row>
    <row r="10" spans="1:33" ht="28.8">
      <c r="A10" s="255" t="s">
        <v>108</v>
      </c>
      <c r="K10" s="858">
        <f>K9-K6</f>
        <v>0</v>
      </c>
      <c r="L10" s="858">
        <f t="shared" ref="L10:AF10" si="1">L9-L6</f>
        <v>0</v>
      </c>
      <c r="M10" s="858">
        <f t="shared" si="1"/>
        <v>0</v>
      </c>
      <c r="N10" s="858">
        <f t="shared" si="1"/>
        <v>0</v>
      </c>
      <c r="O10" s="858">
        <f t="shared" si="1"/>
        <v>0</v>
      </c>
      <c r="P10" s="858">
        <f t="shared" si="1"/>
        <v>0</v>
      </c>
      <c r="Q10" s="858">
        <f t="shared" si="1"/>
        <v>0</v>
      </c>
      <c r="R10" s="858">
        <f t="shared" si="1"/>
        <v>0</v>
      </c>
      <c r="S10" s="858">
        <f t="shared" si="1"/>
        <v>0</v>
      </c>
      <c r="T10" s="858">
        <f t="shared" si="1"/>
        <v>0</v>
      </c>
      <c r="U10" s="858">
        <f t="shared" si="1"/>
        <v>0</v>
      </c>
      <c r="V10" s="858">
        <f t="shared" si="1"/>
        <v>0</v>
      </c>
      <c r="W10" s="858">
        <f t="shared" si="1"/>
        <v>0</v>
      </c>
      <c r="X10" s="858">
        <f t="shared" si="1"/>
        <v>0</v>
      </c>
      <c r="Y10" s="858">
        <f t="shared" si="1"/>
        <v>0</v>
      </c>
      <c r="Z10" s="858">
        <f t="shared" si="1"/>
        <v>0</v>
      </c>
      <c r="AA10" s="858">
        <f t="shared" si="1"/>
        <v>0</v>
      </c>
      <c r="AB10" s="858">
        <f t="shared" si="1"/>
        <v>0</v>
      </c>
      <c r="AC10" s="858">
        <f t="shared" si="1"/>
        <v>0</v>
      </c>
      <c r="AD10" s="858">
        <f t="shared" si="1"/>
        <v>0</v>
      </c>
      <c r="AE10" s="858">
        <f t="shared" si="1"/>
        <v>0</v>
      </c>
      <c r="AF10" s="858">
        <f t="shared" si="1"/>
        <v>0</v>
      </c>
    </row>
    <row r="12" spans="1:33">
      <c r="A12" s="552" t="s">
        <v>109</v>
      </c>
      <c r="B12" s="552" t="s">
        <v>110</v>
      </c>
      <c r="C12" s="552" t="s">
        <v>111</v>
      </c>
      <c r="D12" s="552" t="s">
        <v>112</v>
      </c>
      <c r="E12" s="552" t="s">
        <v>113</v>
      </c>
      <c r="F12" s="552" t="s">
        <v>114</v>
      </c>
      <c r="G12" s="552" t="s">
        <v>115</v>
      </c>
      <c r="H12" s="552" t="s">
        <v>116</v>
      </c>
      <c r="I12" s="552" t="s">
        <v>117</v>
      </c>
      <c r="J12" s="552" t="s">
        <v>118</v>
      </c>
      <c r="K12" s="552" t="s">
        <v>119</v>
      </c>
      <c r="L12" s="552" t="s">
        <v>120</v>
      </c>
      <c r="M12" s="552" t="s">
        <v>121</v>
      </c>
      <c r="N12" s="552" t="s">
        <v>122</v>
      </c>
      <c r="O12" s="552" t="s">
        <v>123</v>
      </c>
      <c r="P12" s="552" t="s">
        <v>124</v>
      </c>
      <c r="Q12" s="552" t="s">
        <v>125</v>
      </c>
      <c r="R12" s="552" t="s">
        <v>126</v>
      </c>
      <c r="S12" s="552" t="s">
        <v>127</v>
      </c>
      <c r="T12" s="552" t="s">
        <v>128</v>
      </c>
      <c r="U12" s="552" t="s">
        <v>129</v>
      </c>
      <c r="V12" s="552" t="s">
        <v>130</v>
      </c>
      <c r="W12" s="552" t="s">
        <v>131</v>
      </c>
      <c r="X12" s="552" t="s">
        <v>132</v>
      </c>
      <c r="Y12" s="552" t="s">
        <v>133</v>
      </c>
      <c r="Z12" s="552" t="s">
        <v>134</v>
      </c>
      <c r="AA12" s="552" t="s">
        <v>135</v>
      </c>
      <c r="AB12" s="552" t="s">
        <v>136</v>
      </c>
      <c r="AC12" s="552" t="s">
        <v>137</v>
      </c>
      <c r="AD12" s="552" t="s">
        <v>138</v>
      </c>
      <c r="AE12" s="552" t="s">
        <v>139</v>
      </c>
      <c r="AF12" s="552" t="s">
        <v>140</v>
      </c>
    </row>
    <row r="13" spans="1:33">
      <c r="A13" s="574"/>
      <c r="B13" s="574"/>
      <c r="C13" s="574"/>
      <c r="D13" s="574"/>
      <c r="E13" s="574"/>
      <c r="F13" s="574"/>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row>
    <row r="14" spans="1:33">
      <c r="A14" s="576"/>
      <c r="B14" s="576"/>
      <c r="C14" s="576"/>
      <c r="D14" s="576"/>
      <c r="E14" s="576"/>
      <c r="F14" s="576"/>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row>
    <row r="15" spans="1:33">
      <c r="A15" s="574"/>
      <c r="B15" s="574"/>
      <c r="C15" s="574"/>
      <c r="D15" s="574"/>
      <c r="E15" s="574"/>
      <c r="F15" s="574"/>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row>
    <row r="16" spans="1:33">
      <c r="A16" s="576"/>
      <c r="B16" s="576"/>
      <c r="C16" s="576"/>
      <c r="D16" s="576"/>
      <c r="E16" s="576"/>
      <c r="F16" s="576"/>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row>
    <row r="17" spans="1:32">
      <c r="A17" s="576"/>
      <c r="B17" s="576"/>
      <c r="C17" s="576"/>
      <c r="D17" s="576"/>
      <c r="E17" s="576"/>
      <c r="F17" s="576"/>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row>
    <row r="18" spans="1:32">
      <c r="A18" s="576"/>
      <c r="B18" s="576"/>
      <c r="C18" s="576"/>
      <c r="D18" s="576"/>
      <c r="E18" s="576"/>
      <c r="F18" s="576"/>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row>
    <row r="19" spans="1:32">
      <c r="A19" s="576"/>
      <c r="B19" s="576"/>
      <c r="C19" s="576"/>
      <c r="D19" s="576"/>
      <c r="E19" s="576"/>
      <c r="F19" s="576"/>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row>
    <row r="20" spans="1:32">
      <c r="A20" s="576"/>
      <c r="B20" s="576"/>
      <c r="C20" s="576"/>
      <c r="D20" s="576"/>
      <c r="E20" s="576"/>
      <c r="F20" s="576"/>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row>
    <row r="21" spans="1:32">
      <c r="A21" s="576"/>
      <c r="B21" s="576"/>
      <c r="C21" s="576"/>
      <c r="D21" s="576"/>
      <c r="E21" s="576"/>
      <c r="F21" s="576"/>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row>
    <row r="22" spans="1:32">
      <c r="A22" s="576"/>
      <c r="B22" s="576"/>
      <c r="C22" s="576"/>
      <c r="D22" s="576"/>
      <c r="E22" s="576"/>
      <c r="F22" s="576"/>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row>
    <row r="23" spans="1:32">
      <c r="A23" s="576"/>
      <c r="B23" s="576"/>
      <c r="C23" s="576"/>
      <c r="D23" s="576"/>
      <c r="E23" s="576"/>
      <c r="F23" s="576"/>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row>
    <row r="24" spans="1:32">
      <c r="A24" s="576"/>
      <c r="B24" s="576"/>
      <c r="C24" s="576"/>
      <c r="D24" s="576"/>
      <c r="E24" s="576"/>
      <c r="F24" s="576"/>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row>
    <row r="25" spans="1:32">
      <c r="A25" s="576"/>
      <c r="B25" s="576"/>
      <c r="C25" s="576"/>
      <c r="D25" s="576"/>
      <c r="E25" s="576"/>
      <c r="F25" s="576"/>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row>
    <row r="26" spans="1:32">
      <c r="A26" s="576"/>
      <c r="B26" s="576"/>
      <c r="C26" s="576"/>
      <c r="D26" s="576"/>
      <c r="E26" s="576"/>
      <c r="F26" s="576"/>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row>
    <row r="27" spans="1:32">
      <c r="A27" s="576"/>
      <c r="B27" s="576"/>
      <c r="C27" s="576"/>
      <c r="D27" s="576"/>
      <c r="E27" s="576"/>
      <c r="F27" s="576"/>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row>
    <row r="28" spans="1:32">
      <c r="A28" s="576"/>
      <c r="B28" s="576"/>
      <c r="C28" s="576"/>
      <c r="D28" s="576"/>
      <c r="E28" s="576"/>
      <c r="F28" s="576"/>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row>
    <row r="29" spans="1:32">
      <c r="A29" s="576"/>
      <c r="B29" s="576"/>
      <c r="C29" s="576"/>
      <c r="D29" s="576"/>
      <c r="E29" s="576"/>
      <c r="F29" s="576"/>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row>
    <row r="30" spans="1:32">
      <c r="A30" s="576"/>
      <c r="B30" s="576"/>
      <c r="C30" s="576"/>
      <c r="D30" s="576"/>
      <c r="E30" s="576"/>
      <c r="F30" s="576"/>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row>
    <row r="31" spans="1:32">
      <c r="A31" s="576"/>
      <c r="B31" s="576"/>
      <c r="C31" s="576"/>
      <c r="D31" s="576"/>
      <c r="E31" s="576"/>
      <c r="F31" s="576"/>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row>
    <row r="32" spans="1:32">
      <c r="A32" s="576"/>
      <c r="B32" s="576"/>
      <c r="C32" s="576"/>
      <c r="D32" s="576"/>
      <c r="E32" s="576"/>
      <c r="F32" s="576"/>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row>
    <row r="33" spans="1:32">
      <c r="A33" s="576"/>
      <c r="B33" s="576"/>
      <c r="C33" s="576"/>
      <c r="D33" s="576"/>
      <c r="E33" s="576"/>
      <c r="F33" s="576"/>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row>
    <row r="34" spans="1:32">
      <c r="A34" s="576"/>
      <c r="B34" s="576"/>
      <c r="C34" s="576"/>
      <c r="D34" s="576"/>
      <c r="E34" s="576"/>
      <c r="F34" s="576"/>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row>
    <row r="35" spans="1:32">
      <c r="A35" s="576"/>
      <c r="B35" s="576"/>
      <c r="C35" s="576"/>
      <c r="D35" s="576"/>
      <c r="E35" s="576"/>
      <c r="F35" s="576"/>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row>
    <row r="36" spans="1:32">
      <c r="A36" s="576"/>
      <c r="B36" s="576"/>
      <c r="C36" s="576"/>
      <c r="D36" s="576"/>
      <c r="E36" s="576"/>
      <c r="F36" s="576"/>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row>
    <row r="37" spans="1:32">
      <c r="A37" s="576"/>
      <c r="B37" s="576"/>
      <c r="C37" s="576"/>
      <c r="D37" s="576"/>
      <c r="E37" s="576"/>
      <c r="F37" s="576"/>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row>
    <row r="38" spans="1:32">
      <c r="A38" s="576"/>
      <c r="B38" s="576"/>
      <c r="C38" s="576"/>
      <c r="D38" s="576"/>
      <c r="E38" s="576"/>
      <c r="F38" s="576"/>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row>
    <row r="39" spans="1:32">
      <c r="A39" s="576"/>
      <c r="B39" s="576"/>
      <c r="C39" s="576"/>
      <c r="D39" s="576"/>
      <c r="E39" s="576"/>
      <c r="F39" s="576"/>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row>
    <row r="40" spans="1:32">
      <c r="A40" s="576"/>
      <c r="B40" s="576"/>
      <c r="C40" s="576"/>
      <c r="D40" s="576"/>
      <c r="E40" s="576"/>
      <c r="F40" s="576"/>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row>
    <row r="41" spans="1:32">
      <c r="A41" s="576"/>
      <c r="B41" s="576"/>
      <c r="C41" s="576"/>
      <c r="D41" s="576"/>
      <c r="E41" s="576"/>
      <c r="F41" s="576"/>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row>
    <row r="42" spans="1:32">
      <c r="A42" s="576"/>
      <c r="B42" s="576"/>
      <c r="C42" s="576"/>
      <c r="D42" s="576"/>
      <c r="E42" s="576"/>
      <c r="F42" s="576"/>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row>
    <row r="43" spans="1:32">
      <c r="A43" s="576"/>
      <c r="B43" s="576"/>
      <c r="C43" s="576"/>
      <c r="D43" s="576"/>
      <c r="E43" s="576"/>
      <c r="F43" s="576"/>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row>
    <row r="44" spans="1:32">
      <c r="A44" s="576"/>
      <c r="B44" s="576"/>
      <c r="C44" s="576"/>
      <c r="D44" s="576"/>
      <c r="E44" s="576"/>
      <c r="F44" s="576"/>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row>
    <row r="45" spans="1:32">
      <c r="A45" s="576"/>
      <c r="B45" s="576"/>
      <c r="C45" s="576"/>
      <c r="D45" s="576"/>
      <c r="E45" s="576"/>
      <c r="F45" s="576"/>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row>
    <row r="46" spans="1:32">
      <c r="A46" s="576"/>
      <c r="B46" s="576"/>
      <c r="C46" s="576"/>
      <c r="D46" s="576"/>
      <c r="E46" s="576"/>
      <c r="F46" s="576"/>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row>
    <row r="47" spans="1:32">
      <c r="A47" s="576"/>
      <c r="B47" s="576"/>
      <c r="C47" s="576"/>
      <c r="D47" s="576"/>
      <c r="E47" s="576"/>
      <c r="F47" s="576"/>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row>
    <row r="48" spans="1:32">
      <c r="A48" s="576"/>
      <c r="B48" s="576"/>
      <c r="C48" s="576"/>
      <c r="D48" s="576"/>
      <c r="E48" s="576"/>
      <c r="F48" s="576"/>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row>
    <row r="49" spans="1:32">
      <c r="A49" s="576"/>
      <c r="B49" s="576"/>
      <c r="C49" s="576"/>
      <c r="D49" s="576"/>
      <c r="E49" s="576"/>
      <c r="F49" s="576"/>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row>
    <row r="50" spans="1:32">
      <c r="A50" s="576"/>
      <c r="B50" s="576"/>
      <c r="C50" s="576"/>
      <c r="D50" s="576"/>
      <c r="E50" s="576"/>
      <c r="F50" s="576"/>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row>
    <row r="51" spans="1:32">
      <c r="A51" s="576"/>
      <c r="B51" s="576"/>
      <c r="C51" s="576"/>
      <c r="D51" s="576"/>
      <c r="E51" s="576"/>
      <c r="F51" s="576"/>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row>
    <row r="52" spans="1:32">
      <c r="A52" s="576"/>
      <c r="B52" s="576"/>
      <c r="C52" s="576"/>
      <c r="D52" s="576"/>
      <c r="E52" s="576"/>
      <c r="F52" s="576"/>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row>
    <row r="53" spans="1:32">
      <c r="A53" s="576"/>
      <c r="B53" s="576"/>
      <c r="C53" s="576"/>
      <c r="D53" s="576"/>
      <c r="E53" s="576"/>
      <c r="F53" s="576"/>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row>
    <row r="54" spans="1:32">
      <c r="A54" s="576"/>
      <c r="B54" s="576"/>
      <c r="C54" s="576"/>
      <c r="D54" s="576"/>
      <c r="E54" s="576"/>
      <c r="F54" s="576"/>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row>
    <row r="55" spans="1:32">
      <c r="A55" s="576"/>
      <c r="B55" s="576"/>
      <c r="C55" s="576"/>
      <c r="D55" s="576"/>
      <c r="E55" s="576"/>
      <c r="F55" s="576"/>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row>
    <row r="56" spans="1:32">
      <c r="A56" s="576"/>
      <c r="B56" s="576"/>
      <c r="C56" s="576"/>
      <c r="D56" s="576"/>
      <c r="E56" s="576"/>
      <c r="F56" s="576"/>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row>
    <row r="57" spans="1:32">
      <c r="A57" s="576"/>
      <c r="B57" s="576"/>
      <c r="C57" s="576"/>
      <c r="D57" s="576"/>
      <c r="E57" s="576"/>
      <c r="F57" s="576"/>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row>
    <row r="58" spans="1:32">
      <c r="A58" s="576"/>
      <c r="B58" s="576"/>
      <c r="C58" s="576"/>
      <c r="D58" s="576"/>
      <c r="E58" s="576"/>
      <c r="F58" s="576"/>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row>
    <row r="59" spans="1:32">
      <c r="A59" s="576"/>
      <c r="B59" s="576"/>
      <c r="C59" s="576"/>
      <c r="D59" s="576"/>
      <c r="E59" s="576"/>
      <c r="F59" s="576"/>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row>
    <row r="60" spans="1:32">
      <c r="A60" s="576"/>
      <c r="B60" s="576"/>
      <c r="C60" s="576"/>
      <c r="D60" s="576"/>
      <c r="E60" s="576"/>
      <c r="F60" s="576"/>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row>
    <row r="61" spans="1:32">
      <c r="A61" s="576"/>
      <c r="B61" s="576"/>
      <c r="C61" s="576"/>
      <c r="D61" s="576"/>
      <c r="E61" s="576"/>
      <c r="F61" s="576"/>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row>
    <row r="62" spans="1:32">
      <c r="A62" s="576"/>
      <c r="B62" s="576"/>
      <c r="C62" s="576"/>
      <c r="D62" s="576"/>
      <c r="E62" s="576"/>
      <c r="F62" s="576"/>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row>
    <row r="63" spans="1:32">
      <c r="A63" s="576"/>
      <c r="B63" s="576"/>
      <c r="C63" s="576"/>
      <c r="D63" s="576"/>
      <c r="E63" s="576"/>
      <c r="F63" s="576"/>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row>
    <row r="64" spans="1:32">
      <c r="A64" s="576"/>
      <c r="B64" s="576"/>
      <c r="C64" s="576"/>
      <c r="D64" s="576"/>
      <c r="E64" s="576"/>
      <c r="F64" s="576"/>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row>
    <row r="65" spans="1:32">
      <c r="A65" s="576"/>
      <c r="B65" s="576"/>
      <c r="C65" s="576"/>
      <c r="D65" s="576"/>
      <c r="E65" s="576"/>
      <c r="F65" s="576"/>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row>
    <row r="66" spans="1:32">
      <c r="A66" s="576"/>
      <c r="B66" s="576"/>
      <c r="C66" s="576"/>
      <c r="D66" s="576"/>
      <c r="E66" s="579"/>
      <c r="F66" s="576"/>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row>
    <row r="67" spans="1:32">
      <c r="A67" s="576"/>
      <c r="B67" s="576"/>
      <c r="C67" s="576"/>
      <c r="D67" s="576"/>
      <c r="E67" s="576"/>
      <c r="F67" s="576"/>
      <c r="G67" s="577"/>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row>
    <row r="68" spans="1:32">
      <c r="A68" s="576"/>
      <c r="B68" s="576"/>
      <c r="C68" s="576"/>
      <c r="D68" s="576"/>
      <c r="E68" s="576"/>
      <c r="F68" s="576"/>
      <c r="G68" s="577"/>
      <c r="H68" s="577"/>
      <c r="I68" s="577"/>
      <c r="J68" s="577"/>
      <c r="K68" s="577"/>
      <c r="L68" s="577"/>
      <c r="M68" s="577"/>
      <c r="N68" s="577"/>
      <c r="O68" s="577"/>
      <c r="P68" s="577"/>
      <c r="Q68" s="577"/>
      <c r="R68" s="577"/>
      <c r="S68" s="577"/>
      <c r="T68" s="577"/>
      <c r="U68" s="577"/>
      <c r="V68" s="577"/>
      <c r="W68" s="577"/>
      <c r="X68" s="577"/>
      <c r="Y68" s="577"/>
      <c r="Z68" s="577"/>
      <c r="AA68" s="577"/>
      <c r="AB68" s="577"/>
      <c r="AC68" s="577"/>
      <c r="AD68" s="577"/>
      <c r="AE68" s="577"/>
      <c r="AF68" s="577"/>
    </row>
    <row r="69" spans="1:32">
      <c r="A69" s="576"/>
      <c r="B69" s="576"/>
      <c r="C69" s="576"/>
      <c r="D69" s="576"/>
      <c r="E69" s="576"/>
      <c r="F69" s="576"/>
      <c r="G69" s="577"/>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row>
    <row r="70" spans="1:32">
      <c r="A70" s="576"/>
      <c r="B70" s="576"/>
      <c r="C70" s="576"/>
      <c r="D70" s="576"/>
      <c r="E70" s="576"/>
      <c r="F70" s="576"/>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row>
    <row r="71" spans="1:32" s="558" customFormat="1">
      <c r="A71" s="574"/>
      <c r="B71" s="574"/>
      <c r="C71" s="574"/>
      <c r="D71" s="574"/>
      <c r="E71" s="574"/>
      <c r="F71" s="574"/>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row>
    <row r="72" spans="1:32">
      <c r="A72" s="576"/>
      <c r="B72" s="576"/>
      <c r="C72" s="576"/>
      <c r="D72" s="576"/>
      <c r="E72" s="576"/>
      <c r="F72" s="576"/>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row>
    <row r="73" spans="1:32">
      <c r="A73" s="576"/>
      <c r="B73" s="576"/>
      <c r="C73" s="576"/>
      <c r="D73" s="576"/>
      <c r="E73" s="576"/>
      <c r="F73" s="576"/>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row>
    <row r="74" spans="1:32">
      <c r="A74" s="576"/>
      <c r="B74" s="576"/>
      <c r="C74" s="576"/>
      <c r="D74" s="576"/>
      <c r="E74" s="576"/>
      <c r="F74" s="576"/>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row>
    <row r="75" spans="1:32">
      <c r="A75" s="576"/>
      <c r="B75" s="576"/>
      <c r="C75" s="576"/>
      <c r="D75" s="576"/>
      <c r="E75" s="576"/>
      <c r="F75" s="576"/>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row>
    <row r="76" spans="1:32">
      <c r="A76" s="576"/>
      <c r="B76" s="576"/>
      <c r="C76" s="576"/>
      <c r="D76" s="576"/>
      <c r="E76" s="576"/>
      <c r="F76" s="576"/>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row>
    <row r="77" spans="1:32">
      <c r="A77" s="576"/>
      <c r="B77" s="576"/>
      <c r="C77" s="576"/>
      <c r="D77" s="576"/>
      <c r="E77" s="576"/>
      <c r="F77" s="576"/>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row>
    <row r="78" spans="1:32">
      <c r="A78" s="576"/>
      <c r="B78" s="576"/>
      <c r="C78" s="576"/>
      <c r="D78" s="576"/>
      <c r="E78" s="576"/>
      <c r="F78" s="576"/>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row>
    <row r="79" spans="1:32">
      <c r="A79" s="576"/>
      <c r="B79" s="576"/>
      <c r="C79" s="576"/>
      <c r="D79" s="576"/>
      <c r="E79" s="576"/>
      <c r="F79" s="576"/>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row>
    <row r="80" spans="1:32">
      <c r="A80" s="576"/>
      <c r="B80" s="576"/>
      <c r="C80" s="576"/>
      <c r="D80" s="576"/>
      <c r="E80" s="576"/>
      <c r="F80" s="576"/>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row>
    <row r="81" spans="1:32">
      <c r="A81" s="576"/>
      <c r="B81" s="576"/>
      <c r="C81" s="576"/>
      <c r="D81" s="576"/>
      <c r="E81" s="576"/>
      <c r="F81" s="576"/>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row>
    <row r="82" spans="1:32">
      <c r="A82" s="576"/>
      <c r="B82" s="576"/>
      <c r="C82" s="576"/>
      <c r="D82" s="576"/>
      <c r="E82" s="576"/>
      <c r="F82" s="576"/>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row>
    <row r="83" spans="1:32">
      <c r="A83" s="576"/>
      <c r="B83" s="576"/>
      <c r="C83" s="576"/>
      <c r="D83" s="576"/>
      <c r="E83" s="576"/>
      <c r="F83" s="576"/>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row>
    <row r="84" spans="1:32">
      <c r="A84" s="576"/>
      <c r="B84" s="576"/>
      <c r="C84" s="576"/>
      <c r="D84" s="576"/>
      <c r="E84" s="576"/>
      <c r="F84" s="576"/>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row>
    <row r="85" spans="1:32">
      <c r="A85" s="576"/>
      <c r="B85" s="576"/>
      <c r="C85" s="576"/>
      <c r="D85" s="576"/>
      <c r="E85" s="576"/>
      <c r="F85" s="576"/>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row>
    <row r="86" spans="1:32">
      <c r="A86" s="576"/>
      <c r="B86" s="576"/>
      <c r="C86" s="576"/>
      <c r="D86" s="576"/>
      <c r="E86" s="576"/>
      <c r="F86" s="576"/>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row>
    <row r="87" spans="1:32">
      <c r="A87" s="576"/>
      <c r="B87" s="576"/>
      <c r="C87" s="576"/>
      <c r="D87" s="576"/>
      <c r="E87" s="576"/>
      <c r="F87" s="576"/>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row>
    <row r="88" spans="1:32">
      <c r="A88" s="576"/>
      <c r="B88" s="576"/>
      <c r="C88" s="576"/>
      <c r="D88" s="576"/>
      <c r="E88" s="576"/>
      <c r="F88" s="576"/>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row>
    <row r="89" spans="1:32">
      <c r="A89" s="576"/>
      <c r="B89" s="576"/>
      <c r="C89" s="576"/>
      <c r="D89" s="576"/>
      <c r="E89" s="576"/>
      <c r="F89" s="576"/>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row>
    <row r="90" spans="1:32">
      <c r="A90" s="576"/>
      <c r="B90" s="576"/>
      <c r="C90" s="576"/>
      <c r="D90" s="576"/>
      <c r="E90" s="576"/>
      <c r="F90" s="576"/>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row>
    <row r="91" spans="1:32">
      <c r="A91" s="576"/>
      <c r="B91" s="576"/>
      <c r="C91" s="576"/>
      <c r="D91" s="576"/>
      <c r="E91" s="576"/>
      <c r="F91" s="576"/>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row>
    <row r="92" spans="1:32">
      <c r="A92" s="576"/>
      <c r="B92" s="576"/>
      <c r="C92" s="576"/>
      <c r="D92" s="576"/>
      <c r="E92" s="576"/>
      <c r="F92" s="576"/>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row>
    <row r="93" spans="1:32">
      <c r="A93" s="576"/>
      <c r="B93" s="576"/>
      <c r="C93" s="576"/>
      <c r="D93" s="576"/>
      <c r="E93" s="576"/>
      <c r="F93" s="576"/>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row>
    <row r="94" spans="1:32">
      <c r="A94" s="576"/>
      <c r="B94" s="576"/>
      <c r="C94" s="576"/>
      <c r="D94" s="576"/>
      <c r="E94" s="576"/>
      <c r="F94" s="576"/>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row>
    <row r="95" spans="1:32">
      <c r="A95" s="576"/>
      <c r="B95" s="576"/>
      <c r="C95" s="576"/>
      <c r="D95" s="576"/>
      <c r="E95" s="576"/>
      <c r="F95" s="576"/>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row>
    <row r="96" spans="1:32">
      <c r="A96" s="576"/>
      <c r="B96" s="576"/>
      <c r="C96" s="576"/>
      <c r="D96" s="576"/>
      <c r="E96" s="576"/>
      <c r="F96" s="576"/>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row>
    <row r="97" spans="1:32">
      <c r="A97" s="576"/>
      <c r="B97" s="576"/>
      <c r="C97" s="576"/>
      <c r="D97" s="576"/>
      <c r="E97" s="580"/>
      <c r="F97" s="576"/>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row>
    <row r="98" spans="1:32">
      <c r="A98" s="576"/>
      <c r="B98" s="576"/>
      <c r="C98" s="576"/>
      <c r="D98" s="576"/>
      <c r="E98" s="581"/>
      <c r="F98" s="576"/>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row>
    <row r="99" spans="1:32">
      <c r="A99" s="576"/>
      <c r="B99" s="576"/>
      <c r="C99" s="576"/>
      <c r="D99" s="576"/>
      <c r="E99" s="580"/>
      <c r="F99" s="576"/>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row>
    <row r="100" spans="1:32">
      <c r="A100" s="576"/>
      <c r="B100" s="576"/>
      <c r="C100" s="576"/>
      <c r="D100" s="576"/>
      <c r="E100" s="582"/>
      <c r="F100" s="576"/>
      <c r="G100" s="577"/>
      <c r="H100" s="577"/>
      <c r="I100" s="577"/>
      <c r="J100" s="577"/>
      <c r="K100" s="577"/>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row>
    <row r="101" spans="1:32">
      <c r="A101" s="576"/>
      <c r="B101" s="576"/>
      <c r="C101" s="576"/>
      <c r="D101" s="576"/>
      <c r="E101" s="580"/>
      <c r="F101" s="576"/>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row>
    <row r="102" spans="1:32">
      <c r="A102" s="576"/>
      <c r="B102" s="576"/>
      <c r="C102" s="576"/>
      <c r="D102" s="576"/>
      <c r="E102" s="576"/>
      <c r="F102" s="576"/>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row>
    <row r="103" spans="1:32">
      <c r="A103" s="576"/>
      <c r="B103" s="576"/>
      <c r="C103" s="576"/>
      <c r="D103" s="576"/>
      <c r="E103" s="576"/>
      <c r="F103" s="576"/>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row>
    <row r="104" spans="1:32">
      <c r="A104" s="576"/>
      <c r="B104" s="576"/>
      <c r="C104" s="576"/>
      <c r="D104" s="576"/>
      <c r="E104" s="576"/>
      <c r="F104" s="576"/>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row>
    <row r="105" spans="1:32">
      <c r="A105" s="576"/>
      <c r="B105" s="576"/>
      <c r="C105" s="576"/>
      <c r="D105" s="576"/>
      <c r="E105" s="576"/>
      <c r="F105" s="576"/>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row>
    <row r="106" spans="1:32">
      <c r="A106" s="576"/>
      <c r="B106" s="576"/>
      <c r="C106" s="576"/>
      <c r="D106" s="576"/>
      <c r="E106" s="576"/>
      <c r="F106" s="576"/>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row>
    <row r="107" spans="1:32">
      <c r="A107" s="576"/>
      <c r="B107" s="576"/>
      <c r="C107" s="576"/>
      <c r="D107" s="576"/>
      <c r="E107" s="576"/>
      <c r="F107" s="576"/>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row>
    <row r="108" spans="1:32">
      <c r="A108" s="576"/>
      <c r="B108" s="576"/>
      <c r="C108" s="576"/>
      <c r="D108" s="576"/>
      <c r="E108" s="576"/>
      <c r="F108" s="576"/>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row>
    <row r="109" spans="1:32">
      <c r="A109" s="574"/>
      <c r="B109" s="574"/>
      <c r="C109" s="574"/>
      <c r="D109" s="574"/>
      <c r="E109" s="574"/>
      <c r="F109" s="574"/>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row>
    <row r="110" spans="1:32">
      <c r="A110" s="583"/>
      <c r="B110" s="583"/>
      <c r="C110" s="583"/>
      <c r="D110" s="583"/>
      <c r="E110" s="583"/>
      <c r="F110" s="583"/>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row>
    <row r="111" spans="1:32">
      <c r="A111" s="574"/>
      <c r="B111" s="574"/>
      <c r="C111" s="574"/>
      <c r="D111" s="574"/>
      <c r="E111" s="574"/>
      <c r="F111" s="574"/>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row>
    <row r="112" spans="1:32">
      <c r="A112" s="576"/>
      <c r="B112" s="576"/>
      <c r="C112" s="576"/>
      <c r="D112" s="576"/>
      <c r="E112" s="585"/>
      <c r="F112" s="576"/>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row>
    <row r="113" spans="1:32">
      <c r="A113" s="576"/>
      <c r="B113" s="576"/>
      <c r="C113" s="576"/>
      <c r="D113" s="576"/>
      <c r="E113" s="581"/>
      <c r="F113" s="576"/>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row>
    <row r="114" spans="1:32">
      <c r="A114" s="576"/>
      <c r="B114" s="576"/>
      <c r="C114" s="576"/>
      <c r="D114" s="576"/>
      <c r="E114" s="585"/>
      <c r="F114" s="576"/>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row>
    <row r="115" spans="1:32">
      <c r="A115" s="576"/>
      <c r="B115" s="576"/>
      <c r="C115" s="576"/>
      <c r="D115" s="576"/>
      <c r="E115" s="586"/>
      <c r="F115" s="576"/>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row>
    <row r="116" spans="1:32">
      <c r="A116" s="576"/>
      <c r="B116" s="576"/>
      <c r="C116" s="576"/>
      <c r="D116" s="576"/>
      <c r="E116" s="585"/>
      <c r="F116" s="576"/>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row>
    <row r="117" spans="1:32">
      <c r="A117" s="576"/>
      <c r="B117" s="576"/>
      <c r="C117" s="576"/>
      <c r="D117" s="576"/>
      <c r="E117" s="576"/>
      <c r="F117" s="576"/>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row>
    <row r="118" spans="1:32">
      <c r="A118" s="576"/>
      <c r="B118" s="576"/>
      <c r="C118" s="576"/>
      <c r="D118" s="576"/>
      <c r="E118" s="576"/>
      <c r="F118" s="576"/>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row>
    <row r="119" spans="1:32">
      <c r="A119" s="576"/>
      <c r="B119" s="576"/>
      <c r="C119" s="576"/>
      <c r="D119" s="576"/>
      <c r="E119" s="576"/>
      <c r="F119" s="576"/>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row>
    <row r="120" spans="1:32">
      <c r="A120" s="576"/>
      <c r="B120" s="576"/>
      <c r="C120" s="576"/>
      <c r="D120" s="576"/>
      <c r="E120" s="576"/>
      <c r="F120" s="576"/>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row>
    <row r="121" spans="1:32">
      <c r="A121" s="576"/>
      <c r="B121" s="576"/>
      <c r="C121" s="576"/>
      <c r="D121" s="576"/>
      <c r="E121" s="576"/>
      <c r="F121" s="576"/>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row>
    <row r="122" spans="1:32">
      <c r="A122" s="576"/>
      <c r="B122" s="576"/>
      <c r="C122" s="576"/>
      <c r="D122" s="576"/>
      <c r="E122" s="576"/>
      <c r="F122" s="576"/>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row>
    <row r="123" spans="1:32">
      <c r="A123" s="576"/>
      <c r="B123" s="576"/>
      <c r="C123" s="576"/>
      <c r="D123" s="576"/>
      <c r="E123" s="576"/>
      <c r="F123" s="576"/>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row>
    <row r="124" spans="1:32" s="558" customFormat="1">
      <c r="A124" s="583"/>
      <c r="B124" s="583"/>
      <c r="C124" s="583"/>
      <c r="D124" s="583"/>
      <c r="E124" s="583"/>
      <c r="F124" s="583"/>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row>
    <row r="125" spans="1:32" s="558" customFormat="1">
      <c r="A125" s="574"/>
      <c r="B125" s="574"/>
      <c r="C125" s="574"/>
      <c r="D125" s="574"/>
      <c r="E125" s="574"/>
      <c r="F125" s="574"/>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row>
    <row r="126" spans="1:32" s="558" customFormat="1">
      <c r="A126" s="583"/>
      <c r="B126" s="583"/>
      <c r="C126" s="583"/>
      <c r="D126" s="583"/>
      <c r="E126" s="583"/>
      <c r="F126" s="583"/>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row>
    <row r="127" spans="1:32">
      <c r="A127" s="576"/>
      <c r="B127" s="576"/>
      <c r="C127" s="576"/>
      <c r="D127" s="576"/>
      <c r="E127" s="576"/>
      <c r="F127" s="576"/>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row>
    <row r="128" spans="1:32">
      <c r="A128" s="576"/>
      <c r="B128" s="576"/>
      <c r="C128" s="576"/>
      <c r="D128" s="576"/>
      <c r="E128" s="581"/>
      <c r="F128" s="576"/>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row>
    <row r="129" spans="1:38">
      <c r="A129" s="576"/>
      <c r="B129" s="576"/>
      <c r="C129" s="576"/>
      <c r="D129" s="576"/>
      <c r="E129" s="580"/>
      <c r="F129" s="576"/>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row>
    <row r="130" spans="1:38">
      <c r="A130" s="576"/>
      <c r="B130" s="576"/>
      <c r="C130" s="576"/>
      <c r="D130" s="576"/>
      <c r="E130" s="581"/>
      <c r="F130" s="576"/>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row>
    <row r="131" spans="1:38">
      <c r="A131" s="576"/>
      <c r="B131" s="576"/>
      <c r="C131" s="576"/>
      <c r="D131" s="576"/>
      <c r="E131" s="580"/>
      <c r="F131" s="576"/>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row>
    <row r="132" spans="1:38">
      <c r="A132" s="576"/>
      <c r="B132" s="576"/>
      <c r="C132" s="576"/>
      <c r="D132" s="576"/>
      <c r="E132" s="581"/>
      <c r="F132" s="576"/>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row>
    <row r="133" spans="1:38">
      <c r="A133" s="576"/>
      <c r="B133" s="576"/>
      <c r="C133" s="576"/>
      <c r="D133" s="576"/>
      <c r="E133" s="580"/>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row>
    <row r="134" spans="1:38">
      <c r="A134" s="576"/>
      <c r="B134" s="576"/>
      <c r="C134" s="576"/>
      <c r="D134" s="576"/>
      <c r="E134" s="581"/>
      <c r="F134" s="576"/>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row>
    <row r="135" spans="1:38">
      <c r="A135" s="576"/>
      <c r="B135" s="576"/>
      <c r="C135" s="576"/>
      <c r="D135" s="576"/>
      <c r="E135" s="580"/>
      <c r="F135" s="576"/>
      <c r="G135" s="577"/>
      <c r="H135" s="577"/>
      <c r="I135" s="577"/>
      <c r="J135" s="577"/>
      <c r="K135" s="577"/>
      <c r="L135" s="577"/>
      <c r="M135" s="577"/>
      <c r="N135" s="577"/>
      <c r="O135" s="577"/>
      <c r="P135" s="577"/>
      <c r="Q135" s="577"/>
      <c r="R135" s="577"/>
      <c r="S135" s="577"/>
      <c r="T135" s="577"/>
      <c r="U135" s="577"/>
      <c r="V135" s="577"/>
      <c r="W135" s="577"/>
      <c r="X135" s="577"/>
      <c r="Y135" s="577"/>
      <c r="Z135" s="577"/>
      <c r="AA135" s="577"/>
      <c r="AB135" s="577"/>
      <c r="AC135" s="577"/>
      <c r="AD135" s="577"/>
      <c r="AE135" s="577"/>
      <c r="AF135" s="577"/>
    </row>
    <row r="136" spans="1:38">
      <c r="A136" s="576"/>
      <c r="B136" s="576"/>
      <c r="C136" s="576"/>
      <c r="D136" s="576"/>
      <c r="E136" s="581"/>
      <c r="F136" s="576"/>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row>
    <row r="137" spans="1:38">
      <c r="A137" s="576"/>
      <c r="B137" s="576"/>
      <c r="C137" s="576"/>
      <c r="D137" s="576"/>
      <c r="E137" s="580"/>
      <c r="F137" s="576"/>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row>
    <row r="138" spans="1:38">
      <c r="A138" s="576"/>
      <c r="B138" s="576"/>
      <c r="C138" s="576"/>
      <c r="D138" s="576"/>
      <c r="E138" s="581"/>
      <c r="F138" s="576"/>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row>
    <row r="139" spans="1:38">
      <c r="A139" s="576"/>
      <c r="B139" s="576"/>
      <c r="C139" s="576"/>
      <c r="D139" s="576"/>
      <c r="E139" s="580"/>
      <c r="F139" s="576"/>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row>
    <row r="140" spans="1:38">
      <c r="A140" s="576"/>
      <c r="B140" s="576"/>
      <c r="C140" s="576"/>
      <c r="D140" s="576"/>
      <c r="E140" s="581"/>
      <c r="F140" s="576"/>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row>
    <row r="141" spans="1:38" s="1664" customFormat="1">
      <c r="A141" s="1661"/>
      <c r="B141" s="1661"/>
      <c r="C141" s="1661"/>
      <c r="D141" s="1661"/>
      <c r="E141" s="1662"/>
      <c r="F141" s="1661"/>
      <c r="G141" s="588"/>
      <c r="H141" s="588"/>
      <c r="I141" s="588"/>
      <c r="J141" s="588"/>
      <c r="K141" s="1661"/>
      <c r="L141" s="1661"/>
      <c r="M141" s="1661"/>
      <c r="N141" s="1661"/>
      <c r="O141" s="1661"/>
      <c r="P141" s="1661"/>
      <c r="Q141" s="1661"/>
      <c r="R141" s="1661"/>
      <c r="S141" s="1661"/>
      <c r="T141" s="1661"/>
      <c r="U141" s="1661"/>
      <c r="V141" s="1661"/>
      <c r="W141" s="1661"/>
      <c r="X141" s="1661"/>
      <c r="Y141" s="1661"/>
      <c r="Z141" s="1661"/>
      <c r="AA141" s="1661"/>
      <c r="AB141" s="1661"/>
      <c r="AC141" s="1661"/>
      <c r="AD141" s="1661"/>
      <c r="AE141" s="1661"/>
      <c r="AF141" s="1661"/>
    </row>
    <row r="142" spans="1:38" s="1664" customFormat="1">
      <c r="A142" s="1661"/>
      <c r="B142" s="1661"/>
      <c r="C142" s="1661"/>
      <c r="D142" s="1661"/>
      <c r="E142" s="1663"/>
      <c r="F142" s="1661"/>
      <c r="G142" s="588"/>
      <c r="H142" s="588"/>
      <c r="I142" s="588"/>
      <c r="J142" s="588"/>
      <c r="K142" s="1661"/>
      <c r="L142" s="1661"/>
      <c r="M142" s="1661"/>
      <c r="N142" s="1661"/>
      <c r="O142" s="1661"/>
      <c r="P142" s="1661"/>
      <c r="Q142" s="1661"/>
      <c r="R142" s="1661"/>
      <c r="S142" s="1661"/>
      <c r="T142" s="1661"/>
      <c r="U142" s="1661"/>
      <c r="V142" s="1661"/>
      <c r="W142" s="1661"/>
      <c r="X142" s="1661"/>
      <c r="Y142" s="1661"/>
      <c r="Z142" s="1661"/>
      <c r="AA142" s="1661"/>
      <c r="AB142" s="1661"/>
      <c r="AC142" s="1661"/>
      <c r="AD142" s="1661"/>
      <c r="AE142" s="1661"/>
      <c r="AF142" s="1661"/>
    </row>
    <row r="143" spans="1:38">
      <c r="A143" s="576"/>
      <c r="B143" s="576"/>
      <c r="C143" s="576"/>
      <c r="D143" s="576"/>
      <c r="E143" s="580"/>
      <c r="F143" s="576"/>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row>
    <row r="144" spans="1:38">
      <c r="A144" s="576"/>
      <c r="B144" s="576"/>
      <c r="C144" s="576"/>
      <c r="D144" s="576"/>
      <c r="E144" s="576"/>
      <c r="F144" s="576"/>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59"/>
      <c r="AH144" s="559"/>
      <c r="AI144" s="559"/>
      <c r="AJ144" s="559"/>
      <c r="AK144" s="559"/>
      <c r="AL144" s="559"/>
    </row>
    <row r="145" spans="1:32">
      <c r="A145" s="576"/>
      <c r="B145" s="576"/>
      <c r="C145" s="576"/>
      <c r="D145" s="576"/>
      <c r="E145" s="576"/>
      <c r="F145" s="576"/>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row>
    <row r="146" spans="1:32" ht="14.4" thickBot="1">
      <c r="A146" s="590"/>
      <c r="B146" s="590"/>
      <c r="C146" s="590"/>
      <c r="D146" s="590"/>
      <c r="E146" s="590"/>
      <c r="F146" s="590"/>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row>
    <row r="147" spans="1:32">
      <c r="A147" s="553" t="s">
        <v>141</v>
      </c>
      <c r="B147" s="553" t="s">
        <v>142</v>
      </c>
      <c r="C147" s="553"/>
      <c r="D147" s="553" t="s">
        <v>92</v>
      </c>
      <c r="E147" s="553" t="s">
        <v>143</v>
      </c>
      <c r="F147" s="553" t="s">
        <v>76</v>
      </c>
      <c r="G147" s="554"/>
      <c r="H147" s="554"/>
      <c r="I147" s="554"/>
      <c r="J147" s="554"/>
      <c r="K147" s="554">
        <f>'Données patrimoniales'!AH357*(1-K146)</f>
        <v>0</v>
      </c>
      <c r="L147" s="554">
        <f>'Données patrimoniales'!AI357*(1-L146)</f>
        <v>0</v>
      </c>
      <c r="M147" s="554">
        <f>'Données patrimoniales'!AJ357*(1-M146)</f>
        <v>0</v>
      </c>
      <c r="N147" s="554">
        <f>'Données patrimoniales'!AK357*(1-N146)</f>
        <v>0</v>
      </c>
      <c r="O147" s="554">
        <f>'Données patrimoniales'!AL357*(1-O146)</f>
        <v>0</v>
      </c>
      <c r="P147" s="554">
        <f>'Données patrimoniales'!AM357*(1-P146)</f>
        <v>0</v>
      </c>
      <c r="Q147" s="554">
        <f>'Données patrimoniales'!AN357*(1-Q146)</f>
        <v>0</v>
      </c>
      <c r="R147" s="554">
        <f>'Données patrimoniales'!AO357*(1-R146)</f>
        <v>0</v>
      </c>
      <c r="S147" s="554">
        <f>'Données patrimoniales'!AP357*(1-S146)</f>
        <v>0</v>
      </c>
      <c r="T147" s="554">
        <f>'Données patrimoniales'!AQ357*(1-T146)</f>
        <v>0</v>
      </c>
      <c r="U147" s="554">
        <f>'Données patrimoniales'!AR357*(1-U146)</f>
        <v>0</v>
      </c>
      <c r="V147" s="554">
        <f>'Données patrimoniales'!AS357*(1-V146)</f>
        <v>0</v>
      </c>
      <c r="W147" s="554">
        <f>'Données patrimoniales'!AT357*(1-W146)</f>
        <v>0</v>
      </c>
      <c r="X147" s="554">
        <f>'Données patrimoniales'!AU357*(1-X146)</f>
        <v>0</v>
      </c>
      <c r="Y147" s="554">
        <f>'Données patrimoniales'!AV357*(1-Y146)</f>
        <v>0</v>
      </c>
      <c r="Z147" s="554">
        <f>'Données patrimoniales'!AW357*(1-Z146)</f>
        <v>0</v>
      </c>
      <c r="AA147" s="554">
        <f>'Données patrimoniales'!AX357*(1-AA146)</f>
        <v>0</v>
      </c>
      <c r="AB147" s="554">
        <f>'Données patrimoniales'!AY357*(1-AB146)</f>
        <v>0</v>
      </c>
      <c r="AC147" s="554">
        <f>'Données patrimoniales'!AZ357*(1-AC146)</f>
        <v>0</v>
      </c>
      <c r="AD147" s="554">
        <f>'Données patrimoniales'!BA357*(1-AD146)</f>
        <v>0</v>
      </c>
      <c r="AE147" s="554">
        <f>'Données patrimoniales'!BB357*(1-AE146)</f>
        <v>0</v>
      </c>
      <c r="AF147" s="554">
        <f>'Données patrimoniales'!BC357*(1-AF146)</f>
        <v>0</v>
      </c>
    </row>
    <row r="148" spans="1:32">
      <c r="A148" s="553" t="s">
        <v>141</v>
      </c>
      <c r="B148" s="553" t="s">
        <v>142</v>
      </c>
      <c r="C148" s="553"/>
      <c r="D148" s="553" t="s">
        <v>92</v>
      </c>
      <c r="E148" s="553" t="s">
        <v>94</v>
      </c>
      <c r="F148" s="553" t="s">
        <v>76</v>
      </c>
      <c r="G148" s="554"/>
      <c r="H148" s="554"/>
      <c r="I148" s="554"/>
      <c r="J148" s="554"/>
      <c r="K148" s="554">
        <f>'Données patrimoniales'!AH356*(1-K146)</f>
        <v>0</v>
      </c>
      <c r="L148" s="554">
        <f>'Données patrimoniales'!AI356*(1-L146)</f>
        <v>0</v>
      </c>
      <c r="M148" s="554">
        <f>'Données patrimoniales'!AJ356*(1-M146)</f>
        <v>0</v>
      </c>
      <c r="N148" s="554">
        <f>'Données patrimoniales'!AK356*(1-N146)</f>
        <v>0</v>
      </c>
      <c r="O148" s="554">
        <f>'Données patrimoniales'!AL356*(1-O146)</f>
        <v>0</v>
      </c>
      <c r="P148" s="554">
        <f>'Données patrimoniales'!AM356*(1-P146)</f>
        <v>0</v>
      </c>
      <c r="Q148" s="554">
        <f>'Données patrimoniales'!AN356*(1-Q146)</f>
        <v>0</v>
      </c>
      <c r="R148" s="554">
        <f>'Données patrimoniales'!AO356*(1-R146)</f>
        <v>0</v>
      </c>
      <c r="S148" s="554">
        <f>'Données patrimoniales'!AP356*(1-S146)</f>
        <v>0</v>
      </c>
      <c r="T148" s="554">
        <f>'Données patrimoniales'!AQ356*(1-T146)</f>
        <v>0</v>
      </c>
      <c r="U148" s="554">
        <f>'Données patrimoniales'!AR356*(1-U146)</f>
        <v>0</v>
      </c>
      <c r="V148" s="554">
        <f>'Données patrimoniales'!AS356*(1-V146)</f>
        <v>0</v>
      </c>
      <c r="W148" s="554">
        <f>'Données patrimoniales'!AT356*(1-W146)</f>
        <v>0</v>
      </c>
      <c r="X148" s="554">
        <f>'Données patrimoniales'!AU356*(1-X146)</f>
        <v>0</v>
      </c>
      <c r="Y148" s="554">
        <f>'Données patrimoniales'!AV356*(1-Y146)</f>
        <v>0</v>
      </c>
      <c r="Z148" s="554">
        <f>'Données patrimoniales'!AW356*(1-Z146)</f>
        <v>0</v>
      </c>
      <c r="AA148" s="554">
        <f>'Données patrimoniales'!AX356*(1-AA146)</f>
        <v>0</v>
      </c>
      <c r="AB148" s="554">
        <f>'Données patrimoniales'!AY356*(1-AB146)</f>
        <v>0</v>
      </c>
      <c r="AC148" s="554">
        <f>'Données patrimoniales'!AZ356*(1-AC146)</f>
        <v>0</v>
      </c>
      <c r="AD148" s="554">
        <f>'Données patrimoniales'!BA356*(1-AD146)</f>
        <v>0</v>
      </c>
      <c r="AE148" s="554">
        <f>'Données patrimoniales'!BB356*(1-AE146)</f>
        <v>0</v>
      </c>
      <c r="AF148" s="554">
        <f>'Données patrimoniales'!BC356*(1-AF146)</f>
        <v>0</v>
      </c>
    </row>
    <row r="149" spans="1:32">
      <c r="A149" s="553" t="s">
        <v>141</v>
      </c>
      <c r="B149" s="553" t="s">
        <v>142</v>
      </c>
      <c r="C149" s="553"/>
      <c r="D149" s="553" t="s">
        <v>92</v>
      </c>
      <c r="E149" s="553" t="s">
        <v>97</v>
      </c>
      <c r="F149" s="553" t="s">
        <v>76</v>
      </c>
      <c r="G149" s="554"/>
      <c r="H149" s="554"/>
      <c r="I149" s="554"/>
      <c r="J149" s="554"/>
      <c r="K149" s="554">
        <f>'Données patrimoniales'!AH358</f>
        <v>0</v>
      </c>
      <c r="L149" s="554">
        <f>'Données patrimoniales'!AI358</f>
        <v>0</v>
      </c>
      <c r="M149" s="554">
        <f>'Données patrimoniales'!AJ358</f>
        <v>0</v>
      </c>
      <c r="N149" s="554">
        <f>'Données patrimoniales'!AK358</f>
        <v>0</v>
      </c>
      <c r="O149" s="554">
        <f>'Données patrimoniales'!AL358</f>
        <v>0</v>
      </c>
      <c r="P149" s="554">
        <f>'Données patrimoniales'!AM358</f>
        <v>0</v>
      </c>
      <c r="Q149" s="554">
        <f>'Données patrimoniales'!AN358</f>
        <v>0</v>
      </c>
      <c r="R149" s="554">
        <f>'Données patrimoniales'!AO358</f>
        <v>0</v>
      </c>
      <c r="S149" s="554">
        <f>'Données patrimoniales'!AP358</f>
        <v>0</v>
      </c>
      <c r="T149" s="554">
        <f>'Données patrimoniales'!AQ358</f>
        <v>0</v>
      </c>
      <c r="U149" s="554">
        <f>'Données patrimoniales'!AR358</f>
        <v>0</v>
      </c>
      <c r="V149" s="554">
        <f>'Données patrimoniales'!AS358</f>
        <v>0</v>
      </c>
      <c r="W149" s="554">
        <f>'Données patrimoniales'!AT358</f>
        <v>0</v>
      </c>
      <c r="X149" s="554">
        <f>'Données patrimoniales'!AU358</f>
        <v>0</v>
      </c>
      <c r="Y149" s="554">
        <f>'Données patrimoniales'!AV358</f>
        <v>0</v>
      </c>
      <c r="Z149" s="554">
        <f>'Données patrimoniales'!AW358</f>
        <v>0</v>
      </c>
      <c r="AA149" s="554">
        <f>'Données patrimoniales'!AX358</f>
        <v>0</v>
      </c>
      <c r="AB149" s="554">
        <f>'Données patrimoniales'!AY358</f>
        <v>0</v>
      </c>
      <c r="AC149" s="554">
        <f>'Données patrimoniales'!AZ358</f>
        <v>0</v>
      </c>
      <c r="AD149" s="554">
        <f>'Données patrimoniales'!BA358</f>
        <v>0</v>
      </c>
      <c r="AE149" s="554">
        <f>'Données patrimoniales'!BB358</f>
        <v>0</v>
      </c>
      <c r="AF149" s="554">
        <f>'Données patrimoniales'!BC358</f>
        <v>0</v>
      </c>
    </row>
    <row r="150" spans="1:32">
      <c r="A150" s="553" t="s">
        <v>141</v>
      </c>
      <c r="B150" s="553" t="s">
        <v>142</v>
      </c>
      <c r="C150" s="553"/>
      <c r="D150" s="553" t="s">
        <v>92</v>
      </c>
      <c r="E150" s="553" t="s">
        <v>144</v>
      </c>
      <c r="F150" s="553" t="s">
        <v>76</v>
      </c>
      <c r="G150" s="554"/>
      <c r="H150" s="554"/>
      <c r="I150" s="554"/>
      <c r="J150" s="554"/>
      <c r="K150" s="554">
        <f>SUBTOTAL(109,K147:K149)</f>
        <v>0</v>
      </c>
      <c r="L150" s="554">
        <f t="shared" ref="L150:AF150" si="2">SUBTOTAL(109,L147:L149)</f>
        <v>0</v>
      </c>
      <c r="M150" s="554">
        <f t="shared" si="2"/>
        <v>0</v>
      </c>
      <c r="N150" s="554">
        <f t="shared" si="2"/>
        <v>0</v>
      </c>
      <c r="O150" s="554">
        <f t="shared" si="2"/>
        <v>0</v>
      </c>
      <c r="P150" s="554">
        <f t="shared" si="2"/>
        <v>0</v>
      </c>
      <c r="Q150" s="554">
        <f t="shared" si="2"/>
        <v>0</v>
      </c>
      <c r="R150" s="554">
        <f t="shared" si="2"/>
        <v>0</v>
      </c>
      <c r="S150" s="554">
        <f t="shared" si="2"/>
        <v>0</v>
      </c>
      <c r="T150" s="554">
        <f t="shared" si="2"/>
        <v>0</v>
      </c>
      <c r="U150" s="554">
        <f t="shared" si="2"/>
        <v>0</v>
      </c>
      <c r="V150" s="554">
        <f t="shared" si="2"/>
        <v>0</v>
      </c>
      <c r="W150" s="554">
        <f t="shared" si="2"/>
        <v>0</v>
      </c>
      <c r="X150" s="554">
        <f t="shared" si="2"/>
        <v>0</v>
      </c>
      <c r="Y150" s="554">
        <f t="shared" si="2"/>
        <v>0</v>
      </c>
      <c r="Z150" s="554">
        <f t="shared" si="2"/>
        <v>0</v>
      </c>
      <c r="AA150" s="554">
        <f t="shared" si="2"/>
        <v>0</v>
      </c>
      <c r="AB150" s="554">
        <f t="shared" si="2"/>
        <v>0</v>
      </c>
      <c r="AC150" s="554">
        <f t="shared" si="2"/>
        <v>0</v>
      </c>
      <c r="AD150" s="554">
        <f t="shared" si="2"/>
        <v>0</v>
      </c>
      <c r="AE150" s="554">
        <f t="shared" si="2"/>
        <v>0</v>
      </c>
      <c r="AF150" s="554">
        <f t="shared" si="2"/>
        <v>0</v>
      </c>
    </row>
    <row r="151" spans="1:32">
      <c r="A151" s="553" t="s">
        <v>141</v>
      </c>
      <c r="B151" s="553" t="s">
        <v>142</v>
      </c>
      <c r="C151" s="553"/>
      <c r="D151" s="553" t="s">
        <v>92</v>
      </c>
      <c r="E151" s="553" t="s">
        <v>145</v>
      </c>
      <c r="F151" s="553" t="s">
        <v>76</v>
      </c>
      <c r="G151" s="554"/>
      <c r="H151" s="554"/>
      <c r="I151" s="554"/>
      <c r="J151" s="554"/>
      <c r="K151" s="554">
        <f>'Données patrimoniales'!AH357*K146+'Données patrimoniales'!AH356*K146</f>
        <v>0</v>
      </c>
      <c r="L151" s="554">
        <f>'Données patrimoniales'!AI357*L146+'Données patrimoniales'!AI356*L146</f>
        <v>0</v>
      </c>
      <c r="M151" s="554">
        <f>'Données patrimoniales'!AJ357*M146+'Données patrimoniales'!AJ356*M146</f>
        <v>0</v>
      </c>
      <c r="N151" s="554">
        <f>'Données patrimoniales'!AK357*N146+'Données patrimoniales'!AK356*N146</f>
        <v>0</v>
      </c>
      <c r="O151" s="554">
        <f>'Données patrimoniales'!AL357*O146+'Données patrimoniales'!AL356*O146</f>
        <v>0</v>
      </c>
      <c r="P151" s="554">
        <f>'Données patrimoniales'!AM357*P146+'Données patrimoniales'!AM356*P146</f>
        <v>0</v>
      </c>
      <c r="Q151" s="554">
        <f>'Données patrimoniales'!AN357*Q146+'Données patrimoniales'!AN356*Q146</f>
        <v>0</v>
      </c>
      <c r="R151" s="554">
        <f>'Données patrimoniales'!AO357*R146+'Données patrimoniales'!AO356*R146</f>
        <v>0</v>
      </c>
      <c r="S151" s="554">
        <f>'Données patrimoniales'!AP357*S146+'Données patrimoniales'!AP356*S146</f>
        <v>0</v>
      </c>
      <c r="T151" s="554">
        <f>'Données patrimoniales'!AQ357*T146+'Données patrimoniales'!AQ356*T146</f>
        <v>0</v>
      </c>
      <c r="U151" s="554">
        <f>'Données patrimoniales'!AR357*U146+'Données patrimoniales'!AR356*U146</f>
        <v>0</v>
      </c>
      <c r="V151" s="554">
        <f>'Données patrimoniales'!AS357*V146+'Données patrimoniales'!AS356*V146</f>
        <v>0</v>
      </c>
      <c r="W151" s="554">
        <f>'Données patrimoniales'!AT357*W146+'Données patrimoniales'!AT356*W146</f>
        <v>0</v>
      </c>
      <c r="X151" s="554">
        <f>'Données patrimoniales'!AU357*X146+'Données patrimoniales'!AU356*X146</f>
        <v>0</v>
      </c>
      <c r="Y151" s="554">
        <f>'Données patrimoniales'!AV357*Y146+'Données patrimoniales'!AV356*Y146</f>
        <v>0</v>
      </c>
      <c r="Z151" s="554">
        <f>'Données patrimoniales'!AW357*Z146+'Données patrimoniales'!AW356*Z146</f>
        <v>0</v>
      </c>
      <c r="AA151" s="554">
        <f>'Données patrimoniales'!AX357*AA146+'Données patrimoniales'!AX356*AA146</f>
        <v>0</v>
      </c>
      <c r="AB151" s="554">
        <f>'Données patrimoniales'!AY357*AB146+'Données patrimoniales'!AY356*AB146</f>
        <v>0</v>
      </c>
      <c r="AC151" s="554">
        <f>'Données patrimoniales'!AZ357*AC146+'Données patrimoniales'!AZ356*AC146</f>
        <v>0</v>
      </c>
      <c r="AD151" s="554">
        <f>'Données patrimoniales'!BA357*AD146+'Données patrimoniales'!BA356*AD146</f>
        <v>0</v>
      </c>
      <c r="AE151" s="554">
        <f>'Données patrimoniales'!BB357*AE146+'Données patrimoniales'!BB356*AE146</f>
        <v>0</v>
      </c>
      <c r="AF151" s="554">
        <f>'Données patrimoniales'!BC357*AF146+'Données patrimoniales'!BC356*AF146</f>
        <v>0</v>
      </c>
    </row>
    <row r="152" spans="1:32">
      <c r="A152" s="553" t="s">
        <v>141</v>
      </c>
      <c r="B152" s="553" t="s">
        <v>142</v>
      </c>
      <c r="C152" s="553"/>
      <c r="D152" s="553" t="s">
        <v>92</v>
      </c>
      <c r="E152" s="553" t="s">
        <v>98</v>
      </c>
      <c r="F152" s="553" t="s">
        <v>76</v>
      </c>
      <c r="G152" s="554"/>
      <c r="H152" s="554"/>
      <c r="I152" s="554"/>
      <c r="J152" s="554"/>
      <c r="K152" s="554">
        <f>'Données patrimoniales'!AH359</f>
        <v>0</v>
      </c>
      <c r="L152" s="554">
        <f>'Données patrimoniales'!AI359</f>
        <v>0</v>
      </c>
      <c r="M152" s="554">
        <f>'Données patrimoniales'!AJ359</f>
        <v>0</v>
      </c>
      <c r="N152" s="554">
        <f>'Données patrimoniales'!AK359</f>
        <v>0</v>
      </c>
      <c r="O152" s="554">
        <f>'Données patrimoniales'!AL359</f>
        <v>0</v>
      </c>
      <c r="P152" s="554">
        <f>'Données patrimoniales'!AM359</f>
        <v>0</v>
      </c>
      <c r="Q152" s="554">
        <f>'Données patrimoniales'!AN359</f>
        <v>0</v>
      </c>
      <c r="R152" s="554">
        <f>'Données patrimoniales'!AO359</f>
        <v>0</v>
      </c>
      <c r="S152" s="554">
        <f>'Données patrimoniales'!AP359</f>
        <v>0</v>
      </c>
      <c r="T152" s="554">
        <f>'Données patrimoniales'!AQ359</f>
        <v>0</v>
      </c>
      <c r="U152" s="554">
        <f>'Données patrimoniales'!AR359</f>
        <v>0</v>
      </c>
      <c r="V152" s="554">
        <f>'Données patrimoniales'!AS359</f>
        <v>0</v>
      </c>
      <c r="W152" s="554">
        <f>'Données patrimoniales'!AT359</f>
        <v>0</v>
      </c>
      <c r="X152" s="554">
        <f>'Données patrimoniales'!AU359</f>
        <v>0</v>
      </c>
      <c r="Y152" s="554">
        <f>'Données patrimoniales'!AV359</f>
        <v>0</v>
      </c>
      <c r="Z152" s="554">
        <f>'Données patrimoniales'!AW359</f>
        <v>0</v>
      </c>
      <c r="AA152" s="554">
        <f>'Données patrimoniales'!AX359</f>
        <v>0</v>
      </c>
      <c r="AB152" s="554">
        <f>'Données patrimoniales'!AY359</f>
        <v>0</v>
      </c>
      <c r="AC152" s="554">
        <f>'Données patrimoniales'!AZ359</f>
        <v>0</v>
      </c>
      <c r="AD152" s="554">
        <f>'Données patrimoniales'!BA359</f>
        <v>0</v>
      </c>
      <c r="AE152" s="554">
        <f>'Données patrimoniales'!BB359</f>
        <v>0</v>
      </c>
      <c r="AF152" s="554">
        <f>'Données patrimoniales'!BC359</f>
        <v>0</v>
      </c>
    </row>
    <row r="153" spans="1:32">
      <c r="A153" s="553" t="s">
        <v>141</v>
      </c>
      <c r="B153" s="553" t="s">
        <v>142</v>
      </c>
      <c r="C153" s="553"/>
      <c r="D153" s="553" t="s">
        <v>92</v>
      </c>
      <c r="E153" s="553" t="s">
        <v>93</v>
      </c>
      <c r="F153" s="553" t="s">
        <v>76</v>
      </c>
      <c r="G153" s="560"/>
      <c r="H153" s="560"/>
      <c r="I153" s="560"/>
      <c r="J153" s="560"/>
      <c r="K153" s="560">
        <f>'Données patrimoniales'!AH355</f>
        <v>0</v>
      </c>
      <c r="L153" s="560">
        <f>'Données patrimoniales'!AI355</f>
        <v>0</v>
      </c>
      <c r="M153" s="560">
        <f>'Données patrimoniales'!AJ355</f>
        <v>0</v>
      </c>
      <c r="N153" s="560">
        <f>'Données patrimoniales'!AK355</f>
        <v>0</v>
      </c>
      <c r="O153" s="560">
        <f>'Données patrimoniales'!AL355</f>
        <v>0</v>
      </c>
      <c r="P153" s="560">
        <f>'Données patrimoniales'!AM355</f>
        <v>0</v>
      </c>
      <c r="Q153" s="560">
        <f>'Données patrimoniales'!AN355</f>
        <v>0</v>
      </c>
      <c r="R153" s="560">
        <f>'Données patrimoniales'!AO355</f>
        <v>0</v>
      </c>
      <c r="S153" s="560">
        <f>'Données patrimoniales'!AP355</f>
        <v>0</v>
      </c>
      <c r="T153" s="560">
        <f>'Données patrimoniales'!AQ355</f>
        <v>0</v>
      </c>
      <c r="U153" s="560">
        <f>'Données patrimoniales'!AR355</f>
        <v>0</v>
      </c>
      <c r="V153" s="560">
        <f>'Données patrimoniales'!AS355</f>
        <v>0</v>
      </c>
      <c r="W153" s="560">
        <f>'Données patrimoniales'!AT355</f>
        <v>0</v>
      </c>
      <c r="X153" s="560">
        <f>'Données patrimoniales'!AU355</f>
        <v>0</v>
      </c>
      <c r="Y153" s="560">
        <f>'Données patrimoniales'!AV355</f>
        <v>0</v>
      </c>
      <c r="Z153" s="560">
        <f>'Données patrimoniales'!AW355</f>
        <v>0</v>
      </c>
      <c r="AA153" s="560">
        <f>'Données patrimoniales'!AX355</f>
        <v>0</v>
      </c>
      <c r="AB153" s="560">
        <f>'Données patrimoniales'!AY355</f>
        <v>0</v>
      </c>
      <c r="AC153" s="560">
        <f>'Données patrimoniales'!AZ355</f>
        <v>0</v>
      </c>
      <c r="AD153" s="560">
        <f>'Données patrimoniales'!BA355</f>
        <v>0</v>
      </c>
      <c r="AE153" s="560">
        <f>'Données patrimoniales'!BB355</f>
        <v>0</v>
      </c>
      <c r="AF153" s="560">
        <f>'Données patrimoniales'!BC355</f>
        <v>0</v>
      </c>
    </row>
    <row r="154" spans="1:32">
      <c r="A154" s="553" t="s">
        <v>141</v>
      </c>
      <c r="B154" s="553" t="s">
        <v>146</v>
      </c>
      <c r="C154" s="553"/>
      <c r="D154" s="553" t="s">
        <v>147</v>
      </c>
      <c r="E154" s="553" t="s">
        <v>93</v>
      </c>
      <c r="F154" s="553" t="s">
        <v>76</v>
      </c>
      <c r="G154" s="554"/>
      <c r="H154" s="554"/>
      <c r="I154" s="554"/>
      <c r="J154" s="554"/>
      <c r="K154" s="554">
        <f>SUM('Données patrimoniales'!F162:F311)</f>
        <v>0</v>
      </c>
      <c r="L154" s="554">
        <f>SUM('Données patrimoniales'!G162:G311)</f>
        <v>0</v>
      </c>
      <c r="M154" s="554">
        <f>SUM('Données patrimoniales'!H162:H311)</f>
        <v>0</v>
      </c>
      <c r="N154" s="554">
        <f>SUM('Données patrimoniales'!I162:I311)</f>
        <v>0</v>
      </c>
      <c r="O154" s="554">
        <f>SUM('Données patrimoniales'!J162:J311)</f>
        <v>0</v>
      </c>
      <c r="P154" s="554">
        <f>SUM('Données patrimoniales'!K162:K311)</f>
        <v>0</v>
      </c>
      <c r="Q154" s="554">
        <f>SUM('Données patrimoniales'!L162:L311)</f>
        <v>0</v>
      </c>
      <c r="R154" s="554">
        <f>SUM('Données patrimoniales'!M162:M311)</f>
        <v>0</v>
      </c>
      <c r="S154" s="554">
        <f>SUM('Données patrimoniales'!N162:N311)</f>
        <v>0</v>
      </c>
      <c r="T154" s="554">
        <f>SUM('Données patrimoniales'!O162:O311)</f>
        <v>0</v>
      </c>
      <c r="U154" s="554">
        <f>SUM('Données patrimoniales'!P162:P311)</f>
        <v>0</v>
      </c>
      <c r="V154" s="554">
        <f>SUM('Données patrimoniales'!Q162:Q311)</f>
        <v>0</v>
      </c>
      <c r="W154" s="554">
        <f>SUM('Données patrimoniales'!R162:R311)</f>
        <v>0</v>
      </c>
      <c r="X154" s="554">
        <f>SUM('Données patrimoniales'!S162:S311)</f>
        <v>0</v>
      </c>
      <c r="Y154" s="554">
        <f>SUM('Données patrimoniales'!T162:T311)</f>
        <v>0</v>
      </c>
      <c r="Z154" s="554">
        <f>SUM('Données patrimoniales'!U162:U311)</f>
        <v>0</v>
      </c>
      <c r="AA154" s="554">
        <f>SUM('Données patrimoniales'!V162:V311)</f>
        <v>0</v>
      </c>
      <c r="AB154" s="554">
        <f>SUM('Données patrimoniales'!W162:W311)</f>
        <v>0</v>
      </c>
      <c r="AC154" s="554">
        <f>SUM('Données patrimoniales'!X162:X311)</f>
        <v>0</v>
      </c>
      <c r="AD154" s="554">
        <f>SUM('Données patrimoniales'!Y162:Y311)</f>
        <v>0</v>
      </c>
      <c r="AE154" s="554">
        <f>SUM('Données patrimoniales'!Z162:Z311)</f>
        <v>0</v>
      </c>
      <c r="AF154" s="554">
        <f>SUM('Données patrimoniales'!AA162:AA311)</f>
        <v>0</v>
      </c>
    </row>
    <row r="155" spans="1:32">
      <c r="A155" s="553" t="s">
        <v>141</v>
      </c>
      <c r="B155" s="553" t="s">
        <v>146</v>
      </c>
      <c r="C155" s="553"/>
      <c r="D155" s="553" t="s">
        <v>148</v>
      </c>
      <c r="E155" s="553" t="s">
        <v>93</v>
      </c>
      <c r="F155" s="553" t="s">
        <v>76</v>
      </c>
      <c r="G155" s="554"/>
      <c r="H155" s="554"/>
      <c r="I155" s="554"/>
      <c r="J155" s="554"/>
      <c r="K155" s="554">
        <f>SUM('Données patrimoniales'!F316:F345)</f>
        <v>0</v>
      </c>
      <c r="L155" s="554">
        <f>SUM('Données patrimoniales'!G316:G345)</f>
        <v>0</v>
      </c>
      <c r="M155" s="554">
        <f>SUM('Données patrimoniales'!H316:H345)</f>
        <v>0</v>
      </c>
      <c r="N155" s="554">
        <f>SUM('Données patrimoniales'!I316:I345)</f>
        <v>0</v>
      </c>
      <c r="O155" s="554">
        <f>SUM('Données patrimoniales'!J316:J345)</f>
        <v>0</v>
      </c>
      <c r="P155" s="554">
        <f>SUM('Données patrimoniales'!K316:K345)</f>
        <v>0</v>
      </c>
      <c r="Q155" s="554">
        <f>SUM('Données patrimoniales'!L316:L345)</f>
        <v>0</v>
      </c>
      <c r="R155" s="554">
        <f>SUM('Données patrimoniales'!M316:M345)</f>
        <v>0</v>
      </c>
      <c r="S155" s="554">
        <f>SUM('Données patrimoniales'!N316:N345)</f>
        <v>0</v>
      </c>
      <c r="T155" s="554">
        <f>SUM('Données patrimoniales'!O316:O345)</f>
        <v>0</v>
      </c>
      <c r="U155" s="554">
        <f>SUM('Données patrimoniales'!P316:P345)</f>
        <v>0</v>
      </c>
      <c r="V155" s="554">
        <f>SUM('Données patrimoniales'!Q316:Q345)</f>
        <v>0</v>
      </c>
      <c r="W155" s="554">
        <f>SUM('Données patrimoniales'!R316:R345)</f>
        <v>0</v>
      </c>
      <c r="X155" s="554">
        <f>SUM('Données patrimoniales'!S316:S345)</f>
        <v>0</v>
      </c>
      <c r="Y155" s="554">
        <f>SUM('Données patrimoniales'!T316:T345)</f>
        <v>0</v>
      </c>
      <c r="Z155" s="554">
        <f>SUM('Données patrimoniales'!U316:U345)</f>
        <v>0</v>
      </c>
      <c r="AA155" s="554">
        <f>SUM('Données patrimoniales'!V316:V345)</f>
        <v>0</v>
      </c>
      <c r="AB155" s="554">
        <f>SUM('Données patrimoniales'!W316:W345)</f>
        <v>0</v>
      </c>
      <c r="AC155" s="554">
        <f>SUM('Données patrimoniales'!X316:X345)</f>
        <v>0</v>
      </c>
      <c r="AD155" s="554">
        <f>SUM('Données patrimoniales'!Y316:Y345)</f>
        <v>0</v>
      </c>
      <c r="AE155" s="554">
        <f>SUM('Données patrimoniales'!Z316:Z345)</f>
        <v>0</v>
      </c>
      <c r="AF155" s="554">
        <f>SUM('Données patrimoniales'!AA316:AA345)</f>
        <v>0</v>
      </c>
    </row>
    <row r="156" spans="1:32">
      <c r="A156" s="553" t="s">
        <v>141</v>
      </c>
      <c r="B156" s="553" t="s">
        <v>146</v>
      </c>
      <c r="C156" s="553"/>
      <c r="D156" s="553" t="s">
        <v>149</v>
      </c>
      <c r="E156" s="553" t="s">
        <v>93</v>
      </c>
      <c r="F156" s="553" t="s">
        <v>76</v>
      </c>
      <c r="G156" s="555"/>
      <c r="H156" s="555"/>
      <c r="I156" s="555"/>
      <c r="J156" s="555"/>
      <c r="K156" s="606">
        <f>SUMIF('Données patrimoniales'!$D8:$D157,Hypothèses!$D$9,'Données patrimoniales'!AH8:AH157)</f>
        <v>0</v>
      </c>
      <c r="L156" s="606">
        <f>SUMIF('Données patrimoniales'!$D8:$D157,Hypothèses!$D$9,'Données patrimoniales'!AI8:AI157)</f>
        <v>0</v>
      </c>
      <c r="M156" s="606">
        <f>SUMIF('Données patrimoniales'!$D8:$D157,Hypothèses!$D$9,'Données patrimoniales'!AJ8:AJ157)</f>
        <v>0</v>
      </c>
      <c r="N156" s="606">
        <f>SUMIF('Données patrimoniales'!$D8:$D157,Hypothèses!$D$9,'Données patrimoniales'!AK8:AK157)</f>
        <v>0</v>
      </c>
      <c r="O156" s="606">
        <f>SUMIF('Données patrimoniales'!$D8:$D157,Hypothèses!$D$9,'Données patrimoniales'!AL8:AL157)</f>
        <v>0</v>
      </c>
      <c r="P156" s="606">
        <f>SUMIF('Données patrimoniales'!$D8:$D157,Hypothèses!$D$9,'Données patrimoniales'!AM8:AM157)</f>
        <v>0</v>
      </c>
      <c r="Q156" s="606">
        <f>SUMIF('Données patrimoniales'!$D8:$D157,Hypothèses!$D$9,'Données patrimoniales'!AN8:AN157)</f>
        <v>0</v>
      </c>
      <c r="R156" s="606">
        <f>SUMIF('Données patrimoniales'!$D8:$D157,Hypothèses!$D$9,'Données patrimoniales'!AO8:AO157)</f>
        <v>0</v>
      </c>
      <c r="S156" s="606">
        <f>SUMIF('Données patrimoniales'!$D8:$D157,Hypothèses!$D$9,'Données patrimoniales'!AP8:AP157)</f>
        <v>0</v>
      </c>
      <c r="T156" s="606">
        <f>SUMIF('Données patrimoniales'!$D8:$D157,Hypothèses!$D$9,'Données patrimoniales'!AQ8:AQ157)</f>
        <v>0</v>
      </c>
      <c r="U156" s="606">
        <f>SUMIF('Données patrimoniales'!$D8:$D157,Hypothèses!$D$9,'Données patrimoniales'!AR8:AR157)</f>
        <v>0</v>
      </c>
      <c r="V156" s="606">
        <f>SUMIF('Données patrimoniales'!$D8:$D157,Hypothèses!$D$9,'Données patrimoniales'!AS8:AS157)</f>
        <v>0</v>
      </c>
      <c r="W156" s="606">
        <f>SUMIF('Données patrimoniales'!$D8:$D157,Hypothèses!$D$9,'Données patrimoniales'!AT8:AT157)</f>
        <v>0</v>
      </c>
      <c r="X156" s="606">
        <f>SUMIF('Données patrimoniales'!$D8:$D157,Hypothèses!$D$9,'Données patrimoniales'!AU8:AU157)</f>
        <v>0</v>
      </c>
      <c r="Y156" s="606">
        <f>SUMIF('Données patrimoniales'!$D8:$D157,Hypothèses!$D$9,'Données patrimoniales'!AV8:AV157)</f>
        <v>0</v>
      </c>
      <c r="Z156" s="606">
        <f>SUMIF('Données patrimoniales'!$D8:$D157,Hypothèses!$D$9,'Données patrimoniales'!AW8:AW157)</f>
        <v>0</v>
      </c>
      <c r="AA156" s="606">
        <f>SUMIF('Données patrimoniales'!$D8:$D157,Hypothèses!$D$9,'Données patrimoniales'!AX8:AX157)</f>
        <v>0</v>
      </c>
      <c r="AB156" s="606">
        <f>SUMIF('Données patrimoniales'!$D8:$D157,Hypothèses!$D$9,'Données patrimoniales'!AY8:AY157)</f>
        <v>0</v>
      </c>
      <c r="AC156" s="606">
        <f>SUMIF('Données patrimoniales'!$D8:$D157,Hypothèses!$D$9,'Données patrimoniales'!AZ8:AZ157)</f>
        <v>0</v>
      </c>
      <c r="AD156" s="606">
        <f>SUMIF('Données patrimoniales'!$D8:$D157,Hypothèses!$D$9,'Données patrimoniales'!BA8:BA157)</f>
        <v>0</v>
      </c>
      <c r="AE156" s="606">
        <f>SUMIF('Données patrimoniales'!$D8:$D157,Hypothèses!$D$9,'Données patrimoniales'!BB8:BB157)</f>
        <v>0</v>
      </c>
      <c r="AF156" s="606">
        <f>SUMIF('Données patrimoniales'!$D8:$D157,Hypothèses!$D$9,'Données patrimoniales'!BC8:BC157)</f>
        <v>0</v>
      </c>
    </row>
    <row r="157" spans="1:32">
      <c r="A157" s="553" t="s">
        <v>141</v>
      </c>
      <c r="B157" s="553" t="s">
        <v>146</v>
      </c>
      <c r="C157" s="553"/>
      <c r="D157" s="553" t="s">
        <v>149</v>
      </c>
      <c r="E157" s="553" t="s">
        <v>98</v>
      </c>
      <c r="F157" s="553" t="s">
        <v>76</v>
      </c>
      <c r="G157" s="554"/>
      <c r="H157" s="554"/>
      <c r="I157" s="554"/>
      <c r="J157" s="554"/>
      <c r="K157" s="554">
        <f>SUMIF('Données patrimoniales'!$D8:$D157,Hypothèses!$D$10,'Données patrimoniales'!AH8:AH157)+SUMIF('Données patrimoniales'!$D8:$D157,Hypothèses!$D$11,'Données patrimoniales'!AH8:AH157)</f>
        <v>0</v>
      </c>
      <c r="L157" s="554">
        <f>SUMIF('Données patrimoniales'!$D8:$D157,Hypothèses!$D$10,'Données patrimoniales'!AI8:AI157)+SUMIF('Données patrimoniales'!$D8:$D157,Hypothèses!$D$11,'Données patrimoniales'!AI8:AI157)</f>
        <v>0</v>
      </c>
      <c r="M157" s="554">
        <f>SUMIF('Données patrimoniales'!$D8:$D157,Hypothèses!$D$10,'Données patrimoniales'!AJ8:AJ157)+SUMIF('Données patrimoniales'!$D8:$D157,Hypothèses!$D$11,'Données patrimoniales'!AJ8:AJ157)</f>
        <v>0</v>
      </c>
      <c r="N157" s="554">
        <f>SUMIF('Données patrimoniales'!$D8:$D157,Hypothèses!$D$10,'Données patrimoniales'!AK8:AK157)+SUMIF('Données patrimoniales'!$D8:$D157,Hypothèses!$D$11,'Données patrimoniales'!AK8:AK157)</f>
        <v>0</v>
      </c>
      <c r="O157" s="554">
        <f>SUMIF('Données patrimoniales'!$D8:$D157,Hypothèses!$D$10,'Données patrimoniales'!AL8:AL157)+SUMIF('Données patrimoniales'!$D8:$D157,Hypothèses!$D$11,'Données patrimoniales'!AL8:AL157)</f>
        <v>0</v>
      </c>
      <c r="P157" s="554">
        <f>SUMIF('Données patrimoniales'!$D8:$D157,Hypothèses!$D$10,'Données patrimoniales'!AM8:AM157)+SUMIF('Données patrimoniales'!$D8:$D157,Hypothèses!$D$11,'Données patrimoniales'!AM8:AM157)</f>
        <v>0</v>
      </c>
      <c r="Q157" s="554">
        <f>SUMIF('Données patrimoniales'!$D8:$D157,Hypothèses!$D$10,'Données patrimoniales'!AN8:AN157)+SUMIF('Données patrimoniales'!$D8:$D157,Hypothèses!$D$11,'Données patrimoniales'!AN8:AN157)</f>
        <v>0</v>
      </c>
      <c r="R157" s="554">
        <f>SUMIF('Données patrimoniales'!$D8:$D157,Hypothèses!$D$10,'Données patrimoniales'!AO8:AO157)+SUMIF('Données patrimoniales'!$D8:$D157,Hypothèses!$D$11,'Données patrimoniales'!AO8:AO157)</f>
        <v>0</v>
      </c>
      <c r="S157" s="554">
        <f>SUMIF('Données patrimoniales'!$D8:$D157,Hypothèses!$D$10,'Données patrimoniales'!AP8:AP157)+SUMIF('Données patrimoniales'!$D8:$D157,Hypothèses!$D$11,'Données patrimoniales'!AP8:AP157)</f>
        <v>0</v>
      </c>
      <c r="T157" s="554">
        <f>SUMIF('Données patrimoniales'!$D8:$D157,Hypothèses!$D$10,'Données patrimoniales'!AQ8:AQ157)+SUMIF('Données patrimoniales'!$D8:$D157,Hypothèses!$D$11,'Données patrimoniales'!AQ8:AQ157)</f>
        <v>0</v>
      </c>
      <c r="U157" s="554">
        <f>SUMIF('Données patrimoniales'!$D8:$D157,Hypothèses!$D$10,'Données patrimoniales'!AR8:AR157)+SUMIF('Données patrimoniales'!$D8:$D157,Hypothèses!$D$11,'Données patrimoniales'!AR8:AR157)</f>
        <v>0</v>
      </c>
      <c r="V157" s="554">
        <f>SUMIF('Données patrimoniales'!$D8:$D157,Hypothèses!$D$10,'Données patrimoniales'!AS8:AS157)+SUMIF('Données patrimoniales'!$D8:$D157,Hypothèses!$D$11,'Données patrimoniales'!AS8:AS157)</f>
        <v>0</v>
      </c>
      <c r="W157" s="554">
        <f>SUMIF('Données patrimoniales'!$D8:$D157,Hypothèses!$D$10,'Données patrimoniales'!AT8:AT157)+SUMIF('Données patrimoniales'!$D8:$D157,Hypothèses!$D$11,'Données patrimoniales'!AT8:AT157)</f>
        <v>0</v>
      </c>
      <c r="X157" s="554">
        <f>SUMIF('Données patrimoniales'!$D8:$D157,Hypothèses!$D$10,'Données patrimoniales'!AU8:AU157)+SUMIF('Données patrimoniales'!$D8:$D157,Hypothèses!$D$11,'Données patrimoniales'!AU8:AU157)</f>
        <v>0</v>
      </c>
      <c r="Y157" s="554">
        <f>SUMIF('Données patrimoniales'!$D8:$D157,Hypothèses!$D$10,'Données patrimoniales'!AV8:AV157)+SUMIF('Données patrimoniales'!$D8:$D157,Hypothèses!$D$11,'Données patrimoniales'!AV8:AV157)</f>
        <v>0</v>
      </c>
      <c r="Z157" s="554">
        <f>SUMIF('Données patrimoniales'!$D8:$D157,Hypothèses!$D$10,'Données patrimoniales'!AW8:AW157)+SUMIF('Données patrimoniales'!$D8:$D157,Hypothèses!$D$11,'Données patrimoniales'!AW8:AW157)</f>
        <v>0</v>
      </c>
      <c r="AA157" s="554">
        <f>SUMIF('Données patrimoniales'!$D8:$D157,Hypothèses!$D$10,'Données patrimoniales'!AX8:AX157)+SUMIF('Données patrimoniales'!$D8:$D157,Hypothèses!$D$11,'Données patrimoniales'!AX8:AX157)</f>
        <v>0</v>
      </c>
      <c r="AB157" s="554">
        <f>SUMIF('Données patrimoniales'!$D8:$D157,Hypothèses!$D$10,'Données patrimoniales'!AY8:AY157)+SUMIF('Données patrimoniales'!$D8:$D157,Hypothèses!$D$11,'Données patrimoniales'!AY8:AY157)</f>
        <v>0</v>
      </c>
      <c r="AC157" s="554">
        <f>SUMIF('Données patrimoniales'!$D8:$D157,Hypothèses!$D$10,'Données patrimoniales'!AZ8:AZ157)+SUMIF('Données patrimoniales'!$D8:$D157,Hypothèses!$D$11,'Données patrimoniales'!AZ8:AZ157)</f>
        <v>0</v>
      </c>
      <c r="AD157" s="554">
        <f>SUMIF('Données patrimoniales'!$D8:$D157,Hypothèses!$D$10,'Données patrimoniales'!BA8:BA157)+SUMIF('Données patrimoniales'!$D8:$D157,Hypothèses!$D$11,'Données patrimoniales'!BA8:BA157)</f>
        <v>0</v>
      </c>
      <c r="AE157" s="554">
        <f>SUMIF('Données patrimoniales'!$D8:$D157,Hypothèses!$D$10,'Données patrimoniales'!BB8:BB157)+SUMIF('Données patrimoniales'!$D8:$D157,Hypothèses!$D$11,'Données patrimoniales'!BB8:BB157)</f>
        <v>0</v>
      </c>
      <c r="AF157" s="554">
        <f>SUMIF('Données patrimoniales'!$D8:$D157,Hypothèses!$D$10,'Données patrimoniales'!BC8:BC157)+SUMIF('Données patrimoniales'!$D8:$D157,Hypothèses!$D$11,'Données patrimoniales'!BC8:BC157)</f>
        <v>0</v>
      </c>
    </row>
    <row r="158" spans="1:32">
      <c r="A158" s="553" t="s">
        <v>141</v>
      </c>
      <c r="B158" s="553" t="s">
        <v>146</v>
      </c>
      <c r="C158" s="553"/>
      <c r="D158" s="553" t="s">
        <v>149</v>
      </c>
      <c r="E158" s="553" t="s">
        <v>150</v>
      </c>
      <c r="F158" s="553" t="s">
        <v>76</v>
      </c>
      <c r="G158" s="554"/>
      <c r="H158" s="554"/>
      <c r="I158" s="554"/>
      <c r="J158" s="554"/>
      <c r="K158" s="554">
        <f>SUMIF('Données patrimoniales'!$D8:$D157,Hypothèses!$D$7,'Données patrimoniales'!AH8:AH157)</f>
        <v>0</v>
      </c>
      <c r="L158" s="554">
        <f>SUMIF('Données patrimoniales'!$D8:$D157,Hypothèses!$D$7,'Données patrimoniales'!AI8:AI157)</f>
        <v>0</v>
      </c>
      <c r="M158" s="554">
        <f>SUMIF('Données patrimoniales'!$D8:$D157,Hypothèses!$D$7,'Données patrimoniales'!AJ8:AJ157)</f>
        <v>0</v>
      </c>
      <c r="N158" s="554">
        <f>SUMIF('Données patrimoniales'!$D8:$D157,Hypothèses!$D$7,'Données patrimoniales'!AK8:AK157)</f>
        <v>0</v>
      </c>
      <c r="O158" s="554">
        <f>SUMIF('Données patrimoniales'!$D8:$D157,Hypothèses!$D$7,'Données patrimoniales'!AL8:AL157)</f>
        <v>0</v>
      </c>
      <c r="P158" s="554">
        <f>SUMIF('Données patrimoniales'!$D8:$D157,Hypothèses!$D$7,'Données patrimoniales'!AM8:AM157)</f>
        <v>0</v>
      </c>
      <c r="Q158" s="554">
        <f>SUMIF('Données patrimoniales'!$D8:$D157,Hypothèses!$D$7,'Données patrimoniales'!AN8:AN157)</f>
        <v>0</v>
      </c>
      <c r="R158" s="554">
        <f>SUMIF('Données patrimoniales'!$D8:$D157,Hypothèses!$D$7,'Données patrimoniales'!AO8:AO157)</f>
        <v>0</v>
      </c>
      <c r="S158" s="554">
        <f>SUMIF('Données patrimoniales'!$D8:$D157,Hypothèses!$D$7,'Données patrimoniales'!AP8:AP157)</f>
        <v>0</v>
      </c>
      <c r="T158" s="554">
        <f>SUMIF('Données patrimoniales'!$D8:$D157,Hypothèses!$D$7,'Données patrimoniales'!AQ8:AQ157)</f>
        <v>0</v>
      </c>
      <c r="U158" s="554">
        <f>SUMIF('Données patrimoniales'!$D8:$D157,Hypothèses!$D$7,'Données patrimoniales'!AR8:AR157)</f>
        <v>0</v>
      </c>
      <c r="V158" s="554">
        <f>SUMIF('Données patrimoniales'!$D8:$D157,Hypothèses!$D$7,'Données patrimoniales'!AS8:AS157)</f>
        <v>0</v>
      </c>
      <c r="W158" s="554">
        <f>SUMIF('Données patrimoniales'!$D8:$D157,Hypothèses!$D$7,'Données patrimoniales'!AT8:AT157)</f>
        <v>0</v>
      </c>
      <c r="X158" s="554">
        <f>SUMIF('Données patrimoniales'!$D8:$D157,Hypothèses!$D$7,'Données patrimoniales'!AU8:AU157)</f>
        <v>0</v>
      </c>
      <c r="Y158" s="554">
        <f>SUMIF('Données patrimoniales'!$D8:$D157,Hypothèses!$D$7,'Données patrimoniales'!AV8:AV157)</f>
        <v>0</v>
      </c>
      <c r="Z158" s="554">
        <f>SUMIF('Données patrimoniales'!$D8:$D157,Hypothèses!$D$7,'Données patrimoniales'!AW8:AW157)</f>
        <v>0</v>
      </c>
      <c r="AA158" s="554">
        <f>SUMIF('Données patrimoniales'!$D8:$D157,Hypothèses!$D$7,'Données patrimoniales'!AX8:AX157)</f>
        <v>0</v>
      </c>
      <c r="AB158" s="554">
        <f>SUMIF('Données patrimoniales'!$D8:$D157,Hypothèses!$D$7,'Données patrimoniales'!AY8:AY157)</f>
        <v>0</v>
      </c>
      <c r="AC158" s="554">
        <f>SUMIF('Données patrimoniales'!$D8:$D157,Hypothèses!$D$7,'Données patrimoniales'!AZ8:AZ157)</f>
        <v>0</v>
      </c>
      <c r="AD158" s="554">
        <f>SUMIF('Données patrimoniales'!$D8:$D157,Hypothèses!$D$7,'Données patrimoniales'!BA8:BA157)</f>
        <v>0</v>
      </c>
      <c r="AE158" s="554">
        <f>SUMIF('Données patrimoniales'!$D8:$D157,Hypothèses!$D$7,'Données patrimoniales'!BB8:BB157)</f>
        <v>0</v>
      </c>
      <c r="AF158" s="554">
        <f>SUMIF('Données patrimoniales'!$D8:$D157,Hypothèses!$D$7,'Données patrimoniales'!BC8:BC157)</f>
        <v>0</v>
      </c>
    </row>
    <row r="159" spans="1:32">
      <c r="A159" s="553" t="s">
        <v>141</v>
      </c>
      <c r="B159" s="553" t="s">
        <v>146</v>
      </c>
      <c r="C159" s="553"/>
      <c r="D159" s="553" t="s">
        <v>149</v>
      </c>
      <c r="E159" s="553" t="s">
        <v>151</v>
      </c>
      <c r="F159" s="553" t="s">
        <v>76</v>
      </c>
      <c r="G159" s="554"/>
      <c r="H159" s="554"/>
      <c r="I159" s="554"/>
      <c r="J159" s="554"/>
      <c r="K159" s="554">
        <f>SUMIF('Données patrimoniales'!$D$8:$D$157,Hypothèses!$D$8,'Données patrimoniales'!AH$8:AH$157)</f>
        <v>0</v>
      </c>
      <c r="L159" s="554">
        <f>SUMIF('Données patrimoniales'!$D$8:$D$157,Hypothèses!$D$8,'Données patrimoniales'!AI$8:AI$157)</f>
        <v>0</v>
      </c>
      <c r="M159" s="554">
        <f>SUMIF('Données patrimoniales'!$D$8:$D$157,Hypothèses!$D$8,'Données patrimoniales'!AJ$8:AJ$157)</f>
        <v>0</v>
      </c>
      <c r="N159" s="554">
        <f>SUMIF('Données patrimoniales'!$D$8:$D$157,Hypothèses!$D$8,'Données patrimoniales'!AK$8:AK$157)</f>
        <v>0</v>
      </c>
      <c r="O159" s="554">
        <f>SUMIF('Données patrimoniales'!$D$8:$D$157,Hypothèses!$D$8,'Données patrimoniales'!AL$8:AL$157)</f>
        <v>0</v>
      </c>
      <c r="P159" s="554">
        <f>SUMIF('Données patrimoniales'!$D$8:$D$157,Hypothèses!$D$8,'Données patrimoniales'!AM$8:AM$157)</f>
        <v>0</v>
      </c>
      <c r="Q159" s="554">
        <f>SUMIF('Données patrimoniales'!$D$8:$D$157,Hypothèses!$D$8,'Données patrimoniales'!AN$8:AN$157)</f>
        <v>0</v>
      </c>
      <c r="R159" s="554">
        <f>SUMIF('Données patrimoniales'!$D$8:$D$157,Hypothèses!$D$8,'Données patrimoniales'!AO$8:AO$157)</f>
        <v>0</v>
      </c>
      <c r="S159" s="554">
        <f>SUMIF('Données patrimoniales'!$D$8:$D$157,Hypothèses!$D$8,'Données patrimoniales'!AP$8:AP$157)</f>
        <v>0</v>
      </c>
      <c r="T159" s="554">
        <f>SUMIF('Données patrimoniales'!$D$8:$D$157,Hypothèses!$D$8,'Données patrimoniales'!AQ$8:AQ$157)</f>
        <v>0</v>
      </c>
      <c r="U159" s="554">
        <f>SUMIF('Données patrimoniales'!$D$8:$D$157,Hypothèses!$D$8,'Données patrimoniales'!AR$8:AR$157)</f>
        <v>0</v>
      </c>
      <c r="V159" s="554">
        <f>SUMIF('Données patrimoniales'!$D$8:$D$157,Hypothèses!$D$8,'Données patrimoniales'!AS$8:AS$157)</f>
        <v>0</v>
      </c>
      <c r="W159" s="554">
        <f>SUMIF('Données patrimoniales'!$D$8:$D$157,Hypothèses!$D$8,'Données patrimoniales'!AT$8:AT$157)</f>
        <v>0</v>
      </c>
      <c r="X159" s="554">
        <f>SUMIF('Données patrimoniales'!$D$8:$D$157,Hypothèses!$D$8,'Données patrimoniales'!AU$8:AU$157)</f>
        <v>0</v>
      </c>
      <c r="Y159" s="554">
        <f>SUMIF('Données patrimoniales'!$D$8:$D$157,Hypothèses!$D$8,'Données patrimoniales'!AV$8:AV$157)</f>
        <v>0</v>
      </c>
      <c r="Z159" s="554">
        <f>SUMIF('Données patrimoniales'!$D$8:$D$157,Hypothèses!$D$8,'Données patrimoniales'!AW$8:AW$157)</f>
        <v>0</v>
      </c>
      <c r="AA159" s="554">
        <f>SUMIF('Données patrimoniales'!$D$8:$D$157,Hypothèses!$D$8,'Données patrimoniales'!AX$8:AX$157)</f>
        <v>0</v>
      </c>
      <c r="AB159" s="554">
        <f>SUMIF('Données patrimoniales'!$D$8:$D$157,Hypothèses!$D$8,'Données patrimoniales'!AY$8:AY$157)</f>
        <v>0</v>
      </c>
      <c r="AC159" s="554">
        <f>SUMIF('Données patrimoniales'!$D$8:$D$157,Hypothèses!$D$8,'Données patrimoniales'!AZ$8:AZ$157)</f>
        <v>0</v>
      </c>
      <c r="AD159" s="554">
        <f>SUMIF('Données patrimoniales'!$D$8:$D$157,Hypothèses!$D$8,'Données patrimoniales'!BA$8:BA$157)</f>
        <v>0</v>
      </c>
      <c r="AE159" s="554">
        <f>SUMIF('Données patrimoniales'!$D$8:$D$157,Hypothèses!$D$8,'Données patrimoniales'!BB$8:BB$157)</f>
        <v>0</v>
      </c>
      <c r="AF159" s="554">
        <f>SUMIF('Données patrimoniales'!$D$8:$D$157,Hypothèses!$D$8,'Données patrimoniales'!BC$8:BC$157)</f>
        <v>0</v>
      </c>
    </row>
    <row r="160" spans="1:32">
      <c r="A160" s="553" t="s">
        <v>141</v>
      </c>
      <c r="B160" s="553" t="s">
        <v>146</v>
      </c>
      <c r="C160" s="553"/>
      <c r="D160" s="553" t="s">
        <v>149</v>
      </c>
      <c r="E160" s="553" t="s">
        <v>144</v>
      </c>
      <c r="F160" s="553" t="s">
        <v>76</v>
      </c>
      <c r="G160" s="554"/>
      <c r="H160" s="554"/>
      <c r="I160" s="554"/>
      <c r="J160" s="554"/>
      <c r="K160" s="554">
        <f>SUBTOTAL(109,K158:K159)</f>
        <v>0</v>
      </c>
      <c r="L160" s="554">
        <f t="shared" ref="L160:AF160" si="3">SUBTOTAL(109,L158:L159)</f>
        <v>0</v>
      </c>
      <c r="M160" s="554">
        <f t="shared" si="3"/>
        <v>0</v>
      </c>
      <c r="N160" s="554">
        <f t="shared" si="3"/>
        <v>0</v>
      </c>
      <c r="O160" s="554">
        <f t="shared" si="3"/>
        <v>0</v>
      </c>
      <c r="P160" s="554">
        <f t="shared" si="3"/>
        <v>0</v>
      </c>
      <c r="Q160" s="554">
        <f t="shared" si="3"/>
        <v>0</v>
      </c>
      <c r="R160" s="554">
        <f t="shared" si="3"/>
        <v>0</v>
      </c>
      <c r="S160" s="554">
        <f t="shared" si="3"/>
        <v>0</v>
      </c>
      <c r="T160" s="554">
        <f t="shared" si="3"/>
        <v>0</v>
      </c>
      <c r="U160" s="554">
        <f t="shared" si="3"/>
        <v>0</v>
      </c>
      <c r="V160" s="554">
        <f t="shared" si="3"/>
        <v>0</v>
      </c>
      <c r="W160" s="554">
        <f t="shared" si="3"/>
        <v>0</v>
      </c>
      <c r="X160" s="554">
        <f t="shared" si="3"/>
        <v>0</v>
      </c>
      <c r="Y160" s="554">
        <f t="shared" si="3"/>
        <v>0</v>
      </c>
      <c r="Z160" s="554">
        <f t="shared" si="3"/>
        <v>0</v>
      </c>
      <c r="AA160" s="554">
        <f t="shared" si="3"/>
        <v>0</v>
      </c>
      <c r="AB160" s="554">
        <f t="shared" si="3"/>
        <v>0</v>
      </c>
      <c r="AC160" s="554">
        <f t="shared" si="3"/>
        <v>0</v>
      </c>
      <c r="AD160" s="554">
        <f t="shared" si="3"/>
        <v>0</v>
      </c>
      <c r="AE160" s="554">
        <f t="shared" si="3"/>
        <v>0</v>
      </c>
      <c r="AF160" s="554">
        <f t="shared" si="3"/>
        <v>0</v>
      </c>
    </row>
    <row r="161" spans="1:32">
      <c r="A161" s="553" t="s">
        <v>141</v>
      </c>
      <c r="B161" s="553" t="s">
        <v>146</v>
      </c>
      <c r="C161" s="553"/>
      <c r="D161" s="553" t="s">
        <v>149</v>
      </c>
      <c r="E161" s="553" t="s">
        <v>152</v>
      </c>
      <c r="F161" s="553" t="s">
        <v>76</v>
      </c>
      <c r="G161" s="554"/>
      <c r="H161" s="554"/>
      <c r="I161" s="554"/>
      <c r="J161" s="554"/>
      <c r="K161" s="554"/>
      <c r="L161" s="554"/>
      <c r="M161" s="554"/>
      <c r="N161" s="554"/>
      <c r="O161" s="554"/>
      <c r="P161" s="554"/>
      <c r="Q161" s="554"/>
      <c r="R161" s="554"/>
      <c r="S161" s="554"/>
      <c r="T161" s="554"/>
      <c r="U161" s="554"/>
      <c r="V161" s="554"/>
      <c r="W161" s="554"/>
      <c r="X161" s="554"/>
      <c r="Y161" s="554"/>
      <c r="Z161" s="554"/>
      <c r="AA161" s="554"/>
      <c r="AB161" s="554"/>
      <c r="AC161" s="554"/>
      <c r="AD161" s="554"/>
      <c r="AE161" s="554"/>
      <c r="AF161" s="554"/>
    </row>
    <row r="162" spans="1:32">
      <c r="A162" s="553" t="s">
        <v>141</v>
      </c>
      <c r="B162" s="553" t="s">
        <v>146</v>
      </c>
      <c r="C162" s="553"/>
      <c r="D162" s="553" t="s">
        <v>149</v>
      </c>
      <c r="E162" s="553" t="s">
        <v>153</v>
      </c>
      <c r="F162" s="553" t="s">
        <v>76</v>
      </c>
      <c r="G162" s="554"/>
      <c r="H162" s="554"/>
      <c r="I162" s="554"/>
      <c r="J162" s="554"/>
      <c r="K162" s="554">
        <f>SUMIF('Données patrimoniales'!$D8:$D157,Hypothèses!$D$12,'Données patrimoniales'!AH8:AH157)</f>
        <v>0</v>
      </c>
      <c r="L162" s="554">
        <f>SUMIF('Données patrimoniales'!$D8:$D157,Hypothèses!$D$12,'Données patrimoniales'!AI8:AI157)</f>
        <v>0</v>
      </c>
      <c r="M162" s="554">
        <f>SUMIF('Données patrimoniales'!$D8:$D157,Hypothèses!$D$12,'Données patrimoniales'!AJ8:AJ157)</f>
        <v>0</v>
      </c>
      <c r="N162" s="554">
        <f>SUMIF('Données patrimoniales'!$D8:$D157,Hypothèses!$D$12,'Données patrimoniales'!AK8:AK157)</f>
        <v>0</v>
      </c>
      <c r="O162" s="554">
        <f>SUMIF('Données patrimoniales'!$D8:$D157,Hypothèses!$D$12,'Données patrimoniales'!AL8:AL157)</f>
        <v>0</v>
      </c>
      <c r="P162" s="554">
        <f>SUMIF('Données patrimoniales'!$D8:$D157,Hypothèses!$D$12,'Données patrimoniales'!AM8:AM157)</f>
        <v>0</v>
      </c>
      <c r="Q162" s="554">
        <f>SUMIF('Données patrimoniales'!$D8:$D157,Hypothèses!$D$12,'Données patrimoniales'!AN8:AN157)</f>
        <v>0</v>
      </c>
      <c r="R162" s="554">
        <f>SUMIF('Données patrimoniales'!$D8:$D157,Hypothèses!$D$12,'Données patrimoniales'!AO8:AO157)</f>
        <v>0</v>
      </c>
      <c r="S162" s="554">
        <f>SUMIF('Données patrimoniales'!$D8:$D157,Hypothèses!$D$12,'Données patrimoniales'!AP8:AP157)</f>
        <v>0</v>
      </c>
      <c r="T162" s="554">
        <f>SUMIF('Données patrimoniales'!$D8:$D157,Hypothèses!$D$12,'Données patrimoniales'!AQ8:AQ157)</f>
        <v>0</v>
      </c>
      <c r="U162" s="554">
        <f>SUMIF('Données patrimoniales'!$D8:$D157,Hypothèses!$D$12,'Données patrimoniales'!AR8:AR157)</f>
        <v>0</v>
      </c>
      <c r="V162" s="554">
        <f>SUMIF('Données patrimoniales'!$D8:$D157,Hypothèses!$D$12,'Données patrimoniales'!AS8:AS157)</f>
        <v>0</v>
      </c>
      <c r="W162" s="554">
        <f>SUMIF('Données patrimoniales'!$D8:$D157,Hypothèses!$D$12,'Données patrimoniales'!AT8:AT157)</f>
        <v>0</v>
      </c>
      <c r="X162" s="554">
        <f>SUMIF('Données patrimoniales'!$D8:$D157,Hypothèses!$D$12,'Données patrimoniales'!AU8:AU157)</f>
        <v>0</v>
      </c>
      <c r="Y162" s="554">
        <f>SUMIF('Données patrimoniales'!$D8:$D157,Hypothèses!$D$12,'Données patrimoniales'!AV8:AV157)</f>
        <v>0</v>
      </c>
      <c r="Z162" s="554">
        <f>SUMIF('Données patrimoniales'!$D8:$D157,Hypothèses!$D$12,'Données patrimoniales'!AW8:AW157)</f>
        <v>0</v>
      </c>
      <c r="AA162" s="554">
        <f>SUMIF('Données patrimoniales'!$D8:$D157,Hypothèses!$D$12,'Données patrimoniales'!AX8:AX157)</f>
        <v>0</v>
      </c>
      <c r="AB162" s="554">
        <f>SUMIF('Données patrimoniales'!$D8:$D157,Hypothèses!$D$12,'Données patrimoniales'!AY8:AY157)</f>
        <v>0</v>
      </c>
      <c r="AC162" s="554">
        <f>SUMIF('Données patrimoniales'!$D8:$D157,Hypothèses!$D$12,'Données patrimoniales'!AZ8:AZ157)</f>
        <v>0</v>
      </c>
      <c r="AD162" s="554">
        <f>SUMIF('Données patrimoniales'!$D8:$D157,Hypothèses!$D$12,'Données patrimoniales'!BA8:BA157)</f>
        <v>0</v>
      </c>
      <c r="AE162" s="554">
        <f>SUMIF('Données patrimoniales'!$D8:$D157,Hypothèses!$D$12,'Données patrimoniales'!BB8:BB157)</f>
        <v>0</v>
      </c>
      <c r="AF162" s="554">
        <f>SUMIF('Données patrimoniales'!$D8:$D157,Hypothèses!$D$12,'Données patrimoniales'!BC8:BC157)</f>
        <v>0</v>
      </c>
    </row>
    <row r="163" spans="1:32">
      <c r="A163" s="553" t="s">
        <v>141</v>
      </c>
      <c r="B163" s="553" t="s">
        <v>146</v>
      </c>
      <c r="C163" s="553"/>
      <c r="D163" s="553" t="s">
        <v>149</v>
      </c>
      <c r="E163" s="553" t="s">
        <v>145</v>
      </c>
      <c r="F163" s="553" t="s">
        <v>76</v>
      </c>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row>
    <row r="164" spans="1:32">
      <c r="A164" s="553" t="s">
        <v>141</v>
      </c>
      <c r="B164" s="553" t="s">
        <v>146</v>
      </c>
      <c r="C164" s="553"/>
      <c r="D164" s="553" t="s">
        <v>149</v>
      </c>
      <c r="E164" s="553" t="s">
        <v>154</v>
      </c>
      <c r="F164" s="553" t="s">
        <v>76</v>
      </c>
      <c r="G164" s="554"/>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row>
    <row r="165" spans="1:32">
      <c r="A165" s="553" t="s">
        <v>141</v>
      </c>
      <c r="B165" s="553" t="s">
        <v>146</v>
      </c>
      <c r="C165" s="553"/>
      <c r="D165" s="553" t="s">
        <v>149</v>
      </c>
      <c r="E165" s="553" t="s">
        <v>155</v>
      </c>
      <c r="F165" s="553" t="s">
        <v>76</v>
      </c>
      <c r="G165" s="554"/>
      <c r="H165" s="554"/>
      <c r="I165" s="554"/>
      <c r="J165" s="554"/>
      <c r="K165" s="554"/>
      <c r="L165" s="554"/>
      <c r="M165" s="554"/>
      <c r="N165" s="554"/>
      <c r="O165" s="554"/>
      <c r="P165" s="554"/>
      <c r="Q165" s="554"/>
      <c r="R165" s="554"/>
      <c r="S165" s="554"/>
      <c r="T165" s="554"/>
      <c r="U165" s="554"/>
      <c r="V165" s="554"/>
      <c r="W165" s="554"/>
      <c r="X165" s="554"/>
      <c r="Y165" s="554"/>
      <c r="Z165" s="554"/>
      <c r="AA165" s="554"/>
      <c r="AB165" s="554"/>
      <c r="AC165" s="554"/>
      <c r="AD165" s="554"/>
      <c r="AE165" s="554"/>
      <c r="AF165" s="554"/>
    </row>
    <row r="166" spans="1:32">
      <c r="A166" s="553" t="s">
        <v>141</v>
      </c>
      <c r="B166" s="553" t="s">
        <v>146</v>
      </c>
      <c r="C166" s="553"/>
      <c r="D166" s="553" t="s">
        <v>149</v>
      </c>
      <c r="E166" s="553" t="s">
        <v>156</v>
      </c>
      <c r="F166" s="553" t="s">
        <v>76</v>
      </c>
      <c r="G166" s="554"/>
      <c r="H166" s="554"/>
      <c r="I166" s="554"/>
      <c r="J166" s="554"/>
      <c r="K166" s="554"/>
      <c r="L166" s="554"/>
      <c r="M166" s="554"/>
      <c r="N166" s="554"/>
      <c r="O166" s="554"/>
      <c r="P166" s="554"/>
      <c r="Q166" s="554"/>
      <c r="R166" s="554"/>
      <c r="S166" s="554"/>
      <c r="T166" s="554"/>
      <c r="U166" s="554"/>
      <c r="V166" s="554"/>
      <c r="W166" s="554"/>
      <c r="X166" s="554"/>
      <c r="Y166" s="554"/>
      <c r="Z166" s="554"/>
      <c r="AA166" s="554"/>
      <c r="AB166" s="554"/>
      <c r="AC166" s="554"/>
      <c r="AD166" s="554"/>
      <c r="AE166" s="554"/>
      <c r="AF166" s="554"/>
    </row>
    <row r="167" spans="1:32">
      <c r="A167" s="553" t="s">
        <v>141</v>
      </c>
      <c r="B167" s="553" t="s">
        <v>146</v>
      </c>
      <c r="C167" s="553"/>
      <c r="D167" s="553" t="s">
        <v>149</v>
      </c>
      <c r="E167" s="553" t="s">
        <v>157</v>
      </c>
      <c r="F167" s="553" t="s">
        <v>76</v>
      </c>
      <c r="G167" s="554"/>
      <c r="H167" s="554"/>
      <c r="I167" s="554"/>
      <c r="J167" s="554"/>
      <c r="K167" s="554"/>
      <c r="L167" s="554"/>
      <c r="M167" s="554"/>
      <c r="N167" s="554"/>
      <c r="O167" s="554"/>
      <c r="P167" s="554"/>
      <c r="Q167" s="554"/>
      <c r="R167" s="554"/>
      <c r="S167" s="554"/>
      <c r="T167" s="554"/>
      <c r="U167" s="554"/>
      <c r="V167" s="554"/>
      <c r="W167" s="554"/>
      <c r="X167" s="554"/>
      <c r="Y167" s="554"/>
      <c r="Z167" s="554"/>
      <c r="AA167" s="554"/>
      <c r="AB167" s="554"/>
      <c r="AC167" s="554"/>
      <c r="AD167" s="554"/>
      <c r="AE167" s="554"/>
      <c r="AF167" s="554"/>
    </row>
    <row r="168" spans="1:32">
      <c r="A168" s="553" t="s">
        <v>141</v>
      </c>
      <c r="B168" s="553" t="s">
        <v>146</v>
      </c>
      <c r="C168" s="553"/>
      <c r="D168" s="553" t="s">
        <v>149</v>
      </c>
      <c r="E168" s="553" t="s">
        <v>158</v>
      </c>
      <c r="F168" s="553" t="s">
        <v>76</v>
      </c>
      <c r="G168" s="554"/>
      <c r="H168" s="554"/>
      <c r="I168" s="554"/>
      <c r="J168" s="554"/>
      <c r="K168" s="554">
        <f>SUM(K161:K167)</f>
        <v>0</v>
      </c>
      <c r="L168" s="554">
        <f t="shared" ref="L168:AF168" si="4">SUM(L161:L167)</f>
        <v>0</v>
      </c>
      <c r="M168" s="554">
        <f t="shared" si="4"/>
        <v>0</v>
      </c>
      <c r="N168" s="554">
        <f t="shared" si="4"/>
        <v>0</v>
      </c>
      <c r="O168" s="554">
        <f t="shared" si="4"/>
        <v>0</v>
      </c>
      <c r="P168" s="554">
        <f t="shared" si="4"/>
        <v>0</v>
      </c>
      <c r="Q168" s="554">
        <f t="shared" si="4"/>
        <v>0</v>
      </c>
      <c r="R168" s="554">
        <f t="shared" si="4"/>
        <v>0</v>
      </c>
      <c r="S168" s="554">
        <f t="shared" si="4"/>
        <v>0</v>
      </c>
      <c r="T168" s="554">
        <f t="shared" si="4"/>
        <v>0</v>
      </c>
      <c r="U168" s="554">
        <f t="shared" si="4"/>
        <v>0</v>
      </c>
      <c r="V168" s="554">
        <f t="shared" si="4"/>
        <v>0</v>
      </c>
      <c r="W168" s="554">
        <f t="shared" si="4"/>
        <v>0</v>
      </c>
      <c r="X168" s="554">
        <f t="shared" si="4"/>
        <v>0</v>
      </c>
      <c r="Y168" s="554">
        <f t="shared" si="4"/>
        <v>0</v>
      </c>
      <c r="Z168" s="554">
        <f t="shared" si="4"/>
        <v>0</v>
      </c>
      <c r="AA168" s="554">
        <f t="shared" si="4"/>
        <v>0</v>
      </c>
      <c r="AB168" s="554">
        <f t="shared" si="4"/>
        <v>0</v>
      </c>
      <c r="AC168" s="554">
        <f t="shared" si="4"/>
        <v>0</v>
      </c>
      <c r="AD168" s="554">
        <f t="shared" si="4"/>
        <v>0</v>
      </c>
      <c r="AE168" s="554">
        <f t="shared" si="4"/>
        <v>0</v>
      </c>
      <c r="AF168" s="554">
        <f t="shared" si="4"/>
        <v>0</v>
      </c>
    </row>
    <row r="169" spans="1:32">
      <c r="A169" s="553" t="s">
        <v>141</v>
      </c>
      <c r="B169" s="553" t="s">
        <v>159</v>
      </c>
      <c r="C169" s="553"/>
      <c r="D169" s="553" t="s">
        <v>160</v>
      </c>
      <c r="E169" s="553" t="s">
        <v>93</v>
      </c>
      <c r="F169" s="553" t="s">
        <v>76</v>
      </c>
      <c r="G169" s="554"/>
      <c r="H169" s="554"/>
      <c r="I169" s="554"/>
      <c r="J169" s="554"/>
      <c r="K169" s="554">
        <f>'Données patrimoniales'!F350</f>
        <v>0</v>
      </c>
      <c r="L169" s="554">
        <f>'Données patrimoniales'!G350</f>
        <v>0</v>
      </c>
      <c r="M169" s="554">
        <f>'Données patrimoniales'!H350</f>
        <v>0</v>
      </c>
      <c r="N169" s="554">
        <f>'Données patrimoniales'!I350</f>
        <v>0</v>
      </c>
      <c r="O169" s="554">
        <f>'Données patrimoniales'!J350</f>
        <v>0</v>
      </c>
      <c r="P169" s="554">
        <f>'Données patrimoniales'!K350</f>
        <v>0</v>
      </c>
      <c r="Q169" s="554">
        <f>'Données patrimoniales'!L350</f>
        <v>0</v>
      </c>
      <c r="R169" s="554">
        <f>'Données patrimoniales'!M350</f>
        <v>0</v>
      </c>
      <c r="S169" s="554">
        <f>'Données patrimoniales'!N350</f>
        <v>0</v>
      </c>
      <c r="T169" s="554">
        <f>'Données patrimoniales'!O350</f>
        <v>0</v>
      </c>
      <c r="U169" s="554">
        <f>'Données patrimoniales'!P350</f>
        <v>0</v>
      </c>
      <c r="V169" s="554">
        <f>'Données patrimoniales'!Q350</f>
        <v>0</v>
      </c>
      <c r="W169" s="554">
        <f>'Données patrimoniales'!R350</f>
        <v>0</v>
      </c>
      <c r="X169" s="554">
        <f>'Données patrimoniales'!S350</f>
        <v>0</v>
      </c>
      <c r="Y169" s="554">
        <f>'Données patrimoniales'!T350</f>
        <v>0</v>
      </c>
      <c r="Z169" s="554">
        <f>'Données patrimoniales'!U350</f>
        <v>0</v>
      </c>
      <c r="AA169" s="554">
        <f>'Données patrimoniales'!V350</f>
        <v>0</v>
      </c>
      <c r="AB169" s="554">
        <f>'Données patrimoniales'!W350</f>
        <v>0</v>
      </c>
      <c r="AC169" s="554">
        <f>'Données patrimoniales'!X350</f>
        <v>0</v>
      </c>
      <c r="AD169" s="554">
        <f>'Données patrimoniales'!Y350</f>
        <v>0</v>
      </c>
      <c r="AE169" s="554">
        <f>'Données patrimoniales'!Z350</f>
        <v>0</v>
      </c>
      <c r="AF169" s="554">
        <f>'Données patrimoniales'!AA350</f>
        <v>0</v>
      </c>
    </row>
    <row r="170" spans="1:32">
      <c r="A170" s="553"/>
      <c r="B170" s="553"/>
      <c r="C170" s="556"/>
      <c r="D170" s="556"/>
      <c r="E170" s="556"/>
      <c r="F170" s="556"/>
      <c r="G170" s="555"/>
      <c r="H170" s="555"/>
      <c r="I170" s="555"/>
      <c r="J170" s="555"/>
      <c r="K170" s="557"/>
      <c r="L170" s="557"/>
      <c r="M170" s="557"/>
      <c r="N170" s="557"/>
      <c r="O170" s="557"/>
      <c r="P170" s="557"/>
      <c r="Q170" s="557"/>
      <c r="R170" s="557"/>
      <c r="S170" s="557"/>
      <c r="T170" s="557"/>
      <c r="U170" s="557"/>
      <c r="V170" s="557"/>
      <c r="W170" s="557"/>
      <c r="X170" s="557"/>
      <c r="Y170" s="557"/>
      <c r="Z170" s="557"/>
      <c r="AA170" s="557"/>
      <c r="AB170" s="557"/>
      <c r="AC170" s="557"/>
      <c r="AD170" s="557"/>
      <c r="AE170" s="557"/>
      <c r="AF170" s="557"/>
    </row>
    <row r="171" spans="1:32">
      <c r="A171" s="553"/>
      <c r="B171" s="553"/>
      <c r="C171" s="556"/>
      <c r="D171" s="556"/>
      <c r="E171" s="556"/>
      <c r="F171" s="556"/>
      <c r="G171" s="555"/>
      <c r="H171" s="555"/>
      <c r="I171" s="555"/>
      <c r="J171" s="555"/>
      <c r="K171" s="557"/>
      <c r="L171" s="557"/>
      <c r="M171" s="557"/>
      <c r="N171" s="557"/>
      <c r="O171" s="557"/>
      <c r="P171" s="557"/>
      <c r="Q171" s="557"/>
      <c r="R171" s="557"/>
      <c r="S171" s="557"/>
      <c r="T171" s="557"/>
      <c r="U171" s="554"/>
      <c r="V171" s="554"/>
      <c r="W171" s="554"/>
      <c r="X171" s="554"/>
      <c r="Y171" s="554"/>
      <c r="Z171" s="554"/>
      <c r="AA171" s="554"/>
      <c r="AB171" s="554"/>
      <c r="AC171" s="554"/>
      <c r="AD171" s="554"/>
      <c r="AE171" s="554"/>
      <c r="AF171" s="554"/>
    </row>
    <row r="172" spans="1:32">
      <c r="A172" s="553"/>
      <c r="B172" s="553"/>
      <c r="C172" s="556"/>
      <c r="D172" s="556"/>
      <c r="E172" s="556"/>
      <c r="F172" s="556"/>
      <c r="G172" s="555"/>
      <c r="H172" s="555"/>
      <c r="I172" s="555"/>
      <c r="J172" s="555"/>
      <c r="K172" s="557"/>
      <c r="L172" s="557"/>
      <c r="M172" s="557"/>
      <c r="N172" s="557"/>
      <c r="O172" s="557"/>
      <c r="P172" s="557"/>
      <c r="Q172" s="557"/>
      <c r="R172" s="557"/>
      <c r="S172" s="557"/>
      <c r="T172" s="557"/>
      <c r="U172" s="554"/>
      <c r="V172" s="554"/>
      <c r="W172" s="554"/>
      <c r="X172" s="554"/>
      <c r="Y172" s="554"/>
      <c r="Z172" s="554"/>
      <c r="AA172" s="554"/>
      <c r="AB172" s="554"/>
      <c r="AC172" s="554"/>
      <c r="AD172" s="554"/>
      <c r="AE172" s="554"/>
      <c r="AF172" s="554"/>
    </row>
    <row r="173" spans="1:32">
      <c r="A173" s="553"/>
      <c r="B173" s="553"/>
      <c r="C173" s="556"/>
      <c r="D173" s="556"/>
      <c r="E173" s="556"/>
      <c r="F173" s="556"/>
      <c r="G173" s="555"/>
      <c r="H173" s="555"/>
      <c r="I173" s="555"/>
      <c r="J173" s="555"/>
      <c r="K173" s="557"/>
      <c r="L173" s="557"/>
      <c r="M173" s="557"/>
      <c r="N173" s="557"/>
      <c r="O173" s="557"/>
      <c r="P173" s="557"/>
      <c r="Q173" s="557"/>
      <c r="R173" s="557"/>
      <c r="S173" s="557"/>
      <c r="T173" s="557"/>
      <c r="U173" s="554"/>
      <c r="V173" s="554"/>
      <c r="W173" s="554"/>
      <c r="X173" s="554"/>
      <c r="Y173" s="554"/>
      <c r="Z173" s="554"/>
      <c r="AA173" s="554"/>
      <c r="AB173" s="554"/>
      <c r="AC173" s="554"/>
      <c r="AD173" s="554"/>
      <c r="AE173" s="554"/>
      <c r="AF173" s="554"/>
    </row>
  </sheetData>
  <sheetProtection algorithmName="SHA-512" hashValue="ZzkCkTPgtDidNzFoeuM7DICBdus6DALfO7VCJIjjxwh2nr8UNsBVX9noQTX5pEXjk6qJmuyhuFOlyoR0JriQQw==" saltValue="QHTPkHkEZc0iPem5nIkmbg==" spinCount="100000" sheet="1" objects="1" scenarios="1"/>
  <mergeCells count="3">
    <mergeCell ref="B4:C4"/>
    <mergeCell ref="A5:D8"/>
    <mergeCell ref="G5:J9"/>
  </mergeCells>
  <phoneticPr fontId="188" type="noConversion"/>
  <dataValidations count="1">
    <dataValidation type="decimal" operator="greaterThan" allowBlank="1" showInputMessage="1" showErrorMessage="1" sqref="K6:AF8" xr:uid="{420D3251-6AED-4994-95BF-4F1BC23F1B88}">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781185" r:id="rId4" name="Button 1">
              <controlPr defaultSize="0" print="0" autoFill="0" autoPict="0" macro="[0]!Importbilan">
                <anchor moveWithCells="1" sizeWithCells="1">
                  <from>
                    <xdr:col>0</xdr:col>
                    <xdr:colOff>175260</xdr:colOff>
                    <xdr:row>1</xdr:row>
                    <xdr:rowOff>144780</xdr:rowOff>
                  </from>
                  <to>
                    <xdr:col>0</xdr:col>
                    <xdr:colOff>2095500</xdr:colOff>
                    <xdr:row>1</xdr:row>
                    <xdr:rowOff>571500</xdr:rowOff>
                  </to>
                </anchor>
              </controlPr>
            </control>
          </mc:Choice>
        </mc:AlternateContent>
        <mc:AlternateContent xmlns:mc="http://schemas.openxmlformats.org/markup-compatibility/2006">
          <mc:Choice Requires="x14">
            <control shapeId="50781187" r:id="rId5" name="Button 3">
              <controlPr defaultSize="0" print="0" autoFill="0" autoPict="0" macro="[0]!Reset">
                <anchor moveWithCells="1">
                  <from>
                    <xdr:col>3</xdr:col>
                    <xdr:colOff>182880</xdr:colOff>
                    <xdr:row>1</xdr:row>
                    <xdr:rowOff>182880</xdr:rowOff>
                  </from>
                  <to>
                    <xdr:col>4</xdr:col>
                    <xdr:colOff>373380</xdr:colOff>
                    <xdr:row>1</xdr:row>
                    <xdr:rowOff>617220</xdr:rowOff>
                  </to>
                </anchor>
              </controlPr>
            </control>
          </mc:Choice>
        </mc:AlternateContent>
      </controls>
    </mc:Choice>
  </mc:AlternateContent>
  <tableParts count="1">
    <tablePart r:id="rId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1">
    <tabColor theme="8" tint="-0.499984740745262"/>
  </sheetPr>
  <dimension ref="A1:AB87"/>
  <sheetViews>
    <sheetView showGridLines="0" zoomScale="80" zoomScaleNormal="80" workbookViewId="0">
      <selection activeCell="I44" sqref="I44"/>
    </sheetView>
  </sheetViews>
  <sheetFormatPr baseColWidth="10" defaultColWidth="9.109375" defaultRowHeight="14.4" outlineLevelRow="1" outlineLevelCol="1"/>
  <cols>
    <col min="1" max="1" width="30.5546875" style="1" customWidth="1"/>
    <col min="2" max="2" width="21.88671875" style="1" bestFit="1" customWidth="1"/>
    <col min="3" max="3" width="18.88671875" style="1" bestFit="1" customWidth="1"/>
    <col min="4" max="4" width="17.5546875" style="1" bestFit="1" customWidth="1"/>
    <col min="5" max="5" width="15.88671875" style="1" bestFit="1" customWidth="1"/>
    <col min="6" max="6" width="14.44140625" style="1" bestFit="1" customWidth="1"/>
    <col min="7" max="7" width="4.109375" style="1" customWidth="1"/>
    <col min="8" max="8" width="30.44140625" style="1" customWidth="1"/>
    <col min="9" max="9" width="20.44140625" style="1" bestFit="1" customWidth="1"/>
    <col min="10" max="10" width="16.88671875" style="1" bestFit="1" customWidth="1"/>
    <col min="11" max="11" width="16.44140625" style="1" bestFit="1" customWidth="1"/>
    <col min="12" max="12" width="17.44140625" style="1" customWidth="1"/>
    <col min="13" max="13" width="21.5546875" style="1" bestFit="1" customWidth="1"/>
    <col min="14" max="14" width="8.44140625" style="1" customWidth="1"/>
    <col min="15" max="15" width="12.5546875" style="1" hidden="1" customWidth="1" outlineLevel="1"/>
    <col min="16" max="17" width="10.109375" style="1" hidden="1" customWidth="1" outlineLevel="1"/>
    <col min="18" max="18" width="21" style="1" hidden="1" customWidth="1" outlineLevel="1"/>
    <col min="19" max="19" width="26.5546875" style="1" hidden="1" customWidth="1" outlineLevel="1"/>
    <col min="20" max="20" width="9.109375" style="1" hidden="1" customWidth="1" outlineLevel="1"/>
    <col min="21" max="21" width="9" style="1" customWidth="1" collapsed="1"/>
    <col min="22" max="22" width="28.5546875" style="1" hidden="1" customWidth="1"/>
    <col min="23" max="23" width="9.5546875" style="1" hidden="1" customWidth="1"/>
    <col min="24" max="24" width="11.109375" style="1" hidden="1" customWidth="1"/>
    <col min="25" max="25" width="10.5546875" style="1" hidden="1" customWidth="1"/>
    <col min="26" max="26" width="11.44140625" style="1" hidden="1" customWidth="1"/>
    <col min="27" max="27" width="13.44140625" style="1" hidden="1" customWidth="1"/>
    <col min="28" max="28" width="12.88671875" style="1" bestFit="1" customWidth="1"/>
    <col min="29" max="29" width="9" style="1" customWidth="1"/>
    <col min="30" max="16384" width="9.109375" style="1"/>
  </cols>
  <sheetData>
    <row r="1" spans="1:27" s="48" customFormat="1" ht="66" customHeight="1">
      <c r="A1" s="247"/>
      <c r="B1" s="248"/>
      <c r="C1" s="248"/>
      <c r="D1" s="249"/>
      <c r="E1" s="248"/>
      <c r="F1" s="248"/>
      <c r="G1" s="248"/>
      <c r="H1" s="248"/>
      <c r="I1" s="248"/>
      <c r="J1" s="248"/>
      <c r="K1" s="248"/>
      <c r="L1" s="248"/>
      <c r="M1" s="250"/>
      <c r="N1" s="251"/>
      <c r="O1" s="447"/>
      <c r="P1" s="447"/>
      <c r="Q1" s="448"/>
      <c r="R1" s="448"/>
      <c r="S1" s="448"/>
      <c r="T1" s="428"/>
    </row>
    <row r="2" spans="1:27" s="46" customFormat="1" ht="15.75" customHeight="1">
      <c r="A2" s="252"/>
      <c r="B2" s="253"/>
      <c r="C2" s="253"/>
      <c r="D2" s="253"/>
      <c r="E2" s="253"/>
      <c r="F2" s="253"/>
      <c r="G2" s="253"/>
      <c r="H2" s="253"/>
      <c r="I2" s="253"/>
      <c r="J2" s="253"/>
      <c r="K2" s="253"/>
      <c r="L2" s="253"/>
      <c r="M2" s="253"/>
      <c r="N2" s="254"/>
      <c r="O2" s="449"/>
      <c r="P2" s="449"/>
      <c r="Q2" s="450"/>
      <c r="R2" s="450"/>
      <c r="S2" s="450"/>
      <c r="T2" s="429"/>
    </row>
    <row r="3" spans="1:27" ht="25.8">
      <c r="A3" s="75" t="s">
        <v>161</v>
      </c>
      <c r="B3" s="76">
        <f>Accueil!E27</f>
        <v>0</v>
      </c>
      <c r="C3" s="76"/>
      <c r="D3" s="389" t="s">
        <v>15</v>
      </c>
      <c r="E3" s="256" t="s">
        <v>162</v>
      </c>
      <c r="F3" s="256"/>
      <c r="G3"/>
      <c r="H3"/>
      <c r="I3"/>
      <c r="J3"/>
      <c r="K3"/>
      <c r="L3"/>
      <c r="M3"/>
      <c r="N3"/>
      <c r="O3" s="49"/>
      <c r="P3" s="49"/>
      <c r="Q3" s="49"/>
      <c r="R3" s="49"/>
      <c r="S3" s="49"/>
      <c r="T3"/>
    </row>
    <row r="4" spans="1:27" ht="25.8">
      <c r="A4" s="78" t="s">
        <v>163</v>
      </c>
      <c r="B4" s="381" t="s">
        <v>164</v>
      </c>
      <c r="C4" s="76"/>
      <c r="D4" s="76"/>
      <c r="E4" s="76"/>
      <c r="F4" s="70"/>
      <c r="G4"/>
      <c r="H4"/>
      <c r="I4"/>
      <c r="J4"/>
      <c r="K4"/>
      <c r="L4"/>
      <c r="M4"/>
      <c r="N4"/>
      <c r="O4" s="49"/>
      <c r="P4" s="49"/>
      <c r="Q4" s="49"/>
      <c r="R4" s="49"/>
      <c r="S4" s="49"/>
      <c r="T4"/>
    </row>
    <row r="5" spans="1:27" ht="15" thickBot="1">
      <c r="A5" s="74">
        <f>Accueil!E28</f>
        <v>2006</v>
      </c>
      <c r="B5" s="74"/>
      <c r="C5" s="74"/>
      <c r="D5" s="74"/>
      <c r="E5" s="74"/>
      <c r="F5" s="74"/>
      <c r="G5" s="74"/>
      <c r="H5" s="74">
        <f>Accueil!E29</f>
        <v>0</v>
      </c>
      <c r="I5"/>
      <c r="J5"/>
      <c r="K5"/>
      <c r="L5"/>
      <c r="M5"/>
      <c r="N5"/>
      <c r="O5" s="49"/>
      <c r="P5" s="49"/>
      <c r="Q5" s="49"/>
      <c r="R5" s="49"/>
      <c r="S5" s="49"/>
      <c r="T5"/>
    </row>
    <row r="6" spans="1:27" ht="18.600000000000001" thickBot="1">
      <c r="A6" s="71">
        <f>Accueil!E28</f>
        <v>2006</v>
      </c>
      <c r="B6" s="1934" t="s">
        <v>76</v>
      </c>
      <c r="C6" s="1935"/>
      <c r="D6" s="1935"/>
      <c r="E6" s="1935"/>
      <c r="F6" s="1936"/>
      <c r="G6"/>
      <c r="H6" s="71">
        <f>Accueil!E29</f>
        <v>0</v>
      </c>
      <c r="I6" s="1934" t="s">
        <v>76</v>
      </c>
      <c r="J6" s="1935"/>
      <c r="K6" s="1935"/>
      <c r="L6" s="1935"/>
      <c r="M6" s="1936"/>
      <c r="N6" s="1091"/>
      <c r="O6" s="451" t="s">
        <v>165</v>
      </c>
      <c r="P6" s="1107"/>
      <c r="Q6" s="49"/>
      <c r="R6" s="49"/>
      <c r="S6" s="49"/>
      <c r="T6"/>
      <c r="V6" s="71">
        <v>2030</v>
      </c>
      <c r="W6" s="1934" t="s">
        <v>76</v>
      </c>
      <c r="X6" s="1935"/>
      <c r="Y6" s="1935"/>
      <c r="Z6" s="1935"/>
      <c r="AA6" s="1936"/>
    </row>
    <row r="7" spans="1:27" ht="15" thickBot="1">
      <c r="A7" s="1108"/>
      <c r="B7" s="562" t="s">
        <v>93</v>
      </c>
      <c r="C7" s="562" t="s">
        <v>98</v>
      </c>
      <c r="D7" s="562" t="s">
        <v>144</v>
      </c>
      <c r="E7" s="562" t="s">
        <v>158</v>
      </c>
      <c r="F7" s="562" t="s">
        <v>166</v>
      </c>
      <c r="G7"/>
      <c r="H7" s="860"/>
      <c r="I7" s="562" t="s">
        <v>93</v>
      </c>
      <c r="J7" s="562" t="s">
        <v>98</v>
      </c>
      <c r="K7" s="562" t="s">
        <v>144</v>
      </c>
      <c r="L7" s="562" t="s">
        <v>158</v>
      </c>
      <c r="M7" s="562" t="s">
        <v>166</v>
      </c>
      <c r="N7" s="1091"/>
      <c r="O7" s="452" t="s">
        <v>167</v>
      </c>
      <c r="P7" s="452" t="str">
        <f>"Part "&amp;Accueil!$E$29</f>
        <v xml:space="preserve">Part </v>
      </c>
      <c r="Q7" s="453" t="s">
        <v>168</v>
      </c>
      <c r="R7" s="453" t="s">
        <v>169</v>
      </c>
      <c r="S7" s="453" t="s">
        <v>170</v>
      </c>
      <c r="T7"/>
      <c r="V7" s="860" t="s">
        <v>171</v>
      </c>
      <c r="W7" s="562" t="s">
        <v>93</v>
      </c>
      <c r="X7" s="562" t="s">
        <v>98</v>
      </c>
      <c r="Y7" s="562" t="s">
        <v>144</v>
      </c>
      <c r="Z7" s="562" t="s">
        <v>158</v>
      </c>
      <c r="AA7" s="562" t="s">
        <v>166</v>
      </c>
    </row>
    <row r="8" spans="1:27">
      <c r="A8" s="83" t="s">
        <v>149</v>
      </c>
      <c r="B8" s="1109">
        <f ca="1">SUMIFS(INDIRECT("TabINPUT["&amp;$A$6&amp;"]"),TabINPUT[USAGE],$A8,TabINPUT[VECTEUR],B$7)*IF($B$4="Réel",1,HLOOKUP(Accueil!$E$28,Hypothèses!$A$25:$AA$28,4,0))</f>
        <v>0</v>
      </c>
      <c r="C8" s="1109">
        <f ca="1">SUMIFS(INDIRECT("TabINPUT["&amp;$A$6&amp;"]"),TabINPUT[USAGE],$A8,TabINPUT[VECTEUR],C$7)*IF($B$4="Réel",1,HLOOKUP(Accueil!$E$28,Hypothèses!$A$25:$AA$28,4,0))</f>
        <v>0</v>
      </c>
      <c r="D8" s="1109">
        <f ca="1">SUMIFS(INDIRECT("TabINPUT["&amp;$A$6&amp;"]"),TabINPUT[USAGE],$A8,TabINPUT[VECTEUR],D$7)*IF($B$4="Réel",1,HLOOKUP(Accueil!$E$28,Hypothèses!$A$25:$AA$28,4,0))</f>
        <v>0</v>
      </c>
      <c r="E8" s="1109">
        <f ca="1">SUMIFS(INDIRECT("TabINPUT["&amp;$A$6&amp;"]"),TabINPUT[USAGE],$A8,TabINPUT[VECTEUR],E$7)*IF($B$4="Réel",1,HLOOKUP(Accueil!$E$28,Hypothèses!$A$25:$AA$28,4,0))</f>
        <v>0</v>
      </c>
      <c r="F8" s="1110">
        <f ca="1">SUM(B8:E8)</f>
        <v>0</v>
      </c>
      <c r="G8"/>
      <c r="H8" s="83" t="s">
        <v>149</v>
      </c>
      <c r="I8" s="1109" t="e">
        <f ca="1">SUMIFS(INDIRECT("TabINPUT["&amp;$H$6&amp;"]"),TabINPUT[USAGE],$A8,TabINPUT[VECTEUR],I$7)*IF($B$4="Réel",1,HLOOKUP(Accueil!$E$29,Hypothèses!$A$25:$AA$28,4,0))</f>
        <v>#REF!</v>
      </c>
      <c r="J8" s="1109" t="e">
        <f ca="1">SUMIFS(INDIRECT("TabINPUT["&amp;$H$6&amp;"]"),TabINPUT[USAGE],$A8,TabINPUT[VECTEUR],J$7)*IF($B$4="Réel",1,HLOOKUP(Accueil!$E$29,Hypothèses!$A$25:$AA$28,4,0))</f>
        <v>#REF!</v>
      </c>
      <c r="K8" s="1109" t="e">
        <f ca="1">SUMIFS(INDIRECT("TabINPUT["&amp;$H$6&amp;"]"),TabINPUT[USAGE],$A8,TabINPUT[VECTEUR],K$7)*IF($B$4="Réel",1,HLOOKUP(Accueil!$E$29,Hypothèses!$A$25:$AA$28,4,0))</f>
        <v>#REF!</v>
      </c>
      <c r="L8" s="1109" t="e">
        <f ca="1">SUMIFS(INDIRECT("TabINPUT["&amp;$H$6&amp;"]"),TabINPUT[USAGE],$A8,TabINPUT[VECTEUR],L$7)*IF($B$4="Réel",1,HLOOKUP(Accueil!$E$29,Hypothèses!$A$25:$AA$28,4,0))</f>
        <v>#REF!</v>
      </c>
      <c r="M8" s="1110" t="e">
        <f ca="1">SUM(I8:L8)</f>
        <v>#REF!</v>
      </c>
      <c r="N8" s="1937"/>
      <c r="O8" s="454" t="e">
        <f ca="1">F8/$F$13</f>
        <v>#DIV/0!</v>
      </c>
      <c r="P8" s="454" t="e">
        <f ca="1">M8/$M$13</f>
        <v>#REF!</v>
      </c>
      <c r="Q8" s="454" t="e">
        <f t="shared" ref="Q8:Q13" ca="1" si="0">IF(F8=0,IF(M8&gt;0,1,0),M8/F8-1)</f>
        <v>#REF!</v>
      </c>
      <c r="R8" s="455" t="e">
        <f ca="1">ROUND(Q8*100,0)</f>
        <v>#REF!</v>
      </c>
      <c r="S8" s="455" t="e">
        <f ca="1">A8&amp;" : "&amp;R8&amp;"%"</f>
        <v>#REF!</v>
      </c>
      <c r="T8"/>
      <c r="V8" s="83" t="s">
        <v>149</v>
      </c>
      <c r="W8" s="1109" t="e">
        <f ca="1">IF($M8=0,0,I8/$M8*$AA8)</f>
        <v>#REF!</v>
      </c>
      <c r="X8" s="1109" t="e">
        <f t="shared" ref="X8:Z8" ca="1" si="1">IF($M$8=0,0,J8/$M$8*$AA$8)</f>
        <v>#REF!</v>
      </c>
      <c r="Y8" s="1109" t="e">
        <f t="shared" ca="1" si="1"/>
        <v>#REF!</v>
      </c>
      <c r="Z8" s="1109" t="e">
        <f t="shared" ca="1" si="1"/>
        <v>#REF!</v>
      </c>
      <c r="AA8" s="1110" t="e">
        <f ca="1">IF(M8=0,0,IF(SUM(Objectifs!$C$11:$D$12)&gt;Objectifs!$H$11,'Bilan patrimonial'!M8,M8-M8/SUM($M$8:$M$10)*(SUM(Objectifs!$E$11:$E$12)*1000000-(SUM('Bilan patrimonial'!$F$8:$F$10)-SUM('Bilan patrimonial'!$M$8:$M$10)))))</f>
        <v>#REF!</v>
      </c>
    </row>
    <row r="9" spans="1:27">
      <c r="A9" s="1111" t="s">
        <v>147</v>
      </c>
      <c r="B9" s="1112">
        <f ca="1">SUMIFS(INDIRECT("TabINPUT["&amp;$A$6&amp;"]"),TabINPUT[USAGE],$A9,TabINPUT[VECTEUR],B$7)</f>
        <v>0</v>
      </c>
      <c r="C9" s="1112"/>
      <c r="D9" s="1112"/>
      <c r="E9" s="1112"/>
      <c r="F9" s="1113">
        <f ca="1">SUM(B9:D9)</f>
        <v>0</v>
      </c>
      <c r="G9"/>
      <c r="H9" s="1111" t="s">
        <v>147</v>
      </c>
      <c r="I9" s="1112" t="e">
        <f ca="1">SUMIFS(INDIRECT("TabINPUT["&amp;$H$6&amp;"]"),TabINPUT[USAGE],$A9,TabINPUT[VECTEUR],I$7)</f>
        <v>#REF!</v>
      </c>
      <c r="J9" s="1112"/>
      <c r="K9" s="1112"/>
      <c r="L9" s="1112"/>
      <c r="M9" s="1113" t="e">
        <f ca="1">SUM(I9:K9)</f>
        <v>#REF!</v>
      </c>
      <c r="N9" s="1937"/>
      <c r="O9" s="454" t="e">
        <f ca="1">F9/$F$13</f>
        <v>#DIV/0!</v>
      </c>
      <c r="P9" s="454" t="e">
        <f ca="1">M9/$M$13</f>
        <v>#REF!</v>
      </c>
      <c r="Q9" s="454" t="e">
        <f t="shared" ca="1" si="0"/>
        <v>#REF!</v>
      </c>
      <c r="R9" s="455" t="e">
        <f ca="1">ROUND(Q9*100,0)</f>
        <v>#REF!</v>
      </c>
      <c r="S9" s="455" t="e">
        <f ca="1">A9&amp;" : "&amp;R9&amp;"%"</f>
        <v>#REF!</v>
      </c>
      <c r="T9"/>
      <c r="V9" s="1111" t="s">
        <v>147</v>
      </c>
      <c r="W9" s="1109" t="e">
        <f ca="1">IF($M9=0,0,I9/$M9*$AA9)</f>
        <v>#REF!</v>
      </c>
      <c r="X9" s="1109" t="e">
        <f t="shared" ref="X9:Z10" ca="1" si="2">IF($M9=0,0,J9/$M9*$AA9)</f>
        <v>#REF!</v>
      </c>
      <c r="Y9" s="1109" t="e">
        <f t="shared" ca="1" si="2"/>
        <v>#REF!</v>
      </c>
      <c r="Z9" s="1109" t="e">
        <f t="shared" ca="1" si="2"/>
        <v>#REF!</v>
      </c>
      <c r="AA9" s="1110" t="e">
        <f ca="1">IF(M9=0,0,IF(SUM(Objectifs!$C$11:$D$12)&gt;Objectifs!$H$11,'Bilan patrimonial'!M9,M9-M9/SUM($M$8:$M$10)*(SUM(Objectifs!$E$11:$E$12)*1000000-(SUM('Bilan patrimonial'!$F$8:$F$10)-SUM('Bilan patrimonial'!$M$8:$M$10)))))</f>
        <v>#REF!</v>
      </c>
    </row>
    <row r="10" spans="1:27">
      <c r="A10" s="1111" t="s">
        <v>148</v>
      </c>
      <c r="B10" s="1112">
        <f ca="1">SUMIFS(INDIRECT("TabINPUT["&amp;$A$6&amp;"]"),TabINPUT[USAGE],$A10,TabINPUT[VECTEUR],B$7)</f>
        <v>0</v>
      </c>
      <c r="C10" s="1112"/>
      <c r="D10" s="1112"/>
      <c r="E10" s="1112"/>
      <c r="F10" s="1113">
        <f ca="1">SUM(B10:D10)</f>
        <v>0</v>
      </c>
      <c r="G10"/>
      <c r="H10" s="1111" t="s">
        <v>148</v>
      </c>
      <c r="I10" s="1112" t="e">
        <f ca="1">SUMIFS(INDIRECT("TabINPUT["&amp;$H$6&amp;"]"),TabINPUT[USAGE],$A10,TabINPUT[VECTEUR],I$7)</f>
        <v>#REF!</v>
      </c>
      <c r="J10" s="1112"/>
      <c r="K10" s="1112"/>
      <c r="L10" s="1112"/>
      <c r="M10" s="1113" t="e">
        <f ca="1">SUM(I10:K10)</f>
        <v>#REF!</v>
      </c>
      <c r="N10" s="1937"/>
      <c r="O10" s="454" t="e">
        <f ca="1">F10/$F$13</f>
        <v>#DIV/0!</v>
      </c>
      <c r="P10" s="454" t="e">
        <f ca="1">M10/$M$13</f>
        <v>#REF!</v>
      </c>
      <c r="Q10" s="454" t="e">
        <f t="shared" ca="1" si="0"/>
        <v>#REF!</v>
      </c>
      <c r="R10" s="455" t="e">
        <f ca="1">ROUND(Q10*100,0)</f>
        <v>#REF!</v>
      </c>
      <c r="S10" s="455" t="e">
        <f ca="1">A10&amp;" : "&amp;R10&amp;"%"</f>
        <v>#REF!</v>
      </c>
      <c r="T10"/>
      <c r="V10" s="1111" t="s">
        <v>148</v>
      </c>
      <c r="W10" s="1109" t="e">
        <f ca="1">IF($M10=0,0,I10/$M10*$AA10)</f>
        <v>#REF!</v>
      </c>
      <c r="X10" s="1109" t="e">
        <f t="shared" ca="1" si="2"/>
        <v>#REF!</v>
      </c>
      <c r="Y10" s="1109" t="e">
        <f t="shared" ca="1" si="2"/>
        <v>#REF!</v>
      </c>
      <c r="Z10" s="1109" t="e">
        <f t="shared" ca="1" si="2"/>
        <v>#REF!</v>
      </c>
      <c r="AA10" s="1110" t="e">
        <f ca="1">IF(M10=0,0,IF(SUM(Objectifs!$C$11:$D$12)&gt;Objectifs!$H$11,'Bilan patrimonial'!M10,M10-M10/SUM($M$8:$M$10)*(SUM(Objectifs!$E$11:$E$12)*1000000-(SUM('Bilan patrimonial'!$F$8:$F$10)-SUM('Bilan patrimonial'!$M$8:$M$10)))))</f>
        <v>#REF!</v>
      </c>
    </row>
    <row r="11" spans="1:27">
      <c r="A11" s="1111" t="s">
        <v>160</v>
      </c>
      <c r="B11" s="1112">
        <f ca="1">SUMIFS(INDIRECT("TabINPUT["&amp;$A$6&amp;"]"),TabINPUT[USAGE],$A11,TabINPUT[VECTEUR],B$7)</f>
        <v>0</v>
      </c>
      <c r="C11" s="1112"/>
      <c r="D11" s="1112"/>
      <c r="E11" s="1112"/>
      <c r="F11" s="1113">
        <f ca="1">SUM(B11:D11)</f>
        <v>0</v>
      </c>
      <c r="G11"/>
      <c r="H11" s="1111" t="s">
        <v>160</v>
      </c>
      <c r="I11" s="1112" t="e">
        <f ca="1">SUMIFS(INDIRECT("TabINPUT["&amp;$H$6&amp;"]"),TabINPUT[USAGE],$A11,TabINPUT[VECTEUR],I$7)</f>
        <v>#REF!</v>
      </c>
      <c r="J11" s="1112"/>
      <c r="K11" s="1112"/>
      <c r="L11" s="1112"/>
      <c r="M11" s="1113" t="e">
        <f ca="1">SUM(I11:K11)</f>
        <v>#REF!</v>
      </c>
      <c r="N11"/>
      <c r="O11" s="454" t="e">
        <f ca="1">F11/$F$13</f>
        <v>#DIV/0!</v>
      </c>
      <c r="P11" s="454" t="e">
        <f ca="1">M11/$M$13</f>
        <v>#REF!</v>
      </c>
      <c r="Q11" s="454" t="e">
        <f t="shared" ca="1" si="0"/>
        <v>#REF!</v>
      </c>
      <c r="R11" s="455" t="e">
        <f ca="1">ROUND(Q11*100,0)</f>
        <v>#REF!</v>
      </c>
      <c r="S11" s="455" t="e">
        <f ca="1">A11&amp;" : "&amp;R11&amp;"%"</f>
        <v>#REF!</v>
      </c>
      <c r="T11"/>
      <c r="V11" s="1111" t="s">
        <v>160</v>
      </c>
      <c r="W11" s="1112">
        <f ca="1">IF(Objectifs!H13&lt;Objectifs!C13,'Bilan patrimonial'!I11,'Bilan patrimonial'!F11-Objectifs!E13*1000000)</f>
        <v>0</v>
      </c>
      <c r="X11" s="1112"/>
      <c r="Y11" s="1112"/>
      <c r="Z11" s="1112"/>
      <c r="AA11" s="1110" t="e">
        <f ca="1">IF(M11=0,0,IF(SUM(Objectifs!$C$11:$D$12)&gt;Objectifs!$H$11,'Bilan patrimonial'!M11,M11-M11/SUM($M$8:$M$10)*(SUM(Objectifs!$E$11:$E$12)*1000000-(SUM('Bilan patrimonial'!$F$8:$F$10)-SUM('Bilan patrimonial'!$M$8:$M$10)))))</f>
        <v>#REF!</v>
      </c>
    </row>
    <row r="12" spans="1:27" ht="15" thickBot="1">
      <c r="A12" s="1111" t="s">
        <v>92</v>
      </c>
      <c r="B12" s="1112">
        <f ca="1">SUMIFS(INDIRECT("TabINPUT["&amp;$A$6&amp;"]"),TabINPUT[USAGE],$A12,TabINPUT[VECTEUR],B$7)</f>
        <v>0</v>
      </c>
      <c r="C12" s="1112">
        <f ca="1">SUMIFS(INDIRECT("TabINPUT["&amp;$A$6&amp;"]"),TabINPUT[USAGE],$A12,TabINPUT[VECTEUR],C$7)</f>
        <v>0</v>
      </c>
      <c r="D12" s="1112">
        <f ca="1">SUMIFS(INDIRECT("TabINPUT["&amp;$A$6&amp;"]"),TabINPUT[USAGE],$A12,TabINPUT[VECTEUR],D$7)</f>
        <v>0</v>
      </c>
      <c r="E12" s="1112">
        <f ca="1">SUMIFS(INDIRECT("TabINPUT["&amp;$A$6&amp;"]"),TabINPUT[USAGE],$A12,TabINPUT[VECTEUR],"biocarburants")</f>
        <v>0</v>
      </c>
      <c r="F12" s="1113">
        <f ca="1">SUM(B12:E12)</f>
        <v>0</v>
      </c>
      <c r="G12"/>
      <c r="H12" s="1111" t="s">
        <v>92</v>
      </c>
      <c r="I12" s="1112" t="e">
        <f ca="1">SUMIFS(INDIRECT("TabINPUT["&amp;$H$6&amp;"]"),TabINPUT[USAGE],$A12,TabINPUT[VECTEUR],I$7)</f>
        <v>#REF!</v>
      </c>
      <c r="J12" s="1112" t="e">
        <f ca="1">SUMIFS(INDIRECT("TabINPUT["&amp;$H$6&amp;"]"),TabINPUT[USAGE],$A12,TabINPUT[VECTEUR],J$7)</f>
        <v>#REF!</v>
      </c>
      <c r="K12" s="1112" t="e">
        <f ca="1">SUMIFS(INDIRECT("TabINPUT["&amp;$H$6&amp;"]"),TabINPUT[USAGE],$A12,TabINPUT[VECTEUR],K$7)</f>
        <v>#REF!</v>
      </c>
      <c r="L12" s="1112" t="e">
        <f ca="1">SUMIFS(INDIRECT("TabINPUT["&amp;$H$6&amp;"]"),TabINPUT[USAGE],$A12,TabINPUT[VECTEUR],"biocarburants")</f>
        <v>#REF!</v>
      </c>
      <c r="M12" s="1113" t="e">
        <f ca="1">SUM(I12:L12)</f>
        <v>#REF!</v>
      </c>
      <c r="N12"/>
      <c r="O12" s="454" t="e">
        <f ca="1">F12/$F$13</f>
        <v>#DIV/0!</v>
      </c>
      <c r="P12" s="454" t="e">
        <f ca="1">M12/$M$13</f>
        <v>#REF!</v>
      </c>
      <c r="Q12" s="454" t="e">
        <f t="shared" ca="1" si="0"/>
        <v>#REF!</v>
      </c>
      <c r="R12" s="455" t="e">
        <f ca="1">ROUND(Q12*100,0)</f>
        <v>#REF!</v>
      </c>
      <c r="S12" s="455" t="e">
        <f ca="1">A12&amp;" : "&amp;R12&amp;"%"</f>
        <v>#REF!</v>
      </c>
      <c r="T12"/>
      <c r="V12" s="1111" t="s">
        <v>92</v>
      </c>
      <c r="W12" s="1109" t="e">
        <f ca="1">IF($M12=0,0,I12/$M12*$AA12)</f>
        <v>#REF!</v>
      </c>
      <c r="X12" s="1109" t="e">
        <f t="shared" ref="X12:Z12" ca="1" si="3">IF($M12=0,0,J12/$M12*$AA12)</f>
        <v>#REF!</v>
      </c>
      <c r="Y12" s="1109" t="e">
        <f t="shared" ca="1" si="3"/>
        <v>#REF!</v>
      </c>
      <c r="Z12" s="1109" t="e">
        <f t="shared" ca="1" si="3"/>
        <v>#REF!</v>
      </c>
      <c r="AA12" s="1110" t="e">
        <f ca="1">IF(M12=0,0,IF(SUM(Objectifs!$C$11:$D$12)&gt;Objectifs!$H$11,'Bilan patrimonial'!M12,M12-M12/SUM($M$8:$M$10)*(SUM(Objectifs!$E$11:$E$12)*1000000-(SUM('Bilan patrimonial'!$F$8:$F$10)-SUM('Bilan patrimonial'!$M$8:$M$10)))))</f>
        <v>#REF!</v>
      </c>
    </row>
    <row r="13" spans="1:27" ht="15" thickBot="1">
      <c r="A13" s="1114" t="s">
        <v>172</v>
      </c>
      <c r="B13" s="1115">
        <f ca="1">SUM(B8:B12)</f>
        <v>0</v>
      </c>
      <c r="C13" s="1115">
        <f ca="1">SUM(C8:C12)</f>
        <v>0</v>
      </c>
      <c r="D13" s="1115">
        <f ca="1">SUM(D8:D12)</f>
        <v>0</v>
      </c>
      <c r="E13" s="1115">
        <f ca="1">SUM(E8:E12)</f>
        <v>0</v>
      </c>
      <c r="F13" s="1115">
        <f ca="1">SUM(F8:F12)</f>
        <v>0</v>
      </c>
      <c r="G13"/>
      <c r="H13" s="1114" t="s">
        <v>172</v>
      </c>
      <c r="I13" s="1115" t="e">
        <f ca="1">SUM(I8:I12)</f>
        <v>#REF!</v>
      </c>
      <c r="J13" s="1115" t="e">
        <f ca="1">SUM(J8:J12)</f>
        <v>#REF!</v>
      </c>
      <c r="K13" s="1115" t="e">
        <f ca="1">SUM(K8:K12)</f>
        <v>#REF!</v>
      </c>
      <c r="L13" s="1115" t="e">
        <f ca="1">SUM(L8:L12)</f>
        <v>#REF!</v>
      </c>
      <c r="M13" s="1115" t="e">
        <f ca="1">SUM(M8:M12)</f>
        <v>#REF!</v>
      </c>
      <c r="N13"/>
      <c r="O13" s="455"/>
      <c r="P13" s="456"/>
      <c r="Q13" s="454" t="e">
        <f t="shared" ca="1" si="0"/>
        <v>#REF!</v>
      </c>
      <c r="R13" s="455"/>
      <c r="S13" s="455"/>
      <c r="T13"/>
      <c r="V13" s="1114" t="s">
        <v>172</v>
      </c>
      <c r="W13" s="1115" t="e">
        <f ca="1">SUM(W8:W12)</f>
        <v>#REF!</v>
      </c>
      <c r="X13" s="1115" t="e">
        <f ca="1">SUM(X8:X12)</f>
        <v>#REF!</v>
      </c>
      <c r="Y13" s="1115" t="e">
        <f ca="1">SUM(Y8:Y12)</f>
        <v>#REF!</v>
      </c>
      <c r="Z13" s="1115" t="e">
        <f ca="1">SUM(Z8:Z12)</f>
        <v>#REF!</v>
      </c>
      <c r="AA13" s="1115" t="e">
        <f ca="1">SUM(AA8:AA12)</f>
        <v>#REF!</v>
      </c>
    </row>
    <row r="14" spans="1:27" ht="29.25" hidden="1" customHeight="1" outlineLevel="1">
      <c r="A14" s="563" t="s">
        <v>173</v>
      </c>
      <c r="B14" s="1116"/>
      <c r="C14" s="1116"/>
      <c r="D14" s="1116"/>
      <c r="E14" s="1116"/>
      <c r="F14" s="1116"/>
      <c r="G14" s="45"/>
      <c r="H14" s="563"/>
      <c r="I14" s="1116"/>
      <c r="J14" s="1116"/>
      <c r="K14" s="1116"/>
      <c r="L14" s="1116"/>
      <c r="M14" s="1116"/>
      <c r="N14" s="45"/>
      <c r="O14" s="459"/>
      <c r="P14" s="468"/>
      <c r="Q14" s="461"/>
      <c r="R14" s="459"/>
      <c r="S14" s="459"/>
      <c r="T14"/>
      <c r="V14" s="563"/>
      <c r="W14" s="1116"/>
      <c r="X14" s="1116"/>
      <c r="Y14" s="1116"/>
      <c r="Z14" s="1116"/>
      <c r="AA14" s="1116"/>
    </row>
    <row r="15" spans="1:27" hidden="1" outlineLevel="1">
      <c r="A15" s="564" t="s">
        <v>174</v>
      </c>
      <c r="B15" s="1117" t="e">
        <f ca="1">B13/$F$13</f>
        <v>#DIV/0!</v>
      </c>
      <c r="C15" s="1117" t="e">
        <f ca="1">C13/$F$13</f>
        <v>#DIV/0!</v>
      </c>
      <c r="D15" s="1117" t="e">
        <f ca="1">D13/$F$13</f>
        <v>#DIV/0!</v>
      </c>
      <c r="E15" s="1117" t="e">
        <f ca="1">E13/$F$13</f>
        <v>#DIV/0!</v>
      </c>
      <c r="F15" s="1118"/>
      <c r="G15" s="45"/>
      <c r="H15" s="564" t="s">
        <v>174</v>
      </c>
      <c r="I15" s="1117" t="e">
        <f ca="1">I13/$M$13</f>
        <v>#REF!</v>
      </c>
      <c r="J15" s="1117" t="e">
        <f ca="1">J13/$M$13</f>
        <v>#REF!</v>
      </c>
      <c r="K15" s="1117" t="e">
        <f ca="1">K13/$M$13</f>
        <v>#REF!</v>
      </c>
      <c r="L15" s="1117" t="e">
        <f ca="1">L13/$M$13</f>
        <v>#REF!</v>
      </c>
      <c r="M15" s="1118"/>
      <c r="N15" s="45"/>
      <c r="O15" s="459"/>
      <c r="P15" s="460"/>
      <c r="Q15" s="469" t="e">
        <f ca="1">ROUND(Q13*100,0)</f>
        <v>#REF!</v>
      </c>
      <c r="R15" s="459"/>
      <c r="S15" s="459"/>
      <c r="T15"/>
      <c r="V15" s="564" t="s">
        <v>174</v>
      </c>
      <c r="W15" s="1117" t="e">
        <f ca="1">W13/$M$13</f>
        <v>#REF!</v>
      </c>
      <c r="X15" s="1117" t="e">
        <f ca="1">X13/$M$13</f>
        <v>#REF!</v>
      </c>
      <c r="Y15" s="1117" t="e">
        <f ca="1">Y13/$M$13</f>
        <v>#REF!</v>
      </c>
      <c r="Z15" s="1117" t="e">
        <f ca="1">Z13/$M$13</f>
        <v>#REF!</v>
      </c>
      <c r="AA15" s="1118"/>
    </row>
    <row r="16" spans="1:27" hidden="1" outlineLevel="1">
      <c r="A16" s="1118"/>
      <c r="B16" s="1118"/>
      <c r="C16" s="1118"/>
      <c r="D16" s="1118"/>
      <c r="E16" s="1118"/>
      <c r="F16" s="1118"/>
      <c r="G16" s="45"/>
      <c r="H16" s="564" t="s">
        <v>168</v>
      </c>
      <c r="I16" s="1117" t="e">
        <f ca="1">IF(B13=0,IF(I13&gt;0,1,0),I13/B13-1)</f>
        <v>#REF!</v>
      </c>
      <c r="J16" s="1117" t="e">
        <f ca="1">IF(C13=0,IF(J13&gt;0,1,0),J13/C13-1)</f>
        <v>#REF!</v>
      </c>
      <c r="K16" s="1117" t="e">
        <f ca="1">IF(D13=0,IF(K13&gt;0,1,0),K13/D13-1)</f>
        <v>#REF!</v>
      </c>
      <c r="L16" s="1117" t="e">
        <f ca="1">IF(E13=0,IF(L13&gt;0,1,0),L13/E13-1)</f>
        <v>#REF!</v>
      </c>
      <c r="M16" s="1118"/>
      <c r="N16" s="45"/>
      <c r="O16" s="459"/>
      <c r="P16" s="470"/>
      <c r="Q16" s="459"/>
      <c r="R16" s="459"/>
      <c r="S16" s="459"/>
      <c r="T16"/>
      <c r="V16" s="564" t="s">
        <v>168</v>
      </c>
      <c r="W16" s="1117" t="e">
        <f ca="1">IF(P13=0,IF(W13&gt;0,1,0),W13/P13-1)</f>
        <v>#REF!</v>
      </c>
      <c r="X16" s="1117" t="e">
        <f ca="1">IF(Q13=0,IF(X13&gt;0,1,0),X13/Q13-1)</f>
        <v>#REF!</v>
      </c>
      <c r="Y16" s="1117" t="e">
        <f ca="1">IF(R13=0,IF(Y13&gt;0,1,0),Y13/R13-1)</f>
        <v>#REF!</v>
      </c>
      <c r="Z16" s="1117" t="e">
        <f ca="1">IF(S13=0,IF(Z13&gt;0,1,0),Z13/S13-1)</f>
        <v>#REF!</v>
      </c>
      <c r="AA16" s="1118"/>
    </row>
    <row r="17" spans="1:28" hidden="1" outlineLevel="1">
      <c r="A17" s="1118"/>
      <c r="B17" s="1118"/>
      <c r="C17" s="1118"/>
      <c r="D17" s="1118"/>
      <c r="E17" s="1118"/>
      <c r="F17" s="1118"/>
      <c r="G17" s="45"/>
      <c r="H17" s="564" t="s">
        <v>169</v>
      </c>
      <c r="I17" s="1119" t="e">
        <f ca="1">ROUND(I16*100,0)</f>
        <v>#REF!</v>
      </c>
      <c r="J17" s="1119" t="e">
        <f ca="1">ROUND(J16*100,0)</f>
        <v>#REF!</v>
      </c>
      <c r="K17" s="1119" t="e">
        <f ca="1">ROUND(K16*100,0)</f>
        <v>#REF!</v>
      </c>
      <c r="L17" s="1119" t="e">
        <f ca="1">ROUND(L16*100,0)</f>
        <v>#REF!</v>
      </c>
      <c r="M17" s="1118"/>
      <c r="N17" s="45"/>
      <c r="O17" s="459"/>
      <c r="P17" s="470"/>
      <c r="Q17" s="459"/>
      <c r="R17" s="459"/>
      <c r="S17" s="459"/>
      <c r="T17"/>
      <c r="V17" s="564" t="s">
        <v>169</v>
      </c>
      <c r="W17" s="1119" t="e">
        <f ca="1">ROUND(W16*100,0)</f>
        <v>#REF!</v>
      </c>
      <c r="X17" s="1119" t="e">
        <f ca="1">ROUND(X16*100,0)</f>
        <v>#REF!</v>
      </c>
      <c r="Y17" s="1119" t="e">
        <f ca="1">ROUND(Y16*100,0)</f>
        <v>#REF!</v>
      </c>
      <c r="Z17" s="1119" t="e">
        <f ca="1">ROUND(Z16*100,0)</f>
        <v>#REF!</v>
      </c>
      <c r="AA17" s="1118"/>
    </row>
    <row r="18" spans="1:28" hidden="1" outlineLevel="1">
      <c r="A18" s="1118"/>
      <c r="B18" s="1118"/>
      <c r="C18" s="1118"/>
      <c r="D18" s="1118"/>
      <c r="E18" s="1118"/>
      <c r="F18" s="1118"/>
      <c r="G18" s="45"/>
      <c r="H18" s="564" t="s">
        <v>170</v>
      </c>
      <c r="I18" s="565" t="e">
        <f ca="1">I7&amp;" : "&amp;I17&amp;"%"</f>
        <v>#REF!</v>
      </c>
      <c r="J18" s="565" t="e">
        <f ca="1">J7&amp;" : "&amp;J17&amp;"%"</f>
        <v>#REF!</v>
      </c>
      <c r="K18" s="565" t="e">
        <f ca="1">K7&amp;" : "&amp;K17&amp;"%"</f>
        <v>#REF!</v>
      </c>
      <c r="L18" s="565" t="e">
        <f ca="1">L7&amp;" : "&amp;L17&amp;"%"</f>
        <v>#REF!</v>
      </c>
      <c r="M18" s="474"/>
      <c r="N18" s="45"/>
      <c r="O18" s="459"/>
      <c r="P18" s="470"/>
      <c r="Q18" s="459"/>
      <c r="R18" s="459"/>
      <c r="S18" s="459"/>
      <c r="T18"/>
      <c r="V18" s="564" t="s">
        <v>170</v>
      </c>
      <c r="W18" s="565" t="e">
        <f ca="1">W7&amp;" : "&amp;W17&amp;"%"</f>
        <v>#REF!</v>
      </c>
      <c r="X18" s="565" t="e">
        <f ca="1">X7&amp;" : "&amp;X17&amp;"%"</f>
        <v>#REF!</v>
      </c>
      <c r="Y18" s="565" t="e">
        <f ca="1">Y7&amp;" : "&amp;Y17&amp;"%"</f>
        <v>#REF!</v>
      </c>
      <c r="Z18" s="565" t="e">
        <f ca="1">Z7&amp;" : "&amp;Z17&amp;"%"</f>
        <v>#REF!</v>
      </c>
      <c r="AA18" s="474"/>
    </row>
    <row r="19" spans="1:28" ht="15" collapsed="1" thickBot="1">
      <c r="A19" s="70"/>
      <c r="B19" s="70"/>
      <c r="C19" s="70"/>
      <c r="D19" s="1120"/>
      <c r="E19" s="70"/>
      <c r="F19" s="70"/>
      <c r="G19"/>
      <c r="H19" s="70"/>
      <c r="I19" s="80"/>
      <c r="J19" s="80"/>
      <c r="K19" s="80"/>
      <c r="L19" s="80"/>
      <c r="M19" s="79"/>
      <c r="N19"/>
      <c r="O19" s="459"/>
      <c r="P19" s="470"/>
      <c r="Q19" s="459"/>
      <c r="R19" s="459"/>
      <c r="S19" s="459"/>
      <c r="T19"/>
      <c r="V19" s="70"/>
      <c r="W19" s="80"/>
      <c r="X19" s="80"/>
      <c r="Y19" s="80"/>
      <c r="Z19" s="80"/>
      <c r="AA19" s="79"/>
    </row>
    <row r="20" spans="1:28" ht="18.600000000000001" thickBot="1">
      <c r="A20" s="71">
        <f>Accueil!E28</f>
        <v>2006</v>
      </c>
      <c r="B20" s="1934" t="s">
        <v>175</v>
      </c>
      <c r="C20" s="1935"/>
      <c r="D20" s="1935"/>
      <c r="E20" s="1935"/>
      <c r="F20" s="1936"/>
      <c r="G20"/>
      <c r="H20" s="71">
        <f>Accueil!E29</f>
        <v>0</v>
      </c>
      <c r="I20" s="1934" t="s">
        <v>175</v>
      </c>
      <c r="J20" s="1935"/>
      <c r="K20" s="1935"/>
      <c r="L20" s="1935"/>
      <c r="M20" s="1936"/>
      <c r="N20"/>
      <c r="O20" s="459"/>
      <c r="P20" s="471"/>
      <c r="Q20" s="459"/>
      <c r="R20" s="459"/>
      <c r="S20" s="459"/>
      <c r="T20"/>
      <c r="V20" s="71">
        <v>2030</v>
      </c>
      <c r="W20" s="1934" t="s">
        <v>175</v>
      </c>
      <c r="X20" s="1935"/>
      <c r="Y20" s="1935"/>
      <c r="Z20" s="1935"/>
      <c r="AA20" s="1936"/>
    </row>
    <row r="21" spans="1:28" ht="15" thickBot="1">
      <c r="A21" s="1108"/>
      <c r="B21" s="562" t="s">
        <v>93</v>
      </c>
      <c r="C21" s="562" t="s">
        <v>98</v>
      </c>
      <c r="D21" s="562" t="s">
        <v>144</v>
      </c>
      <c r="E21" s="562" t="s">
        <v>158</v>
      </c>
      <c r="F21" s="562" t="s">
        <v>166</v>
      </c>
      <c r="G21"/>
      <c r="H21" s="860"/>
      <c r="I21" s="562" t="s">
        <v>93</v>
      </c>
      <c r="J21" s="562" t="s">
        <v>98</v>
      </c>
      <c r="K21" s="562" t="s">
        <v>144</v>
      </c>
      <c r="L21" s="562" t="s">
        <v>158</v>
      </c>
      <c r="M21" s="562" t="s">
        <v>166</v>
      </c>
      <c r="N21"/>
      <c r="O21" s="452" t="s">
        <v>167</v>
      </c>
      <c r="P21" s="452" t="str">
        <f>P7</f>
        <v xml:space="preserve">Part </v>
      </c>
      <c r="Q21" s="453" t="s">
        <v>168</v>
      </c>
      <c r="R21" s="453" t="s">
        <v>169</v>
      </c>
      <c r="S21" s="453" t="s">
        <v>170</v>
      </c>
      <c r="T21"/>
      <c r="V21" s="860"/>
      <c r="W21" s="562" t="s">
        <v>93</v>
      </c>
      <c r="X21" s="562" t="s">
        <v>98</v>
      </c>
      <c r="Y21" s="562" t="s">
        <v>144</v>
      </c>
      <c r="Z21" s="562" t="s">
        <v>158</v>
      </c>
      <c r="AA21" s="562" t="s">
        <v>166</v>
      </c>
    </row>
    <row r="22" spans="1:28">
      <c r="A22" s="83" t="s">
        <v>149</v>
      </c>
      <c r="B22" s="1109">
        <f ca="1">B8*E$45/1000</f>
        <v>0</v>
      </c>
      <c r="C22" s="1109">
        <f ca="1">C8*Hypothèses!$B$9/1000</f>
        <v>0</v>
      </c>
      <c r="D22" s="1109">
        <f ca="1">(SUMIFS(INDIRECT("TabINPUT["&amp;$A$6&amp;"]"),TabINPUT[USAGE],$A22,TabINPUT[VECTEUR],"Mazout")*IF($B$4="Réel",1,HLOOKUP(Accueil!$E$28,Hypothèses!$A$25:$AA$28,4,0))*Hypothèses!$B$6+SUMIFS(INDIRECT("TabINPUT["&amp;$A$6&amp;"]"),TabINPUT[USAGE],$A22,TabINPUT[VECTEUR],"Propane")*IF($B$4="Réel",1,HLOOKUP(Accueil!$E$28,Hypothèses!$A$25:$AA$28,4,0))*Hypothèses!$B$8)/1000</f>
        <v>0</v>
      </c>
      <c r="E22" s="1109">
        <f ca="1">(SUMIFS(INDIRECT("TabINPUT["&amp;$A$6&amp;"]"),TabINPUT[USAGE],$A22,TabINPUT[VECTEUR],"Bois/Pellets")*IF($B$4="Réel",1,HLOOKUP(Accueil!$E$28,Hypothèses!$A$25:$AA$28,4,0))*Hypothèses!$B$17)/1000+(SUMIFS(INDIRECT("TabINPUT["&amp;$A$6&amp;"]"),TabINPUT[USAGE],$A22,TabINPUT[VECTEUR],"Vapeur")*IF($B$4="Réel",1,HLOOKUP(Accueil!$E$28,Hypothèses!$A$25:$AA$28,4,0))*Hypothèses!$B$10)/1000</f>
        <v>0</v>
      </c>
      <c r="F22" s="1110">
        <f ca="1">SUM(B22:E22)</f>
        <v>0</v>
      </c>
      <c r="G22"/>
      <c r="H22" s="83" t="s">
        <v>149</v>
      </c>
      <c r="I22" s="1109" t="e">
        <f ca="1">I8*L$45/1000</f>
        <v>#REF!</v>
      </c>
      <c r="J22" s="1109" t="e">
        <f ca="1">J8*Hypothèses!$B$9/1000</f>
        <v>#REF!</v>
      </c>
      <c r="K22" s="1109" t="e">
        <f ca="1">(SUMIFS(INDIRECT("TabINPUT["&amp;$H$6&amp;"]"),TabINPUT[USAGE],$A22,TabINPUT[VECTEUR],"Mazout")*IF($B$4="Réel",1,HLOOKUP(Accueil!$E$28,Hypothèses!$A$25:$AA$28,4,0))*Hypothèses!$B$6+SUMIFS(INDIRECT("TabINPUT["&amp;$H$6&amp;"]"),TabINPUT[USAGE],$A22,TabINPUT[VECTEUR],"Propane")*IF($B$4="Réel",1,HLOOKUP(Accueil!$E$28,Hypothèses!$A$25:$AA$28,4,0))*Hypothèses!$B$8)/1000</f>
        <v>#REF!</v>
      </c>
      <c r="L22" s="1109" t="e">
        <f ca="1">(SUMIFS(INDIRECT("TabINPUT["&amp;$H$6&amp;"]"),TabINPUT[USAGE],$A22,TabINPUT[VECTEUR],"Bois/Pellets")*IF($B$4="Réel",1,HLOOKUP(Accueil!$E$28,Hypothèses!$A$25:$AA$28,4,0))*Hypothèses!$B$17)/1000+(SUMIFS(INDIRECT("TabINPUT["&amp;$H$6&amp;"]"),TabINPUT[USAGE],$A22,TabINPUT[VECTEUR],"Vapeur")*IF($B$4="Réel",1,HLOOKUP(Accueil!$E$28,Hypothèses!$A$25:$AA$28,4,0))*Hypothèses!$B$10)/1000</f>
        <v>#REF!</v>
      </c>
      <c r="M22" s="1110" t="e">
        <f ca="1">SUM(I22:L22)</f>
        <v>#REF!</v>
      </c>
      <c r="N22"/>
      <c r="O22" s="454" t="e">
        <f ca="1">F22/$F$27</f>
        <v>#DIV/0!</v>
      </c>
      <c r="P22" s="454" t="e">
        <f ca="1">M22/$M$27</f>
        <v>#REF!</v>
      </c>
      <c r="Q22" s="454" t="e">
        <f t="shared" ref="Q22:Q27" ca="1" si="4">IF(F22=0,IF(M22&gt;0,1,0),M22/F22-1)</f>
        <v>#REF!</v>
      </c>
      <c r="R22" s="455" t="e">
        <f ca="1">ROUND(Q22*100,0)</f>
        <v>#REF!</v>
      </c>
      <c r="S22" s="455" t="e">
        <f ca="1">A22&amp;" : "&amp;R22&amp;"%"</f>
        <v>#REF!</v>
      </c>
      <c r="T22"/>
      <c r="V22" s="83" t="s">
        <v>149</v>
      </c>
      <c r="W22" s="1109" t="e">
        <f ca="1">W8*'Bilan territorial'!$K$61/1000</f>
        <v>#REF!</v>
      </c>
      <c r="X22" s="1109" t="e">
        <f ca="1">IF(J8=0,0,J22/J8*X8)</f>
        <v>#REF!</v>
      </c>
      <c r="Y22" s="1109" t="e">
        <f t="shared" ref="Y22:Z22" ca="1" si="5">IF(K8=0,0,K22/K8*Y8)</f>
        <v>#REF!</v>
      </c>
      <c r="Z22" s="1109" t="e">
        <f t="shared" ca="1" si="5"/>
        <v>#REF!</v>
      </c>
      <c r="AA22" s="1110" t="e">
        <f ca="1">SUM(W22:Z22)</f>
        <v>#REF!</v>
      </c>
    </row>
    <row r="23" spans="1:28">
      <c r="A23" s="1111" t="s">
        <v>147</v>
      </c>
      <c r="B23" s="1109">
        <f t="shared" ref="B23:B26" ca="1" si="6">B9*E$45/1000</f>
        <v>0</v>
      </c>
      <c r="C23" s="1112">
        <v>0</v>
      </c>
      <c r="D23" s="1112">
        <v>0</v>
      </c>
      <c r="E23" s="1112">
        <v>0</v>
      </c>
      <c r="F23" s="1113">
        <f ca="1">SUM(B23:D23)</f>
        <v>0</v>
      </c>
      <c r="G23"/>
      <c r="H23" s="1111" t="s">
        <v>147</v>
      </c>
      <c r="I23" s="1109" t="e">
        <f t="shared" ref="I23:I26" ca="1" si="7">I9*L$45/1000</f>
        <v>#REF!</v>
      </c>
      <c r="J23" s="1112">
        <v>0</v>
      </c>
      <c r="K23" s="1112">
        <v>0</v>
      </c>
      <c r="L23" s="1112">
        <v>0</v>
      </c>
      <c r="M23" s="1113" t="e">
        <f ca="1">SUM(I23:L23)</f>
        <v>#REF!</v>
      </c>
      <c r="N23"/>
      <c r="O23" s="454" t="e">
        <f ca="1">F23/$F$27</f>
        <v>#DIV/0!</v>
      </c>
      <c r="P23" s="454" t="e">
        <f ca="1">M23/$M$27</f>
        <v>#REF!</v>
      </c>
      <c r="Q23" s="454" t="e">
        <f t="shared" ca="1" si="4"/>
        <v>#REF!</v>
      </c>
      <c r="R23" s="455" t="e">
        <f ca="1">ROUND(Q23*100,0)</f>
        <v>#REF!</v>
      </c>
      <c r="S23" s="455" t="e">
        <f ca="1">A23&amp;" : "&amp;R23&amp;"%"</f>
        <v>#REF!</v>
      </c>
      <c r="T23"/>
      <c r="V23" s="1111" t="s">
        <v>147</v>
      </c>
      <c r="W23" s="1109" t="e">
        <f ca="1">W9*'Bilan territorial'!$K$61/1000</f>
        <v>#REF!</v>
      </c>
      <c r="X23" s="1112">
        <f t="shared" ref="X23:Z23" si="8">IF(J9=0,0,J23/J9*X9)</f>
        <v>0</v>
      </c>
      <c r="Y23" s="1112">
        <f t="shared" si="8"/>
        <v>0</v>
      </c>
      <c r="Z23" s="1112">
        <f t="shared" si="8"/>
        <v>0</v>
      </c>
      <c r="AA23" s="1113" t="e">
        <f ca="1">SUM(W23:Z23)</f>
        <v>#REF!</v>
      </c>
    </row>
    <row r="24" spans="1:28">
      <c r="A24" s="1111" t="s">
        <v>148</v>
      </c>
      <c r="B24" s="1109">
        <f t="shared" ca="1" si="6"/>
        <v>0</v>
      </c>
      <c r="C24" s="1112">
        <v>0</v>
      </c>
      <c r="D24" s="1112">
        <v>0</v>
      </c>
      <c r="E24" s="1112">
        <v>0</v>
      </c>
      <c r="F24" s="1113">
        <f ca="1">SUM(B24:D24)</f>
        <v>0</v>
      </c>
      <c r="G24"/>
      <c r="H24" s="1111" t="s">
        <v>148</v>
      </c>
      <c r="I24" s="1109" t="e">
        <f t="shared" ca="1" si="7"/>
        <v>#REF!</v>
      </c>
      <c r="J24" s="1112">
        <v>0</v>
      </c>
      <c r="K24" s="1112">
        <v>0</v>
      </c>
      <c r="L24" s="1112">
        <v>0</v>
      </c>
      <c r="M24" s="1113" t="e">
        <f ca="1">SUM(I24:L24)</f>
        <v>#REF!</v>
      </c>
      <c r="N24"/>
      <c r="O24" s="454" t="e">
        <f ca="1">F24/$F$27</f>
        <v>#DIV/0!</v>
      </c>
      <c r="P24" s="454" t="e">
        <f ca="1">M24/$M$27</f>
        <v>#REF!</v>
      </c>
      <c r="Q24" s="454" t="e">
        <f t="shared" ca="1" si="4"/>
        <v>#REF!</v>
      </c>
      <c r="R24" s="455" t="e">
        <f ca="1">ROUND(Q24*100,0)</f>
        <v>#REF!</v>
      </c>
      <c r="S24" s="455" t="e">
        <f ca="1">A24&amp;" : "&amp;R24&amp;"%"</f>
        <v>#REF!</v>
      </c>
      <c r="T24"/>
      <c r="V24" s="1111" t="s">
        <v>148</v>
      </c>
      <c r="W24" s="1109" t="e">
        <f ca="1">W10*'Bilan territorial'!$K$61/1000</f>
        <v>#REF!</v>
      </c>
      <c r="X24" s="1112">
        <f t="shared" ref="X24:Z24" si="9">IF(J10=0,0,J24/J10*X10)</f>
        <v>0</v>
      </c>
      <c r="Y24" s="1112">
        <f t="shared" si="9"/>
        <v>0</v>
      </c>
      <c r="Z24" s="1112">
        <f t="shared" si="9"/>
        <v>0</v>
      </c>
      <c r="AA24" s="1113" t="e">
        <f ca="1">SUM(W24:Z24)</f>
        <v>#REF!</v>
      </c>
    </row>
    <row r="25" spans="1:28">
      <c r="A25" s="1111" t="s">
        <v>160</v>
      </c>
      <c r="B25" s="1109">
        <f t="shared" ca="1" si="6"/>
        <v>0</v>
      </c>
      <c r="C25" s="1112">
        <v>0</v>
      </c>
      <c r="D25" s="1112">
        <v>0</v>
      </c>
      <c r="E25" s="1112">
        <v>0</v>
      </c>
      <c r="F25" s="1113">
        <f ca="1">SUM(B25:D25)</f>
        <v>0</v>
      </c>
      <c r="G25"/>
      <c r="H25" s="1111" t="s">
        <v>160</v>
      </c>
      <c r="I25" s="1109" t="e">
        <f t="shared" ca="1" si="7"/>
        <v>#REF!</v>
      </c>
      <c r="J25" s="1112">
        <v>0</v>
      </c>
      <c r="K25" s="1112">
        <v>0</v>
      </c>
      <c r="L25" s="1112">
        <v>0</v>
      </c>
      <c r="M25" s="1113" t="e">
        <f ca="1">SUM(I25:L25)</f>
        <v>#REF!</v>
      </c>
      <c r="N25"/>
      <c r="O25" s="454" t="e">
        <f ca="1">F25/$F$27</f>
        <v>#DIV/0!</v>
      </c>
      <c r="P25" s="454" t="e">
        <f ca="1">M25/$M$27</f>
        <v>#REF!</v>
      </c>
      <c r="Q25" s="454" t="e">
        <f t="shared" ca="1" si="4"/>
        <v>#REF!</v>
      </c>
      <c r="R25" s="455" t="e">
        <f ca="1">ROUND(Q25*100,0)</f>
        <v>#REF!</v>
      </c>
      <c r="S25" s="455" t="e">
        <f ca="1">A25&amp;" : "&amp;R25&amp;"%"</f>
        <v>#REF!</v>
      </c>
      <c r="T25"/>
      <c r="V25" s="1111" t="s">
        <v>160</v>
      </c>
      <c r="W25" s="1109" t="e">
        <f ca="1">W11*'Bilan territorial'!$K$61/1000</f>
        <v>#REF!</v>
      </c>
      <c r="X25" s="1112">
        <f t="shared" ref="X25:Z25" si="10">IF(J11=0,0,J25/J11*X11)</f>
        <v>0</v>
      </c>
      <c r="Y25" s="1112">
        <f t="shared" si="10"/>
        <v>0</v>
      </c>
      <c r="Z25" s="1112">
        <f t="shared" si="10"/>
        <v>0</v>
      </c>
      <c r="AA25" s="1113" t="e">
        <f ca="1">SUM(W25:Z25)</f>
        <v>#REF!</v>
      </c>
    </row>
    <row r="26" spans="1:28" ht="15" thickBot="1">
      <c r="A26" s="1111" t="s">
        <v>92</v>
      </c>
      <c r="B26" s="1109">
        <f t="shared" ca="1" si="6"/>
        <v>0</v>
      </c>
      <c r="C26" s="1112">
        <f ca="1">C12*Hypothèses!$B$9/1000</f>
        <v>0</v>
      </c>
      <c r="D26" s="1112">
        <f ca="1">(SUMIFS(INDIRECT("TabINPUT["&amp;$A$6&amp;"]"),TabINPUT[USAGE],$A26,TabINPUT[VECTEUR],"diesel")*Hypothèses!$B$6+SUMIFS(INDIRECT("TabINPUT["&amp;$A$6&amp;"]"),TabINPUT[USAGE],$A26,TabINPUT[VECTEUR],"essence")*Hypothèses!$B$5+SUMIFS(INDIRECT("TabINPUT["&amp;$A$6&amp;"]"),TabINPUT[USAGE],$A26,TabINPUT[VECTEUR],"LPG")*Hypothèses!$B$8)/1000</f>
        <v>0</v>
      </c>
      <c r="E26" s="1112">
        <f ca="1">SUMIFS(INDIRECT("TabINPUT["&amp;$A$6&amp;"]"),TabINPUT[USAGE],$A26,TabINPUT[VECTEUR],"biocarburants")*Hypothèses!$B$18/1000</f>
        <v>0</v>
      </c>
      <c r="F26" s="1113">
        <f ca="1">SUM(B26:D26)</f>
        <v>0</v>
      </c>
      <c r="G26"/>
      <c r="H26" s="1111" t="s">
        <v>92</v>
      </c>
      <c r="I26" s="1109" t="e">
        <f t="shared" ca="1" si="7"/>
        <v>#REF!</v>
      </c>
      <c r="J26" s="1112" t="e">
        <f ca="1">J12*Hypothèses!$B$9/1000</f>
        <v>#REF!</v>
      </c>
      <c r="K26" s="1112" t="e">
        <f ca="1">(SUMIFS(INDIRECT("TabINPUT["&amp;$H$6&amp;"]"),TabINPUT[USAGE],$A26,TabINPUT[VECTEUR],"diesel")*Hypothèses!$B$6+SUMIFS(INDIRECT("TabINPUT["&amp;$H$6&amp;"]"),TabINPUT[USAGE],$A26,TabINPUT[VECTEUR],"essence")*Hypothèses!$B$5+SUMIFS(INDIRECT("TabINPUT["&amp;$H$6&amp;"]"),TabINPUT[USAGE],$A26,TabINPUT[VECTEUR],"LPG")*Hypothèses!$B$8)/1000</f>
        <v>#REF!</v>
      </c>
      <c r="L26" s="1121" t="e">
        <f ca="1">L12*Hypothèses!B18/1000</f>
        <v>#REF!</v>
      </c>
      <c r="M26" s="1113" t="e">
        <f ca="1">SUM(I26:L26)</f>
        <v>#REF!</v>
      </c>
      <c r="N26"/>
      <c r="O26" s="454" t="e">
        <f ca="1">F26/$F$27</f>
        <v>#DIV/0!</v>
      </c>
      <c r="P26" s="454" t="e">
        <f ca="1">M26/$M$27</f>
        <v>#REF!</v>
      </c>
      <c r="Q26" s="454" t="e">
        <f t="shared" ca="1" si="4"/>
        <v>#REF!</v>
      </c>
      <c r="R26" s="455" t="e">
        <f ca="1">ROUND(Q26*100,0)</f>
        <v>#REF!</v>
      </c>
      <c r="S26" s="455" t="e">
        <f ca="1">A26&amp;" : "&amp;R26&amp;"%"</f>
        <v>#REF!</v>
      </c>
      <c r="T26"/>
      <c r="V26" s="1111" t="s">
        <v>92</v>
      </c>
      <c r="W26" s="1109" t="e">
        <f ca="1">W12*'Bilan territorial'!$K$61/1000</f>
        <v>#REF!</v>
      </c>
      <c r="X26" s="1112" t="e">
        <f t="shared" ref="X26:Y26" ca="1" si="11">IF(J12=0,0,J26/J12*X12)</f>
        <v>#REF!</v>
      </c>
      <c r="Y26" s="1121" t="e">
        <f t="shared" ca="1" si="11"/>
        <v>#REF!</v>
      </c>
      <c r="Z26" s="1121" t="e">
        <f ca="1">Z12*Hypothèses!B18/1000</f>
        <v>#REF!</v>
      </c>
      <c r="AA26" s="1122" t="e">
        <f ca="1">SUM(W26:Z26)</f>
        <v>#REF!</v>
      </c>
      <c r="AB26" s="1303" t="e">
        <f ca="1">M26-AA26</f>
        <v>#REF!</v>
      </c>
    </row>
    <row r="27" spans="1:28" ht="15" thickBot="1">
      <c r="A27" s="1114" t="s">
        <v>172</v>
      </c>
      <c r="B27" s="1115">
        <f ca="1">SUM(B22:B26)</f>
        <v>0</v>
      </c>
      <c r="C27" s="1115">
        <f ca="1">SUM(C22:C26)</f>
        <v>0</v>
      </c>
      <c r="D27" s="1115">
        <f ca="1">SUM(D22:D26)</f>
        <v>0</v>
      </c>
      <c r="E27" s="1115">
        <f ca="1">SUM(E22:E26)</f>
        <v>0</v>
      </c>
      <c r="F27" s="1115">
        <f ca="1">SUM(F22:F26)</f>
        <v>0</v>
      </c>
      <c r="G27"/>
      <c r="H27" s="1114" t="s">
        <v>172</v>
      </c>
      <c r="I27" s="1115" t="e">
        <f ca="1">SUM(I22:I26)</f>
        <v>#REF!</v>
      </c>
      <c r="J27" s="1115" t="e">
        <f ca="1">SUM(J22:J26)</f>
        <v>#REF!</v>
      </c>
      <c r="K27" s="1115" t="e">
        <f ca="1">SUM(K22:K26)</f>
        <v>#REF!</v>
      </c>
      <c r="L27" s="1115" t="e">
        <f ca="1">SUM(L22:L26)</f>
        <v>#REF!</v>
      </c>
      <c r="M27" s="1115" t="e">
        <f ca="1">SUM(M22:M26)</f>
        <v>#REF!</v>
      </c>
      <c r="N27"/>
      <c r="O27" s="455"/>
      <c r="P27" s="457" t="e">
        <f ca="1">ROUND(P26*100,0)</f>
        <v>#REF!</v>
      </c>
      <c r="Q27" s="454" t="e">
        <f t="shared" ca="1" si="4"/>
        <v>#REF!</v>
      </c>
      <c r="R27" s="455"/>
      <c r="S27" s="455"/>
      <c r="T27"/>
      <c r="V27" s="1114" t="s">
        <v>172</v>
      </c>
      <c r="W27" s="1115" t="e">
        <f ca="1">SUM(W22:W26)</f>
        <v>#REF!</v>
      </c>
      <c r="X27" s="1115" t="e">
        <f ca="1">SUM(X22:X26)</f>
        <v>#REF!</v>
      </c>
      <c r="Y27" s="1115" t="e">
        <f ca="1">SUM(Y22:Y26)</f>
        <v>#REF!</v>
      </c>
      <c r="Z27" s="1115" t="e">
        <f ca="1">SUM(Z22:Z26)</f>
        <v>#REF!</v>
      </c>
      <c r="AA27" s="1115" t="e">
        <f ca="1">SUM(AA22:AA26)</f>
        <v>#REF!</v>
      </c>
    </row>
    <row r="28" spans="1:28" ht="28.5" hidden="1" customHeight="1" outlineLevel="1">
      <c r="A28" s="465" t="s">
        <v>173</v>
      </c>
      <c r="B28" s="1123"/>
      <c r="C28" s="1123"/>
      <c r="D28" s="1123"/>
      <c r="E28" s="1123"/>
      <c r="F28" s="1123"/>
      <c r="G28" s="49"/>
      <c r="H28" s="465"/>
      <c r="I28" s="1123"/>
      <c r="J28" s="1123"/>
      <c r="K28" s="1123"/>
      <c r="L28" s="1123"/>
      <c r="M28" s="1123"/>
      <c r="N28" s="49"/>
      <c r="O28" s="459"/>
      <c r="P28" s="460"/>
      <c r="Q28" s="461"/>
      <c r="R28" s="459"/>
      <c r="S28" s="459"/>
      <c r="T28"/>
    </row>
    <row r="29" spans="1:28" hidden="1" outlineLevel="1">
      <c r="A29" s="466" t="s">
        <v>176</v>
      </c>
      <c r="B29" s="1124" t="e">
        <f ca="1">B27/$F$27</f>
        <v>#DIV/0!</v>
      </c>
      <c r="C29" s="1124" t="e">
        <f ca="1">C27/$F$27</f>
        <v>#DIV/0!</v>
      </c>
      <c r="D29" s="1124" t="e">
        <f ca="1">D27/$F$27</f>
        <v>#DIV/0!</v>
      </c>
      <c r="E29" s="1124" t="e">
        <f ca="1">E27/$F$27</f>
        <v>#DIV/0!</v>
      </c>
      <c r="F29" s="485"/>
      <c r="G29" s="49"/>
      <c r="H29" s="466" t="s">
        <v>176</v>
      </c>
      <c r="I29" s="1124" t="e">
        <f ca="1">I27/$M$27</f>
        <v>#REF!</v>
      </c>
      <c r="J29" s="1124" t="e">
        <f ca="1">J27/$M$27</f>
        <v>#REF!</v>
      </c>
      <c r="K29" s="1124" t="e">
        <f ca="1">K27/$M$27</f>
        <v>#REF!</v>
      </c>
      <c r="L29" s="1124" t="e">
        <f ca="1">L27/$M$27</f>
        <v>#REF!</v>
      </c>
      <c r="M29" s="472"/>
      <c r="N29" s="462"/>
      <c r="O29" s="462"/>
      <c r="P29" s="462"/>
      <c r="Q29" s="463" t="e">
        <f ca="1">ROUND(Q27*100,0)</f>
        <v>#REF!</v>
      </c>
      <c r="R29" s="464"/>
      <c r="S29" s="464"/>
      <c r="T29"/>
    </row>
    <row r="30" spans="1:28" hidden="1" outlineLevel="1">
      <c r="A30" s="465"/>
      <c r="B30" s="1125"/>
      <c r="C30" s="1125"/>
      <c r="D30" s="1125"/>
      <c r="E30" s="1125"/>
      <c r="F30" s="485"/>
      <c r="G30" s="49"/>
      <c r="H30" s="466" t="s">
        <v>168</v>
      </c>
      <c r="I30" s="1124" t="e">
        <f ca="1">IF(B27=0,IF(I27&gt;0,1,0),I27/B27-1)</f>
        <v>#REF!</v>
      </c>
      <c r="J30" s="1124" t="e">
        <f ca="1">IF(C27=0,IF(J27&gt;0,1,0),J27/C27-1)</f>
        <v>#REF!</v>
      </c>
      <c r="K30" s="1124" t="e">
        <f ca="1">IF(D27=0,IF(K27&gt;0,1,0),K27/D27-1)</f>
        <v>#REF!</v>
      </c>
      <c r="L30" s="1124" t="e">
        <f ca="1">IF(E27=0,IF(L27&gt;0,1,0),L27/E27-1)</f>
        <v>#REF!</v>
      </c>
      <c r="M30" s="1124" t="e">
        <f ca="1">IF(F27=0,IF(M27&gt;0,1,0),M27/F27-1)</f>
        <v>#REF!</v>
      </c>
      <c r="N30" s="462"/>
      <c r="O30" s="462"/>
      <c r="P30" s="462"/>
      <c r="Q30" s="464"/>
      <c r="R30" s="464"/>
      <c r="S30" s="464"/>
      <c r="T30"/>
    </row>
    <row r="31" spans="1:28" hidden="1" outlineLevel="1">
      <c r="A31" s="485"/>
      <c r="B31" s="1126"/>
      <c r="C31" s="1126"/>
      <c r="D31" s="1126"/>
      <c r="E31" s="1126"/>
      <c r="F31" s="485"/>
      <c r="G31" s="49"/>
      <c r="H31" s="466" t="s">
        <v>169</v>
      </c>
      <c r="I31" s="1127" t="e">
        <f ca="1">ROUND(I30*100,0)</f>
        <v>#REF!</v>
      </c>
      <c r="J31" s="1127" t="e">
        <f ca="1">ROUND(J30*100,0)</f>
        <v>#REF!</v>
      </c>
      <c r="K31" s="1127" t="e">
        <f ca="1">ROUND(K30*100,0)</f>
        <v>#REF!</v>
      </c>
      <c r="L31" s="1127" t="e">
        <f ca="1">ROUND(L30*100,0)</f>
        <v>#REF!</v>
      </c>
      <c r="M31" s="1124"/>
      <c r="N31" s="49"/>
      <c r="O31" s="49"/>
      <c r="P31" s="49"/>
      <c r="Q31" s="464"/>
      <c r="R31" s="464"/>
      <c r="S31" s="464"/>
      <c r="T31"/>
    </row>
    <row r="32" spans="1:28" s="38" customFormat="1" hidden="1" outlineLevel="1">
      <c r="A32" s="467"/>
      <c r="B32" s="473"/>
      <c r="C32" s="473"/>
      <c r="D32" s="473"/>
      <c r="E32" s="473"/>
      <c r="F32" s="467"/>
      <c r="G32" s="462"/>
      <c r="H32" s="466" t="s">
        <v>170</v>
      </c>
      <c r="I32" s="477" t="e">
        <f ca="1">I21&amp;" : "&amp;I31&amp;"%"</f>
        <v>#REF!</v>
      </c>
      <c r="J32" s="477" t="e">
        <f ca="1">J21&amp;" : "&amp;J31&amp;"%"</f>
        <v>#REF!</v>
      </c>
      <c r="K32" s="477" t="e">
        <f ca="1">K21&amp;" : "&amp;K31&amp;"%"</f>
        <v>#REF!</v>
      </c>
      <c r="L32" s="477" t="e">
        <f ca="1">L21&amp;" : "&amp;L31&amp;"%"</f>
        <v>#REF!</v>
      </c>
      <c r="M32" s="477"/>
      <c r="N32" s="462"/>
      <c r="O32" s="462"/>
      <c r="P32" s="462"/>
      <c r="Q32" s="464"/>
      <c r="R32" s="464"/>
      <c r="S32" s="464"/>
      <c r="T32" s="55"/>
    </row>
    <row r="33" spans="1:27" s="38" customFormat="1" collapsed="1">
      <c r="A33" s="474"/>
      <c r="B33" s="475"/>
      <c r="C33" s="475"/>
      <c r="D33" s="475"/>
      <c r="E33" s="475"/>
      <c r="F33" s="474"/>
      <c r="G33" s="476"/>
      <c r="H33" s="476"/>
      <c r="I33" s="475"/>
      <c r="J33" s="475"/>
      <c r="K33" s="475"/>
      <c r="L33" s="475"/>
      <c r="M33" s="475"/>
      <c r="N33" s="476"/>
      <c r="O33" s="462"/>
      <c r="P33" s="462"/>
      <c r="Q33" s="464"/>
      <c r="R33" s="464"/>
      <c r="S33" s="464"/>
      <c r="T33" s="55"/>
      <c r="AA33" s="871" t="e">
        <f ca="1">AA27-M27</f>
        <v>#REF!</v>
      </c>
    </row>
    <row r="34" spans="1:27" ht="15.6">
      <c r="A34" s="81" t="s">
        <v>177</v>
      </c>
      <c r="B34" s="70"/>
      <c r="C34" s="70"/>
      <c r="D34" s="1128" t="e">
        <f ca="1">F27/'Bilan territorial'!F39</f>
        <v>#DIV/0!</v>
      </c>
      <c r="E34" s="1129"/>
      <c r="F34" s="70"/>
      <c r="G34"/>
      <c r="H34" s="81" t="s">
        <v>177</v>
      </c>
      <c r="I34" s="70"/>
      <c r="J34" s="70"/>
      <c r="K34" s="1130" t="e">
        <f ca="1">M27/'Bilan territorial'!M39</f>
        <v>#REF!</v>
      </c>
      <c r="L34" s="1129"/>
      <c r="M34"/>
      <c r="N34"/>
      <c r="O34" s="49"/>
      <c r="P34" s="49"/>
      <c r="Q34" s="49"/>
      <c r="R34" s="49"/>
      <c r="S34" s="49"/>
      <c r="T34"/>
    </row>
    <row r="35" spans="1:27">
      <c r="A35" s="55" t="e">
        <f ca="1">"Evolution des consommations de "&amp;Accueil!E28&amp;" à "&amp;Accueil!E29&amp;" par secteur : "&amp;Q15&amp;"%"</f>
        <v>#REF!</v>
      </c>
      <c r="B35"/>
      <c r="C35"/>
      <c r="D35"/>
      <c r="E35"/>
      <c r="F35"/>
      <c r="G35"/>
      <c r="H35" s="55" t="e">
        <f ca="1">"Evolution des émissions de "&amp;Accueil!E28&amp;" à "&amp;Accueil!E29&amp;" par secteur : "&amp;$Q$29&amp;"%"</f>
        <v>#REF!</v>
      </c>
      <c r="I35"/>
      <c r="J35"/>
      <c r="K35"/>
      <c r="L35"/>
      <c r="M35"/>
      <c r="N35"/>
      <c r="O35" s="49"/>
      <c r="P35" s="49"/>
      <c r="Q35" s="49"/>
      <c r="R35" s="49"/>
      <c r="S35" s="49"/>
      <c r="T35"/>
    </row>
    <row r="36" spans="1:27" ht="18">
      <c r="A36" s="1649" t="s">
        <v>2107</v>
      </c>
      <c r="B36"/>
      <c r="C36"/>
      <c r="D36"/>
      <c r="E36"/>
      <c r="F36"/>
      <c r="G36"/>
      <c r="H36" s="55"/>
      <c r="I36"/>
      <c r="J36"/>
      <c r="K36"/>
      <c r="L36"/>
      <c r="M36"/>
      <c r="N36"/>
      <c r="O36" s="49"/>
      <c r="P36" s="49"/>
      <c r="Q36" s="49"/>
      <c r="R36" s="49"/>
      <c r="S36" s="49"/>
      <c r="T36"/>
    </row>
    <row r="37" spans="1:27" ht="4.2" customHeight="1">
      <c r="A37" s="1649"/>
      <c r="B37"/>
      <c r="C37"/>
      <c r="D37"/>
      <c r="E37"/>
      <c r="F37"/>
      <c r="G37"/>
      <c r="H37" s="55"/>
      <c r="I37"/>
      <c r="J37"/>
      <c r="K37"/>
      <c r="L37"/>
      <c r="M37"/>
      <c r="N37"/>
      <c r="O37" s="49"/>
      <c r="P37" s="49"/>
      <c r="Q37" s="49"/>
      <c r="R37" s="49"/>
      <c r="S37" s="49"/>
      <c r="T37"/>
    </row>
    <row r="38" spans="1:27" ht="18">
      <c r="A38" s="1649">
        <f>A20</f>
        <v>2006</v>
      </c>
      <c r="B38" s="1646"/>
      <c r="C38" s="1646"/>
      <c r="D38" s="1646"/>
      <c r="E38"/>
      <c r="F38"/>
      <c r="G38"/>
      <c r="H38" s="1649">
        <f>H20</f>
        <v>0</v>
      </c>
      <c r="I38"/>
      <c r="J38"/>
      <c r="K38"/>
      <c r="L38"/>
      <c r="M38"/>
      <c r="N38"/>
      <c r="O38" s="49"/>
      <c r="P38" s="49"/>
      <c r="Q38" s="49"/>
      <c r="R38" s="49"/>
      <c r="S38" s="49"/>
      <c r="T38"/>
    </row>
    <row r="39" spans="1:27">
      <c r="A39" s="1648" t="s">
        <v>248</v>
      </c>
      <c r="B39" s="1648" t="s">
        <v>2112</v>
      </c>
      <c r="C39" s="1646"/>
      <c r="D39" s="1646"/>
      <c r="E39"/>
      <c r="F39"/>
      <c r="G39"/>
      <c r="H39" s="1648" t="s">
        <v>248</v>
      </c>
      <c r="I39" s="1648" t="s">
        <v>2112</v>
      </c>
      <c r="J39"/>
      <c r="K39"/>
      <c r="L39"/>
      <c r="M39"/>
      <c r="N39"/>
      <c r="O39" s="49"/>
      <c r="P39" s="49"/>
      <c r="Q39" s="49"/>
      <c r="R39" s="49"/>
      <c r="S39" s="49"/>
      <c r="T39"/>
    </row>
    <row r="40" spans="1:27">
      <c r="A40" s="1648" t="s">
        <v>2111</v>
      </c>
      <c r="B40" s="1647">
        <f>'Données patrimoniales'!F366</f>
        <v>0</v>
      </c>
      <c r="C40" s="1646"/>
      <c r="D40" s="1646"/>
      <c r="E40"/>
      <c r="F40"/>
      <c r="G40"/>
      <c r="H40" s="1648" t="s">
        <v>2111</v>
      </c>
      <c r="I40" s="1650" t="e">
        <f>HLOOKUP($H$38,'Données patrimoniales'!$F$363:$AA$372,4,0)</f>
        <v>#N/A</v>
      </c>
      <c r="J40"/>
      <c r="K40"/>
      <c r="L40"/>
      <c r="M40"/>
      <c r="N40"/>
      <c r="O40" s="49"/>
      <c r="P40" s="49"/>
      <c r="Q40" s="49"/>
      <c r="R40" s="49"/>
      <c r="S40" s="49"/>
      <c r="T40"/>
    </row>
    <row r="41" spans="1:27">
      <c r="A41" s="1648" t="s">
        <v>2108</v>
      </c>
      <c r="B41" s="1647">
        <f>'Données patrimoniales'!F369</f>
        <v>0</v>
      </c>
      <c r="C41" s="1646"/>
      <c r="D41" s="1646"/>
      <c r="E41"/>
      <c r="F41"/>
      <c r="G41"/>
      <c r="H41" s="1648" t="s">
        <v>2108</v>
      </c>
      <c r="I41" s="1650" t="e">
        <f>HLOOKUP($H$38,'Données patrimoniales'!$F$363:$AA$372,7,0)</f>
        <v>#N/A</v>
      </c>
      <c r="J41"/>
      <c r="K41"/>
      <c r="L41"/>
      <c r="M41"/>
      <c r="N41"/>
      <c r="O41" s="49"/>
      <c r="P41" s="49"/>
      <c r="Q41" s="49"/>
      <c r="R41" s="49"/>
      <c r="S41" s="49"/>
      <c r="T41"/>
    </row>
    <row r="42" spans="1:27">
      <c r="A42" s="1648" t="s">
        <v>323</v>
      </c>
      <c r="B42" s="1647">
        <f>'Données patrimoniales'!F372</f>
        <v>0</v>
      </c>
      <c r="C42" s="1646"/>
      <c r="D42" s="1646"/>
      <c r="E42"/>
      <c r="F42"/>
      <c r="G42"/>
      <c r="H42" s="1648" t="s">
        <v>323</v>
      </c>
      <c r="I42" s="1650" t="e">
        <f>HLOOKUP($H$38,'Données patrimoniales'!$F$363:$AA$372,10,0)</f>
        <v>#N/A</v>
      </c>
      <c r="J42"/>
      <c r="K42"/>
      <c r="L42"/>
      <c r="M42"/>
      <c r="N42"/>
      <c r="O42" s="49"/>
      <c r="P42" s="49"/>
      <c r="Q42" s="49"/>
      <c r="R42" s="49"/>
      <c r="S42" s="49"/>
      <c r="T42"/>
    </row>
    <row r="43" spans="1:27">
      <c r="A43" s="1648" t="s">
        <v>107</v>
      </c>
      <c r="B43" s="1648">
        <f>SUM(B40:B42)</f>
        <v>0</v>
      </c>
      <c r="C43" s="1646"/>
      <c r="D43" s="1646"/>
      <c r="E43"/>
      <c r="F43"/>
      <c r="G43"/>
      <c r="H43" s="1648" t="s">
        <v>107</v>
      </c>
      <c r="I43" s="1651" t="e">
        <f>SUM(I40:I42)</f>
        <v>#N/A</v>
      </c>
      <c r="J43"/>
      <c r="K43"/>
      <c r="L43"/>
      <c r="M43"/>
      <c r="N43"/>
      <c r="O43" s="49"/>
      <c r="P43" s="49"/>
      <c r="Q43" s="49"/>
      <c r="R43" s="49"/>
      <c r="S43" s="49"/>
      <c r="T43"/>
    </row>
    <row r="44" spans="1:27" s="38" customFormat="1">
      <c r="A44" s="55"/>
      <c r="B44" s="1317">
        <f ca="1">B43+E8</f>
        <v>0</v>
      </c>
      <c r="C44" s="55"/>
      <c r="D44" s="55"/>
      <c r="E44" s="55"/>
      <c r="F44" s="55"/>
      <c r="G44" s="55"/>
      <c r="H44" s="55"/>
      <c r="I44" s="1317" t="e">
        <f ca="1">I43+L13</f>
        <v>#N/A</v>
      </c>
      <c r="J44" s="55"/>
      <c r="K44" s="55"/>
      <c r="L44" s="55"/>
      <c r="M44" s="55"/>
      <c r="N44" s="55"/>
      <c r="O44" s="462"/>
      <c r="P44" s="462"/>
      <c r="Q44" s="462"/>
      <c r="R44" s="462"/>
      <c r="S44" s="462"/>
      <c r="T44" s="55"/>
    </row>
    <row r="45" spans="1:27" s="38" customFormat="1">
      <c r="A45" s="1933" t="s">
        <v>2124</v>
      </c>
      <c r="B45" s="1933"/>
      <c r="C45" s="1933"/>
      <c r="D45" s="1933"/>
      <c r="E45" s="1659">
        <f ca="1">IF('Bilan patrimonial'!B13=0,0,'Bilan territorial'!D61*('Bilan patrimonial'!B13-'Bilan patrimonial'!B43)/'Bilan patrimonial'!B13)</f>
        <v>0</v>
      </c>
      <c r="F45" s="55"/>
      <c r="G45" s="55"/>
      <c r="H45" s="1933" t="s">
        <v>2124</v>
      </c>
      <c r="I45" s="1933"/>
      <c r="J45" s="1933"/>
      <c r="K45" s="1933"/>
      <c r="L45" s="1659" t="e">
        <f ca="1">IF('Données patrimoniales'!N5="OUI",0,IF('Bilan patrimonial'!I13=0,0,'Bilan territorial'!K61*('Bilan patrimonial'!I13-'Bilan patrimonial'!I43)/'Bilan patrimonial'!I13))</f>
        <v>#REF!</v>
      </c>
      <c r="M45" s="55"/>
      <c r="N45" s="55"/>
      <c r="O45" s="462"/>
      <c r="P45" s="462"/>
      <c r="Q45" s="462"/>
      <c r="R45" s="462"/>
      <c r="S45" s="462"/>
      <c r="T45" s="55"/>
    </row>
    <row r="46" spans="1:27" s="38" customFormat="1">
      <c r="A46" s="55" t="e">
        <f ca="1">"Evolution des consommations de "&amp;Accueil!E28&amp;" à "&amp;Accueil!E29&amp;" par vecteur : "&amp;Q15&amp;"%"</f>
        <v>#REF!</v>
      </c>
      <c r="B46" s="1652" t="e">
        <f ca="1">B44/F13</f>
        <v>#DIV/0!</v>
      </c>
      <c r="C46" s="55"/>
      <c r="D46" s="55"/>
      <c r="E46" s="55"/>
      <c r="F46" s="55"/>
      <c r="G46" s="55"/>
      <c r="H46" s="55" t="e">
        <f ca="1">"Evolution des émissions de "&amp;Accueil!E28&amp;" à "&amp;Accueil!E29&amp;" par vecteur : "&amp;$Q$29&amp;"%"</f>
        <v>#REF!</v>
      </c>
      <c r="I46" s="1652" t="e">
        <f ca="1">I44/M13</f>
        <v>#N/A</v>
      </c>
      <c r="J46" s="55"/>
      <c r="K46" s="55"/>
      <c r="L46" s="55"/>
      <c r="M46" s="55"/>
      <c r="N46" s="55"/>
      <c r="O46" s="462"/>
      <c r="P46" s="462"/>
      <c r="Q46" s="462"/>
      <c r="R46" s="462"/>
      <c r="S46" s="462"/>
      <c r="T46" s="55"/>
    </row>
    <row r="47" spans="1:27">
      <c r="A47"/>
      <c r="B47"/>
      <c r="C47"/>
      <c r="D47"/>
      <c r="E47"/>
      <c r="F47"/>
      <c r="G47"/>
      <c r="H47"/>
      <c r="I47"/>
      <c r="J47"/>
      <c r="K47"/>
      <c r="L47"/>
      <c r="M47"/>
      <c r="N47"/>
      <c r="O47" s="49"/>
      <c r="P47" s="49"/>
      <c r="Q47" s="49"/>
      <c r="R47" s="49"/>
      <c r="S47" s="49"/>
      <c r="T47"/>
    </row>
    <row r="48" spans="1:27">
      <c r="A48"/>
      <c r="B48"/>
      <c r="C48"/>
      <c r="D48"/>
      <c r="E48"/>
      <c r="F48"/>
      <c r="G48"/>
      <c r="H48"/>
      <c r="I48"/>
      <c r="J48"/>
      <c r="K48"/>
      <c r="L48"/>
      <c r="M48"/>
      <c r="N48"/>
      <c r="O48" s="49"/>
      <c r="P48" s="49"/>
      <c r="Q48" s="49"/>
      <c r="R48" s="49"/>
      <c r="S48" s="49"/>
      <c r="T48"/>
    </row>
    <row r="49" spans="1:20">
      <c r="A49"/>
      <c r="B49"/>
      <c r="C49"/>
      <c r="D49"/>
      <c r="E49"/>
      <c r="F49"/>
      <c r="G49"/>
      <c r="H49"/>
      <c r="I49"/>
      <c r="J49"/>
      <c r="K49"/>
      <c r="L49"/>
      <c r="M49"/>
      <c r="N49"/>
      <c r="O49" s="49"/>
      <c r="P49" s="49"/>
      <c r="Q49" s="49"/>
      <c r="R49" s="49"/>
      <c r="S49" s="49"/>
      <c r="T49"/>
    </row>
    <row r="50" spans="1:20">
      <c r="A50"/>
      <c r="B50"/>
      <c r="C50"/>
      <c r="D50"/>
      <c r="E50"/>
      <c r="F50"/>
      <c r="G50"/>
      <c r="H50"/>
      <c r="I50"/>
      <c r="J50"/>
      <c r="K50"/>
      <c r="L50"/>
      <c r="M50"/>
      <c r="N50"/>
      <c r="O50" s="49"/>
      <c r="P50" s="49"/>
      <c r="Q50" s="49"/>
      <c r="R50" s="49"/>
      <c r="S50" s="49"/>
      <c r="T50"/>
    </row>
    <row r="51" spans="1:20">
      <c r="A51"/>
      <c r="B51"/>
      <c r="C51"/>
      <c r="D51"/>
      <c r="E51"/>
      <c r="F51"/>
      <c r="G51"/>
      <c r="H51"/>
      <c r="I51"/>
      <c r="J51"/>
      <c r="K51"/>
      <c r="L51"/>
      <c r="M51"/>
      <c r="N51"/>
      <c r="O51" s="49"/>
      <c r="P51" s="49"/>
      <c r="Q51" s="49"/>
      <c r="R51" s="49"/>
      <c r="S51" s="49"/>
      <c r="T51"/>
    </row>
    <row r="52" spans="1:20">
      <c r="A52"/>
      <c r="B52"/>
      <c r="C52"/>
      <c r="D52"/>
      <c r="E52"/>
      <c r="F52"/>
      <c r="G52"/>
      <c r="H52"/>
      <c r="I52"/>
      <c r="J52"/>
      <c r="K52"/>
      <c r="L52"/>
      <c r="M52"/>
      <c r="N52"/>
      <c r="O52" s="49"/>
      <c r="P52" s="49"/>
      <c r="Q52" s="49"/>
      <c r="R52" s="49"/>
      <c r="S52" s="49"/>
      <c r="T52"/>
    </row>
    <row r="53" spans="1:20">
      <c r="A53"/>
      <c r="B53"/>
      <c r="C53"/>
      <c r="D53"/>
      <c r="E53"/>
      <c r="F53"/>
      <c r="G53"/>
      <c r="H53"/>
      <c r="I53"/>
      <c r="J53"/>
      <c r="K53"/>
      <c r="L53"/>
      <c r="M53"/>
      <c r="N53"/>
      <c r="O53" s="49"/>
      <c r="P53" s="49"/>
      <c r="Q53" s="49"/>
      <c r="R53" s="49"/>
      <c r="S53" s="49"/>
      <c r="T53"/>
    </row>
    <row r="54" spans="1:20">
      <c r="A54"/>
      <c r="B54"/>
      <c r="C54"/>
      <c r="D54"/>
      <c r="E54"/>
      <c r="F54"/>
      <c r="G54"/>
      <c r="H54"/>
      <c r="I54"/>
      <c r="J54"/>
      <c r="K54"/>
      <c r="L54"/>
      <c r="M54"/>
      <c r="N54"/>
      <c r="O54" s="49"/>
      <c r="P54" s="49"/>
      <c r="Q54" s="49"/>
      <c r="R54" s="49"/>
      <c r="S54" s="49"/>
      <c r="T54"/>
    </row>
    <row r="55" spans="1:20">
      <c r="A55"/>
      <c r="B55"/>
      <c r="C55"/>
      <c r="D55"/>
      <c r="E55"/>
      <c r="F55"/>
      <c r="G55"/>
      <c r="H55"/>
      <c r="I55"/>
      <c r="J55"/>
      <c r="K55"/>
      <c r="L55"/>
      <c r="M55"/>
      <c r="N55"/>
      <c r="O55" s="49"/>
      <c r="P55" s="49"/>
      <c r="Q55" s="49"/>
      <c r="R55" s="49"/>
      <c r="S55" s="49"/>
      <c r="T55"/>
    </row>
    <row r="56" spans="1:20">
      <c r="A56"/>
      <c r="B56"/>
      <c r="C56"/>
      <c r="D56"/>
      <c r="E56"/>
      <c r="F56"/>
      <c r="G56"/>
      <c r="H56"/>
      <c r="I56"/>
      <c r="J56"/>
      <c r="K56"/>
      <c r="L56"/>
      <c r="M56"/>
      <c r="N56"/>
      <c r="O56" s="49"/>
      <c r="P56" s="49"/>
      <c r="Q56" s="49"/>
      <c r="R56" s="49"/>
      <c r="S56" s="49"/>
      <c r="T56"/>
    </row>
    <row r="57" spans="1:20">
      <c r="A57"/>
      <c r="B57"/>
      <c r="C57"/>
      <c r="D57"/>
      <c r="E57"/>
      <c r="F57"/>
      <c r="G57"/>
      <c r="H57"/>
      <c r="I57"/>
      <c r="J57"/>
      <c r="K57"/>
      <c r="L57"/>
      <c r="M57"/>
      <c r="N57"/>
      <c r="O57" s="49"/>
      <c r="P57" s="49"/>
      <c r="Q57" s="49"/>
      <c r="R57" s="49"/>
      <c r="S57" s="49"/>
      <c r="T57"/>
    </row>
    <row r="58" spans="1:20">
      <c r="A58"/>
      <c r="B58"/>
      <c r="C58"/>
      <c r="D58"/>
      <c r="E58"/>
      <c r="F58"/>
      <c r="G58"/>
      <c r="H58"/>
      <c r="I58"/>
      <c r="J58"/>
      <c r="K58"/>
      <c r="L58"/>
      <c r="M58"/>
      <c r="N58"/>
      <c r="O58" s="49"/>
      <c r="P58" s="49"/>
      <c r="Q58" s="49"/>
      <c r="R58" s="49"/>
      <c r="S58" s="49"/>
      <c r="T58"/>
    </row>
    <row r="59" spans="1:20">
      <c r="A59"/>
      <c r="B59"/>
      <c r="C59"/>
      <c r="D59"/>
      <c r="E59"/>
      <c r="F59"/>
      <c r="G59"/>
      <c r="H59"/>
      <c r="I59"/>
      <c r="J59"/>
      <c r="K59"/>
      <c r="L59"/>
      <c r="M59"/>
      <c r="N59"/>
      <c r="O59" s="49"/>
      <c r="P59" s="49"/>
      <c r="Q59" s="49"/>
      <c r="R59" s="49"/>
      <c r="S59" s="49"/>
      <c r="T59"/>
    </row>
    <row r="60" spans="1:20">
      <c r="A60"/>
      <c r="B60"/>
      <c r="C60"/>
      <c r="D60"/>
      <c r="E60"/>
      <c r="F60"/>
      <c r="G60"/>
      <c r="H60"/>
      <c r="I60"/>
      <c r="J60"/>
      <c r="K60"/>
      <c r="L60"/>
      <c r="M60"/>
      <c r="N60"/>
      <c r="O60" s="49"/>
      <c r="P60" s="49"/>
      <c r="Q60" s="49"/>
      <c r="R60" s="49"/>
      <c r="S60" s="49"/>
      <c r="T60"/>
    </row>
    <row r="61" spans="1:20">
      <c r="A61"/>
      <c r="B61"/>
      <c r="C61"/>
      <c r="D61"/>
      <c r="E61"/>
      <c r="F61"/>
      <c r="G61"/>
      <c r="H61"/>
      <c r="I61"/>
      <c r="J61"/>
      <c r="K61"/>
      <c r="L61"/>
      <c r="M61"/>
      <c r="N61"/>
      <c r="O61" s="49"/>
      <c r="P61" s="49"/>
      <c r="Q61" s="49"/>
      <c r="R61" s="49"/>
      <c r="S61" s="49"/>
      <c r="T61"/>
    </row>
    <row r="62" spans="1:20">
      <c r="A62"/>
      <c r="B62"/>
      <c r="C62"/>
      <c r="D62"/>
      <c r="E62"/>
      <c r="F62"/>
      <c r="G62"/>
      <c r="H62"/>
      <c r="I62"/>
      <c r="J62"/>
      <c r="K62"/>
      <c r="L62"/>
      <c r="M62"/>
      <c r="N62"/>
      <c r="O62" s="49"/>
      <c r="P62" s="49"/>
      <c r="Q62" s="49"/>
      <c r="R62" s="49"/>
      <c r="S62" s="49"/>
      <c r="T62"/>
    </row>
    <row r="63" spans="1:20">
      <c r="A63"/>
      <c r="B63"/>
      <c r="C63"/>
      <c r="D63"/>
      <c r="E63"/>
      <c r="F63"/>
      <c r="G63"/>
      <c r="H63"/>
      <c r="I63"/>
      <c r="J63"/>
      <c r="K63"/>
      <c r="L63"/>
      <c r="M63"/>
      <c r="N63"/>
      <c r="O63" s="49"/>
      <c r="P63" s="49"/>
      <c r="Q63" s="49"/>
      <c r="R63" s="49"/>
      <c r="S63" s="49"/>
      <c r="T63"/>
    </row>
    <row r="64" spans="1:20">
      <c r="A64"/>
      <c r="B64"/>
      <c r="C64"/>
      <c r="D64"/>
      <c r="E64"/>
      <c r="F64"/>
      <c r="G64"/>
      <c r="H64"/>
      <c r="I64"/>
      <c r="J64"/>
      <c r="K64"/>
      <c r="L64"/>
      <c r="M64"/>
      <c r="N64"/>
      <c r="O64" s="49"/>
      <c r="P64" s="49"/>
      <c r="Q64" s="49"/>
      <c r="R64" s="49"/>
      <c r="S64" s="49"/>
      <c r="T64"/>
    </row>
    <row r="65" spans="1:20">
      <c r="A65"/>
      <c r="B65"/>
      <c r="C65"/>
      <c r="D65"/>
      <c r="E65"/>
      <c r="F65"/>
      <c r="G65"/>
      <c r="H65"/>
      <c r="I65"/>
      <c r="J65"/>
      <c r="K65"/>
      <c r="L65"/>
      <c r="M65"/>
      <c r="N65"/>
      <c r="O65" s="49"/>
      <c r="P65" s="49"/>
      <c r="Q65" s="49"/>
      <c r="R65" s="49"/>
      <c r="S65" s="49"/>
      <c r="T65"/>
    </row>
    <row r="66" spans="1:20">
      <c r="A66"/>
      <c r="B66"/>
      <c r="C66"/>
      <c r="D66"/>
      <c r="E66"/>
      <c r="F66"/>
      <c r="G66"/>
      <c r="H66"/>
      <c r="I66"/>
      <c r="J66"/>
      <c r="K66"/>
      <c r="L66"/>
      <c r="M66"/>
      <c r="N66"/>
      <c r="O66" s="49"/>
      <c r="P66" s="49"/>
      <c r="Q66" s="49"/>
      <c r="R66" s="49"/>
      <c r="S66" s="49"/>
      <c r="T66"/>
    </row>
    <row r="67" spans="1:20">
      <c r="A67"/>
      <c r="B67"/>
      <c r="C67"/>
      <c r="D67"/>
      <c r="E67"/>
      <c r="F67"/>
      <c r="G67"/>
      <c r="H67"/>
      <c r="I67"/>
      <c r="J67"/>
      <c r="K67"/>
      <c r="L67"/>
      <c r="M67"/>
      <c r="N67"/>
      <c r="O67" s="49"/>
      <c r="P67" s="49"/>
      <c r="Q67" s="49"/>
      <c r="R67" s="49"/>
      <c r="S67" s="49"/>
      <c r="T67"/>
    </row>
    <row r="68" spans="1:20">
      <c r="A68"/>
      <c r="B68"/>
      <c r="C68"/>
      <c r="D68"/>
      <c r="E68"/>
      <c r="F68"/>
      <c r="G68"/>
      <c r="H68"/>
      <c r="I68"/>
      <c r="J68"/>
      <c r="K68"/>
      <c r="L68"/>
      <c r="M68"/>
      <c r="N68"/>
      <c r="O68" s="49"/>
      <c r="P68" s="49"/>
      <c r="Q68" s="49"/>
      <c r="R68" s="49"/>
      <c r="S68" s="49"/>
      <c r="T68"/>
    </row>
    <row r="69" spans="1:20">
      <c r="A69"/>
      <c r="B69"/>
      <c r="C69"/>
      <c r="D69"/>
      <c r="E69"/>
      <c r="F69"/>
      <c r="G69"/>
      <c r="H69"/>
      <c r="I69"/>
      <c r="J69"/>
      <c r="K69"/>
      <c r="L69"/>
      <c r="M69"/>
      <c r="N69"/>
      <c r="O69" s="49"/>
      <c r="P69" s="49"/>
      <c r="Q69" s="49"/>
      <c r="R69" s="49"/>
      <c r="S69" s="49"/>
      <c r="T69"/>
    </row>
    <row r="70" spans="1:20">
      <c r="A70"/>
      <c r="B70"/>
      <c r="C70"/>
      <c r="D70"/>
      <c r="E70"/>
      <c r="F70"/>
      <c r="G70"/>
      <c r="H70"/>
      <c r="I70"/>
      <c r="J70"/>
      <c r="K70"/>
      <c r="L70"/>
      <c r="M70"/>
      <c r="N70"/>
      <c r="O70" s="49"/>
      <c r="P70" s="49"/>
      <c r="Q70" s="49"/>
      <c r="R70" s="49"/>
      <c r="S70" s="49"/>
      <c r="T70"/>
    </row>
    <row r="71" spans="1:20">
      <c r="A71"/>
      <c r="B71"/>
      <c r="C71"/>
      <c r="D71"/>
      <c r="E71"/>
      <c r="F71"/>
      <c r="G71"/>
      <c r="H71"/>
      <c r="I71"/>
      <c r="J71"/>
      <c r="K71"/>
      <c r="L71"/>
      <c r="M71"/>
      <c r="N71"/>
      <c r="O71" s="49"/>
      <c r="P71" s="49"/>
      <c r="Q71" s="49"/>
      <c r="R71" s="49"/>
      <c r="S71" s="49"/>
      <c r="T71"/>
    </row>
    <row r="72" spans="1:20">
      <c r="A72"/>
      <c r="B72"/>
      <c r="C72"/>
      <c r="D72"/>
      <c r="E72"/>
      <c r="F72"/>
      <c r="G72"/>
      <c r="H72"/>
      <c r="I72"/>
      <c r="J72"/>
      <c r="K72"/>
      <c r="L72"/>
      <c r="M72"/>
      <c r="N72"/>
      <c r="O72" s="49"/>
      <c r="P72" s="49"/>
      <c r="Q72" s="49"/>
      <c r="R72" s="49"/>
      <c r="S72" s="49"/>
      <c r="T72"/>
    </row>
    <row r="73" spans="1:20">
      <c r="A73"/>
      <c r="B73"/>
      <c r="C73"/>
      <c r="D73"/>
      <c r="E73"/>
      <c r="F73"/>
      <c r="G73"/>
      <c r="H73"/>
      <c r="I73"/>
      <c r="J73"/>
      <c r="K73"/>
      <c r="L73"/>
      <c r="M73"/>
      <c r="N73"/>
      <c r="O73" s="49"/>
      <c r="P73" s="49"/>
      <c r="Q73" s="49"/>
      <c r="R73" s="49"/>
      <c r="S73" s="49"/>
      <c r="T73"/>
    </row>
    <row r="74" spans="1:20">
      <c r="A74"/>
      <c r="B74"/>
      <c r="C74"/>
      <c r="D74"/>
      <c r="E74"/>
      <c r="F74"/>
      <c r="G74"/>
      <c r="H74"/>
      <c r="I74"/>
      <c r="J74"/>
      <c r="K74"/>
      <c r="L74"/>
      <c r="M74"/>
      <c r="N74"/>
      <c r="O74" s="49"/>
      <c r="P74" s="49"/>
      <c r="Q74" s="49"/>
      <c r="R74" s="49"/>
      <c r="S74" s="49"/>
      <c r="T74"/>
    </row>
    <row r="75" spans="1:20">
      <c r="A75"/>
      <c r="B75"/>
      <c r="C75"/>
      <c r="D75"/>
      <c r="E75"/>
      <c r="F75"/>
      <c r="G75"/>
      <c r="H75"/>
      <c r="I75"/>
      <c r="J75"/>
      <c r="K75"/>
      <c r="L75"/>
      <c r="M75"/>
      <c r="N75"/>
      <c r="O75" s="49"/>
      <c r="P75" s="49"/>
      <c r="Q75" s="49"/>
      <c r="R75" s="49"/>
      <c r="S75" s="49"/>
      <c r="T75"/>
    </row>
    <row r="76" spans="1:20">
      <c r="A76"/>
      <c r="B76"/>
      <c r="C76"/>
      <c r="D76"/>
      <c r="E76"/>
      <c r="F76"/>
      <c r="G76"/>
      <c r="H76"/>
      <c r="I76"/>
      <c r="J76"/>
      <c r="K76"/>
      <c r="L76"/>
      <c r="M76"/>
      <c r="N76"/>
      <c r="O76" s="49"/>
      <c r="P76" s="49"/>
      <c r="Q76" s="49"/>
      <c r="R76" s="49"/>
      <c r="S76" s="49"/>
      <c r="T76"/>
    </row>
    <row r="77" spans="1:20">
      <c r="A77"/>
      <c r="B77"/>
      <c r="C77"/>
      <c r="D77"/>
      <c r="E77"/>
      <c r="F77"/>
      <c r="G77"/>
      <c r="H77"/>
      <c r="I77"/>
      <c r="J77"/>
      <c r="K77"/>
      <c r="L77"/>
      <c r="M77"/>
      <c r="N77"/>
      <c r="O77" s="49"/>
      <c r="P77" s="49"/>
      <c r="Q77" s="49"/>
      <c r="R77" s="49"/>
      <c r="S77" s="49"/>
      <c r="T77"/>
    </row>
    <row r="78" spans="1:20">
      <c r="A78"/>
      <c r="B78"/>
      <c r="C78"/>
      <c r="D78"/>
      <c r="E78"/>
      <c r="F78"/>
      <c r="G78"/>
      <c r="H78"/>
      <c r="I78"/>
      <c r="J78"/>
      <c r="K78"/>
      <c r="L78"/>
      <c r="M78"/>
      <c r="N78"/>
      <c r="O78" s="49"/>
      <c r="P78" s="49"/>
      <c r="Q78" s="49"/>
      <c r="R78" s="49"/>
      <c r="S78" s="49"/>
      <c r="T78"/>
    </row>
    <row r="79" spans="1:20">
      <c r="A79"/>
      <c r="B79"/>
      <c r="C79"/>
      <c r="D79"/>
      <c r="E79"/>
      <c r="F79"/>
      <c r="G79"/>
      <c r="H79"/>
      <c r="I79"/>
      <c r="J79"/>
      <c r="K79"/>
      <c r="L79"/>
      <c r="M79"/>
      <c r="N79"/>
      <c r="O79" s="49"/>
      <c r="P79" s="49"/>
      <c r="Q79" s="49"/>
      <c r="R79" s="49"/>
      <c r="S79" s="49"/>
      <c r="T79"/>
    </row>
    <row r="80" spans="1:20">
      <c r="A80"/>
      <c r="B80"/>
      <c r="C80"/>
      <c r="D80"/>
      <c r="E80"/>
      <c r="F80"/>
      <c r="G80"/>
      <c r="H80"/>
      <c r="I80"/>
      <c r="J80"/>
      <c r="K80"/>
      <c r="L80"/>
      <c r="M80"/>
      <c r="N80"/>
      <c r="O80" s="49"/>
      <c r="P80" s="49"/>
      <c r="Q80" s="49"/>
      <c r="R80" s="49"/>
      <c r="S80" s="49"/>
      <c r="T80"/>
    </row>
    <row r="81" spans="1:20">
      <c r="A81"/>
      <c r="B81"/>
      <c r="C81"/>
      <c r="D81"/>
      <c r="E81"/>
      <c r="F81"/>
      <c r="G81"/>
      <c r="H81"/>
      <c r="I81"/>
      <c r="J81"/>
      <c r="K81"/>
      <c r="L81"/>
      <c r="M81"/>
      <c r="N81"/>
      <c r="O81" s="49"/>
      <c r="P81" s="49"/>
      <c r="Q81" s="49"/>
      <c r="R81" s="49"/>
      <c r="S81" s="49"/>
      <c r="T81"/>
    </row>
    <row r="82" spans="1:20">
      <c r="A82"/>
      <c r="B82"/>
      <c r="C82"/>
      <c r="D82"/>
      <c r="E82"/>
      <c r="F82"/>
      <c r="G82"/>
      <c r="H82"/>
      <c r="I82"/>
      <c r="J82"/>
      <c r="K82"/>
      <c r="L82"/>
      <c r="M82"/>
      <c r="N82"/>
      <c r="O82" s="49"/>
      <c r="P82" s="49"/>
      <c r="Q82" s="49"/>
      <c r="R82" s="49"/>
      <c r="S82" s="49"/>
      <c r="T82"/>
    </row>
    <row r="83" spans="1:20" ht="23.4">
      <c r="A83"/>
      <c r="B83"/>
      <c r="C83"/>
      <c r="D83"/>
      <c r="E83"/>
      <c r="F83"/>
      <c r="G83"/>
      <c r="H83"/>
      <c r="I83" s="1131"/>
      <c r="J83"/>
      <c r="K83"/>
      <c r="L83"/>
      <c r="M83"/>
      <c r="N83"/>
      <c r="O83" s="49"/>
      <c r="P83" s="49"/>
      <c r="Q83" s="49"/>
      <c r="R83" s="49"/>
      <c r="S83" s="49"/>
      <c r="T83"/>
    </row>
    <row r="84" spans="1:20">
      <c r="A84"/>
      <c r="B84"/>
      <c r="C84"/>
      <c r="D84"/>
      <c r="E84"/>
      <c r="F84"/>
      <c r="G84"/>
      <c r="H84"/>
      <c r="I84"/>
      <c r="J84"/>
      <c r="K84"/>
      <c r="L84"/>
      <c r="M84"/>
      <c r="N84"/>
      <c r="O84" s="49"/>
      <c r="P84" s="49"/>
      <c r="Q84" s="49"/>
      <c r="R84" s="49"/>
      <c r="S84" s="49"/>
      <c r="T84"/>
    </row>
    <row r="85" spans="1:20">
      <c r="A85"/>
      <c r="B85"/>
      <c r="C85"/>
      <c r="D85"/>
      <c r="E85"/>
      <c r="F85"/>
      <c r="G85"/>
      <c r="H85"/>
      <c r="I85"/>
      <c r="J85"/>
      <c r="K85"/>
      <c r="L85"/>
      <c r="M85"/>
      <c r="N85"/>
      <c r="O85" s="49"/>
      <c r="P85" s="49"/>
      <c r="Q85" s="49"/>
      <c r="R85" s="49"/>
      <c r="S85" s="49"/>
      <c r="T85"/>
    </row>
    <row r="86" spans="1:20">
      <c r="A86"/>
      <c r="B86"/>
      <c r="C86"/>
      <c r="D86"/>
      <c r="E86"/>
      <c r="F86"/>
      <c r="G86"/>
      <c r="H86"/>
      <c r="I86"/>
      <c r="J86"/>
      <c r="K86"/>
      <c r="L86"/>
      <c r="M86"/>
      <c r="N86"/>
      <c r="O86" s="49"/>
      <c r="P86" s="49"/>
      <c r="Q86" s="49"/>
      <c r="R86" s="49"/>
      <c r="S86" s="49"/>
      <c r="T86"/>
    </row>
    <row r="87" spans="1:20">
      <c r="A87"/>
      <c r="B87"/>
      <c r="C87"/>
      <c r="D87"/>
      <c r="E87"/>
      <c r="F87"/>
      <c r="G87"/>
      <c r="H87"/>
      <c r="I87"/>
      <c r="J87"/>
      <c r="K87"/>
      <c r="L87"/>
      <c r="M87"/>
      <c r="N87"/>
      <c r="O87" s="49"/>
      <c r="P87" s="49"/>
      <c r="Q87" s="49"/>
      <c r="R87" s="49"/>
      <c r="S87" s="49"/>
      <c r="T87"/>
    </row>
  </sheetData>
  <sheetProtection algorithmName="SHA-512" hashValue="42iyz2PKlYLPj1QmLLb064yNOtfTxV/B6BcYfzZVFEGfiJ3XF/lIJS8mDeIgUgPHsp82UMSvo/5BgN6+24eiRg==" saltValue="d5IUEs+U/elkCYuqOX8vsQ==" spinCount="100000" sheet="1" formatColumns="0" formatRows="0"/>
  <mergeCells count="9">
    <mergeCell ref="A45:D45"/>
    <mergeCell ref="H45:K45"/>
    <mergeCell ref="W6:AA6"/>
    <mergeCell ref="W20:AA20"/>
    <mergeCell ref="B6:F6"/>
    <mergeCell ref="B20:F20"/>
    <mergeCell ref="I6:M6"/>
    <mergeCell ref="I20:M20"/>
    <mergeCell ref="N8:N10"/>
  </mergeCells>
  <conditionalFormatting sqref="B8:F8">
    <cfRule type="expression" dxfId="425" priority="12" stopIfTrue="1">
      <formula>$B$4="Normalisé"</formula>
    </cfRule>
  </conditionalFormatting>
  <conditionalFormatting sqref="M8 M22 C22:F22">
    <cfRule type="expression" dxfId="424" priority="11" stopIfTrue="1">
      <formula>$B$4="Normalisé"</formula>
    </cfRule>
  </conditionalFormatting>
  <conditionalFormatting sqref="I8:L8">
    <cfRule type="expression" dxfId="423" priority="10" stopIfTrue="1">
      <formula>$B$4="Normalisé"</formula>
    </cfRule>
  </conditionalFormatting>
  <conditionalFormatting sqref="J22:L22">
    <cfRule type="expression" dxfId="422" priority="9" stopIfTrue="1">
      <formula>$B$4="Normalisé"</formula>
    </cfRule>
  </conditionalFormatting>
  <conditionalFormatting sqref="B22:B26">
    <cfRule type="expression" dxfId="421" priority="8" stopIfTrue="1">
      <formula>$B$4="Normalisé"</formula>
    </cfRule>
  </conditionalFormatting>
  <conditionalFormatting sqref="AA22 AA8:AA12">
    <cfRule type="expression" dxfId="420" priority="6" stopIfTrue="1">
      <formula>$B$4="Normalisé"</formula>
    </cfRule>
  </conditionalFormatting>
  <conditionalFormatting sqref="W8:Z10">
    <cfRule type="expression" dxfId="419" priority="5" stopIfTrue="1">
      <formula>$B$4="Normalisé"</formula>
    </cfRule>
  </conditionalFormatting>
  <conditionalFormatting sqref="X22:Z22">
    <cfRule type="expression" dxfId="418" priority="4" stopIfTrue="1">
      <formula>$B$4="Normalisé"</formula>
    </cfRule>
  </conditionalFormatting>
  <conditionalFormatting sqref="W22:W26">
    <cfRule type="expression" dxfId="417" priority="3" stopIfTrue="1">
      <formula>$B$4="Normalisé"</formula>
    </cfRule>
  </conditionalFormatting>
  <conditionalFormatting sqref="W12:Z12">
    <cfRule type="expression" dxfId="416" priority="2" stopIfTrue="1">
      <formula>$B$4="Normalisé"</formula>
    </cfRule>
  </conditionalFormatting>
  <conditionalFormatting sqref="I22:I26">
    <cfRule type="expression" dxfId="415" priority="1" stopIfTrue="1">
      <formula>$B$4="Normalisé"</formula>
    </cfRule>
  </conditionalFormatting>
  <dataValidations count="1">
    <dataValidation type="list" allowBlank="1" showInputMessage="1" showErrorMessage="1" sqref="B4" xr:uid="{00000000-0002-0000-0500-000000000000}">
      <formula1>Type_bilan</formula1>
    </dataValidation>
  </dataValidations>
  <pageMargins left="0.7" right="0.7" top="0.75" bottom="0.75" header="0.3" footer="0.3"/>
  <pageSetup paperSize="9" scale="59" fitToWidth="2" fitToHeight="0" orientation="portrait" r:id="rId1"/>
  <colBreaks count="2" manualBreakCount="2">
    <brk id="7" max="1048575" man="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8942464" r:id="rId4" name="Button 1408">
              <controlPr defaultSize="0" print="0" autoFill="0" autoPict="0" macro="[0]!export_patrimoine_to_word">
                <anchor moveWithCells="1">
                  <from>
                    <xdr:col>11</xdr:col>
                    <xdr:colOff>556260</xdr:colOff>
                    <xdr:row>1</xdr:row>
                    <xdr:rowOff>190500</xdr:rowOff>
                  </from>
                  <to>
                    <xdr:col>12</xdr:col>
                    <xdr:colOff>1341120</xdr:colOff>
                    <xdr:row>3</xdr:row>
                    <xdr:rowOff>30480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0">
    <tabColor theme="8" tint="-0.499984740745262"/>
  </sheetPr>
  <dimension ref="A1:EZ595"/>
  <sheetViews>
    <sheetView showGridLines="0" zoomScale="90" zoomScaleNormal="90" workbookViewId="0">
      <pane ySplit="1" topLeftCell="A2" activePane="bottomLeft" state="frozen"/>
      <selection activeCell="D90" sqref="D90"/>
      <selection pane="bottomLeft" activeCell="A2" sqref="A2"/>
    </sheetView>
  </sheetViews>
  <sheetFormatPr baseColWidth="10" defaultColWidth="9.109375" defaultRowHeight="14.4" outlineLevelRow="1" outlineLevelCol="1"/>
  <cols>
    <col min="1" max="1" width="34.5546875" style="30" customWidth="1"/>
    <col min="2" max="2" width="11.88671875" style="30" bestFit="1" customWidth="1"/>
    <col min="3" max="3" width="18.88671875" style="30" bestFit="1" customWidth="1"/>
    <col min="4" max="4" width="17.5546875" style="30" bestFit="1" customWidth="1"/>
    <col min="5" max="5" width="15.88671875" style="30" bestFit="1" customWidth="1"/>
    <col min="6" max="6" width="14.44140625" style="30" bestFit="1" customWidth="1"/>
    <col min="7" max="7" width="4.44140625" style="30" customWidth="1"/>
    <col min="8" max="8" width="25.5546875" style="30" customWidth="1"/>
    <col min="9" max="9" width="20.44140625" style="30" bestFit="1" customWidth="1"/>
    <col min="10" max="10" width="12.5546875" style="30" bestFit="1" customWidth="1"/>
    <col min="11" max="11" width="16.44140625" style="30" bestFit="1" customWidth="1"/>
    <col min="12" max="12" width="13.44140625" style="30" bestFit="1" customWidth="1"/>
    <col min="13" max="13" width="13.109375" style="30" bestFit="1" customWidth="1"/>
    <col min="14" max="14" width="12" style="30" customWidth="1"/>
    <col min="15" max="15" width="42.88671875" style="30" hidden="1" customWidth="1" outlineLevel="1"/>
    <col min="16" max="16" width="23.109375" style="30" hidden="1" customWidth="1" outlineLevel="1"/>
    <col min="17" max="17" width="14.88671875" style="30" hidden="1" customWidth="1" outlineLevel="1"/>
    <col min="18" max="18" width="28.109375" style="30" hidden="1" customWidth="1" outlineLevel="1"/>
    <col min="19" max="19" width="32" style="30" hidden="1" customWidth="1" outlineLevel="1"/>
    <col min="20" max="20" width="11.44140625" style="30" hidden="1" customWidth="1" outlineLevel="1"/>
    <col min="21" max="24" width="9.109375" style="30" hidden="1" customWidth="1" outlineLevel="1"/>
    <col min="25" max="26" width="10" style="30" hidden="1" customWidth="1" outlineLevel="1"/>
    <col min="27" max="29" width="14.44140625" style="1441" hidden="1" customWidth="1" outlineLevel="1"/>
    <col min="30" max="30" width="14.44140625" style="1441" customWidth="1" collapsed="1"/>
    <col min="31" max="31" width="25.5546875" style="30" hidden="1" customWidth="1"/>
    <col min="32" max="32" width="20.44140625" style="30" hidden="1" customWidth="1"/>
    <col min="33" max="33" width="12.5546875" style="30" hidden="1" customWidth="1"/>
    <col min="34" max="34" width="16.44140625" style="30" hidden="1" customWidth="1"/>
    <col min="35" max="35" width="13.44140625" style="30" hidden="1" customWidth="1"/>
    <col min="36" max="36" width="13.109375" style="30" hidden="1" customWidth="1"/>
    <col min="37" max="37" width="9.109375" style="598" hidden="1" customWidth="1"/>
    <col min="38" max="38" width="25.5546875" style="30" hidden="1" customWidth="1"/>
    <col min="39" max="39" width="20.44140625" style="30" hidden="1" customWidth="1"/>
    <col min="40" max="40" width="12.5546875" style="30" hidden="1" customWidth="1"/>
    <col min="41" max="41" width="16.44140625" style="30" hidden="1" customWidth="1"/>
    <col min="42" max="42" width="13.44140625" style="30" hidden="1" customWidth="1"/>
    <col min="43" max="43" width="13.109375" style="30" hidden="1" customWidth="1"/>
    <col min="44" max="44" width="35.44140625" style="598" hidden="1" customWidth="1"/>
    <col min="45" max="45" width="26.44140625" style="598" hidden="1" customWidth="1"/>
    <col min="46" max="46" width="33.88671875" style="598" hidden="1" customWidth="1"/>
    <col min="47" max="52" width="9.109375" style="598" hidden="1" customWidth="1"/>
    <col min="53" max="53" width="13" style="598" hidden="1" customWidth="1"/>
    <col min="54" max="54" width="18.88671875" style="598" hidden="1" customWidth="1"/>
    <col min="55" max="55" width="9.109375" style="598" hidden="1" customWidth="1"/>
    <col min="56" max="56" width="17.109375" style="598" hidden="1" customWidth="1"/>
    <col min="57" max="57" width="9.109375" style="598" hidden="1" customWidth="1"/>
    <col min="58" max="60" width="17.109375" style="598" hidden="1" customWidth="1"/>
    <col min="61" max="61" width="3.109375" style="598" hidden="1" customWidth="1"/>
    <col min="62" max="71" width="9.109375" style="598" hidden="1" customWidth="1"/>
    <col min="72" max="72" width="17.109375" style="598" hidden="1" customWidth="1"/>
    <col min="73" max="77" width="9.109375" style="598" hidden="1" customWidth="1"/>
    <col min="78" max="80" width="9.5546875" style="598" hidden="1" customWidth="1"/>
    <col min="81" max="81" width="9.109375" style="598" hidden="1" customWidth="1"/>
    <col min="82" max="82" width="25.5546875" style="30" hidden="1" customWidth="1"/>
    <col min="83" max="83" width="20.44140625" style="30" hidden="1" customWidth="1"/>
    <col min="84" max="84" width="12.5546875" style="30" hidden="1" customWidth="1"/>
    <col min="85" max="85" width="16.44140625" style="30" hidden="1" customWidth="1"/>
    <col min="86" max="86" width="13.44140625" style="30" hidden="1" customWidth="1"/>
    <col min="87" max="87" width="13.109375" style="30" hidden="1" customWidth="1"/>
    <col min="88" max="88" width="9.109375" style="598" hidden="1" customWidth="1"/>
    <col min="89" max="89" width="25.5546875" style="30" hidden="1" customWidth="1"/>
    <col min="90" max="90" width="20.44140625" style="30" hidden="1" customWidth="1"/>
    <col min="91" max="91" width="12.5546875" style="30" hidden="1" customWidth="1"/>
    <col min="92" max="92" width="16.44140625" style="30" hidden="1" customWidth="1"/>
    <col min="93" max="93" width="13.44140625" style="30" hidden="1" customWidth="1"/>
    <col min="94" max="94" width="26.44140625" style="30" hidden="1" customWidth="1"/>
    <col min="95" max="95" width="9.109375" style="598" hidden="1" customWidth="1"/>
    <col min="96" max="96" width="25.5546875" style="30" hidden="1" customWidth="1"/>
    <col min="97" max="97" width="20.44140625" style="30" hidden="1" customWidth="1"/>
    <col min="98" max="98" width="12.5546875" style="30" hidden="1" customWidth="1"/>
    <col min="99" max="99" width="16.44140625" style="30" hidden="1" customWidth="1"/>
    <col min="100" max="100" width="13.44140625" style="30" hidden="1" customWidth="1"/>
    <col min="101" max="101" width="13.109375" style="30" hidden="1" customWidth="1"/>
    <col min="102" max="102" width="9.109375" style="598" customWidth="1"/>
    <col min="103" max="104" width="9.109375" style="598"/>
    <col min="105" max="105" width="25.5546875" style="30" hidden="1" customWidth="1"/>
    <col min="106" max="106" width="20.44140625" style="30" hidden="1" customWidth="1"/>
    <col min="107" max="107" width="12.5546875" style="30" hidden="1" customWidth="1"/>
    <col min="108" max="108" width="16.44140625" style="30" hidden="1" customWidth="1"/>
    <col min="109" max="109" width="13.44140625" style="30" hidden="1" customWidth="1"/>
    <col min="110" max="110" width="13.109375" style="30" hidden="1" customWidth="1"/>
    <col min="111" max="156" width="9.109375" style="598"/>
    <col min="157" max="16384" width="9.109375" style="30"/>
  </cols>
  <sheetData>
    <row r="1" spans="1:156" s="48" customFormat="1" ht="63" customHeight="1">
      <c r="A1" s="247"/>
      <c r="B1" s="248"/>
      <c r="C1" s="248"/>
      <c r="D1" s="248"/>
      <c r="E1" s="249"/>
      <c r="F1" s="248"/>
      <c r="G1" s="248"/>
      <c r="H1" s="248"/>
      <c r="I1" s="248"/>
      <c r="J1" s="248"/>
      <c r="K1" s="248"/>
      <c r="L1" s="248"/>
      <c r="M1" s="250"/>
      <c r="N1" s="251"/>
      <c r="O1" s="427"/>
      <c r="P1" s="427"/>
      <c r="Q1" s="428"/>
      <c r="R1" s="428"/>
      <c r="S1" s="428"/>
      <c r="T1" s="428"/>
      <c r="U1" s="428"/>
      <c r="V1" s="428"/>
      <c r="W1" s="428"/>
      <c r="X1" s="428"/>
      <c r="Y1" s="428"/>
      <c r="Z1" s="428"/>
      <c r="AA1" s="1436"/>
      <c r="AB1" s="1436"/>
      <c r="AC1" s="1436"/>
      <c r="AD1" s="1436"/>
      <c r="AE1" s="248"/>
      <c r="AF1" s="248"/>
      <c r="AG1" s="248"/>
      <c r="AH1" s="248"/>
      <c r="AI1" s="248"/>
      <c r="AJ1" s="250"/>
      <c r="AK1" s="596"/>
      <c r="AL1" s="248"/>
      <c r="AM1" s="248"/>
      <c r="AN1" s="248"/>
      <c r="AO1" s="248"/>
      <c r="AP1" s="248"/>
      <c r="AQ1" s="250"/>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248"/>
      <c r="CE1" s="248"/>
      <c r="CF1" s="248"/>
      <c r="CG1" s="248"/>
      <c r="CH1" s="248"/>
      <c r="CI1" s="250"/>
      <c r="CJ1" s="596"/>
      <c r="CK1" s="248"/>
      <c r="CL1" s="248"/>
      <c r="CM1" s="248"/>
      <c r="CN1" s="248"/>
      <c r="CO1" s="248"/>
      <c r="CP1" s="250"/>
      <c r="CQ1" s="596"/>
      <c r="CR1" s="248"/>
      <c r="CS1" s="248"/>
      <c r="CT1" s="248"/>
      <c r="CU1" s="248"/>
      <c r="CV1" s="248"/>
      <c r="CW1" s="250"/>
      <c r="CX1" s="596"/>
      <c r="CY1" s="596"/>
      <c r="CZ1" s="596"/>
      <c r="DA1" s="248"/>
      <c r="DB1" s="248"/>
      <c r="DC1" s="248"/>
      <c r="DD1" s="248"/>
      <c r="DE1" s="248"/>
      <c r="DF1" s="250"/>
      <c r="DG1" s="596"/>
      <c r="DH1" s="596"/>
      <c r="DI1" s="596"/>
      <c r="DJ1" s="596"/>
      <c r="DK1" s="596"/>
      <c r="DL1" s="596"/>
      <c r="DM1" s="596"/>
      <c r="DN1" s="596"/>
      <c r="DO1" s="596"/>
      <c r="DP1" s="596"/>
      <c r="DQ1" s="596"/>
      <c r="DR1" s="596"/>
      <c r="DS1" s="596"/>
      <c r="DT1" s="596"/>
      <c r="DU1" s="596"/>
      <c r="DV1" s="596"/>
      <c r="DW1" s="596"/>
      <c r="DX1" s="596"/>
      <c r="DY1" s="596"/>
      <c r="DZ1" s="596"/>
      <c r="EA1" s="596"/>
      <c r="EB1" s="596"/>
      <c r="EC1" s="596"/>
      <c r="ED1" s="596"/>
      <c r="EE1" s="596"/>
      <c r="EF1" s="596"/>
      <c r="EG1" s="596"/>
      <c r="EH1" s="596"/>
      <c r="EI1" s="596"/>
      <c r="EJ1" s="596"/>
      <c r="EK1" s="596"/>
      <c r="EL1" s="596"/>
      <c r="EM1" s="596"/>
      <c r="EN1" s="596"/>
      <c r="EO1" s="596"/>
      <c r="EP1" s="596"/>
      <c r="EQ1" s="596"/>
      <c r="ER1" s="596"/>
      <c r="ES1" s="596"/>
      <c r="ET1" s="596"/>
      <c r="EU1" s="596"/>
      <c r="EV1" s="596"/>
      <c r="EW1" s="596"/>
      <c r="EX1" s="596"/>
      <c r="EY1" s="596"/>
      <c r="EZ1" s="596"/>
    </row>
    <row r="2" spans="1:156" s="46" customFormat="1" ht="15.75" customHeight="1">
      <c r="A2" s="252"/>
      <c r="B2" s="253"/>
      <c r="C2" s="253"/>
      <c r="D2" s="253"/>
      <c r="E2" s="253"/>
      <c r="F2" s="253"/>
      <c r="G2" s="253"/>
      <c r="H2" s="253"/>
      <c r="I2" s="253"/>
      <c r="J2" s="253"/>
      <c r="K2" s="253"/>
      <c r="L2" s="253"/>
      <c r="M2" s="253"/>
      <c r="N2" s="254"/>
      <c r="O2" s="449"/>
      <c r="P2" s="449"/>
      <c r="Q2" s="450"/>
      <c r="R2" s="450"/>
      <c r="S2" s="450"/>
      <c r="T2" s="485"/>
      <c r="U2" s="485"/>
      <c r="V2" s="485"/>
      <c r="W2" s="485"/>
      <c r="X2" s="485"/>
      <c r="Y2" s="485"/>
      <c r="Z2" s="485"/>
      <c r="AA2" s="450"/>
      <c r="AB2" s="450"/>
      <c r="AC2" s="450"/>
      <c r="AD2" s="1437"/>
      <c r="AE2" s="253"/>
      <c r="AF2" s="253"/>
      <c r="AG2" s="253"/>
      <c r="AH2" s="253"/>
      <c r="AI2" s="253"/>
      <c r="AJ2" s="253"/>
      <c r="AK2" s="597"/>
      <c r="AL2" s="253"/>
      <c r="AM2" s="253"/>
      <c r="AN2" s="253"/>
      <c r="AO2" s="253"/>
      <c r="AP2" s="253"/>
      <c r="AQ2" s="253"/>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597"/>
      <c r="BW2" s="597"/>
      <c r="BX2" s="597"/>
      <c r="BY2" s="597"/>
      <c r="BZ2" s="597"/>
      <c r="CA2" s="597"/>
      <c r="CB2" s="597"/>
      <c r="CC2" s="597"/>
      <c r="CD2" s="253"/>
      <c r="CE2" s="253"/>
      <c r="CF2" s="253"/>
      <c r="CG2" s="253"/>
      <c r="CH2" s="253"/>
      <c r="CI2" s="253"/>
      <c r="CJ2" s="597"/>
      <c r="CK2" s="253"/>
      <c r="CL2" s="253"/>
      <c r="CM2" s="253"/>
      <c r="CN2" s="253"/>
      <c r="CO2" s="253"/>
      <c r="CP2" s="253"/>
      <c r="CQ2" s="597"/>
      <c r="CR2" s="253"/>
      <c r="CS2" s="253"/>
      <c r="CT2" s="253"/>
      <c r="CU2" s="253"/>
      <c r="CV2" s="253"/>
      <c r="CW2" s="253"/>
      <c r="CX2" s="597"/>
      <c r="CY2" s="597"/>
      <c r="CZ2" s="597"/>
      <c r="DA2" s="253"/>
      <c r="DB2" s="253"/>
      <c r="DC2" s="253"/>
      <c r="DD2" s="253"/>
      <c r="DE2" s="253"/>
      <c r="DF2" s="253"/>
      <c r="DG2" s="597"/>
      <c r="DH2" s="597"/>
      <c r="DI2" s="597"/>
      <c r="DJ2" s="597"/>
      <c r="DK2" s="597"/>
      <c r="DL2" s="597"/>
      <c r="DM2" s="597"/>
      <c r="DN2" s="597"/>
      <c r="DO2" s="597"/>
      <c r="DP2" s="597"/>
      <c r="DQ2" s="597"/>
      <c r="DR2" s="597"/>
      <c r="DS2" s="597"/>
      <c r="DT2" s="597"/>
      <c r="DU2" s="597"/>
      <c r="DV2" s="597"/>
      <c r="DW2" s="597"/>
      <c r="DX2" s="597"/>
      <c r="DY2" s="597"/>
      <c r="DZ2" s="597"/>
      <c r="EA2" s="597"/>
      <c r="EB2" s="597"/>
      <c r="EC2" s="597"/>
      <c r="ED2" s="597"/>
      <c r="EE2" s="597"/>
      <c r="EF2" s="597"/>
      <c r="EG2" s="597"/>
      <c r="EH2" s="597"/>
      <c r="EI2" s="597"/>
      <c r="EJ2" s="597"/>
      <c r="EK2" s="597"/>
      <c r="EL2" s="597"/>
      <c r="EM2" s="597"/>
      <c r="EN2" s="597"/>
      <c r="EO2" s="597"/>
      <c r="EP2" s="597"/>
      <c r="EQ2" s="597"/>
      <c r="ER2" s="597"/>
      <c r="ES2" s="597"/>
      <c r="ET2" s="597"/>
      <c r="EU2" s="597"/>
      <c r="EV2" s="597"/>
      <c r="EW2" s="597"/>
      <c r="EX2" s="597"/>
      <c r="EY2" s="597"/>
      <c r="EZ2" s="597"/>
    </row>
    <row r="3" spans="1:156" ht="25.8">
      <c r="A3" s="1312" t="s">
        <v>178</v>
      </c>
      <c r="B3" s="1312">
        <f>Accueil!E27</f>
        <v>0</v>
      </c>
      <c r="C3" s="70"/>
      <c r="D3" s="1310" t="s">
        <v>15</v>
      </c>
      <c r="E3" s="1311" t="s">
        <v>162</v>
      </c>
      <c r="F3" s="256"/>
      <c r="G3" s="70"/>
      <c r="H3" s="70"/>
      <c r="I3" s="70"/>
      <c r="J3" s="70"/>
      <c r="K3" s="70"/>
      <c r="L3" s="70"/>
      <c r="M3" s="70"/>
      <c r="N3" s="70"/>
      <c r="O3" s="485"/>
      <c r="P3" s="485"/>
      <c r="Q3" s="485"/>
      <c r="R3" s="485"/>
      <c r="S3" s="485"/>
      <c r="T3" s="485"/>
      <c r="U3" s="485"/>
      <c r="V3" s="485"/>
      <c r="W3" s="485"/>
      <c r="X3" s="485"/>
      <c r="Y3" s="485"/>
      <c r="Z3" s="485"/>
      <c r="AA3" s="485"/>
      <c r="AB3" s="485"/>
      <c r="AC3" s="485"/>
      <c r="AD3" s="1118"/>
      <c r="AE3" s="70"/>
      <c r="AF3" s="70"/>
      <c r="AG3" s="70"/>
      <c r="AH3" s="70"/>
      <c r="AI3" s="70"/>
      <c r="AJ3" s="70"/>
      <c r="AK3" s="600"/>
      <c r="AL3" s="70"/>
      <c r="AM3" s="70"/>
      <c r="AN3" s="70"/>
      <c r="AO3" s="70"/>
      <c r="AP3" s="70"/>
      <c r="AQ3" s="7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0"/>
      <c r="CC3" s="600"/>
      <c r="CD3" s="70"/>
      <c r="CE3" s="70"/>
      <c r="CF3" s="70"/>
      <c r="CG3" s="70"/>
      <c r="CH3" s="70"/>
      <c r="CI3" s="70"/>
      <c r="CJ3" s="600"/>
      <c r="CK3" s="70"/>
      <c r="CL3" s="70"/>
      <c r="CM3" s="70"/>
      <c r="CN3" s="70"/>
      <c r="CO3" s="70"/>
      <c r="CP3" s="70"/>
      <c r="CQ3" s="600"/>
      <c r="CR3" s="70"/>
      <c r="CS3" s="70"/>
      <c r="CT3" s="70"/>
      <c r="CU3" s="70"/>
      <c r="CV3" s="70"/>
      <c r="CW3" s="70"/>
      <c r="CX3" s="600"/>
      <c r="CY3" s="600"/>
      <c r="CZ3" s="600"/>
      <c r="DA3" s="70"/>
      <c r="DB3" s="70"/>
      <c r="DC3" s="70"/>
      <c r="DD3" s="70"/>
      <c r="DE3" s="70"/>
      <c r="DF3" s="70"/>
      <c r="DG3" s="600"/>
      <c r="DH3" s="600"/>
      <c r="DI3" s="600"/>
      <c r="DJ3" s="600"/>
      <c r="DK3" s="600"/>
      <c r="DL3" s="600"/>
      <c r="DM3" s="600"/>
      <c r="DN3" s="600"/>
      <c r="DO3" s="600"/>
      <c r="DP3" s="600"/>
      <c r="DQ3" s="600"/>
      <c r="DR3" s="600"/>
      <c r="DS3" s="600"/>
      <c r="DT3" s="600"/>
      <c r="DU3" s="600"/>
      <c r="DV3" s="600"/>
      <c r="DW3" s="600"/>
      <c r="DX3" s="600"/>
      <c r="DY3" s="600"/>
      <c r="DZ3" s="600"/>
      <c r="EA3" s="600"/>
      <c r="EB3" s="600"/>
      <c r="EC3" s="600"/>
      <c r="ED3" s="600"/>
      <c r="EE3" s="600"/>
      <c r="EF3" s="600"/>
      <c r="EG3" s="600"/>
      <c r="EH3" s="600"/>
      <c r="EI3" s="600"/>
      <c r="EJ3" s="600"/>
      <c r="EK3" s="600"/>
      <c r="EL3" s="600"/>
      <c r="EM3" s="600"/>
      <c r="EN3" s="600"/>
      <c r="EO3" s="600"/>
      <c r="EP3" s="600"/>
      <c r="EQ3" s="600"/>
      <c r="ER3" s="600"/>
      <c r="ES3" s="600"/>
      <c r="ET3" s="600"/>
      <c r="EU3" s="600"/>
      <c r="EV3" s="600"/>
      <c r="EW3" s="600"/>
      <c r="EX3" s="600"/>
      <c r="EY3" s="600"/>
      <c r="EZ3" s="600"/>
    </row>
    <row r="4" spans="1:156" ht="18">
      <c r="A4" s="1501" t="s">
        <v>163</v>
      </c>
      <c r="B4" s="1942" t="s">
        <v>164</v>
      </c>
      <c r="C4" s="1942"/>
      <c r="D4" s="70"/>
      <c r="E4" s="70"/>
      <c r="F4" s="70"/>
      <c r="G4" s="70"/>
      <c r="H4" s="70"/>
      <c r="I4" s="70"/>
      <c r="J4" s="70"/>
      <c r="K4" s="70"/>
      <c r="L4" s="70"/>
      <c r="M4" s="70"/>
      <c r="N4" s="70"/>
      <c r="O4" s="485"/>
      <c r="P4" s="485"/>
      <c r="Q4" s="485"/>
      <c r="R4" s="485"/>
      <c r="S4" s="485"/>
      <c r="T4" s="485"/>
      <c r="U4" s="485"/>
      <c r="V4" s="485"/>
      <c r="W4" s="485"/>
      <c r="X4" s="485"/>
      <c r="Y4" s="485"/>
      <c r="Z4" s="485"/>
      <c r="AA4" s="485"/>
      <c r="AB4" s="485"/>
      <c r="AC4" s="485"/>
      <c r="AD4" s="1118"/>
      <c r="AE4" s="70"/>
      <c r="AF4" s="70"/>
      <c r="AG4" s="70"/>
      <c r="AH4" s="70"/>
      <c r="AI4" s="70"/>
      <c r="AJ4" s="70"/>
      <c r="AK4" s="600"/>
      <c r="AL4" s="70"/>
      <c r="AM4" s="70"/>
      <c r="AN4" s="70"/>
      <c r="AO4" s="70"/>
      <c r="AP4" s="70"/>
      <c r="AQ4" s="70"/>
      <c r="AR4" s="600"/>
      <c r="AS4" s="600"/>
      <c r="AT4" s="600"/>
      <c r="AU4" s="600"/>
      <c r="AV4" s="600"/>
      <c r="AW4" s="600"/>
      <c r="AX4" s="600"/>
      <c r="AY4" s="600"/>
      <c r="AZ4" s="600"/>
      <c r="BA4" s="600"/>
      <c r="BB4" s="600"/>
      <c r="BC4" s="600"/>
      <c r="BD4" s="600"/>
      <c r="BE4" s="600"/>
      <c r="BF4" s="600"/>
      <c r="BG4" s="600"/>
      <c r="BH4" s="600"/>
      <c r="BI4" s="600"/>
      <c r="BJ4" s="600"/>
      <c r="BK4" s="600"/>
      <c r="BL4" s="600"/>
      <c r="BM4" s="600"/>
      <c r="BN4" s="600"/>
      <c r="BO4" s="600"/>
      <c r="BP4" s="600"/>
      <c r="BQ4" s="600"/>
      <c r="BR4" s="600"/>
      <c r="BS4" s="600"/>
      <c r="BT4" s="600"/>
      <c r="BU4" s="600"/>
      <c r="BV4" s="600"/>
      <c r="BW4" s="600"/>
      <c r="BX4" s="600"/>
      <c r="BY4" s="600"/>
      <c r="BZ4" s="600"/>
      <c r="CA4" s="600"/>
      <c r="CB4" s="600"/>
      <c r="CC4" s="600"/>
      <c r="CD4" s="70"/>
      <c r="CE4" s="70"/>
      <c r="CF4" s="70"/>
      <c r="CG4" s="70"/>
      <c r="CH4" s="70"/>
      <c r="CI4" s="70"/>
      <c r="CJ4" s="600"/>
      <c r="CK4" s="70"/>
      <c r="CL4" s="70"/>
      <c r="CM4" s="70"/>
      <c r="CN4" s="70"/>
      <c r="CO4" s="70"/>
      <c r="CP4" s="70"/>
      <c r="CQ4" s="600"/>
      <c r="CR4" s="70"/>
      <c r="CS4" s="70"/>
      <c r="CT4" s="70"/>
      <c r="CU4" s="70"/>
      <c r="CV4" s="70"/>
      <c r="CW4" s="70"/>
      <c r="CX4" s="600"/>
      <c r="CY4" s="600"/>
      <c r="CZ4" s="600"/>
      <c r="DA4" s="70"/>
      <c r="DB4" s="70"/>
      <c r="DC4" s="70"/>
      <c r="DD4" s="70"/>
      <c r="DE4" s="70"/>
      <c r="DF4" s="70"/>
      <c r="DG4" s="600"/>
      <c r="DH4" s="600"/>
      <c r="DI4" s="600"/>
      <c r="DJ4" s="600"/>
      <c r="DK4" s="600"/>
      <c r="DL4" s="600"/>
      <c r="DM4" s="600"/>
      <c r="DN4" s="600"/>
      <c r="DO4" s="600"/>
      <c r="DP4" s="600"/>
      <c r="DQ4" s="600"/>
      <c r="DR4" s="600"/>
      <c r="DS4" s="600"/>
      <c r="DT4" s="600"/>
      <c r="DU4" s="600"/>
      <c r="DV4" s="600"/>
      <c r="DW4" s="600"/>
      <c r="DX4" s="600"/>
      <c r="DY4" s="600"/>
      <c r="DZ4" s="600"/>
      <c r="EA4" s="600"/>
      <c r="EB4" s="600"/>
      <c r="EC4" s="600"/>
      <c r="ED4" s="600"/>
      <c r="EE4" s="600"/>
      <c r="EF4" s="600"/>
      <c r="EG4" s="600"/>
      <c r="EH4" s="600"/>
      <c r="EI4" s="600"/>
      <c r="EJ4" s="600"/>
      <c r="EK4" s="600"/>
      <c r="EL4" s="600"/>
      <c r="EM4" s="600"/>
      <c r="EN4" s="600"/>
      <c r="EO4" s="600"/>
      <c r="EP4" s="600"/>
      <c r="EQ4" s="600"/>
      <c r="ER4" s="600"/>
      <c r="ES4" s="600"/>
      <c r="ET4" s="600"/>
      <c r="EU4" s="600"/>
      <c r="EV4" s="600"/>
      <c r="EW4" s="600"/>
      <c r="EX4" s="600"/>
      <c r="EY4" s="600"/>
      <c r="EZ4" s="600"/>
    </row>
    <row r="5" spans="1:156" ht="18">
      <c r="A5" s="1501" t="s">
        <v>179</v>
      </c>
      <c r="B5" s="1502" t="s">
        <v>180</v>
      </c>
      <c r="C5" s="1501"/>
      <c r="D5" s="70"/>
      <c r="E5" s="70"/>
      <c r="F5" s="70"/>
      <c r="G5" s="70"/>
      <c r="H5" s="70"/>
      <c r="I5" s="70"/>
      <c r="J5" s="70"/>
      <c r="K5" s="70"/>
      <c r="L5" s="70"/>
      <c r="M5" s="70"/>
      <c r="N5" s="70"/>
      <c r="O5" s="485"/>
      <c r="P5" s="485"/>
      <c r="Q5" s="485"/>
      <c r="R5" s="485"/>
      <c r="S5" s="485"/>
      <c r="T5" s="485"/>
      <c r="U5" s="485"/>
      <c r="V5" s="485"/>
      <c r="W5" s="485"/>
      <c r="X5" s="485"/>
      <c r="Y5" s="485"/>
      <c r="Z5" s="485"/>
      <c r="AA5" s="485"/>
      <c r="AB5" s="485"/>
      <c r="AC5" s="485"/>
      <c r="AD5" s="1118"/>
      <c r="AE5" s="70"/>
      <c r="AF5" s="70"/>
      <c r="AG5" s="70"/>
      <c r="AH5" s="70"/>
      <c r="AI5" s="70"/>
      <c r="AJ5" s="70"/>
      <c r="AK5" s="600"/>
      <c r="AL5" s="70"/>
      <c r="AM5" s="70"/>
      <c r="AN5" s="70"/>
      <c r="AO5" s="70"/>
      <c r="AP5" s="70"/>
      <c r="AQ5" s="70"/>
      <c r="AR5" s="600"/>
      <c r="AS5" s="600"/>
      <c r="AT5" s="600"/>
      <c r="AU5" s="600"/>
      <c r="AV5" s="600"/>
      <c r="AW5" s="600"/>
      <c r="AX5" s="600"/>
      <c r="AY5" s="600"/>
      <c r="AZ5" s="600"/>
      <c r="BA5" s="600"/>
      <c r="BB5" s="600"/>
      <c r="BC5" s="600"/>
      <c r="BD5" s="600"/>
      <c r="BE5" s="600"/>
      <c r="BF5" s="600"/>
      <c r="BG5" s="600"/>
      <c r="BH5" s="600"/>
      <c r="BI5" s="600"/>
      <c r="BJ5" s="600"/>
      <c r="BK5" s="600"/>
      <c r="BL5" s="600"/>
      <c r="BM5" s="600"/>
      <c r="BN5" s="600"/>
      <c r="BO5" s="600"/>
      <c r="BP5" s="600"/>
      <c r="BQ5" s="600"/>
      <c r="BR5" s="600"/>
      <c r="BS5" s="600"/>
      <c r="BT5" s="600"/>
      <c r="BU5" s="600"/>
      <c r="BV5" s="600"/>
      <c r="BW5" s="600"/>
      <c r="BX5" s="600"/>
      <c r="BY5" s="600"/>
      <c r="BZ5" s="600"/>
      <c r="CA5" s="600"/>
      <c r="CB5" s="600"/>
      <c r="CC5" s="600"/>
      <c r="CD5" s="70"/>
      <c r="CE5" s="70"/>
      <c r="CF5" s="70"/>
      <c r="CG5" s="70"/>
      <c r="CH5" s="70"/>
      <c r="CI5" s="70"/>
      <c r="CJ5" s="600"/>
      <c r="CK5" s="70"/>
      <c r="CL5" s="70"/>
      <c r="CM5" s="70"/>
      <c r="CN5" s="70"/>
      <c r="CO5" s="70"/>
      <c r="CP5" s="70"/>
      <c r="CQ5" s="600"/>
      <c r="CR5" s="70"/>
      <c r="CS5" s="70"/>
      <c r="CT5" s="70"/>
      <c r="CU5" s="70"/>
      <c r="CV5" s="70"/>
      <c r="CW5" s="70"/>
      <c r="CX5" s="600"/>
      <c r="CY5" s="600"/>
      <c r="CZ5" s="600"/>
      <c r="DA5" s="70"/>
      <c r="DB5" s="70"/>
      <c r="DC5" s="70"/>
      <c r="DD5" s="70"/>
      <c r="DE5" s="70"/>
      <c r="DF5" s="70"/>
      <c r="DG5" s="600"/>
      <c r="DH5" s="600"/>
      <c r="DI5" s="600"/>
      <c r="DJ5" s="600"/>
      <c r="DK5" s="600"/>
      <c r="DL5" s="600"/>
      <c r="DM5" s="600"/>
      <c r="DN5" s="600"/>
      <c r="DO5" s="600"/>
      <c r="DP5" s="600"/>
      <c r="DQ5" s="600"/>
      <c r="DR5" s="600"/>
      <c r="DS5" s="600"/>
      <c r="DT5" s="600"/>
      <c r="DU5" s="600"/>
      <c r="DV5" s="600"/>
      <c r="DW5" s="600"/>
      <c r="DX5" s="600"/>
      <c r="DY5" s="600"/>
      <c r="DZ5" s="600"/>
      <c r="EA5" s="600"/>
      <c r="EB5" s="600"/>
      <c r="EC5" s="600"/>
      <c r="ED5" s="600"/>
      <c r="EE5" s="600"/>
      <c r="EF5" s="600"/>
      <c r="EG5" s="600"/>
      <c r="EH5" s="600"/>
      <c r="EI5" s="600"/>
      <c r="EJ5" s="600"/>
      <c r="EK5" s="600"/>
      <c r="EL5" s="600"/>
      <c r="EM5" s="600"/>
      <c r="EN5" s="600"/>
      <c r="EO5" s="600"/>
      <c r="EP5" s="600"/>
      <c r="EQ5" s="600"/>
      <c r="ER5" s="600"/>
      <c r="ES5" s="600"/>
      <c r="ET5" s="600"/>
      <c r="EU5" s="600"/>
      <c r="EV5" s="600"/>
      <c r="EW5" s="600"/>
      <c r="EX5" s="600"/>
      <c r="EY5" s="600"/>
      <c r="EZ5" s="600"/>
    </row>
    <row r="6" spans="1:156" ht="18">
      <c r="A6" s="1501" t="s">
        <v>181</v>
      </c>
      <c r="B6" s="1503">
        <v>1</v>
      </c>
      <c r="C6" s="1501"/>
      <c r="D6" s="70"/>
      <c r="E6" s="70"/>
      <c r="F6" s="70"/>
      <c r="G6" s="70"/>
      <c r="H6" s="70"/>
      <c r="I6" s="70"/>
      <c r="J6" s="70"/>
      <c r="K6" s="70"/>
      <c r="L6" s="70"/>
      <c r="M6" s="70"/>
      <c r="N6" s="70"/>
      <c r="O6" s="485"/>
      <c r="P6" s="485"/>
      <c r="Q6" s="485"/>
      <c r="R6" s="485"/>
      <c r="S6" s="485"/>
      <c r="T6" s="485"/>
      <c r="U6" s="485"/>
      <c r="V6" s="485"/>
      <c r="W6" s="485"/>
      <c r="X6" s="485"/>
      <c r="Y6" s="485"/>
      <c r="Z6" s="485"/>
      <c r="AA6" s="485"/>
      <c r="AB6" s="485"/>
      <c r="AC6" s="485"/>
      <c r="AD6" s="1118"/>
      <c r="AE6" s="70"/>
      <c r="AF6" s="70"/>
      <c r="AG6" s="70"/>
      <c r="AH6" s="70"/>
      <c r="AI6" s="70"/>
      <c r="AJ6" s="70"/>
      <c r="AK6" s="600"/>
      <c r="AL6" s="70"/>
      <c r="AM6" s="70"/>
      <c r="AN6" s="70"/>
      <c r="AO6" s="70"/>
      <c r="AP6" s="70"/>
      <c r="AQ6" s="70"/>
      <c r="AR6" s="600"/>
      <c r="AS6" s="600"/>
      <c r="AT6" s="600"/>
      <c r="AU6" s="600"/>
      <c r="AV6" s="600"/>
      <c r="AW6" s="600"/>
      <c r="AX6" s="600"/>
      <c r="AY6" s="600"/>
      <c r="AZ6" s="600"/>
      <c r="BA6" s="600"/>
      <c r="BB6" s="600"/>
      <c r="BC6" s="600"/>
      <c r="BD6" s="600"/>
      <c r="BE6" s="600"/>
      <c r="BF6" s="600"/>
      <c r="BG6" s="600"/>
      <c r="BH6" s="600"/>
      <c r="BI6" s="600"/>
      <c r="BJ6" s="600"/>
      <c r="BK6" s="600"/>
      <c r="BL6" s="600"/>
      <c r="BM6" s="600"/>
      <c r="BN6" s="600"/>
      <c r="BO6" s="600"/>
      <c r="BP6" s="600"/>
      <c r="BQ6" s="600"/>
      <c r="BR6" s="600"/>
      <c r="BS6" s="600"/>
      <c r="BT6" s="600"/>
      <c r="BU6" s="600"/>
      <c r="BV6" s="600"/>
      <c r="BW6" s="600"/>
      <c r="BX6" s="600"/>
      <c r="BY6" s="600"/>
      <c r="BZ6" s="600"/>
      <c r="CA6" s="600"/>
      <c r="CB6" s="600"/>
      <c r="CC6" s="600"/>
      <c r="CD6" s="70"/>
      <c r="CE6" s="70"/>
      <c r="CF6" s="70"/>
      <c r="CG6" s="70"/>
      <c r="CH6" s="70"/>
      <c r="CI6" s="70"/>
      <c r="CJ6" s="600"/>
      <c r="CK6" s="70"/>
      <c r="CL6" s="70"/>
      <c r="CM6" s="70"/>
      <c r="CN6" s="70"/>
      <c r="CO6" s="70"/>
      <c r="CP6" s="70"/>
      <c r="CQ6" s="600"/>
      <c r="CR6" s="70"/>
      <c r="CS6" s="70"/>
      <c r="CT6" s="70"/>
      <c r="CU6" s="70"/>
      <c r="CV6" s="70"/>
      <c r="CW6" s="70"/>
      <c r="CX6" s="600"/>
      <c r="CY6" s="600"/>
      <c r="CZ6" s="600"/>
      <c r="DA6" s="70"/>
      <c r="DB6" s="70"/>
      <c r="DC6" s="70"/>
      <c r="DD6" s="70"/>
      <c r="DE6" s="70"/>
      <c r="DF6" s="70"/>
      <c r="DG6" s="600"/>
      <c r="DH6" s="600"/>
      <c r="DI6" s="600"/>
      <c r="DJ6" s="600"/>
      <c r="DK6" s="600"/>
      <c r="DL6" s="600"/>
      <c r="DM6" s="600"/>
      <c r="DN6" s="600"/>
      <c r="DO6" s="600"/>
      <c r="DP6" s="600"/>
      <c r="DQ6" s="600"/>
      <c r="DR6" s="600"/>
      <c r="DS6" s="600"/>
      <c r="DT6" s="600"/>
      <c r="DU6" s="600"/>
      <c r="DV6" s="600"/>
      <c r="DW6" s="600"/>
      <c r="DX6" s="600"/>
      <c r="DY6" s="600"/>
      <c r="DZ6" s="600"/>
      <c r="EA6" s="600"/>
      <c r="EB6" s="600"/>
      <c r="EC6" s="600"/>
      <c r="ED6" s="600"/>
      <c r="EE6" s="600"/>
      <c r="EF6" s="600"/>
      <c r="EG6" s="600"/>
      <c r="EH6" s="600"/>
      <c r="EI6" s="600"/>
      <c r="EJ6" s="600"/>
      <c r="EK6" s="600"/>
      <c r="EL6" s="600"/>
      <c r="EM6" s="600"/>
      <c r="EN6" s="600"/>
      <c r="EO6" s="600"/>
      <c r="EP6" s="600"/>
      <c r="EQ6" s="600"/>
      <c r="ER6" s="600"/>
      <c r="ES6" s="600"/>
      <c r="ET6" s="600"/>
      <c r="EU6" s="600"/>
      <c r="EV6" s="600"/>
      <c r="EW6" s="600"/>
      <c r="EX6" s="600"/>
      <c r="EY6" s="600"/>
      <c r="EZ6" s="600"/>
    </row>
    <row r="7" spans="1:156" ht="18">
      <c r="A7" s="1501" t="s">
        <v>2089</v>
      </c>
      <c r="B7" s="1503">
        <v>1</v>
      </c>
      <c r="C7" s="1501"/>
      <c r="D7" s="70"/>
      <c r="E7" s="70"/>
      <c r="F7" s="70"/>
      <c r="G7" s="70"/>
      <c r="H7" s="70"/>
      <c r="I7" s="70"/>
      <c r="J7" s="70"/>
      <c r="K7" s="70"/>
      <c r="L7" s="70"/>
      <c r="M7" s="70"/>
      <c r="N7" s="70"/>
      <c r="O7" s="485"/>
      <c r="P7" s="485"/>
      <c r="Q7" s="485"/>
      <c r="R7" s="485"/>
      <c r="S7" s="485"/>
      <c r="T7" s="485"/>
      <c r="U7" s="485"/>
      <c r="V7" s="485"/>
      <c r="W7" s="485"/>
      <c r="X7" s="485"/>
      <c r="Y7" s="485"/>
      <c r="Z7" s="485"/>
      <c r="AA7" s="485"/>
      <c r="AB7" s="485"/>
      <c r="AC7" s="485"/>
      <c r="AD7" s="1118"/>
      <c r="AE7" s="70"/>
      <c r="AF7" s="70"/>
      <c r="AG7" s="70"/>
      <c r="AH7" s="70"/>
      <c r="AI7" s="70"/>
      <c r="AJ7" s="70"/>
      <c r="AK7" s="600"/>
      <c r="AL7" s="70"/>
      <c r="AM7" s="70"/>
      <c r="AN7" s="70"/>
      <c r="AO7" s="70"/>
      <c r="AP7" s="70"/>
      <c r="AQ7" s="70"/>
      <c r="AR7" s="600"/>
      <c r="AS7" s="600"/>
      <c r="AT7" s="600"/>
      <c r="AU7" s="600"/>
      <c r="AV7" s="600"/>
      <c r="AW7" s="600"/>
      <c r="AX7" s="600"/>
      <c r="AY7" s="600"/>
      <c r="AZ7" s="600"/>
      <c r="BA7" s="600"/>
      <c r="BB7" s="600" t="s">
        <v>182</v>
      </c>
      <c r="BC7" s="600"/>
      <c r="BD7" s="600"/>
      <c r="BE7" s="600"/>
      <c r="BF7" s="600"/>
      <c r="BG7" s="600"/>
      <c r="BH7" s="600"/>
      <c r="BI7" s="600"/>
      <c r="BJ7" s="600" t="s">
        <v>183</v>
      </c>
      <c r="BK7" s="600"/>
      <c r="BL7" s="600"/>
      <c r="BM7" s="600"/>
      <c r="BN7" s="600"/>
      <c r="BO7" s="600"/>
      <c r="BP7" s="600"/>
      <c r="BQ7" s="600"/>
      <c r="BR7" s="600"/>
      <c r="BS7" s="600"/>
      <c r="BT7" s="600" t="s">
        <v>184</v>
      </c>
      <c r="BU7" s="600"/>
      <c r="BV7" s="600"/>
      <c r="BW7" s="600"/>
      <c r="BX7" s="600"/>
      <c r="BY7" s="600"/>
      <c r="BZ7" s="600"/>
      <c r="CA7" s="600"/>
      <c r="CB7" s="600"/>
      <c r="CC7" s="600"/>
      <c r="CD7" s="70"/>
      <c r="CE7" s="70"/>
      <c r="CF7" s="70"/>
      <c r="CG7" s="70"/>
      <c r="CH7" s="70"/>
      <c r="CI7" s="70"/>
      <c r="CJ7" s="600"/>
      <c r="CK7" s="70"/>
      <c r="CL7" s="70"/>
      <c r="CM7" s="70"/>
      <c r="CN7" s="70"/>
      <c r="CO7" s="70"/>
      <c r="CP7" s="70"/>
      <c r="CQ7" s="600"/>
      <c r="CR7" s="70"/>
      <c r="CS7" s="70"/>
      <c r="CT7" s="70"/>
      <c r="CU7" s="70"/>
      <c r="CV7" s="70"/>
      <c r="CW7" s="70"/>
      <c r="CX7" s="600"/>
      <c r="CY7" s="600"/>
      <c r="CZ7" s="600"/>
      <c r="DA7" s="70"/>
      <c r="DB7" s="70"/>
      <c r="DC7" s="70"/>
      <c r="DD7" s="70"/>
      <c r="DE7" s="70"/>
      <c r="DF7" s="70"/>
      <c r="DG7" s="600"/>
      <c r="DH7" s="600"/>
      <c r="DI7" s="600"/>
      <c r="DJ7" s="600"/>
      <c r="DK7" s="600"/>
      <c r="DL7" s="600"/>
      <c r="DM7" s="600"/>
      <c r="DN7" s="600"/>
      <c r="DO7" s="600"/>
      <c r="DP7" s="600"/>
      <c r="DQ7" s="600"/>
      <c r="DR7" s="600"/>
      <c r="DS7" s="600"/>
      <c r="DT7" s="600"/>
      <c r="DU7" s="600"/>
      <c r="DV7" s="600"/>
      <c r="DW7" s="600"/>
      <c r="DX7" s="600"/>
      <c r="DY7" s="600"/>
      <c r="DZ7" s="600"/>
      <c r="EA7" s="600"/>
      <c r="EB7" s="600"/>
      <c r="EC7" s="600"/>
      <c r="ED7" s="600"/>
      <c r="EE7" s="600"/>
      <c r="EF7" s="600"/>
      <c r="EG7" s="600"/>
      <c r="EH7" s="600"/>
      <c r="EI7" s="600"/>
      <c r="EJ7" s="600"/>
      <c r="EK7" s="600"/>
      <c r="EL7" s="600"/>
      <c r="EM7" s="600"/>
      <c r="EN7" s="600"/>
      <c r="EO7" s="600"/>
      <c r="EP7" s="600"/>
      <c r="EQ7" s="600"/>
      <c r="ER7" s="600"/>
      <c r="ES7" s="600"/>
      <c r="ET7" s="600"/>
      <c r="EU7" s="600"/>
      <c r="EV7" s="600"/>
      <c r="EW7" s="600"/>
      <c r="EX7" s="600"/>
      <c r="EY7" s="600"/>
      <c r="EZ7" s="600"/>
    </row>
    <row r="8" spans="1:156" ht="21.6" thickBot="1">
      <c r="A8" s="82"/>
      <c r="B8" s="82"/>
      <c r="C8" s="70"/>
      <c r="D8" s="70"/>
      <c r="E8" s="70"/>
      <c r="F8" s="70"/>
      <c r="G8" s="70"/>
      <c r="H8" s="70"/>
      <c r="I8" s="70"/>
      <c r="J8" s="70"/>
      <c r="K8" s="70"/>
      <c r="L8" s="70"/>
      <c r="M8" s="70"/>
      <c r="N8" s="70"/>
      <c r="O8" s="485"/>
      <c r="P8" s="485"/>
      <c r="Q8" s="485"/>
      <c r="R8" s="485"/>
      <c r="S8" s="485"/>
      <c r="T8" s="485"/>
      <c r="U8" s="485"/>
      <c r="V8" s="485"/>
      <c r="W8" s="485"/>
      <c r="X8" s="485"/>
      <c r="Y8" s="485"/>
      <c r="Z8" s="485"/>
      <c r="AA8" s="485"/>
      <c r="AB8" s="485"/>
      <c r="AC8" s="485"/>
      <c r="AD8" s="1118"/>
      <c r="AE8" s="70"/>
      <c r="AF8" s="70"/>
      <c r="AG8" s="70"/>
      <c r="AH8" s="70"/>
      <c r="AI8" s="70"/>
      <c r="AJ8" s="70"/>
      <c r="AK8" s="600"/>
      <c r="AL8" s="70"/>
      <c r="AM8" s="70"/>
      <c r="AN8" s="70"/>
      <c r="AO8" s="70"/>
      <c r="AP8" s="70"/>
      <c r="AQ8" s="70"/>
      <c r="AR8" s="600"/>
      <c r="AS8" s="600"/>
      <c r="AT8" s="600"/>
      <c r="AU8" s="600"/>
      <c r="AV8" s="600"/>
      <c r="AW8" s="600"/>
      <c r="AX8" s="600"/>
      <c r="AY8" s="600"/>
      <c r="AZ8" s="600"/>
      <c r="BA8" s="600"/>
      <c r="BB8" s="600"/>
      <c r="BC8" s="600"/>
      <c r="BD8" s="600"/>
      <c r="BE8" s="600"/>
      <c r="BF8" s="600"/>
      <c r="BG8" s="600"/>
      <c r="BH8" s="600"/>
      <c r="BI8" s="600"/>
      <c r="BJ8" s="600"/>
      <c r="BK8" s="600"/>
      <c r="BL8" s="600"/>
      <c r="BM8" s="600"/>
      <c r="BN8" s="600"/>
      <c r="BO8" s="600"/>
      <c r="BP8" s="600"/>
      <c r="BQ8" s="600"/>
      <c r="BR8" s="600"/>
      <c r="BS8" s="600"/>
      <c r="BT8" s="600"/>
      <c r="BU8" s="600"/>
      <c r="BV8" s="600"/>
      <c r="BW8" s="600"/>
      <c r="BX8" s="600"/>
      <c r="BY8" s="600"/>
      <c r="BZ8" s="600"/>
      <c r="CA8" s="600"/>
      <c r="CB8" s="600"/>
      <c r="CC8" s="600"/>
      <c r="CD8" s="70"/>
      <c r="CE8" s="70"/>
      <c r="CF8" s="70"/>
      <c r="CG8" s="70"/>
      <c r="CH8" s="70"/>
      <c r="CI8" s="70"/>
      <c r="CJ8" s="600"/>
      <c r="CK8" s="70"/>
      <c r="CL8" s="70"/>
      <c r="CM8" s="70"/>
      <c r="CN8" s="70"/>
      <c r="CO8" s="70"/>
      <c r="CP8" s="70"/>
      <c r="CQ8" s="600"/>
      <c r="CR8" s="70"/>
      <c r="CS8" s="70"/>
      <c r="CT8" s="70"/>
      <c r="CU8" s="70"/>
      <c r="CV8" s="70"/>
      <c r="CW8" s="70"/>
      <c r="CX8" s="600"/>
      <c r="CY8" s="600"/>
      <c r="CZ8" s="600"/>
      <c r="DA8" s="70"/>
      <c r="DB8" s="70"/>
      <c r="DC8" s="70"/>
      <c r="DD8" s="70"/>
      <c r="DE8" s="70"/>
      <c r="DF8" s="70"/>
      <c r="DG8" s="600"/>
      <c r="DH8" s="600"/>
      <c r="DI8" s="600"/>
      <c r="DJ8" s="600"/>
      <c r="DK8" s="600"/>
      <c r="DL8" s="600"/>
      <c r="DM8" s="600"/>
      <c r="DN8" s="600"/>
      <c r="DO8" s="600"/>
      <c r="DP8" s="600"/>
      <c r="DQ8" s="600"/>
      <c r="DR8" s="600"/>
      <c r="DS8" s="600"/>
      <c r="DT8" s="600"/>
      <c r="DU8" s="600"/>
      <c r="DV8" s="600"/>
      <c r="DW8" s="600"/>
      <c r="DX8" s="600"/>
      <c r="DY8" s="600"/>
      <c r="DZ8" s="600"/>
      <c r="EA8" s="600"/>
      <c r="EB8" s="600"/>
      <c r="EC8" s="600"/>
      <c r="ED8" s="600"/>
      <c r="EE8" s="600"/>
      <c r="EF8" s="600"/>
      <c r="EG8" s="600"/>
      <c r="EH8" s="600"/>
      <c r="EI8" s="600"/>
      <c r="EJ8" s="600"/>
      <c r="EK8" s="600"/>
      <c r="EL8" s="600"/>
      <c r="EM8" s="600"/>
      <c r="EN8" s="600"/>
      <c r="EO8" s="600"/>
      <c r="EP8" s="600"/>
      <c r="EQ8" s="600"/>
      <c r="ER8" s="600"/>
      <c r="ES8" s="600"/>
      <c r="ET8" s="600"/>
      <c r="EU8" s="600"/>
      <c r="EV8" s="600"/>
      <c r="EW8" s="600"/>
      <c r="EX8" s="600"/>
      <c r="EY8" s="600"/>
      <c r="EZ8" s="600"/>
    </row>
    <row r="9" spans="1:156" ht="18.600000000000001" thickBot="1">
      <c r="A9" s="859">
        <f>Accueil!E28</f>
        <v>2006</v>
      </c>
      <c r="B9" s="1943" t="s">
        <v>185</v>
      </c>
      <c r="C9" s="1943"/>
      <c r="D9" s="1943"/>
      <c r="E9" s="1943"/>
      <c r="F9" s="1943"/>
      <c r="G9" s="70"/>
      <c r="H9" s="859">
        <f>Accueil!E29</f>
        <v>0</v>
      </c>
      <c r="I9" s="1943" t="s">
        <v>185</v>
      </c>
      <c r="J9" s="1943"/>
      <c r="K9" s="1943"/>
      <c r="L9" s="1943"/>
      <c r="M9" s="1943"/>
      <c r="N9" s="79"/>
      <c r="O9" s="451" t="s">
        <v>165</v>
      </c>
      <c r="P9" s="1107"/>
      <c r="Q9" s="49"/>
      <c r="R9" s="49"/>
      <c r="S9" s="49"/>
      <c r="T9" s="485"/>
      <c r="U9" s="485"/>
      <c r="V9" s="485"/>
      <c r="W9" s="485"/>
      <c r="X9" s="485"/>
      <c r="Y9" s="485"/>
      <c r="Z9" s="485"/>
      <c r="AA9" s="485"/>
      <c r="AB9" s="485"/>
      <c r="AC9" s="485"/>
      <c r="AD9" s="1118"/>
      <c r="AE9" s="859">
        <v>2030</v>
      </c>
      <c r="AF9" s="1943" t="s">
        <v>185</v>
      </c>
      <c r="AG9" s="1943"/>
      <c r="AH9" s="1943"/>
      <c r="AI9" s="1943"/>
      <c r="AJ9" s="1943"/>
      <c r="AK9" s="600"/>
      <c r="AL9" s="1948" t="s">
        <v>186</v>
      </c>
      <c r="AM9" s="1943" t="s">
        <v>185</v>
      </c>
      <c r="AN9" s="1943"/>
      <c r="AO9" s="1943"/>
      <c r="AP9" s="1943"/>
      <c r="AQ9" s="1943"/>
      <c r="AR9" s="600"/>
      <c r="AS9" s="600"/>
      <c r="AT9" s="600"/>
      <c r="AU9" s="600"/>
      <c r="AV9" s="600"/>
      <c r="AW9" s="600"/>
      <c r="AX9" s="600" t="s">
        <v>187</v>
      </c>
      <c r="AY9" s="600"/>
      <c r="AZ9" s="600"/>
      <c r="BA9" s="600"/>
      <c r="BB9" s="1940" t="s">
        <v>188</v>
      </c>
      <c r="BC9" s="1940"/>
      <c r="BD9" s="1940" t="s">
        <v>189</v>
      </c>
      <c r="BE9" s="1940"/>
      <c r="BF9" s="1132" t="s">
        <v>190</v>
      </c>
      <c r="BG9" s="1940" t="s">
        <v>2178</v>
      </c>
      <c r="BH9" s="1940"/>
      <c r="BI9" s="1133"/>
      <c r="BJ9" s="1938" t="s">
        <v>188</v>
      </c>
      <c r="BK9" s="1941"/>
      <c r="BL9" s="1939"/>
      <c r="BM9" s="1940" t="s">
        <v>189</v>
      </c>
      <c r="BN9" s="1940"/>
      <c r="BO9" s="1938" t="s">
        <v>190</v>
      </c>
      <c r="BP9" s="1939"/>
      <c r="BQ9" s="1940" t="s">
        <v>2178</v>
      </c>
      <c r="BR9" s="1940"/>
      <c r="BS9" s="600"/>
      <c r="BT9" s="1938" t="s">
        <v>188</v>
      </c>
      <c r="BU9" s="1941"/>
      <c r="BV9" s="1939"/>
      <c r="BW9" s="1940" t="s">
        <v>189</v>
      </c>
      <c r="BX9" s="1940"/>
      <c r="BY9" s="1938" t="s">
        <v>190</v>
      </c>
      <c r="BZ9" s="1939"/>
      <c r="CA9" s="1940" t="s">
        <v>2178</v>
      </c>
      <c r="CB9" s="1940"/>
      <c r="CC9" s="600"/>
      <c r="CD9" s="1948" t="s">
        <v>191</v>
      </c>
      <c r="CE9" s="1943" t="s">
        <v>185</v>
      </c>
      <c r="CF9" s="1943"/>
      <c r="CG9" s="1943"/>
      <c r="CH9" s="1943"/>
      <c r="CI9" s="1943"/>
      <c r="CJ9" s="600"/>
      <c r="CK9" s="859" t="s">
        <v>192</v>
      </c>
      <c r="CL9" s="1943" t="s">
        <v>185</v>
      </c>
      <c r="CM9" s="1943"/>
      <c r="CN9" s="1943"/>
      <c r="CO9" s="1943"/>
      <c r="CP9" s="1943"/>
      <c r="CQ9" s="600"/>
      <c r="CR9" s="859" t="s">
        <v>193</v>
      </c>
      <c r="CS9" s="1943" t="s">
        <v>185</v>
      </c>
      <c r="CT9" s="1943"/>
      <c r="CU9" s="1943"/>
      <c r="CV9" s="1943"/>
      <c r="CW9" s="1943"/>
      <c r="CX9" s="600"/>
      <c r="CY9" s="600"/>
      <c r="CZ9" s="600"/>
      <c r="DA9" s="859">
        <f>Accueil!E30</f>
        <v>0</v>
      </c>
      <c r="DB9" s="1943" t="s">
        <v>185</v>
      </c>
      <c r="DC9" s="1943"/>
      <c r="DD9" s="1943"/>
      <c r="DE9" s="1943"/>
      <c r="DF9" s="1943"/>
      <c r="DG9" s="600"/>
      <c r="DH9" s="600"/>
      <c r="DI9" s="600"/>
      <c r="DJ9" s="600"/>
      <c r="DK9" s="600"/>
      <c r="DL9" s="600"/>
      <c r="DM9" s="600"/>
      <c r="DN9" s="600"/>
      <c r="DO9" s="600"/>
      <c r="DP9" s="600"/>
      <c r="DQ9" s="600"/>
      <c r="DR9" s="600"/>
      <c r="DS9" s="600"/>
      <c r="DT9" s="600"/>
      <c r="DU9" s="600"/>
      <c r="DV9" s="600"/>
      <c r="DW9" s="600"/>
      <c r="DX9" s="600"/>
      <c r="DY9" s="600"/>
      <c r="DZ9" s="600"/>
      <c r="EA9" s="600"/>
      <c r="EB9" s="600"/>
      <c r="EC9" s="600"/>
      <c r="ED9" s="600"/>
      <c r="EE9" s="600"/>
      <c r="EF9" s="600"/>
      <c r="EG9" s="600"/>
      <c r="EH9" s="600"/>
      <c r="EI9" s="600"/>
      <c r="EJ9" s="600"/>
      <c r="EK9" s="600"/>
      <c r="EL9" s="600"/>
      <c r="EM9" s="600"/>
      <c r="EN9" s="600"/>
      <c r="EO9" s="600"/>
      <c r="EP9" s="600"/>
      <c r="EQ9" s="600"/>
      <c r="ER9" s="600"/>
      <c r="ES9" s="600"/>
      <c r="ET9" s="600"/>
      <c r="EU9" s="600"/>
      <c r="EV9" s="600"/>
      <c r="EW9" s="600"/>
      <c r="EX9" s="600"/>
      <c r="EY9" s="600"/>
      <c r="EZ9" s="600"/>
    </row>
    <row r="10" spans="1:156" ht="15" thickBot="1">
      <c r="A10" s="860"/>
      <c r="B10" s="566" t="s">
        <v>93</v>
      </c>
      <c r="C10" s="562" t="s">
        <v>98</v>
      </c>
      <c r="D10" s="566" t="s">
        <v>144</v>
      </c>
      <c r="E10" s="566" t="s">
        <v>158</v>
      </c>
      <c r="F10" s="566" t="s">
        <v>166</v>
      </c>
      <c r="G10" s="70"/>
      <c r="H10" s="860"/>
      <c r="I10" s="566" t="s">
        <v>93</v>
      </c>
      <c r="J10" s="562" t="s">
        <v>98</v>
      </c>
      <c r="K10" s="566" t="s">
        <v>144</v>
      </c>
      <c r="L10" s="566" t="s">
        <v>158</v>
      </c>
      <c r="M10" s="566" t="s">
        <v>166</v>
      </c>
      <c r="N10" s="79"/>
      <c r="O10" s="452" t="str">
        <f>"Part "&amp;Accueil!E28</f>
        <v>Part 2006</v>
      </c>
      <c r="P10" s="452" t="str">
        <f>"Part "&amp;Accueil!E29</f>
        <v xml:space="preserve">Part </v>
      </c>
      <c r="Q10" s="453" t="s">
        <v>168</v>
      </c>
      <c r="R10" s="453" t="s">
        <v>169</v>
      </c>
      <c r="S10" s="453" t="s">
        <v>170</v>
      </c>
      <c r="T10" s="485"/>
      <c r="U10" s="485"/>
      <c r="V10" s="485"/>
      <c r="W10" s="485"/>
      <c r="X10" s="485"/>
      <c r="Y10" s="485"/>
      <c r="Z10" s="485"/>
      <c r="AA10" s="485"/>
      <c r="AB10" s="485"/>
      <c r="AC10" s="485"/>
      <c r="AD10" s="1118"/>
      <c r="AE10" s="860"/>
      <c r="AF10" s="566" t="s">
        <v>93</v>
      </c>
      <c r="AG10" s="562" t="s">
        <v>98</v>
      </c>
      <c r="AH10" s="566" t="s">
        <v>144</v>
      </c>
      <c r="AI10" s="566" t="s">
        <v>158</v>
      </c>
      <c r="AJ10" s="566" t="s">
        <v>166</v>
      </c>
      <c r="AK10" s="600"/>
      <c r="AL10" s="1949"/>
      <c r="AM10" s="566" t="s">
        <v>93</v>
      </c>
      <c r="AN10" s="562" t="s">
        <v>98</v>
      </c>
      <c r="AO10" s="566" t="s">
        <v>144</v>
      </c>
      <c r="AP10" s="566" t="s">
        <v>158</v>
      </c>
      <c r="AQ10" s="566" t="s">
        <v>166</v>
      </c>
      <c r="AR10" s="600" t="s">
        <v>194</v>
      </c>
      <c r="AS10" s="600" t="s">
        <v>195</v>
      </c>
      <c r="AT10" s="600" t="s">
        <v>91</v>
      </c>
      <c r="AU10" s="600" t="s">
        <v>188</v>
      </c>
      <c r="AV10" s="600" t="s">
        <v>189</v>
      </c>
      <c r="AW10" s="600" t="s">
        <v>190</v>
      </c>
      <c r="AX10" s="600" t="s">
        <v>188</v>
      </c>
      <c r="AY10" s="600" t="s">
        <v>189</v>
      </c>
      <c r="AZ10" s="600" t="s">
        <v>190</v>
      </c>
      <c r="BA10" s="600" t="s">
        <v>2178</v>
      </c>
      <c r="BB10" s="779" t="s">
        <v>196</v>
      </c>
      <c r="BC10" s="779" t="s">
        <v>197</v>
      </c>
      <c r="BD10" s="779" t="s">
        <v>196</v>
      </c>
      <c r="BE10" s="779" t="s">
        <v>197</v>
      </c>
      <c r="BF10" s="779" t="s">
        <v>196</v>
      </c>
      <c r="BG10" s="779" t="s">
        <v>196</v>
      </c>
      <c r="BH10" s="779" t="s">
        <v>197</v>
      </c>
      <c r="BI10" s="600"/>
      <c r="BJ10" s="779" t="s">
        <v>196</v>
      </c>
      <c r="BK10" s="779" t="s">
        <v>197</v>
      </c>
      <c r="BL10" s="779" t="s">
        <v>157</v>
      </c>
      <c r="BM10" s="779" t="s">
        <v>196</v>
      </c>
      <c r="BN10" s="779" t="s">
        <v>197</v>
      </c>
      <c r="BO10" s="779" t="s">
        <v>196</v>
      </c>
      <c r="BP10" s="779" t="s">
        <v>157</v>
      </c>
      <c r="BQ10" s="779" t="s">
        <v>196</v>
      </c>
      <c r="BR10" s="779" t="s">
        <v>197</v>
      </c>
      <c r="BS10" s="600"/>
      <c r="BT10" s="779" t="s">
        <v>196</v>
      </c>
      <c r="BU10" s="779" t="s">
        <v>197</v>
      </c>
      <c r="BV10" s="779" t="s">
        <v>157</v>
      </c>
      <c r="BW10" s="779" t="s">
        <v>196</v>
      </c>
      <c r="BX10" s="779" t="s">
        <v>197</v>
      </c>
      <c r="BY10" s="779" t="s">
        <v>196</v>
      </c>
      <c r="BZ10" s="779" t="s">
        <v>157</v>
      </c>
      <c r="CA10" s="779" t="s">
        <v>196</v>
      </c>
      <c r="CB10" s="779" t="s">
        <v>197</v>
      </c>
      <c r="CC10" s="600"/>
      <c r="CD10" s="1949"/>
      <c r="CE10" s="566" t="s">
        <v>93</v>
      </c>
      <c r="CF10" s="562" t="s">
        <v>98</v>
      </c>
      <c r="CG10" s="566" t="s">
        <v>144</v>
      </c>
      <c r="CH10" s="566" t="s">
        <v>158</v>
      </c>
      <c r="CI10" s="566" t="s">
        <v>166</v>
      </c>
      <c r="CJ10" s="600"/>
      <c r="CK10" s="860"/>
      <c r="CL10" s="566" t="s">
        <v>93</v>
      </c>
      <c r="CM10" s="562" t="s">
        <v>98</v>
      </c>
      <c r="CN10" s="566" t="s">
        <v>144</v>
      </c>
      <c r="CO10" s="566" t="s">
        <v>158</v>
      </c>
      <c r="CP10" s="566" t="s">
        <v>166</v>
      </c>
      <c r="CQ10" s="600"/>
      <c r="CR10" s="860"/>
      <c r="CS10" s="566" t="s">
        <v>93</v>
      </c>
      <c r="CT10" s="562" t="s">
        <v>98</v>
      </c>
      <c r="CU10" s="566" t="s">
        <v>144</v>
      </c>
      <c r="CV10" s="566" t="s">
        <v>158</v>
      </c>
      <c r="CW10" s="566" t="s">
        <v>166</v>
      </c>
      <c r="CX10" s="600"/>
      <c r="CY10" s="600"/>
      <c r="CZ10" s="600"/>
      <c r="DA10" s="860"/>
      <c r="DB10" s="566" t="s">
        <v>93</v>
      </c>
      <c r="DC10" s="562" t="s">
        <v>98</v>
      </c>
      <c r="DD10" s="566" t="s">
        <v>144</v>
      </c>
      <c r="DE10" s="566" t="s">
        <v>158</v>
      </c>
      <c r="DF10" s="566" t="s">
        <v>166</v>
      </c>
      <c r="DG10" s="600"/>
      <c r="DH10" s="600"/>
      <c r="DI10" s="600"/>
      <c r="DJ10" s="600"/>
      <c r="DK10" s="600"/>
      <c r="DL10" s="600"/>
      <c r="DM10" s="600"/>
      <c r="DN10" s="600"/>
      <c r="DO10" s="600"/>
      <c r="DP10" s="600"/>
      <c r="DQ10" s="600"/>
      <c r="DR10" s="600"/>
      <c r="DS10" s="600"/>
      <c r="DT10" s="600"/>
      <c r="DU10" s="600"/>
      <c r="DV10" s="600"/>
      <c r="DW10" s="600"/>
      <c r="DX10" s="600"/>
      <c r="DY10" s="600"/>
      <c r="DZ10" s="600"/>
      <c r="EA10" s="600"/>
      <c r="EB10" s="600"/>
      <c r="EC10" s="600"/>
      <c r="ED10" s="600"/>
      <c r="EE10" s="600"/>
      <c r="EF10" s="600"/>
      <c r="EG10" s="600"/>
      <c r="EH10" s="600"/>
      <c r="EI10" s="600"/>
      <c r="EJ10" s="600"/>
      <c r="EK10" s="600"/>
      <c r="EL10" s="600"/>
      <c r="EM10" s="600"/>
      <c r="EN10" s="600"/>
      <c r="EO10" s="600"/>
      <c r="EP10" s="600"/>
      <c r="EQ10" s="600"/>
      <c r="ER10" s="600"/>
      <c r="ES10" s="600"/>
      <c r="ET10" s="600"/>
      <c r="EU10" s="600"/>
      <c r="EV10" s="600"/>
      <c r="EW10" s="600"/>
      <c r="EX10" s="600"/>
      <c r="EY10" s="600"/>
      <c r="EZ10" s="600"/>
    </row>
    <row r="11" spans="1:156">
      <c r="A11" s="83" t="s">
        <v>198</v>
      </c>
      <c r="B11" s="257">
        <f ca="1">IF($B$5="OUI",SUMIFS(INDIRECT("TabINPUT["&amp;$A$9&amp;"]"),TabINPUT[SECTEUR1],$A11,TabINPUT[VECTEUR],B10),0)</f>
        <v>0</v>
      </c>
      <c r="C11" s="257">
        <f ca="1">IF($B$5="OUI",SUMIFS(INDIRECT("TabINPUT["&amp;$A$9&amp;"]"),TabINPUT[SECTEUR1],$A11,TabINPUT[VECTEUR],C10),0)</f>
        <v>0</v>
      </c>
      <c r="D11" s="257">
        <f ca="1">IF($B$5="OUI",SUMIFS(INDIRECT("TabINPUT["&amp;$A$9&amp;"]"),TabINPUT[SECTEUR1],$A11,TabINPUT[VECTEUR],D10),0)</f>
        <v>0</v>
      </c>
      <c r="E11" s="257">
        <f ca="1">IF($B$5="OUI",SUMIFS(INDIRECT("TabINPUT["&amp;$A$9&amp;"]"),TabINPUT[SECTEUR1],$A11,TabINPUT[VECTEUR],E10),0)</f>
        <v>0</v>
      </c>
      <c r="F11" s="1134">
        <f t="shared" ref="F11:F19" ca="1" si="0">SUM(B11:E11)</f>
        <v>0</v>
      </c>
      <c r="G11" s="70"/>
      <c r="H11" s="83" t="s">
        <v>198</v>
      </c>
      <c r="I11" s="257" t="e">
        <f ca="1">IF($B$5="OUI",SUMIFS(INDIRECT("TabINPUT["&amp;$H$9&amp;"]"),TabINPUT[SECTEUR1],$A11,TabINPUT[VECTEUR],I10),0)</f>
        <v>#REF!</v>
      </c>
      <c r="J11" s="257" t="e">
        <f ca="1">IF($B$5="OUI",SUMIFS(INDIRECT("TabINPUT["&amp;$H$9&amp;"]"),TabINPUT[SECTEUR1],$A11,TabINPUT[VECTEUR],J10),0)</f>
        <v>#REF!</v>
      </c>
      <c r="K11" s="257" t="e">
        <f ca="1">IF($B$5="OUI",SUMIFS(INDIRECT("TabINPUT["&amp;$H$9&amp;"]"),TabINPUT[SECTEUR1],$A11,TabINPUT[VECTEUR],K10),0)</f>
        <v>#REF!</v>
      </c>
      <c r="L11" s="257" t="e">
        <f ca="1">IF($B$5="OUI",SUMIFS(INDIRECT("TabINPUT["&amp;$H$9&amp;"]"),TabINPUT[SECTEUR1],$A11,TabINPUT[VECTEUR],L10),0)</f>
        <v>#REF!</v>
      </c>
      <c r="M11" s="1134" t="e">
        <f t="shared" ref="M11:M19" ca="1" si="1">SUM(I11:L11)</f>
        <v>#REF!</v>
      </c>
      <c r="N11" s="70"/>
      <c r="O11" s="477" t="e">
        <f t="shared" ref="O11:O19" ca="1" si="2">F11/$F$20</f>
        <v>#DIV/0!</v>
      </c>
      <c r="P11" s="477" t="e">
        <f t="shared" ref="P11:P19" ca="1" si="3">M11/$M$20</f>
        <v>#REF!</v>
      </c>
      <c r="Q11" s="477" t="e">
        <f ca="1">IF(F11=0,IF(M11&gt;0,1,0),M11/F11-1)</f>
        <v>#REF!</v>
      </c>
      <c r="R11" s="458" t="e">
        <f ca="1">ROUND(Q11*100,0)</f>
        <v>#REF!</v>
      </c>
      <c r="S11" s="458" t="e">
        <f ca="1">H11&amp;" : "&amp;R11&amp;"%"</f>
        <v>#REF!</v>
      </c>
      <c r="T11" s="485"/>
      <c r="U11" s="485"/>
      <c r="V11" s="485"/>
      <c r="W11" s="485"/>
      <c r="X11" s="485"/>
      <c r="Y11" s="485"/>
      <c r="Z11" s="485"/>
      <c r="AA11" s="1484"/>
      <c r="AB11" s="1484"/>
      <c r="AC11" s="1484"/>
      <c r="AD11" s="1438"/>
      <c r="AE11" s="83" t="s">
        <v>198</v>
      </c>
      <c r="AF11" s="257" t="e">
        <f ca="1">IF($M11=0,0,$AJ11*I11/$M11)</f>
        <v>#REF!</v>
      </c>
      <c r="AG11" s="257" t="e">
        <f t="shared" ref="AG11:AG19" ca="1" si="4">IF($M11=0,0,$AJ11*J11/$M11)</f>
        <v>#REF!</v>
      </c>
      <c r="AH11" s="257" t="e">
        <f t="shared" ref="AH11:AH18" ca="1" si="5">IF($M11=0,0,$AJ11*K11/$M11)</f>
        <v>#REF!</v>
      </c>
      <c r="AI11" s="257" t="e">
        <f t="shared" ref="AI11:AI19" ca="1" si="6">IF($M11=0,0,$AJ11*L11/$M11)</f>
        <v>#REF!</v>
      </c>
      <c r="AJ11" s="1134" t="e">
        <f ca="1">IF(Objectifs!C15=0,'Bilan territorial'!M11,IF(Objectifs!C15&lt;'Bilan territorial'!Q11,'Bilan territorial'!F11*(1+Objectifs!C15),'Bilan territorial'!M11))</f>
        <v>#REF!</v>
      </c>
      <c r="AK11" s="1135"/>
      <c r="AL11" s="83" t="s">
        <v>198</v>
      </c>
      <c r="AM11" s="257" t="e">
        <f ca="1">AF11+SUM(BJ11:BK11)</f>
        <v>#REF!</v>
      </c>
      <c r="AN11" s="257" t="e">
        <f ca="1">AG11-BK11-BN11+BO11</f>
        <v>#REF!</v>
      </c>
      <c r="AO11" s="257" t="e">
        <f ca="1">AH11-BJ11-BM11-BO11</f>
        <v>#REF!</v>
      </c>
      <c r="AP11" s="257" t="e">
        <f ca="1">AI11-BL11</f>
        <v>#REF!</v>
      </c>
      <c r="AQ11" s="1134" t="e">
        <f ca="1">SUM(AM11:AP11)</f>
        <v>#REF!</v>
      </c>
      <c r="AR11" s="600" t="e">
        <f ca="1">(Objectifs!C26+Objectifs!C41)*'Bilan territorial'!AH11</f>
        <v>#REF!</v>
      </c>
      <c r="AS11" s="1135" t="e">
        <f ca="1">(Objectifs!C26)*AG11</f>
        <v>#REF!</v>
      </c>
      <c r="AT11" s="1736" t="e">
        <f t="shared" ref="AT11:AT19" ca="1" si="7">IF(AR11&gt;AH11,IF(AS11&gt;AG11,"Conversion gaz naturel et produits pétroliers &gt;100%","Conversion produits pétroliers &gt;100%"),IF(AS11&gt;AG11,"Conversion gaz naturel &gt;100%",""))</f>
        <v>#REF!</v>
      </c>
      <c r="AU11" s="600">
        <v>26</v>
      </c>
      <c r="AV11" s="600"/>
      <c r="AW11" s="600">
        <v>37</v>
      </c>
      <c r="AX11" s="1136">
        <f>Objectifs!$C26</f>
        <v>0</v>
      </c>
      <c r="AY11" s="1136"/>
      <c r="AZ11" s="1136">
        <f>Objectifs!$C41</f>
        <v>0</v>
      </c>
      <c r="BA11" s="1136"/>
      <c r="BB11" s="1137" t="e">
        <f ca="1">IF(AR11&gt;AH11,$AX11/SUM($AX11:$AZ11),$AX11)</f>
        <v>#REF!</v>
      </c>
      <c r="BC11" s="1137" t="e">
        <f ca="1">IF(AS11&gt;AG11,$AX11/SUM($AX11:$AZ11),$AX11)</f>
        <v>#REF!</v>
      </c>
      <c r="BD11" s="1137" t="e">
        <f ca="1">IF(AR11&gt;AH11,$AY11/SUM($AX11:$AZ11),$AY11)</f>
        <v>#REF!</v>
      </c>
      <c r="BE11" s="1137" t="e">
        <f ca="1">IF(AS11&gt;AG11,$AY11/SUM($AX11:$AZ11),$AY11)</f>
        <v>#REF!</v>
      </c>
      <c r="BF11" s="1137" t="e">
        <f ca="1">IF(AR11&gt;AH11,$AZ11/SUM($AX11:$AZ11),$AZ11)</f>
        <v>#REF!</v>
      </c>
      <c r="BG11" s="1137"/>
      <c r="BH11" s="1137"/>
      <c r="BI11" s="1138"/>
      <c r="BJ11" s="1139" t="e">
        <f ca="1">$AH11*BB11</f>
        <v>#REF!</v>
      </c>
      <c r="BK11" s="1139" t="e">
        <f ca="1">$AG11*BB11</f>
        <v>#REF!</v>
      </c>
      <c r="BL11" s="1139" t="e">
        <f ca="1">AX11*AI11</f>
        <v>#REF!</v>
      </c>
      <c r="BM11" s="1139" t="e">
        <f ca="1">$AH11*BD11</f>
        <v>#REF!</v>
      </c>
      <c r="BN11" s="1139" t="e">
        <f ca="1">$AG11*BD11</f>
        <v>#REF!</v>
      </c>
      <c r="BO11" s="1139" t="e">
        <f ca="1">$AH11*BF11</f>
        <v>#REF!</v>
      </c>
      <c r="BP11" s="1139"/>
      <c r="BQ11" s="1137"/>
      <c r="BR11" s="1137"/>
      <c r="BS11" s="600"/>
      <c r="BT11" s="1140" t="e">
        <f t="shared" ref="BT11:BT14" ca="1" si="8">BJ11*(AT29-$AO$61*1000)</f>
        <v>#REF!</v>
      </c>
      <c r="BU11" s="1140" t="e">
        <f ca="1">BK11*(Hypothèses!$B$9-$AO$61)*1000</f>
        <v>#REF!</v>
      </c>
      <c r="BV11" s="1140" t="e">
        <f ca="1">IF(AP11=0,0,BL11*AP29/AP11)</f>
        <v>#REF!</v>
      </c>
      <c r="BW11" s="1140" t="e">
        <f ca="1">BM11*($AT29-Hypothèses!$B$17*1000)</f>
        <v>#REF!</v>
      </c>
      <c r="BX11" s="1140" t="e">
        <f ca="1">BN11*(Hypothèses!$B$3-Hypothèses!$B$17)*1000</f>
        <v>#REF!</v>
      </c>
      <c r="BY11" s="1139" t="e">
        <f ca="1">IF(K11=0,0,BO11*(K29/K11/1000-Hypothèses!$B$3)*1000)</f>
        <v>#REF!</v>
      </c>
      <c r="BZ11" s="1139">
        <f>BP11*(Hypothèses!$B$18-Hypothèses!$B$9)*1000</f>
        <v>0</v>
      </c>
      <c r="CA11" s="1137"/>
      <c r="CB11" s="1137"/>
      <c r="CC11" s="600"/>
      <c r="CD11" s="83" t="s">
        <v>198</v>
      </c>
      <c r="CE11" s="257" t="e">
        <f ca="1">AM11</f>
        <v>#REF!</v>
      </c>
      <c r="CF11" s="257" t="e">
        <f t="shared" ref="CF11:CF19" ca="1" si="9">AN11</f>
        <v>#REF!</v>
      </c>
      <c r="CG11" s="257" t="e">
        <f t="shared" ref="CG11:CG19" ca="1" si="10">AO11</f>
        <v>#REF!</v>
      </c>
      <c r="CH11" s="257" t="e">
        <f t="shared" ref="CH11:CH19" ca="1" si="11">AP11</f>
        <v>#REF!</v>
      </c>
      <c r="CI11" s="1134" t="e">
        <f ca="1">SUM(CE11:CH11)</f>
        <v>#REF!</v>
      </c>
      <c r="CJ11" s="600">
        <v>4.2478877080571076</v>
      </c>
      <c r="CK11" s="83" t="s">
        <v>198</v>
      </c>
      <c r="CL11" s="257" t="e">
        <f ca="1">I11+SUM(BJ11:BK11)</f>
        <v>#REF!</v>
      </c>
      <c r="CM11" s="257" t="e">
        <f ca="1">J11-BK11</f>
        <v>#REF!</v>
      </c>
      <c r="CN11" s="257" t="e">
        <f ca="1">K11-BJ11</f>
        <v>#REF!</v>
      </c>
      <c r="CO11" s="257" t="e">
        <f ca="1">L11-BL11</f>
        <v>#REF!</v>
      </c>
      <c r="CP11" s="1134" t="e">
        <f ca="1">SUM(CL11:CO11)</f>
        <v>#REF!</v>
      </c>
      <c r="CQ11" s="1135"/>
      <c r="CR11" s="83" t="s">
        <v>198</v>
      </c>
      <c r="CS11" s="257" t="e">
        <f ca="1">AF11</f>
        <v>#REF!</v>
      </c>
      <c r="CT11" s="257" t="e">
        <f t="shared" ref="CT11:CT19" ca="1" si="12">AG11</f>
        <v>#REF!</v>
      </c>
      <c r="CU11" s="257" t="e">
        <f t="shared" ref="CU11:CU19" ca="1" si="13">AH11</f>
        <v>#REF!</v>
      </c>
      <c r="CV11" s="257" t="e">
        <f t="shared" ref="CV11:CV19" ca="1" si="14">AI11</f>
        <v>#REF!</v>
      </c>
      <c r="CW11" s="1134" t="e">
        <f ca="1">SUM(CS11:CV11)</f>
        <v>#REF!</v>
      </c>
      <c r="CX11" s="600"/>
      <c r="CY11" s="600"/>
      <c r="CZ11" s="600"/>
      <c r="DA11" s="83" t="s">
        <v>198</v>
      </c>
      <c r="DB11" s="257" t="e">
        <f ca="1">IF($B$5="OUI",SUMIFS(INDIRECT("TabINPUT["&amp;$DA$9&amp;"]"),TabINPUT[SECTEUR1],$A11,TabINPUT[VECTEUR],DB10),0)</f>
        <v>#REF!</v>
      </c>
      <c r="DC11" s="257" t="e">
        <f ca="1">IF($B$5="OUI",SUMIFS(INDIRECT("TabINPUT["&amp;$DA$9&amp;"]"),TabINPUT[SECTEUR1],$A11,TabINPUT[VECTEUR],DC10),0)</f>
        <v>#REF!</v>
      </c>
      <c r="DD11" s="257" t="e">
        <f ca="1">IF($B$5="OUI",SUMIFS(INDIRECT("TabINPUT["&amp;$DA$9&amp;"]"),TabINPUT[SECTEUR1],$A11,TabINPUT[VECTEUR],DD10),0)</f>
        <v>#REF!</v>
      </c>
      <c r="DE11" s="257" t="e">
        <f ca="1">IF($B$5="OUI",SUMIFS(INDIRECT("TabINPUT["&amp;$DA$9&amp;"]"),TabINPUT[SECTEUR1],$A11,TabINPUT[VECTEUR],DE10),0)</f>
        <v>#REF!</v>
      </c>
      <c r="DF11" s="1134" t="e">
        <f t="shared" ref="DF11:DF19" ca="1" si="15">SUM(DB11:DE11)</f>
        <v>#REF!</v>
      </c>
      <c r="DG11" s="600"/>
      <c r="DH11" s="600"/>
      <c r="DI11" s="600"/>
      <c r="DJ11" s="600"/>
      <c r="DK11" s="600"/>
      <c r="DL11" s="600"/>
      <c r="DM11" s="600"/>
      <c r="DN11" s="600"/>
      <c r="DO11" s="600"/>
      <c r="DP11" s="600"/>
      <c r="DQ11" s="600"/>
      <c r="DR11" s="600"/>
      <c r="DS11" s="600"/>
      <c r="DT11" s="600"/>
      <c r="DU11" s="600"/>
      <c r="DV11" s="600"/>
      <c r="DW11" s="600"/>
      <c r="DX11" s="600"/>
      <c r="DY11" s="600"/>
      <c r="DZ11" s="600"/>
      <c r="EA11" s="600"/>
      <c r="EB11" s="600"/>
      <c r="EC11" s="600"/>
      <c r="ED11" s="600"/>
      <c r="EE11" s="600"/>
      <c r="EF11" s="600"/>
      <c r="EG11" s="600"/>
      <c r="EH11" s="600"/>
      <c r="EI11" s="600"/>
      <c r="EJ11" s="600"/>
      <c r="EK11" s="600"/>
      <c r="EL11" s="600"/>
      <c r="EM11" s="600"/>
      <c r="EN11" s="600"/>
      <c r="EO11" s="600"/>
      <c r="EP11" s="600"/>
      <c r="EQ11" s="600"/>
      <c r="ER11" s="600"/>
      <c r="ES11" s="600"/>
      <c r="ET11" s="600"/>
      <c r="EU11" s="600"/>
      <c r="EV11" s="600"/>
      <c r="EW11" s="600"/>
      <c r="EX11" s="600"/>
      <c r="EY11" s="600"/>
      <c r="EZ11" s="600"/>
    </row>
    <row r="12" spans="1:156">
      <c r="A12" s="1111" t="s">
        <v>199</v>
      </c>
      <c r="B12" s="257">
        <f ca="1">SUMIFS(INDIRECT("TabINPUT["&amp;$A$9&amp;"]"),TabINPUT[SECTEUR1],$A12,TabINPUT[VECTEUR],B$10)</f>
        <v>0</v>
      </c>
      <c r="C12" s="257">
        <f ca="1">SUM(C13:C14)</f>
        <v>0</v>
      </c>
      <c r="D12" s="257">
        <f ca="1">SUM(D13:D14)</f>
        <v>0</v>
      </c>
      <c r="E12" s="257">
        <f ca="1">SUM(E13:E14)</f>
        <v>0</v>
      </c>
      <c r="F12" s="1134">
        <f t="shared" ca="1" si="0"/>
        <v>0</v>
      </c>
      <c r="G12" s="70"/>
      <c r="H12" s="1111" t="s">
        <v>199</v>
      </c>
      <c r="I12" s="257" t="e">
        <f ca="1">SUMIFS(INDIRECT("TabINPUT["&amp;$H$9&amp;"]"),TabINPUT[SECTEUR1],$A12,TabINPUT[VECTEUR],I$10)</f>
        <v>#REF!</v>
      </c>
      <c r="J12" s="257" t="e">
        <f ca="1">SUM(J13:J14)</f>
        <v>#REF!</v>
      </c>
      <c r="K12" s="257" t="e">
        <f ca="1">SUM(K13:K14)</f>
        <v>#REF!</v>
      </c>
      <c r="L12" s="257" t="e">
        <f ca="1">SUM(L13:L14)</f>
        <v>#REF!</v>
      </c>
      <c r="M12" s="1134" t="e">
        <f t="shared" ca="1" si="1"/>
        <v>#REF!</v>
      </c>
      <c r="N12" s="70"/>
      <c r="O12" s="477" t="e">
        <f t="shared" ca="1" si="2"/>
        <v>#DIV/0!</v>
      </c>
      <c r="P12" s="477" t="e">
        <f t="shared" ca="1" si="3"/>
        <v>#REF!</v>
      </c>
      <c r="Q12" s="477" t="e">
        <f t="shared" ref="Q12:Q20" ca="1" si="16">IF(F12=0,IF(M12&gt;0,1,0),M12/F12-1)</f>
        <v>#REF!</v>
      </c>
      <c r="R12" s="458" t="e">
        <f t="shared" ref="R12:R19" ca="1" si="17">ROUND(Q12*100,0)</f>
        <v>#REF!</v>
      </c>
      <c r="S12" s="458" t="e">
        <f t="shared" ref="S12:S19" ca="1" si="18">H12&amp;" : "&amp;R12&amp;"%"</f>
        <v>#REF!</v>
      </c>
      <c r="T12" s="485"/>
      <c r="U12" s="485"/>
      <c r="V12" s="485"/>
      <c r="W12" s="485"/>
      <c r="X12" s="485"/>
      <c r="Y12" s="485"/>
      <c r="Z12" s="485"/>
      <c r="AA12" s="1484"/>
      <c r="AB12" s="1484"/>
      <c r="AC12" s="1484"/>
      <c r="AD12" s="1438"/>
      <c r="AE12" s="1111" t="s">
        <v>199</v>
      </c>
      <c r="AF12" s="257" t="e">
        <f ca="1">SUM(AF13:AF14)</f>
        <v>#REF!</v>
      </c>
      <c r="AG12" s="257" t="e">
        <f t="shared" ref="AG12:AI12" ca="1" si="19">SUM(AG13:AG14)</f>
        <v>#REF!</v>
      </c>
      <c r="AH12" s="257" t="e">
        <f t="shared" ca="1" si="19"/>
        <v>#REF!</v>
      </c>
      <c r="AI12" s="257" t="e">
        <f t="shared" ca="1" si="19"/>
        <v>#REF!</v>
      </c>
      <c r="AJ12" s="1134" t="e">
        <f ca="1">SUM(AJ13:AJ14)</f>
        <v>#REF!</v>
      </c>
      <c r="AK12" s="600"/>
      <c r="AL12" s="1111" t="s">
        <v>199</v>
      </c>
      <c r="AM12" s="257" t="e">
        <f ca="1">SUM(AM13:AM14)</f>
        <v>#REF!</v>
      </c>
      <c r="AN12" s="257" t="e">
        <f t="shared" ref="AN12:AP12" ca="1" si="20">SUM(AN13:AN14)</f>
        <v>#REF!</v>
      </c>
      <c r="AO12" s="257" t="e">
        <f t="shared" ca="1" si="20"/>
        <v>#REF!</v>
      </c>
      <c r="AP12" s="257" t="e">
        <f t="shared" ca="1" si="20"/>
        <v>#REF!</v>
      </c>
      <c r="AQ12" s="1134" t="e">
        <f t="shared" ref="AQ12:AQ19" ca="1" si="21">SUM(AM12:AP12)</f>
        <v>#REF!</v>
      </c>
      <c r="AR12" s="600"/>
      <c r="AS12" s="1135"/>
      <c r="AT12" s="1736" t="e">
        <f t="shared" ca="1" si="7"/>
        <v>#REF!</v>
      </c>
      <c r="AU12" s="600"/>
      <c r="AV12" s="600"/>
      <c r="AW12" s="600"/>
      <c r="AX12" s="1136"/>
      <c r="AY12" s="1136"/>
      <c r="AZ12" s="1136"/>
      <c r="BA12" s="1136"/>
      <c r="BB12" s="1137"/>
      <c r="BC12" s="1137"/>
      <c r="BD12" s="1137"/>
      <c r="BE12" s="1137"/>
      <c r="BF12" s="1137"/>
      <c r="BG12" s="1137"/>
      <c r="BH12" s="1137"/>
      <c r="BI12" s="1138"/>
      <c r="BJ12" s="1137"/>
      <c r="BK12" s="1137"/>
      <c r="BL12" s="1137"/>
      <c r="BM12" s="1137"/>
      <c r="BN12" s="1137"/>
      <c r="BO12" s="1137"/>
      <c r="BP12" s="1137"/>
      <c r="BQ12" s="1137"/>
      <c r="BR12" s="1137"/>
      <c r="BS12" s="600"/>
      <c r="BT12" s="1140" t="e">
        <f t="shared" ca="1" si="8"/>
        <v>#REF!</v>
      </c>
      <c r="BU12" s="1140" t="e">
        <f ca="1">BK12*(Hypothèses!$B$9-$AO$61)*1000</f>
        <v>#REF!</v>
      </c>
      <c r="BV12" s="1140"/>
      <c r="BW12" s="1140" t="e">
        <f ca="1">BM12*($AT30-Hypothèses!$B$17*1000)</f>
        <v>#REF!</v>
      </c>
      <c r="BX12" s="1140">
        <f>BN12*(Hypothèses!$B$3-Hypothèses!$B$17)*1000</f>
        <v>0</v>
      </c>
      <c r="BY12" s="1139" t="e">
        <f ca="1">BO12*(K30/K12/1000-Hypothèses!$B$3)*1000</f>
        <v>#REF!</v>
      </c>
      <c r="BZ12" s="1139">
        <f>BP12*(Hypothèses!$B$18-Hypothèses!$B$9)*1000</f>
        <v>0</v>
      </c>
      <c r="CA12" s="1137"/>
      <c r="CB12" s="1137"/>
      <c r="CC12" s="600"/>
      <c r="CD12" s="1111" t="s">
        <v>199</v>
      </c>
      <c r="CE12" s="257" t="e">
        <f t="shared" ref="CE12:CE19" ca="1" si="22">AM12</f>
        <v>#REF!</v>
      </c>
      <c r="CF12" s="257" t="e">
        <f t="shared" ca="1" si="9"/>
        <v>#REF!</v>
      </c>
      <c r="CG12" s="257" t="e">
        <f t="shared" ca="1" si="10"/>
        <v>#REF!</v>
      </c>
      <c r="CH12" s="257" t="e">
        <f t="shared" ca="1" si="11"/>
        <v>#REF!</v>
      </c>
      <c r="CI12" s="1134" t="e">
        <f t="shared" ref="CI12:CI19" ca="1" si="23">SUM(CE12:CH12)</f>
        <v>#REF!</v>
      </c>
      <c r="CJ12" s="600">
        <v>4.6131555940244207</v>
      </c>
      <c r="CK12" s="1111" t="s">
        <v>199</v>
      </c>
      <c r="CL12" s="257" t="e">
        <f ca="1">SUM(CL13:CL14)</f>
        <v>#REF!</v>
      </c>
      <c r="CM12" s="257" t="e">
        <f t="shared" ref="CM12:CO12" ca="1" si="24">SUM(CM13:CM14)</f>
        <v>#REF!</v>
      </c>
      <c r="CN12" s="257" t="e">
        <f t="shared" ca="1" si="24"/>
        <v>#REF!</v>
      </c>
      <c r="CO12" s="257" t="e">
        <f t="shared" ca="1" si="24"/>
        <v>#REF!</v>
      </c>
      <c r="CP12" s="1134" t="e">
        <f t="shared" ref="CP12:CP19" ca="1" si="25">SUM(CL12:CO12)</f>
        <v>#REF!</v>
      </c>
      <c r="CQ12" s="1135"/>
      <c r="CR12" s="1111" t="s">
        <v>199</v>
      </c>
      <c r="CS12" s="257" t="e">
        <f t="shared" ref="CS12:CS19" ca="1" si="26">AF12</f>
        <v>#REF!</v>
      </c>
      <c r="CT12" s="257" t="e">
        <f t="shared" ca="1" si="12"/>
        <v>#REF!</v>
      </c>
      <c r="CU12" s="257" t="e">
        <f t="shared" ca="1" si="13"/>
        <v>#REF!</v>
      </c>
      <c r="CV12" s="257" t="e">
        <f t="shared" ca="1" si="14"/>
        <v>#REF!</v>
      </c>
      <c r="CW12" s="1134" t="e">
        <f t="shared" ref="CW12:CW19" ca="1" si="27">SUM(CS12:CV12)</f>
        <v>#REF!</v>
      </c>
      <c r="CX12" s="600"/>
      <c r="CY12" s="600"/>
      <c r="CZ12" s="600"/>
      <c r="DA12" s="1111" t="s">
        <v>199</v>
      </c>
      <c r="DB12" s="257" t="e">
        <f ca="1">SUMIFS(INDIRECT("TabINPUT["&amp;$DA$9&amp;"]"),TabINPUT[SECTEUR1],$A12,TabINPUT[VECTEUR],DB$10)</f>
        <v>#REF!</v>
      </c>
      <c r="DC12" s="257" t="e">
        <f ca="1">SUM(DC13:DC14)</f>
        <v>#REF!</v>
      </c>
      <c r="DD12" s="257" t="e">
        <f ca="1">SUM(DD13:DD14)</f>
        <v>#REF!</v>
      </c>
      <c r="DE12" s="257" t="e">
        <f ca="1">SUM(DE13:DE14)</f>
        <v>#REF!</v>
      </c>
      <c r="DF12" s="1134" t="e">
        <f t="shared" ca="1" si="15"/>
        <v>#REF!</v>
      </c>
      <c r="DG12" s="600"/>
      <c r="DH12" s="600"/>
      <c r="DI12" s="600"/>
      <c r="DJ12" s="600"/>
      <c r="DK12" s="600"/>
      <c r="DL12" s="600"/>
      <c r="DM12" s="600"/>
      <c r="DN12" s="600"/>
      <c r="DO12" s="600"/>
      <c r="DP12" s="600"/>
      <c r="DQ12" s="600"/>
      <c r="DR12" s="600"/>
      <c r="DS12" s="600"/>
      <c r="DT12" s="600"/>
      <c r="DU12" s="600"/>
      <c r="DV12" s="600"/>
      <c r="DW12" s="600"/>
      <c r="DX12" s="600"/>
      <c r="DY12" s="600"/>
      <c r="DZ12" s="600"/>
      <c r="EA12" s="600"/>
      <c r="EB12" s="600"/>
      <c r="EC12" s="600"/>
      <c r="ED12" s="600"/>
      <c r="EE12" s="600"/>
      <c r="EF12" s="600"/>
      <c r="EG12" s="600"/>
      <c r="EH12" s="600"/>
      <c r="EI12" s="600"/>
      <c r="EJ12" s="600"/>
      <c r="EK12" s="600"/>
      <c r="EL12" s="600"/>
      <c r="EM12" s="600"/>
      <c r="EN12" s="600"/>
      <c r="EO12" s="600"/>
      <c r="EP12" s="600"/>
      <c r="EQ12" s="600"/>
      <c r="ER12" s="600"/>
      <c r="ES12" s="600"/>
      <c r="ET12" s="600"/>
      <c r="EU12" s="600"/>
      <c r="EV12" s="600"/>
      <c r="EW12" s="600"/>
      <c r="EX12" s="600"/>
      <c r="EY12" s="600"/>
      <c r="EZ12" s="600"/>
    </row>
    <row r="13" spans="1:156">
      <c r="A13" s="1141" t="s">
        <v>200</v>
      </c>
      <c r="B13" s="1142">
        <f ca="1">('Bilan patrimonial'!B13-'Bilan patrimonial'!B12)/1000000</f>
        <v>0</v>
      </c>
      <c r="C13" s="1142">
        <f ca="1">('Bilan patrimonial'!C13-'Bilan patrimonial'!C12)/1000000</f>
        <v>0</v>
      </c>
      <c r="D13" s="1142">
        <f ca="1">('Bilan patrimonial'!D13-'Bilan patrimonial'!D12)/1000000</f>
        <v>0</v>
      </c>
      <c r="E13" s="1142">
        <f ca="1">('Bilan patrimonial'!E13-'Bilan patrimonial'!E12)/1000000</f>
        <v>0</v>
      </c>
      <c r="F13" s="1142">
        <f t="shared" ca="1" si="0"/>
        <v>0</v>
      </c>
      <c r="G13" s="70"/>
      <c r="H13" s="1141" t="s">
        <v>200</v>
      </c>
      <c r="I13" s="1142" t="e">
        <f ca="1">('Bilan patrimonial'!I13-'Bilan patrimonial'!I12)/1000000</f>
        <v>#REF!</v>
      </c>
      <c r="J13" s="1142" t="e">
        <f ca="1">('Bilan patrimonial'!J13-'Bilan patrimonial'!J12)/1000000</f>
        <v>#REF!</v>
      </c>
      <c r="K13" s="1142" t="e">
        <f ca="1">('Bilan patrimonial'!K13-'Bilan patrimonial'!K12)/1000000</f>
        <v>#REF!</v>
      </c>
      <c r="L13" s="1142" t="e">
        <f ca="1">('Bilan patrimonial'!L13-'Bilan patrimonial'!L12)/1000000</f>
        <v>#REF!</v>
      </c>
      <c r="M13" s="1142" t="e">
        <f t="shared" ca="1" si="1"/>
        <v>#REF!</v>
      </c>
      <c r="N13" s="70"/>
      <c r="O13" s="477" t="e">
        <f t="shared" ca="1" si="2"/>
        <v>#DIV/0!</v>
      </c>
      <c r="P13" s="477" t="e">
        <f t="shared" ca="1" si="3"/>
        <v>#REF!</v>
      </c>
      <c r="Q13" s="477" t="e">
        <f t="shared" ca="1" si="16"/>
        <v>#REF!</v>
      </c>
      <c r="R13" s="458" t="e">
        <f t="shared" ca="1" si="17"/>
        <v>#REF!</v>
      </c>
      <c r="S13" s="458" t="e">
        <f t="shared" ca="1" si="18"/>
        <v>#REF!</v>
      </c>
      <c r="T13" s="485"/>
      <c r="U13" s="485"/>
      <c r="V13" s="485"/>
      <c r="W13" s="485"/>
      <c r="X13" s="485"/>
      <c r="Y13" s="485"/>
      <c r="Z13" s="485"/>
      <c r="AA13" s="1484"/>
      <c r="AB13" s="1484"/>
      <c r="AC13" s="1484"/>
      <c r="AD13" s="1438"/>
      <c r="AE13" s="1141" t="s">
        <v>200</v>
      </c>
      <c r="AF13" s="1142" t="e">
        <f ca="1">SUM('Bilan patrimonial'!W8:W11)/1000000</f>
        <v>#REF!</v>
      </c>
      <c r="AG13" s="1142" t="e">
        <f ca="1">SUM('Bilan patrimonial'!X8:X11)/1000000</f>
        <v>#REF!</v>
      </c>
      <c r="AH13" s="1142" t="e">
        <f ca="1">SUM('Bilan patrimonial'!Y8:Y11)/1000000</f>
        <v>#REF!</v>
      </c>
      <c r="AI13" s="1142" t="e">
        <f ca="1">SUM('Bilan patrimonial'!Z8:Z11)/1000000</f>
        <v>#REF!</v>
      </c>
      <c r="AJ13" s="1134" t="e">
        <f ca="1">SUM(AF13:AI13)</f>
        <v>#REF!</v>
      </c>
      <c r="AK13" s="600"/>
      <c r="AL13" s="1141" t="s">
        <v>200</v>
      </c>
      <c r="AM13" s="257" t="e">
        <f ca="1">AF13+SUM(BJ13:BK13)</f>
        <v>#REF!</v>
      </c>
      <c r="AN13" s="257" t="e">
        <f ca="1">AG13-BK13-BN13+BO13-BR13</f>
        <v>#REF!</v>
      </c>
      <c r="AO13" s="257" t="e">
        <f ca="1">AH13-BJ13-BM13-BO13-BQ13</f>
        <v>#REF!</v>
      </c>
      <c r="AP13" s="257" t="e">
        <f ca="1">AI13+SUM(BM13:BN13)</f>
        <v>#REF!</v>
      </c>
      <c r="AQ13" s="1134" t="e">
        <f t="shared" ca="1" si="21"/>
        <v>#REF!</v>
      </c>
      <c r="AR13" s="600" t="e">
        <f ca="1">(Objectifs!C24+Objectifs!C31+Objectifs!C39+Objectifs!C35)*'Bilan territorial'!AH13</f>
        <v>#REF!</v>
      </c>
      <c r="AS13" s="1135" t="e">
        <f ca="1">(Objectifs!C24+Objectifs!C31+Objectifs!C35)*AG13</f>
        <v>#REF!</v>
      </c>
      <c r="AT13" s="1736" t="e">
        <f t="shared" ca="1" si="7"/>
        <v>#REF!</v>
      </c>
      <c r="AU13" s="600">
        <v>24</v>
      </c>
      <c r="AV13" s="600">
        <v>31</v>
      </c>
      <c r="AW13" s="600">
        <v>35</v>
      </c>
      <c r="AX13" s="1136">
        <f>Objectifs!$C24</f>
        <v>0</v>
      </c>
      <c r="AY13" s="1136">
        <f>Objectifs!$C31</f>
        <v>0</v>
      </c>
      <c r="AZ13" s="1136">
        <f>Objectifs!$C39</f>
        <v>0</v>
      </c>
      <c r="BA13" s="1136">
        <f>Objectifs!C35</f>
        <v>0</v>
      </c>
      <c r="BB13" s="1137" t="e">
        <f ca="1">IF(AR13&gt;AH13,$AX13/SUM($AX13:$BA13),$AX13)</f>
        <v>#REF!</v>
      </c>
      <c r="BC13" s="1137" t="e">
        <f ca="1">IF(AS13&gt;AG13,$AX13/SUM($AX13:$BA13),$AX13)</f>
        <v>#REF!</v>
      </c>
      <c r="BD13" s="1137" t="e">
        <f ca="1">IF(AR13&gt;AH13,$AY13/SUM($AX13:$BA13),$AY13)</f>
        <v>#REF!</v>
      </c>
      <c r="BE13" s="1137" t="e">
        <f ca="1">IF(AS13&gt;AG13,$AY13/SUM($AX13:$BA13),$AY13)</f>
        <v>#REF!</v>
      </c>
      <c r="BF13" s="1137" t="e">
        <f ca="1">IF(AR13&gt;AH13,$AZ13/SUM($AX13:$BA13),$AZ13)</f>
        <v>#REF!</v>
      </c>
      <c r="BG13" s="1137" t="e">
        <f ca="1">IF(AR13&gt;AH13,$BA13/SUM($AX13:$BA13),$BA13)</f>
        <v>#REF!</v>
      </c>
      <c r="BH13" s="1137" t="e">
        <f ca="1">IF(AS13&gt;AG13,$BA13/SUM($AX13:$BA13),$BA13)</f>
        <v>#REF!</v>
      </c>
      <c r="BI13" s="1138"/>
      <c r="BJ13" s="1139" t="e">
        <f t="shared" ref="BJ13:BJ15" ca="1" si="28">$AH13*BB13</f>
        <v>#REF!</v>
      </c>
      <c r="BK13" s="1139" t="e">
        <f t="shared" ref="BK13:BK15" ca="1" si="29">$AG13*BB13</f>
        <v>#REF!</v>
      </c>
      <c r="BL13" s="1139"/>
      <c r="BM13" s="1139" t="e">
        <f t="shared" ref="BM13:BM15" ca="1" si="30">$AH13*BD13</f>
        <v>#REF!</v>
      </c>
      <c r="BN13" s="1139" t="e">
        <f ca="1">$AG13*BE13</f>
        <v>#REF!</v>
      </c>
      <c r="BO13" s="1139" t="e">
        <f t="shared" ref="BO13:BO15" ca="1" si="31">$AH13*BF13</f>
        <v>#REF!</v>
      </c>
      <c r="BP13" s="1139"/>
      <c r="BQ13" s="1139" t="e">
        <f ca="1">$AH13*BG13</f>
        <v>#REF!</v>
      </c>
      <c r="BR13" s="1139" t="e">
        <f ca="1">$AG13*BH13</f>
        <v>#REF!</v>
      </c>
      <c r="BS13" s="600"/>
      <c r="BT13" s="1140" t="e">
        <f t="shared" ca="1" si="8"/>
        <v>#REF!</v>
      </c>
      <c r="BU13" s="1140" t="e">
        <f ca="1">BK13*(Hypothèses!$B$9-$AO$61)*1000</f>
        <v>#REF!</v>
      </c>
      <c r="BV13" s="1140"/>
      <c r="BW13" s="1140" t="e">
        <f ca="1">BM13*($AT31-Hypothèses!$B$17*1000)</f>
        <v>#REF!</v>
      </c>
      <c r="BX13" s="1140" t="e">
        <f ca="1">BN13*(Hypothèses!$B$3-Hypothèses!$B$17)*1000</f>
        <v>#REF!</v>
      </c>
      <c r="BY13" s="1139" t="e">
        <f ca="1">IF(K13=0,0,BO13*(K31/K13/1000-Hypothèses!$B$3)*1000)</f>
        <v>#REF!</v>
      </c>
      <c r="BZ13" s="1139">
        <f>BP13*(Hypothèses!$B$18-Hypothèses!$B$9)*1000</f>
        <v>0</v>
      </c>
      <c r="CA13" s="1139" t="e">
        <f ca="1">BQ13*AT31</f>
        <v>#REF!</v>
      </c>
      <c r="CB13" s="1139" t="e">
        <f ca="1">BR13*'Hypothèses &amp; Méthodo'!$B$16*1000</f>
        <v>#REF!</v>
      </c>
      <c r="CC13" s="600"/>
      <c r="CD13" s="1141" t="s">
        <v>200</v>
      </c>
      <c r="CE13" s="257" t="e">
        <f t="shared" ca="1" si="22"/>
        <v>#REF!</v>
      </c>
      <c r="CF13" s="257" t="e">
        <f t="shared" ca="1" si="9"/>
        <v>#REF!</v>
      </c>
      <c r="CG13" s="257" t="e">
        <f t="shared" ca="1" si="10"/>
        <v>#REF!</v>
      </c>
      <c r="CH13" s="257" t="e">
        <f t="shared" ca="1" si="11"/>
        <v>#REF!</v>
      </c>
      <c r="CI13" s="1134" t="e">
        <f t="shared" ca="1" si="23"/>
        <v>#REF!</v>
      </c>
      <c r="CJ13" s="600">
        <v>0</v>
      </c>
      <c r="CK13" s="1141" t="s">
        <v>200</v>
      </c>
      <c r="CL13" s="257" t="e">
        <f t="shared" ref="CL13:CL16" ca="1" si="32">I13++SUM(BJ13:BK13)</f>
        <v>#REF!</v>
      </c>
      <c r="CM13" s="257" t="e">
        <f t="shared" ref="CM13:CM15" ca="1" si="33">J13-BK13</f>
        <v>#REF!</v>
      </c>
      <c r="CN13" s="257" t="e">
        <f t="shared" ref="CN13:CN16" ca="1" si="34">K13-BJ13</f>
        <v>#REF!</v>
      </c>
      <c r="CO13" s="257" t="e">
        <f t="shared" ref="CO13:CO16" ca="1" si="35">L13-BL13</f>
        <v>#REF!</v>
      </c>
      <c r="CP13" s="1134" t="e">
        <f t="shared" ca="1" si="25"/>
        <v>#REF!</v>
      </c>
      <c r="CQ13" s="1135"/>
      <c r="CR13" s="1141" t="s">
        <v>200</v>
      </c>
      <c r="CS13" s="1142" t="e">
        <f t="shared" ca="1" si="26"/>
        <v>#REF!</v>
      </c>
      <c r="CT13" s="257" t="e">
        <f t="shared" ca="1" si="12"/>
        <v>#REF!</v>
      </c>
      <c r="CU13" s="257" t="e">
        <f t="shared" ca="1" si="13"/>
        <v>#REF!</v>
      </c>
      <c r="CV13" s="257" t="e">
        <f t="shared" ca="1" si="14"/>
        <v>#REF!</v>
      </c>
      <c r="CW13" s="1134" t="e">
        <f t="shared" ca="1" si="27"/>
        <v>#REF!</v>
      </c>
      <c r="CX13" s="600"/>
      <c r="CY13" s="600"/>
      <c r="CZ13" s="600"/>
      <c r="DA13" s="1141" t="s">
        <v>200</v>
      </c>
      <c r="DB13" s="1142"/>
      <c r="DC13" s="1142"/>
      <c r="DD13" s="1142"/>
      <c r="DE13" s="1142"/>
      <c r="DF13" s="1142"/>
      <c r="DG13" s="600"/>
      <c r="DH13" s="600"/>
      <c r="DI13" s="600"/>
      <c r="DJ13" s="600"/>
      <c r="DK13" s="600"/>
      <c r="DL13" s="600"/>
      <c r="DM13" s="600"/>
      <c r="DN13" s="600"/>
      <c r="DO13" s="600"/>
      <c r="DP13" s="600"/>
      <c r="DQ13" s="600"/>
      <c r="DR13" s="600"/>
      <c r="DS13" s="600"/>
      <c r="DT13" s="600"/>
      <c r="DU13" s="600"/>
      <c r="DV13" s="600"/>
      <c r="DW13" s="600"/>
      <c r="DX13" s="600"/>
      <c r="DY13" s="600"/>
      <c r="DZ13" s="600"/>
      <c r="EA13" s="600"/>
      <c r="EB13" s="600"/>
      <c r="EC13" s="600"/>
      <c r="ED13" s="600"/>
      <c r="EE13" s="600"/>
      <c r="EF13" s="600"/>
      <c r="EG13" s="600"/>
      <c r="EH13" s="600"/>
      <c r="EI13" s="600"/>
      <c r="EJ13" s="600"/>
      <c r="EK13" s="600"/>
      <c r="EL13" s="600"/>
      <c r="EM13" s="600"/>
      <c r="EN13" s="600"/>
      <c r="EO13" s="600"/>
      <c r="EP13" s="600"/>
      <c r="EQ13" s="600"/>
      <c r="ER13" s="600"/>
      <c r="ES13" s="600"/>
      <c r="ET13" s="600"/>
      <c r="EU13" s="600"/>
      <c r="EV13" s="600"/>
      <c r="EW13" s="600"/>
      <c r="EX13" s="600"/>
      <c r="EY13" s="600"/>
      <c r="EZ13" s="600"/>
    </row>
    <row r="14" spans="1:156">
      <c r="A14" s="1141" t="s">
        <v>157</v>
      </c>
      <c r="B14" s="1142">
        <f ca="1">+B12-B13</f>
        <v>0</v>
      </c>
      <c r="C14" s="1142">
        <f ca="1">IF(SUMIFS(INDIRECT("TabINPUT["&amp;$A$9&amp;"]"),TabINPUT[SECTEUR1],$A12,TabINPUT[VECTEUR],C10)-C13&lt;0,0,SUMIFS(INDIRECT("TabINPUT["&amp;$A$9&amp;"]"),TabINPUT[SECTEUR1],$A12,TabINPUT[VECTEUR],C10)-C13)*IF($B$4="Réel",1,HLOOKUP(A9,Hypothèses!$A$25:$AA$28,4,0))</f>
        <v>0</v>
      </c>
      <c r="D14" s="1142">
        <f ca="1">IF(SUMIFS(INDIRECT("TabINPUT["&amp;$A$9&amp;"]"),TabINPUT[SECTEUR1],$A12,TabINPUT[VECTEUR],D10)-D13&lt;0,0,SUMIFS(INDIRECT("TabINPUT["&amp;$A$9&amp;"]"),TabINPUT[SECTEUR1],$A12,TabINPUT[VECTEUR],D10)-D13)*IF($B$4="Réel",1,HLOOKUP(A9,Hypothèses!$A$25:$AA$28,4,0))</f>
        <v>0</v>
      </c>
      <c r="E14" s="1142">
        <f ca="1">IF(SUMIFS(INDIRECT("TabINPUT["&amp;$A$9&amp;"]"),TabINPUT[SECTEUR1],$A12,TabINPUT[VECTEUR],E10)-E13&lt;0,0,SUMIFS(INDIRECT("TabINPUT["&amp;$A$9&amp;"]"),TabINPUT[SECTEUR1],$A12,TabINPUT[VECTEUR],E10)-E13)*IF($B$4="Réel",1,HLOOKUP(A9,Hypothèses!$A$25:$AA$28,4,0))</f>
        <v>0</v>
      </c>
      <c r="F14" s="1142">
        <f t="shared" ca="1" si="0"/>
        <v>0</v>
      </c>
      <c r="G14" s="70"/>
      <c r="H14" s="1141" t="s">
        <v>157</v>
      </c>
      <c r="I14" s="1142" t="e">
        <f ca="1">+I12-I13</f>
        <v>#REF!</v>
      </c>
      <c r="J14" s="1142" t="e">
        <f ca="1">IF(SUMIFS(INDIRECT("TabINPUT["&amp;$H$9&amp;"]"),TabINPUT[SECTEUR1],$A12,TabINPUT[VECTEUR],J10)-J13&lt;0,0,SUMIFS(INDIRECT("TabINPUT["&amp;$H$9&amp;"]"),TabINPUT[SECTEUR1],$A12,TabINPUT[VECTEUR],J10)-J13)*IF($B$4="Réel",1,HLOOKUP(H9,Hypothèses!$A$25:$AA$28,4,0))</f>
        <v>#REF!</v>
      </c>
      <c r="K14" s="1142" t="e">
        <f ca="1">IF(SUMIFS(INDIRECT("TabINPUT["&amp;$H$9&amp;"]"),TabINPUT[SECTEUR1],$A12,TabINPUT[VECTEUR],K10)-K13&lt;0,0,SUMIFS(INDIRECT("TabINPUT["&amp;$H$9&amp;"]"),TabINPUT[SECTEUR1],$A12,TabINPUT[VECTEUR],K10)-K13)*IF($B$4="Réel",1,HLOOKUP(H9,Hypothèses!$A$25:$AA$28,4,0))</f>
        <v>#REF!</v>
      </c>
      <c r="L14" s="1142" t="e">
        <f ca="1">IF(SUMIFS(INDIRECT("TabINPUT["&amp;$H$9&amp;"]"),TabINPUT[SECTEUR1],$A12,TabINPUT[VECTEUR],L10)-L13&lt;0,0,SUMIFS(INDIRECT("TabINPUT["&amp;$H$9&amp;"]"),TabINPUT[SECTEUR1],$A12,TabINPUT[VECTEUR],L10)-L13)*IF($B$4="Réel",1,HLOOKUP(H9,Hypothèses!$A$25:$AA$28,4,0))</f>
        <v>#REF!</v>
      </c>
      <c r="M14" s="1142" t="e">
        <f t="shared" ca="1" si="1"/>
        <v>#REF!</v>
      </c>
      <c r="N14" s="70"/>
      <c r="O14" s="477" t="e">
        <f t="shared" ca="1" si="2"/>
        <v>#DIV/0!</v>
      </c>
      <c r="P14" s="477" t="e">
        <f t="shared" ca="1" si="3"/>
        <v>#REF!</v>
      </c>
      <c r="Q14" s="477" t="e">
        <f t="shared" ca="1" si="16"/>
        <v>#REF!</v>
      </c>
      <c r="R14" s="458" t="e">
        <f t="shared" ca="1" si="17"/>
        <v>#REF!</v>
      </c>
      <c r="S14" s="458" t="e">
        <f t="shared" ca="1" si="18"/>
        <v>#REF!</v>
      </c>
      <c r="T14" s="485"/>
      <c r="U14" s="485"/>
      <c r="V14" s="485"/>
      <c r="W14" s="485"/>
      <c r="X14" s="485"/>
      <c r="Y14" s="498"/>
      <c r="Z14" s="498"/>
      <c r="AA14" s="1484"/>
      <c r="AB14" s="1484"/>
      <c r="AC14" s="1484"/>
      <c r="AD14" s="1438"/>
      <c r="AE14" s="1141" t="s">
        <v>157</v>
      </c>
      <c r="AF14" s="1142" t="e">
        <f t="shared" ref="AF14:AF19" ca="1" si="36">IF($M14=0,0,$AJ14*I14/$M14)</f>
        <v>#REF!</v>
      </c>
      <c r="AG14" s="1142" t="e">
        <f t="shared" ca="1" si="4"/>
        <v>#REF!</v>
      </c>
      <c r="AH14" s="1142" t="e">
        <f t="shared" ca="1" si="5"/>
        <v>#REF!</v>
      </c>
      <c r="AI14" s="1142" t="e">
        <f t="shared" ca="1" si="6"/>
        <v>#REF!</v>
      </c>
      <c r="AJ14" s="1134" t="e">
        <f ca="1">IF(Objectifs!C16=0,'Bilan territorial'!M14,IF(Objectifs!C16&lt;'Bilan territorial'!Q14,'Bilan territorial'!F14*(1+Objectifs!C16),'Bilan territorial'!M14))</f>
        <v>#REF!</v>
      </c>
      <c r="AK14" s="600"/>
      <c r="AL14" s="1141" t="s">
        <v>157</v>
      </c>
      <c r="AM14" s="257" t="e">
        <f ca="1">AF14+SUM(BJ14:BK14)</f>
        <v>#REF!</v>
      </c>
      <c r="AN14" s="257" t="e">
        <f ca="1">AG14-BK14-BN14+BO14+BP14-BR14</f>
        <v>#REF!</v>
      </c>
      <c r="AO14" s="257" t="e">
        <f ca="1">AH14-BJ14-BM14-BO14-BQ14</f>
        <v>#REF!</v>
      </c>
      <c r="AP14" s="257" t="e">
        <f ca="1">AI14+SUM(BM14:BN14)</f>
        <v>#REF!</v>
      </c>
      <c r="AQ14" s="1134" t="e">
        <f t="shared" ca="1" si="21"/>
        <v>#REF!</v>
      </c>
      <c r="AR14" s="600" t="e">
        <f ca="1">(Objectifs!C27+Objectifs!C32+Objectifs!C42+Objectifs!C36)*'Bilan territorial'!AH14</f>
        <v>#REF!</v>
      </c>
      <c r="AS14" s="1135" t="e">
        <f ca="1">(Objectifs!C27+Objectifs!C32+Objectifs!C36)*AG14</f>
        <v>#REF!</v>
      </c>
      <c r="AT14" s="1736" t="e">
        <f t="shared" ca="1" si="7"/>
        <v>#REF!</v>
      </c>
      <c r="AU14" s="600">
        <v>27</v>
      </c>
      <c r="AV14" s="600">
        <v>32</v>
      </c>
      <c r="AW14" s="600">
        <v>38</v>
      </c>
      <c r="AX14" s="1136">
        <f>Objectifs!$C27</f>
        <v>0</v>
      </c>
      <c r="AY14" s="1136">
        <f>Objectifs!$C32</f>
        <v>0</v>
      </c>
      <c r="AZ14" s="1136">
        <f>Objectifs!$C42</f>
        <v>0</v>
      </c>
      <c r="BA14" s="1136">
        <f>Objectifs!C36</f>
        <v>0</v>
      </c>
      <c r="BB14" s="1137" t="e">
        <f ca="1">IF(AR14&gt;AH14,$AX14/SUM($AX14:$BA14),$AX14)</f>
        <v>#REF!</v>
      </c>
      <c r="BC14" s="1137" t="e">
        <f ca="1">IF(AS14&gt;AG14,$AX14/SUM($AX14:$BA14),$AX14)</f>
        <v>#REF!</v>
      </c>
      <c r="BD14" s="1137" t="e">
        <f ca="1">IF(AR14&gt;AH14,$AY14/SUM($AX14:$BA14),$AY14)</f>
        <v>#REF!</v>
      </c>
      <c r="BE14" s="1137" t="e">
        <f ca="1">IF(AS14&gt;AG14,$AY14/SUM($AX14:$BA14),$AY14)</f>
        <v>#REF!</v>
      </c>
      <c r="BF14" s="1137" t="e">
        <f ca="1">IF(AR14&gt;AH14,$AZ14/SUM($AX14:$BA14),$AZ14)</f>
        <v>#REF!</v>
      </c>
      <c r="BG14" s="1137" t="e">
        <f t="shared" ref="BG14:BG15" ca="1" si="37">IF(AR14&gt;AH14,$BA14/SUM($AX14:$BA14),$BA14)</f>
        <v>#REF!</v>
      </c>
      <c r="BH14" s="1137" t="e">
        <f t="shared" ref="BH14:BH15" ca="1" si="38">IF(AS14&gt;AG14,$BA14/SUM($AX14:$BA14),$BA14)</f>
        <v>#REF!</v>
      </c>
      <c r="BI14" s="1138"/>
      <c r="BJ14" s="1139" t="e">
        <f t="shared" ca="1" si="28"/>
        <v>#REF!</v>
      </c>
      <c r="BK14" s="1139" t="e">
        <f t="shared" ca="1" si="29"/>
        <v>#REF!</v>
      </c>
      <c r="BL14" s="1139"/>
      <c r="BM14" s="1139" t="e">
        <f t="shared" ca="1" si="30"/>
        <v>#REF!</v>
      </c>
      <c r="BN14" s="1139" t="e">
        <f ca="1">$AG14*BE14</f>
        <v>#REF!</v>
      </c>
      <c r="BO14" s="1139" t="e">
        <f t="shared" ca="1" si="31"/>
        <v>#REF!</v>
      </c>
      <c r="BP14" s="1139"/>
      <c r="BQ14" s="1139" t="e">
        <f t="shared" ref="BQ14:BQ15" ca="1" si="39">$AH14*BG14</f>
        <v>#REF!</v>
      </c>
      <c r="BR14" s="1139" t="e">
        <f t="shared" ref="BR14:BR15" ca="1" si="40">$AG14*BH14</f>
        <v>#REF!</v>
      </c>
      <c r="BS14" s="600"/>
      <c r="BT14" s="1140" t="e">
        <f t="shared" ca="1" si="8"/>
        <v>#REF!</v>
      </c>
      <c r="BU14" s="1140" t="e">
        <f ca="1">BK14*(Hypothèses!$B$9-$AO$61)*1000</f>
        <v>#REF!</v>
      </c>
      <c r="BV14" s="1140"/>
      <c r="BW14" s="1140" t="e">
        <f ca="1">BM14*($AT32-Hypothèses!$B$17*1000)</f>
        <v>#REF!</v>
      </c>
      <c r="BX14" s="1140" t="e">
        <f ca="1">BN14*(Hypothèses!$B$3-Hypothèses!$B$17)*1000</f>
        <v>#REF!</v>
      </c>
      <c r="BY14" s="1139" t="e">
        <f ca="1">BO14*(K32/K14/1000-Hypothèses!$B$3)*1000</f>
        <v>#REF!</v>
      </c>
      <c r="BZ14" s="1139">
        <f>BP14*(Hypothèses!$B$18-Hypothèses!$B$9)*1000</f>
        <v>0</v>
      </c>
      <c r="CA14" s="1139" t="e">
        <f t="shared" ref="CA14:CA15" ca="1" si="41">BQ14*AT32</f>
        <v>#REF!</v>
      </c>
      <c r="CB14" s="1139" t="e">
        <f ca="1">BR14*'Hypothèses &amp; Méthodo'!$B$16*1000</f>
        <v>#REF!</v>
      </c>
      <c r="CC14" s="600"/>
      <c r="CD14" s="1141" t="s">
        <v>157</v>
      </c>
      <c r="CE14" s="257" t="e">
        <f t="shared" ca="1" si="22"/>
        <v>#REF!</v>
      </c>
      <c r="CF14" s="257" t="e">
        <f t="shared" ca="1" si="9"/>
        <v>#REF!</v>
      </c>
      <c r="CG14" s="257" t="e">
        <f t="shared" ca="1" si="10"/>
        <v>#REF!</v>
      </c>
      <c r="CH14" s="257" t="e">
        <f t="shared" ca="1" si="11"/>
        <v>#REF!</v>
      </c>
      <c r="CI14" s="1134" t="e">
        <f t="shared" ca="1" si="23"/>
        <v>#REF!</v>
      </c>
      <c r="CJ14" s="600">
        <v>4.6131555940244207</v>
      </c>
      <c r="CK14" s="1141" t="s">
        <v>157</v>
      </c>
      <c r="CL14" s="257" t="e">
        <f t="shared" ca="1" si="32"/>
        <v>#REF!</v>
      </c>
      <c r="CM14" s="257" t="e">
        <f t="shared" ca="1" si="33"/>
        <v>#REF!</v>
      </c>
      <c r="CN14" s="257" t="e">
        <f t="shared" ca="1" si="34"/>
        <v>#REF!</v>
      </c>
      <c r="CO14" s="257" t="e">
        <f t="shared" ca="1" si="35"/>
        <v>#REF!</v>
      </c>
      <c r="CP14" s="1134" t="e">
        <f t="shared" ca="1" si="25"/>
        <v>#REF!</v>
      </c>
      <c r="CQ14" s="1135"/>
      <c r="CR14" s="1141" t="s">
        <v>157</v>
      </c>
      <c r="CS14" s="1142" t="e">
        <f t="shared" ca="1" si="26"/>
        <v>#REF!</v>
      </c>
      <c r="CT14" s="257" t="e">
        <f t="shared" ca="1" si="12"/>
        <v>#REF!</v>
      </c>
      <c r="CU14" s="257" t="e">
        <f t="shared" ca="1" si="13"/>
        <v>#REF!</v>
      </c>
      <c r="CV14" s="257" t="e">
        <f t="shared" ca="1" si="14"/>
        <v>#REF!</v>
      </c>
      <c r="CW14" s="1134" t="e">
        <f t="shared" ca="1" si="27"/>
        <v>#REF!</v>
      </c>
      <c r="CX14" s="600"/>
      <c r="CY14" s="600"/>
      <c r="CZ14" s="600"/>
      <c r="DA14" s="1141" t="s">
        <v>157</v>
      </c>
      <c r="DB14" s="1142" t="e">
        <f ca="1">+DB12-DB13</f>
        <v>#REF!</v>
      </c>
      <c r="DC14" s="1142" t="e">
        <f ca="1">IF(SUMIFS(INDIRECT("TabINPUT["&amp;$DA$9&amp;"]"),TabINPUT[SECTEUR1],$A12,TabINPUT[VECTEUR],DC10)-DC13&lt;0,0,SUMIFS(INDIRECT("TabINPUT["&amp;$DA$9&amp;"]"),TabINPUT[SECTEUR1],$A12,TabINPUT[VECTEUR],DC10)-DC13)*IF($B$4="Réel",1,HLOOKUP(DA9,Hypothèses!$A$25:$AA$28,4,0))</f>
        <v>#REF!</v>
      </c>
      <c r="DD14" s="1142" t="e">
        <f ca="1">IF(SUMIFS(INDIRECT("TabINPUT["&amp;$DA$9&amp;"]"),TabINPUT[SECTEUR1],$A12,TabINPUT[VECTEUR],DD10)-DD13&lt;0,0,SUMIFS(INDIRECT("TabINPUT["&amp;$DA$9&amp;"]"),TabINPUT[SECTEUR1],$A12,TabINPUT[VECTEUR],DD10)-DD13)*IF($B$4="Réel",1,HLOOKUP(DA9,Hypothèses!$A$25:$AA$28,4,0))</f>
        <v>#REF!</v>
      </c>
      <c r="DE14" s="1142" t="e">
        <f ca="1">IF(SUMIFS(INDIRECT("TabINPUT["&amp;$DA$9&amp;"]"),TabINPUT[SECTEUR1],$A12,TabINPUT[VECTEUR],DE10)-DE13&lt;0,0,SUMIFS(INDIRECT("TabINPUT["&amp;$DA$9&amp;"]"),TabINPUT[SECTEUR1],$A12,TabINPUT[VECTEUR],DE10)-DE13)*IF($B$4="Réel",1,HLOOKUP(DA9,Hypothèses!$A$25:$AA$28,4,0))</f>
        <v>#REF!</v>
      </c>
      <c r="DF14" s="1142" t="e">
        <f t="shared" ca="1" si="15"/>
        <v>#REF!</v>
      </c>
      <c r="DG14" s="600"/>
      <c r="DH14" s="600"/>
      <c r="DI14" s="600"/>
      <c r="DJ14" s="600"/>
      <c r="DK14" s="600"/>
      <c r="DL14" s="600"/>
      <c r="DM14" s="600"/>
      <c r="DN14" s="600"/>
      <c r="DO14" s="600"/>
      <c r="DP14" s="600"/>
      <c r="DQ14" s="600"/>
      <c r="DR14" s="600"/>
      <c r="DS14" s="600"/>
      <c r="DT14" s="600"/>
      <c r="DU14" s="600"/>
      <c r="DV14" s="600"/>
      <c r="DW14" s="600"/>
      <c r="DX14" s="600"/>
      <c r="DY14" s="600"/>
      <c r="DZ14" s="600"/>
      <c r="EA14" s="600"/>
      <c r="EB14" s="600"/>
      <c r="EC14" s="600"/>
      <c r="ED14" s="600"/>
      <c r="EE14" s="600"/>
      <c r="EF14" s="600"/>
      <c r="EG14" s="600"/>
      <c r="EH14" s="600"/>
      <c r="EI14" s="600"/>
      <c r="EJ14" s="600"/>
      <c r="EK14" s="600"/>
      <c r="EL14" s="600"/>
      <c r="EM14" s="600"/>
      <c r="EN14" s="600"/>
      <c r="EO14" s="600"/>
      <c r="EP14" s="600"/>
      <c r="EQ14" s="600"/>
      <c r="ER14" s="600"/>
      <c r="ES14" s="600"/>
      <c r="ET14" s="600"/>
      <c r="EU14" s="600"/>
      <c r="EV14" s="600"/>
      <c r="EW14" s="600"/>
      <c r="EX14" s="600"/>
      <c r="EY14" s="600"/>
      <c r="EZ14" s="600"/>
    </row>
    <row r="15" spans="1:156">
      <c r="A15" s="1111" t="s">
        <v>201</v>
      </c>
      <c r="B15" s="257">
        <f ca="1">SUMIFS(INDIRECT("TabINPUT["&amp;$A$9&amp;"]"),TabINPUT[SECTEUR1],$A15,TabINPUT[VECTEUR],B$10)</f>
        <v>0</v>
      </c>
      <c r="C15" s="257">
        <f ca="1">SUMIFS(INDIRECT("TabINPUT["&amp;$A$9&amp;"]"),TabINPUT[SECTEUR1],$A15,TabINPUT[VECTEUR],C$10)*IF($B$4="Réel",1,HLOOKUP(A9,Hypothèses!$A$25:$AA$28,3,0))</f>
        <v>0</v>
      </c>
      <c r="D15" s="257">
        <f ca="1">SUMIFS(INDIRECT("TabINPUT["&amp;$A$9&amp;"]"),TabINPUT[SECTEUR1],$A15,TabINPUT[VECTEUR],D$10)*IF($B$4="Réel",1,HLOOKUP(A9,Hypothèses!$A$25:$AA$28,3,0))</f>
        <v>0</v>
      </c>
      <c r="E15" s="257">
        <f ca="1">(SUMIFS(INDIRECT("TabINPUT["&amp;$A$9&amp;"]"),TabINPUT[SECTEUR1],$A15,TabINPUT[VECTEUR],E$10)-SUMIFS(INDIRECT("TabINPUT["&amp;$A$9&amp;"]"),TabINPUT[SECTEUR1],$A15,TabINPUT[VECTEUR],"Autres"))*IF($B$4="Réel",1,HLOOKUP(A9,Hypothèses!$A$25:$AA$28,3,0))</f>
        <v>0</v>
      </c>
      <c r="F15" s="1134">
        <f t="shared" ca="1" si="0"/>
        <v>0</v>
      </c>
      <c r="G15" s="70"/>
      <c r="H15" s="1111" t="s">
        <v>201</v>
      </c>
      <c r="I15" s="257" t="e">
        <f ca="1">SUMIFS(INDIRECT("TabINPUT["&amp;$H$9&amp;"]"),TabINPUT[SECTEUR1],$A15,TabINPUT[VECTEUR],I$10)</f>
        <v>#REF!</v>
      </c>
      <c r="J15" s="257" t="e">
        <f ca="1">SUMIFS(INDIRECT("TabINPUT["&amp;$H$9&amp;"]"),TabINPUT[SECTEUR1],$A15,TabINPUT[VECTEUR],J$10)*IF($B$4="Réel",1,HLOOKUP(H9,Hypothèses!$A$25:$AA$28,3,0))</f>
        <v>#REF!</v>
      </c>
      <c r="K15" s="257" t="e">
        <f ca="1">SUMIFS(INDIRECT("TabINPUT["&amp;$H$9&amp;"]"),TabINPUT[SECTEUR1],$A15,TabINPUT[VECTEUR],K$10)*IF($B$4="Réel",1,HLOOKUP(H9,Hypothèses!$A$25:$AA$28,3,0))</f>
        <v>#REF!</v>
      </c>
      <c r="L15" s="257" t="e">
        <f ca="1">(SUMIFS(INDIRECT("TabINPUT["&amp;$H$9&amp;"]"),TabINPUT[SECTEUR1],$A15,TabINPUT[VECTEUR],L$10)-SUMIFS(INDIRECT("TabINPUT["&amp;$H$9&amp;"]"),TabINPUT[SECTEUR1],$A15,TabINPUT[VECTEUR],"Autres"))*IF($B$4="Réel",1,HLOOKUP(H9,Hypothèses!$A$25:$AA$28,3,0))</f>
        <v>#REF!</v>
      </c>
      <c r="M15" s="1134" t="e">
        <f t="shared" ca="1" si="1"/>
        <v>#REF!</v>
      </c>
      <c r="N15" s="70"/>
      <c r="O15" s="477" t="e">
        <f t="shared" ca="1" si="2"/>
        <v>#DIV/0!</v>
      </c>
      <c r="P15" s="477" t="e">
        <f t="shared" ca="1" si="3"/>
        <v>#REF!</v>
      </c>
      <c r="Q15" s="477" t="e">
        <f t="shared" ca="1" si="16"/>
        <v>#REF!</v>
      </c>
      <c r="R15" s="458" t="e">
        <f t="shared" ca="1" si="17"/>
        <v>#REF!</v>
      </c>
      <c r="S15" s="458" t="e">
        <f t="shared" ca="1" si="18"/>
        <v>#REF!</v>
      </c>
      <c r="T15" s="485"/>
      <c r="U15" s="485"/>
      <c r="V15" s="485"/>
      <c r="W15" s="485"/>
      <c r="X15" s="485"/>
      <c r="Y15" s="498"/>
      <c r="Z15" s="498"/>
      <c r="AA15" s="1484"/>
      <c r="AB15" s="1484"/>
      <c r="AC15" s="1484"/>
      <c r="AD15" s="1438"/>
      <c r="AE15" s="1111" t="s">
        <v>201</v>
      </c>
      <c r="AF15" s="257" t="e">
        <f t="shared" ca="1" si="36"/>
        <v>#REF!</v>
      </c>
      <c r="AG15" s="257" t="e">
        <f t="shared" ca="1" si="4"/>
        <v>#REF!</v>
      </c>
      <c r="AH15" s="257" t="e">
        <f t="shared" ca="1" si="5"/>
        <v>#REF!</v>
      </c>
      <c r="AI15" s="257" t="e">
        <f t="shared" ca="1" si="6"/>
        <v>#REF!</v>
      </c>
      <c r="AJ15" s="1134" t="e">
        <f ca="1">IF(Objectifs!C17=0,'Bilan territorial'!M15,IF(Objectifs!C17&lt;'Bilan territorial'!Q15,'Bilan territorial'!F15*(1+Objectifs!C17),'Bilan territorial'!M15))</f>
        <v>#REF!</v>
      </c>
      <c r="AK15" s="1135"/>
      <c r="AL15" s="1111" t="s">
        <v>201</v>
      </c>
      <c r="AM15" s="257" t="e">
        <f ca="1">AF15+SUM(BJ15:BK15)</f>
        <v>#REF!</v>
      </c>
      <c r="AN15" s="257" t="e">
        <f ca="1">AG15-BK15-BN15+BO15-BR15</f>
        <v>#REF!</v>
      </c>
      <c r="AO15" s="257" t="e">
        <f ca="1">AH15-BJ15-BM15-BO15-BQ15</f>
        <v>#REF!</v>
      </c>
      <c r="AP15" s="257" t="e">
        <f ca="1">AI15+SUM(BM15:BN15)</f>
        <v>#REF!</v>
      </c>
      <c r="AQ15" s="1134" t="e">
        <f t="shared" ca="1" si="21"/>
        <v>#REF!</v>
      </c>
      <c r="AR15" s="600" t="e">
        <f ca="1">(Objectifs!C28+Objectifs!C33+Objectifs!C43+Objectifs!C37)*'Bilan territorial'!AH15</f>
        <v>#REF!</v>
      </c>
      <c r="AS15" s="1135" t="e">
        <f ca="1">(Objectifs!C28+Objectifs!C33+Objectifs!C37)*AG15</f>
        <v>#REF!</v>
      </c>
      <c r="AT15" s="1736" t="e">
        <f t="shared" ca="1" si="7"/>
        <v>#REF!</v>
      </c>
      <c r="AU15" s="600">
        <v>28</v>
      </c>
      <c r="AV15" s="600">
        <v>33</v>
      </c>
      <c r="AW15" s="600">
        <v>39</v>
      </c>
      <c r="AX15" s="1136">
        <f>Objectifs!$C28</f>
        <v>0</v>
      </c>
      <c r="AY15" s="1136">
        <f>Objectifs!$C33</f>
        <v>0</v>
      </c>
      <c r="AZ15" s="1136">
        <f>Objectifs!$C43</f>
        <v>0</v>
      </c>
      <c r="BA15" s="1136">
        <f>Objectifs!C37</f>
        <v>0</v>
      </c>
      <c r="BB15" s="1137" t="e">
        <f ca="1">IF(AR15&gt;AH15,$AX15/SUM($AX15:$BA15),$AX15)</f>
        <v>#REF!</v>
      </c>
      <c r="BC15" s="1137" t="e">
        <f ca="1">IF(AS15&gt;AG15,$AX15/SUM($AX15:$BA15),$AX15)</f>
        <v>#REF!</v>
      </c>
      <c r="BD15" s="1137" t="e">
        <f ca="1">IF(AR15&gt;AH15,$AY15/SUM($AX15:$BA15),$AY15)</f>
        <v>#REF!</v>
      </c>
      <c r="BE15" s="1137" t="e">
        <f ca="1">IF(AS15&gt;AG15,$AY15/SUM($AX15:$BA15),$AY15)</f>
        <v>#REF!</v>
      </c>
      <c r="BF15" s="1137" t="e">
        <f ca="1">IF(AR15&gt;AH15,$AZ15/SUM($AX15:$BA15),$AZ15)</f>
        <v>#REF!</v>
      </c>
      <c r="BG15" s="1137" t="e">
        <f t="shared" ca="1" si="37"/>
        <v>#REF!</v>
      </c>
      <c r="BH15" s="1137" t="e">
        <f t="shared" ca="1" si="38"/>
        <v>#REF!</v>
      </c>
      <c r="BI15" s="1138"/>
      <c r="BJ15" s="1139" t="e">
        <f t="shared" ca="1" si="28"/>
        <v>#REF!</v>
      </c>
      <c r="BK15" s="1139" t="e">
        <f t="shared" ca="1" si="29"/>
        <v>#REF!</v>
      </c>
      <c r="BL15" s="1139"/>
      <c r="BM15" s="1139" t="e">
        <f t="shared" ca="1" si="30"/>
        <v>#REF!</v>
      </c>
      <c r="BN15" s="1139" t="e">
        <f ca="1">$AG15*BE15</f>
        <v>#REF!</v>
      </c>
      <c r="BO15" s="1139" t="e">
        <f t="shared" ca="1" si="31"/>
        <v>#REF!</v>
      </c>
      <c r="BP15" s="1139"/>
      <c r="BQ15" s="1139" t="e">
        <f t="shared" ca="1" si="39"/>
        <v>#REF!</v>
      </c>
      <c r="BR15" s="1139" t="e">
        <f t="shared" ca="1" si="40"/>
        <v>#REF!</v>
      </c>
      <c r="BS15" s="600"/>
      <c r="BT15" s="1140" t="e">
        <f ca="1">BJ15*(AT33-IF(AO87&gt;0,K61,K61)*1000)</f>
        <v>#REF!</v>
      </c>
      <c r="BU15" s="1140" t="e">
        <f ca="1">BK15*(Hypothèses!$B$9-IF(AO87&gt;0,K61,K61))*1000</f>
        <v>#REF!</v>
      </c>
      <c r="BV15" s="1140"/>
      <c r="BW15" s="1140" t="e">
        <f ca="1">BM15*($AT33-Hypothèses!$B$17*1000)</f>
        <v>#REF!</v>
      </c>
      <c r="BX15" s="1140" t="e">
        <f ca="1">BN15*(Hypothèses!$B$3-Hypothèses!$B$17)*1000</f>
        <v>#REF!</v>
      </c>
      <c r="BY15" s="1139" t="e">
        <f ca="1">BO15*(K33/K15/1000-Hypothèses!$B$3)*1000</f>
        <v>#REF!</v>
      </c>
      <c r="BZ15" s="1139">
        <f>BP15*(Hypothèses!$B$18-Hypothèses!$B$9)*1000</f>
        <v>0</v>
      </c>
      <c r="CA15" s="1139" t="e">
        <f t="shared" ca="1" si="41"/>
        <v>#REF!</v>
      </c>
      <c r="CB15" s="1139" t="e">
        <f ca="1">BR15*'Hypothèses &amp; Méthodo'!$B$16*1000</f>
        <v>#REF!</v>
      </c>
      <c r="CC15" s="600"/>
      <c r="CD15" s="1111" t="s">
        <v>201</v>
      </c>
      <c r="CE15" s="257" t="e">
        <f t="shared" ca="1" si="22"/>
        <v>#REF!</v>
      </c>
      <c r="CF15" s="257" t="e">
        <f t="shared" ca="1" si="9"/>
        <v>#REF!</v>
      </c>
      <c r="CG15" s="257" t="e">
        <f t="shared" ca="1" si="10"/>
        <v>#REF!</v>
      </c>
      <c r="CH15" s="257" t="e">
        <f t="shared" ca="1" si="11"/>
        <v>#REF!</v>
      </c>
      <c r="CI15" s="1134" t="e">
        <f t="shared" ca="1" si="23"/>
        <v>#REF!</v>
      </c>
      <c r="CJ15" s="600">
        <v>23.555601231480018</v>
      </c>
      <c r="CK15" s="1111" t="s">
        <v>201</v>
      </c>
      <c r="CL15" s="257" t="e">
        <f t="shared" ca="1" si="32"/>
        <v>#REF!</v>
      </c>
      <c r="CM15" s="257" t="e">
        <f t="shared" ca="1" si="33"/>
        <v>#REF!</v>
      </c>
      <c r="CN15" s="257" t="e">
        <f t="shared" ca="1" si="34"/>
        <v>#REF!</v>
      </c>
      <c r="CO15" s="257" t="e">
        <f t="shared" ca="1" si="35"/>
        <v>#REF!</v>
      </c>
      <c r="CP15" s="1134" t="e">
        <f t="shared" ca="1" si="25"/>
        <v>#REF!</v>
      </c>
      <c r="CQ15" s="1135"/>
      <c r="CR15" s="1111" t="s">
        <v>201</v>
      </c>
      <c r="CS15" s="257" t="e">
        <f t="shared" ca="1" si="26"/>
        <v>#REF!</v>
      </c>
      <c r="CT15" s="257" t="e">
        <f t="shared" ca="1" si="12"/>
        <v>#REF!</v>
      </c>
      <c r="CU15" s="257" t="e">
        <f t="shared" ca="1" si="13"/>
        <v>#REF!</v>
      </c>
      <c r="CV15" s="257" t="e">
        <f t="shared" ca="1" si="14"/>
        <v>#REF!</v>
      </c>
      <c r="CW15" s="1134" t="e">
        <f t="shared" ca="1" si="27"/>
        <v>#REF!</v>
      </c>
      <c r="CX15" s="600"/>
      <c r="CY15" s="600"/>
      <c r="CZ15" s="600"/>
      <c r="DA15" s="1111" t="s">
        <v>201</v>
      </c>
      <c r="DB15" s="257" t="e">
        <f ca="1">SUMIFS(INDIRECT("TabINPUT["&amp;$DA$9&amp;"]"),TabINPUT[SECTEUR1],$A15,TabINPUT[VECTEUR],DB$10)</f>
        <v>#REF!</v>
      </c>
      <c r="DC15" s="257" t="e">
        <f ca="1">SUMIFS(INDIRECT("TabINPUT["&amp;$DA$9&amp;"]"),TabINPUT[SECTEUR1],$A15,TabINPUT[VECTEUR],DC$10)*IF($B$4="Réel",1,HLOOKUP(DA9,Hypothèses!$A$25:$AA$28,3,0))</f>
        <v>#REF!</v>
      </c>
      <c r="DD15" s="257" t="e">
        <f ca="1">SUMIFS(INDIRECT("TabINPUT["&amp;$DA$9&amp;"]"),TabINPUT[SECTEUR1],$A15,TabINPUT[VECTEUR],DD$10)*IF($B$4="Réel",1,HLOOKUP(DA9,Hypothèses!$A$25:$AA$28,3,0))</f>
        <v>#REF!</v>
      </c>
      <c r="DE15" s="257" t="e">
        <f ca="1">(SUMIFS(INDIRECT("TabINPUT["&amp;$DA$9&amp;"]"),TabINPUT[SECTEUR1],$A15,TabINPUT[VECTEUR],DE$10)-SUMIFS(INDIRECT("TabINPUT["&amp;$DA$9&amp;"]"),TabINPUT[SECTEUR1],$A15,TabINPUT[VECTEUR],"Autres"))*IF($B$4="Réel",1,HLOOKUP(DA9,Hypothèses!$A$25:$AA$28,3,0))</f>
        <v>#REF!</v>
      </c>
      <c r="DF15" s="1134" t="e">
        <f t="shared" ca="1" si="15"/>
        <v>#REF!</v>
      </c>
      <c r="DG15" s="600"/>
      <c r="DH15" s="600"/>
      <c r="DI15" s="600"/>
      <c r="DJ15" s="600"/>
      <c r="DK15" s="600"/>
      <c r="DL15" s="600"/>
      <c r="DM15" s="600"/>
      <c r="DN15" s="600"/>
      <c r="DO15" s="600"/>
      <c r="DP15" s="600"/>
      <c r="DQ15" s="600"/>
      <c r="DR15" s="600"/>
      <c r="DS15" s="600"/>
      <c r="DT15" s="600"/>
      <c r="DU15" s="600"/>
      <c r="DV15" s="600"/>
      <c r="DW15" s="600"/>
      <c r="DX15" s="600"/>
      <c r="DY15" s="600"/>
      <c r="DZ15" s="600"/>
      <c r="EA15" s="600"/>
      <c r="EB15" s="600"/>
      <c r="EC15" s="600"/>
      <c r="ED15" s="600"/>
      <c r="EE15" s="600"/>
      <c r="EF15" s="600"/>
      <c r="EG15" s="600"/>
      <c r="EH15" s="600"/>
      <c r="EI15" s="600"/>
      <c r="EJ15" s="600"/>
      <c r="EK15" s="600"/>
      <c r="EL15" s="600"/>
      <c r="EM15" s="600"/>
      <c r="EN15" s="600"/>
      <c r="EO15" s="600"/>
      <c r="EP15" s="600"/>
      <c r="EQ15" s="600"/>
      <c r="ER15" s="600"/>
      <c r="ES15" s="600"/>
      <c r="ET15" s="600"/>
      <c r="EU15" s="600"/>
      <c r="EV15" s="600"/>
      <c r="EW15" s="600"/>
      <c r="EX15" s="600"/>
      <c r="EY15" s="600"/>
      <c r="EZ15" s="600"/>
    </row>
    <row r="16" spans="1:156">
      <c r="A16" s="1111" t="s">
        <v>202</v>
      </c>
      <c r="B16" s="257">
        <f ca="1">SUMIFS(INDIRECT("TabINPUT["&amp;$A$9&amp;"]"),TabINPUT[SECTEUR1],$A16,TabINPUT[VECTEUR],B$10)</f>
        <v>0</v>
      </c>
      <c r="C16" s="257">
        <f ca="1">SUMIFS(INDIRECT("TabINPUT["&amp;$A$9&amp;"]"),TabINPUT[SECTEUR1],$A16,TabINPUT[VECTEUR],C$10)</f>
        <v>0</v>
      </c>
      <c r="D16" s="257">
        <f ca="1">SUMIFS(INDIRECT("TabINPUT["&amp;$A$9&amp;"]"),TabINPUT[SECTEUR1],$A16,TabINPUT[VECTEUR],D$10)-E16</f>
        <v>0</v>
      </c>
      <c r="E16" s="257">
        <f ca="1">SUMIFS(INDIRECT("TabINPUT["&amp;$A$9&amp;"]"),TabINPUT[SECTEUR1],$A16,TabINPUT[VECTEUR],"Bioethanol")</f>
        <v>0</v>
      </c>
      <c r="F16" s="1134">
        <f t="shared" ca="1" si="0"/>
        <v>0</v>
      </c>
      <c r="G16" s="70"/>
      <c r="H16" s="1111" t="s">
        <v>202</v>
      </c>
      <c r="I16" s="257" t="e">
        <f ca="1">SUMIFS(INDIRECT("TabINPUT["&amp;$H$9&amp;"]"),TabINPUT[SECTEUR1],$A16,TabINPUT[VECTEUR],I$10)</f>
        <v>#REF!</v>
      </c>
      <c r="J16" s="257" t="e">
        <f ca="1">SUMIFS(INDIRECT("TabINPUT["&amp;$H$9&amp;"]"),TabINPUT[SECTEUR1],$A16,TabINPUT[VECTEUR],J$10)</f>
        <v>#REF!</v>
      </c>
      <c r="K16" s="257" t="e">
        <f ca="1">SUMIFS(INDIRECT("TabINPUT["&amp;$H$9&amp;"]"),TabINPUT[SECTEUR1],$A16,TabINPUT[VECTEUR],K$10)-L16</f>
        <v>#REF!</v>
      </c>
      <c r="L16" s="257" t="e">
        <f ca="1">SUMIFS(INDIRECT("TabINPUT["&amp;$H$9&amp;"]"),TabINPUT[SECTEUR1],$A16,TabINPUT[VECTEUR],"Bioethanol")</f>
        <v>#REF!</v>
      </c>
      <c r="M16" s="1134" t="e">
        <f t="shared" ca="1" si="1"/>
        <v>#REF!</v>
      </c>
      <c r="N16" s="70"/>
      <c r="O16" s="477" t="e">
        <f t="shared" ca="1" si="2"/>
        <v>#DIV/0!</v>
      </c>
      <c r="P16" s="477" t="e">
        <f t="shared" ca="1" si="3"/>
        <v>#REF!</v>
      </c>
      <c r="Q16" s="477" t="e">
        <f t="shared" ca="1" si="16"/>
        <v>#REF!</v>
      </c>
      <c r="R16" s="458" t="e">
        <f t="shared" ca="1" si="17"/>
        <v>#REF!</v>
      </c>
      <c r="S16" s="458" t="e">
        <f t="shared" ca="1" si="18"/>
        <v>#REF!</v>
      </c>
      <c r="T16" s="485"/>
      <c r="U16" s="485"/>
      <c r="V16" s="485"/>
      <c r="W16" s="485"/>
      <c r="X16" s="485"/>
      <c r="Y16" s="498"/>
      <c r="Z16" s="498"/>
      <c r="AA16" s="1484"/>
      <c r="AB16" s="1484"/>
      <c r="AC16" s="1484"/>
      <c r="AD16" s="1438"/>
      <c r="AE16" s="1111" t="s">
        <v>202</v>
      </c>
      <c r="AF16" s="257" t="e">
        <f t="shared" ca="1" si="36"/>
        <v>#REF!</v>
      </c>
      <c r="AG16" s="257" t="e">
        <f t="shared" ca="1" si="4"/>
        <v>#REF!</v>
      </c>
      <c r="AH16" s="257" t="e">
        <f t="shared" ca="1" si="5"/>
        <v>#REF!</v>
      </c>
      <c r="AI16" s="257" t="e">
        <f t="shared" ca="1" si="6"/>
        <v>#REF!</v>
      </c>
      <c r="AJ16" s="1134" t="e">
        <f ca="1">IF(Objectifs!C18=0,'Bilan territorial'!M16,IF(Objectifs!C18&lt;'Bilan territorial'!Q16,'Bilan territorial'!F16*(1+Objectifs!C18),'Bilan territorial'!M16))</f>
        <v>#REF!</v>
      </c>
      <c r="AK16" s="1135"/>
      <c r="AL16" s="1111" t="s">
        <v>202</v>
      </c>
      <c r="AM16" s="257" t="e">
        <f ca="1">AF16+SUM(BJ16:BK16)</f>
        <v>#REF!</v>
      </c>
      <c r="AN16" s="257" t="e">
        <f ca="1">AG16-BK16-BN16+BO16</f>
        <v>#REF!</v>
      </c>
      <c r="AO16" s="257" t="e">
        <f ca="1">AH16-BJ16-BM16-BO16</f>
        <v>#REF!</v>
      </c>
      <c r="AP16" s="257" t="e">
        <f t="shared" ref="AP16" ca="1" si="42">AI16+SUM(BM16:BN16)</f>
        <v>#REF!</v>
      </c>
      <c r="AQ16" s="1134" t="e">
        <f t="shared" ca="1" si="21"/>
        <v>#REF!</v>
      </c>
      <c r="AR16" s="600"/>
      <c r="AS16" s="1135"/>
      <c r="AT16" s="1736" t="e">
        <f t="shared" ca="1" si="7"/>
        <v>#REF!</v>
      </c>
      <c r="AU16" s="600"/>
      <c r="AV16" s="600"/>
      <c r="AW16" s="600"/>
      <c r="AX16" s="1136"/>
      <c r="AY16" s="1136"/>
      <c r="AZ16" s="1136"/>
      <c r="BA16" s="1136"/>
      <c r="BB16" s="1137"/>
      <c r="BC16" s="1137"/>
      <c r="BD16" s="1137"/>
      <c r="BE16" s="1137"/>
      <c r="BF16" s="1137"/>
      <c r="BG16" s="1137"/>
      <c r="BH16" s="1137"/>
      <c r="BI16" s="1138"/>
      <c r="BJ16" s="1137"/>
      <c r="BK16" s="1137"/>
      <c r="BL16" s="1137"/>
      <c r="BM16" s="1137"/>
      <c r="BN16" s="1137"/>
      <c r="BO16" s="1137"/>
      <c r="BP16" s="1137"/>
      <c r="BQ16" s="1137"/>
      <c r="BR16" s="1137"/>
      <c r="BS16" s="600"/>
      <c r="BT16" s="1140" t="e">
        <f t="shared" ref="BT16:BT19" ca="1" si="43">BJ16*(AT34-$AO$61*1000)</f>
        <v>#REF!</v>
      </c>
      <c r="BU16" s="1140" t="e">
        <f ca="1">BK16*(Hypothèses!$B$9-$AO$61)*1000</f>
        <v>#REF!</v>
      </c>
      <c r="BV16" s="1140"/>
      <c r="BW16" s="1140" t="e">
        <f ca="1">BM16*($AT34-Hypothèses!$B$17*1000)</f>
        <v>#REF!</v>
      </c>
      <c r="BX16" s="1140">
        <f>BN16*(Hypothèses!$B$3-Hypothèses!$B$17)*1000</f>
        <v>0</v>
      </c>
      <c r="BY16" s="1139" t="e">
        <f ca="1">BO16*(K34/K16/1000-Hypothèses!$B$3)*1000</f>
        <v>#REF!</v>
      </c>
      <c r="BZ16" s="1139">
        <f>BP16*(Hypothèses!$B$18-Hypothèses!$B$9)*1000</f>
        <v>0</v>
      </c>
      <c r="CA16" s="1137"/>
      <c r="CB16" s="1137"/>
      <c r="CC16" s="600"/>
      <c r="CD16" s="1111" t="s">
        <v>202</v>
      </c>
      <c r="CE16" s="257" t="e">
        <f t="shared" ca="1" si="22"/>
        <v>#REF!</v>
      </c>
      <c r="CF16" s="257" t="e">
        <f t="shared" ca="1" si="9"/>
        <v>#REF!</v>
      </c>
      <c r="CG16" s="257" t="e">
        <f t="shared" ca="1" si="10"/>
        <v>#REF!</v>
      </c>
      <c r="CH16" s="257" t="e">
        <f t="shared" ca="1" si="11"/>
        <v>#REF!</v>
      </c>
      <c r="CI16" s="1134" t="e">
        <f t="shared" ca="1" si="23"/>
        <v>#REF!</v>
      </c>
      <c r="CJ16" s="600">
        <v>0</v>
      </c>
      <c r="CK16" s="1111" t="s">
        <v>202</v>
      </c>
      <c r="CL16" s="257" t="e">
        <f t="shared" ca="1" si="32"/>
        <v>#REF!</v>
      </c>
      <c r="CM16" s="257" t="e">
        <f ca="1">J16-BK16</f>
        <v>#REF!</v>
      </c>
      <c r="CN16" s="257" t="e">
        <f t="shared" ca="1" si="34"/>
        <v>#REF!</v>
      </c>
      <c r="CO16" s="257" t="e">
        <f t="shared" ca="1" si="35"/>
        <v>#REF!</v>
      </c>
      <c r="CP16" s="1134" t="e">
        <f t="shared" ca="1" si="25"/>
        <v>#REF!</v>
      </c>
      <c r="CQ16" s="1135"/>
      <c r="CR16" s="1111" t="s">
        <v>202</v>
      </c>
      <c r="CS16" s="257" t="e">
        <f t="shared" ca="1" si="26"/>
        <v>#REF!</v>
      </c>
      <c r="CT16" s="257" t="e">
        <f t="shared" ca="1" si="12"/>
        <v>#REF!</v>
      </c>
      <c r="CU16" s="257" t="e">
        <f t="shared" ca="1" si="13"/>
        <v>#REF!</v>
      </c>
      <c r="CV16" s="257" t="e">
        <f t="shared" ca="1" si="14"/>
        <v>#REF!</v>
      </c>
      <c r="CW16" s="1134" t="e">
        <f t="shared" ca="1" si="27"/>
        <v>#REF!</v>
      </c>
      <c r="CX16" s="600"/>
      <c r="CY16" s="600"/>
      <c r="CZ16" s="600"/>
      <c r="DA16" s="1111" t="s">
        <v>202</v>
      </c>
      <c r="DB16" s="257" t="e">
        <f ca="1">SUMIFS(INDIRECT("TabINPUT["&amp;$DA$9&amp;"]"),TabINPUT[SECTEUR1],$A16,TabINPUT[VECTEUR],DB$10)</f>
        <v>#REF!</v>
      </c>
      <c r="DC16" s="257" t="e">
        <f ca="1">SUMIFS(INDIRECT("TabINPUT["&amp;$DA$9&amp;"]"),TabINPUT[SECTEUR1],$A16,TabINPUT[VECTEUR],DC$10)</f>
        <v>#REF!</v>
      </c>
      <c r="DD16" s="257" t="e">
        <f ca="1">SUMIFS(INDIRECT("TabINPUT["&amp;$DA$9&amp;"]"),TabINPUT[SECTEUR1],$A16,TabINPUT[VECTEUR],DD$10)-DE16</f>
        <v>#REF!</v>
      </c>
      <c r="DE16" s="257" t="e">
        <f ca="1">SUMIFS(INDIRECT("TabINPUT["&amp;$DA$9&amp;"]"),TabINPUT[SECTEUR1],$A16,TabINPUT[VECTEUR],"Bioethanol")</f>
        <v>#REF!</v>
      </c>
      <c r="DF16" s="1134" t="e">
        <f t="shared" ca="1" si="15"/>
        <v>#REF!</v>
      </c>
      <c r="DG16" s="600"/>
      <c r="DH16" s="600"/>
      <c r="DI16" s="600"/>
      <c r="DJ16" s="600"/>
      <c r="DK16" s="600"/>
      <c r="DL16" s="600"/>
      <c r="DM16" s="600"/>
      <c r="DN16" s="600"/>
      <c r="DO16" s="600"/>
      <c r="DP16" s="600"/>
      <c r="DQ16" s="600"/>
      <c r="DR16" s="600"/>
      <c r="DS16" s="600"/>
      <c r="DT16" s="600"/>
      <c r="DU16" s="600"/>
      <c r="DV16" s="600"/>
      <c r="DW16" s="600"/>
      <c r="DX16" s="600"/>
      <c r="DY16" s="600"/>
      <c r="DZ16" s="600"/>
      <c r="EA16" s="600"/>
      <c r="EB16" s="600"/>
      <c r="EC16" s="600"/>
      <c r="ED16" s="600"/>
      <c r="EE16" s="600"/>
      <c r="EF16" s="600"/>
      <c r="EG16" s="600"/>
      <c r="EH16" s="600"/>
      <c r="EI16" s="600"/>
      <c r="EJ16" s="600"/>
      <c r="EK16" s="600"/>
      <c r="EL16" s="600"/>
      <c r="EM16" s="600"/>
      <c r="EN16" s="600"/>
      <c r="EO16" s="600"/>
      <c r="EP16" s="600"/>
      <c r="EQ16" s="600"/>
      <c r="ER16" s="600"/>
      <c r="ES16" s="600"/>
      <c r="ET16" s="600"/>
      <c r="EU16" s="600"/>
      <c r="EV16" s="600"/>
      <c r="EW16" s="600"/>
      <c r="EX16" s="600"/>
      <c r="EY16" s="600"/>
      <c r="EZ16" s="600"/>
    </row>
    <row r="17" spans="1:156">
      <c r="A17" s="1111" t="s">
        <v>203</v>
      </c>
      <c r="B17" s="257">
        <f ca="1">IF(SUMIFS(INDIRECT("TabINPUT["&amp;$A$9&amp;"]"),TabINPUT[SECTEUR1],$A17,TabINPUT[VECTEUR],B$10,TabINPUT[SECTEUR2],"tous")&lt;B18,B18,SUMIFS(INDIRECT("TabINPUT["&amp;$A$9&amp;"]"),TabINPUT[SECTEUR1],$A17,TabINPUT[VECTEUR],B$10,TabINPUT[SECTEUR2],"tous"))</f>
        <v>0</v>
      </c>
      <c r="C17" s="257">
        <f ca="1">IF(SUMIFS(INDIRECT("TabINPUT["&amp;$A$9&amp;"]"),TabINPUT[SECTEUR1],$A17,TabINPUT[VECTEUR],C$10,TabINPUT[SECTEUR2],"tous")-SUMIFS(INDIRECT("TabINPUT["&amp;$A$9&amp;"]"),TabINPUT[SECTEUR1],$A17,TabINPUT[VECTEUR],C$10,TabINPUT[SECTEUR2],"routier",TabINPUT[SECTEUR3],"Autoroute")*(1-B6)&lt;C18,C18,SUMIFS(INDIRECT("TabINPUT["&amp;$A$9&amp;"]"),TabINPUT[SECTEUR1],$A17,TabINPUT[VECTEUR],C$10,TabINPUT[SECTEUR2],"tous")-SUMIFS(INDIRECT("TabINPUT["&amp;$A$9&amp;"]"),TabINPUT[SECTEUR1],$A17,TabINPUT[VECTEUR],C$10,TabINPUT[SECTEUR2],"routier",TabINPUT[SECTEUR3],"Autoroute")*(1-B6))</f>
        <v>0</v>
      </c>
      <c r="D17" s="257">
        <f ca="1">SUMIFS(INDIRECT("TabINPUT["&amp;$A$9&amp;"]"),TabINPUT[SECTEUR1],$A17,TabINPUT[VECTEUR],D$10,TabINPUT[SECTEUR2],"tous")-(1-$B$6)*(SUMIFS(INDIRECT("TabINPUT["&amp;$A$9&amp;"]"),TabINPUT[SECTEUR1],$A17,TabINPUT[SECTEUR3],"autoroute"))-SUMIFS(INDIRECT("TabINPUT["&amp;$A$9&amp;"]"),TabINPUT[SECTEUR1],$A17,TabINPUT[VECTEUR],D$10,TabINPUT[SECTEUR2],"AERIEN")-SUMIFS(INDIRECT("TabINPUT["&amp;$A$9&amp;"]"),TabINPUT[SECTEUR1],$A17,TabINPUT[VECTEUR],D$10,TabINPUT[SECTEUR2],"FLUVIAL")</f>
        <v>0</v>
      </c>
      <c r="E17" s="257">
        <f ca="1">SUMIFS(INDIRECT("TabINPUT["&amp;$A$9&amp;"]"),TabINPUT[SECTEUR1],$A17,TabINPUT[VECTEUR],"biocarburants")-(1-$B$6)*SUMIFS(INDIRECT("TabINPUT["&amp;$A$9&amp;"]"),TabINPUT[SECTEUR1],$A17,TabINPUT[VECTEUR],"biocarburants",TabINPUT[SECTEUR3],"Autoroute")</f>
        <v>0</v>
      </c>
      <c r="F17" s="1134">
        <f t="shared" ca="1" si="0"/>
        <v>0</v>
      </c>
      <c r="G17" s="70"/>
      <c r="H17" s="1111" t="s">
        <v>203</v>
      </c>
      <c r="I17" s="257" t="e">
        <f ca="1">IF(SUMIFS(INDIRECT("TabINPUT["&amp;$H$9&amp;"]"),TabINPUT[SECTEUR1],$A17,TabINPUT[VECTEUR],I$10,TabINPUT[SECTEUR2],"tous")&lt;I18,I18,SUMIFS(INDIRECT("TabINPUT["&amp;$H$9&amp;"]"),TabINPUT[SECTEUR1],$A17,TabINPUT[VECTEUR],I$10,TabINPUT[SECTEUR2],"tous"))</f>
        <v>#REF!</v>
      </c>
      <c r="J17" s="257" t="e">
        <f ca="1">IF(SUMIFS(INDIRECT("TabINPUT["&amp;$H$9&amp;"]"),TabINPUT[SECTEUR1],$A17,TabINPUT[VECTEUR],J$10,TabINPUT[SECTEUR2],"tous")&lt;J18,J18,SUMIFS(INDIRECT("TabINPUT["&amp;$H$9&amp;"]"),TabINPUT[SECTEUR1],$A17,TabINPUT[VECTEUR],J$10,TabINPUT[SECTEUR2],"tous"))</f>
        <v>#REF!</v>
      </c>
      <c r="K17" s="257" t="e">
        <f ca="1">SUMIFS(INDIRECT("TabINPUT["&amp;$H$9&amp;"]"),TabINPUT[SECTEUR1],$A17,TabINPUT[VECTEUR],K$10,TabINPUT[SECTEUR2],"tous")-L17-(1-$B$6)*SUMIFS(INDIRECT("TabINPUT["&amp;$H$9&amp;"]"),TabINPUT[SECTEUR1],$A17,TabINPUT[SECTEUR3],"autoroute")-SUMIFS(INDIRECT("TabINPUT["&amp;$H$9&amp;"]"),TabINPUT[SECTEUR1],$A17,TabINPUT[VECTEUR],D$10,TabINPUT[SECTEUR2],"AERIEN")-SUMIFS(INDIRECT("TabINPUT["&amp;$H$9&amp;"]"),TabINPUT[SECTEUR1],$A17,TabINPUT[VECTEUR],D$10,TabINPUT[SECTEUR2],"FLUVIAL")</f>
        <v>#REF!</v>
      </c>
      <c r="L17" s="257" t="e">
        <f ca="1">SUMIFS(INDIRECT("TabINPUT["&amp;$H$9&amp;"]"),TabINPUT[SECTEUR1],$A17,TabINPUT[VECTEUR],"biocarburants")-(1-$B$6)*SUMIFS(INDIRECT("TabINPUT["&amp;$H$9&amp;"]"),TabINPUT[SECTEUR1],$A17,TabINPUT[VECTEUR],"biocarburants",TabINPUT[SECTEUR3],"Autoroute")</f>
        <v>#REF!</v>
      </c>
      <c r="M17" s="1134" t="e">
        <f t="shared" ca="1" si="1"/>
        <v>#REF!</v>
      </c>
      <c r="N17" s="70"/>
      <c r="O17" s="477" t="e">
        <f t="shared" ca="1" si="2"/>
        <v>#DIV/0!</v>
      </c>
      <c r="P17" s="477" t="e">
        <f t="shared" ca="1" si="3"/>
        <v>#REF!</v>
      </c>
      <c r="Q17" s="477" t="e">
        <f t="shared" ca="1" si="16"/>
        <v>#REF!</v>
      </c>
      <c r="R17" s="458" t="e">
        <f t="shared" ca="1" si="17"/>
        <v>#REF!</v>
      </c>
      <c r="S17" s="458" t="e">
        <f t="shared" ca="1" si="18"/>
        <v>#REF!</v>
      </c>
      <c r="T17" s="485"/>
      <c r="U17" s="485"/>
      <c r="V17" s="485"/>
      <c r="W17" s="485"/>
      <c r="X17" s="485"/>
      <c r="Y17" s="498"/>
      <c r="Z17" s="498"/>
      <c r="AA17" s="1484"/>
      <c r="AB17" s="1484"/>
      <c r="AC17" s="1484"/>
      <c r="AD17" s="1438"/>
      <c r="AE17" s="1111" t="s">
        <v>203</v>
      </c>
      <c r="AF17" s="257" t="e">
        <f ca="1">SUM(AF18:AF19)</f>
        <v>#REF!</v>
      </c>
      <c r="AG17" s="257" t="e">
        <f t="shared" ref="AG17:AI17" ca="1" si="44">SUM(AG18:AG19)</f>
        <v>#REF!</v>
      </c>
      <c r="AH17" s="257" t="e">
        <f t="shared" ca="1" si="44"/>
        <v>#REF!</v>
      </c>
      <c r="AI17" s="257" t="e">
        <f t="shared" ca="1" si="44"/>
        <v>#REF!</v>
      </c>
      <c r="AJ17" s="1134" t="e">
        <f ca="1">SUM(AJ18:AJ19)</f>
        <v>#REF!</v>
      </c>
      <c r="AK17" s="1143"/>
      <c r="AL17" s="1111" t="s">
        <v>203</v>
      </c>
      <c r="AM17" s="257" t="e">
        <f ca="1">SUM(AM18:AM19)</f>
        <v>#REF!</v>
      </c>
      <c r="AN17" s="257" t="e">
        <f t="shared" ref="AN17:AP17" ca="1" si="45">SUM(AN18:AN19)</f>
        <v>#REF!</v>
      </c>
      <c r="AO17" s="257" t="e">
        <f t="shared" ca="1" si="45"/>
        <v>#REF!</v>
      </c>
      <c r="AP17" s="257" t="e">
        <f t="shared" ca="1" si="45"/>
        <v>#REF!</v>
      </c>
      <c r="AQ17" s="1134" t="e">
        <f t="shared" ca="1" si="21"/>
        <v>#REF!</v>
      </c>
      <c r="AR17" s="600"/>
      <c r="AS17" s="1135"/>
      <c r="AT17" s="1736" t="e">
        <f t="shared" ca="1" si="7"/>
        <v>#REF!</v>
      </c>
      <c r="AU17" s="600"/>
      <c r="AV17" s="600"/>
      <c r="AW17" s="600"/>
      <c r="AX17" s="1136"/>
      <c r="AY17" s="1136"/>
      <c r="AZ17" s="1136"/>
      <c r="BA17" s="1136"/>
      <c r="BB17" s="1137"/>
      <c r="BC17" s="1137"/>
      <c r="BD17" s="1137"/>
      <c r="BE17" s="1137"/>
      <c r="BF17" s="1137"/>
      <c r="BG17" s="1137"/>
      <c r="BH17" s="1137"/>
      <c r="BI17" s="1138"/>
      <c r="BJ17" s="1137"/>
      <c r="BK17" s="1137"/>
      <c r="BL17" s="1137"/>
      <c r="BM17" s="1137"/>
      <c r="BN17" s="1137"/>
      <c r="BO17" s="1137"/>
      <c r="BP17" s="1137"/>
      <c r="BQ17" s="1137"/>
      <c r="BR17" s="1137"/>
      <c r="BS17" s="600"/>
      <c r="BT17" s="1140" t="e">
        <f t="shared" ca="1" si="43"/>
        <v>#REF!</v>
      </c>
      <c r="BU17" s="1140" t="e">
        <f ca="1">BK17*(Hypothèses!$B$9-$AO$61)*1000</f>
        <v>#REF!</v>
      </c>
      <c r="BV17" s="1140"/>
      <c r="BW17" s="1140">
        <f>BM17*($AT35-Hypothèses!$B$17*1000)</f>
        <v>0</v>
      </c>
      <c r="BX17" s="1140">
        <f>BN17*(Hypothèses!$B$3-Hypothèses!$B$17)*1000</f>
        <v>0</v>
      </c>
      <c r="BY17" s="1139" t="e">
        <f ca="1">BO17*(K35/K17/1000-Hypothèses!$B$3)*1000</f>
        <v>#REF!</v>
      </c>
      <c r="BZ17" s="1139">
        <f>BP17*(Hypothèses!$B$18-Hypothèses!$B$9)*1000</f>
        <v>0</v>
      </c>
      <c r="CA17" s="1137"/>
      <c r="CB17" s="1137"/>
      <c r="CC17" s="600"/>
      <c r="CD17" s="1111" t="s">
        <v>203</v>
      </c>
      <c r="CE17" s="257" t="e">
        <f t="shared" ca="1" si="22"/>
        <v>#REF!</v>
      </c>
      <c r="CF17" s="257" t="e">
        <f t="shared" ca="1" si="9"/>
        <v>#REF!</v>
      </c>
      <c r="CG17" s="257" t="e">
        <f t="shared" ca="1" si="10"/>
        <v>#REF!</v>
      </c>
      <c r="CH17" s="257" t="e">
        <f t="shared" ca="1" si="11"/>
        <v>#REF!</v>
      </c>
      <c r="CI17" s="1134" t="e">
        <f t="shared" ca="1" si="23"/>
        <v>#REF!</v>
      </c>
      <c r="CJ17" s="600">
        <v>0</v>
      </c>
      <c r="CK17" s="1111" t="s">
        <v>203</v>
      </c>
      <c r="CL17" s="257" t="e">
        <f ca="1">SUM(CL18:CL19)</f>
        <v>#REF!</v>
      </c>
      <c r="CM17" s="257" t="e">
        <f t="shared" ref="CM17:CO17" ca="1" si="46">SUM(CM18:CM19)</f>
        <v>#REF!</v>
      </c>
      <c r="CN17" s="257" t="e">
        <f t="shared" ca="1" si="46"/>
        <v>#REF!</v>
      </c>
      <c r="CO17" s="257" t="e">
        <f t="shared" ca="1" si="46"/>
        <v>#REF!</v>
      </c>
      <c r="CP17" s="1134" t="e">
        <f t="shared" ca="1" si="25"/>
        <v>#REF!</v>
      </c>
      <c r="CQ17" s="1135"/>
      <c r="CR17" s="1111" t="s">
        <v>203</v>
      </c>
      <c r="CS17" s="257" t="e">
        <f t="shared" ca="1" si="26"/>
        <v>#REF!</v>
      </c>
      <c r="CT17" s="257" t="e">
        <f t="shared" ca="1" si="12"/>
        <v>#REF!</v>
      </c>
      <c r="CU17" s="257" t="e">
        <f t="shared" ca="1" si="13"/>
        <v>#REF!</v>
      </c>
      <c r="CV17" s="257" t="e">
        <f t="shared" ca="1" si="14"/>
        <v>#REF!</v>
      </c>
      <c r="CW17" s="1134" t="e">
        <f t="shared" ca="1" si="27"/>
        <v>#REF!</v>
      </c>
      <c r="CX17" s="600"/>
      <c r="CY17" s="600"/>
      <c r="CZ17" s="600"/>
      <c r="DA17" s="1111" t="s">
        <v>203</v>
      </c>
      <c r="DB17" s="257" t="e">
        <f ca="1">IF(SUMIFS(INDIRECT("TabINPUT["&amp;$DA$9&amp;"]"),TabINPUT[SECTEUR1],$A17,TabINPUT[VECTEUR],DB$10,TabINPUT[SECTEUR2],"tous")&lt;DB18,DB18,SUMIFS(INDIRECT("TabINPUT["&amp;$DA$9&amp;"]"),TabINPUT[SECTEUR1],$A17,TabINPUT[VECTEUR],DB$10,TabINPUT[SECTEUR2],"tous"))</f>
        <v>#REF!</v>
      </c>
      <c r="DC17" s="257" t="e">
        <f ca="1">IF(SUMIFS(INDIRECT("TabINPUT["&amp;$DA$9&amp;"]"),TabINPUT[SECTEUR1],$A17,TabINPUT[VECTEUR],DC$10,TabINPUT[SECTEUR2],"tous")&lt;DC18,DC18,SUMIFS(INDIRECT("TabINPUT["&amp;$DA$9&amp;"]"),TabINPUT[SECTEUR1],$A17,TabINPUT[VECTEUR],DC$10,TabINPUT[SECTEUR2],"tous"))</f>
        <v>#REF!</v>
      </c>
      <c r="DD17" s="257" t="e">
        <f ca="1">SUMIFS(INDIRECT("TabINPUT["&amp;$DA$9&amp;"]"),TabINPUT[SECTEUR1],$A17,TabINPUT[VECTEUR],DD$10,TabINPUT[SECTEUR2],"tous")-DE17-(1-$B$6)*SUMIFS(INDIRECT("TabINPUT["&amp;$DA$9&amp;"]"),TabINPUT[SECTEUR1],$A17,TabINPUT[SECTEUR3],"autoroute")-SUMIFS(INDIRECT("TabINPUT["&amp;$DA$9&amp;"]"),TabINPUT[SECTEUR1],$A17,TabINPUT[VECTEUR],DD$10,TabINPUT[SECTEUR2],"AERIEN")-SUMIFS(INDIRECT("TabINPUT["&amp;$DA$9&amp;"]"),TabINPUT[SECTEUR1],$A17,TabINPUT[VECTEUR],DD$10,TabINPUT[SECTEUR2],"FLUVIAL")</f>
        <v>#REF!</v>
      </c>
      <c r="DE17" s="257" t="e">
        <f ca="1">SUMIFS(INDIRECT("TabINPUT["&amp;$DA$9&amp;"]"),TabINPUT[SECTEUR1],$A17,TabINPUT[VECTEUR],"biocarburants")-(1-$B$6)*SUMIFS(INDIRECT("TabINPUT["&amp;$DA$9&amp;"]"),TabINPUT[SECTEUR1],$A17,TabINPUT[VECTEUR],"biocarburants",TabINPUT[SECTEUR3],"Autoroute")</f>
        <v>#REF!</v>
      </c>
      <c r="DF17" s="1134" t="e">
        <f t="shared" ca="1" si="15"/>
        <v>#REF!</v>
      </c>
      <c r="DG17" s="600"/>
      <c r="DH17" s="600"/>
      <c r="DI17" s="600"/>
      <c r="DJ17" s="600"/>
      <c r="DK17" s="600"/>
      <c r="DL17" s="600"/>
      <c r="DM17" s="600"/>
      <c r="DN17" s="600"/>
      <c r="DO17" s="600"/>
      <c r="DP17" s="600"/>
      <c r="DQ17" s="600"/>
      <c r="DR17" s="600"/>
      <c r="DS17" s="600"/>
      <c r="DT17" s="600"/>
      <c r="DU17" s="600"/>
      <c r="DV17" s="600"/>
      <c r="DW17" s="600"/>
      <c r="DX17" s="600"/>
      <c r="DY17" s="600"/>
      <c r="DZ17" s="600"/>
      <c r="EA17" s="600"/>
      <c r="EB17" s="600"/>
      <c r="EC17" s="600"/>
      <c r="ED17" s="600"/>
      <c r="EE17" s="600"/>
      <c r="EF17" s="600"/>
      <c r="EG17" s="600"/>
      <c r="EH17" s="600"/>
      <c r="EI17" s="600"/>
      <c r="EJ17" s="600"/>
      <c r="EK17" s="600"/>
      <c r="EL17" s="600"/>
      <c r="EM17" s="600"/>
      <c r="EN17" s="600"/>
      <c r="EO17" s="600"/>
      <c r="EP17" s="600"/>
      <c r="EQ17" s="600"/>
      <c r="ER17" s="600"/>
      <c r="ES17" s="600"/>
      <c r="ET17" s="600"/>
      <c r="EU17" s="600"/>
      <c r="EV17" s="600"/>
      <c r="EW17" s="600"/>
      <c r="EX17" s="600"/>
      <c r="EY17" s="600"/>
      <c r="EZ17" s="600"/>
    </row>
    <row r="18" spans="1:156">
      <c r="A18" s="1141" t="s">
        <v>200</v>
      </c>
      <c r="B18" s="1142">
        <f ca="1">'Bilan patrimonial'!B12/1000000</f>
        <v>0</v>
      </c>
      <c r="C18" s="1142">
        <f ca="1">'Bilan patrimonial'!C12/1000000</f>
        <v>0</v>
      </c>
      <c r="D18" s="1142">
        <f ca="1">'Bilan patrimonial'!D12/1000000</f>
        <v>0</v>
      </c>
      <c r="E18" s="1142" t="e">
        <f ca="1">D18/D17*E17</f>
        <v>#DIV/0!</v>
      </c>
      <c r="F18" s="1142" t="e">
        <f t="shared" ca="1" si="0"/>
        <v>#DIV/0!</v>
      </c>
      <c r="G18" s="70"/>
      <c r="H18" s="1141" t="s">
        <v>200</v>
      </c>
      <c r="I18" s="1142" t="e">
        <f ca="1">'Bilan patrimonial'!I12/1000000</f>
        <v>#REF!</v>
      </c>
      <c r="J18" s="1142" t="e">
        <f ca="1">'Bilan patrimonial'!J12/1000000</f>
        <v>#REF!</v>
      </c>
      <c r="K18" s="1142" t="e">
        <f ca="1">'Bilan patrimonial'!K12/1000000</f>
        <v>#REF!</v>
      </c>
      <c r="L18" s="1142" t="e">
        <f ca="1">'Bilan patrimonial'!L12/1000000</f>
        <v>#REF!</v>
      </c>
      <c r="M18" s="1142" t="e">
        <f t="shared" ca="1" si="1"/>
        <v>#REF!</v>
      </c>
      <c r="N18" s="70"/>
      <c r="O18" s="477" t="e">
        <f t="shared" ca="1" si="2"/>
        <v>#DIV/0!</v>
      </c>
      <c r="P18" s="477" t="e">
        <f t="shared" ca="1" si="3"/>
        <v>#REF!</v>
      </c>
      <c r="Q18" s="477" t="e">
        <f t="shared" ca="1" si="16"/>
        <v>#DIV/0!</v>
      </c>
      <c r="R18" s="458" t="e">
        <f t="shared" ca="1" si="17"/>
        <v>#DIV/0!</v>
      </c>
      <c r="S18" s="458" t="e">
        <f t="shared" ca="1" si="18"/>
        <v>#DIV/0!</v>
      </c>
      <c r="T18" s="485"/>
      <c r="U18" s="485"/>
      <c r="V18" s="485"/>
      <c r="W18" s="485"/>
      <c r="X18" s="485"/>
      <c r="Y18" s="498"/>
      <c r="Z18" s="498"/>
      <c r="AA18" s="1484"/>
      <c r="AB18" s="1484"/>
      <c r="AC18" s="1484"/>
      <c r="AD18" s="1438"/>
      <c r="AE18" s="1141" t="s">
        <v>200</v>
      </c>
      <c r="AF18" s="1142" t="e">
        <f t="shared" ca="1" si="36"/>
        <v>#REF!</v>
      </c>
      <c r="AG18" s="1142" t="e">
        <f t="shared" ca="1" si="4"/>
        <v>#REF!</v>
      </c>
      <c r="AH18" s="1144" t="e">
        <f t="shared" ca="1" si="5"/>
        <v>#REF!</v>
      </c>
      <c r="AI18" s="1142" t="e">
        <f t="shared" ca="1" si="6"/>
        <v>#REF!</v>
      </c>
      <c r="AJ18" s="1134" t="e">
        <f ca="1">IF(Objectifs!C14=0,'Bilan territorial'!M18,IF(Objectifs!C14&lt;'Bilan territorial'!Q18,'Bilan territorial'!F18*(1+Objectifs!C14),'Bilan territorial'!M18))</f>
        <v>#REF!</v>
      </c>
      <c r="AK18" s="600"/>
      <c r="AL18" s="1141" t="s">
        <v>200</v>
      </c>
      <c r="AM18" s="257" t="e">
        <f ca="1">AF18+SUM(BJ18:BK18)</f>
        <v>#REF!</v>
      </c>
      <c r="AN18" s="257" t="e">
        <f ca="1">AG18-BK18-BN18+BO18+BP18</f>
        <v>#REF!</v>
      </c>
      <c r="AO18" s="1145" t="e">
        <f ca="1">AH18-BJ18-BM18-BO18</f>
        <v>#REF!</v>
      </c>
      <c r="AP18" s="257" t="e">
        <f ca="1">AI18-BL18-BP18</f>
        <v>#REF!</v>
      </c>
      <c r="AQ18" s="1134" t="e">
        <f t="shared" ca="1" si="21"/>
        <v>#REF!</v>
      </c>
      <c r="AR18" s="600" t="e">
        <f ca="1">(Objectifs!C25+Objectifs!C40)*'Bilan territorial'!AH18</f>
        <v>#REF!</v>
      </c>
      <c r="AS18" s="1135" t="e">
        <f ca="1">Objectifs!C25*AG18</f>
        <v>#REF!</v>
      </c>
      <c r="AT18" s="1736" t="e">
        <f t="shared" ca="1" si="7"/>
        <v>#REF!</v>
      </c>
      <c r="AU18" s="600">
        <v>25</v>
      </c>
      <c r="AV18" s="600"/>
      <c r="AW18" s="600">
        <v>36</v>
      </c>
      <c r="AX18" s="1136">
        <f>Objectifs!$C25</f>
        <v>0</v>
      </c>
      <c r="AY18" s="1136"/>
      <c r="AZ18" s="1136">
        <f>Objectifs!$C40</f>
        <v>0</v>
      </c>
      <c r="BA18" s="1136"/>
      <c r="BB18" s="1137" t="e">
        <f ca="1">IF(AR18&gt;AH18,$AX18/SUM($AX18:$AZ18),$AX18)</f>
        <v>#REF!</v>
      </c>
      <c r="BC18" s="1137" t="e">
        <f ca="1">IF(AS18&gt;AG18,$AX18/SUM($AX18:$AZ18),$AX18)</f>
        <v>#REF!</v>
      </c>
      <c r="BD18" s="1137" t="e">
        <f ca="1">IF(AR18&gt;AH18,$AY18/SUM($AX18:$AZ18),$AY18)</f>
        <v>#REF!</v>
      </c>
      <c r="BE18" s="1137" t="e">
        <f ca="1">IF(AS18&gt;AG18,$AY18/SUM($AX18:$AZ18),$AY18)</f>
        <v>#REF!</v>
      </c>
      <c r="BF18" s="1137" t="e">
        <f ca="1">IF(AR18&gt;AH18,$AZ18/SUM($AX18:$AZ18),$AZ18)</f>
        <v>#REF!</v>
      </c>
      <c r="BG18" s="1137"/>
      <c r="BH18" s="1137"/>
      <c r="BI18" s="1138"/>
      <c r="BJ18" s="1139" t="e">
        <f t="shared" ref="BJ18:BJ19" ca="1" si="47">$AH18*BB18</f>
        <v>#REF!</v>
      </c>
      <c r="BK18" s="1139" t="e">
        <f t="shared" ref="BK18:BK19" ca="1" si="48">$AG18*BB18</f>
        <v>#REF!</v>
      </c>
      <c r="BL18" s="1139" t="e">
        <f ca="1">IF($AH18=0,0,$AI18/$AH18*BJ18)</f>
        <v>#REF!</v>
      </c>
      <c r="BM18" s="1139" t="e">
        <f t="shared" ref="BM18:BM19" ca="1" si="49">$AH18*BD18</f>
        <v>#REF!</v>
      </c>
      <c r="BN18" s="1139" t="e">
        <f t="shared" ref="BN18:BN19" ca="1" si="50">$AG18*BD18</f>
        <v>#REF!</v>
      </c>
      <c r="BO18" s="1139" t="e">
        <f t="shared" ref="BO18:BO19" ca="1" si="51">$AH18*BF18</f>
        <v>#REF!</v>
      </c>
      <c r="BP18" s="1139" t="e">
        <f ca="1">IF($AH18=0,0,$AI18/$AH18*BO18)</f>
        <v>#REF!</v>
      </c>
      <c r="BQ18" s="1137"/>
      <c r="BR18" s="1137"/>
      <c r="BS18" s="600"/>
      <c r="BT18" s="1140" t="e">
        <f t="shared" ca="1" si="43"/>
        <v>#REF!</v>
      </c>
      <c r="BU18" s="1140" t="e">
        <f ca="1">BK18*(Hypothèses!$B$9-$AO$61)*1000</f>
        <v>#REF!</v>
      </c>
      <c r="BV18" s="1140" t="e">
        <f ca="1">IF($AH18=0,0,$AI18/$AH18*BT18)</f>
        <v>#REF!</v>
      </c>
      <c r="BW18" s="1140" t="e">
        <f ca="1">BM18*($AT36-Hypothèses!$B$17*1000)</f>
        <v>#REF!</v>
      </c>
      <c r="BX18" s="1140" t="e">
        <f ca="1">BN18*(Hypothèses!$B$3-Hypothèses!$B$17)*1000</f>
        <v>#REF!</v>
      </c>
      <c r="BY18" s="1139" t="e">
        <f ca="1">IF(K18=0,0,BO18*(K36/K18/1000-Hypothèses!$B$3)*1000)</f>
        <v>#REF!</v>
      </c>
      <c r="BZ18" s="1139" t="e">
        <f ca="1">BP18*(Hypothèses!$B$18-Hypothèses!$B$9)*1000</f>
        <v>#REF!</v>
      </c>
      <c r="CA18" s="1137"/>
      <c r="CB18" s="1137"/>
      <c r="CC18" s="600"/>
      <c r="CD18" s="1141" t="s">
        <v>200</v>
      </c>
      <c r="CE18" s="257" t="e">
        <f t="shared" ca="1" si="22"/>
        <v>#REF!</v>
      </c>
      <c r="CF18" s="257" t="e">
        <f t="shared" ca="1" si="9"/>
        <v>#REF!</v>
      </c>
      <c r="CG18" s="257" t="e">
        <f t="shared" ca="1" si="10"/>
        <v>#REF!</v>
      </c>
      <c r="CH18" s="257" t="e">
        <f t="shared" ca="1" si="11"/>
        <v>#REF!</v>
      </c>
      <c r="CI18" s="1134" t="e">
        <f t="shared" ca="1" si="23"/>
        <v>#REF!</v>
      </c>
      <c r="CJ18" s="600">
        <v>0</v>
      </c>
      <c r="CK18" s="1141" t="s">
        <v>200</v>
      </c>
      <c r="CL18" s="257" t="e">
        <f t="shared" ref="CL18" ca="1" si="52">I18++SUM(BJ18:BK18)</f>
        <v>#REF!</v>
      </c>
      <c r="CM18" s="257" t="e">
        <f t="shared" ref="CM18:CM19" ca="1" si="53">J18-BK18</f>
        <v>#REF!</v>
      </c>
      <c r="CN18" s="257" t="e">
        <f t="shared" ref="CN18:CN19" ca="1" si="54">K18-BJ18</f>
        <v>#REF!</v>
      </c>
      <c r="CO18" s="257" t="e">
        <f t="shared" ref="CO18:CO19" ca="1" si="55">L18-BL18</f>
        <v>#REF!</v>
      </c>
      <c r="CP18" s="1134" t="e">
        <f t="shared" ca="1" si="25"/>
        <v>#REF!</v>
      </c>
      <c r="CQ18" s="1135"/>
      <c r="CR18" s="1141" t="s">
        <v>200</v>
      </c>
      <c r="CS18" s="1142" t="e">
        <f t="shared" ca="1" si="26"/>
        <v>#REF!</v>
      </c>
      <c r="CT18" s="257" t="e">
        <f t="shared" ca="1" si="12"/>
        <v>#REF!</v>
      </c>
      <c r="CU18" s="257" t="e">
        <f t="shared" ca="1" si="13"/>
        <v>#REF!</v>
      </c>
      <c r="CV18" s="257" t="e">
        <f t="shared" ca="1" si="14"/>
        <v>#REF!</v>
      </c>
      <c r="CW18" s="1134" t="e">
        <f t="shared" ca="1" si="27"/>
        <v>#REF!</v>
      </c>
      <c r="CX18" s="600"/>
      <c r="CY18" s="600"/>
      <c r="CZ18" s="600"/>
      <c r="DA18" s="1141" t="s">
        <v>200</v>
      </c>
      <c r="DB18" s="1142"/>
      <c r="DC18" s="1142"/>
      <c r="DD18" s="1142"/>
      <c r="DE18" s="1142"/>
      <c r="DF18" s="1142"/>
      <c r="DG18" s="600"/>
      <c r="DH18" s="600"/>
      <c r="DI18" s="600"/>
      <c r="DJ18" s="600"/>
      <c r="DK18" s="600"/>
      <c r="DL18" s="600"/>
      <c r="DM18" s="600"/>
      <c r="DN18" s="600"/>
      <c r="DO18" s="600"/>
      <c r="DP18" s="600"/>
      <c r="DQ18" s="600"/>
      <c r="DR18" s="600"/>
      <c r="DS18" s="600"/>
      <c r="DT18" s="600"/>
      <c r="DU18" s="600"/>
      <c r="DV18" s="600"/>
      <c r="DW18" s="600"/>
      <c r="DX18" s="600"/>
      <c r="DY18" s="600"/>
      <c r="DZ18" s="600"/>
      <c r="EA18" s="600"/>
      <c r="EB18" s="600"/>
      <c r="EC18" s="600"/>
      <c r="ED18" s="600"/>
      <c r="EE18" s="600"/>
      <c r="EF18" s="600"/>
      <c r="EG18" s="600"/>
      <c r="EH18" s="600"/>
      <c r="EI18" s="600"/>
      <c r="EJ18" s="600"/>
      <c r="EK18" s="600"/>
      <c r="EL18" s="600"/>
      <c r="EM18" s="600"/>
      <c r="EN18" s="600"/>
      <c r="EO18" s="600"/>
      <c r="EP18" s="600"/>
      <c r="EQ18" s="600"/>
      <c r="ER18" s="600"/>
      <c r="ES18" s="600"/>
      <c r="ET18" s="600"/>
      <c r="EU18" s="600"/>
      <c r="EV18" s="600"/>
      <c r="EW18" s="600"/>
      <c r="EX18" s="600"/>
      <c r="EY18" s="600"/>
      <c r="EZ18" s="600"/>
    </row>
    <row r="19" spans="1:156" ht="15" thickBot="1">
      <c r="A19" s="1141" t="s">
        <v>157</v>
      </c>
      <c r="B19" s="1142">
        <f ca="1">B17-B18</f>
        <v>0</v>
      </c>
      <c r="C19" s="1142">
        <f ca="1">C17-C18</f>
        <v>0</v>
      </c>
      <c r="D19" s="1142">
        <f ca="1">D17-D18</f>
        <v>0</v>
      </c>
      <c r="E19" s="1142" t="e">
        <f ca="1">E17-E18</f>
        <v>#DIV/0!</v>
      </c>
      <c r="F19" s="1142" t="e">
        <f t="shared" ca="1" si="0"/>
        <v>#DIV/0!</v>
      </c>
      <c r="G19" s="70"/>
      <c r="H19" s="1141" t="s">
        <v>157</v>
      </c>
      <c r="I19" s="1142" t="e">
        <f ca="1">I17-I18</f>
        <v>#REF!</v>
      </c>
      <c r="J19" s="1142" t="e">
        <f ca="1">J17-J18</f>
        <v>#REF!</v>
      </c>
      <c r="K19" s="1142" t="e">
        <f ca="1">K17-K18</f>
        <v>#REF!</v>
      </c>
      <c r="L19" s="1142" t="e">
        <f ca="1">L17-L18</f>
        <v>#REF!</v>
      </c>
      <c r="M19" s="1142" t="e">
        <f t="shared" ca="1" si="1"/>
        <v>#REF!</v>
      </c>
      <c r="N19" s="70"/>
      <c r="O19" s="477" t="e">
        <f t="shared" ca="1" si="2"/>
        <v>#DIV/0!</v>
      </c>
      <c r="P19" s="477" t="e">
        <f t="shared" ca="1" si="3"/>
        <v>#REF!</v>
      </c>
      <c r="Q19" s="477" t="e">
        <f t="shared" ca="1" si="16"/>
        <v>#DIV/0!</v>
      </c>
      <c r="R19" s="458" t="e">
        <f t="shared" ca="1" si="17"/>
        <v>#DIV/0!</v>
      </c>
      <c r="S19" s="458" t="e">
        <f t="shared" ca="1" si="18"/>
        <v>#DIV/0!</v>
      </c>
      <c r="T19" s="485"/>
      <c r="U19" s="485"/>
      <c r="V19" s="485"/>
      <c r="W19" s="485"/>
      <c r="X19" s="485"/>
      <c r="Y19" s="498"/>
      <c r="Z19" s="498"/>
      <c r="AA19" s="1484"/>
      <c r="AB19" s="1484"/>
      <c r="AC19" s="1484"/>
      <c r="AD19" s="1438"/>
      <c r="AE19" s="1141" t="s">
        <v>157</v>
      </c>
      <c r="AF19" s="1142" t="e">
        <f t="shared" ca="1" si="36"/>
        <v>#REF!</v>
      </c>
      <c r="AG19" s="1142" t="e">
        <f t="shared" ca="1" si="4"/>
        <v>#REF!</v>
      </c>
      <c r="AH19" s="1142" t="e">
        <f ca="1">IF($M19=0,0,$AJ19*K19/$M19)</f>
        <v>#REF!</v>
      </c>
      <c r="AI19" s="1142" t="e">
        <f t="shared" ca="1" si="6"/>
        <v>#REF!</v>
      </c>
      <c r="AJ19" s="1134" t="e">
        <f ca="1">IF(Objectifs!C19=0,'Bilan territorial'!M19,IF(Objectifs!C19&lt;'Bilan territorial'!Q19,'Bilan territorial'!F19*(1+Objectifs!C19),'Bilan territorial'!M19))</f>
        <v>#REF!</v>
      </c>
      <c r="AK19" s="600"/>
      <c r="AL19" s="1141" t="s">
        <v>157</v>
      </c>
      <c r="AM19" s="257" t="e">
        <f ca="1">AF19+SUM(BJ19:BL19)</f>
        <v>#REF!</v>
      </c>
      <c r="AN19" s="257" t="e">
        <f ca="1">AG19-BK19-BN19+BO19+BP19</f>
        <v>#REF!</v>
      </c>
      <c r="AO19" s="257" t="e">
        <f ca="1">AH19-BJ19-BM19-BO19</f>
        <v>#REF!</v>
      </c>
      <c r="AP19" s="257" t="e">
        <f ca="1">AI19-BL19-BP19</f>
        <v>#REF!</v>
      </c>
      <c r="AQ19" s="1134" t="e">
        <f t="shared" ca="1" si="21"/>
        <v>#REF!</v>
      </c>
      <c r="AR19" s="600" t="e">
        <f ca="1">(Objectifs!C29+Objectifs!C44)*'Bilan territorial'!AH19</f>
        <v>#REF!</v>
      </c>
      <c r="AS19" s="1135" t="e">
        <f ca="1">(Objectifs!C29)*AG19</f>
        <v>#REF!</v>
      </c>
      <c r="AT19" s="1736" t="e">
        <f t="shared" ca="1" si="7"/>
        <v>#REF!</v>
      </c>
      <c r="AU19" s="600">
        <v>29</v>
      </c>
      <c r="AV19" s="600"/>
      <c r="AW19" s="600">
        <v>40</v>
      </c>
      <c r="AX19" s="1136">
        <f>Objectifs!$C29</f>
        <v>0</v>
      </c>
      <c r="AY19" s="1136"/>
      <c r="AZ19" s="1136">
        <f>Objectifs!$C44</f>
        <v>0</v>
      </c>
      <c r="BA19" s="1136"/>
      <c r="BB19" s="1137" t="e">
        <f ca="1">IF(AR19&gt;AH19,$AX19/SUM($AX19:$AZ19),$AX19)</f>
        <v>#REF!</v>
      </c>
      <c r="BC19" s="1137" t="e">
        <f ca="1">IF(AS19&gt;AG19,$AX19/SUM($AX19:$AZ19),$AX19)</f>
        <v>#REF!</v>
      </c>
      <c r="BD19" s="1137" t="e">
        <f ca="1">IF(AR19&gt;AH19,$AY19/SUM($AX19:$AZ19),$AY19)</f>
        <v>#REF!</v>
      </c>
      <c r="BE19" s="1137" t="e">
        <f ca="1">IF(AS19&gt;AG19,$AY19/SUM($AX19:$AZ19),$AY19)</f>
        <v>#REF!</v>
      </c>
      <c r="BF19" s="1137" t="e">
        <f ca="1">IF(AR19&gt;AH19,$AZ19/SUM($AX19:$AZ19),$AZ19)</f>
        <v>#REF!</v>
      </c>
      <c r="BG19" s="1137"/>
      <c r="BH19" s="1137"/>
      <c r="BI19" s="1138"/>
      <c r="BJ19" s="1139" t="e">
        <f t="shared" ca="1" si="47"/>
        <v>#REF!</v>
      </c>
      <c r="BK19" s="1139" t="e">
        <f t="shared" ca="1" si="48"/>
        <v>#REF!</v>
      </c>
      <c r="BL19" s="1139" t="e">
        <f ca="1">BB19*AI19</f>
        <v>#REF!</v>
      </c>
      <c r="BM19" s="1139" t="e">
        <f t="shared" ca="1" si="49"/>
        <v>#REF!</v>
      </c>
      <c r="BN19" s="1139" t="e">
        <f t="shared" ca="1" si="50"/>
        <v>#REF!</v>
      </c>
      <c r="BO19" s="1139" t="e">
        <f t="shared" ca="1" si="51"/>
        <v>#REF!</v>
      </c>
      <c r="BP19" s="1139" t="e">
        <f ca="1">IF($AH19=0,0,$AI19/$AH19*BO19)</f>
        <v>#REF!</v>
      </c>
      <c r="BQ19" s="1137"/>
      <c r="BR19" s="1137"/>
      <c r="BS19" s="600"/>
      <c r="BT19" s="1140" t="e">
        <f t="shared" ca="1" si="43"/>
        <v>#REF!</v>
      </c>
      <c r="BU19" s="1140" t="e">
        <f ca="1">BK19*(Hypothèses!$B$9-$AO$61)*1000</f>
        <v>#REF!</v>
      </c>
      <c r="BV19" s="1140" t="e">
        <f ca="1">BL19*(Hypothèses!$B$18-'Bilan territorial'!$AO$62)*1000</f>
        <v>#REF!</v>
      </c>
      <c r="BW19" s="1140" t="e">
        <f ca="1">BM19*($AT37-Hypothèses!$B$17*1000)</f>
        <v>#REF!</v>
      </c>
      <c r="BX19" s="1140" t="e">
        <f ca="1">BN19*(Hypothèses!$B$3-Hypothèses!$B$17)*1000</f>
        <v>#REF!</v>
      </c>
      <c r="BY19" s="1139" t="e">
        <f ca="1">BO19*(K37/K19/1000-Hypothèses!$B$3)*1000</f>
        <v>#REF!</v>
      </c>
      <c r="BZ19" s="1139" t="e">
        <f ca="1">BP19*(Hypothèses!$B$18-Hypothèses!$B$9)*1000</f>
        <v>#REF!</v>
      </c>
      <c r="CA19" s="1137"/>
      <c r="CB19" s="1137"/>
      <c r="CC19" s="600"/>
      <c r="CD19" s="1141" t="s">
        <v>157</v>
      </c>
      <c r="CE19" s="257" t="e">
        <f t="shared" ca="1" si="22"/>
        <v>#REF!</v>
      </c>
      <c r="CF19" s="257" t="e">
        <f t="shared" ca="1" si="9"/>
        <v>#REF!</v>
      </c>
      <c r="CG19" s="257" t="e">
        <f t="shared" ca="1" si="10"/>
        <v>#REF!</v>
      </c>
      <c r="CH19" s="257" t="e">
        <f t="shared" ca="1" si="11"/>
        <v>#REF!</v>
      </c>
      <c r="CI19" s="1134" t="e">
        <f t="shared" ca="1" si="23"/>
        <v>#REF!</v>
      </c>
      <c r="CJ19" s="600">
        <v>0</v>
      </c>
      <c r="CK19" s="1141" t="s">
        <v>157</v>
      </c>
      <c r="CL19" s="257" t="e">
        <f ca="1">I19++SUM(BJ19:BL19)</f>
        <v>#REF!</v>
      </c>
      <c r="CM19" s="257" t="e">
        <f t="shared" ca="1" si="53"/>
        <v>#REF!</v>
      </c>
      <c r="CN19" s="257" t="e">
        <f t="shared" ca="1" si="54"/>
        <v>#REF!</v>
      </c>
      <c r="CO19" s="257" t="e">
        <f t="shared" ca="1" si="55"/>
        <v>#REF!</v>
      </c>
      <c r="CP19" s="1134" t="e">
        <f t="shared" ca="1" si="25"/>
        <v>#REF!</v>
      </c>
      <c r="CQ19" s="1135"/>
      <c r="CR19" s="1141" t="s">
        <v>157</v>
      </c>
      <c r="CS19" s="1142" t="e">
        <f t="shared" ca="1" si="26"/>
        <v>#REF!</v>
      </c>
      <c r="CT19" s="257" t="e">
        <f t="shared" ca="1" si="12"/>
        <v>#REF!</v>
      </c>
      <c r="CU19" s="257" t="e">
        <f t="shared" ca="1" si="13"/>
        <v>#REF!</v>
      </c>
      <c r="CV19" s="257" t="e">
        <f t="shared" ca="1" si="14"/>
        <v>#REF!</v>
      </c>
      <c r="CW19" s="1134" t="e">
        <f t="shared" ca="1" si="27"/>
        <v>#REF!</v>
      </c>
      <c r="CX19" s="600"/>
      <c r="CY19" s="600"/>
      <c r="CZ19" s="600"/>
      <c r="DA19" s="1141" t="s">
        <v>157</v>
      </c>
      <c r="DB19" s="1142" t="e">
        <f ca="1">DB17-DB18</f>
        <v>#REF!</v>
      </c>
      <c r="DC19" s="1142" t="e">
        <f ca="1">DC17-DC18</f>
        <v>#REF!</v>
      </c>
      <c r="DD19" s="1142" t="e">
        <f ca="1">DD17-DD18</f>
        <v>#REF!</v>
      </c>
      <c r="DE19" s="1142" t="e">
        <f ca="1">DE17-DE18</f>
        <v>#REF!</v>
      </c>
      <c r="DF19" s="1142" t="e">
        <f t="shared" ca="1" si="15"/>
        <v>#REF!</v>
      </c>
      <c r="DG19" s="600"/>
      <c r="DH19" s="600"/>
      <c r="DI19" s="600"/>
      <c r="DJ19" s="600"/>
      <c r="DK19" s="600"/>
      <c r="DL19" s="600"/>
      <c r="DM19" s="600"/>
      <c r="DN19" s="600"/>
      <c r="DO19" s="600"/>
      <c r="DP19" s="600"/>
      <c r="DQ19" s="600"/>
      <c r="DR19" s="600"/>
      <c r="DS19" s="600"/>
      <c r="DT19" s="600"/>
      <c r="DU19" s="600"/>
      <c r="DV19" s="600"/>
      <c r="DW19" s="600"/>
      <c r="DX19" s="600"/>
      <c r="DY19" s="600"/>
      <c r="DZ19" s="600"/>
      <c r="EA19" s="600"/>
      <c r="EB19" s="600"/>
      <c r="EC19" s="600"/>
      <c r="ED19" s="600"/>
      <c r="EE19" s="600"/>
      <c r="EF19" s="600"/>
      <c r="EG19" s="600"/>
      <c r="EH19" s="600"/>
      <c r="EI19" s="600"/>
      <c r="EJ19" s="600"/>
      <c r="EK19" s="600"/>
      <c r="EL19" s="600"/>
      <c r="EM19" s="600"/>
      <c r="EN19" s="600"/>
      <c r="EO19" s="600"/>
      <c r="EP19" s="600"/>
      <c r="EQ19" s="600"/>
      <c r="ER19" s="600"/>
      <c r="ES19" s="600"/>
      <c r="ET19" s="600"/>
      <c r="EU19" s="600"/>
      <c r="EV19" s="600"/>
      <c r="EW19" s="600"/>
      <c r="EX19" s="600"/>
      <c r="EY19" s="600"/>
      <c r="EZ19" s="600"/>
    </row>
    <row r="20" spans="1:156" ht="15" thickBot="1">
      <c r="A20" s="1114" t="s">
        <v>172</v>
      </c>
      <c r="B20" s="1146">
        <f ca="1">SUM(B11,B12,B15,B16,B17)</f>
        <v>0</v>
      </c>
      <c r="C20" s="1146">
        <f ca="1">SUM(C11,C12,C15,C16,C17)</f>
        <v>0</v>
      </c>
      <c r="D20" s="1146">
        <f ca="1">SUM(D11,D12,D15,D16,D17)</f>
        <v>0</v>
      </c>
      <c r="E20" s="1146">
        <f ca="1">SUM(E11,E12,E15,E16,E17)</f>
        <v>0</v>
      </c>
      <c r="F20" s="1146">
        <f ca="1">SUM(F11,F12,F15,F16,F17)</f>
        <v>0</v>
      </c>
      <c r="G20" s="70"/>
      <c r="H20" s="1114" t="s">
        <v>172</v>
      </c>
      <c r="I20" s="1146" t="e">
        <f ca="1">SUM(I11,I12,I15,I16,I17)</f>
        <v>#REF!</v>
      </c>
      <c r="J20" s="1146" t="e">
        <f ca="1">SUM(J11,J12,J15,J16,J17)</f>
        <v>#REF!</v>
      </c>
      <c r="K20" s="1146" t="e">
        <f ca="1">SUM(K11,K12,K15,K16,K17)</f>
        <v>#REF!</v>
      </c>
      <c r="L20" s="1146" t="e">
        <f ca="1">SUM(L11,L12,L15,L16,L17)</f>
        <v>#REF!</v>
      </c>
      <c r="M20" s="1146" t="e">
        <f ca="1">SUM(M11,M12,M15,M16,M17)</f>
        <v>#REF!</v>
      </c>
      <c r="N20" s="70"/>
      <c r="O20" s="458"/>
      <c r="P20" s="478" t="e">
        <f ca="1">(M20-F20)/F20</f>
        <v>#REF!</v>
      </c>
      <c r="Q20" s="477" t="e">
        <f t="shared" ca="1" si="16"/>
        <v>#REF!</v>
      </c>
      <c r="R20" s="458"/>
      <c r="S20" s="458"/>
      <c r="T20" s="485"/>
      <c r="U20" s="485"/>
      <c r="V20" s="485"/>
      <c r="W20" s="485"/>
      <c r="X20" s="485"/>
      <c r="Y20" s="498"/>
      <c r="Z20" s="498"/>
      <c r="AA20" s="485"/>
      <c r="AB20" s="485"/>
      <c r="AC20" s="485"/>
      <c r="AD20" s="1118"/>
      <c r="AE20" s="1114" t="s">
        <v>172</v>
      </c>
      <c r="AF20" s="1146" t="e">
        <f ca="1">SUM(AF11,AF12,AF15,AF16,AF17)</f>
        <v>#REF!</v>
      </c>
      <c r="AG20" s="1146" t="e">
        <f ca="1">SUM(AG11,AG12,AG15,AG16,AG17)</f>
        <v>#REF!</v>
      </c>
      <c r="AH20" s="1146" t="e">
        <f ca="1">SUM(AH11,AH12,AH15,AH16,AH17)</f>
        <v>#REF!</v>
      </c>
      <c r="AI20" s="1146" t="e">
        <f ca="1">SUM(AI11,AI12,AI15,AI16,AI17)</f>
        <v>#REF!</v>
      </c>
      <c r="AJ20" s="1146" t="e">
        <f ca="1">SUM(AJ11,AJ12,AJ15,AJ16,AJ17)</f>
        <v>#REF!</v>
      </c>
      <c r="AK20" s="600"/>
      <c r="AL20" s="1114" t="s">
        <v>172</v>
      </c>
      <c r="AM20" s="1146" t="e">
        <f ca="1">SUM(AM11,AM12,AM15,AM16,AM17)</f>
        <v>#REF!</v>
      </c>
      <c r="AN20" s="1146" t="e">
        <f ca="1">SUM(AN11,AN12,AN15,AN16,AN17)</f>
        <v>#REF!</v>
      </c>
      <c r="AO20" s="1146" t="e">
        <f ca="1">SUM(AO11,AO12,AO15,AO16,AO17)</f>
        <v>#REF!</v>
      </c>
      <c r="AP20" s="1146" t="e">
        <f ca="1">SUM(AP11,AP12,AP15,AP16,AP17)</f>
        <v>#REF!</v>
      </c>
      <c r="AQ20" s="1146" t="e">
        <f ca="1">SUM(AQ11,AQ12,AQ15,AQ16,AQ17)</f>
        <v>#REF!</v>
      </c>
      <c r="AR20" s="600"/>
      <c r="AS20" s="600"/>
      <c r="AT20" s="600"/>
      <c r="AU20" s="600"/>
      <c r="AV20" s="600"/>
      <c r="AW20" s="600"/>
      <c r="AX20" s="600"/>
      <c r="AY20" s="600"/>
      <c r="AZ20" s="600"/>
      <c r="BA20" s="600"/>
      <c r="BB20" s="600"/>
      <c r="BC20" s="600"/>
      <c r="BD20" s="600"/>
      <c r="BE20" s="600"/>
      <c r="BF20" s="600"/>
      <c r="BG20" s="600"/>
      <c r="BH20" s="600"/>
      <c r="BI20" s="600"/>
      <c r="BJ20" s="1147"/>
      <c r="BK20" s="600"/>
      <c r="BL20" s="600"/>
      <c r="BM20" s="600"/>
      <c r="BN20" s="600"/>
      <c r="BO20" s="600"/>
      <c r="BP20" s="600"/>
      <c r="BQ20" s="600"/>
      <c r="BR20" s="600"/>
      <c r="BS20" s="600"/>
      <c r="BT20" s="600"/>
      <c r="BU20" s="1148"/>
      <c r="BV20" s="1149"/>
      <c r="BW20" s="600"/>
      <c r="BX20" s="600"/>
      <c r="BY20" s="600"/>
      <c r="BZ20" s="600"/>
      <c r="CA20" s="600"/>
      <c r="CB20" s="600"/>
      <c r="CC20" s="600"/>
      <c r="CD20" s="1114" t="s">
        <v>172</v>
      </c>
      <c r="CE20" s="1146" t="e">
        <f ca="1">SUM(CE11,CE12,CE15,CE16,CE17)</f>
        <v>#REF!</v>
      </c>
      <c r="CF20" s="1146" t="e">
        <f ca="1">SUM(CF11,CF12,CF15,CF16,CF17)</f>
        <v>#REF!</v>
      </c>
      <c r="CG20" s="1146" t="e">
        <f ca="1">SUM(CG11,CG12,CG15,CG16,CG17)</f>
        <v>#REF!</v>
      </c>
      <c r="CH20" s="1146" t="e">
        <f ca="1">SUM(CH11,CH12,CH15,CH16,CH17)</f>
        <v>#REF!</v>
      </c>
      <c r="CI20" s="1146" t="e">
        <f ca="1">SUM(CI11,CI12,CI15,CI16,CI17)</f>
        <v>#REF!</v>
      </c>
      <c r="CJ20" s="1135" t="e">
        <f ca="1">CM20-SUM(CJ11:CJ12,CJ15:CJ17)</f>
        <v>#REF!</v>
      </c>
      <c r="CK20" s="1114" t="s">
        <v>172</v>
      </c>
      <c r="CL20" s="1146" t="e">
        <f ca="1">SUM(CL11,CL12,CL15,CL16,CL17)</f>
        <v>#REF!</v>
      </c>
      <c r="CM20" s="1146" t="e">
        <f ca="1">SUM(CM11,CM12,CM15,CM16,CM17)</f>
        <v>#REF!</v>
      </c>
      <c r="CN20" s="1146" t="e">
        <f ca="1">SUM(CN11,CN12,CN15,CN16,CN17)</f>
        <v>#REF!</v>
      </c>
      <c r="CO20" s="1146" t="e">
        <f ca="1">SUM(CO11,CO12,CO15,CO16,CO17)</f>
        <v>#REF!</v>
      </c>
      <c r="CP20" s="1146" t="e">
        <f ca="1">SUM(CP11,CP12,CP15,CP16,CP17)</f>
        <v>#REF!</v>
      </c>
      <c r="CQ20" s="1135"/>
      <c r="CR20" s="1114" t="s">
        <v>172</v>
      </c>
      <c r="CS20" s="1146" t="e">
        <f ca="1">SUM(CS11,CS12,CS15,CS16,CS17)</f>
        <v>#REF!</v>
      </c>
      <c r="CT20" s="1146" t="e">
        <f ca="1">SUM(CT11,CT12,CT15,CT16,CT17)</f>
        <v>#REF!</v>
      </c>
      <c r="CU20" s="1146" t="e">
        <f ca="1">SUM(CU11,CU12,CU15,CU16,CU17)</f>
        <v>#REF!</v>
      </c>
      <c r="CV20" s="1146" t="e">
        <f ca="1">SUM(CV11,CV12,CV15,CV16,CV17)</f>
        <v>#REF!</v>
      </c>
      <c r="CW20" s="1146" t="e">
        <f ca="1">SUM(CW11,CW12,CW15,CW16,CW17)</f>
        <v>#REF!</v>
      </c>
      <c r="CX20" s="600"/>
      <c r="CY20" s="600"/>
      <c r="CZ20" s="600"/>
      <c r="DA20" s="1114" t="s">
        <v>172</v>
      </c>
      <c r="DB20" s="1146" t="e">
        <f ca="1">SUM(DB11,DB12,DB15,DB16,DB17)</f>
        <v>#REF!</v>
      </c>
      <c r="DC20" s="1146" t="e">
        <f ca="1">SUM(DC11,DC12,DC15,DC16,DC17)</f>
        <v>#REF!</v>
      </c>
      <c r="DD20" s="1146" t="e">
        <f ca="1">SUM(DD11,DD12,DD15,DD16,DD17)</f>
        <v>#REF!</v>
      </c>
      <c r="DE20" s="1146" t="e">
        <f ca="1">SUM(DE11,DE12,DE15,DE16,DE17)</f>
        <v>#REF!</v>
      </c>
      <c r="DF20" s="1146" t="e">
        <f ca="1">SUM(DF11,DF12,DF15,DF16,DF17)</f>
        <v>#REF!</v>
      </c>
      <c r="DG20" s="600"/>
      <c r="DH20" s="600"/>
      <c r="DI20" s="600"/>
      <c r="DJ20" s="600"/>
      <c r="DK20" s="600"/>
      <c r="DL20" s="600"/>
      <c r="DM20" s="600"/>
      <c r="DN20" s="600"/>
      <c r="DO20" s="600"/>
      <c r="DP20" s="600"/>
      <c r="DQ20" s="600"/>
      <c r="DR20" s="600"/>
      <c r="DS20" s="600"/>
      <c r="DT20" s="600"/>
      <c r="DU20" s="600"/>
      <c r="DV20" s="600"/>
      <c r="DW20" s="600"/>
      <c r="DX20" s="600"/>
      <c r="DY20" s="600"/>
      <c r="DZ20" s="600"/>
      <c r="EA20" s="600"/>
      <c r="EB20" s="600"/>
      <c r="EC20" s="600"/>
      <c r="ED20" s="600"/>
      <c r="EE20" s="600"/>
      <c r="EF20" s="600"/>
      <c r="EG20" s="600"/>
      <c r="EH20" s="600"/>
      <c r="EI20" s="600"/>
      <c r="EJ20" s="600"/>
      <c r="EK20" s="600"/>
      <c r="EL20" s="600"/>
      <c r="EM20" s="600"/>
      <c r="EN20" s="600"/>
      <c r="EO20" s="600"/>
      <c r="EP20" s="600"/>
      <c r="EQ20" s="600"/>
      <c r="ER20" s="600"/>
      <c r="ES20" s="600"/>
      <c r="ET20" s="600"/>
      <c r="EU20" s="600"/>
      <c r="EV20" s="600"/>
      <c r="EW20" s="600"/>
      <c r="EX20" s="600"/>
      <c r="EY20" s="600"/>
      <c r="EZ20" s="600"/>
    </row>
    <row r="21" spans="1:156" ht="24" hidden="1" customHeight="1" outlineLevel="1">
      <c r="A21" s="451" t="s">
        <v>165</v>
      </c>
      <c r="B21" s="1150"/>
      <c r="C21" s="1150"/>
      <c r="D21" s="1150"/>
      <c r="E21" s="1150"/>
      <c r="F21" s="1150"/>
      <c r="G21" s="485"/>
      <c r="H21" s="465"/>
      <c r="I21" s="1150"/>
      <c r="J21" s="1150"/>
      <c r="K21" s="1150"/>
      <c r="L21" s="1150"/>
      <c r="M21" s="1150"/>
      <c r="N21" s="485"/>
      <c r="O21" s="470"/>
      <c r="P21" s="479"/>
      <c r="Q21" s="480"/>
      <c r="R21" s="470"/>
      <c r="S21" s="470"/>
      <c r="T21" s="485"/>
      <c r="U21" s="485"/>
      <c r="V21" s="485"/>
      <c r="W21" s="485"/>
      <c r="X21" s="485"/>
      <c r="Y21" s="498"/>
      <c r="Z21" s="498"/>
      <c r="AA21" s="485"/>
      <c r="AB21" s="485"/>
      <c r="AC21" s="485"/>
      <c r="AD21" s="1118"/>
      <c r="AE21" s="465"/>
      <c r="AF21" s="1150"/>
      <c r="AG21" s="1150"/>
      <c r="AH21" s="1150"/>
      <c r="AI21" s="1150"/>
      <c r="AJ21" s="1150"/>
      <c r="AK21" s="600"/>
      <c r="AL21" s="465"/>
      <c r="AM21" s="1150"/>
      <c r="AN21" s="1150"/>
      <c r="AO21" s="1150"/>
      <c r="AP21" s="1150"/>
      <c r="AQ21" s="1150"/>
      <c r="AR21" s="600"/>
      <c r="AS21" s="600"/>
      <c r="AT21" s="600"/>
      <c r="AU21" s="600"/>
      <c r="AV21" s="600"/>
      <c r="AW21" s="600"/>
      <c r="AX21" s="600"/>
      <c r="AY21" s="600"/>
      <c r="AZ21" s="600"/>
      <c r="BA21" s="600"/>
      <c r="BB21" s="600"/>
      <c r="BC21" s="600"/>
      <c r="BD21" s="600"/>
      <c r="BE21" s="600"/>
      <c r="BF21" s="600"/>
      <c r="BG21" s="600"/>
      <c r="BH21" s="600"/>
      <c r="BI21" s="600"/>
      <c r="BJ21" s="600"/>
      <c r="BK21" s="600"/>
      <c r="BL21" s="600"/>
      <c r="BM21" s="600"/>
      <c r="BN21" s="600"/>
      <c r="BO21" s="600"/>
      <c r="BP21" s="600"/>
      <c r="BQ21" s="600"/>
      <c r="BR21" s="600"/>
      <c r="BS21" s="600"/>
      <c r="BT21" s="600"/>
      <c r="BU21" s="600"/>
      <c r="BV21" s="600"/>
      <c r="BW21" s="600"/>
      <c r="BX21" s="600"/>
      <c r="BY21" s="600"/>
      <c r="BZ21" s="600"/>
      <c r="CA21" s="600"/>
      <c r="CB21" s="600"/>
      <c r="CC21" s="600"/>
      <c r="CD21" s="465"/>
      <c r="CE21" s="1150"/>
      <c r="CF21" s="1150"/>
      <c r="CG21" s="1150"/>
      <c r="CH21" s="1150"/>
      <c r="CI21" s="1150"/>
      <c r="CJ21" s="600"/>
      <c r="CK21" s="465"/>
      <c r="CL21" s="1150"/>
      <c r="CM21" s="1150"/>
      <c r="CN21" s="1150"/>
      <c r="CO21" s="1150"/>
      <c r="CP21" s="1150"/>
      <c r="CQ21" s="600"/>
      <c r="CR21" s="465"/>
      <c r="CS21" s="1150"/>
      <c r="CT21" s="1150"/>
      <c r="CU21" s="1150"/>
      <c r="CV21" s="1150"/>
      <c r="CW21" s="1150"/>
      <c r="CX21" s="600"/>
      <c r="CY21" s="600"/>
      <c r="CZ21" s="600"/>
      <c r="DA21" s="465"/>
      <c r="DB21" s="1150"/>
      <c r="DC21" s="1150"/>
      <c r="DD21" s="1150"/>
      <c r="DE21" s="1150"/>
      <c r="DF21" s="1150"/>
      <c r="DG21" s="600"/>
      <c r="DH21" s="600"/>
      <c r="DI21" s="600"/>
      <c r="DJ21" s="600"/>
      <c r="DK21" s="600"/>
      <c r="DL21" s="600"/>
      <c r="DM21" s="600"/>
      <c r="DN21" s="600"/>
      <c r="DO21" s="600"/>
      <c r="DP21" s="600"/>
      <c r="DQ21" s="600"/>
      <c r="DR21" s="600"/>
      <c r="DS21" s="600"/>
      <c r="DT21" s="600"/>
      <c r="DU21" s="600"/>
      <c r="DV21" s="600"/>
      <c r="DW21" s="600"/>
      <c r="DX21" s="600"/>
      <c r="DY21" s="600"/>
      <c r="DZ21" s="600"/>
      <c r="EA21" s="600"/>
      <c r="EB21" s="600"/>
      <c r="EC21" s="600"/>
      <c r="ED21" s="600"/>
      <c r="EE21" s="600"/>
      <c r="EF21" s="600"/>
      <c r="EG21" s="600"/>
      <c r="EH21" s="600"/>
      <c r="EI21" s="600"/>
      <c r="EJ21" s="600"/>
      <c r="EK21" s="600"/>
      <c r="EL21" s="600"/>
      <c r="EM21" s="600"/>
      <c r="EN21" s="600"/>
      <c r="EO21" s="600"/>
      <c r="EP21" s="600"/>
      <c r="EQ21" s="600"/>
      <c r="ER21" s="600"/>
      <c r="ES21" s="600"/>
      <c r="ET21" s="600"/>
      <c r="EU21" s="600"/>
      <c r="EV21" s="600"/>
      <c r="EW21" s="600"/>
      <c r="EX21" s="600"/>
      <c r="EY21" s="600"/>
      <c r="EZ21" s="600"/>
    </row>
    <row r="22" spans="1:156" s="42" customFormat="1" hidden="1" outlineLevel="1">
      <c r="A22" s="501" t="s">
        <v>204</v>
      </c>
      <c r="B22" s="502" t="e">
        <f ca="1">B20/$F$20</f>
        <v>#DIV/0!</v>
      </c>
      <c r="C22" s="502" t="e">
        <f ca="1">C20/$F$20</f>
        <v>#DIV/0!</v>
      </c>
      <c r="D22" s="502" t="e">
        <f ca="1">D20/$F$20</f>
        <v>#DIV/0!</v>
      </c>
      <c r="E22" s="502" t="e">
        <f ca="1">E20/$F$20</f>
        <v>#DIV/0!</v>
      </c>
      <c r="F22" s="503"/>
      <c r="G22" s="470"/>
      <c r="H22" s="501" t="s">
        <v>204</v>
      </c>
      <c r="I22" s="502" t="e">
        <f ca="1">I20/$M$20</f>
        <v>#REF!</v>
      </c>
      <c r="J22" s="502" t="e">
        <f ca="1">J20/$M$20</f>
        <v>#REF!</v>
      </c>
      <c r="K22" s="502" t="e">
        <f ca="1">K20/$M$20</f>
        <v>#REF!</v>
      </c>
      <c r="L22" s="502" t="e">
        <f ca="1">L20/$M$20</f>
        <v>#REF!</v>
      </c>
      <c r="M22" s="503"/>
      <c r="N22" s="467"/>
      <c r="O22" s="467"/>
      <c r="P22" s="481"/>
      <c r="Q22" s="467" t="e">
        <f ca="1">ROUND(Q20*100,0)</f>
        <v>#REF!</v>
      </c>
      <c r="R22" s="467"/>
      <c r="S22" s="467"/>
      <c r="T22" s="485"/>
      <c r="U22" s="485"/>
      <c r="V22" s="485"/>
      <c r="W22" s="485"/>
      <c r="X22" s="485"/>
      <c r="Y22" s="498"/>
      <c r="Z22" s="498"/>
      <c r="AA22" s="467"/>
      <c r="AB22" s="467"/>
      <c r="AC22" s="467"/>
      <c r="AD22" s="474"/>
      <c r="AE22" s="501" t="s">
        <v>204</v>
      </c>
      <c r="AF22" s="502" t="e">
        <f ca="1">AF20/$M$20</f>
        <v>#REF!</v>
      </c>
      <c r="AG22" s="502" t="e">
        <f ca="1">AG20/$M$20</f>
        <v>#REF!</v>
      </c>
      <c r="AH22" s="502" t="e">
        <f ca="1">AH20/$M$20</f>
        <v>#REF!</v>
      </c>
      <c r="AI22" s="502" t="e">
        <f ca="1">AI20/$M$20</f>
        <v>#REF!</v>
      </c>
      <c r="AJ22" s="503"/>
      <c r="AK22" s="599"/>
      <c r="AL22" s="501" t="s">
        <v>204</v>
      </c>
      <c r="AM22" s="502" t="e">
        <f ca="1">AM20/$M$20</f>
        <v>#REF!</v>
      </c>
      <c r="AN22" s="502" t="e">
        <f ca="1">AN20/$M$20</f>
        <v>#REF!</v>
      </c>
      <c r="AO22" s="502" t="e">
        <f ca="1">AO20/$M$20</f>
        <v>#REF!</v>
      </c>
      <c r="AP22" s="502" t="e">
        <f ca="1">AP20/$M$20</f>
        <v>#REF!</v>
      </c>
      <c r="AQ22" s="503"/>
      <c r="AR22" s="599"/>
      <c r="AS22" s="599"/>
      <c r="AT22" s="599"/>
      <c r="AU22" s="599"/>
      <c r="AV22" s="599"/>
      <c r="AW22" s="599"/>
      <c r="AX22" s="599"/>
      <c r="AY22" s="599"/>
      <c r="AZ22" s="599"/>
      <c r="BA22" s="599"/>
      <c r="BB22" s="599"/>
      <c r="BC22" s="599"/>
      <c r="BD22" s="599"/>
      <c r="BE22" s="599"/>
      <c r="BF22" s="599"/>
      <c r="BG22" s="599"/>
      <c r="BH22" s="599"/>
      <c r="BI22" s="599"/>
      <c r="BJ22" s="599"/>
      <c r="BK22" s="599"/>
      <c r="BL22" s="599"/>
      <c r="BM22" s="599"/>
      <c r="BN22" s="599"/>
      <c r="BO22" s="599"/>
      <c r="BP22" s="599"/>
      <c r="BQ22" s="599"/>
      <c r="BR22" s="599"/>
      <c r="BS22" s="599"/>
      <c r="BT22" s="599"/>
      <c r="BU22" s="599"/>
      <c r="BV22" s="599"/>
      <c r="BW22" s="599"/>
      <c r="BX22" s="599"/>
      <c r="BY22" s="599"/>
      <c r="BZ22" s="599"/>
      <c r="CA22" s="599"/>
      <c r="CB22" s="599"/>
      <c r="CC22" s="599"/>
      <c r="CD22" s="501" t="s">
        <v>204</v>
      </c>
      <c r="CE22" s="502" t="e">
        <f ca="1">CE20/$M$20</f>
        <v>#REF!</v>
      </c>
      <c r="CF22" s="502" t="e">
        <f ca="1">CF20/$M$20</f>
        <v>#REF!</v>
      </c>
      <c r="CG22" s="502" t="e">
        <f ca="1">CG20/$M$20</f>
        <v>#REF!</v>
      </c>
      <c r="CH22" s="502" t="e">
        <f ca="1">CH20/$M$20</f>
        <v>#REF!</v>
      </c>
      <c r="CI22" s="503"/>
      <c r="CJ22" s="599"/>
      <c r="CK22" s="501" t="s">
        <v>204</v>
      </c>
      <c r="CL22" s="502" t="e">
        <f ca="1">CL20/$M$20</f>
        <v>#REF!</v>
      </c>
      <c r="CM22" s="502" t="e">
        <f ca="1">CM20/$M$20</f>
        <v>#REF!</v>
      </c>
      <c r="CN22" s="502" t="e">
        <f ca="1">CN20/$M$20</f>
        <v>#REF!</v>
      </c>
      <c r="CO22" s="502" t="e">
        <f ca="1">CO20/$M$20</f>
        <v>#REF!</v>
      </c>
      <c r="CP22" s="503"/>
      <c r="CQ22" s="599"/>
      <c r="CR22" s="501" t="s">
        <v>204</v>
      </c>
      <c r="CS22" s="502" t="e">
        <f ca="1">CS20/$M$20</f>
        <v>#REF!</v>
      </c>
      <c r="CT22" s="502" t="e">
        <f ca="1">CT20/$M$20</f>
        <v>#REF!</v>
      </c>
      <c r="CU22" s="502" t="e">
        <f ca="1">CU20/$M$20</f>
        <v>#REF!</v>
      </c>
      <c r="CV22" s="502" t="e">
        <f ca="1">CV20/$M$20</f>
        <v>#REF!</v>
      </c>
      <c r="CW22" s="503"/>
      <c r="CX22" s="599"/>
      <c r="CY22" s="599"/>
      <c r="CZ22" s="599"/>
      <c r="DA22" s="501" t="s">
        <v>204</v>
      </c>
      <c r="DB22" s="502" t="e">
        <f ca="1">DB20/$M$20</f>
        <v>#REF!</v>
      </c>
      <c r="DC22" s="502" t="e">
        <f ca="1">DC20/$M$20</f>
        <v>#REF!</v>
      </c>
      <c r="DD22" s="502" t="e">
        <f ca="1">DD20/$M$20</f>
        <v>#REF!</v>
      </c>
      <c r="DE22" s="502" t="e">
        <f ca="1">DE20/$M$20</f>
        <v>#REF!</v>
      </c>
      <c r="DF22" s="503"/>
      <c r="DG22" s="599"/>
      <c r="DH22" s="599"/>
      <c r="DI22" s="599"/>
      <c r="DJ22" s="599"/>
      <c r="DK22" s="599"/>
      <c r="DL22" s="599"/>
      <c r="DM22" s="599"/>
      <c r="DN22" s="599"/>
      <c r="DO22" s="599"/>
      <c r="DP22" s="599"/>
      <c r="DQ22" s="599"/>
      <c r="DR22" s="599"/>
      <c r="DS22" s="599"/>
      <c r="DT22" s="599"/>
      <c r="DU22" s="599"/>
      <c r="DV22" s="599"/>
      <c r="DW22" s="599"/>
      <c r="DX22" s="599"/>
      <c r="DY22" s="599"/>
      <c r="DZ22" s="599"/>
      <c r="EA22" s="599"/>
      <c r="EB22" s="599"/>
      <c r="EC22" s="599"/>
      <c r="ED22" s="599"/>
      <c r="EE22" s="599"/>
      <c r="EF22" s="599"/>
      <c r="EG22" s="599"/>
      <c r="EH22" s="599"/>
      <c r="EI22" s="599"/>
      <c r="EJ22" s="599"/>
      <c r="EK22" s="599"/>
      <c r="EL22" s="599"/>
      <c r="EM22" s="599"/>
      <c r="EN22" s="599"/>
      <c r="EO22" s="599"/>
      <c r="EP22" s="599"/>
      <c r="EQ22" s="599"/>
      <c r="ER22" s="599"/>
      <c r="ES22" s="599"/>
      <c r="ET22" s="599"/>
      <c r="EU22" s="599"/>
      <c r="EV22" s="599"/>
      <c r="EW22" s="599"/>
      <c r="EX22" s="599"/>
      <c r="EY22" s="599"/>
      <c r="EZ22" s="599"/>
    </row>
    <row r="23" spans="1:156" s="42" customFormat="1" hidden="1" outlineLevel="1">
      <c r="A23" s="497"/>
      <c r="B23" s="504"/>
      <c r="C23" s="504"/>
      <c r="D23" s="504"/>
      <c r="E23" s="504"/>
      <c r="F23" s="503"/>
      <c r="G23" s="470"/>
      <c r="H23" s="501" t="s">
        <v>168</v>
      </c>
      <c r="I23" s="502" t="e">
        <f ca="1">I20/B20-1</f>
        <v>#REF!</v>
      </c>
      <c r="J23" s="502">
        <f ca="1">IF(C20=0,0,J20/C20-1)</f>
        <v>0</v>
      </c>
      <c r="K23" s="502">
        <f ca="1">IF(D20=0,0,K20/D20-1)</f>
        <v>0</v>
      </c>
      <c r="L23" s="502">
        <f ca="1">IF(E20=0,0,L20/E20-1)</f>
        <v>0</v>
      </c>
      <c r="M23" s="503"/>
      <c r="N23" s="467"/>
      <c r="O23" s="467"/>
      <c r="P23" s="481"/>
      <c r="Q23" s="467"/>
      <c r="R23" s="467"/>
      <c r="S23" s="467"/>
      <c r="T23" s="485"/>
      <c r="U23" s="485"/>
      <c r="V23" s="485"/>
      <c r="W23" s="485"/>
      <c r="X23" s="485"/>
      <c r="Y23" s="498"/>
      <c r="Z23" s="498"/>
      <c r="AA23" s="467"/>
      <c r="AB23" s="467"/>
      <c r="AC23" s="467"/>
      <c r="AD23" s="474"/>
      <c r="AE23" s="501" t="s">
        <v>168</v>
      </c>
      <c r="AF23" s="502" t="e">
        <f ca="1">AF20/U20-1</f>
        <v>#REF!</v>
      </c>
      <c r="AG23" s="502">
        <f>IF(V20=0,0,AG20/V20-1)</f>
        <v>0</v>
      </c>
      <c r="AH23" s="502">
        <f>IF(W20=0,0,AH20/W20-1)</f>
        <v>0</v>
      </c>
      <c r="AI23" s="502">
        <f>IF(X20=0,0,AI20/X20-1)</f>
        <v>0</v>
      </c>
      <c r="AJ23" s="503"/>
      <c r="AK23" s="599"/>
      <c r="AL23" s="501" t="s">
        <v>168</v>
      </c>
      <c r="AM23" s="502" t="e">
        <f ca="1">AM20/AF20-1</f>
        <v>#REF!</v>
      </c>
      <c r="AN23" s="502" t="e">
        <f ca="1">IF(AG20=0,0,AN20/AG20-1)</f>
        <v>#REF!</v>
      </c>
      <c r="AO23" s="502" t="e">
        <f ca="1">IF(AH20=0,0,AO20/AH20-1)</f>
        <v>#REF!</v>
      </c>
      <c r="AP23" s="502" t="e">
        <f ca="1">IF(AI20=0,0,AP20/AI20-1)</f>
        <v>#REF!</v>
      </c>
      <c r="AQ23" s="503"/>
      <c r="AR23" s="599"/>
      <c r="AS23" s="599"/>
      <c r="AT23" s="599"/>
      <c r="AU23" s="599"/>
      <c r="AV23" s="599"/>
      <c r="AW23" s="599"/>
      <c r="AX23" s="599"/>
      <c r="AY23" s="599"/>
      <c r="AZ23" s="599"/>
      <c r="BA23" s="599"/>
      <c r="BB23" s="599"/>
      <c r="BC23" s="599"/>
      <c r="BD23" s="599"/>
      <c r="BE23" s="599"/>
      <c r="BF23" s="599"/>
      <c r="BG23" s="599"/>
      <c r="BH23" s="599"/>
      <c r="BI23" s="599"/>
      <c r="BJ23" s="599"/>
      <c r="BK23" s="599"/>
      <c r="BL23" s="599"/>
      <c r="BM23" s="599"/>
      <c r="BN23" s="599"/>
      <c r="BO23" s="599"/>
      <c r="BP23" s="599"/>
      <c r="BQ23" s="599"/>
      <c r="BR23" s="599"/>
      <c r="BS23" s="599"/>
      <c r="BT23" s="599"/>
      <c r="BU23" s="599"/>
      <c r="BV23" s="599"/>
      <c r="BW23" s="599"/>
      <c r="BX23" s="599"/>
      <c r="BY23" s="599"/>
      <c r="BZ23" s="599"/>
      <c r="CA23" s="599"/>
      <c r="CB23" s="599"/>
      <c r="CC23" s="599"/>
      <c r="CD23" s="501" t="s">
        <v>168</v>
      </c>
      <c r="CE23" s="502" t="e">
        <f ca="1">CE20/BV20-1</f>
        <v>#REF!</v>
      </c>
      <c r="CF23" s="502">
        <f>IF(BW20=0,0,CF20/BW20-1)</f>
        <v>0</v>
      </c>
      <c r="CG23" s="502">
        <f>IF(BX20=0,0,CG20/BX20-1)</f>
        <v>0</v>
      </c>
      <c r="CH23" s="502">
        <f>IF(BY20=0,0,CH20/BY20-1)</f>
        <v>0</v>
      </c>
      <c r="CI23" s="503"/>
      <c r="CJ23" s="599"/>
      <c r="CK23" s="501" t="s">
        <v>168</v>
      </c>
      <c r="CL23" s="502" t="e">
        <f ca="1">CL20/CE20-1</f>
        <v>#REF!</v>
      </c>
      <c r="CM23" s="502" t="e">
        <f ca="1">IF(CF20=0,0,CM20/CF20-1)</f>
        <v>#REF!</v>
      </c>
      <c r="CN23" s="502" t="e">
        <f ca="1">IF(CG20=0,0,CN20/CG20-1)</f>
        <v>#REF!</v>
      </c>
      <c r="CO23" s="502" t="e">
        <f ca="1">IF(CH20=0,0,CO20/CH20-1)</f>
        <v>#REF!</v>
      </c>
      <c r="CP23" s="503"/>
      <c r="CQ23" s="599"/>
      <c r="CR23" s="501" t="s">
        <v>168</v>
      </c>
      <c r="CS23" s="502" t="e">
        <f ca="1">CS20/CL20-1</f>
        <v>#REF!</v>
      </c>
      <c r="CT23" s="502" t="e">
        <f ca="1">IF(CM20=0,0,CT20/CM20-1)</f>
        <v>#REF!</v>
      </c>
      <c r="CU23" s="502" t="e">
        <f ca="1">IF(CN20=0,0,CU20/CN20-1)</f>
        <v>#REF!</v>
      </c>
      <c r="CV23" s="502" t="e">
        <f ca="1">IF(CO20=0,0,CV20/CO20-1)</f>
        <v>#REF!</v>
      </c>
      <c r="CW23" s="503"/>
      <c r="CX23" s="599"/>
      <c r="CY23" s="599"/>
      <c r="CZ23" s="599"/>
      <c r="DA23" s="501" t="s">
        <v>168</v>
      </c>
      <c r="DB23" s="502" t="e">
        <f ca="1">DB20/CU20-1</f>
        <v>#REF!</v>
      </c>
      <c r="DC23" s="502" t="e">
        <f ca="1">IF(CV20=0,0,DC20/CV20-1)</f>
        <v>#REF!</v>
      </c>
      <c r="DD23" s="502" t="e">
        <f ca="1">IF(CW20=0,0,DD20/CW20-1)</f>
        <v>#REF!</v>
      </c>
      <c r="DE23" s="502">
        <f>IF(CX20=0,0,DE20/CX20-1)</f>
        <v>0</v>
      </c>
      <c r="DF23" s="503"/>
      <c r="DG23" s="599"/>
      <c r="DH23" s="599"/>
      <c r="DI23" s="599"/>
      <c r="DJ23" s="599"/>
      <c r="DK23" s="599"/>
      <c r="DL23" s="599"/>
      <c r="DM23" s="599"/>
      <c r="DN23" s="599"/>
      <c r="DO23" s="599"/>
      <c r="DP23" s="599"/>
      <c r="DQ23" s="599"/>
      <c r="DR23" s="599"/>
      <c r="DS23" s="599"/>
      <c r="DT23" s="599"/>
      <c r="DU23" s="599"/>
      <c r="DV23" s="599"/>
      <c r="DW23" s="599"/>
      <c r="DX23" s="599"/>
      <c r="DY23" s="599"/>
      <c r="DZ23" s="599"/>
      <c r="EA23" s="599"/>
      <c r="EB23" s="599"/>
      <c r="EC23" s="599"/>
      <c r="ED23" s="599"/>
      <c r="EE23" s="599"/>
      <c r="EF23" s="599"/>
      <c r="EG23" s="599"/>
      <c r="EH23" s="599"/>
      <c r="EI23" s="599"/>
      <c r="EJ23" s="599"/>
      <c r="EK23" s="599"/>
      <c r="EL23" s="599"/>
      <c r="EM23" s="599"/>
      <c r="EN23" s="599"/>
      <c r="EO23" s="599"/>
      <c r="EP23" s="599"/>
      <c r="EQ23" s="599"/>
      <c r="ER23" s="599"/>
      <c r="ES23" s="599"/>
      <c r="ET23" s="599"/>
      <c r="EU23" s="599"/>
      <c r="EV23" s="599"/>
      <c r="EW23" s="599"/>
      <c r="EX23" s="599"/>
      <c r="EY23" s="599"/>
      <c r="EZ23" s="599"/>
    </row>
    <row r="24" spans="1:156" s="42" customFormat="1" hidden="1" outlineLevel="1">
      <c r="A24" s="497"/>
      <c r="B24" s="504"/>
      <c r="C24" s="504"/>
      <c r="D24" s="504"/>
      <c r="E24" s="504"/>
      <c r="F24" s="503"/>
      <c r="G24" s="470"/>
      <c r="H24" s="501" t="s">
        <v>169</v>
      </c>
      <c r="I24" s="505" t="e">
        <f ca="1">ROUND(I23*100,0)</f>
        <v>#REF!</v>
      </c>
      <c r="J24" s="505">
        <f ca="1">ROUND(J23*100,0)</f>
        <v>0</v>
      </c>
      <c r="K24" s="505">
        <f ca="1">ROUND(K23*100,0)</f>
        <v>0</v>
      </c>
      <c r="L24" s="505">
        <f ca="1">ROUND(L23*100,0)</f>
        <v>0</v>
      </c>
      <c r="M24" s="503"/>
      <c r="N24" s="467"/>
      <c r="O24" s="467"/>
      <c r="P24" s="481"/>
      <c r="Q24" s="467"/>
      <c r="R24" s="467"/>
      <c r="S24" s="467"/>
      <c r="T24" s="485"/>
      <c r="U24" s="485"/>
      <c r="V24" s="485"/>
      <c r="W24" s="485"/>
      <c r="X24" s="485"/>
      <c r="Y24" s="498"/>
      <c r="Z24" s="498"/>
      <c r="AA24" s="467"/>
      <c r="AB24" s="467"/>
      <c r="AC24" s="467"/>
      <c r="AD24" s="474"/>
      <c r="AE24" s="501" t="s">
        <v>169</v>
      </c>
      <c r="AF24" s="505" t="e">
        <f ca="1">ROUND(AF23*100,0)</f>
        <v>#REF!</v>
      </c>
      <c r="AG24" s="505">
        <f>ROUND(AG23*100,0)</f>
        <v>0</v>
      </c>
      <c r="AH24" s="505">
        <f>ROUND(AH23*100,0)</f>
        <v>0</v>
      </c>
      <c r="AI24" s="505">
        <f>ROUND(AI23*100,0)</f>
        <v>0</v>
      </c>
      <c r="AJ24" s="503"/>
      <c r="AK24" s="599"/>
      <c r="AL24" s="501" t="s">
        <v>169</v>
      </c>
      <c r="AM24" s="505" t="e">
        <f ca="1">ROUND(AM23*100,0)</f>
        <v>#REF!</v>
      </c>
      <c r="AN24" s="505" t="e">
        <f ca="1">ROUND(AN23*100,0)</f>
        <v>#REF!</v>
      </c>
      <c r="AO24" s="505" t="e">
        <f ca="1">ROUND(AO23*100,0)</f>
        <v>#REF!</v>
      </c>
      <c r="AP24" s="505" t="e">
        <f ca="1">ROUND(AP23*100,0)</f>
        <v>#REF!</v>
      </c>
      <c r="AQ24" s="503"/>
      <c r="AR24" s="599"/>
      <c r="AS24" s="599"/>
      <c r="AT24" s="599"/>
      <c r="AU24" s="599"/>
      <c r="AV24" s="599"/>
      <c r="AW24" s="599"/>
      <c r="AX24" s="599"/>
      <c r="AY24" s="599"/>
      <c r="AZ24" s="599"/>
      <c r="BA24" s="599"/>
      <c r="BB24" s="599"/>
      <c r="BC24" s="599"/>
      <c r="BD24" s="599"/>
      <c r="BE24" s="599"/>
      <c r="BF24" s="599"/>
      <c r="BG24" s="599"/>
      <c r="BH24" s="599"/>
      <c r="BI24" s="599"/>
      <c r="BJ24" s="599"/>
      <c r="BK24" s="599"/>
      <c r="BL24" s="599"/>
      <c r="BM24" s="599"/>
      <c r="BN24" s="599"/>
      <c r="BO24" s="599"/>
      <c r="BP24" s="599"/>
      <c r="BQ24" s="599"/>
      <c r="BR24" s="599"/>
      <c r="BS24" s="599"/>
      <c r="BT24" s="599"/>
      <c r="BU24" s="599"/>
      <c r="BV24" s="599"/>
      <c r="BW24" s="599"/>
      <c r="BX24" s="599"/>
      <c r="BY24" s="599"/>
      <c r="BZ24" s="599"/>
      <c r="CA24" s="599"/>
      <c r="CB24" s="599"/>
      <c r="CC24" s="599"/>
      <c r="CD24" s="501" t="s">
        <v>169</v>
      </c>
      <c r="CE24" s="505" t="e">
        <f ca="1">ROUND(CE23*100,0)</f>
        <v>#REF!</v>
      </c>
      <c r="CF24" s="505">
        <f>ROUND(CF23*100,0)</f>
        <v>0</v>
      </c>
      <c r="CG24" s="505">
        <f>ROUND(CG23*100,0)</f>
        <v>0</v>
      </c>
      <c r="CH24" s="505">
        <f>ROUND(CH23*100,0)</f>
        <v>0</v>
      </c>
      <c r="CI24" s="503"/>
      <c r="CJ24" s="599"/>
      <c r="CK24" s="501" t="s">
        <v>169</v>
      </c>
      <c r="CL24" s="505" t="e">
        <f ca="1">ROUND(CL23*100,0)</f>
        <v>#REF!</v>
      </c>
      <c r="CM24" s="505" t="e">
        <f ca="1">ROUND(CM23*100,0)</f>
        <v>#REF!</v>
      </c>
      <c r="CN24" s="505" t="e">
        <f ca="1">ROUND(CN23*100,0)</f>
        <v>#REF!</v>
      </c>
      <c r="CO24" s="505" t="e">
        <f ca="1">ROUND(CO23*100,0)</f>
        <v>#REF!</v>
      </c>
      <c r="CP24" s="503"/>
      <c r="CQ24" s="599"/>
      <c r="CR24" s="501" t="s">
        <v>169</v>
      </c>
      <c r="CS24" s="505" t="e">
        <f ca="1">ROUND(CS23*100,0)</f>
        <v>#REF!</v>
      </c>
      <c r="CT24" s="505" t="e">
        <f ca="1">ROUND(CT23*100,0)</f>
        <v>#REF!</v>
      </c>
      <c r="CU24" s="505" t="e">
        <f ca="1">ROUND(CU23*100,0)</f>
        <v>#REF!</v>
      </c>
      <c r="CV24" s="505" t="e">
        <f ca="1">ROUND(CV23*100,0)</f>
        <v>#REF!</v>
      </c>
      <c r="CW24" s="503"/>
      <c r="CX24" s="599"/>
      <c r="CY24" s="599"/>
      <c r="CZ24" s="599"/>
      <c r="DA24" s="501" t="s">
        <v>169</v>
      </c>
      <c r="DB24" s="505" t="e">
        <f ca="1">ROUND(DB23*100,0)</f>
        <v>#REF!</v>
      </c>
      <c r="DC24" s="505" t="e">
        <f ca="1">ROUND(DC23*100,0)</f>
        <v>#REF!</v>
      </c>
      <c r="DD24" s="505" t="e">
        <f ca="1">ROUND(DD23*100,0)</f>
        <v>#REF!</v>
      </c>
      <c r="DE24" s="505">
        <f>ROUND(DE23*100,0)</f>
        <v>0</v>
      </c>
      <c r="DF24" s="503"/>
      <c r="DG24" s="599"/>
      <c r="DH24" s="599"/>
      <c r="DI24" s="599"/>
      <c r="DJ24" s="599"/>
      <c r="DK24" s="599"/>
      <c r="DL24" s="599"/>
      <c r="DM24" s="599"/>
      <c r="DN24" s="599"/>
      <c r="DO24" s="599"/>
      <c r="DP24" s="599"/>
      <c r="DQ24" s="599"/>
      <c r="DR24" s="599"/>
      <c r="DS24" s="599"/>
      <c r="DT24" s="599"/>
      <c r="DU24" s="599"/>
      <c r="DV24" s="599"/>
      <c r="DW24" s="599"/>
      <c r="DX24" s="599"/>
      <c r="DY24" s="599"/>
      <c r="DZ24" s="599"/>
      <c r="EA24" s="599"/>
      <c r="EB24" s="599"/>
      <c r="EC24" s="599"/>
      <c r="ED24" s="599"/>
      <c r="EE24" s="599"/>
      <c r="EF24" s="599"/>
      <c r="EG24" s="599"/>
      <c r="EH24" s="599"/>
      <c r="EI24" s="599"/>
      <c r="EJ24" s="599"/>
      <c r="EK24" s="599"/>
      <c r="EL24" s="599"/>
      <c r="EM24" s="599"/>
      <c r="EN24" s="599"/>
      <c r="EO24" s="599"/>
      <c r="EP24" s="599"/>
      <c r="EQ24" s="599"/>
      <c r="ER24" s="599"/>
      <c r="ES24" s="599"/>
      <c r="ET24" s="599"/>
      <c r="EU24" s="599"/>
      <c r="EV24" s="599"/>
      <c r="EW24" s="599"/>
      <c r="EX24" s="599"/>
      <c r="EY24" s="599"/>
      <c r="EZ24" s="599"/>
    </row>
    <row r="25" spans="1:156" s="42" customFormat="1" hidden="1" outlineLevel="1">
      <c r="A25" s="497"/>
      <c r="B25" s="504"/>
      <c r="C25" s="504"/>
      <c r="D25" s="504"/>
      <c r="E25" s="504"/>
      <c r="F25" s="503"/>
      <c r="G25" s="470"/>
      <c r="H25" s="501" t="s">
        <v>170</v>
      </c>
      <c r="I25" s="502" t="e">
        <f ca="1">I10&amp;" : "&amp;I24&amp;"%"</f>
        <v>#REF!</v>
      </c>
      <c r="J25" s="502" t="str">
        <f ca="1">J10&amp;" : "&amp;J24&amp;"%"</f>
        <v>Gaz naturel : 0%</v>
      </c>
      <c r="K25" s="502" t="str">
        <f ca="1">K10&amp;" : "&amp;K24&amp;"%"</f>
        <v>Prod. Petr. : 0%</v>
      </c>
      <c r="L25" s="502" t="str">
        <f ca="1">L10&amp;" : "&amp;L24&amp;"%"</f>
        <v>Total autres : 0%</v>
      </c>
      <c r="M25" s="503"/>
      <c r="N25" s="467"/>
      <c r="O25" s="467"/>
      <c r="P25" s="481"/>
      <c r="Q25" s="467"/>
      <c r="R25" s="467"/>
      <c r="S25" s="467"/>
      <c r="T25" s="485"/>
      <c r="U25" s="485"/>
      <c r="V25" s="485"/>
      <c r="W25" s="485"/>
      <c r="X25" s="485"/>
      <c r="Y25" s="498"/>
      <c r="Z25" s="498"/>
      <c r="AA25" s="467"/>
      <c r="AB25" s="467"/>
      <c r="AC25" s="467"/>
      <c r="AD25" s="474"/>
      <c r="AE25" s="501" t="s">
        <v>170</v>
      </c>
      <c r="AF25" s="502" t="e">
        <f ca="1">AF10&amp;" : "&amp;AF24&amp;"%"</f>
        <v>#REF!</v>
      </c>
      <c r="AG25" s="502" t="str">
        <f>AG10&amp;" : "&amp;AG24&amp;"%"</f>
        <v>Gaz naturel : 0%</v>
      </c>
      <c r="AH25" s="502" t="str">
        <f>AH10&amp;" : "&amp;AH24&amp;"%"</f>
        <v>Prod. Petr. : 0%</v>
      </c>
      <c r="AI25" s="502" t="str">
        <f>AI10&amp;" : "&amp;AI24&amp;"%"</f>
        <v>Total autres : 0%</v>
      </c>
      <c r="AJ25" s="503"/>
      <c r="AK25" s="599"/>
      <c r="AL25" s="501" t="s">
        <v>170</v>
      </c>
      <c r="AM25" s="502" t="e">
        <f ca="1">AM10&amp;" : "&amp;AM24&amp;"%"</f>
        <v>#REF!</v>
      </c>
      <c r="AN25" s="502" t="e">
        <f ca="1">AN10&amp;" : "&amp;AN24&amp;"%"</f>
        <v>#REF!</v>
      </c>
      <c r="AO25" s="502" t="e">
        <f ca="1">AO10&amp;" : "&amp;AO24&amp;"%"</f>
        <v>#REF!</v>
      </c>
      <c r="AP25" s="502" t="e">
        <f ca="1">AP10&amp;" : "&amp;AP24&amp;"%"</f>
        <v>#REF!</v>
      </c>
      <c r="AQ25" s="503"/>
      <c r="AR25" s="599"/>
      <c r="AS25" s="599"/>
      <c r="AT25" s="599"/>
      <c r="AU25" s="599"/>
      <c r="AV25" s="599"/>
      <c r="AW25" s="599"/>
      <c r="AX25" s="599"/>
      <c r="AY25" s="599"/>
      <c r="AZ25" s="599"/>
      <c r="BA25" s="599"/>
      <c r="BB25" s="599"/>
      <c r="BC25" s="599"/>
      <c r="BD25" s="599"/>
      <c r="BE25" s="599"/>
      <c r="BF25" s="599"/>
      <c r="BG25" s="599"/>
      <c r="BH25" s="599"/>
      <c r="BI25" s="599"/>
      <c r="BJ25" s="599"/>
      <c r="BK25" s="599"/>
      <c r="BL25" s="599"/>
      <c r="BM25" s="599"/>
      <c r="BN25" s="599"/>
      <c r="BO25" s="599"/>
      <c r="BP25" s="599"/>
      <c r="BQ25" s="599"/>
      <c r="BR25" s="599"/>
      <c r="BS25" s="599"/>
      <c r="BT25" s="599"/>
      <c r="BU25" s="599"/>
      <c r="BV25" s="599"/>
      <c r="BW25" s="599"/>
      <c r="BX25" s="599"/>
      <c r="BY25" s="599"/>
      <c r="BZ25" s="599"/>
      <c r="CA25" s="599"/>
      <c r="CB25" s="599"/>
      <c r="CC25" s="599"/>
      <c r="CD25" s="501" t="s">
        <v>170</v>
      </c>
      <c r="CE25" s="502" t="e">
        <f ca="1">CE10&amp;" : "&amp;CE24&amp;"%"</f>
        <v>#REF!</v>
      </c>
      <c r="CF25" s="502" t="str">
        <f>CF10&amp;" : "&amp;CF24&amp;"%"</f>
        <v>Gaz naturel : 0%</v>
      </c>
      <c r="CG25" s="502" t="str">
        <f>CG10&amp;" : "&amp;CG24&amp;"%"</f>
        <v>Prod. Petr. : 0%</v>
      </c>
      <c r="CH25" s="502" t="str">
        <f>CH10&amp;" : "&amp;CH24&amp;"%"</f>
        <v>Total autres : 0%</v>
      </c>
      <c r="CI25" s="503"/>
      <c r="CJ25" s="599"/>
      <c r="CK25" s="501" t="s">
        <v>170</v>
      </c>
      <c r="CL25" s="502" t="e">
        <f ca="1">CL10&amp;" : "&amp;CL24&amp;"%"</f>
        <v>#REF!</v>
      </c>
      <c r="CM25" s="502" t="e">
        <f ca="1">CM10&amp;" : "&amp;CM24&amp;"%"</f>
        <v>#REF!</v>
      </c>
      <c r="CN25" s="502" t="e">
        <f ca="1">CN10&amp;" : "&amp;CN24&amp;"%"</f>
        <v>#REF!</v>
      </c>
      <c r="CO25" s="502" t="e">
        <f ca="1">CO10&amp;" : "&amp;CO24&amp;"%"</f>
        <v>#REF!</v>
      </c>
      <c r="CP25" s="503"/>
      <c r="CQ25" s="599"/>
      <c r="CR25" s="501" t="s">
        <v>170</v>
      </c>
      <c r="CS25" s="502" t="e">
        <f ca="1">CS10&amp;" : "&amp;CS24&amp;"%"</f>
        <v>#REF!</v>
      </c>
      <c r="CT25" s="502" t="e">
        <f ca="1">CT10&amp;" : "&amp;CT24&amp;"%"</f>
        <v>#REF!</v>
      </c>
      <c r="CU25" s="502" t="e">
        <f ca="1">CU10&amp;" : "&amp;CU24&amp;"%"</f>
        <v>#REF!</v>
      </c>
      <c r="CV25" s="502" t="e">
        <f ca="1">CV10&amp;" : "&amp;CV24&amp;"%"</f>
        <v>#REF!</v>
      </c>
      <c r="CW25" s="503"/>
      <c r="CX25" s="599"/>
      <c r="CY25" s="599"/>
      <c r="CZ25" s="599"/>
      <c r="DA25" s="501" t="s">
        <v>170</v>
      </c>
      <c r="DB25" s="502" t="e">
        <f ca="1">DB10&amp;" : "&amp;DB24&amp;"%"</f>
        <v>#REF!</v>
      </c>
      <c r="DC25" s="502" t="e">
        <f ca="1">DC10&amp;" : "&amp;DC24&amp;"%"</f>
        <v>#REF!</v>
      </c>
      <c r="DD25" s="502" t="e">
        <f ca="1">DD10&amp;" : "&amp;DD24&amp;"%"</f>
        <v>#REF!</v>
      </c>
      <c r="DE25" s="502" t="str">
        <f>DE10&amp;" : "&amp;DE24&amp;"%"</f>
        <v>Total autres : 0%</v>
      </c>
      <c r="DF25" s="503"/>
      <c r="DG25" s="599"/>
      <c r="DH25" s="599"/>
      <c r="DI25" s="599"/>
      <c r="DJ25" s="599"/>
      <c r="DK25" s="599"/>
      <c r="DL25" s="599"/>
      <c r="DM25" s="599"/>
      <c r="DN25" s="599"/>
      <c r="DO25" s="599"/>
      <c r="DP25" s="599"/>
      <c r="DQ25" s="599"/>
      <c r="DR25" s="599"/>
      <c r="DS25" s="599"/>
      <c r="DT25" s="599"/>
      <c r="DU25" s="599"/>
      <c r="DV25" s="599"/>
      <c r="DW25" s="599"/>
      <c r="DX25" s="599"/>
      <c r="DY25" s="599"/>
      <c r="DZ25" s="599"/>
      <c r="EA25" s="599"/>
      <c r="EB25" s="599"/>
      <c r="EC25" s="599"/>
      <c r="ED25" s="599"/>
      <c r="EE25" s="599"/>
      <c r="EF25" s="599"/>
      <c r="EG25" s="599"/>
      <c r="EH25" s="599"/>
      <c r="EI25" s="599"/>
      <c r="EJ25" s="599"/>
      <c r="EK25" s="599"/>
      <c r="EL25" s="599"/>
      <c r="EM25" s="599"/>
      <c r="EN25" s="599"/>
      <c r="EO25" s="599"/>
      <c r="EP25" s="599"/>
      <c r="EQ25" s="599"/>
      <c r="ER25" s="599"/>
      <c r="ES25" s="599"/>
      <c r="ET25" s="599"/>
      <c r="EU25" s="599"/>
      <c r="EV25" s="599"/>
      <c r="EW25" s="599"/>
      <c r="EX25" s="599"/>
      <c r="EY25" s="599"/>
      <c r="EZ25" s="599"/>
    </row>
    <row r="26" spans="1:156" s="42" customFormat="1" ht="15" collapsed="1" thickBot="1">
      <c r="A26" s="355"/>
      <c r="B26" s="430"/>
      <c r="C26" s="430"/>
      <c r="D26" s="430"/>
      <c r="E26" s="430"/>
      <c r="F26" s="431"/>
      <c r="G26" s="432"/>
      <c r="H26" s="355"/>
      <c r="I26" s="430"/>
      <c r="J26" s="430"/>
      <c r="K26" s="430"/>
      <c r="L26" s="430"/>
      <c r="M26" s="431"/>
      <c r="N26" s="79"/>
      <c r="O26" s="470"/>
      <c r="P26" s="479"/>
      <c r="Q26" s="470"/>
      <c r="R26" s="470"/>
      <c r="S26" s="470"/>
      <c r="T26" s="485"/>
      <c r="U26" s="485"/>
      <c r="V26" s="485"/>
      <c r="W26" s="485"/>
      <c r="X26" s="485"/>
      <c r="Y26" s="593"/>
      <c r="Z26" s="593"/>
      <c r="AA26" s="467"/>
      <c r="AB26" s="467"/>
      <c r="AC26" s="467"/>
      <c r="AD26" s="474"/>
      <c r="AE26" s="355"/>
      <c r="AF26" s="862" t="e">
        <f ca="1">AF20*D60</f>
        <v>#REF!</v>
      </c>
      <c r="AG26" s="430"/>
      <c r="AH26" s="430"/>
      <c r="AI26" s="430"/>
      <c r="AJ26" s="431"/>
      <c r="AK26" s="599"/>
      <c r="AL26" s="874" t="e">
        <f ca="1">AM20-I59</f>
        <v>#REF!</v>
      </c>
      <c r="AM26" s="864" t="e">
        <f ca="1">AM20-AF20</f>
        <v>#REF!</v>
      </c>
      <c r="AN26" s="430"/>
      <c r="AO26" s="862" t="e">
        <f ca="1">SUM(AN39:AP39)/SUM(AN20:AP20)</f>
        <v>#REF!</v>
      </c>
      <c r="AP26" s="430"/>
      <c r="AQ26" s="431"/>
      <c r="AR26" s="599"/>
      <c r="AS26" s="599"/>
      <c r="AT26" s="599"/>
      <c r="AU26" s="599"/>
      <c r="AV26" s="599"/>
      <c r="AW26" s="599"/>
      <c r="AX26" s="599"/>
      <c r="AY26" s="599"/>
      <c r="AZ26" s="599"/>
      <c r="BA26" s="599"/>
      <c r="BB26" s="599"/>
      <c r="BC26" s="599"/>
      <c r="BD26" s="599"/>
      <c r="BE26" s="599"/>
      <c r="BF26" s="599"/>
      <c r="BG26" s="1133"/>
      <c r="BH26" s="1133"/>
      <c r="BI26" s="599"/>
      <c r="BJ26" s="599"/>
      <c r="BK26" s="599"/>
      <c r="BL26" s="599"/>
      <c r="BM26" s="599"/>
      <c r="BN26" s="599"/>
      <c r="BO26" s="599"/>
      <c r="BP26" s="599"/>
      <c r="BQ26" s="599"/>
      <c r="BR26" s="599"/>
      <c r="BS26" s="599"/>
      <c r="BT26" s="599"/>
      <c r="BU26" s="599"/>
      <c r="BV26" s="599"/>
      <c r="BW26" s="599"/>
      <c r="BX26" s="599"/>
      <c r="BY26" s="599"/>
      <c r="BZ26" s="599"/>
      <c r="CA26" s="599"/>
      <c r="CB26" s="599"/>
      <c r="CC26" s="599"/>
      <c r="CD26" s="355"/>
      <c r="CE26" s="430"/>
      <c r="CF26" s="430"/>
      <c r="CG26" s="430"/>
      <c r="CH26" s="430"/>
      <c r="CI26" s="431"/>
      <c r="CJ26" s="599"/>
      <c r="CK26" s="355"/>
      <c r="CL26" s="862" t="e">
        <f ca="1">CL20-I20</f>
        <v>#REF!</v>
      </c>
      <c r="CM26" s="862" t="e">
        <f ca="1">SUM(CM20:CO20)-SUM(J20:L20)</f>
        <v>#REF!</v>
      </c>
      <c r="CN26" s="862" t="e">
        <f ca="1">CN20-K20</f>
        <v>#REF!</v>
      </c>
      <c r="CO26" s="862" t="e">
        <f ca="1">CO20-L20</f>
        <v>#REF!</v>
      </c>
      <c r="CP26" s="431"/>
      <c r="CQ26" s="599"/>
      <c r="CR26" s="355"/>
      <c r="CS26" s="430"/>
      <c r="CT26" s="430"/>
      <c r="CU26" s="430"/>
      <c r="CV26" s="430"/>
      <c r="CW26" s="431"/>
      <c r="CX26" s="599"/>
      <c r="CY26" s="599"/>
      <c r="CZ26" s="599"/>
      <c r="DA26" s="355"/>
      <c r="DB26" s="430"/>
      <c r="DC26" s="430"/>
      <c r="DD26" s="430"/>
      <c r="DE26" s="430"/>
      <c r="DF26" s="431"/>
      <c r="DG26" s="599"/>
      <c r="DH26" s="599"/>
      <c r="DI26" s="599"/>
      <c r="DJ26" s="599"/>
      <c r="DK26" s="599"/>
      <c r="DL26" s="599"/>
      <c r="DM26" s="599"/>
      <c r="DN26" s="599"/>
      <c r="DO26" s="599"/>
      <c r="DP26" s="599"/>
      <c r="DQ26" s="599"/>
      <c r="DR26" s="599"/>
      <c r="DS26" s="599"/>
      <c r="DT26" s="599"/>
      <c r="DU26" s="599"/>
      <c r="DV26" s="599"/>
      <c r="DW26" s="599"/>
      <c r="DX26" s="599"/>
      <c r="DY26" s="599"/>
      <c r="DZ26" s="599"/>
      <c r="EA26" s="599"/>
      <c r="EB26" s="599"/>
      <c r="EC26" s="599"/>
      <c r="ED26" s="599"/>
      <c r="EE26" s="599"/>
      <c r="EF26" s="599"/>
      <c r="EG26" s="599"/>
      <c r="EH26" s="599"/>
      <c r="EI26" s="599"/>
      <c r="EJ26" s="599"/>
      <c r="EK26" s="599"/>
      <c r="EL26" s="599"/>
      <c r="EM26" s="599"/>
      <c r="EN26" s="599"/>
      <c r="EO26" s="599"/>
      <c r="EP26" s="599"/>
      <c r="EQ26" s="599"/>
      <c r="ER26" s="599"/>
      <c r="ES26" s="599"/>
      <c r="ET26" s="599"/>
      <c r="EU26" s="599"/>
      <c r="EV26" s="599"/>
      <c r="EW26" s="599"/>
      <c r="EX26" s="599"/>
      <c r="EY26" s="599"/>
      <c r="EZ26" s="599"/>
    </row>
    <row r="27" spans="1:156" ht="18.600000000000001" thickBot="1">
      <c r="A27" s="1151">
        <f>Accueil!E28</f>
        <v>2006</v>
      </c>
      <c r="B27" s="1943" t="s">
        <v>175</v>
      </c>
      <c r="C27" s="1943"/>
      <c r="D27" s="1943"/>
      <c r="E27" s="1943"/>
      <c r="F27" s="1943"/>
      <c r="G27" s="70"/>
      <c r="H27" s="859">
        <f>Accueil!E29</f>
        <v>0</v>
      </c>
      <c r="I27" s="1943" t="s">
        <v>175</v>
      </c>
      <c r="J27" s="1943"/>
      <c r="K27" s="1943"/>
      <c r="L27" s="1943"/>
      <c r="M27" s="1943"/>
      <c r="N27" s="70"/>
      <c r="O27" s="470"/>
      <c r="P27" s="479"/>
      <c r="Q27" s="470"/>
      <c r="R27" s="470"/>
      <c r="S27" s="470"/>
      <c r="T27" s="485"/>
      <c r="U27" s="485"/>
      <c r="V27" s="485"/>
      <c r="W27" s="485"/>
      <c r="X27" s="485"/>
      <c r="Y27" s="593"/>
      <c r="Z27" s="593"/>
      <c r="AA27" s="485"/>
      <c r="AB27" s="485"/>
      <c r="AC27" s="485"/>
      <c r="AD27" s="1118"/>
      <c r="AE27" s="859">
        <v>2030</v>
      </c>
      <c r="AF27" s="1943" t="s">
        <v>175</v>
      </c>
      <c r="AG27" s="1943"/>
      <c r="AH27" s="1943"/>
      <c r="AI27" s="1943"/>
      <c r="AJ27" s="1943"/>
      <c r="AK27" s="600"/>
      <c r="AL27" s="859">
        <v>2030</v>
      </c>
      <c r="AM27" s="1943" t="s">
        <v>175</v>
      </c>
      <c r="AN27" s="1943"/>
      <c r="AO27" s="1943"/>
      <c r="AP27" s="1943"/>
      <c r="AQ27" s="1943"/>
      <c r="AR27" s="600" t="s">
        <v>205</v>
      </c>
      <c r="AS27" s="600" t="s">
        <v>206</v>
      </c>
      <c r="AT27" s="600" t="s">
        <v>207</v>
      </c>
      <c r="AU27" s="600"/>
      <c r="AV27" s="600"/>
      <c r="AW27" s="600"/>
      <c r="AX27" s="600"/>
      <c r="AY27" s="600"/>
      <c r="AZ27" s="600"/>
      <c r="BA27" s="600"/>
      <c r="BB27" s="600"/>
      <c r="BC27" s="600"/>
      <c r="BD27" s="600"/>
      <c r="BE27" s="600"/>
      <c r="BF27" s="600"/>
      <c r="BG27" s="600"/>
      <c r="BH27" s="600"/>
      <c r="BI27" s="600"/>
      <c r="BJ27" s="600"/>
      <c r="BK27" s="600"/>
      <c r="BL27" s="600"/>
      <c r="BM27" s="600"/>
      <c r="BN27" s="600"/>
      <c r="BO27" s="600"/>
      <c r="BP27" s="600"/>
      <c r="BQ27" s="600"/>
      <c r="BR27" s="600"/>
      <c r="BS27" s="600"/>
      <c r="BT27" s="600"/>
      <c r="BU27" s="600"/>
      <c r="BV27" s="600"/>
      <c r="BW27" s="600"/>
      <c r="BX27" s="600"/>
      <c r="BY27" s="600"/>
      <c r="BZ27" s="600"/>
      <c r="CA27" s="600"/>
      <c r="CB27" s="600"/>
      <c r="CC27" s="600"/>
      <c r="CD27" s="859">
        <v>2030</v>
      </c>
      <c r="CE27" s="1943" t="s">
        <v>175</v>
      </c>
      <c r="CF27" s="1943"/>
      <c r="CG27" s="1943"/>
      <c r="CH27" s="1943"/>
      <c r="CI27" s="1943"/>
      <c r="CJ27" s="600"/>
      <c r="CK27" s="859">
        <v>2030</v>
      </c>
      <c r="CL27" s="1943" t="s">
        <v>175</v>
      </c>
      <c r="CM27" s="1943"/>
      <c r="CN27" s="1943"/>
      <c r="CO27" s="1943"/>
      <c r="CP27" s="1943"/>
      <c r="CQ27" s="600"/>
      <c r="CR27" s="859">
        <v>2030</v>
      </c>
      <c r="CS27" s="1943" t="s">
        <v>175</v>
      </c>
      <c r="CT27" s="1943"/>
      <c r="CU27" s="1943"/>
      <c r="CV27" s="1943"/>
      <c r="CW27" s="1943"/>
      <c r="CX27" s="600"/>
      <c r="CY27" s="600"/>
      <c r="CZ27" s="600"/>
      <c r="DA27" s="859">
        <f>DA9</f>
        <v>0</v>
      </c>
      <c r="DB27" s="1943" t="s">
        <v>175</v>
      </c>
      <c r="DC27" s="1943"/>
      <c r="DD27" s="1943"/>
      <c r="DE27" s="1943"/>
      <c r="DF27" s="1943"/>
      <c r="DG27" s="600"/>
      <c r="DH27" s="600"/>
      <c r="DI27" s="600"/>
      <c r="DJ27" s="600"/>
      <c r="DK27" s="600"/>
      <c r="DL27" s="600"/>
      <c r="DM27" s="600"/>
      <c r="DN27" s="600"/>
      <c r="DO27" s="600"/>
      <c r="DP27" s="600"/>
      <c r="DQ27" s="600"/>
      <c r="DR27" s="600"/>
      <c r="DS27" s="600"/>
      <c r="DT27" s="600"/>
      <c r="DU27" s="600"/>
      <c r="DV27" s="600"/>
      <c r="DW27" s="600"/>
      <c r="DX27" s="600"/>
      <c r="DY27" s="600"/>
      <c r="DZ27" s="600"/>
      <c r="EA27" s="600"/>
      <c r="EB27" s="600"/>
      <c r="EC27" s="600"/>
      <c r="ED27" s="600"/>
      <c r="EE27" s="600"/>
      <c r="EF27" s="600"/>
      <c r="EG27" s="600"/>
      <c r="EH27" s="600"/>
      <c r="EI27" s="600"/>
      <c r="EJ27" s="600"/>
      <c r="EK27" s="600"/>
      <c r="EL27" s="600"/>
      <c r="EM27" s="600"/>
      <c r="EN27" s="600"/>
      <c r="EO27" s="600"/>
      <c r="EP27" s="600"/>
      <c r="EQ27" s="600"/>
      <c r="ER27" s="600"/>
      <c r="ES27" s="600"/>
      <c r="ET27" s="600"/>
      <c r="EU27" s="600"/>
      <c r="EV27" s="600"/>
      <c r="EW27" s="600"/>
      <c r="EX27" s="600"/>
      <c r="EY27" s="600"/>
      <c r="EZ27" s="600"/>
    </row>
    <row r="28" spans="1:156" ht="15" thickBot="1">
      <c r="A28" s="1108"/>
      <c r="B28" s="566" t="s">
        <v>93</v>
      </c>
      <c r="C28" s="562" t="s">
        <v>98</v>
      </c>
      <c r="D28" s="566" t="s">
        <v>144</v>
      </c>
      <c r="E28" s="566" t="s">
        <v>158</v>
      </c>
      <c r="F28" s="566" t="s">
        <v>166</v>
      </c>
      <c r="G28" s="70"/>
      <c r="H28" s="1152"/>
      <c r="I28" s="566" t="s">
        <v>93</v>
      </c>
      <c r="J28" s="562" t="s">
        <v>98</v>
      </c>
      <c r="K28" s="566" t="s">
        <v>144</v>
      </c>
      <c r="L28" s="566" t="s">
        <v>158</v>
      </c>
      <c r="M28" s="566" t="s">
        <v>166</v>
      </c>
      <c r="N28" s="70"/>
      <c r="O28" s="452" t="str">
        <f>O10</f>
        <v>Part 2006</v>
      </c>
      <c r="P28" s="452" t="str">
        <f>P10</f>
        <v xml:space="preserve">Part </v>
      </c>
      <c r="Q28" s="453" t="s">
        <v>168</v>
      </c>
      <c r="R28" s="453" t="s">
        <v>169</v>
      </c>
      <c r="S28" s="453" t="s">
        <v>170</v>
      </c>
      <c r="T28" s="485"/>
      <c r="U28" s="485"/>
      <c r="V28" s="485"/>
      <c r="W28" s="485"/>
      <c r="X28" s="485"/>
      <c r="Y28" s="593"/>
      <c r="Z28" s="593"/>
      <c r="AA28" s="485"/>
      <c r="AB28" s="485"/>
      <c r="AC28" s="485"/>
      <c r="AD28" s="1118"/>
      <c r="AE28" s="1152"/>
      <c r="AF28" s="566" t="s">
        <v>93</v>
      </c>
      <c r="AG28" s="562" t="s">
        <v>98</v>
      </c>
      <c r="AH28" s="566" t="s">
        <v>144</v>
      </c>
      <c r="AI28" s="566" t="s">
        <v>158</v>
      </c>
      <c r="AJ28" s="566" t="s">
        <v>166</v>
      </c>
      <c r="AK28" s="600"/>
      <c r="AL28" s="1152"/>
      <c r="AM28" s="566" t="s">
        <v>93</v>
      </c>
      <c r="AN28" s="562" t="s">
        <v>98</v>
      </c>
      <c r="AO28" s="566" t="s">
        <v>144</v>
      </c>
      <c r="AP28" s="566" t="s">
        <v>158</v>
      </c>
      <c r="AQ28" s="566" t="s">
        <v>166</v>
      </c>
      <c r="AR28" s="600"/>
      <c r="AS28" s="600"/>
      <c r="AT28" s="600"/>
      <c r="AU28" s="600"/>
      <c r="AV28" s="600"/>
      <c r="AW28" s="600"/>
      <c r="AX28" s="600"/>
      <c r="AY28" s="600"/>
      <c r="AZ28" s="600"/>
      <c r="BA28" s="600"/>
      <c r="BB28" s="600"/>
      <c r="BC28" s="600"/>
      <c r="BD28" s="600"/>
      <c r="BE28" s="600"/>
      <c r="BF28" s="600"/>
      <c r="BG28" s="1138"/>
      <c r="BH28" s="1138"/>
      <c r="BI28" s="600"/>
      <c r="BJ28" s="600"/>
      <c r="BK28" s="600"/>
      <c r="BL28" s="600"/>
      <c r="BM28" s="600"/>
      <c r="BN28" s="600"/>
      <c r="BO28" s="600"/>
      <c r="BP28" s="600"/>
      <c r="BQ28" s="600"/>
      <c r="BR28" s="600"/>
      <c r="BS28" s="600"/>
      <c r="BT28" s="600"/>
      <c r="BU28" s="600"/>
      <c r="BV28" s="600"/>
      <c r="BW28" s="600"/>
      <c r="BX28" s="600"/>
      <c r="BY28" s="600"/>
      <c r="BZ28" s="600"/>
      <c r="CA28" s="600"/>
      <c r="CB28" s="600"/>
      <c r="CC28" s="600"/>
      <c r="CD28" s="1152"/>
      <c r="CE28" s="566" t="s">
        <v>93</v>
      </c>
      <c r="CF28" s="562" t="s">
        <v>98</v>
      </c>
      <c r="CG28" s="566" t="s">
        <v>144</v>
      </c>
      <c r="CH28" s="566" t="s">
        <v>158</v>
      </c>
      <c r="CI28" s="566" t="s">
        <v>166</v>
      </c>
      <c r="CJ28" s="600"/>
      <c r="CK28" s="1152"/>
      <c r="CL28" s="566" t="s">
        <v>93</v>
      </c>
      <c r="CM28" s="562" t="s">
        <v>98</v>
      </c>
      <c r="CN28" s="566" t="s">
        <v>144</v>
      </c>
      <c r="CO28" s="566" t="s">
        <v>158</v>
      </c>
      <c r="CP28" s="566" t="s">
        <v>166</v>
      </c>
      <c r="CQ28" s="600"/>
      <c r="CR28" s="1152"/>
      <c r="CS28" s="566" t="s">
        <v>93</v>
      </c>
      <c r="CT28" s="562" t="s">
        <v>98</v>
      </c>
      <c r="CU28" s="566" t="s">
        <v>144</v>
      </c>
      <c r="CV28" s="566" t="s">
        <v>158</v>
      </c>
      <c r="CW28" s="566" t="s">
        <v>166</v>
      </c>
      <c r="CX28" s="600"/>
      <c r="CY28" s="600"/>
      <c r="CZ28" s="600"/>
      <c r="DA28" s="1152"/>
      <c r="DB28" s="566" t="s">
        <v>93</v>
      </c>
      <c r="DC28" s="562" t="s">
        <v>98</v>
      </c>
      <c r="DD28" s="566" t="s">
        <v>144</v>
      </c>
      <c r="DE28" s="566" t="s">
        <v>158</v>
      </c>
      <c r="DF28" s="566" t="s">
        <v>166</v>
      </c>
      <c r="DG28" s="600"/>
      <c r="DH28" s="600"/>
      <c r="DI28" s="600"/>
      <c r="DJ28" s="600"/>
      <c r="DK28" s="600"/>
      <c r="DL28" s="600"/>
      <c r="DM28" s="600"/>
      <c r="DN28" s="600"/>
      <c r="DO28" s="600"/>
      <c r="DP28" s="600"/>
      <c r="DQ28" s="600"/>
      <c r="DR28" s="600"/>
      <c r="DS28" s="600"/>
      <c r="DT28" s="600"/>
      <c r="DU28" s="600"/>
      <c r="DV28" s="600"/>
      <c r="DW28" s="600"/>
      <c r="DX28" s="600"/>
      <c r="DY28" s="600"/>
      <c r="DZ28" s="600"/>
      <c r="EA28" s="600"/>
      <c r="EB28" s="600"/>
      <c r="EC28" s="600"/>
      <c r="ED28" s="600"/>
      <c r="EE28" s="600"/>
      <c r="EF28" s="600"/>
      <c r="EG28" s="600"/>
      <c r="EH28" s="600"/>
      <c r="EI28" s="600"/>
      <c r="EJ28" s="600"/>
      <c r="EK28" s="600"/>
      <c r="EL28" s="600"/>
      <c r="EM28" s="600"/>
      <c r="EN28" s="600"/>
      <c r="EO28" s="600"/>
      <c r="EP28" s="600"/>
      <c r="EQ28" s="600"/>
      <c r="ER28" s="600"/>
      <c r="ES28" s="600"/>
      <c r="ET28" s="600"/>
      <c r="EU28" s="600"/>
      <c r="EV28" s="600"/>
      <c r="EW28" s="600"/>
      <c r="EX28" s="600"/>
      <c r="EY28" s="600"/>
      <c r="EZ28" s="600"/>
    </row>
    <row r="29" spans="1:156">
      <c r="A29" s="83" t="s">
        <v>198</v>
      </c>
      <c r="B29" s="1153" t="e">
        <f ca="1">IF($B$5="OUI",B11*D$61*1000,0)</f>
        <v>#DIV/0!</v>
      </c>
      <c r="C29" s="1153">
        <f ca="1">IF($B$5="OUI",C11*Hypothèses!$B$3*1000,0)</f>
        <v>0</v>
      </c>
      <c r="D29" s="1153">
        <f ca="1">IF($B$5="OUI",SUMIFS(INDIRECT("TabINPUT["&amp;$A$9&amp;"]"),TabINPUT[SECTEUR1],$A29,TabINPUT[VECTEUR],"Fioul")*Hypothèses!$B$6+SUMIFS(INDIRECT("TabINPUT["&amp;$A$9&amp;"]"),TabINPUT[SECTEUR1],$A29,TabINPUT[VECTEUR],"Autre P.P.")*Hypothèses!$B$8,0)*1000</f>
        <v>0</v>
      </c>
      <c r="E29" s="1153">
        <f ca="1">IF($B$5="OUI",(Hypothèses!B4*SUMIFS(INDIRECT("TabINPUT["&amp;$A$9&amp;"]"),TabINPUT[SECTEUR1],$A29,TabINPUT[VECTEUR],"Solides")+Hypothèses!B12*(SUMIFS(INDIRECT("TabINPUT["&amp;$A$9&amp;"]"),TabINPUT[SECTEUR1],$A29,TabINPUT[VECTEUR],E28)-SUMIFS(INDIRECT("TabINPUT["&amp;$A$9&amp;"]"),TabINPUT[SECTEUR1],$A29,TabINPUT[VECTEUR],"Solides")))*1000,0)</f>
        <v>0</v>
      </c>
      <c r="F29" s="1154" t="e">
        <f t="shared" ref="F29:F37" ca="1" si="56">SUM(B29:E29)</f>
        <v>#DIV/0!</v>
      </c>
      <c r="G29" s="70"/>
      <c r="H29" s="83" t="s">
        <v>198</v>
      </c>
      <c r="I29" s="1153" t="e">
        <f ca="1">IF($B$5="OUI",I11*K$61*1000,0)</f>
        <v>#REF!</v>
      </c>
      <c r="J29" s="1153" t="e">
        <f ca="1">IF($B$5="OUI",J11*Hypothèses!$B$3*1000,0)</f>
        <v>#REF!</v>
      </c>
      <c r="K29" s="1153" t="e">
        <f ca="1">IF($B$5="OUI",SUMIFS(INDIRECT("TabINPUT["&amp;$H$9&amp;"]"),TabINPUT[SECTEUR1],$A29,TabINPUT[VECTEUR],"Fioul")*Hypothèses!$B$6+SUMIFS(INDIRECT("TabINPUT["&amp;$H$9&amp;"]"),TabINPUT[SECTEUR1],$A29,TabINPUT[VECTEUR],"Autre P.P.")*Hypothèses!$B$8,0)*1000</f>
        <v>#REF!</v>
      </c>
      <c r="L29" s="1153" t="e">
        <f ca="1">IF($B$5="OUI",(Hypothèses!B4*SUMIFS(INDIRECT("TabINPUT["&amp;$H$9&amp;"]"),TabINPUT[SECTEUR1],$A29,TabINPUT[VECTEUR],"Solides")+Hypothèses!B12*(SUMIFS(INDIRECT("TabINPUT["&amp;$H$9&amp;"]"),TabINPUT[SECTEUR1],$A29,TabINPUT[VECTEUR],L28)-SUMIFS(INDIRECT("TabINPUT["&amp;$H$9&amp;"]"),TabINPUT[SECTEUR1],$A29,TabINPUT[VECTEUR],"Solides")-SUMIFS(INDIRECT("TabINPUT["&amp;$H$9&amp;"]"),TabINPUT[SECTEUR1],$A29,TabINPUT[VECTEUR],"Vapeur")))*1000,0)</f>
        <v>#REF!</v>
      </c>
      <c r="M29" s="1154" t="e">
        <f t="shared" ref="M29:M37" ca="1" si="57">SUM(I29:L29)</f>
        <v>#REF!</v>
      </c>
      <c r="N29" s="1155"/>
      <c r="O29" s="477" t="e">
        <f t="shared" ref="O29:O38" ca="1" si="58">F29/$F$39</f>
        <v>#DIV/0!</v>
      </c>
      <c r="P29" s="477" t="e">
        <f t="shared" ref="P29:P38" ca="1" si="59">M29/$M$39</f>
        <v>#REF!</v>
      </c>
      <c r="Q29" s="477" t="e">
        <f ca="1">IF(F29=0,IF(M29&gt;0,1,0),M29/F29-1)</f>
        <v>#DIV/0!</v>
      </c>
      <c r="R29" s="458" t="e">
        <f ca="1">ROUND(Q29*100,0)</f>
        <v>#DIV/0!</v>
      </c>
      <c r="S29" s="458" t="e">
        <f ca="1">H29&amp;" : "&amp;R29&amp;"%"</f>
        <v>#DIV/0!</v>
      </c>
      <c r="T29" s="485"/>
      <c r="U29" s="485"/>
      <c r="V29" s="485"/>
      <c r="W29" s="485"/>
      <c r="X29" s="485"/>
      <c r="Y29" s="868" t="e">
        <f ca="1">M11-AJ11</f>
        <v>#REF!</v>
      </c>
      <c r="Z29" s="868"/>
      <c r="AA29" s="1485"/>
      <c r="AB29" s="1485"/>
      <c r="AC29" s="1485"/>
      <c r="AD29" s="1439"/>
      <c r="AE29" s="83" t="s">
        <v>198</v>
      </c>
      <c r="AF29" s="1153" t="e">
        <f ca="1">IF($B$5="OUI",AF11*AH$61*1000,0)</f>
        <v>#REF!</v>
      </c>
      <c r="AG29" s="1153" t="e">
        <f ca="1">IF($B$5="OUI",AG11*$AF$84*1000,0)</f>
        <v>#REF!</v>
      </c>
      <c r="AH29" s="1153" t="e">
        <f ca="1">IF(K11=0,0,AH11/K11*K29)</f>
        <v>#REF!</v>
      </c>
      <c r="AI29" s="1153" t="e">
        <f ca="1">IF(L11=0,0,AI11/L11*L29)</f>
        <v>#REF!</v>
      </c>
      <c r="AJ29" s="1154" t="e">
        <f t="shared" ref="AJ29:AJ37" ca="1" si="60">SUM(AF29:AI29)</f>
        <v>#REF!</v>
      </c>
      <c r="AK29" s="1156" t="e">
        <f ca="1">AM29-I29</f>
        <v>#REF!</v>
      </c>
      <c r="AL29" s="83" t="s">
        <v>198</v>
      </c>
      <c r="AM29" s="1157" t="e">
        <f ca="1">AM11*AO$61*1000</f>
        <v>#REF!</v>
      </c>
      <c r="AN29" s="1153" t="e">
        <f ca="1">IF($B$5="OUI",AN11*$AF$84*1000,0)</f>
        <v>#REF!</v>
      </c>
      <c r="AO29" s="1153" t="e">
        <f t="shared" ref="AO29:AP29" ca="1" si="61">IF(AH11=0,0,AO11/AH11*AH29)</f>
        <v>#REF!</v>
      </c>
      <c r="AP29" s="1153" t="e">
        <f t="shared" ca="1" si="61"/>
        <v>#REF!</v>
      </c>
      <c r="AQ29" s="1154" t="e">
        <f t="shared" ref="AQ29:AQ37" ca="1" si="62">SUM(AM29:AP29)</f>
        <v>#REF!</v>
      </c>
      <c r="AR29" s="600" t="e">
        <f t="shared" ref="AR29:AR37" ca="1" si="63">SUM(AG29:AH29)/SUM(AG11:AH11)</f>
        <v>#REF!</v>
      </c>
      <c r="AS29" s="600"/>
      <c r="AT29" s="600" t="e">
        <f t="shared" ref="AT29:AT34" ca="1" si="64">IF(AH11=0,0,AH29/AH11)</f>
        <v>#REF!</v>
      </c>
      <c r="AU29" s="600"/>
      <c r="AV29" s="600"/>
      <c r="AW29" s="600"/>
      <c r="AX29" s="600"/>
      <c r="AY29" s="600"/>
      <c r="AZ29" s="600"/>
      <c r="BA29" s="600"/>
      <c r="BB29" s="600"/>
      <c r="BC29" s="600"/>
      <c r="BD29" s="600"/>
      <c r="BE29" s="600"/>
      <c r="BF29" s="600"/>
      <c r="BG29" s="1138"/>
      <c r="BH29" s="1138"/>
      <c r="BI29" s="600"/>
      <c r="BJ29" s="600"/>
      <c r="BK29" s="600"/>
      <c r="BL29" s="600"/>
      <c r="BM29" s="600"/>
      <c r="BN29" s="600"/>
      <c r="BO29" s="600"/>
      <c r="BP29" s="600"/>
      <c r="BQ29" s="600"/>
      <c r="BR29" s="600"/>
      <c r="BS29" s="600"/>
      <c r="BT29" s="600"/>
      <c r="BU29" s="600"/>
      <c r="BV29" s="600"/>
      <c r="BW29" s="600"/>
      <c r="BX29" s="600"/>
      <c r="BY29" s="600"/>
      <c r="BZ29" s="600"/>
      <c r="CA29" s="600"/>
      <c r="CB29" s="600"/>
      <c r="CC29" s="600"/>
      <c r="CD29" s="83" t="s">
        <v>198</v>
      </c>
      <c r="CE29" s="1157" t="e">
        <f ca="1">CE11*CG$61*1000</f>
        <v>#REF!</v>
      </c>
      <c r="CF29" s="1153" t="e">
        <f ca="1">AN29</f>
        <v>#REF!</v>
      </c>
      <c r="CG29" s="1153" t="e">
        <f t="shared" ref="CG29:CG37" ca="1" si="65">AO29</f>
        <v>#REF!</v>
      </c>
      <c r="CH29" s="1153" t="e">
        <f t="shared" ref="CH29:CH37" ca="1" si="66">AP29</f>
        <v>#REF!</v>
      </c>
      <c r="CI29" s="1154" t="e">
        <f t="shared" ref="CI29:CI37" ca="1" si="67">SUM(CE29:CH29)</f>
        <v>#REF!</v>
      </c>
      <c r="CJ29" s="600"/>
      <c r="CK29" s="83" t="s">
        <v>198</v>
      </c>
      <c r="CL29" s="1153" t="e">
        <f ca="1">IF($B$5="OUI",CL11*CN$61*1000,0)</f>
        <v>#REF!</v>
      </c>
      <c r="CM29" s="1153" t="e">
        <f ca="1">IF($B$5="OUI",CM11*$AF$84*1000,0)</f>
        <v>#REF!</v>
      </c>
      <c r="CN29" s="1153" t="e">
        <f ca="1">IF(K11=0,0,CN11/K11*K29)</f>
        <v>#REF!</v>
      </c>
      <c r="CO29" s="1153" t="e">
        <f ca="1">IF(L11=0,0,CO11/L11*L29)</f>
        <v>#REF!</v>
      </c>
      <c r="CP29" s="1154" t="e">
        <f t="shared" ref="CP29:CP37" ca="1" si="68">SUM(CL29:CO29)</f>
        <v>#REF!</v>
      </c>
      <c r="CQ29" s="1158" t="e">
        <f ca="1">CW29-AJ29</f>
        <v>#REF!</v>
      </c>
      <c r="CR29" s="83" t="s">
        <v>198</v>
      </c>
      <c r="CS29" s="1153" t="e">
        <f ca="1">IF($B$5="OUI",CS11*CU$61*1000,0)</f>
        <v>#REF!</v>
      </c>
      <c r="CT29" s="1153" t="e">
        <f ca="1">IF($B$5="OUI",CT11*$AF$84*1000,0)</f>
        <v>#REF!</v>
      </c>
      <c r="CU29" s="1153" t="e">
        <f ca="1">IF(K11=0,0,CU11/K11*K29)</f>
        <v>#REF!</v>
      </c>
      <c r="CV29" s="1153" t="e">
        <f ca="1">IF(L11=0,0,CV11/L11*L29)</f>
        <v>#REF!</v>
      </c>
      <c r="CW29" s="1154" t="e">
        <f t="shared" ref="CW29:CW37" ca="1" si="69">SUM(CS29:CV29)</f>
        <v>#REF!</v>
      </c>
      <c r="CX29" s="600"/>
      <c r="CY29" s="600"/>
      <c r="CZ29" s="600"/>
      <c r="DA29" s="83" t="s">
        <v>198</v>
      </c>
      <c r="DB29" s="1153" t="e">
        <f ca="1">IF($B$5="OUI",DB11*DD$61*1000,0)</f>
        <v>#REF!</v>
      </c>
      <c r="DC29" s="1153" t="e">
        <f ca="1">IF($B$5="OUI",DC11*Hypothèses!$B$3*1000,0)</f>
        <v>#REF!</v>
      </c>
      <c r="DD29" s="1153" t="e">
        <f ca="1">IF($B$5="OUI",SUMIFS(INDIRECT("TabINPUT["&amp;$DA$9&amp;"]"),TabINPUT[SECTEUR1],$A29,TabINPUT[VECTEUR],"Fioul")*Hypothèses!$B$6+SUMIFS(INDIRECT("TabINPUT["&amp;$DA$9&amp;"]"),TabINPUT[SECTEUR1],$A29,TabINPUT[VECTEUR],"Autre P.P.")*Hypothèses!$B$8,0)*1000</f>
        <v>#REF!</v>
      </c>
      <c r="DE29" s="1153" t="e">
        <f ca="1">IF($B$5="OUI",(Hypothèses!CK4*SUMIFS(INDIRECT("TabINPUT["&amp;$DA$9&amp;"]"),TabINPUT[SECTEUR1],$A29,TabINPUT[VECTEUR],"Solides")+Hypothèses!CK12*(SUMIFS(INDIRECT("TabINPUT["&amp;$DA$9&amp;"]"),TabINPUT[SECTEUR1],$A29,TabINPUT[VECTEUR],DE28)-SUMIFS(INDIRECT("TabINPUT["&amp;$DA$9&amp;"]"),TabINPUT[SECTEUR1],$A29,TabINPUT[VECTEUR],"Solides")-SUMIFS(INDIRECT("TabINPUT["&amp;$DA$9&amp;"]"),TabINPUT[SECTEUR1],$A29,TabINPUT[VECTEUR],"Vapeur")))*1000,0)</f>
        <v>#REF!</v>
      </c>
      <c r="DF29" s="1154" t="e">
        <f t="shared" ref="DF29:DF37" ca="1" si="70">SUM(DB29:DE29)</f>
        <v>#REF!</v>
      </c>
      <c r="DG29" s="600"/>
      <c r="DH29" s="600"/>
      <c r="DI29" s="600"/>
      <c r="DJ29" s="600"/>
      <c r="DK29" s="600"/>
      <c r="DL29" s="600"/>
      <c r="DM29" s="600"/>
      <c r="DN29" s="600"/>
      <c r="DO29" s="600"/>
      <c r="DP29" s="600"/>
      <c r="DQ29" s="600"/>
      <c r="DR29" s="600"/>
      <c r="DS29" s="600"/>
      <c r="DT29" s="600"/>
      <c r="DU29" s="600"/>
      <c r="DV29" s="600"/>
      <c r="DW29" s="600"/>
      <c r="DX29" s="600"/>
      <c r="DY29" s="600"/>
      <c r="DZ29" s="600"/>
      <c r="EA29" s="600"/>
      <c r="EB29" s="600"/>
      <c r="EC29" s="600"/>
      <c r="ED29" s="600"/>
      <c r="EE29" s="600"/>
      <c r="EF29" s="600"/>
      <c r="EG29" s="600"/>
      <c r="EH29" s="600"/>
      <c r="EI29" s="600"/>
      <c r="EJ29" s="600"/>
      <c r="EK29" s="600"/>
      <c r="EL29" s="600"/>
      <c r="EM29" s="600"/>
      <c r="EN29" s="600"/>
      <c r="EO29" s="600"/>
      <c r="EP29" s="600"/>
      <c r="EQ29" s="600"/>
      <c r="ER29" s="600"/>
      <c r="ES29" s="600"/>
      <c r="ET29" s="600"/>
      <c r="EU29" s="600"/>
      <c r="EV29" s="600"/>
      <c r="EW29" s="600"/>
      <c r="EX29" s="600"/>
      <c r="EY29" s="600"/>
      <c r="EZ29" s="600"/>
    </row>
    <row r="30" spans="1:156">
      <c r="A30" s="1111" t="s">
        <v>199</v>
      </c>
      <c r="B30" s="1153" t="e">
        <f ca="1">B12*$D$61*1000</f>
        <v>#DIV/0!</v>
      </c>
      <c r="C30" s="1153">
        <f ca="1">C12*Hypothèses!$B$3*1000</f>
        <v>0</v>
      </c>
      <c r="D30" s="1153">
        <f ca="1">SUM(D31:D32)</f>
        <v>0</v>
      </c>
      <c r="E30" s="1153">
        <f ca="1">SUM(E31:E32)</f>
        <v>0</v>
      </c>
      <c r="F30" s="1154" t="e">
        <f t="shared" ca="1" si="56"/>
        <v>#DIV/0!</v>
      </c>
      <c r="G30" s="70"/>
      <c r="H30" s="1159" t="s">
        <v>199</v>
      </c>
      <c r="I30" s="1160" t="e">
        <f ca="1">I12*K$61*1000</f>
        <v>#REF!</v>
      </c>
      <c r="J30" s="1153" t="e">
        <f ca="1">J12*Hypothèses!$B$3*1000</f>
        <v>#REF!</v>
      </c>
      <c r="K30" s="1153" t="e">
        <f ca="1">SUM(K31:K32)</f>
        <v>#REF!</v>
      </c>
      <c r="L30" s="1153" t="e">
        <f ca="1">SUM(L31:L32)</f>
        <v>#REF!</v>
      </c>
      <c r="M30" s="1154" t="e">
        <f t="shared" ca="1" si="57"/>
        <v>#REF!</v>
      </c>
      <c r="N30" s="1155"/>
      <c r="O30" s="477" t="e">
        <f t="shared" ca="1" si="58"/>
        <v>#DIV/0!</v>
      </c>
      <c r="P30" s="477" t="e">
        <f t="shared" ca="1" si="59"/>
        <v>#REF!</v>
      </c>
      <c r="Q30" s="477" t="e">
        <f t="shared" ref="Q30:Q39" ca="1" si="71">IF(F30=0,IF(M30&gt;0,1,0),M30/F30-1)</f>
        <v>#DIV/0!</v>
      </c>
      <c r="R30" s="458" t="e">
        <f t="shared" ref="R30:R37" ca="1" si="72">ROUND(Q30*100,0)</f>
        <v>#DIV/0!</v>
      </c>
      <c r="S30" s="458" t="e">
        <f t="shared" ref="S30:S37" ca="1" si="73">H30&amp;" : "&amp;R30&amp;"%"</f>
        <v>#DIV/0!</v>
      </c>
      <c r="T30" s="485"/>
      <c r="U30" s="485"/>
      <c r="V30" s="485"/>
      <c r="W30" s="485"/>
      <c r="X30" s="485"/>
      <c r="Y30" s="868" t="e">
        <f t="shared" ref="Y30:Y38" ca="1" si="74">M12-AJ12</f>
        <v>#REF!</v>
      </c>
      <c r="Z30" s="868"/>
      <c r="AA30" s="1485"/>
      <c r="AB30" s="1485"/>
      <c r="AC30" s="1485"/>
      <c r="AD30" s="1439"/>
      <c r="AE30" s="1159" t="s">
        <v>199</v>
      </c>
      <c r="AF30" s="1160" t="e">
        <f ca="1">SUM(AF31:AF32)</f>
        <v>#REF!</v>
      </c>
      <c r="AG30" s="1160" t="e">
        <f t="shared" ref="AG30:AI30" ca="1" si="75">SUM(AG31:AG32)</f>
        <v>#REF!</v>
      </c>
      <c r="AH30" s="1160" t="e">
        <f t="shared" ca="1" si="75"/>
        <v>#REF!</v>
      </c>
      <c r="AI30" s="1160" t="e">
        <f t="shared" ca="1" si="75"/>
        <v>#REF!</v>
      </c>
      <c r="AJ30" s="1154" t="e">
        <f t="shared" ca="1" si="60"/>
        <v>#REF!</v>
      </c>
      <c r="AK30" s="1156" t="e">
        <f t="shared" ref="AK30:AK38" ca="1" si="76">AM30-I30</f>
        <v>#REF!</v>
      </c>
      <c r="AL30" s="1159" t="s">
        <v>199</v>
      </c>
      <c r="AM30" s="1157" t="e">
        <f ca="1">SUM(AM31:AM32)</f>
        <v>#REF!</v>
      </c>
      <c r="AN30" s="1160" t="e">
        <f t="shared" ref="AN30" ca="1" si="77">SUM(AN31:AN32)</f>
        <v>#REF!</v>
      </c>
      <c r="AO30" s="1157" t="e">
        <f t="shared" ref="AO30:AP30" ca="1" si="78">SUM(AO31:AO32)</f>
        <v>#REF!</v>
      </c>
      <c r="AP30" s="1157" t="e">
        <f t="shared" ca="1" si="78"/>
        <v>#REF!</v>
      </c>
      <c r="AQ30" s="1154" t="e">
        <f t="shared" ca="1" si="62"/>
        <v>#REF!</v>
      </c>
      <c r="AR30" s="600" t="e">
        <f t="shared" ca="1" si="63"/>
        <v>#REF!</v>
      </c>
      <c r="AS30" s="600"/>
      <c r="AT30" s="600" t="e">
        <f t="shared" ca="1" si="64"/>
        <v>#REF!</v>
      </c>
      <c r="AU30" s="600"/>
      <c r="AV30" s="600"/>
      <c r="AW30" s="600"/>
      <c r="AX30" s="600"/>
      <c r="AY30" s="600"/>
      <c r="AZ30" s="600"/>
      <c r="BA30" s="600"/>
      <c r="BB30" s="600"/>
      <c r="BC30" s="600"/>
      <c r="BD30" s="600"/>
      <c r="BE30" s="600"/>
      <c r="BF30" s="600"/>
      <c r="BG30" s="1138"/>
      <c r="BH30" s="1138"/>
      <c r="BI30" s="600"/>
      <c r="BJ30" s="600"/>
      <c r="BK30" s="600"/>
      <c r="BL30" s="600"/>
      <c r="BM30" s="600"/>
      <c r="BN30" s="600"/>
      <c r="BO30" s="600"/>
      <c r="BP30" s="600"/>
      <c r="BQ30" s="600"/>
      <c r="BR30" s="600"/>
      <c r="BS30" s="600"/>
      <c r="BT30" s="600"/>
      <c r="BU30" s="600"/>
      <c r="BV30" s="600"/>
      <c r="BW30" s="600"/>
      <c r="BX30" s="600"/>
      <c r="BY30" s="600"/>
      <c r="BZ30" s="600"/>
      <c r="CA30" s="600"/>
      <c r="CB30" s="600"/>
      <c r="CC30" s="600"/>
      <c r="CD30" s="1159" t="s">
        <v>199</v>
      </c>
      <c r="CE30" s="1157" t="e">
        <f t="shared" ref="CE30:CE37" ca="1" si="79">CE12*CG$61*1000</f>
        <v>#REF!</v>
      </c>
      <c r="CF30" s="1153" t="e">
        <f t="shared" ref="CF30:CF37" ca="1" si="80">AN30</f>
        <v>#REF!</v>
      </c>
      <c r="CG30" s="1153" t="e">
        <f t="shared" ca="1" si="65"/>
        <v>#REF!</v>
      </c>
      <c r="CH30" s="1153" t="e">
        <f t="shared" ca="1" si="66"/>
        <v>#REF!</v>
      </c>
      <c r="CI30" s="1154" t="e">
        <f t="shared" ca="1" si="67"/>
        <v>#REF!</v>
      </c>
      <c r="CJ30" s="600"/>
      <c r="CK30" s="1159" t="s">
        <v>199</v>
      </c>
      <c r="CL30" s="1160" t="e">
        <f ca="1">SUM(CL31:CL32)</f>
        <v>#REF!</v>
      </c>
      <c r="CM30" s="1160" t="e">
        <f t="shared" ref="CM30" ca="1" si="81">SUM(CM31:CM32)</f>
        <v>#REF!</v>
      </c>
      <c r="CN30" s="1160" t="e">
        <f t="shared" ref="CN30:CO30" ca="1" si="82">SUM(CN31:CN32)</f>
        <v>#REF!</v>
      </c>
      <c r="CO30" s="1160" t="e">
        <f t="shared" ca="1" si="82"/>
        <v>#REF!</v>
      </c>
      <c r="CP30" s="1154" t="e">
        <f t="shared" ca="1" si="68"/>
        <v>#REF!</v>
      </c>
      <c r="CQ30" s="1158" t="e">
        <f t="shared" ref="CQ30:CQ38" ca="1" si="83">CW30-AJ30</f>
        <v>#REF!</v>
      </c>
      <c r="CR30" s="1159" t="s">
        <v>199</v>
      </c>
      <c r="CS30" s="1160" t="e">
        <f ca="1">SUM(CS31:CS32)</f>
        <v>#REF!</v>
      </c>
      <c r="CT30" s="1160" t="e">
        <f t="shared" ref="CT30" ca="1" si="84">SUM(CT31:CT32)</f>
        <v>#REF!</v>
      </c>
      <c r="CU30" s="1160" t="e">
        <f t="shared" ref="CU30:CV30" ca="1" si="85">SUM(CU31:CU32)</f>
        <v>#REF!</v>
      </c>
      <c r="CV30" s="1160" t="e">
        <f t="shared" ca="1" si="85"/>
        <v>#REF!</v>
      </c>
      <c r="CW30" s="1154" t="e">
        <f t="shared" ca="1" si="69"/>
        <v>#REF!</v>
      </c>
      <c r="CX30" s="600"/>
      <c r="CY30" s="600"/>
      <c r="CZ30" s="600"/>
      <c r="DA30" s="1159" t="s">
        <v>199</v>
      </c>
      <c r="DB30" s="1160" t="e">
        <f ca="1">DB12*DD$61*1000</f>
        <v>#REF!</v>
      </c>
      <c r="DC30" s="1153" t="e">
        <f ca="1">DC12*Hypothèses!$B$3*1000</f>
        <v>#REF!</v>
      </c>
      <c r="DD30" s="1153" t="e">
        <f ca="1">SUM(DD31:DD32)</f>
        <v>#REF!</v>
      </c>
      <c r="DE30" s="1153" t="e">
        <f ca="1">SUM(DE31:DE32)</f>
        <v>#REF!</v>
      </c>
      <c r="DF30" s="1154" t="e">
        <f t="shared" ca="1" si="70"/>
        <v>#REF!</v>
      </c>
      <c r="DG30" s="600"/>
      <c r="DH30" s="600"/>
      <c r="DI30" s="600"/>
      <c r="DJ30" s="600"/>
      <c r="DK30" s="600"/>
      <c r="DL30" s="600"/>
      <c r="DM30" s="600"/>
      <c r="DN30" s="600"/>
      <c r="DO30" s="600"/>
      <c r="DP30" s="600"/>
      <c r="DQ30" s="600"/>
      <c r="DR30" s="600"/>
      <c r="DS30" s="600"/>
      <c r="DT30" s="600"/>
      <c r="DU30" s="600"/>
      <c r="DV30" s="600"/>
      <c r="DW30" s="600"/>
      <c r="DX30" s="600"/>
      <c r="DY30" s="600"/>
      <c r="DZ30" s="600"/>
      <c r="EA30" s="600"/>
      <c r="EB30" s="600"/>
      <c r="EC30" s="600"/>
      <c r="ED30" s="600"/>
      <c r="EE30" s="600"/>
      <c r="EF30" s="600"/>
      <c r="EG30" s="600"/>
      <c r="EH30" s="600"/>
      <c r="EI30" s="600"/>
      <c r="EJ30" s="600"/>
      <c r="EK30" s="600"/>
      <c r="EL30" s="600"/>
      <c r="EM30" s="600"/>
      <c r="EN30" s="600"/>
      <c r="EO30" s="600"/>
      <c r="EP30" s="600"/>
      <c r="EQ30" s="600"/>
      <c r="ER30" s="600"/>
      <c r="ES30" s="600"/>
      <c r="ET30" s="600"/>
      <c r="EU30" s="600"/>
      <c r="EV30" s="600"/>
      <c r="EW30" s="600"/>
      <c r="EX30" s="600"/>
      <c r="EY30" s="600"/>
      <c r="EZ30" s="600"/>
    </row>
    <row r="31" spans="1:156">
      <c r="A31" s="1141" t="s">
        <v>200</v>
      </c>
      <c r="B31" s="1153" t="e">
        <f t="shared" ref="B31:B37" ca="1" si="86">B13*$D$61*1000</f>
        <v>#DIV/0!</v>
      </c>
      <c r="C31" s="1153">
        <f ca="1">C13*Hypothèses!$B$3*1000</f>
        <v>0</v>
      </c>
      <c r="D31" s="258">
        <f ca="1">'Bilan patrimonial'!D27-'Bilan patrimonial'!D26</f>
        <v>0</v>
      </c>
      <c r="E31" s="258">
        <f ca="1">'Bilan patrimonial'!E27-'Bilan patrimonial'!E26</f>
        <v>0</v>
      </c>
      <c r="F31" s="258" t="e">
        <f t="shared" ca="1" si="56"/>
        <v>#DIV/0!</v>
      </c>
      <c r="G31" s="70"/>
      <c r="H31" s="1161" t="s">
        <v>200</v>
      </c>
      <c r="I31" s="1153" t="e">
        <f t="shared" ref="I31:I37" ca="1" si="87">I13*K$61*1000</f>
        <v>#REF!</v>
      </c>
      <c r="J31" s="1153" t="e">
        <f ca="1">J13*Hypothèses!$B$3*1000</f>
        <v>#REF!</v>
      </c>
      <c r="K31" s="258" t="e">
        <f ca="1">'Bilan patrimonial'!K27-'Bilan patrimonial'!K26</f>
        <v>#REF!</v>
      </c>
      <c r="L31" s="258" t="e">
        <f ca="1">'Bilan patrimonial'!L27-'Bilan patrimonial'!L26</f>
        <v>#REF!</v>
      </c>
      <c r="M31" s="258" t="e">
        <f t="shared" ca="1" si="57"/>
        <v>#REF!</v>
      </c>
      <c r="N31" s="1155"/>
      <c r="O31" s="477" t="e">
        <f t="shared" ca="1" si="58"/>
        <v>#DIV/0!</v>
      </c>
      <c r="P31" s="477" t="e">
        <f t="shared" ca="1" si="59"/>
        <v>#REF!</v>
      </c>
      <c r="Q31" s="477" t="e">
        <f t="shared" ca="1" si="71"/>
        <v>#DIV/0!</v>
      </c>
      <c r="R31" s="458" t="e">
        <f t="shared" ca="1" si="72"/>
        <v>#DIV/0!</v>
      </c>
      <c r="S31" s="458" t="e">
        <f t="shared" ca="1" si="73"/>
        <v>#DIV/0!</v>
      </c>
      <c r="T31" s="485"/>
      <c r="U31" s="485"/>
      <c r="V31" s="485"/>
      <c r="W31" s="485"/>
      <c r="X31" s="485"/>
      <c r="Y31" s="868" t="e">
        <f t="shared" ca="1" si="74"/>
        <v>#REF!</v>
      </c>
      <c r="Z31" s="868"/>
      <c r="AA31" s="1485"/>
      <c r="AB31" s="1485"/>
      <c r="AC31" s="1485"/>
      <c r="AD31" s="1439"/>
      <c r="AE31" s="1161" t="s">
        <v>200</v>
      </c>
      <c r="AF31" s="1153" t="e">
        <f t="shared" ref="AF31:AF37" ca="1" si="88">AF13*AH$61*1000</f>
        <v>#REF!</v>
      </c>
      <c r="AG31" s="1153" t="e">
        <f ca="1">AG13*$AF$84*1000</f>
        <v>#REF!</v>
      </c>
      <c r="AH31" s="1153" t="e">
        <f ca="1">IF(K13=0,0,AH13/K13*K31)</f>
        <v>#REF!</v>
      </c>
      <c r="AI31" s="1153" t="e">
        <f ca="1">IF(L13=0,0,AI13/L13*L31)</f>
        <v>#REF!</v>
      </c>
      <c r="AJ31" s="258" t="e">
        <f t="shared" ca="1" si="60"/>
        <v>#REF!</v>
      </c>
      <c r="AK31" s="1156" t="e">
        <f t="shared" ca="1" si="76"/>
        <v>#REF!</v>
      </c>
      <c r="AL31" s="1161" t="s">
        <v>200</v>
      </c>
      <c r="AM31" s="1157" t="e">
        <f t="shared" ref="AM31:AM37" ca="1" si="89">AM13*AO$61*1000</f>
        <v>#REF!</v>
      </c>
      <c r="AN31" s="1153" t="e">
        <f ca="1">AN13*$AF$84*1000</f>
        <v>#REF!</v>
      </c>
      <c r="AO31" s="1153" t="e">
        <f t="shared" ref="AO31" ca="1" si="90">IF(AH13=0,0,AO13/AH13*AH31)</f>
        <v>#REF!</v>
      </c>
      <c r="AP31" s="258" t="e">
        <f ca="1">AI31+Objectifs!E31*'Hypothèses &amp; Méthodo'!B21*1000</f>
        <v>#REF!</v>
      </c>
      <c r="AQ31" s="258" t="e">
        <f t="shared" ca="1" si="62"/>
        <v>#REF!</v>
      </c>
      <c r="AR31" s="600" t="e">
        <f ca="1">IF(SUM(AG13:AH13)=0,0,SUM(AG31:AH31)/SUM(AG13:AH13))</f>
        <v>#REF!</v>
      </c>
      <c r="AS31" s="600" t="e">
        <f ca="1">AR31-'Hypothèses &amp; Méthodo'!$B$21*1000</f>
        <v>#REF!</v>
      </c>
      <c r="AT31" s="600" t="e">
        <f t="shared" ca="1" si="64"/>
        <v>#REF!</v>
      </c>
      <c r="AU31" s="600"/>
      <c r="AV31" s="600"/>
      <c r="AW31" s="600"/>
      <c r="AX31" s="600"/>
      <c r="AY31" s="600"/>
      <c r="AZ31" s="600"/>
      <c r="BA31" s="600"/>
      <c r="BB31" s="600"/>
      <c r="BC31" s="600"/>
      <c r="BD31" s="600"/>
      <c r="BE31" s="600"/>
      <c r="BF31" s="600"/>
      <c r="BG31" s="1138"/>
      <c r="BH31" s="1138"/>
      <c r="BI31" s="600"/>
      <c r="BJ31" s="600"/>
      <c r="BK31" s="600"/>
      <c r="BL31" s="600"/>
      <c r="BM31" s="600"/>
      <c r="BN31" s="600"/>
      <c r="BO31" s="600"/>
      <c r="BP31" s="600"/>
      <c r="BQ31" s="600"/>
      <c r="BR31" s="600"/>
      <c r="BS31" s="600"/>
      <c r="BT31" s="600"/>
      <c r="BU31" s="600"/>
      <c r="BV31" s="600"/>
      <c r="BW31" s="600"/>
      <c r="BX31" s="600"/>
      <c r="BY31" s="600"/>
      <c r="BZ31" s="600"/>
      <c r="CA31" s="600"/>
      <c r="CB31" s="600"/>
      <c r="CC31" s="600"/>
      <c r="CD31" s="1161" t="s">
        <v>200</v>
      </c>
      <c r="CE31" s="1157" t="e">
        <f t="shared" ca="1" si="79"/>
        <v>#REF!</v>
      </c>
      <c r="CF31" s="1153" t="e">
        <f t="shared" ca="1" si="80"/>
        <v>#REF!</v>
      </c>
      <c r="CG31" s="1153" t="e">
        <f t="shared" ca="1" si="65"/>
        <v>#REF!</v>
      </c>
      <c r="CH31" s="258" t="e">
        <f t="shared" ca="1" si="66"/>
        <v>#REF!</v>
      </c>
      <c r="CI31" s="258" t="e">
        <f t="shared" ca="1" si="67"/>
        <v>#REF!</v>
      </c>
      <c r="CJ31" s="600"/>
      <c r="CK31" s="1161" t="s">
        <v>200</v>
      </c>
      <c r="CL31" s="1153" t="e">
        <f t="shared" ref="CL31:CL37" ca="1" si="91">CL13*CN$61*1000</f>
        <v>#REF!</v>
      </c>
      <c r="CM31" s="1153" t="e">
        <f ca="1">CM13*$AF$84*1000</f>
        <v>#REF!</v>
      </c>
      <c r="CN31" s="1153" t="e">
        <f ca="1">IF(K13=0,0,CN13/K13*K31)</f>
        <v>#REF!</v>
      </c>
      <c r="CO31" s="1153" t="e">
        <f t="shared" ref="CO31:CO37" ca="1" si="92">IF(L13=0,0,CO13/L13*L31)</f>
        <v>#REF!</v>
      </c>
      <c r="CP31" s="258" t="e">
        <f t="shared" ca="1" si="68"/>
        <v>#REF!</v>
      </c>
      <c r="CQ31" s="1158" t="e">
        <f t="shared" ca="1" si="83"/>
        <v>#REF!</v>
      </c>
      <c r="CR31" s="1161" t="s">
        <v>200</v>
      </c>
      <c r="CS31" s="1153" t="e">
        <f t="shared" ref="CS31:CS37" ca="1" si="93">CS13*CU$61*1000</f>
        <v>#REF!</v>
      </c>
      <c r="CT31" s="1153" t="e">
        <f ca="1">CT13*$AF$84*1000</f>
        <v>#REF!</v>
      </c>
      <c r="CU31" s="1153" t="e">
        <f ca="1">IF(K13=0,0,CU13/K13*K31)</f>
        <v>#REF!</v>
      </c>
      <c r="CV31" s="1153" t="e">
        <f t="shared" ref="CV31:CV37" ca="1" si="94">IF(L13=0,0,CV13/L13*L31)</f>
        <v>#REF!</v>
      </c>
      <c r="CW31" s="258" t="e">
        <f t="shared" ca="1" si="69"/>
        <v>#REF!</v>
      </c>
      <c r="CX31" s="600"/>
      <c r="CY31" s="600"/>
      <c r="CZ31" s="600"/>
      <c r="DA31" s="1161" t="s">
        <v>200</v>
      </c>
      <c r="DB31" s="1153" t="e">
        <f t="shared" ref="DB31:DB37" ca="1" si="95">DB13*DD$61*1000</f>
        <v>#REF!</v>
      </c>
      <c r="DC31" s="1153">
        <f>DC13*Hypothèses!$B$3*1000</f>
        <v>0</v>
      </c>
      <c r="DD31" s="258">
        <f>'Bilan patrimonial'!CT27-'Bilan patrimonial'!CT26</f>
        <v>0</v>
      </c>
      <c r="DE31" s="258">
        <f>'Bilan patrimonial'!CU27-'Bilan patrimonial'!CU26</f>
        <v>0</v>
      </c>
      <c r="DF31" s="258" t="e">
        <f t="shared" ca="1" si="70"/>
        <v>#REF!</v>
      </c>
      <c r="DG31" s="600"/>
      <c r="DH31" s="600"/>
      <c r="DI31" s="600"/>
      <c r="DJ31" s="600"/>
      <c r="DK31" s="600"/>
      <c r="DL31" s="600"/>
      <c r="DM31" s="600"/>
      <c r="DN31" s="600"/>
      <c r="DO31" s="600"/>
      <c r="DP31" s="600"/>
      <c r="DQ31" s="600"/>
      <c r="DR31" s="600"/>
      <c r="DS31" s="600"/>
      <c r="DT31" s="600"/>
      <c r="DU31" s="600"/>
      <c r="DV31" s="600"/>
      <c r="DW31" s="600"/>
      <c r="DX31" s="600"/>
      <c r="DY31" s="600"/>
      <c r="DZ31" s="600"/>
      <c r="EA31" s="600"/>
      <c r="EB31" s="600"/>
      <c r="EC31" s="600"/>
      <c r="ED31" s="600"/>
      <c r="EE31" s="600"/>
      <c r="EF31" s="600"/>
      <c r="EG31" s="600"/>
      <c r="EH31" s="600"/>
      <c r="EI31" s="600"/>
      <c r="EJ31" s="600"/>
      <c r="EK31" s="600"/>
      <c r="EL31" s="600"/>
      <c r="EM31" s="600"/>
      <c r="EN31" s="600"/>
      <c r="EO31" s="600"/>
      <c r="EP31" s="600"/>
      <c r="EQ31" s="600"/>
      <c r="ER31" s="600"/>
      <c r="ES31" s="600"/>
      <c r="ET31" s="600"/>
      <c r="EU31" s="600"/>
      <c r="EV31" s="600"/>
      <c r="EW31" s="600"/>
      <c r="EX31" s="600"/>
      <c r="EY31" s="600"/>
      <c r="EZ31" s="600"/>
    </row>
    <row r="32" spans="1:156">
      <c r="A32" s="1141" t="s">
        <v>157</v>
      </c>
      <c r="B32" s="1153" t="e">
        <f t="shared" ca="1" si="86"/>
        <v>#DIV/0!</v>
      </c>
      <c r="C32" s="1153">
        <f ca="1">C14*Hypothèses!$B$3*1000</f>
        <v>0</v>
      </c>
      <c r="D32" s="258">
        <f ca="1">((SUMIFS(INDIRECT("TabINPUT["&amp;$A$9&amp;"]"),TabINPUT[SECTEUR1],$A30,TabINPUT[VECTEUR],"Fioul")*Hypothèses!$B$6+SUMIFS(INDIRECT("TabINPUT["&amp;$A$9&amp;"]"),TabINPUT[SECTEUR1],$A30,TabINPUT[VECTEUR],"Autre P.P. ")*Hypothèses!$B$8)*1000-D31)*IF($B$4="Réel",1,HLOOKUP(A9,Hypothèses!$A$25:$AA$28,4,0))</f>
        <v>0</v>
      </c>
      <c r="E32" s="258">
        <f ca="1">(Hypothèses!$B$4*1000*SUMIFS(INDIRECT("TabINPUT["&amp;$A$9&amp;"]"),TabINPUT[SECTEUR1],$A30,TabINPUT[VECTEUR],"Solides")+Hypothèses!$B$17*1000*SUMIFS(INDIRECT("TabINPUT["&amp;$A$9&amp;"]"),TabINPUT[SECTEUR1],$A30,TabINPUT[VECTEUR],"autres"))*IF($B$4="Réel",1,HLOOKUP(A9,Hypothèses!$A$25:$AA$28,4,0))</f>
        <v>0</v>
      </c>
      <c r="F32" s="258" t="e">
        <f t="shared" ca="1" si="56"/>
        <v>#DIV/0!</v>
      </c>
      <c r="G32" s="70"/>
      <c r="H32" s="1161" t="s">
        <v>157</v>
      </c>
      <c r="I32" s="1160" t="e">
        <f t="shared" ca="1" si="87"/>
        <v>#REF!</v>
      </c>
      <c r="J32" s="1153" t="e">
        <f ca="1">J14*Hypothèses!$B$3*1000</f>
        <v>#REF!</v>
      </c>
      <c r="K32" s="258" t="e">
        <f ca="1">((SUMIFS(INDIRECT("TabINPUT["&amp;$H$9&amp;"]"),TabINPUT[SECTEUR1],$A30,TabINPUT[VECTEUR],"Fioul")*Hypothèses!$B$6+SUMIFS(INDIRECT("TabINPUT["&amp;$H$9&amp;"]"),TabINPUT[SECTEUR1],$A30,TabINPUT[VECTEUR],"Autre P.P. ")*Hypothèses!$B$8)*1000-K31)*IF($B$4="Réel",1,HLOOKUP(H9,Hypothèses!$A$25:$AA$28,4,0))</f>
        <v>#REF!</v>
      </c>
      <c r="L32" s="258" t="e">
        <f ca="1">(Hypothèses!$B$4*1000*SUMIFS(INDIRECT("TabINPUT["&amp;$H$9&amp;"]"),TabINPUT[SECTEUR1],$A30,TabINPUT[VECTEUR],"Solides")+Hypothèses!$B$17*1000*SUMIFS(INDIRECT("TabINPUT["&amp;$H$9&amp;"]"),TabINPUT[SECTEUR1],$A30,TabINPUT[VECTEUR],"autres"))*IF($B$4="Réel",1,HLOOKUP(H9,Hypothèses!$A$25:$AA$28,4,0))</f>
        <v>#REF!</v>
      </c>
      <c r="M32" s="258" t="e">
        <f t="shared" ca="1" si="57"/>
        <v>#REF!</v>
      </c>
      <c r="N32" s="1155"/>
      <c r="O32" s="477" t="e">
        <f t="shared" ca="1" si="58"/>
        <v>#DIV/0!</v>
      </c>
      <c r="P32" s="477" t="e">
        <f t="shared" ca="1" si="59"/>
        <v>#REF!</v>
      </c>
      <c r="Q32" s="477" t="e">
        <f t="shared" ca="1" si="71"/>
        <v>#DIV/0!</v>
      </c>
      <c r="R32" s="458" t="e">
        <f t="shared" ca="1" si="72"/>
        <v>#DIV/0!</v>
      </c>
      <c r="S32" s="458" t="e">
        <f t="shared" ca="1" si="73"/>
        <v>#DIV/0!</v>
      </c>
      <c r="T32" s="485"/>
      <c r="U32" s="485"/>
      <c r="V32" s="485"/>
      <c r="W32" s="485"/>
      <c r="X32" s="485"/>
      <c r="Y32" s="868" t="e">
        <f t="shared" ca="1" si="74"/>
        <v>#REF!</v>
      </c>
      <c r="Z32" s="868"/>
      <c r="AA32" s="1485"/>
      <c r="AB32" s="1485"/>
      <c r="AC32" s="1485"/>
      <c r="AD32" s="1439"/>
      <c r="AE32" s="1161" t="s">
        <v>157</v>
      </c>
      <c r="AF32" s="1160" t="e">
        <f t="shared" ca="1" si="88"/>
        <v>#REF!</v>
      </c>
      <c r="AG32" s="1153" t="e">
        <f ca="1">AG14*$AF$84*1000</f>
        <v>#REF!</v>
      </c>
      <c r="AH32" s="1153" t="e">
        <f ca="1">AH14/K14*K32</f>
        <v>#REF!</v>
      </c>
      <c r="AI32" s="1153" t="e">
        <f ca="1">IF(AI14=0,0,AI14/L14*L32)</f>
        <v>#REF!</v>
      </c>
      <c r="AJ32" s="258" t="e">
        <f t="shared" ca="1" si="60"/>
        <v>#REF!</v>
      </c>
      <c r="AK32" s="1156" t="e">
        <f t="shared" ca="1" si="76"/>
        <v>#REF!</v>
      </c>
      <c r="AL32" s="1161" t="s">
        <v>157</v>
      </c>
      <c r="AM32" s="1157" t="e">
        <f t="shared" ca="1" si="89"/>
        <v>#REF!</v>
      </c>
      <c r="AN32" s="1153" t="e">
        <f ca="1">AN14*$AF$84*1000</f>
        <v>#REF!</v>
      </c>
      <c r="AO32" s="1153" t="e">
        <f t="shared" ref="AO32" ca="1" si="96">IF(AH14=0,0,AO14/AH14*AH32)</f>
        <v>#REF!</v>
      </c>
      <c r="AP32" s="258" t="e">
        <f ca="1">AI32+Objectifs!E32*Hypothèses!B17*1000</f>
        <v>#REF!</v>
      </c>
      <c r="AQ32" s="258" t="e">
        <f t="shared" ca="1" si="62"/>
        <v>#REF!</v>
      </c>
      <c r="AR32" s="600" t="e">
        <f t="shared" ca="1" si="63"/>
        <v>#REF!</v>
      </c>
      <c r="AS32" s="600" t="e">
        <f ca="1">AR32-'Hypothèses &amp; Méthodo'!$B$21*1000</f>
        <v>#REF!</v>
      </c>
      <c r="AT32" s="600" t="e">
        <f t="shared" ca="1" si="64"/>
        <v>#REF!</v>
      </c>
      <c r="AU32" s="600"/>
      <c r="AV32" s="600"/>
      <c r="AW32" s="600"/>
      <c r="AX32" s="600"/>
      <c r="AY32" s="600"/>
      <c r="AZ32" s="600"/>
      <c r="BA32" s="600"/>
      <c r="BB32" s="600"/>
      <c r="BC32" s="600"/>
      <c r="BD32" s="600"/>
      <c r="BE32" s="600"/>
      <c r="BF32" s="600"/>
      <c r="BG32" s="1138"/>
      <c r="BH32" s="1138"/>
      <c r="BI32" s="600"/>
      <c r="BJ32" s="600"/>
      <c r="BK32" s="600"/>
      <c r="BL32" s="600"/>
      <c r="BM32" s="600"/>
      <c r="BN32" s="600"/>
      <c r="BO32" s="600"/>
      <c r="BP32" s="600"/>
      <c r="BQ32" s="600"/>
      <c r="BR32" s="600"/>
      <c r="BS32" s="600"/>
      <c r="BT32" s="600"/>
      <c r="BU32" s="600"/>
      <c r="BV32" s="600"/>
      <c r="BW32" s="600"/>
      <c r="BX32" s="600"/>
      <c r="BY32" s="600"/>
      <c r="BZ32" s="600"/>
      <c r="CA32" s="600"/>
      <c r="CB32" s="600"/>
      <c r="CC32" s="600"/>
      <c r="CD32" s="1161" t="s">
        <v>157</v>
      </c>
      <c r="CE32" s="1157" t="e">
        <f t="shared" ca="1" si="79"/>
        <v>#REF!</v>
      </c>
      <c r="CF32" s="1153" t="e">
        <f t="shared" ca="1" si="80"/>
        <v>#REF!</v>
      </c>
      <c r="CG32" s="1153" t="e">
        <f t="shared" ca="1" si="65"/>
        <v>#REF!</v>
      </c>
      <c r="CH32" s="258" t="e">
        <f t="shared" ca="1" si="66"/>
        <v>#REF!</v>
      </c>
      <c r="CI32" s="258" t="e">
        <f t="shared" ca="1" si="67"/>
        <v>#REF!</v>
      </c>
      <c r="CJ32" s="600"/>
      <c r="CK32" s="1161" t="s">
        <v>157</v>
      </c>
      <c r="CL32" s="1160" t="e">
        <f t="shared" ca="1" si="91"/>
        <v>#REF!</v>
      </c>
      <c r="CM32" s="1153" t="e">
        <f ca="1">CM14*$AF$84*1000</f>
        <v>#REF!</v>
      </c>
      <c r="CN32" s="1153" t="e">
        <f t="shared" ref="CN32:CN37" ca="1" si="97">CN14/K14*K32</f>
        <v>#REF!</v>
      </c>
      <c r="CO32" s="1153" t="e">
        <f t="shared" ca="1" si="92"/>
        <v>#REF!</v>
      </c>
      <c r="CP32" s="258" t="e">
        <f t="shared" ca="1" si="68"/>
        <v>#REF!</v>
      </c>
      <c r="CQ32" s="1158" t="e">
        <f t="shared" ca="1" si="83"/>
        <v>#REF!</v>
      </c>
      <c r="CR32" s="1161" t="s">
        <v>157</v>
      </c>
      <c r="CS32" s="1160" t="e">
        <f t="shared" ca="1" si="93"/>
        <v>#REF!</v>
      </c>
      <c r="CT32" s="1153" t="e">
        <f ca="1">CT14*$AF$84*1000</f>
        <v>#REF!</v>
      </c>
      <c r="CU32" s="1153" t="e">
        <f t="shared" ref="CU32:CU37" ca="1" si="98">CU14/K14*K32</f>
        <v>#REF!</v>
      </c>
      <c r="CV32" s="1153" t="e">
        <f t="shared" ca="1" si="94"/>
        <v>#REF!</v>
      </c>
      <c r="CW32" s="258" t="e">
        <f t="shared" ca="1" si="69"/>
        <v>#REF!</v>
      </c>
      <c r="CX32" s="600"/>
      <c r="CY32" s="600"/>
      <c r="CZ32" s="600"/>
      <c r="DA32" s="1161" t="s">
        <v>157</v>
      </c>
      <c r="DB32" s="1160" t="e">
        <f t="shared" ca="1" si="95"/>
        <v>#REF!</v>
      </c>
      <c r="DC32" s="1153" t="e">
        <f ca="1">DC14*Hypothèses!$B$3*1000</f>
        <v>#REF!</v>
      </c>
      <c r="DD32" s="258" t="e">
        <f ca="1">((SUMIFS(INDIRECT("TabINPUT["&amp;$DA$9&amp;"]"),TabINPUT[SECTEUR1],$A30,TabINPUT[VECTEUR],"Fioul")*Hypothèses!$B$6+SUMIFS(INDIRECT("TabINPUT["&amp;$DA$9&amp;"]"),TabINPUT[SECTEUR1],$A30,TabINPUT[VECTEUR],"Autre P.P. ")*Hypothèses!$B$8)*1000-DD31)*IF($B$4="Réel",1,HLOOKUP(DA9,Hypothèses!$A$25:$AA$28,4,0))</f>
        <v>#REF!</v>
      </c>
      <c r="DE32" s="258" t="e">
        <f ca="1">(Hypothèses!$B$4*1000*SUMIFS(INDIRECT("TabINPUT["&amp;$DA$9&amp;"]"),TabINPUT[SECTEUR1],$A30,TabINPUT[VECTEUR],"Solides")+Hypothèses!$B$17*1000*SUMIFS(INDIRECT("TabINPUT["&amp;$DA$9&amp;"]"),TabINPUT[SECTEUR1],$A30,TabINPUT[VECTEUR],"autres"))*IF($B$4="Réel",1,HLOOKUP(DA9,Hypothèses!$A$25:$AA$28,4,0))</f>
        <v>#REF!</v>
      </c>
      <c r="DF32" s="258" t="e">
        <f t="shared" ca="1" si="70"/>
        <v>#REF!</v>
      </c>
      <c r="DG32" s="600"/>
      <c r="DH32" s="600"/>
      <c r="DI32" s="600"/>
      <c r="DJ32" s="600"/>
      <c r="DK32" s="600"/>
      <c r="DL32" s="600"/>
      <c r="DM32" s="600"/>
      <c r="DN32" s="600"/>
      <c r="DO32" s="600"/>
      <c r="DP32" s="600"/>
      <c r="DQ32" s="600"/>
      <c r="DR32" s="600"/>
      <c r="DS32" s="600"/>
      <c r="DT32" s="600"/>
      <c r="DU32" s="600"/>
      <c r="DV32" s="600"/>
      <c r="DW32" s="600"/>
      <c r="DX32" s="600"/>
      <c r="DY32" s="600"/>
      <c r="DZ32" s="600"/>
      <c r="EA32" s="600"/>
      <c r="EB32" s="600"/>
      <c r="EC32" s="600"/>
      <c r="ED32" s="600"/>
      <c r="EE32" s="600"/>
      <c r="EF32" s="600"/>
      <c r="EG32" s="600"/>
      <c r="EH32" s="600"/>
      <c r="EI32" s="600"/>
      <c r="EJ32" s="600"/>
      <c r="EK32" s="600"/>
      <c r="EL32" s="600"/>
      <c r="EM32" s="600"/>
      <c r="EN32" s="600"/>
      <c r="EO32" s="600"/>
      <c r="EP32" s="600"/>
      <c r="EQ32" s="600"/>
      <c r="ER32" s="600"/>
      <c r="ES32" s="600"/>
      <c r="ET32" s="600"/>
      <c r="EU32" s="600"/>
      <c r="EV32" s="600"/>
      <c r="EW32" s="600"/>
      <c r="EX32" s="600"/>
      <c r="EY32" s="600"/>
      <c r="EZ32" s="600"/>
    </row>
    <row r="33" spans="1:156">
      <c r="A33" s="1111" t="s">
        <v>201</v>
      </c>
      <c r="B33" s="1153" t="e">
        <f t="shared" ca="1" si="86"/>
        <v>#DIV/0!</v>
      </c>
      <c r="C33" s="1153">
        <f ca="1">C15*Hypothèses!$B$3*1000</f>
        <v>0</v>
      </c>
      <c r="D33" s="1153">
        <f ca="1">((SUMIFS(INDIRECT("TabINPUT["&amp;$A$9&amp;"]"),TabINPUT[SECTEUR1],$A33,TabINPUT[VECTEUR],"mazout")*Hypothèses!$B$6+SUMIFS(INDIRECT("TabINPUT["&amp;$A$9&amp;"]"),TabINPUT[SECTEUR1],$A33,TabINPUT[VECTEUR],"Butane, propane")*Hypothèses!$B$8)*1000)*IF($B$4="Réel",1,HLOOKUP(A9,Hypothèses!$A$25:$AA$28,3,0))</f>
        <v>0</v>
      </c>
      <c r="E33" s="1153">
        <f ca="1">(Hypothèses!$B$4*1000*SUMIFS(INDIRECT("TabINPUT["&amp;$A$9&amp;"]"),TabINPUT[SECTEUR1],$A33,TabINPUT[VECTEUR],"charbon")+Hypothèses!$B$17*1000*SUMIFS(INDIRECT("TabINPUT["&amp;$A$9&amp;"]"),TabINPUT[SECTEUR1],$A33,TabINPUT[VECTEUR],"bois"))*IF($B$4="Réel",1,HLOOKUP(A9,Hypothèses!$A$25:$AA$28,4,0))</f>
        <v>0</v>
      </c>
      <c r="F33" s="1154" t="e">
        <f t="shared" ca="1" si="56"/>
        <v>#DIV/0!</v>
      </c>
      <c r="G33" s="70"/>
      <c r="H33" s="1159" t="s">
        <v>201</v>
      </c>
      <c r="I33" s="1160" t="e">
        <f t="shared" ca="1" si="87"/>
        <v>#REF!</v>
      </c>
      <c r="J33" s="1153" t="e">
        <f ca="1">J15*Hypothèses!$B$3*1000</f>
        <v>#REF!</v>
      </c>
      <c r="K33" s="1153" t="e">
        <f ca="1">((SUMIFS(INDIRECT("TabINPUT["&amp;$H$9&amp;"]"),TabINPUT[SECTEUR1],$A33,TabINPUT[VECTEUR],"mazout")*Hypothèses!$B$6+SUMIFS(INDIRECT("TabINPUT["&amp;$H$9&amp;"]"),TabINPUT[SECTEUR1],$A33,TabINPUT[VECTEUR],"Butane, propane")*Hypothèses!$B$8)*1000)*IF($B$4="Réel",1,HLOOKUP(H9,Hypothèses!$A$25:$AA$28,3,0))</f>
        <v>#REF!</v>
      </c>
      <c r="L33" s="1153" t="e">
        <f ca="1">(Hypothèses!$B$4*1000*SUMIFS(INDIRECT("TabINPUT["&amp;$H$9&amp;"]"),TabINPUT[SECTEUR1],$A33,TabINPUT[VECTEUR],"charbon")+Hypothèses!$B$17*1000*SUMIFS(INDIRECT("TabINPUT["&amp;$H$9&amp;"]"),TabINPUT[SECTEUR1],$A33,TabINPUT[VECTEUR],"bois"))*IF($B$4="Réel",1,HLOOKUP(H9,Hypothèses!$A$25:$AA$28,4,0))</f>
        <v>#REF!</v>
      </c>
      <c r="M33" s="1154" t="e">
        <f t="shared" ca="1" si="57"/>
        <v>#REF!</v>
      </c>
      <c r="N33" s="1155"/>
      <c r="O33" s="477" t="e">
        <f t="shared" ca="1" si="58"/>
        <v>#DIV/0!</v>
      </c>
      <c r="P33" s="477" t="e">
        <f t="shared" ca="1" si="59"/>
        <v>#REF!</v>
      </c>
      <c r="Q33" s="477" t="e">
        <f t="shared" ca="1" si="71"/>
        <v>#DIV/0!</v>
      </c>
      <c r="R33" s="458" t="e">
        <f t="shared" ca="1" si="72"/>
        <v>#DIV/0!</v>
      </c>
      <c r="S33" s="458" t="e">
        <f t="shared" ca="1" si="73"/>
        <v>#DIV/0!</v>
      </c>
      <c r="T33" s="485"/>
      <c r="U33" s="485"/>
      <c r="V33" s="485"/>
      <c r="W33" s="485"/>
      <c r="X33" s="485"/>
      <c r="Y33" s="868" t="e">
        <f t="shared" ca="1" si="74"/>
        <v>#REF!</v>
      </c>
      <c r="Z33" s="868"/>
      <c r="AA33" s="1485"/>
      <c r="AB33" s="1485"/>
      <c r="AC33" s="1485"/>
      <c r="AD33" s="1439"/>
      <c r="AE33" s="1159" t="s">
        <v>201</v>
      </c>
      <c r="AF33" s="1160" t="e">
        <f t="shared" ca="1" si="88"/>
        <v>#REF!</v>
      </c>
      <c r="AG33" s="1153" t="e">
        <f ca="1">AG15*$AF$84*1000</f>
        <v>#REF!</v>
      </c>
      <c r="AH33" s="1153" t="e">
        <f ca="1">AH15/K15*K33</f>
        <v>#REF!</v>
      </c>
      <c r="AI33" s="1153" t="e">
        <f ca="1">AI15/L15*L33</f>
        <v>#REF!</v>
      </c>
      <c r="AJ33" s="1154" t="e">
        <f t="shared" ca="1" si="60"/>
        <v>#REF!</v>
      </c>
      <c r="AK33" s="1156" t="e">
        <f t="shared" ca="1" si="76"/>
        <v>#REF!</v>
      </c>
      <c r="AL33" s="1159" t="s">
        <v>201</v>
      </c>
      <c r="AM33" s="1157" t="e">
        <f t="shared" ca="1" si="89"/>
        <v>#REF!</v>
      </c>
      <c r="AN33" s="1153" t="e">
        <f ca="1">AN15*$AF$84*1000</f>
        <v>#REF!</v>
      </c>
      <c r="AO33" s="1153" t="e">
        <f t="shared" ref="AO33" ca="1" si="99">IF(AH15=0,0,AO15/AH15*AH33)</f>
        <v>#REF!</v>
      </c>
      <c r="AP33" s="1153" t="e">
        <f ca="1">AI33+Objectifs!E33*1000*'Hypothèses &amp; Méthodo'!B21</f>
        <v>#REF!</v>
      </c>
      <c r="AQ33" s="1154" t="e">
        <f t="shared" ca="1" si="62"/>
        <v>#REF!</v>
      </c>
      <c r="AR33" s="600" t="e">
        <f t="shared" ca="1" si="63"/>
        <v>#REF!</v>
      </c>
      <c r="AS33" s="600" t="e">
        <f ca="1">AR33-'Hypothèses &amp; Méthodo'!$B$21*1000</f>
        <v>#REF!</v>
      </c>
      <c r="AT33" s="600" t="e">
        <f t="shared" ca="1" si="64"/>
        <v>#REF!</v>
      </c>
      <c r="AU33" s="600"/>
      <c r="AV33" s="600"/>
      <c r="AW33" s="600"/>
      <c r="AX33" s="600"/>
      <c r="AY33" s="600"/>
      <c r="AZ33" s="600"/>
      <c r="BA33" s="600"/>
      <c r="BB33" s="600"/>
      <c r="BC33" s="600"/>
      <c r="BD33" s="600"/>
      <c r="BE33" s="600"/>
      <c r="BF33" s="600"/>
      <c r="BG33" s="1138"/>
      <c r="BH33" s="1138"/>
      <c r="BI33" s="600"/>
      <c r="BJ33" s="600"/>
      <c r="BK33" s="600"/>
      <c r="BL33" s="600"/>
      <c r="BM33" s="600"/>
      <c r="BN33" s="600"/>
      <c r="BO33" s="600"/>
      <c r="BP33" s="600"/>
      <c r="BQ33" s="600"/>
      <c r="BR33" s="600"/>
      <c r="BS33" s="600"/>
      <c r="BT33" s="600"/>
      <c r="BU33" s="600"/>
      <c r="BV33" s="600"/>
      <c r="BW33" s="600"/>
      <c r="BX33" s="600"/>
      <c r="BY33" s="600"/>
      <c r="BZ33" s="600"/>
      <c r="CA33" s="600"/>
      <c r="CB33" s="600"/>
      <c r="CC33" s="600"/>
      <c r="CD33" s="1159" t="s">
        <v>201</v>
      </c>
      <c r="CE33" s="1157" t="e">
        <f t="shared" ca="1" si="79"/>
        <v>#REF!</v>
      </c>
      <c r="CF33" s="1153" t="e">
        <f t="shared" ca="1" si="80"/>
        <v>#REF!</v>
      </c>
      <c r="CG33" s="1153" t="e">
        <f t="shared" ca="1" si="65"/>
        <v>#REF!</v>
      </c>
      <c r="CH33" s="1153" t="e">
        <f t="shared" ca="1" si="66"/>
        <v>#REF!</v>
      </c>
      <c r="CI33" s="1154" t="e">
        <f t="shared" ca="1" si="67"/>
        <v>#REF!</v>
      </c>
      <c r="CJ33" s="600"/>
      <c r="CK33" s="1159" t="s">
        <v>201</v>
      </c>
      <c r="CL33" s="1160" t="e">
        <f t="shared" ca="1" si="91"/>
        <v>#REF!</v>
      </c>
      <c r="CM33" s="1153" t="e">
        <f ca="1">CM15*$AF$84*1000</f>
        <v>#REF!</v>
      </c>
      <c r="CN33" s="1153" t="e">
        <f t="shared" ca="1" si="97"/>
        <v>#REF!</v>
      </c>
      <c r="CO33" s="1153" t="e">
        <f t="shared" ca="1" si="92"/>
        <v>#REF!</v>
      </c>
      <c r="CP33" s="1154" t="e">
        <f t="shared" ca="1" si="68"/>
        <v>#REF!</v>
      </c>
      <c r="CQ33" s="1158" t="e">
        <f t="shared" ca="1" si="83"/>
        <v>#REF!</v>
      </c>
      <c r="CR33" s="1159" t="s">
        <v>201</v>
      </c>
      <c r="CS33" s="1160" t="e">
        <f t="shared" ca="1" si="93"/>
        <v>#REF!</v>
      </c>
      <c r="CT33" s="1153" t="e">
        <f ca="1">CT15*$AF$84*1000</f>
        <v>#REF!</v>
      </c>
      <c r="CU33" s="1153" t="e">
        <f t="shared" ca="1" si="98"/>
        <v>#REF!</v>
      </c>
      <c r="CV33" s="1153" t="e">
        <f t="shared" ca="1" si="94"/>
        <v>#REF!</v>
      </c>
      <c r="CW33" s="1154" t="e">
        <f t="shared" ca="1" si="69"/>
        <v>#REF!</v>
      </c>
      <c r="CX33" s="600"/>
      <c r="CY33" s="600"/>
      <c r="CZ33" s="600"/>
      <c r="DA33" s="1159" t="s">
        <v>201</v>
      </c>
      <c r="DB33" s="1160" t="e">
        <f t="shared" ca="1" si="95"/>
        <v>#REF!</v>
      </c>
      <c r="DC33" s="1153" t="e">
        <f ca="1">DC15*Hypothèses!$B$3*1000</f>
        <v>#REF!</v>
      </c>
      <c r="DD33" s="1153" t="e">
        <f ca="1">((SUMIFS(INDIRECT("TabINPUT["&amp;$DA$9&amp;"]"),TabINPUT[SECTEUR1],$A33,TabINPUT[VECTEUR],"mazout")*Hypothèses!$B$6+SUMIFS(INDIRECT("TabINPUT["&amp;$DA$9&amp;"]"),TabINPUT[SECTEUR1],$A33,TabINPUT[VECTEUR],"Butane, propane")*Hypothèses!$B$8)*1000)*IF($B$4="Réel",1,HLOOKUP(DA9,Hypothèses!$A$25:$AA$28,3,0))</f>
        <v>#REF!</v>
      </c>
      <c r="DE33" s="1153" t="e">
        <f ca="1">(Hypothèses!$B$4*1000*SUMIFS(INDIRECT("TabINPUT["&amp;$DA$9&amp;"]"),TabINPUT[SECTEUR1],$A33,TabINPUT[VECTEUR],"charbon")+Hypothèses!$B$17*1000*SUMIFS(INDIRECT("TabINPUT["&amp;$DA$9&amp;"]"),TabINPUT[SECTEUR1],$A33,TabINPUT[VECTEUR],"bois"))*IF($B$4="Réel",1,HLOOKUP(DA9,Hypothèses!$A$25:$AA$28,4,0))</f>
        <v>#REF!</v>
      </c>
      <c r="DF33" s="1154" t="e">
        <f t="shared" ca="1" si="70"/>
        <v>#REF!</v>
      </c>
      <c r="DG33" s="600"/>
      <c r="DH33" s="600"/>
      <c r="DI33" s="600"/>
      <c r="DJ33" s="600"/>
      <c r="DK33" s="600"/>
      <c r="DL33" s="600"/>
      <c r="DM33" s="600"/>
      <c r="DN33" s="600"/>
      <c r="DO33" s="600"/>
      <c r="DP33" s="600"/>
      <c r="DQ33" s="600"/>
      <c r="DR33" s="600"/>
      <c r="DS33" s="600"/>
      <c r="DT33" s="600"/>
      <c r="DU33" s="600"/>
      <c r="DV33" s="600"/>
      <c r="DW33" s="600"/>
      <c r="DX33" s="600"/>
      <c r="DY33" s="600"/>
      <c r="DZ33" s="600"/>
      <c r="EA33" s="600"/>
      <c r="EB33" s="600"/>
      <c r="EC33" s="600"/>
      <c r="ED33" s="600"/>
      <c r="EE33" s="600"/>
      <c r="EF33" s="600"/>
      <c r="EG33" s="600"/>
      <c r="EH33" s="600"/>
      <c r="EI33" s="600"/>
      <c r="EJ33" s="600"/>
      <c r="EK33" s="600"/>
      <c r="EL33" s="600"/>
      <c r="EM33" s="600"/>
      <c r="EN33" s="600"/>
      <c r="EO33" s="600"/>
      <c r="EP33" s="600"/>
      <c r="EQ33" s="600"/>
      <c r="ER33" s="600"/>
      <c r="ES33" s="600"/>
      <c r="ET33" s="600"/>
      <c r="EU33" s="600"/>
      <c r="EV33" s="600"/>
      <c r="EW33" s="600"/>
      <c r="EX33" s="600"/>
      <c r="EY33" s="600"/>
      <c r="EZ33" s="600"/>
    </row>
    <row r="34" spans="1:156">
      <c r="A34" s="1111" t="s">
        <v>202</v>
      </c>
      <c r="B34" s="1153" t="e">
        <f t="shared" ca="1" si="86"/>
        <v>#DIV/0!</v>
      </c>
      <c r="C34" s="1153">
        <f ca="1">C16*Hypothèses!$B$3*1000</f>
        <v>0</v>
      </c>
      <c r="D34" s="1153">
        <f ca="1">(SUMIFS(INDIRECT("TabINPUT["&amp;$A$9&amp;"]"),TabINPUT[SECTEUR1],$A34,TabINPUT[VECTEUR],"mazout")*Hypothèses!$B$6+SUMIFS(INDIRECT("TabINPUT["&amp;$A$9&amp;"]"),TabINPUT[SECTEUR1],$A34,TabINPUT[VECTEUR],"Essence")*Hypothèses!$B$5)*1000</f>
        <v>0</v>
      </c>
      <c r="E34" s="1153">
        <f ca="1">SUMIFS(INDIRECT("TabINPUT["&amp;$A$9&amp;"]"),TabINPUT[SECTEUR1],$A34,TabINPUT[VECTEUR],"Bioethanol")*Hypothèses!$B$18*1000</f>
        <v>0</v>
      </c>
      <c r="F34" s="1154" t="e">
        <f t="shared" ca="1" si="56"/>
        <v>#DIV/0!</v>
      </c>
      <c r="G34" s="70"/>
      <c r="H34" s="1159" t="s">
        <v>202</v>
      </c>
      <c r="I34" s="1160" t="e">
        <f t="shared" ca="1" si="87"/>
        <v>#REF!</v>
      </c>
      <c r="J34" s="1153" t="e">
        <f ca="1">J16*Hypothèses!$B$3*1000</f>
        <v>#REF!</v>
      </c>
      <c r="K34" s="1153" t="e">
        <f ca="1">(SUMIFS(INDIRECT("TabINPUT["&amp;$H$9&amp;"]"),TabINPUT[SECTEUR1],$A34,TabINPUT[VECTEUR],"mazout")*Hypothèses!$B$6+SUMIFS(INDIRECT("TabINPUT["&amp;$H$9&amp;"]"),TabINPUT[SECTEUR1],$A34,TabINPUT[VECTEUR],"Essence")*Hypothèses!$B$5)*1000</f>
        <v>#REF!</v>
      </c>
      <c r="L34" s="1153" t="e">
        <f ca="1">SUMIFS(INDIRECT("TabINPUT["&amp;$H$9&amp;"]"),TabINPUT[SECTEUR1],$A34,TabINPUT[VECTEUR],"Bioethanol")*Hypothèses!$B$18*1000</f>
        <v>#REF!</v>
      </c>
      <c r="M34" s="1154" t="e">
        <f t="shared" ca="1" si="57"/>
        <v>#REF!</v>
      </c>
      <c r="N34" s="1155"/>
      <c r="O34" s="477" t="e">
        <f t="shared" ca="1" si="58"/>
        <v>#DIV/0!</v>
      </c>
      <c r="P34" s="477" t="e">
        <f t="shared" ca="1" si="59"/>
        <v>#REF!</v>
      </c>
      <c r="Q34" s="477" t="e">
        <f t="shared" ca="1" si="71"/>
        <v>#DIV/0!</v>
      </c>
      <c r="R34" s="458" t="e">
        <f t="shared" ca="1" si="72"/>
        <v>#DIV/0!</v>
      </c>
      <c r="S34" s="458" t="e">
        <f t="shared" ca="1" si="73"/>
        <v>#DIV/0!</v>
      </c>
      <c r="T34" s="485"/>
      <c r="U34" s="485"/>
      <c r="V34" s="485"/>
      <c r="W34" s="485"/>
      <c r="X34" s="485"/>
      <c r="Y34" s="868" t="e">
        <f t="shared" ca="1" si="74"/>
        <v>#REF!</v>
      </c>
      <c r="Z34" s="868"/>
      <c r="AA34" s="1485"/>
      <c r="AB34" s="1485"/>
      <c r="AC34" s="1485"/>
      <c r="AD34" s="1439"/>
      <c r="AE34" s="1159" t="s">
        <v>202</v>
      </c>
      <c r="AF34" s="1160" t="e">
        <f t="shared" ca="1" si="88"/>
        <v>#REF!</v>
      </c>
      <c r="AG34" s="1153" t="e">
        <f ca="1">AG16*$AF$84*1000</f>
        <v>#REF!</v>
      </c>
      <c r="AH34" s="1153" t="e">
        <f ca="1">AH16/K16*K34</f>
        <v>#REF!</v>
      </c>
      <c r="AI34" s="1153" t="e">
        <f ca="1">IF(L16=0,0,AI16/L16*L34)</f>
        <v>#REF!</v>
      </c>
      <c r="AJ34" s="1154" t="e">
        <f t="shared" ca="1" si="60"/>
        <v>#REF!</v>
      </c>
      <c r="AK34" s="1156" t="e">
        <f t="shared" ca="1" si="76"/>
        <v>#REF!</v>
      </c>
      <c r="AL34" s="1159" t="s">
        <v>202</v>
      </c>
      <c r="AM34" s="1157" t="e">
        <f t="shared" ca="1" si="89"/>
        <v>#REF!</v>
      </c>
      <c r="AN34" s="1153" t="e">
        <f ca="1">AN16*$AF$84*1000</f>
        <v>#REF!</v>
      </c>
      <c r="AO34" s="1153" t="e">
        <f t="shared" ref="AO34:AP34" ca="1" si="100">IF(AH16=0,0,AO16/AH16*AH34)</f>
        <v>#REF!</v>
      </c>
      <c r="AP34" s="1153" t="e">
        <f t="shared" ca="1" si="100"/>
        <v>#REF!</v>
      </c>
      <c r="AQ34" s="1154" t="e">
        <f t="shared" ca="1" si="62"/>
        <v>#REF!</v>
      </c>
      <c r="AR34" s="600" t="e">
        <f t="shared" ca="1" si="63"/>
        <v>#REF!</v>
      </c>
      <c r="AS34" s="600"/>
      <c r="AT34" s="600" t="e">
        <f t="shared" ca="1" si="64"/>
        <v>#REF!</v>
      </c>
      <c r="AU34" s="600"/>
      <c r="AV34" s="600"/>
      <c r="AW34" s="600"/>
      <c r="AX34" s="600"/>
      <c r="AY34" s="600"/>
      <c r="AZ34" s="600"/>
      <c r="BA34" s="600"/>
      <c r="BB34" s="600"/>
      <c r="BC34" s="600"/>
      <c r="BD34" s="600"/>
      <c r="BE34" s="600"/>
      <c r="BF34" s="600"/>
      <c r="BG34" s="1138"/>
      <c r="BH34" s="1138"/>
      <c r="BI34" s="600"/>
      <c r="BJ34" s="600"/>
      <c r="BK34" s="600"/>
      <c r="BL34" s="600"/>
      <c r="BM34" s="600"/>
      <c r="BN34" s="600"/>
      <c r="BO34" s="600"/>
      <c r="BP34" s="600"/>
      <c r="BQ34" s="600"/>
      <c r="BR34" s="600"/>
      <c r="BS34" s="600"/>
      <c r="BT34" s="600"/>
      <c r="BU34" s="600"/>
      <c r="BV34" s="600"/>
      <c r="BW34" s="600"/>
      <c r="BX34" s="600"/>
      <c r="BY34" s="600"/>
      <c r="BZ34" s="600"/>
      <c r="CA34" s="600"/>
      <c r="CB34" s="600"/>
      <c r="CC34" s="600"/>
      <c r="CD34" s="1159" t="s">
        <v>202</v>
      </c>
      <c r="CE34" s="1157" t="e">
        <f t="shared" ca="1" si="79"/>
        <v>#REF!</v>
      </c>
      <c r="CF34" s="1153" t="e">
        <f t="shared" ca="1" si="80"/>
        <v>#REF!</v>
      </c>
      <c r="CG34" s="1153" t="e">
        <f t="shared" ca="1" si="65"/>
        <v>#REF!</v>
      </c>
      <c r="CH34" s="1153" t="e">
        <f t="shared" ca="1" si="66"/>
        <v>#REF!</v>
      </c>
      <c r="CI34" s="1154" t="e">
        <f t="shared" ca="1" si="67"/>
        <v>#REF!</v>
      </c>
      <c r="CJ34" s="600"/>
      <c r="CK34" s="1159" t="s">
        <v>202</v>
      </c>
      <c r="CL34" s="1160" t="e">
        <f t="shared" ca="1" si="91"/>
        <v>#REF!</v>
      </c>
      <c r="CM34" s="1153" t="e">
        <f ca="1">CM16*$AF$84*1000</f>
        <v>#REF!</v>
      </c>
      <c r="CN34" s="1153" t="e">
        <f t="shared" ca="1" si="97"/>
        <v>#REF!</v>
      </c>
      <c r="CO34" s="1153" t="e">
        <f t="shared" ca="1" si="92"/>
        <v>#REF!</v>
      </c>
      <c r="CP34" s="1154" t="e">
        <f t="shared" ca="1" si="68"/>
        <v>#REF!</v>
      </c>
      <c r="CQ34" s="1158" t="e">
        <f t="shared" ca="1" si="83"/>
        <v>#REF!</v>
      </c>
      <c r="CR34" s="1159" t="s">
        <v>202</v>
      </c>
      <c r="CS34" s="1160" t="e">
        <f t="shared" ca="1" si="93"/>
        <v>#REF!</v>
      </c>
      <c r="CT34" s="1153" t="e">
        <f ca="1">CT16*$AF$84*1000</f>
        <v>#REF!</v>
      </c>
      <c r="CU34" s="1153" t="e">
        <f t="shared" ca="1" si="98"/>
        <v>#REF!</v>
      </c>
      <c r="CV34" s="1153" t="e">
        <f t="shared" ca="1" si="94"/>
        <v>#REF!</v>
      </c>
      <c r="CW34" s="1154" t="e">
        <f t="shared" ca="1" si="69"/>
        <v>#REF!</v>
      </c>
      <c r="CX34" s="600"/>
      <c r="CY34" s="600"/>
      <c r="CZ34" s="600"/>
      <c r="DA34" s="1159" t="s">
        <v>202</v>
      </c>
      <c r="DB34" s="1160" t="e">
        <f t="shared" ca="1" si="95"/>
        <v>#REF!</v>
      </c>
      <c r="DC34" s="1153" t="e">
        <f ca="1">DC16*Hypothèses!$B$3*1000</f>
        <v>#REF!</v>
      </c>
      <c r="DD34" s="1153" t="e">
        <f ca="1">(SUMIFS(INDIRECT("TabINPUT["&amp;$DA$9&amp;"]"),TabINPUT[SECTEUR1],$A34,TabINPUT[VECTEUR],"mazout")*Hypothèses!$B$6+SUMIFS(INDIRECT("TabINPUT["&amp;$DA$9&amp;"]"),TabINPUT[SECTEUR1],$A34,TabINPUT[VECTEUR],"Essence")*Hypothèses!$B$5)*1000</f>
        <v>#REF!</v>
      </c>
      <c r="DE34" s="1153" t="e">
        <f ca="1">SUMIFS(INDIRECT("TabINPUT["&amp;$DA$9&amp;"]"),TabINPUT[SECTEUR1],$A34,TabINPUT[VECTEUR],"Bioethanol")*Hypothèses!$B$18*1000</f>
        <v>#REF!</v>
      </c>
      <c r="DF34" s="1154" t="e">
        <f t="shared" ca="1" si="70"/>
        <v>#REF!</v>
      </c>
      <c r="DG34" s="600"/>
      <c r="DH34" s="600"/>
      <c r="DI34" s="600"/>
      <c r="DJ34" s="600"/>
      <c r="DK34" s="600"/>
      <c r="DL34" s="600"/>
      <c r="DM34" s="600"/>
      <c r="DN34" s="600"/>
      <c r="DO34" s="600"/>
      <c r="DP34" s="600"/>
      <c r="DQ34" s="600"/>
      <c r="DR34" s="600"/>
      <c r="DS34" s="600"/>
      <c r="DT34" s="600"/>
      <c r="DU34" s="600"/>
      <c r="DV34" s="600"/>
      <c r="DW34" s="600"/>
      <c r="DX34" s="600"/>
      <c r="DY34" s="600"/>
      <c r="DZ34" s="600"/>
      <c r="EA34" s="600"/>
      <c r="EB34" s="600"/>
      <c r="EC34" s="600"/>
      <c r="ED34" s="600"/>
      <c r="EE34" s="600"/>
      <c r="EF34" s="600"/>
      <c r="EG34" s="600"/>
      <c r="EH34" s="600"/>
      <c r="EI34" s="600"/>
      <c r="EJ34" s="600"/>
      <c r="EK34" s="600"/>
      <c r="EL34" s="600"/>
      <c r="EM34" s="600"/>
      <c r="EN34" s="600"/>
      <c r="EO34" s="600"/>
      <c r="EP34" s="600"/>
      <c r="EQ34" s="600"/>
      <c r="ER34" s="600"/>
      <c r="ES34" s="600"/>
      <c r="ET34" s="600"/>
      <c r="EU34" s="600"/>
      <c r="EV34" s="600"/>
      <c r="EW34" s="600"/>
      <c r="EX34" s="600"/>
      <c r="EY34" s="600"/>
      <c r="EZ34" s="600"/>
    </row>
    <row r="35" spans="1:156">
      <c r="A35" s="1111" t="s">
        <v>203</v>
      </c>
      <c r="B35" s="1153" t="e">
        <f t="shared" ca="1" si="86"/>
        <v>#DIV/0!</v>
      </c>
      <c r="C35" s="1153">
        <f ca="1">C17*Hypothèses!$B$3*1000</f>
        <v>0</v>
      </c>
      <c r="D35" s="1153">
        <f ca="1">SUM(D36:D37)</f>
        <v>0</v>
      </c>
      <c r="E35" s="1153">
        <f ca="1">E17*Hypothèses!$B$18*1000</f>
        <v>0</v>
      </c>
      <c r="F35" s="1154" t="e">
        <f t="shared" ca="1" si="56"/>
        <v>#DIV/0!</v>
      </c>
      <c r="G35" s="70"/>
      <c r="H35" s="1159" t="s">
        <v>203</v>
      </c>
      <c r="I35" s="1160" t="e">
        <f t="shared" ca="1" si="87"/>
        <v>#REF!</v>
      </c>
      <c r="J35" s="1153" t="e">
        <f ca="1">J17*Hypothèses!$B$3*1000</f>
        <v>#REF!</v>
      </c>
      <c r="K35" s="1153" t="e">
        <f ca="1">SUM(K36:K37)</f>
        <v>#REF!</v>
      </c>
      <c r="L35" s="1153" t="e">
        <f ca="1">L17*Hypothèses!$B$18*1000</f>
        <v>#REF!</v>
      </c>
      <c r="M35" s="1154" t="e">
        <f t="shared" ca="1" si="57"/>
        <v>#REF!</v>
      </c>
      <c r="N35" s="1155"/>
      <c r="O35" s="477" t="e">
        <f t="shared" ca="1" si="58"/>
        <v>#DIV/0!</v>
      </c>
      <c r="P35" s="477" t="e">
        <f t="shared" ca="1" si="59"/>
        <v>#REF!</v>
      </c>
      <c r="Q35" s="477" t="e">
        <f t="shared" ca="1" si="71"/>
        <v>#DIV/0!</v>
      </c>
      <c r="R35" s="458" t="e">
        <f t="shared" ca="1" si="72"/>
        <v>#DIV/0!</v>
      </c>
      <c r="S35" s="458" t="e">
        <f t="shared" ca="1" si="73"/>
        <v>#DIV/0!</v>
      </c>
      <c r="T35" s="485"/>
      <c r="U35" s="485"/>
      <c r="V35" s="485"/>
      <c r="W35" s="485"/>
      <c r="X35" s="485"/>
      <c r="Y35" s="868" t="e">
        <f t="shared" ca="1" si="74"/>
        <v>#REF!</v>
      </c>
      <c r="Z35" s="868"/>
      <c r="AA35" s="1485"/>
      <c r="AB35" s="1485"/>
      <c r="AC35" s="1485"/>
      <c r="AD35" s="1439"/>
      <c r="AE35" s="1159" t="s">
        <v>203</v>
      </c>
      <c r="AF35" s="1153" t="e">
        <f t="shared" ref="AF35:AH35" ca="1" si="101">SUM(AF36:AF37)</f>
        <v>#REF!</v>
      </c>
      <c r="AG35" s="1153" t="e">
        <f t="shared" ca="1" si="101"/>
        <v>#REF!</v>
      </c>
      <c r="AH35" s="1153" t="e">
        <f t="shared" ca="1" si="101"/>
        <v>#REF!</v>
      </c>
      <c r="AI35" s="1153" t="e">
        <f ca="1">SUM(AI36:AI37)</f>
        <v>#REF!</v>
      </c>
      <c r="AJ35" s="1154" t="e">
        <f t="shared" ca="1" si="60"/>
        <v>#REF!</v>
      </c>
      <c r="AK35" s="1156" t="e">
        <f t="shared" ca="1" si="76"/>
        <v>#REF!</v>
      </c>
      <c r="AL35" s="1159" t="s">
        <v>203</v>
      </c>
      <c r="AM35" s="1157" t="e">
        <f ca="1">SUM(AM36:AM37)</f>
        <v>#REF!</v>
      </c>
      <c r="AN35" s="1153" t="e">
        <f t="shared" ref="AN35" ca="1" si="102">SUM(AN36:AN37)</f>
        <v>#REF!</v>
      </c>
      <c r="AO35" s="1157" t="e">
        <f t="shared" ref="AO35:AP35" ca="1" si="103">SUM(AO36:AO37)</f>
        <v>#REF!</v>
      </c>
      <c r="AP35" s="1157" t="e">
        <f t="shared" ca="1" si="103"/>
        <v>#REF!</v>
      </c>
      <c r="AQ35" s="1154" t="e">
        <f t="shared" ca="1" si="62"/>
        <v>#REF!</v>
      </c>
      <c r="AR35" s="600" t="e">
        <f t="shared" ca="1" si="63"/>
        <v>#REF!</v>
      </c>
      <c r="AS35" s="600"/>
      <c r="AT35" s="600"/>
      <c r="AU35" s="600"/>
      <c r="AV35" s="600"/>
      <c r="AW35" s="600"/>
      <c r="AX35" s="600"/>
      <c r="AY35" s="600"/>
      <c r="AZ35" s="600"/>
      <c r="BA35" s="600"/>
      <c r="BB35" s="600"/>
      <c r="BC35" s="600"/>
      <c r="BD35" s="600"/>
      <c r="BE35" s="600"/>
      <c r="BF35" s="600"/>
      <c r="BG35" s="1138"/>
      <c r="BH35" s="1138"/>
      <c r="BI35" s="600"/>
      <c r="BJ35" s="600"/>
      <c r="BK35" s="600"/>
      <c r="BL35" s="600"/>
      <c r="BM35" s="600"/>
      <c r="BN35" s="600"/>
      <c r="BO35" s="600"/>
      <c r="BP35" s="600"/>
      <c r="BQ35" s="600"/>
      <c r="BR35" s="600"/>
      <c r="BS35" s="600"/>
      <c r="BT35" s="600"/>
      <c r="BU35" s="600"/>
      <c r="BV35" s="600"/>
      <c r="BW35" s="600"/>
      <c r="BX35" s="600"/>
      <c r="BY35" s="600"/>
      <c r="BZ35" s="600"/>
      <c r="CA35" s="600"/>
      <c r="CB35" s="600"/>
      <c r="CC35" s="600"/>
      <c r="CD35" s="1159" t="s">
        <v>203</v>
      </c>
      <c r="CE35" s="1157" t="e">
        <f ca="1">SUM(CE36:CE37)</f>
        <v>#REF!</v>
      </c>
      <c r="CF35" s="1157" t="e">
        <f t="shared" ref="CF35:CH35" ca="1" si="104">SUM(CF36:CF37)</f>
        <v>#REF!</v>
      </c>
      <c r="CG35" s="1157" t="e">
        <f t="shared" ca="1" si="104"/>
        <v>#REF!</v>
      </c>
      <c r="CH35" s="1157" t="e">
        <f t="shared" ca="1" si="104"/>
        <v>#REF!</v>
      </c>
      <c r="CI35" s="1154" t="e">
        <f t="shared" ca="1" si="67"/>
        <v>#REF!</v>
      </c>
      <c r="CJ35" s="600"/>
      <c r="CK35" s="1159" t="s">
        <v>203</v>
      </c>
      <c r="CL35" s="1160" t="e">
        <f ca="1">SUM(CL36:CL37)</f>
        <v>#REF!</v>
      </c>
      <c r="CM35" s="1153" t="e">
        <f t="shared" ref="CM35" ca="1" si="105">SUM(CM36:CM37)</f>
        <v>#REF!</v>
      </c>
      <c r="CN35" s="1160" t="e">
        <f t="shared" ref="CN35:CO35" ca="1" si="106">SUM(CN36:CN37)</f>
        <v>#REF!</v>
      </c>
      <c r="CO35" s="1160" t="e">
        <f t="shared" ca="1" si="106"/>
        <v>#REF!</v>
      </c>
      <c r="CP35" s="1154" t="e">
        <f t="shared" ca="1" si="68"/>
        <v>#REF!</v>
      </c>
      <c r="CQ35" s="1158" t="e">
        <f t="shared" ca="1" si="83"/>
        <v>#REF!</v>
      </c>
      <c r="CR35" s="1159" t="s">
        <v>203</v>
      </c>
      <c r="CS35" s="1160" t="e">
        <f ca="1">SUM(CS36:CS37)</f>
        <v>#REF!</v>
      </c>
      <c r="CT35" s="1153" t="e">
        <f t="shared" ref="CT35" ca="1" si="107">SUM(CT36:CT37)</f>
        <v>#REF!</v>
      </c>
      <c r="CU35" s="1160" t="e">
        <f t="shared" ref="CU35:CV35" ca="1" si="108">SUM(CU36:CU37)</f>
        <v>#REF!</v>
      </c>
      <c r="CV35" s="1160" t="e">
        <f t="shared" ca="1" si="108"/>
        <v>#REF!</v>
      </c>
      <c r="CW35" s="1154" t="e">
        <f t="shared" ca="1" si="69"/>
        <v>#REF!</v>
      </c>
      <c r="CX35" s="600"/>
      <c r="CY35" s="600"/>
      <c r="CZ35" s="600"/>
      <c r="DA35" s="1159" t="s">
        <v>203</v>
      </c>
      <c r="DB35" s="1160" t="e">
        <f t="shared" ca="1" si="95"/>
        <v>#REF!</v>
      </c>
      <c r="DC35" s="1153" t="e">
        <f ca="1">DC17*Hypothèses!$B$3*1000</f>
        <v>#REF!</v>
      </c>
      <c r="DD35" s="1153" t="e">
        <f ca="1">SUM(DD36:DD37)</f>
        <v>#REF!</v>
      </c>
      <c r="DE35" s="1153" t="e">
        <f ca="1">DE17*Hypothèses!$B$18*1000</f>
        <v>#REF!</v>
      </c>
      <c r="DF35" s="1154" t="e">
        <f t="shared" ca="1" si="70"/>
        <v>#REF!</v>
      </c>
      <c r="DG35" s="600"/>
      <c r="DH35" s="600"/>
      <c r="DI35" s="600"/>
      <c r="DJ35" s="600"/>
      <c r="DK35" s="600"/>
      <c r="DL35" s="600"/>
      <c r="DM35" s="600"/>
      <c r="DN35" s="600"/>
      <c r="DO35" s="600"/>
      <c r="DP35" s="600"/>
      <c r="DQ35" s="600"/>
      <c r="DR35" s="600"/>
      <c r="DS35" s="600"/>
      <c r="DT35" s="600"/>
      <c r="DU35" s="600"/>
      <c r="DV35" s="600"/>
      <c r="DW35" s="600"/>
      <c r="DX35" s="600"/>
      <c r="DY35" s="600"/>
      <c r="DZ35" s="600"/>
      <c r="EA35" s="600"/>
      <c r="EB35" s="600"/>
      <c r="EC35" s="600"/>
      <c r="ED35" s="600"/>
      <c r="EE35" s="600"/>
      <c r="EF35" s="600"/>
      <c r="EG35" s="600"/>
      <c r="EH35" s="600"/>
      <c r="EI35" s="600"/>
      <c r="EJ35" s="600"/>
      <c r="EK35" s="600"/>
      <c r="EL35" s="600"/>
      <c r="EM35" s="600"/>
      <c r="EN35" s="600"/>
      <c r="EO35" s="600"/>
      <c r="EP35" s="600"/>
      <c r="EQ35" s="600"/>
      <c r="ER35" s="600"/>
      <c r="ES35" s="600"/>
      <c r="ET35" s="600"/>
      <c r="EU35" s="600"/>
      <c r="EV35" s="600"/>
      <c r="EW35" s="600"/>
      <c r="EX35" s="600"/>
      <c r="EY35" s="600"/>
      <c r="EZ35" s="600"/>
    </row>
    <row r="36" spans="1:156">
      <c r="A36" s="1141" t="s">
        <v>200</v>
      </c>
      <c r="B36" s="1153" t="e">
        <f t="shared" ca="1" si="86"/>
        <v>#DIV/0!</v>
      </c>
      <c r="C36" s="258">
        <f ca="1">C18*Hypothèses!$B$3*1000</f>
        <v>0</v>
      </c>
      <c r="D36" s="258">
        <f ca="1">'Bilan patrimonial'!D26</f>
        <v>0</v>
      </c>
      <c r="E36" s="258" t="e">
        <f ca="1">E18*Hypothèses!$B$18*1000</f>
        <v>#DIV/0!</v>
      </c>
      <c r="F36" s="258" t="e">
        <f t="shared" ca="1" si="56"/>
        <v>#DIV/0!</v>
      </c>
      <c r="G36" s="70"/>
      <c r="H36" s="1161" t="s">
        <v>200</v>
      </c>
      <c r="I36" s="1160" t="e">
        <f t="shared" ca="1" si="87"/>
        <v>#REF!</v>
      </c>
      <c r="J36" s="258" t="e">
        <f ca="1">J18*Hypothèses!$B$3*1000</f>
        <v>#REF!</v>
      </c>
      <c r="K36" s="258" t="e">
        <f ca="1">'Bilan patrimonial'!K26</f>
        <v>#REF!</v>
      </c>
      <c r="L36" s="257" t="e">
        <f ca="1">L18*Hypothèses!$B$18*1000</f>
        <v>#REF!</v>
      </c>
      <c r="M36" s="258" t="e">
        <f t="shared" ca="1" si="57"/>
        <v>#REF!</v>
      </c>
      <c r="N36" s="1155"/>
      <c r="O36" s="477" t="e">
        <f t="shared" ca="1" si="58"/>
        <v>#DIV/0!</v>
      </c>
      <c r="P36" s="477" t="e">
        <f t="shared" ca="1" si="59"/>
        <v>#REF!</v>
      </c>
      <c r="Q36" s="477" t="e">
        <f t="shared" ca="1" si="71"/>
        <v>#DIV/0!</v>
      </c>
      <c r="R36" s="458" t="e">
        <f t="shared" ca="1" si="72"/>
        <v>#DIV/0!</v>
      </c>
      <c r="S36" s="458" t="e">
        <f t="shared" ca="1" si="73"/>
        <v>#DIV/0!</v>
      </c>
      <c r="T36" s="485"/>
      <c r="U36" s="485"/>
      <c r="V36" s="485"/>
      <c r="W36" s="485"/>
      <c r="X36" s="485"/>
      <c r="Y36" s="868" t="e">
        <f t="shared" ca="1" si="74"/>
        <v>#REF!</v>
      </c>
      <c r="Z36" s="868"/>
      <c r="AA36" s="1485"/>
      <c r="AB36" s="1485"/>
      <c r="AC36" s="1485"/>
      <c r="AD36" s="1439"/>
      <c r="AE36" s="1161" t="s">
        <v>200</v>
      </c>
      <c r="AF36" s="1160" t="e">
        <f t="shared" ca="1" si="88"/>
        <v>#REF!</v>
      </c>
      <c r="AG36" s="258" t="e">
        <f ca="1">AG18*$AF$84*1000</f>
        <v>#REF!</v>
      </c>
      <c r="AH36" s="1153" t="e">
        <f ca="1">IF(K18=0,0,AH18/K18*K36)</f>
        <v>#REF!</v>
      </c>
      <c r="AI36" s="257" t="e">
        <f ca="1">AI18*Hypothèses!$B$18*1000</f>
        <v>#REF!</v>
      </c>
      <c r="AJ36" s="258" t="e">
        <f t="shared" ca="1" si="60"/>
        <v>#REF!</v>
      </c>
      <c r="AK36" s="1156" t="e">
        <f t="shared" ca="1" si="76"/>
        <v>#REF!</v>
      </c>
      <c r="AL36" s="1161" t="s">
        <v>200</v>
      </c>
      <c r="AM36" s="1157" t="e">
        <f t="shared" ca="1" si="89"/>
        <v>#REF!</v>
      </c>
      <c r="AN36" s="258" t="e">
        <f ca="1">AN18*$AF$84*1000</f>
        <v>#REF!</v>
      </c>
      <c r="AO36" s="1153" t="e">
        <f t="shared" ref="AO36" ca="1" si="109">IF(AH18=0,0,AO18/AH18*AH36)</f>
        <v>#REF!</v>
      </c>
      <c r="AP36" s="257" t="e">
        <f ca="1">AP18*'Hypothèses &amp; Méthodo'!$B$22*1000</f>
        <v>#REF!</v>
      </c>
      <c r="AQ36" s="258" t="e">
        <f t="shared" ca="1" si="62"/>
        <v>#REF!</v>
      </c>
      <c r="AR36" s="600" t="e">
        <f ca="1">IF(SUM(AG18:AH18)=0,0,SUM(AG36:AH36)/SUM(AG18:AH18))</f>
        <v>#REF!</v>
      </c>
      <c r="AS36" s="600"/>
      <c r="AT36" s="600" t="e">
        <f ca="1">IF(AH36=0,0,SUM(AH36:AI36)/SUM(AH18:AI18))</f>
        <v>#REF!</v>
      </c>
      <c r="AU36" s="600"/>
      <c r="AV36" s="600"/>
      <c r="AW36" s="600"/>
      <c r="AX36" s="600"/>
      <c r="AY36" s="600"/>
      <c r="AZ36" s="600"/>
      <c r="BA36" s="600"/>
      <c r="BB36" s="600"/>
      <c r="BC36" s="600"/>
      <c r="BD36" s="600"/>
      <c r="BE36" s="600"/>
      <c r="BF36" s="600"/>
      <c r="BG36" s="1138"/>
      <c r="BH36" s="1138"/>
      <c r="BI36" s="600"/>
      <c r="BJ36" s="600"/>
      <c r="BK36" s="600"/>
      <c r="BL36" s="600"/>
      <c r="BM36" s="600"/>
      <c r="BN36" s="600"/>
      <c r="BO36" s="600"/>
      <c r="BP36" s="600"/>
      <c r="BQ36" s="600"/>
      <c r="BR36" s="600"/>
      <c r="BS36" s="600"/>
      <c r="BT36" s="600"/>
      <c r="BU36" s="600"/>
      <c r="BV36" s="600"/>
      <c r="BW36" s="600"/>
      <c r="BX36" s="600"/>
      <c r="BY36" s="600"/>
      <c r="BZ36" s="600"/>
      <c r="CA36" s="600"/>
      <c r="CB36" s="600"/>
      <c r="CC36" s="600"/>
      <c r="CD36" s="1161" t="s">
        <v>200</v>
      </c>
      <c r="CE36" s="1157" t="e">
        <f t="shared" ca="1" si="79"/>
        <v>#REF!</v>
      </c>
      <c r="CF36" s="1153" t="e">
        <f t="shared" ca="1" si="80"/>
        <v>#REF!</v>
      </c>
      <c r="CG36" s="1153" t="e">
        <f t="shared" ca="1" si="65"/>
        <v>#REF!</v>
      </c>
      <c r="CH36" s="1153" t="e">
        <f t="shared" ca="1" si="66"/>
        <v>#REF!</v>
      </c>
      <c r="CI36" s="258" t="e">
        <f t="shared" ca="1" si="67"/>
        <v>#REF!</v>
      </c>
      <c r="CJ36" s="600"/>
      <c r="CK36" s="1161" t="s">
        <v>200</v>
      </c>
      <c r="CL36" s="1160" t="e">
        <f t="shared" ca="1" si="91"/>
        <v>#REF!</v>
      </c>
      <c r="CM36" s="258" t="e">
        <f ca="1">CM18*$AF$84*1000</f>
        <v>#REF!</v>
      </c>
      <c r="CN36" s="1153" t="e">
        <f ca="1">IF(K18=0,0,CN18/K18*K36)</f>
        <v>#REF!</v>
      </c>
      <c r="CO36" s="1153" t="e">
        <f t="shared" ca="1" si="92"/>
        <v>#REF!</v>
      </c>
      <c r="CP36" s="258" t="e">
        <f t="shared" ca="1" si="68"/>
        <v>#REF!</v>
      </c>
      <c r="CQ36" s="1158" t="e">
        <f t="shared" ca="1" si="83"/>
        <v>#REF!</v>
      </c>
      <c r="CR36" s="1161" t="s">
        <v>200</v>
      </c>
      <c r="CS36" s="1160" t="e">
        <f t="shared" ca="1" si="93"/>
        <v>#REF!</v>
      </c>
      <c r="CT36" s="258" t="e">
        <f ca="1">CT18*$AF$84*1000</f>
        <v>#REF!</v>
      </c>
      <c r="CU36" s="1153" t="e">
        <f ca="1">IF(K18=0,0,CU18/K18*K36)</f>
        <v>#REF!</v>
      </c>
      <c r="CV36" s="1153" t="e">
        <f t="shared" ca="1" si="94"/>
        <v>#REF!</v>
      </c>
      <c r="CW36" s="258" t="e">
        <f t="shared" ca="1" si="69"/>
        <v>#REF!</v>
      </c>
      <c r="CX36" s="600"/>
      <c r="CY36" s="600"/>
      <c r="CZ36" s="600"/>
      <c r="DA36" s="1161" t="s">
        <v>200</v>
      </c>
      <c r="DB36" s="1160" t="e">
        <f t="shared" ca="1" si="95"/>
        <v>#REF!</v>
      </c>
      <c r="DC36" s="258">
        <f>DC18*Hypothèses!$B$3*1000</f>
        <v>0</v>
      </c>
      <c r="DD36" s="258">
        <f>'Bilan patrimonial'!CT26</f>
        <v>0</v>
      </c>
      <c r="DE36" s="257">
        <f>DE18*Hypothèses!$B$18*1000</f>
        <v>0</v>
      </c>
      <c r="DF36" s="258" t="e">
        <f t="shared" ca="1" si="70"/>
        <v>#REF!</v>
      </c>
      <c r="DG36" s="600"/>
      <c r="DH36" s="600"/>
      <c r="DI36" s="600"/>
      <c r="DJ36" s="600"/>
      <c r="DK36" s="600"/>
      <c r="DL36" s="600"/>
      <c r="DM36" s="600"/>
      <c r="DN36" s="600"/>
      <c r="DO36" s="600"/>
      <c r="DP36" s="600"/>
      <c r="DQ36" s="600"/>
      <c r="DR36" s="600"/>
      <c r="DS36" s="600"/>
      <c r="DT36" s="600"/>
      <c r="DU36" s="600"/>
      <c r="DV36" s="600"/>
      <c r="DW36" s="600"/>
      <c r="DX36" s="600"/>
      <c r="DY36" s="600"/>
      <c r="DZ36" s="600"/>
      <c r="EA36" s="600"/>
      <c r="EB36" s="600"/>
      <c r="EC36" s="600"/>
      <c r="ED36" s="600"/>
      <c r="EE36" s="600"/>
      <c r="EF36" s="600"/>
      <c r="EG36" s="600"/>
      <c r="EH36" s="600"/>
      <c r="EI36" s="600"/>
      <c r="EJ36" s="600"/>
      <c r="EK36" s="600"/>
      <c r="EL36" s="600"/>
      <c r="EM36" s="600"/>
      <c r="EN36" s="600"/>
      <c r="EO36" s="600"/>
      <c r="EP36" s="600"/>
      <c r="EQ36" s="600"/>
      <c r="ER36" s="600"/>
      <c r="ES36" s="600"/>
      <c r="ET36" s="600"/>
      <c r="EU36" s="600"/>
      <c r="EV36" s="600"/>
      <c r="EW36" s="600"/>
      <c r="EX36" s="600"/>
      <c r="EY36" s="600"/>
      <c r="EZ36" s="600"/>
    </row>
    <row r="37" spans="1:156">
      <c r="A37" s="1141" t="s">
        <v>157</v>
      </c>
      <c r="B37" s="1153" t="e">
        <f t="shared" ca="1" si="86"/>
        <v>#DIV/0!</v>
      </c>
      <c r="C37" s="44">
        <f ca="1">C19*Hypothèses!$B$3*1000</f>
        <v>0</v>
      </c>
      <c r="D37" s="44">
        <f ca="1">((SUMIFS(INDIRECT("TabINPUT["&amp;$A$9&amp;"]"),TabINPUT[SECTEUR1],$A35,TabINPUT[VECTEUR],"Diesel",TabINPUT[SECTEUR2],"ROUTIER")+SUMIFS(INDIRECT("TabINPUT["&amp;$A$9&amp;"]"),TabINPUT[SECTEUR1],$A35,TabINPUT[VECTEUR],$D$28,TabINPUT[SECTEUR2],"Ferroviaire")-(1-$B$6)*SUMIFS(INDIRECT("TabINPUT["&amp;$A$9&amp;"]"),TabINPUT[SECTEUR1],$A35,TabINPUT[VECTEUR],"Diesel",TabINPUT[SECTEUR3],"Autoroute"))*Hypothèses!B6+(SUMIFS(INDIRECT("TabINPUT["&amp;$A$9&amp;"]"),TabINPUT[SECTEUR1],$A35,TabINPUT[VECTEUR],"Essence",TabINPUT[SECTEUR2],"ROUTIER")-(1-$B$6)*SUMIFS(INDIRECT("TabINPUT["&amp;$A$9&amp;"]"),TabINPUT[SECTEUR1],$A35,TabINPUT[VECTEUR],"Essence",TabINPUT[SECTEUR3],"Autoroute"))*Hypothèses!$B$5+(SUMIFS(INDIRECT("TabINPUT["&amp;$A$9&amp;"]"),TabINPUT[SECTEUR1],$A35,TabINPUT[VECTEUR],"Lpg",TabINPUT[SECTEUR2],"ROUTIER")-(1-$B$6)*SUMIFS(INDIRECT("TabINPUT["&amp;$A$9&amp;"]"),TabINPUT[SECTEUR1],$A35,TabINPUT[VECTEUR],"Lpg",TabINPUT[SECTEUR3],"Autoroute"))*Hypothèses!B8)*1000-D36</f>
        <v>0</v>
      </c>
      <c r="E37" s="44" t="e">
        <f ca="1">E19*Hypothèses!$B$18*1000</f>
        <v>#DIV/0!</v>
      </c>
      <c r="F37" s="44" t="e">
        <f t="shared" ca="1" si="56"/>
        <v>#DIV/0!</v>
      </c>
      <c r="G37" s="70"/>
      <c r="H37" s="1161" t="s">
        <v>157</v>
      </c>
      <c r="I37" s="1160" t="e">
        <f t="shared" ca="1" si="87"/>
        <v>#REF!</v>
      </c>
      <c r="J37" s="44" t="e">
        <f ca="1">J19*Hypothèses!$B$3*1000</f>
        <v>#REF!</v>
      </c>
      <c r="K37" s="44" t="e">
        <f ca="1">((SUMIFS(INDIRECT("TabINPUT["&amp;$H$9&amp;"]"),TabINPUT[SECTEUR1],$A35,TabINPUT[VECTEUR],"Diesel",TabINPUT[SECTEUR2],"ROUTIER")+SUMIFS(INDIRECT("TabINPUT["&amp;$H$9&amp;"]"),TabINPUT[SECTEUR1],$A35,TabINPUT[VECTEUR],$D$28,TabINPUT[SECTEUR2],"Ferroviaire")-(1-$B$6)*SUMIFS(INDIRECT("TabINPUT["&amp;$H$9&amp;"]"),TabINPUT[SECTEUR1],$A35,TabINPUT[VECTEUR],"Diesel",TabINPUT[SECTEUR3],"Autoroute"))*Hypothèses!B6+(SUMIFS(INDIRECT("TabINPUT["&amp;$H$9&amp;"]"),TabINPUT[SECTEUR1],$A35,TabINPUT[VECTEUR],"Essence",TabINPUT[SECTEUR2],"ROUTIER")-(1-$B$6)*SUMIFS(INDIRECT("TabINPUT["&amp;$H$9&amp;"]"),TabINPUT[SECTEUR1],$A35,TabINPUT[VECTEUR],"Essence",TabINPUT[SECTEUR3],"Autoroute"))*Hypothèses!$B$5+(SUMIFS(INDIRECT("TabINPUT["&amp;$H$9&amp;"]"),TabINPUT[SECTEUR1],$A35,TabINPUT[VECTEUR],"Lpg",TabINPUT[SECTEUR2],"ROUTIER")-(1-$B$6)*SUMIFS(INDIRECT("TabINPUT["&amp;$H$9&amp;"]"),TabINPUT[SECTEUR1],$A35,TabINPUT[VECTEUR],"Lpg",TabINPUT[SECTEUR3],"Autoroute"))*Hypothèses!B8)*1000-K36</f>
        <v>#REF!</v>
      </c>
      <c r="L37" s="1153" t="e">
        <f ca="1">L19*Hypothèses!$B$18*1000</f>
        <v>#REF!</v>
      </c>
      <c r="M37" s="1162" t="e">
        <f t="shared" ca="1" si="57"/>
        <v>#REF!</v>
      </c>
      <c r="N37" s="1155"/>
      <c r="O37" s="477" t="e">
        <f t="shared" ca="1" si="58"/>
        <v>#DIV/0!</v>
      </c>
      <c r="P37" s="477" t="e">
        <f t="shared" ca="1" si="59"/>
        <v>#REF!</v>
      </c>
      <c r="Q37" s="477" t="e">
        <f t="shared" ca="1" si="71"/>
        <v>#DIV/0!</v>
      </c>
      <c r="R37" s="458" t="e">
        <f t="shared" ca="1" si="72"/>
        <v>#DIV/0!</v>
      </c>
      <c r="S37" s="458" t="e">
        <f t="shared" ca="1" si="73"/>
        <v>#DIV/0!</v>
      </c>
      <c r="T37" s="485"/>
      <c r="U37" s="485"/>
      <c r="V37" s="485"/>
      <c r="W37" s="485"/>
      <c r="X37" s="485"/>
      <c r="Y37" s="868" t="e">
        <f t="shared" ca="1" si="74"/>
        <v>#REF!</v>
      </c>
      <c r="Z37" s="868"/>
      <c r="AA37" s="1485"/>
      <c r="AB37" s="1485"/>
      <c r="AC37" s="1485"/>
      <c r="AD37" s="1439"/>
      <c r="AE37" s="1161" t="s">
        <v>157</v>
      </c>
      <c r="AF37" s="1160" t="e">
        <f t="shared" ca="1" si="88"/>
        <v>#REF!</v>
      </c>
      <c r="AG37" s="44" t="e">
        <f ca="1">AG19*$AF$84*1000</f>
        <v>#REF!</v>
      </c>
      <c r="AH37" s="1153" t="e">
        <f ca="1">AH19/K19*K37</f>
        <v>#REF!</v>
      </c>
      <c r="AI37" s="1153" t="e">
        <f ca="1">AI19*Hypothèses!$B$18*1000</f>
        <v>#REF!</v>
      </c>
      <c r="AJ37" s="1162" t="e">
        <f t="shared" ca="1" si="60"/>
        <v>#REF!</v>
      </c>
      <c r="AK37" s="1156" t="e">
        <f t="shared" ca="1" si="76"/>
        <v>#REF!</v>
      </c>
      <c r="AL37" s="1161" t="s">
        <v>157</v>
      </c>
      <c r="AM37" s="1157" t="e">
        <f t="shared" ca="1" si="89"/>
        <v>#REF!</v>
      </c>
      <c r="AN37" s="44" t="e">
        <f ca="1">AN19*$AF$84*1000</f>
        <v>#REF!</v>
      </c>
      <c r="AO37" s="1153" t="e">
        <f t="shared" ref="AO37" ca="1" si="110">IF(AH19=0,0,AO19/AH19*AH37)</f>
        <v>#REF!</v>
      </c>
      <c r="AP37" s="1153" t="e">
        <f ca="1">AP19*'Hypothèses &amp; Méthodo'!$B$22*1000</f>
        <v>#REF!</v>
      </c>
      <c r="AQ37" s="44" t="e">
        <f t="shared" ca="1" si="62"/>
        <v>#REF!</v>
      </c>
      <c r="AR37" s="600" t="e">
        <f t="shared" ca="1" si="63"/>
        <v>#REF!</v>
      </c>
      <c r="AS37" s="600"/>
      <c r="AT37" s="600" t="e">
        <f ca="1">IF(AH37=0,0,AH37/AH19)</f>
        <v>#REF!</v>
      </c>
      <c r="AU37" s="600"/>
      <c r="AV37" s="600"/>
      <c r="AW37" s="600"/>
      <c r="AX37" s="600"/>
      <c r="AY37" s="600"/>
      <c r="AZ37" s="600"/>
      <c r="BA37" s="600"/>
      <c r="BB37" s="600"/>
      <c r="BC37" s="600"/>
      <c r="BD37" s="600"/>
      <c r="BE37" s="600"/>
      <c r="BF37" s="600"/>
      <c r="BG37" s="600"/>
      <c r="BH37" s="600"/>
      <c r="BI37" s="600"/>
      <c r="BJ37" s="600"/>
      <c r="BK37" s="600"/>
      <c r="BL37" s="600"/>
      <c r="BM37" s="600"/>
      <c r="BN37" s="600"/>
      <c r="BO37" s="600"/>
      <c r="BP37" s="600"/>
      <c r="BQ37" s="600"/>
      <c r="BR37" s="600"/>
      <c r="BS37" s="600"/>
      <c r="BT37" s="600"/>
      <c r="BU37" s="600"/>
      <c r="BV37" s="600"/>
      <c r="BW37" s="600"/>
      <c r="BX37" s="600"/>
      <c r="BY37" s="600"/>
      <c r="BZ37" s="600"/>
      <c r="CA37" s="600"/>
      <c r="CB37" s="600"/>
      <c r="CC37" s="600"/>
      <c r="CD37" s="1161" t="s">
        <v>157</v>
      </c>
      <c r="CE37" s="1157" t="e">
        <f t="shared" ca="1" si="79"/>
        <v>#REF!</v>
      </c>
      <c r="CF37" s="1153" t="e">
        <f t="shared" ca="1" si="80"/>
        <v>#REF!</v>
      </c>
      <c r="CG37" s="1153" t="e">
        <f t="shared" ca="1" si="65"/>
        <v>#REF!</v>
      </c>
      <c r="CH37" s="1153" t="e">
        <f t="shared" ca="1" si="66"/>
        <v>#REF!</v>
      </c>
      <c r="CI37" s="44" t="e">
        <f t="shared" ca="1" si="67"/>
        <v>#REF!</v>
      </c>
      <c r="CJ37" s="600"/>
      <c r="CK37" s="1161" t="s">
        <v>157</v>
      </c>
      <c r="CL37" s="1160" t="e">
        <f t="shared" ca="1" si="91"/>
        <v>#REF!</v>
      </c>
      <c r="CM37" s="44" t="e">
        <f ca="1">CM19*$AF$84*1000</f>
        <v>#REF!</v>
      </c>
      <c r="CN37" s="1153" t="e">
        <f t="shared" ca="1" si="97"/>
        <v>#REF!</v>
      </c>
      <c r="CO37" s="1153" t="e">
        <f t="shared" ca="1" si="92"/>
        <v>#REF!</v>
      </c>
      <c r="CP37" s="44" t="e">
        <f t="shared" ca="1" si="68"/>
        <v>#REF!</v>
      </c>
      <c r="CQ37" s="1158" t="e">
        <f t="shared" ca="1" si="83"/>
        <v>#REF!</v>
      </c>
      <c r="CR37" s="1161" t="s">
        <v>157</v>
      </c>
      <c r="CS37" s="1160" t="e">
        <f t="shared" ca="1" si="93"/>
        <v>#REF!</v>
      </c>
      <c r="CT37" s="44" t="e">
        <f ca="1">CT19*$AF$84*1000</f>
        <v>#REF!</v>
      </c>
      <c r="CU37" s="1153" t="e">
        <f t="shared" ca="1" si="98"/>
        <v>#REF!</v>
      </c>
      <c r="CV37" s="1153" t="e">
        <f t="shared" ca="1" si="94"/>
        <v>#REF!</v>
      </c>
      <c r="CW37" s="44" t="e">
        <f t="shared" ca="1" si="69"/>
        <v>#REF!</v>
      </c>
      <c r="CX37" s="600"/>
      <c r="CY37" s="600"/>
      <c r="CZ37" s="600"/>
      <c r="DA37" s="1161" t="s">
        <v>157</v>
      </c>
      <c r="DB37" s="1160" t="e">
        <f t="shared" ca="1" si="95"/>
        <v>#REF!</v>
      </c>
      <c r="DC37" s="44" t="e">
        <f ca="1">DC19*Hypothèses!$B$3*1000</f>
        <v>#REF!</v>
      </c>
      <c r="DD37" s="44" t="e">
        <f ca="1">((SUMIFS(INDIRECT("TabINPUT["&amp;$DA$9&amp;"]"),TabINPUT[SECTEUR1],$A35,TabINPUT[VECTEUR],"Diesel",TabINPUT[SECTEUR2],"ROUTIER")+SUMIFS(INDIRECT("TabINPUT["&amp;$DA$9&amp;"]"),TabINPUT[SECTEUR1],$A35,TabINPUT[VECTEUR],$D$28,TabINPUT[SECTEUR2],"Ferroviaire")-(1-$B$6)*SUMIFS(INDIRECT("TabINPUT["&amp;$DA$9&amp;"]"),TabINPUT[SECTEUR1],$A35,TabINPUT[VECTEUR],"Diesel",TabINPUT[SECTEUR3],"Autoroute"))*Hypothèses!B6+(SUMIFS(INDIRECT("TabINPUT["&amp;$DA$9&amp;"]"),TabINPUT[SECTEUR1],$A35,TabINPUT[VECTEUR],"Essence",TabINPUT[SECTEUR2],"ROUTIER")-(1-$B$6)*SUMIFS(INDIRECT("TabINPUT["&amp;$DA$9&amp;"]"),TabINPUT[SECTEUR1],$A35,TabINPUT[VECTEUR],"Essence",TabINPUT[SECTEUR3],"Autoroute"))*Hypothèses!$B$5+(SUMIFS(INDIRECT("TabINPUT["&amp;$DA$9&amp;"]"),TabINPUT[SECTEUR1],$A35,TabINPUT[VECTEUR],"Lpg",TabINPUT[SECTEUR2],"ROUTIER")-(1-$B$6)*SUMIFS(INDIRECT("TabINPUT["&amp;$DA$9&amp;"]"),TabINPUT[SECTEUR1],$A35,TabINPUT[VECTEUR],"Lpg",TabINPUT[SECTEUR3],"Autoroute"))*Hypothèses!B8)*1000-DD36</f>
        <v>#REF!</v>
      </c>
      <c r="DE37" s="1153" t="e">
        <f ca="1">DE19*Hypothèses!$B$18*1000</f>
        <v>#REF!</v>
      </c>
      <c r="DF37" s="1162" t="e">
        <f t="shared" ca="1" si="70"/>
        <v>#REF!</v>
      </c>
      <c r="DG37" s="600"/>
      <c r="DH37" s="600"/>
      <c r="DI37" s="600"/>
      <c r="DJ37" s="600"/>
      <c r="DK37" s="600"/>
      <c r="DL37" s="600"/>
      <c r="DM37" s="600"/>
      <c r="DN37" s="600"/>
      <c r="DO37" s="600"/>
      <c r="DP37" s="600"/>
      <c r="DQ37" s="600"/>
      <c r="DR37" s="600"/>
      <c r="DS37" s="600"/>
      <c r="DT37" s="600"/>
      <c r="DU37" s="600"/>
      <c r="DV37" s="600"/>
      <c r="DW37" s="600"/>
      <c r="DX37" s="600"/>
      <c r="DY37" s="600"/>
      <c r="DZ37" s="600"/>
      <c r="EA37" s="600"/>
      <c r="EB37" s="600"/>
      <c r="EC37" s="600"/>
      <c r="ED37" s="600"/>
      <c r="EE37" s="600"/>
      <c r="EF37" s="600"/>
      <c r="EG37" s="600"/>
      <c r="EH37" s="600"/>
      <c r="EI37" s="600"/>
      <c r="EJ37" s="600"/>
      <c r="EK37" s="600"/>
      <c r="EL37" s="600"/>
      <c r="EM37" s="600"/>
      <c r="EN37" s="600"/>
      <c r="EO37" s="600"/>
      <c r="EP37" s="600"/>
      <c r="EQ37" s="600"/>
      <c r="ER37" s="600"/>
      <c r="ES37" s="600"/>
      <c r="ET37" s="600"/>
      <c r="EU37" s="600"/>
      <c r="EV37" s="600"/>
      <c r="EW37" s="600"/>
      <c r="EX37" s="600"/>
      <c r="EY37" s="600"/>
      <c r="EZ37" s="600"/>
    </row>
    <row r="38" spans="1:156" ht="15" thickBot="1">
      <c r="A38" s="85" t="s">
        <v>100</v>
      </c>
      <c r="B38" s="1163"/>
      <c r="C38" s="1163"/>
      <c r="D38" s="1163"/>
      <c r="E38" s="1163"/>
      <c r="F38" s="44">
        <f>HLOOKUP(Accueil!E28,'Données territoriales'!K5:AF9,5,0)</f>
        <v>0</v>
      </c>
      <c r="G38" s="70"/>
      <c r="H38" s="86" t="s">
        <v>100</v>
      </c>
      <c r="I38" s="1164"/>
      <c r="J38" s="1163"/>
      <c r="K38" s="1163"/>
      <c r="L38" s="1163"/>
      <c r="M38" s="44" t="e">
        <f>HLOOKUP(Accueil!E29,'Données territoriales'!K5:AF9,5,0)</f>
        <v>#N/A</v>
      </c>
      <c r="N38" s="1155"/>
      <c r="O38" s="477" t="e">
        <f t="shared" ca="1" si="58"/>
        <v>#DIV/0!</v>
      </c>
      <c r="P38" s="477" t="e">
        <f t="shared" ca="1" si="59"/>
        <v>#N/A</v>
      </c>
      <c r="Q38" s="477" t="e">
        <f t="shared" si="71"/>
        <v>#N/A</v>
      </c>
      <c r="R38" s="458" t="e">
        <f>ROUND(Q38*100,0)</f>
        <v>#N/A</v>
      </c>
      <c r="S38" s="458" t="e">
        <f>H38&amp;" : "&amp;R38&amp;"%"</f>
        <v>#N/A</v>
      </c>
      <c r="T38" s="485"/>
      <c r="U38" s="485"/>
      <c r="V38" s="485"/>
      <c r="W38" s="485"/>
      <c r="X38" s="485"/>
      <c r="Y38" s="868" t="e">
        <f t="shared" ca="1" si="74"/>
        <v>#REF!</v>
      </c>
      <c r="Z38" s="868"/>
      <c r="AA38" s="1485"/>
      <c r="AB38" s="1485"/>
      <c r="AC38" s="1485"/>
      <c r="AD38" s="1439"/>
      <c r="AE38" s="86" t="s">
        <v>100</v>
      </c>
      <c r="AF38" s="1164"/>
      <c r="AG38" s="1163"/>
      <c r="AH38" s="1163"/>
      <c r="AI38" s="1163"/>
      <c r="AJ38" s="44" t="e">
        <f>IF(Objectifs!J58&gt;1,'Bilan territorial'!M38,IF(SUM(Objectifs!C58:E60)=0,'Bilan territorial'!M38,'Bilan territorial'!F38-SUM(Objectifs!F58:F60)))</f>
        <v>#N/A</v>
      </c>
      <c r="AK38" s="1156">
        <f t="shared" si="76"/>
        <v>0</v>
      </c>
      <c r="AL38" s="86" t="s">
        <v>100</v>
      </c>
      <c r="AM38" s="1164"/>
      <c r="AN38" s="1163"/>
      <c r="AO38" s="1163"/>
      <c r="AP38" s="1163"/>
      <c r="AQ38" s="44" t="e">
        <f>AJ38</f>
        <v>#N/A</v>
      </c>
      <c r="AR38" s="600"/>
      <c r="AS38" s="600"/>
      <c r="AT38" s="600"/>
      <c r="AU38" s="600"/>
      <c r="AV38" s="600"/>
      <c r="AW38" s="600"/>
      <c r="AX38" s="600"/>
      <c r="AY38" s="600"/>
      <c r="AZ38" s="600"/>
      <c r="BA38" s="600"/>
      <c r="BB38" s="600"/>
      <c r="BC38" s="600"/>
      <c r="BD38" s="600"/>
      <c r="BE38" s="600"/>
      <c r="BF38" s="600"/>
      <c r="BG38" s="600"/>
      <c r="BH38" s="600"/>
      <c r="BI38" s="600"/>
      <c r="BJ38" s="600"/>
      <c r="BK38" s="600"/>
      <c r="BL38" s="600"/>
      <c r="BM38" s="600"/>
      <c r="BN38" s="600"/>
      <c r="BO38" s="600"/>
      <c r="BP38" s="600"/>
      <c r="BQ38" s="600"/>
      <c r="BR38" s="600"/>
      <c r="BS38" s="600"/>
      <c r="BT38" s="600"/>
      <c r="BU38" s="600"/>
      <c r="BV38" s="600"/>
      <c r="BW38" s="600"/>
      <c r="BX38" s="600"/>
      <c r="BY38" s="600"/>
      <c r="BZ38" s="600"/>
      <c r="CA38" s="600"/>
      <c r="CB38" s="600"/>
      <c r="CC38" s="600"/>
      <c r="CD38" s="86" t="s">
        <v>100</v>
      </c>
      <c r="CE38" s="1164"/>
      <c r="CF38" s="1163"/>
      <c r="CG38" s="1163"/>
      <c r="CH38" s="1163"/>
      <c r="CI38" s="44" t="e">
        <f>AQ38</f>
        <v>#N/A</v>
      </c>
      <c r="CJ38" s="600"/>
      <c r="CK38" s="86" t="s">
        <v>100</v>
      </c>
      <c r="CL38" s="1164"/>
      <c r="CM38" s="1163"/>
      <c r="CN38" s="1163"/>
      <c r="CO38" s="1163"/>
      <c r="CP38" s="44" t="e">
        <f>AJ38</f>
        <v>#N/A</v>
      </c>
      <c r="CQ38" s="1158" t="e">
        <f t="shared" si="83"/>
        <v>#N/A</v>
      </c>
      <c r="CR38" s="86" t="s">
        <v>100</v>
      </c>
      <c r="CS38" s="1164"/>
      <c r="CT38" s="1163"/>
      <c r="CU38" s="1163"/>
      <c r="CV38" s="1163"/>
      <c r="CW38" s="44" t="e">
        <f>AQ38</f>
        <v>#N/A</v>
      </c>
      <c r="CX38" s="600"/>
      <c r="CY38" s="600"/>
      <c r="CZ38" s="600"/>
      <c r="DA38" s="86" t="s">
        <v>100</v>
      </c>
      <c r="DB38" s="1164"/>
      <c r="DC38" s="1163"/>
      <c r="DD38" s="1163"/>
      <c r="DE38" s="1163"/>
      <c r="DF38" s="44" t="e">
        <f>HLOOKUP(Accueil!E30,'Données territoriales'!K5:AF9,5,0)</f>
        <v>#N/A</v>
      </c>
      <c r="DG38" s="600"/>
      <c r="DH38" s="600"/>
      <c r="DI38" s="600"/>
      <c r="DJ38" s="600"/>
      <c r="DK38" s="600"/>
      <c r="DL38" s="600"/>
      <c r="DM38" s="600"/>
      <c r="DN38" s="600"/>
      <c r="DO38" s="600"/>
      <c r="DP38" s="600"/>
      <c r="DQ38" s="600"/>
      <c r="DR38" s="600"/>
      <c r="DS38" s="600"/>
      <c r="DT38" s="600"/>
      <c r="DU38" s="600"/>
      <c r="DV38" s="600"/>
      <c r="DW38" s="600"/>
      <c r="DX38" s="600"/>
      <c r="DY38" s="600"/>
      <c r="DZ38" s="600"/>
      <c r="EA38" s="600"/>
      <c r="EB38" s="600"/>
      <c r="EC38" s="600"/>
      <c r="ED38" s="600"/>
      <c r="EE38" s="600"/>
      <c r="EF38" s="600"/>
      <c r="EG38" s="600"/>
      <c r="EH38" s="600"/>
      <c r="EI38" s="600"/>
      <c r="EJ38" s="600"/>
      <c r="EK38" s="600"/>
      <c r="EL38" s="600"/>
      <c r="EM38" s="600"/>
      <c r="EN38" s="600"/>
      <c r="EO38" s="600"/>
      <c r="EP38" s="600"/>
      <c r="EQ38" s="600"/>
      <c r="ER38" s="600"/>
      <c r="ES38" s="600"/>
      <c r="ET38" s="600"/>
      <c r="EU38" s="600"/>
      <c r="EV38" s="600"/>
      <c r="EW38" s="600"/>
      <c r="EX38" s="600"/>
      <c r="EY38" s="600"/>
      <c r="EZ38" s="600"/>
    </row>
    <row r="39" spans="1:156" ht="15" thickBot="1">
      <c r="A39" s="1114" t="s">
        <v>172</v>
      </c>
      <c r="B39" s="1165" t="e">
        <f ca="1">SUM(B29,B30,B33,B34,B35)</f>
        <v>#DIV/0!</v>
      </c>
      <c r="C39" s="1165">
        <f ca="1">SUM(C29,C30,C33,C34,C35)</f>
        <v>0</v>
      </c>
      <c r="D39" s="1165">
        <f ca="1">SUM(D29,D30,D33,D34,D35)</f>
        <v>0</v>
      </c>
      <c r="E39" s="1165">
        <f ca="1">SUM(E29,E30,E33,E34,E35)</f>
        <v>0</v>
      </c>
      <c r="F39" s="1165" t="e">
        <f ca="1">SUM(F29,F30,F33,F34,F35,F38)</f>
        <v>#DIV/0!</v>
      </c>
      <c r="G39" s="70"/>
      <c r="H39" s="1166" t="s">
        <v>172</v>
      </c>
      <c r="I39" s="1165" t="e">
        <f ca="1">SUM(I29,I30,I33,I34,I35)</f>
        <v>#REF!</v>
      </c>
      <c r="J39" s="1165" t="e">
        <f ca="1">SUM(J29,J30,J33,J34,J35)</f>
        <v>#REF!</v>
      </c>
      <c r="K39" s="1165" t="e">
        <f ca="1">SUM(K29,K30,K33,K34,K35)</f>
        <v>#REF!</v>
      </c>
      <c r="L39" s="1165" t="e">
        <f ca="1">SUM(L29,L30,L33,L34,L35)</f>
        <v>#REF!</v>
      </c>
      <c r="M39" s="1165" t="e">
        <f ca="1">SUM(M29,M30,M33,M34,M35,M38)</f>
        <v>#REF!</v>
      </c>
      <c r="N39" s="1155"/>
      <c r="O39" s="482"/>
      <c r="P39" s="478"/>
      <c r="Q39" s="477" t="e">
        <f t="shared" ca="1" si="71"/>
        <v>#DIV/0!</v>
      </c>
      <c r="R39" s="458"/>
      <c r="S39" s="458"/>
      <c r="T39" s="485"/>
      <c r="U39" s="485"/>
      <c r="V39" s="485"/>
      <c r="W39" s="485"/>
      <c r="X39" s="485"/>
      <c r="Y39" s="593"/>
      <c r="Z39" s="593"/>
      <c r="AA39" s="485"/>
      <c r="AB39" s="485"/>
      <c r="AC39" s="485"/>
      <c r="AD39" s="1118"/>
      <c r="AE39" s="1166" t="s">
        <v>172</v>
      </c>
      <c r="AF39" s="1167" t="e">
        <f ca="1">SUM(AF29,AF30,AF33,AF34,AF35)</f>
        <v>#REF!</v>
      </c>
      <c r="AG39" s="1165" t="e">
        <f ca="1">SUM(AG29,AG30,AG33,AG34,AG35)</f>
        <v>#REF!</v>
      </c>
      <c r="AH39" s="1165" t="e">
        <f ca="1">SUM(AH29,AH30,AH33,AH34,AH35)</f>
        <v>#REF!</v>
      </c>
      <c r="AI39" s="1165" t="e">
        <f ca="1">SUM(AI29,AI30,AI33,AI34,AI35)</f>
        <v>#REF!</v>
      </c>
      <c r="AJ39" s="1165" t="e">
        <f ca="1">SUM(AJ29,AJ30,AJ33,AJ34,AJ35,AJ38)</f>
        <v>#REF!</v>
      </c>
      <c r="AK39" s="600"/>
      <c r="AL39" s="1166" t="s">
        <v>172</v>
      </c>
      <c r="AM39" s="1167" t="e">
        <f ca="1">SUM(AM29,AM30,AM33,AM34,AM35)</f>
        <v>#REF!</v>
      </c>
      <c r="AN39" s="1165" t="e">
        <f ca="1">SUM(AN29,AN30,AN33,AN34,AN35)</f>
        <v>#REF!</v>
      </c>
      <c r="AO39" s="1165" t="e">
        <f ca="1">SUM(AO29,AO30,AO33,AO34,AO35)</f>
        <v>#REF!</v>
      </c>
      <c r="AP39" s="1165" t="e">
        <f ca="1">SUM(AP29,AP30,AP33,AP34,AP35)</f>
        <v>#REF!</v>
      </c>
      <c r="AQ39" s="1165" t="e">
        <f ca="1">SUM(AQ29,AQ30,AQ33,AQ34,AQ35,AQ38)</f>
        <v>#REF!</v>
      </c>
      <c r="AR39" s="600"/>
      <c r="AS39" s="600"/>
      <c r="AT39" s="600"/>
      <c r="AU39" s="600"/>
      <c r="AV39" s="600"/>
      <c r="AW39" s="600"/>
      <c r="AX39" s="600"/>
      <c r="AY39" s="600"/>
      <c r="AZ39" s="600"/>
      <c r="BA39" s="600"/>
      <c r="BB39" s="600"/>
      <c r="BC39" s="600"/>
      <c r="BD39" s="600"/>
      <c r="BE39" s="600"/>
      <c r="BF39" s="600"/>
      <c r="BG39" s="600"/>
      <c r="BH39" s="600"/>
      <c r="BI39" s="600"/>
      <c r="BJ39" s="600"/>
      <c r="BK39" s="600"/>
      <c r="BL39" s="600"/>
      <c r="BM39" s="600"/>
      <c r="BN39" s="600"/>
      <c r="BO39" s="600"/>
      <c r="BP39" s="600"/>
      <c r="BQ39" s="600"/>
      <c r="BR39" s="600"/>
      <c r="BS39" s="600"/>
      <c r="BT39" s="600"/>
      <c r="BU39" s="600"/>
      <c r="BV39" s="600"/>
      <c r="BW39" s="600"/>
      <c r="BX39" s="600"/>
      <c r="BY39" s="600"/>
      <c r="BZ39" s="600"/>
      <c r="CA39" s="600"/>
      <c r="CB39" s="600"/>
      <c r="CC39" s="600"/>
      <c r="CD39" s="1166" t="s">
        <v>172</v>
      </c>
      <c r="CE39" s="1165" t="e">
        <f ca="1">SUM(CE29,CE30,CE33,CE34,CE35)</f>
        <v>#REF!</v>
      </c>
      <c r="CF39" s="1165" t="e">
        <f ca="1">SUM(CF29,CF30,CF33,CF34,CF35)</f>
        <v>#REF!</v>
      </c>
      <c r="CG39" s="1165" t="e">
        <f ca="1">SUM(CG29,CG30,CG33,CG34,CG35)</f>
        <v>#REF!</v>
      </c>
      <c r="CH39" s="1165" t="e">
        <f ca="1">SUM(CH29,CH30,CH33,CH34,CH35)</f>
        <v>#REF!</v>
      </c>
      <c r="CI39" s="1165" t="e">
        <f ca="1">SUM(CI29,CI30,CI33,CI34,CI35,CI38)</f>
        <v>#REF!</v>
      </c>
      <c r="CJ39" s="600"/>
      <c r="CK39" s="1166" t="s">
        <v>172</v>
      </c>
      <c r="CL39" s="1165" t="e">
        <f ca="1">SUM(CL29,CL30,CL33,CL34,CL35)</f>
        <v>#REF!</v>
      </c>
      <c r="CM39" s="1165" t="e">
        <f ca="1">SUM(CM29,CM30,CM33,CM34,CM35)</f>
        <v>#REF!</v>
      </c>
      <c r="CN39" s="1165" t="e">
        <f ca="1">SUM(CN29,CN30,CN33,CN34,CN35)</f>
        <v>#REF!</v>
      </c>
      <c r="CO39" s="1165" t="e">
        <f ca="1">SUM(CO29,CO30,CO33,CO34,CO35)</f>
        <v>#REF!</v>
      </c>
      <c r="CP39" s="1165" t="e">
        <f ca="1">SUM(CP29,CP30,CP33,CP34,CP35,CP38)</f>
        <v>#REF!</v>
      </c>
      <c r="CQ39" s="600"/>
      <c r="CR39" s="1166" t="s">
        <v>172</v>
      </c>
      <c r="CS39" s="1165" t="e">
        <f ca="1">SUM(CS29,CS30,CS33,CS34,CS35)</f>
        <v>#REF!</v>
      </c>
      <c r="CT39" s="1165" t="e">
        <f ca="1">SUM(CT29,CT30,CT33,CT34,CT35)</f>
        <v>#REF!</v>
      </c>
      <c r="CU39" s="1165" t="e">
        <f ca="1">SUM(CU29,CU30,CU33,CU34,CU35)</f>
        <v>#REF!</v>
      </c>
      <c r="CV39" s="1165" t="e">
        <f ca="1">SUM(CV29,CV30,CV33,CV34,CV35)</f>
        <v>#REF!</v>
      </c>
      <c r="CW39" s="1165" t="e">
        <f ca="1">SUM(CW29,CW30,CW33,CW34,CW35,CW38)</f>
        <v>#REF!</v>
      </c>
      <c r="CX39" s="600"/>
      <c r="CY39" s="600"/>
      <c r="CZ39" s="600"/>
      <c r="DA39" s="1166" t="s">
        <v>172</v>
      </c>
      <c r="DB39" s="1165" t="e">
        <f ca="1">SUM(DB29,DB30,DB33,DB34,DB35)</f>
        <v>#REF!</v>
      </c>
      <c r="DC39" s="1165" t="e">
        <f ca="1">SUM(DC29,DC30,DC33,DC34,DC35)</f>
        <v>#REF!</v>
      </c>
      <c r="DD39" s="1165" t="e">
        <f ca="1">SUM(DD29,DD30,DD33,DD34,DD35)</f>
        <v>#REF!</v>
      </c>
      <c r="DE39" s="1165" t="e">
        <f ca="1">SUM(DE29,DE30,DE33,DE34,DE35)</f>
        <v>#REF!</v>
      </c>
      <c r="DF39" s="1165" t="e">
        <f ca="1">SUM(DF29,DF30,DF33,DF34,DF35,DF38)</f>
        <v>#REF!</v>
      </c>
      <c r="DG39" s="600"/>
      <c r="DH39" s="600"/>
      <c r="DI39" s="600"/>
      <c r="DJ39" s="600"/>
      <c r="DK39" s="600"/>
      <c r="DL39" s="600"/>
      <c r="DM39" s="600"/>
      <c r="DN39" s="600"/>
      <c r="DO39" s="600"/>
      <c r="DP39" s="600"/>
      <c r="DQ39" s="600"/>
      <c r="DR39" s="600"/>
      <c r="DS39" s="600"/>
      <c r="DT39" s="600"/>
      <c r="DU39" s="600"/>
      <c r="DV39" s="600"/>
      <c r="DW39" s="600"/>
      <c r="DX39" s="600"/>
      <c r="DY39" s="600"/>
      <c r="DZ39" s="600"/>
      <c r="EA39" s="600"/>
      <c r="EB39" s="600"/>
      <c r="EC39" s="600"/>
      <c r="ED39" s="600"/>
      <c r="EE39" s="600"/>
      <c r="EF39" s="600"/>
      <c r="EG39" s="600"/>
      <c r="EH39" s="600"/>
      <c r="EI39" s="600"/>
      <c r="EJ39" s="600"/>
      <c r="EK39" s="600"/>
      <c r="EL39" s="600"/>
      <c r="EM39" s="600"/>
      <c r="EN39" s="600"/>
      <c r="EO39" s="600"/>
      <c r="EP39" s="600"/>
      <c r="EQ39" s="600"/>
      <c r="ER39" s="600"/>
      <c r="ES39" s="600"/>
      <c r="ET39" s="600"/>
      <c r="EU39" s="600"/>
      <c r="EV39" s="600"/>
      <c r="EW39" s="600"/>
      <c r="EX39" s="600"/>
      <c r="EY39" s="600"/>
      <c r="EZ39" s="600"/>
    </row>
    <row r="40" spans="1:156" ht="27.75" hidden="1" customHeight="1" outlineLevel="1">
      <c r="A40" s="451" t="s">
        <v>165</v>
      </c>
      <c r="B40" s="1168"/>
      <c r="C40" s="1168"/>
      <c r="D40" s="1168"/>
      <c r="E40" s="1168"/>
      <c r="F40" s="1168"/>
      <c r="G40" s="485"/>
      <c r="H40" s="1169"/>
      <c r="I40" s="1168"/>
      <c r="J40" s="1168"/>
      <c r="K40" s="1168"/>
      <c r="L40" s="1168"/>
      <c r="M40" s="1168"/>
      <c r="N40" s="485"/>
      <c r="O40" s="483"/>
      <c r="P40" s="479"/>
      <c r="Q40" s="480"/>
      <c r="R40" s="470"/>
      <c r="S40" s="470"/>
      <c r="T40" s="485"/>
      <c r="U40" s="485"/>
      <c r="V40" s="485"/>
      <c r="W40" s="485"/>
      <c r="X40" s="485"/>
      <c r="Y40" s="593"/>
      <c r="Z40" s="593"/>
      <c r="AA40" s="485"/>
      <c r="AB40" s="485"/>
      <c r="AC40" s="485"/>
      <c r="AD40" s="1118"/>
      <c r="AE40" s="1169"/>
      <c r="AF40" s="1168"/>
      <c r="AG40" s="1168"/>
      <c r="AH40" s="1168"/>
      <c r="AI40" s="1168"/>
      <c r="AJ40" s="1168"/>
      <c r="AK40" s="600"/>
      <c r="AL40" s="1169"/>
      <c r="AM40" s="1168"/>
      <c r="AN40" s="1168"/>
      <c r="AO40" s="1168"/>
      <c r="AP40" s="1168"/>
      <c r="AQ40" s="1168"/>
      <c r="AR40" s="600"/>
      <c r="AS40" s="600"/>
      <c r="AT40" s="600"/>
      <c r="AU40" s="600"/>
      <c r="AV40" s="600"/>
      <c r="AW40" s="600"/>
      <c r="AX40" s="600"/>
      <c r="AY40" s="600"/>
      <c r="AZ40" s="600"/>
      <c r="BA40" s="600"/>
      <c r="BB40" s="600"/>
      <c r="BC40" s="600"/>
      <c r="BD40" s="600"/>
      <c r="BE40" s="600"/>
      <c r="BF40" s="600"/>
      <c r="BG40" s="600"/>
      <c r="BH40" s="600"/>
      <c r="BI40" s="600"/>
      <c r="BJ40" s="600"/>
      <c r="BK40" s="600"/>
      <c r="BL40" s="600"/>
      <c r="BM40" s="600"/>
      <c r="BN40" s="600"/>
      <c r="BO40" s="600"/>
      <c r="BP40" s="600"/>
      <c r="BQ40" s="600"/>
      <c r="BR40" s="600"/>
      <c r="BS40" s="600"/>
      <c r="BT40" s="600"/>
      <c r="BU40" s="600"/>
      <c r="BV40" s="600"/>
      <c r="BW40" s="600"/>
      <c r="BX40" s="600"/>
      <c r="BY40" s="600"/>
      <c r="BZ40" s="600"/>
      <c r="CA40" s="600"/>
      <c r="CB40" s="600"/>
      <c r="CC40" s="600"/>
      <c r="CD40" s="1169"/>
      <c r="CE40" s="1168"/>
      <c r="CF40" s="1168"/>
      <c r="CG40" s="1168"/>
      <c r="CH40" s="1168"/>
      <c r="CI40" s="1168"/>
      <c r="CJ40" s="600"/>
      <c r="CK40" s="1169"/>
      <c r="CL40" s="1168"/>
      <c r="CM40" s="1168"/>
      <c r="CN40" s="1168"/>
      <c r="CO40" s="1168"/>
      <c r="CP40" s="1168"/>
      <c r="CQ40" s="600"/>
      <c r="CR40" s="1169"/>
      <c r="CS40" s="1168"/>
      <c r="CT40" s="1168"/>
      <c r="CU40" s="1168"/>
      <c r="CV40" s="1168"/>
      <c r="CW40" s="1168"/>
      <c r="CX40" s="600"/>
      <c r="CY40" s="600"/>
      <c r="CZ40" s="600"/>
      <c r="DA40" s="1169"/>
      <c r="DB40" s="1168"/>
      <c r="DC40" s="1168"/>
      <c r="DD40" s="1168"/>
      <c r="DE40" s="1168"/>
      <c r="DF40" s="1168"/>
      <c r="DG40" s="600"/>
      <c r="DH40" s="600"/>
      <c r="DI40" s="600"/>
      <c r="DJ40" s="600"/>
      <c r="DK40" s="600"/>
      <c r="DL40" s="600"/>
      <c r="DM40" s="600"/>
      <c r="DN40" s="600"/>
      <c r="DO40" s="600"/>
      <c r="DP40" s="600"/>
      <c r="DQ40" s="600"/>
      <c r="DR40" s="600"/>
      <c r="DS40" s="600"/>
      <c r="DT40" s="600"/>
      <c r="DU40" s="600"/>
      <c r="DV40" s="600"/>
      <c r="DW40" s="600"/>
      <c r="DX40" s="600"/>
      <c r="DY40" s="600"/>
      <c r="DZ40" s="600"/>
      <c r="EA40" s="600"/>
      <c r="EB40" s="600"/>
      <c r="EC40" s="600"/>
      <c r="ED40" s="600"/>
      <c r="EE40" s="600"/>
      <c r="EF40" s="600"/>
      <c r="EG40" s="600"/>
      <c r="EH40" s="600"/>
      <c r="EI40" s="600"/>
      <c r="EJ40" s="600"/>
      <c r="EK40" s="600"/>
      <c r="EL40" s="600"/>
      <c r="EM40" s="600"/>
      <c r="EN40" s="600"/>
      <c r="EO40" s="600"/>
      <c r="EP40" s="600"/>
      <c r="EQ40" s="600"/>
      <c r="ER40" s="600"/>
      <c r="ES40" s="600"/>
      <c r="ET40" s="600"/>
      <c r="EU40" s="600"/>
      <c r="EV40" s="600"/>
      <c r="EW40" s="600"/>
      <c r="EX40" s="600"/>
      <c r="EY40" s="600"/>
      <c r="EZ40" s="600"/>
    </row>
    <row r="41" spans="1:156" hidden="1" outlineLevel="1">
      <c r="A41" s="501" t="s">
        <v>208</v>
      </c>
      <c r="B41" s="506" t="e">
        <f ca="1">B39/$F$39</f>
        <v>#DIV/0!</v>
      </c>
      <c r="C41" s="506" t="e">
        <f ca="1">C39/$F$39</f>
        <v>#DIV/0!</v>
      </c>
      <c r="D41" s="506" t="e">
        <f ca="1">D39/$F$39</f>
        <v>#DIV/0!</v>
      </c>
      <c r="E41" s="506" t="e">
        <f ca="1">E39/$F$39</f>
        <v>#DIV/0!</v>
      </c>
      <c r="F41" s="507"/>
      <c r="G41" s="485"/>
      <c r="H41" s="501" t="s">
        <v>208</v>
      </c>
      <c r="I41" s="508" t="e">
        <f ca="1">I39/$M$39</f>
        <v>#REF!</v>
      </c>
      <c r="J41" s="508" t="e">
        <f ca="1">J39/$M$39</f>
        <v>#REF!</v>
      </c>
      <c r="K41" s="508" t="e">
        <f ca="1">K39/$M$39</f>
        <v>#REF!</v>
      </c>
      <c r="L41" s="508" t="e">
        <f ca="1">L39/$M$39</f>
        <v>#REF!</v>
      </c>
      <c r="M41" s="509"/>
      <c r="N41" s="484"/>
      <c r="O41" s="484"/>
      <c r="P41" s="484"/>
      <c r="Q41" s="467" t="e">
        <f ca="1">ROUND(Q39*100,0)</f>
        <v>#DIV/0!</v>
      </c>
      <c r="R41" s="485"/>
      <c r="S41" s="485"/>
      <c r="T41" s="485"/>
      <c r="U41" s="485"/>
      <c r="V41" s="485"/>
      <c r="W41" s="485"/>
      <c r="X41" s="485"/>
      <c r="Y41" s="593"/>
      <c r="Z41" s="593"/>
      <c r="AA41" s="485"/>
      <c r="AB41" s="485"/>
      <c r="AC41" s="485"/>
      <c r="AD41" s="1118"/>
      <c r="AE41" s="501" t="s">
        <v>208</v>
      </c>
      <c r="AF41" s="508" t="e">
        <f ca="1">AF39/$M$39</f>
        <v>#REF!</v>
      </c>
      <c r="AG41" s="508" t="e">
        <f ca="1">AG39/$M$39</f>
        <v>#REF!</v>
      </c>
      <c r="AH41" s="508" t="e">
        <f ca="1">AH39/$M$39</f>
        <v>#REF!</v>
      </c>
      <c r="AI41" s="508" t="e">
        <f ca="1">AI39/$M$39</f>
        <v>#REF!</v>
      </c>
      <c r="AJ41" s="509"/>
      <c r="AK41" s="600"/>
      <c r="AL41" s="501" t="s">
        <v>208</v>
      </c>
      <c r="AM41" s="508" t="e">
        <f ca="1">AM39/$M$39</f>
        <v>#REF!</v>
      </c>
      <c r="AN41" s="508" t="e">
        <f ca="1">AN39/$M$39</f>
        <v>#REF!</v>
      </c>
      <c r="AO41" s="508" t="e">
        <f ca="1">AO39/$M$39</f>
        <v>#REF!</v>
      </c>
      <c r="AP41" s="508" t="e">
        <f ca="1">AP39/$M$39</f>
        <v>#REF!</v>
      </c>
      <c r="AQ41" s="509"/>
      <c r="AR41" s="600"/>
      <c r="AS41" s="600"/>
      <c r="AT41" s="600"/>
      <c r="AU41" s="600"/>
      <c r="AV41" s="600"/>
      <c r="AW41" s="600"/>
      <c r="AX41" s="600"/>
      <c r="AY41" s="600"/>
      <c r="AZ41" s="600"/>
      <c r="BA41" s="600"/>
      <c r="BB41" s="600"/>
      <c r="BC41" s="600"/>
      <c r="BD41" s="600"/>
      <c r="BE41" s="600"/>
      <c r="BF41" s="600"/>
      <c r="BG41" s="600"/>
      <c r="BH41" s="600"/>
      <c r="BI41" s="600"/>
      <c r="BJ41" s="600"/>
      <c r="BK41" s="600"/>
      <c r="BL41" s="600"/>
      <c r="BM41" s="600"/>
      <c r="BN41" s="600"/>
      <c r="BO41" s="600"/>
      <c r="BP41" s="600"/>
      <c r="BQ41" s="600"/>
      <c r="BR41" s="600"/>
      <c r="BS41" s="600"/>
      <c r="BT41" s="600"/>
      <c r="BU41" s="600"/>
      <c r="BV41" s="600"/>
      <c r="BW41" s="600"/>
      <c r="BX41" s="600"/>
      <c r="BY41" s="600"/>
      <c r="BZ41" s="600"/>
      <c r="CA41" s="600"/>
      <c r="CB41" s="600"/>
      <c r="CC41" s="600"/>
      <c r="CD41" s="501" t="s">
        <v>208</v>
      </c>
      <c r="CE41" s="508" t="e">
        <f ca="1">CE39/$M$39</f>
        <v>#REF!</v>
      </c>
      <c r="CF41" s="508" t="e">
        <f ca="1">CF39/$M$39</f>
        <v>#REF!</v>
      </c>
      <c r="CG41" s="508" t="e">
        <f ca="1">CG39/$M$39</f>
        <v>#REF!</v>
      </c>
      <c r="CH41" s="508" t="e">
        <f ca="1">CH39/$M$39</f>
        <v>#REF!</v>
      </c>
      <c r="CI41" s="509"/>
      <c r="CJ41" s="600"/>
      <c r="CK41" s="501" t="s">
        <v>208</v>
      </c>
      <c r="CL41" s="508" t="e">
        <f ca="1">CL39/$M$39</f>
        <v>#REF!</v>
      </c>
      <c r="CM41" s="508" t="e">
        <f ca="1">CM39/$M$39</f>
        <v>#REF!</v>
      </c>
      <c r="CN41" s="508" t="e">
        <f ca="1">CN39/$M$39</f>
        <v>#REF!</v>
      </c>
      <c r="CO41" s="508" t="e">
        <f ca="1">CO39/$M$39</f>
        <v>#REF!</v>
      </c>
      <c r="CP41" s="509"/>
      <c r="CQ41" s="600"/>
      <c r="CR41" s="501" t="s">
        <v>208</v>
      </c>
      <c r="CS41" s="508" t="e">
        <f ca="1">CS39/$M$39</f>
        <v>#REF!</v>
      </c>
      <c r="CT41" s="508" t="e">
        <f ca="1">CT39/$M$39</f>
        <v>#REF!</v>
      </c>
      <c r="CU41" s="508" t="e">
        <f ca="1">CU39/$M$39</f>
        <v>#REF!</v>
      </c>
      <c r="CV41" s="508" t="e">
        <f ca="1">CV39/$M$39</f>
        <v>#REF!</v>
      </c>
      <c r="CW41" s="509"/>
      <c r="CX41" s="600"/>
      <c r="CY41" s="600"/>
      <c r="CZ41" s="600"/>
      <c r="DA41" s="501" t="s">
        <v>208</v>
      </c>
      <c r="DB41" s="508" t="e">
        <f ca="1">DB39/$M$39</f>
        <v>#REF!</v>
      </c>
      <c r="DC41" s="508" t="e">
        <f ca="1">DC39/$M$39</f>
        <v>#REF!</v>
      </c>
      <c r="DD41" s="508" t="e">
        <f ca="1">DD39/$M$39</f>
        <v>#REF!</v>
      </c>
      <c r="DE41" s="508" t="e">
        <f ca="1">DE39/$M$39</f>
        <v>#REF!</v>
      </c>
      <c r="DF41" s="509"/>
      <c r="DG41" s="600"/>
      <c r="DH41" s="600"/>
      <c r="DI41" s="600"/>
      <c r="DJ41" s="600"/>
      <c r="DK41" s="600"/>
      <c r="DL41" s="600"/>
      <c r="DM41" s="600"/>
      <c r="DN41" s="600"/>
      <c r="DO41" s="600"/>
      <c r="DP41" s="600"/>
      <c r="DQ41" s="600"/>
      <c r="DR41" s="600"/>
      <c r="DS41" s="600"/>
      <c r="DT41" s="600"/>
      <c r="DU41" s="600"/>
      <c r="DV41" s="600"/>
      <c r="DW41" s="600"/>
      <c r="DX41" s="600"/>
      <c r="DY41" s="600"/>
      <c r="DZ41" s="600"/>
      <c r="EA41" s="600"/>
      <c r="EB41" s="600"/>
      <c r="EC41" s="600"/>
      <c r="ED41" s="600"/>
      <c r="EE41" s="600"/>
      <c r="EF41" s="600"/>
      <c r="EG41" s="600"/>
      <c r="EH41" s="600"/>
      <c r="EI41" s="600"/>
      <c r="EJ41" s="600"/>
      <c r="EK41" s="600"/>
      <c r="EL41" s="600"/>
      <c r="EM41" s="600"/>
      <c r="EN41" s="600"/>
      <c r="EO41" s="600"/>
      <c r="EP41" s="600"/>
      <c r="EQ41" s="600"/>
      <c r="ER41" s="600"/>
      <c r="ES41" s="600"/>
      <c r="ET41" s="600"/>
      <c r="EU41" s="600"/>
      <c r="EV41" s="600"/>
      <c r="EW41" s="600"/>
      <c r="EX41" s="600"/>
      <c r="EY41" s="600"/>
      <c r="EZ41" s="600"/>
    </row>
    <row r="42" spans="1:156" hidden="1" outlineLevel="1">
      <c r="A42" s="465"/>
      <c r="B42" s="510"/>
      <c r="C42" s="510"/>
      <c r="D42" s="510"/>
      <c r="E42" s="510"/>
      <c r="F42" s="507"/>
      <c r="G42" s="485"/>
      <c r="H42" s="501" t="s">
        <v>168</v>
      </c>
      <c r="I42" s="508" t="e">
        <f ca="1">IF(B39=0,0,I39/B39-1)</f>
        <v>#DIV/0!</v>
      </c>
      <c r="J42" s="508">
        <f ca="1">IF(C39=0,0,J39/C39-1)</f>
        <v>0</v>
      </c>
      <c r="K42" s="508">
        <f ca="1">IF(D39=0,0,K39/D39-1)</f>
        <v>0</v>
      </c>
      <c r="L42" s="508">
        <f ca="1">IF(E39=0,0,L39/E39-1)</f>
        <v>0</v>
      </c>
      <c r="M42" s="508" t="e">
        <f ca="1">IF(F39=0,0,M39/F39-1)</f>
        <v>#DIV/0!</v>
      </c>
      <c r="N42" s="484"/>
      <c r="O42" s="484"/>
      <c r="P42" s="484"/>
      <c r="Q42" s="485"/>
      <c r="R42" s="485"/>
      <c r="S42" s="485"/>
      <c r="T42" s="485"/>
      <c r="U42" s="485"/>
      <c r="V42" s="485"/>
      <c r="W42" s="485"/>
      <c r="X42" s="485"/>
      <c r="Y42" s="593"/>
      <c r="Z42" s="593"/>
      <c r="AA42" s="485"/>
      <c r="AB42" s="485"/>
      <c r="AC42" s="485"/>
      <c r="AD42" s="1118"/>
      <c r="AE42" s="501" t="s">
        <v>168</v>
      </c>
      <c r="AF42" s="508">
        <f>IF(U39=0,0,AF39/U39-1)</f>
        <v>0</v>
      </c>
      <c r="AG42" s="508">
        <f>IF(V39=0,0,AG39/V39-1)</f>
        <v>0</v>
      </c>
      <c r="AH42" s="508">
        <f>IF(W39=0,0,AH39/W39-1)</f>
        <v>0</v>
      </c>
      <c r="AI42" s="508">
        <f>IF(X39=0,0,AI39/X39-1)</f>
        <v>0</v>
      </c>
      <c r="AJ42" s="508">
        <f>IF(Y39=0,0,AJ39/Y39-1)</f>
        <v>0</v>
      </c>
      <c r="AK42" s="600"/>
      <c r="AL42" s="501" t="s">
        <v>168</v>
      </c>
      <c r="AM42" s="508" t="e">
        <f ca="1">IF(AF39=0,0,AM39/AF39-1)</f>
        <v>#REF!</v>
      </c>
      <c r="AN42" s="508" t="e">
        <f ca="1">IF(AG39=0,0,AN39/AG39-1)</f>
        <v>#REF!</v>
      </c>
      <c r="AO42" s="508" t="e">
        <f ca="1">IF(AH39=0,0,AO39/AH39-1)</f>
        <v>#REF!</v>
      </c>
      <c r="AP42" s="508" t="e">
        <f ca="1">IF(AI39=0,0,AP39/AI39-1)</f>
        <v>#REF!</v>
      </c>
      <c r="AQ42" s="508" t="e">
        <f ca="1">IF(AJ39=0,0,AQ39/AJ39-1)</f>
        <v>#REF!</v>
      </c>
      <c r="AR42" s="600"/>
      <c r="AS42" s="600"/>
      <c r="AT42" s="600"/>
      <c r="AU42" s="600"/>
      <c r="AV42" s="600"/>
      <c r="AW42" s="600"/>
      <c r="AX42" s="600"/>
      <c r="AY42" s="600"/>
      <c r="AZ42" s="600"/>
      <c r="BA42" s="600"/>
      <c r="BB42" s="600"/>
      <c r="BC42" s="600"/>
      <c r="BD42" s="600"/>
      <c r="BE42" s="600"/>
      <c r="BF42" s="600"/>
      <c r="BG42" s="600"/>
      <c r="BH42" s="600"/>
      <c r="BI42" s="600"/>
      <c r="BJ42" s="600"/>
      <c r="BK42" s="600"/>
      <c r="BL42" s="600"/>
      <c r="BM42" s="600"/>
      <c r="BN42" s="600"/>
      <c r="BO42" s="600"/>
      <c r="BP42" s="600"/>
      <c r="BQ42" s="600"/>
      <c r="BR42" s="600"/>
      <c r="BS42" s="600"/>
      <c r="BT42" s="600"/>
      <c r="BU42" s="600"/>
      <c r="BV42" s="600"/>
      <c r="BW42" s="600"/>
      <c r="BX42" s="600"/>
      <c r="BY42" s="600"/>
      <c r="BZ42" s="600"/>
      <c r="CA42" s="600"/>
      <c r="CB42" s="600"/>
      <c r="CC42" s="600"/>
      <c r="CD42" s="501" t="s">
        <v>168</v>
      </c>
      <c r="CE42" s="508">
        <f>IF(BV39=0,0,CE39/BV39-1)</f>
        <v>0</v>
      </c>
      <c r="CF42" s="508">
        <f>IF(BW39=0,0,CF39/BW39-1)</f>
        <v>0</v>
      </c>
      <c r="CG42" s="508">
        <f>IF(BX39=0,0,CG39/BX39-1)</f>
        <v>0</v>
      </c>
      <c r="CH42" s="508">
        <f>IF(BY39=0,0,CH39/BY39-1)</f>
        <v>0</v>
      </c>
      <c r="CI42" s="508">
        <f>IF(BZ39=0,0,CI39/BZ39-1)</f>
        <v>0</v>
      </c>
      <c r="CJ42" s="600"/>
      <c r="CK42" s="501" t="s">
        <v>168</v>
      </c>
      <c r="CL42" s="508" t="e">
        <f ca="1">IF(CE39=0,0,CL39/CE39-1)</f>
        <v>#REF!</v>
      </c>
      <c r="CM42" s="508" t="e">
        <f ca="1">IF(CF39=0,0,CM39/CF39-1)</f>
        <v>#REF!</v>
      </c>
      <c r="CN42" s="508" t="e">
        <f ca="1">IF(CG39=0,0,CN39/CG39-1)</f>
        <v>#REF!</v>
      </c>
      <c r="CO42" s="508" t="e">
        <f ca="1">IF(CH39=0,0,CO39/CH39-1)</f>
        <v>#REF!</v>
      </c>
      <c r="CP42" s="508" t="e">
        <f ca="1">IF(CI39=0,0,CP39/CI39-1)</f>
        <v>#REF!</v>
      </c>
      <c r="CQ42" s="600"/>
      <c r="CR42" s="501" t="s">
        <v>168</v>
      </c>
      <c r="CS42" s="508" t="e">
        <f ca="1">IF(CL39=0,0,CS39/CL39-1)</f>
        <v>#REF!</v>
      </c>
      <c r="CT42" s="508" t="e">
        <f ca="1">IF(CM39=0,0,CT39/CM39-1)</f>
        <v>#REF!</v>
      </c>
      <c r="CU42" s="508" t="e">
        <f ca="1">IF(CN39=0,0,CU39/CN39-1)</f>
        <v>#REF!</v>
      </c>
      <c r="CV42" s="508" t="e">
        <f ca="1">IF(CO39=0,0,CV39/CO39-1)</f>
        <v>#REF!</v>
      </c>
      <c r="CW42" s="508" t="e">
        <f ca="1">IF(CP39=0,0,CW39/CP39-1)</f>
        <v>#REF!</v>
      </c>
      <c r="CX42" s="600"/>
      <c r="CY42" s="600"/>
      <c r="CZ42" s="600"/>
      <c r="DA42" s="501" t="s">
        <v>168</v>
      </c>
      <c r="DB42" s="508" t="e">
        <f ca="1">IF(CU39=0,0,DB39/CU39-1)</f>
        <v>#REF!</v>
      </c>
      <c r="DC42" s="508" t="e">
        <f ca="1">IF(CV39=0,0,DC39/CV39-1)</f>
        <v>#REF!</v>
      </c>
      <c r="DD42" s="508" t="e">
        <f ca="1">IF(CW39=0,0,DD39/CW39-1)</f>
        <v>#REF!</v>
      </c>
      <c r="DE42" s="508">
        <f>IF(CX39=0,0,DE39/CX39-1)</f>
        <v>0</v>
      </c>
      <c r="DF42" s="508">
        <f>IF(CY39=0,0,DF39/CY39-1)</f>
        <v>0</v>
      </c>
      <c r="DG42" s="600"/>
      <c r="DH42" s="600"/>
      <c r="DI42" s="600"/>
      <c r="DJ42" s="600"/>
      <c r="DK42" s="600"/>
      <c r="DL42" s="600"/>
      <c r="DM42" s="600"/>
      <c r="DN42" s="600"/>
      <c r="DO42" s="600"/>
      <c r="DP42" s="600"/>
      <c r="DQ42" s="600"/>
      <c r="DR42" s="600"/>
      <c r="DS42" s="600"/>
      <c r="DT42" s="600"/>
      <c r="DU42" s="600"/>
      <c r="DV42" s="600"/>
      <c r="DW42" s="600"/>
      <c r="DX42" s="600"/>
      <c r="DY42" s="600"/>
      <c r="DZ42" s="600"/>
      <c r="EA42" s="600"/>
      <c r="EB42" s="600"/>
      <c r="EC42" s="600"/>
      <c r="ED42" s="600"/>
      <c r="EE42" s="600"/>
      <c r="EF42" s="600"/>
      <c r="EG42" s="600"/>
      <c r="EH42" s="600"/>
      <c r="EI42" s="600"/>
      <c r="EJ42" s="600"/>
      <c r="EK42" s="600"/>
      <c r="EL42" s="600"/>
      <c r="EM42" s="600"/>
      <c r="EN42" s="600"/>
      <c r="EO42" s="600"/>
      <c r="EP42" s="600"/>
      <c r="EQ42" s="600"/>
      <c r="ER42" s="600"/>
      <c r="ES42" s="600"/>
      <c r="ET42" s="600"/>
      <c r="EU42" s="600"/>
      <c r="EV42" s="600"/>
      <c r="EW42" s="600"/>
      <c r="EX42" s="600"/>
      <c r="EY42" s="600"/>
      <c r="EZ42" s="600"/>
    </row>
    <row r="43" spans="1:156" hidden="1" outlineLevel="1">
      <c r="A43" s="465"/>
      <c r="B43" s="510"/>
      <c r="C43" s="510"/>
      <c r="D43" s="510"/>
      <c r="E43" s="510"/>
      <c r="F43" s="507"/>
      <c r="G43" s="485"/>
      <c r="H43" s="501" t="s">
        <v>169</v>
      </c>
      <c r="I43" s="511" t="e">
        <f ca="1">ROUND(I42*100,0)</f>
        <v>#DIV/0!</v>
      </c>
      <c r="J43" s="511">
        <f ca="1">ROUND(J42*100,0)</f>
        <v>0</v>
      </c>
      <c r="K43" s="511">
        <f ca="1">ROUND(K42*100,0)</f>
        <v>0</v>
      </c>
      <c r="L43" s="511">
        <f ca="1">ROUND(L42*100,0)</f>
        <v>0</v>
      </c>
      <c r="M43" s="509"/>
      <c r="N43" s="484"/>
      <c r="O43" s="484"/>
      <c r="P43" s="484"/>
      <c r="Q43" s="485"/>
      <c r="R43" s="485"/>
      <c r="S43" s="485"/>
      <c r="T43" s="485"/>
      <c r="U43" s="485"/>
      <c r="V43" s="485"/>
      <c r="W43" s="485"/>
      <c r="X43" s="485"/>
      <c r="Y43" s="593"/>
      <c r="Z43" s="593"/>
      <c r="AA43" s="485"/>
      <c r="AB43" s="485"/>
      <c r="AC43" s="485"/>
      <c r="AD43" s="1118"/>
      <c r="AE43" s="501" t="s">
        <v>169</v>
      </c>
      <c r="AF43" s="511">
        <f>ROUND(AF42*100,0)</f>
        <v>0</v>
      </c>
      <c r="AG43" s="511">
        <f>ROUND(AG42*100,0)</f>
        <v>0</v>
      </c>
      <c r="AH43" s="511">
        <f>ROUND(AH42*100,0)</f>
        <v>0</v>
      </c>
      <c r="AI43" s="511">
        <f>ROUND(AI42*100,0)</f>
        <v>0</v>
      </c>
      <c r="AJ43" s="509"/>
      <c r="AK43" s="600"/>
      <c r="AL43" s="501" t="s">
        <v>169</v>
      </c>
      <c r="AM43" s="511" t="e">
        <f ca="1">ROUND(AM42*100,0)</f>
        <v>#REF!</v>
      </c>
      <c r="AN43" s="511" t="e">
        <f ca="1">ROUND(AN42*100,0)</f>
        <v>#REF!</v>
      </c>
      <c r="AO43" s="511" t="e">
        <f ca="1">ROUND(AO42*100,0)</f>
        <v>#REF!</v>
      </c>
      <c r="AP43" s="511" t="e">
        <f ca="1">ROUND(AP42*100,0)</f>
        <v>#REF!</v>
      </c>
      <c r="AQ43" s="509"/>
      <c r="AR43" s="600"/>
      <c r="AS43" s="600"/>
      <c r="AT43" s="600"/>
      <c r="AU43" s="600"/>
      <c r="AV43" s="600"/>
      <c r="AW43" s="600"/>
      <c r="AX43" s="600"/>
      <c r="AY43" s="600"/>
      <c r="AZ43" s="600"/>
      <c r="BA43" s="600"/>
      <c r="BB43" s="600"/>
      <c r="BC43" s="600"/>
      <c r="BD43" s="600"/>
      <c r="BE43" s="600"/>
      <c r="BF43" s="600"/>
      <c r="BG43" s="600"/>
      <c r="BH43" s="600"/>
      <c r="BI43" s="600"/>
      <c r="BJ43" s="600"/>
      <c r="BK43" s="600"/>
      <c r="BL43" s="600"/>
      <c r="BM43" s="600"/>
      <c r="BN43" s="600"/>
      <c r="BO43" s="600"/>
      <c r="BP43" s="600"/>
      <c r="BQ43" s="600"/>
      <c r="BR43" s="600"/>
      <c r="BS43" s="600"/>
      <c r="BT43" s="600"/>
      <c r="BU43" s="600"/>
      <c r="BV43" s="600"/>
      <c r="BW43" s="600"/>
      <c r="BX43" s="600"/>
      <c r="BY43" s="600"/>
      <c r="BZ43" s="600"/>
      <c r="CA43" s="600"/>
      <c r="CB43" s="600"/>
      <c r="CC43" s="600"/>
      <c r="CD43" s="501" t="s">
        <v>169</v>
      </c>
      <c r="CE43" s="511">
        <f>ROUND(CE42*100,0)</f>
        <v>0</v>
      </c>
      <c r="CF43" s="511">
        <f>ROUND(CF42*100,0)</f>
        <v>0</v>
      </c>
      <c r="CG43" s="511">
        <f>ROUND(CG42*100,0)</f>
        <v>0</v>
      </c>
      <c r="CH43" s="511">
        <f>ROUND(CH42*100,0)</f>
        <v>0</v>
      </c>
      <c r="CI43" s="509"/>
      <c r="CJ43" s="600"/>
      <c r="CK43" s="501" t="s">
        <v>169</v>
      </c>
      <c r="CL43" s="511" t="e">
        <f ca="1">ROUND(CL42*100,0)</f>
        <v>#REF!</v>
      </c>
      <c r="CM43" s="511" t="e">
        <f ca="1">ROUND(CM42*100,0)</f>
        <v>#REF!</v>
      </c>
      <c r="CN43" s="511" t="e">
        <f ca="1">ROUND(CN42*100,0)</f>
        <v>#REF!</v>
      </c>
      <c r="CO43" s="511" t="e">
        <f ca="1">ROUND(CO42*100,0)</f>
        <v>#REF!</v>
      </c>
      <c r="CP43" s="509"/>
      <c r="CQ43" s="600"/>
      <c r="CR43" s="501" t="s">
        <v>169</v>
      </c>
      <c r="CS43" s="511" t="e">
        <f ca="1">ROUND(CS42*100,0)</f>
        <v>#REF!</v>
      </c>
      <c r="CT43" s="511" t="e">
        <f ca="1">ROUND(CT42*100,0)</f>
        <v>#REF!</v>
      </c>
      <c r="CU43" s="511" t="e">
        <f ca="1">ROUND(CU42*100,0)</f>
        <v>#REF!</v>
      </c>
      <c r="CV43" s="511" t="e">
        <f ca="1">ROUND(CV42*100,0)</f>
        <v>#REF!</v>
      </c>
      <c r="CW43" s="509"/>
      <c r="CX43" s="600"/>
      <c r="CY43" s="600"/>
      <c r="CZ43" s="600"/>
      <c r="DA43" s="501" t="s">
        <v>169</v>
      </c>
      <c r="DB43" s="511" t="e">
        <f ca="1">ROUND(DB42*100,0)</f>
        <v>#REF!</v>
      </c>
      <c r="DC43" s="511" t="e">
        <f ca="1">ROUND(DC42*100,0)</f>
        <v>#REF!</v>
      </c>
      <c r="DD43" s="511" t="e">
        <f ca="1">ROUND(DD42*100,0)</f>
        <v>#REF!</v>
      </c>
      <c r="DE43" s="511">
        <f>ROUND(DE42*100,0)</f>
        <v>0</v>
      </c>
      <c r="DF43" s="509"/>
      <c r="DG43" s="600"/>
      <c r="DH43" s="600"/>
      <c r="DI43" s="600"/>
      <c r="DJ43" s="600"/>
      <c r="DK43" s="600"/>
      <c r="DL43" s="600"/>
      <c r="DM43" s="600"/>
      <c r="DN43" s="600"/>
      <c r="DO43" s="600"/>
      <c r="DP43" s="600"/>
      <c r="DQ43" s="600"/>
      <c r="DR43" s="600"/>
      <c r="DS43" s="600"/>
      <c r="DT43" s="600"/>
      <c r="DU43" s="600"/>
      <c r="DV43" s="600"/>
      <c r="DW43" s="600"/>
      <c r="DX43" s="600"/>
      <c r="DY43" s="600"/>
      <c r="DZ43" s="600"/>
      <c r="EA43" s="600"/>
      <c r="EB43" s="600"/>
      <c r="EC43" s="600"/>
      <c r="ED43" s="600"/>
      <c r="EE43" s="600"/>
      <c r="EF43" s="600"/>
      <c r="EG43" s="600"/>
      <c r="EH43" s="600"/>
      <c r="EI43" s="600"/>
      <c r="EJ43" s="600"/>
      <c r="EK43" s="600"/>
      <c r="EL43" s="600"/>
      <c r="EM43" s="600"/>
      <c r="EN43" s="600"/>
      <c r="EO43" s="600"/>
      <c r="EP43" s="600"/>
      <c r="EQ43" s="600"/>
      <c r="ER43" s="600"/>
      <c r="ES43" s="600"/>
      <c r="ET43" s="600"/>
      <c r="EU43" s="600"/>
      <c r="EV43" s="600"/>
      <c r="EW43" s="600"/>
      <c r="EX43" s="600"/>
      <c r="EY43" s="600"/>
      <c r="EZ43" s="600"/>
    </row>
    <row r="44" spans="1:156" hidden="1" outlineLevel="1">
      <c r="A44" s="465"/>
      <c r="B44" s="510"/>
      <c r="C44" s="510"/>
      <c r="D44" s="510"/>
      <c r="E44" s="510"/>
      <c r="F44" s="507"/>
      <c r="G44" s="485"/>
      <c r="H44" s="501" t="s">
        <v>170</v>
      </c>
      <c r="I44" s="508" t="e">
        <f ca="1">I28&amp;" : "&amp;I43&amp;"%"</f>
        <v>#DIV/0!</v>
      </c>
      <c r="J44" s="508" t="str">
        <f ca="1">J28&amp;" : "&amp;J43&amp;"%"</f>
        <v>Gaz naturel : 0%</v>
      </c>
      <c r="K44" s="508" t="str">
        <f ca="1">K28&amp;" : "&amp;K43&amp;"%"</f>
        <v>Prod. Petr. : 0%</v>
      </c>
      <c r="L44" s="508" t="str">
        <f ca="1">L28&amp;" : "&amp;L43&amp;"%"</f>
        <v>Total autres : 0%</v>
      </c>
      <c r="M44" s="509"/>
      <c r="N44" s="484"/>
      <c r="O44" s="484"/>
      <c r="P44" s="484"/>
      <c r="Q44" s="485"/>
      <c r="R44" s="485"/>
      <c r="S44" s="485"/>
      <c r="T44" s="485"/>
      <c r="U44" s="485"/>
      <c r="V44" s="485"/>
      <c r="W44" s="485"/>
      <c r="X44" s="485"/>
      <c r="Y44" s="593"/>
      <c r="Z44" s="593"/>
      <c r="AA44" s="485"/>
      <c r="AB44" s="485"/>
      <c r="AC44" s="485"/>
      <c r="AD44" s="1118"/>
      <c r="AE44" s="501" t="s">
        <v>170</v>
      </c>
      <c r="AF44" s="508" t="str">
        <f>AF28&amp;" : "&amp;AF43&amp;"%"</f>
        <v>Electricité : 0%</v>
      </c>
      <c r="AG44" s="508" t="str">
        <f>AG28&amp;" : "&amp;AG43&amp;"%"</f>
        <v>Gaz naturel : 0%</v>
      </c>
      <c r="AH44" s="508" t="str">
        <f>AH28&amp;" : "&amp;AH43&amp;"%"</f>
        <v>Prod. Petr. : 0%</v>
      </c>
      <c r="AI44" s="508" t="str">
        <f>AI28&amp;" : "&amp;AI43&amp;"%"</f>
        <v>Total autres : 0%</v>
      </c>
      <c r="AJ44" s="509"/>
      <c r="AK44" s="600"/>
      <c r="AL44" s="501" t="s">
        <v>170</v>
      </c>
      <c r="AM44" s="508" t="e">
        <f ca="1">AM28&amp;" : "&amp;AM43&amp;"%"</f>
        <v>#REF!</v>
      </c>
      <c r="AN44" s="508" t="e">
        <f ca="1">AN28&amp;" : "&amp;AN43&amp;"%"</f>
        <v>#REF!</v>
      </c>
      <c r="AO44" s="508" t="e">
        <f ca="1">AO28&amp;" : "&amp;AO43&amp;"%"</f>
        <v>#REF!</v>
      </c>
      <c r="AP44" s="508" t="e">
        <f ca="1">AP28&amp;" : "&amp;AP43&amp;"%"</f>
        <v>#REF!</v>
      </c>
      <c r="AQ44" s="509"/>
      <c r="AR44" s="600"/>
      <c r="AS44" s="600"/>
      <c r="AT44" s="600"/>
      <c r="AU44" s="600"/>
      <c r="AV44" s="600"/>
      <c r="AW44" s="600"/>
      <c r="AX44" s="600"/>
      <c r="AY44" s="600"/>
      <c r="AZ44" s="600"/>
      <c r="BA44" s="600"/>
      <c r="BB44" s="600"/>
      <c r="BC44" s="600"/>
      <c r="BD44" s="600"/>
      <c r="BE44" s="600"/>
      <c r="BF44" s="600"/>
      <c r="BG44" s="600"/>
      <c r="BH44" s="600"/>
      <c r="BI44" s="600"/>
      <c r="BJ44" s="600"/>
      <c r="BK44" s="600"/>
      <c r="BL44" s="600"/>
      <c r="BM44" s="600"/>
      <c r="BN44" s="600"/>
      <c r="BO44" s="600"/>
      <c r="BP44" s="600"/>
      <c r="BQ44" s="600"/>
      <c r="BR44" s="600"/>
      <c r="BS44" s="600"/>
      <c r="BT44" s="600"/>
      <c r="BU44" s="600"/>
      <c r="BV44" s="600"/>
      <c r="BW44" s="600"/>
      <c r="BX44" s="600"/>
      <c r="BY44" s="600"/>
      <c r="BZ44" s="600"/>
      <c r="CA44" s="600"/>
      <c r="CB44" s="600"/>
      <c r="CC44" s="600"/>
      <c r="CD44" s="501" t="s">
        <v>170</v>
      </c>
      <c r="CE44" s="508" t="str">
        <f>CE28&amp;" : "&amp;CE43&amp;"%"</f>
        <v>Electricité : 0%</v>
      </c>
      <c r="CF44" s="508" t="str">
        <f>CF28&amp;" : "&amp;CF43&amp;"%"</f>
        <v>Gaz naturel : 0%</v>
      </c>
      <c r="CG44" s="508" t="str">
        <f>CG28&amp;" : "&amp;CG43&amp;"%"</f>
        <v>Prod. Petr. : 0%</v>
      </c>
      <c r="CH44" s="508" t="str">
        <f>CH28&amp;" : "&amp;CH43&amp;"%"</f>
        <v>Total autres : 0%</v>
      </c>
      <c r="CI44" s="509"/>
      <c r="CJ44" s="600"/>
      <c r="CK44" s="501" t="s">
        <v>170</v>
      </c>
      <c r="CL44" s="508" t="e">
        <f ca="1">CL28&amp;" : "&amp;CL43&amp;"%"</f>
        <v>#REF!</v>
      </c>
      <c r="CM44" s="508" t="e">
        <f ca="1">CM28&amp;" : "&amp;CM43&amp;"%"</f>
        <v>#REF!</v>
      </c>
      <c r="CN44" s="508" t="e">
        <f ca="1">CN28&amp;" : "&amp;CN43&amp;"%"</f>
        <v>#REF!</v>
      </c>
      <c r="CO44" s="508" t="e">
        <f ca="1">CO28&amp;" : "&amp;CO43&amp;"%"</f>
        <v>#REF!</v>
      </c>
      <c r="CP44" s="509"/>
      <c r="CQ44" s="600"/>
      <c r="CR44" s="501" t="s">
        <v>170</v>
      </c>
      <c r="CS44" s="508" t="e">
        <f ca="1">CS28&amp;" : "&amp;CS43&amp;"%"</f>
        <v>#REF!</v>
      </c>
      <c r="CT44" s="508" t="e">
        <f ca="1">CT28&amp;" : "&amp;CT43&amp;"%"</f>
        <v>#REF!</v>
      </c>
      <c r="CU44" s="508" t="e">
        <f ca="1">CU28&amp;" : "&amp;CU43&amp;"%"</f>
        <v>#REF!</v>
      </c>
      <c r="CV44" s="508" t="e">
        <f ca="1">CV28&amp;" : "&amp;CV43&amp;"%"</f>
        <v>#REF!</v>
      </c>
      <c r="CW44" s="509"/>
      <c r="CX44" s="600"/>
      <c r="CY44" s="600"/>
      <c r="CZ44" s="600"/>
      <c r="DA44" s="501" t="s">
        <v>170</v>
      </c>
      <c r="DB44" s="508" t="e">
        <f ca="1">DB28&amp;" : "&amp;DB43&amp;"%"</f>
        <v>#REF!</v>
      </c>
      <c r="DC44" s="508" t="e">
        <f ca="1">DC28&amp;" : "&amp;DC43&amp;"%"</f>
        <v>#REF!</v>
      </c>
      <c r="DD44" s="508" t="e">
        <f ca="1">DD28&amp;" : "&amp;DD43&amp;"%"</f>
        <v>#REF!</v>
      </c>
      <c r="DE44" s="508" t="str">
        <f>DE28&amp;" : "&amp;DE43&amp;"%"</f>
        <v>Total autres : 0%</v>
      </c>
      <c r="DF44" s="509"/>
      <c r="DG44" s="600"/>
      <c r="DH44" s="600"/>
      <c r="DI44" s="600"/>
      <c r="DJ44" s="600"/>
      <c r="DK44" s="600"/>
      <c r="DL44" s="600"/>
      <c r="DM44" s="600"/>
      <c r="DN44" s="600"/>
      <c r="DO44" s="600"/>
      <c r="DP44" s="600"/>
      <c r="DQ44" s="600"/>
      <c r="DR44" s="600"/>
      <c r="DS44" s="600"/>
      <c r="DT44" s="600"/>
      <c r="DU44" s="600"/>
      <c r="DV44" s="600"/>
      <c r="DW44" s="600"/>
      <c r="DX44" s="600"/>
      <c r="DY44" s="600"/>
      <c r="DZ44" s="600"/>
      <c r="EA44" s="600"/>
      <c r="EB44" s="600"/>
      <c r="EC44" s="600"/>
      <c r="ED44" s="600"/>
      <c r="EE44" s="600"/>
      <c r="EF44" s="600"/>
      <c r="EG44" s="600"/>
      <c r="EH44" s="600"/>
      <c r="EI44" s="600"/>
      <c r="EJ44" s="600"/>
      <c r="EK44" s="600"/>
      <c r="EL44" s="600"/>
      <c r="EM44" s="600"/>
      <c r="EN44" s="600"/>
      <c r="EO44" s="600"/>
      <c r="EP44" s="600"/>
      <c r="EQ44" s="600"/>
      <c r="ER44" s="600"/>
      <c r="ES44" s="600"/>
      <c r="ET44" s="600"/>
      <c r="EU44" s="600"/>
      <c r="EV44" s="600"/>
      <c r="EW44" s="600"/>
      <c r="EX44" s="600"/>
      <c r="EY44" s="600"/>
      <c r="EZ44" s="600"/>
    </row>
    <row r="45" spans="1:156" collapsed="1">
      <c r="A45" s="87"/>
      <c r="B45" s="41"/>
      <c r="C45" s="41"/>
      <c r="D45" s="41"/>
      <c r="E45" s="41"/>
      <c r="F45" s="40"/>
      <c r="G45" s="70"/>
      <c r="H45" s="87"/>
      <c r="I45" s="41"/>
      <c r="J45" s="41"/>
      <c r="K45" s="41"/>
      <c r="L45" s="41"/>
      <c r="M45" s="40"/>
      <c r="N45" s="84"/>
      <c r="O45" s="484"/>
      <c r="P45" s="857" t="s">
        <v>104</v>
      </c>
      <c r="Q45" s="1170">
        <f>IF('Données territoriales'!K6=0,0,-('Données territoriales'!K6-HLOOKUP(Accueil!$E$29,'Données territoriales'!$K$5:$AF$8,2,0))/'Données territoriales'!K6)</f>
        <v>0</v>
      </c>
      <c r="R45" s="485"/>
      <c r="S45" s="485"/>
      <c r="T45" s="485"/>
      <c r="U45" s="485"/>
      <c r="V45" s="485"/>
      <c r="W45" s="485"/>
      <c r="X45" s="485"/>
      <c r="Y45" s="593"/>
      <c r="Z45" s="593"/>
      <c r="AA45" s="485"/>
      <c r="AB45" s="485"/>
      <c r="AC45" s="485"/>
      <c r="AD45" s="1118"/>
      <c r="AE45" s="87"/>
      <c r="AF45" s="41"/>
      <c r="AG45" s="41"/>
      <c r="AH45" s="41"/>
      <c r="AI45" s="863" t="e">
        <f ca="1">M33-AJ33</f>
        <v>#REF!</v>
      </c>
      <c r="AJ45" s="870" t="e">
        <f ca="1">M39-AJ39</f>
        <v>#REF!</v>
      </c>
      <c r="AK45" s="600"/>
      <c r="AL45" s="87"/>
      <c r="AM45" s="863" t="e">
        <f ca="1">AM39-AF39</f>
        <v>#REF!</v>
      </c>
      <c r="AN45" s="863" t="e">
        <f ca="1">SUM(AN39:AP39)-SUM(AG39:AI39)</f>
        <v>#REF!</v>
      </c>
      <c r="AO45" s="863" t="e">
        <f ca="1">SUM(AM45:AN45)</f>
        <v>#REF!</v>
      </c>
      <c r="AP45" s="41"/>
      <c r="AQ45" s="40" t="e">
        <f ca="1">AQ39-AJ39</f>
        <v>#REF!</v>
      </c>
      <c r="AR45" s="1158" t="e">
        <f ca="1">AQ36-AJ36</f>
        <v>#REF!</v>
      </c>
      <c r="AS45" s="600"/>
      <c r="AT45" s="600"/>
      <c r="AU45" s="600"/>
      <c r="AV45" s="600"/>
      <c r="AW45" s="600"/>
      <c r="AX45" s="600"/>
      <c r="AY45" s="600"/>
      <c r="AZ45" s="600"/>
      <c r="BA45" s="600"/>
      <c r="BB45" s="600"/>
      <c r="BC45" s="600"/>
      <c r="BD45" s="600"/>
      <c r="BE45" s="600"/>
      <c r="BF45" s="600"/>
      <c r="BG45" s="600"/>
      <c r="BH45" s="600"/>
      <c r="BI45" s="600"/>
      <c r="BJ45" s="600"/>
      <c r="BK45" s="600"/>
      <c r="BL45" s="600"/>
      <c r="BM45" s="600"/>
      <c r="BN45" s="600"/>
      <c r="BO45" s="600"/>
      <c r="BP45" s="600"/>
      <c r="BQ45" s="600"/>
      <c r="BR45" s="600"/>
      <c r="BS45" s="600"/>
      <c r="BT45" s="600"/>
      <c r="BU45" s="600"/>
      <c r="BV45" s="600"/>
      <c r="BW45" s="600"/>
      <c r="BX45" s="600"/>
      <c r="BY45" s="600"/>
      <c r="BZ45" s="600"/>
      <c r="CA45" s="600"/>
      <c r="CB45" s="600"/>
      <c r="CC45" s="600"/>
      <c r="CD45" s="87"/>
      <c r="CE45" s="41"/>
      <c r="CF45" s="41"/>
      <c r="CG45" s="41"/>
      <c r="CH45" s="41"/>
      <c r="CI45" s="40" t="e">
        <f ca="1">CI39-M39</f>
        <v>#REF!</v>
      </c>
      <c r="CJ45" s="600"/>
      <c r="CK45" s="87"/>
      <c r="CL45" s="41"/>
      <c r="CM45" s="41"/>
      <c r="CN45" s="41"/>
      <c r="CO45" s="41"/>
      <c r="CP45" s="873" t="e">
        <f ca="1">M39-CP39-(M38-CP38)</f>
        <v>#REF!</v>
      </c>
      <c r="CQ45" s="600"/>
      <c r="CR45" s="87"/>
      <c r="CS45" s="41"/>
      <c r="CT45" s="41"/>
      <c r="CU45" s="41"/>
      <c r="CV45" s="41"/>
      <c r="CW45" s="40" t="e">
        <f ca="1">M39-CW39-(M38-CW38)</f>
        <v>#REF!</v>
      </c>
      <c r="CX45" s="600"/>
      <c r="CY45" s="600"/>
      <c r="CZ45" s="600"/>
      <c r="DA45" s="87"/>
      <c r="DB45" s="41"/>
      <c r="DC45" s="41"/>
      <c r="DD45" s="41"/>
      <c r="DE45" s="41"/>
      <c r="DF45" s="40"/>
      <c r="DG45" s="600"/>
      <c r="DH45" s="600"/>
      <c r="DI45" s="600"/>
      <c r="DJ45" s="600"/>
      <c r="DK45" s="600"/>
      <c r="DL45" s="600"/>
      <c r="DM45" s="600"/>
      <c r="DN45" s="600"/>
      <c r="DO45" s="600"/>
      <c r="DP45" s="600"/>
      <c r="DQ45" s="600"/>
      <c r="DR45" s="600"/>
      <c r="DS45" s="600"/>
      <c r="DT45" s="600"/>
      <c r="DU45" s="600"/>
      <c r="DV45" s="600"/>
      <c r="DW45" s="600"/>
      <c r="DX45" s="600"/>
      <c r="DY45" s="600"/>
      <c r="DZ45" s="600"/>
      <c r="EA45" s="600"/>
      <c r="EB45" s="600"/>
      <c r="EC45" s="600"/>
      <c r="ED45" s="600"/>
      <c r="EE45" s="600"/>
      <c r="EF45" s="600"/>
      <c r="EG45" s="600"/>
      <c r="EH45" s="600"/>
      <c r="EI45" s="600"/>
      <c r="EJ45" s="600"/>
      <c r="EK45" s="600"/>
      <c r="EL45" s="600"/>
      <c r="EM45" s="600"/>
      <c r="EN45" s="600"/>
      <c r="EO45" s="600"/>
      <c r="EP45" s="600"/>
      <c r="EQ45" s="600"/>
      <c r="ER45" s="600"/>
      <c r="ES45" s="600"/>
      <c r="ET45" s="600"/>
      <c r="EU45" s="600"/>
      <c r="EV45" s="600"/>
      <c r="EW45" s="600"/>
      <c r="EX45" s="600"/>
      <c r="EY45" s="600"/>
      <c r="EZ45" s="600"/>
    </row>
    <row r="46" spans="1:156" ht="38.25" customHeight="1" thickBot="1">
      <c r="A46" s="1953" t="s">
        <v>209</v>
      </c>
      <c r="B46" s="1953"/>
      <c r="C46" s="40"/>
      <c r="D46" s="40"/>
      <c r="E46" s="40"/>
      <c r="F46" s="40"/>
      <c r="G46" s="70"/>
      <c r="H46" s="87"/>
      <c r="I46" s="40"/>
      <c r="J46" s="40"/>
      <c r="K46" s="40"/>
      <c r="L46" s="40"/>
      <c r="M46" s="40"/>
      <c r="N46" s="84"/>
      <c r="O46" s="484"/>
      <c r="P46" s="857" t="s">
        <v>106</v>
      </c>
      <c r="Q46" s="1170">
        <f>IF('Données territoriales'!K10=0,0,-('Données territoriales'!K10-HLOOKUP(Accueil!$E$29,'Données territoriales'!$K$5:$AF$10,2,0))/'Données territoriales'!K10)</f>
        <v>0</v>
      </c>
      <c r="R46" s="485"/>
      <c r="S46" s="485"/>
      <c r="T46" s="485"/>
      <c r="U46" s="485"/>
      <c r="V46" s="485"/>
      <c r="W46" s="485"/>
      <c r="X46" s="485"/>
      <c r="Y46" s="868" t="e">
        <f ca="1">CP45/Y38*Y31</f>
        <v>#REF!</v>
      </c>
      <c r="Z46" s="868"/>
      <c r="AA46" s="485"/>
      <c r="AB46" s="485"/>
      <c r="AC46" s="485"/>
      <c r="AD46" s="1118"/>
      <c r="AE46" s="87"/>
      <c r="AF46" s="40"/>
      <c r="AG46" s="40"/>
      <c r="AH46" s="40"/>
      <c r="AI46" s="40"/>
      <c r="AJ46" s="40" t="e">
        <f ca="1">F39-AJ39</f>
        <v>#DIV/0!</v>
      </c>
      <c r="AK46" s="600"/>
      <c r="AL46" s="87"/>
      <c r="AM46" s="40"/>
      <c r="AN46" s="40"/>
      <c r="AO46" s="40"/>
      <c r="AP46" s="40" t="e">
        <f ca="1">AQ30-M30</f>
        <v>#REF!</v>
      </c>
      <c r="AQ46" s="40" t="e">
        <f ca="1">BW14+BX14</f>
        <v>#REF!</v>
      </c>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87"/>
      <c r="CE46" s="40"/>
      <c r="CF46" s="40"/>
      <c r="CG46" s="40"/>
      <c r="CH46" s="40"/>
      <c r="CI46" s="40"/>
      <c r="CJ46" s="600"/>
      <c r="CK46" s="87"/>
      <c r="CL46" s="40"/>
      <c r="CM46" s="40"/>
      <c r="CN46" s="40"/>
      <c r="CO46" s="40"/>
      <c r="CP46" s="40" t="e">
        <f ca="1">CP45+CW45</f>
        <v>#REF!</v>
      </c>
      <c r="CQ46" s="600"/>
      <c r="CR46" s="87"/>
      <c r="CS46" s="40"/>
      <c r="CT46" s="40"/>
      <c r="CU46" s="40"/>
      <c r="CV46" s="40"/>
      <c r="CW46" s="40">
        <v>4083.2080103975022</v>
      </c>
      <c r="CX46" s="600"/>
      <c r="CY46" s="600"/>
      <c r="CZ46" s="600"/>
      <c r="DA46" s="87"/>
      <c r="DB46" s="40"/>
      <c r="DC46" s="40"/>
      <c r="DD46" s="40"/>
      <c r="DE46" s="40"/>
      <c r="DF46" s="40"/>
      <c r="DG46" s="600"/>
      <c r="DH46" s="600"/>
      <c r="DI46" s="600"/>
      <c r="DJ46" s="600"/>
      <c r="DK46" s="600"/>
      <c r="DL46" s="600"/>
      <c r="DM46" s="600"/>
      <c r="DN46" s="600"/>
      <c r="DO46" s="600"/>
      <c r="DP46" s="600"/>
      <c r="DQ46" s="600"/>
      <c r="DR46" s="600"/>
      <c r="DS46" s="600"/>
      <c r="DT46" s="600"/>
      <c r="DU46" s="600"/>
      <c r="DV46" s="600"/>
      <c r="DW46" s="600"/>
      <c r="DX46" s="600"/>
      <c r="DY46" s="600"/>
      <c r="DZ46" s="600"/>
      <c r="EA46" s="600"/>
      <c r="EB46" s="600"/>
      <c r="EC46" s="600"/>
      <c r="ED46" s="600"/>
      <c r="EE46" s="600"/>
      <c r="EF46" s="600"/>
      <c r="EG46" s="600"/>
      <c r="EH46" s="600"/>
      <c r="EI46" s="600"/>
      <c r="EJ46" s="600"/>
      <c r="EK46" s="600"/>
      <c r="EL46" s="600"/>
      <c r="EM46" s="600"/>
      <c r="EN46" s="600"/>
      <c r="EO46" s="600"/>
      <c r="EP46" s="600"/>
      <c r="EQ46" s="600"/>
      <c r="ER46" s="600"/>
      <c r="ES46" s="600"/>
      <c r="ET46" s="600"/>
      <c r="EU46" s="600"/>
      <c r="EV46" s="600"/>
      <c r="EW46" s="600"/>
      <c r="EX46" s="600"/>
      <c r="EY46" s="600"/>
      <c r="EZ46" s="600"/>
    </row>
    <row r="47" spans="1:156" s="29" customFormat="1" ht="15" thickBot="1">
      <c r="A47" s="70"/>
      <c r="B47" s="1945">
        <f>Accueil!E28</f>
        <v>2006</v>
      </c>
      <c r="C47" s="1946"/>
      <c r="D47" s="1947"/>
      <c r="E47" s="39"/>
      <c r="F47" s="40"/>
      <c r="G47" s="70"/>
      <c r="H47" s="70"/>
      <c r="I47" s="1945">
        <f>Accueil!E29</f>
        <v>0</v>
      </c>
      <c r="J47" s="1946"/>
      <c r="K47" s="1947"/>
      <c r="L47" s="40"/>
      <c r="M47" s="40"/>
      <c r="N47" s="84"/>
      <c r="O47" s="484"/>
      <c r="P47" s="857"/>
      <c r="Q47" s="1170"/>
      <c r="R47" s="485"/>
      <c r="S47" s="485"/>
      <c r="T47" s="485"/>
      <c r="U47" s="485"/>
      <c r="V47" s="485"/>
      <c r="W47" s="485"/>
      <c r="X47" s="485"/>
      <c r="Y47" s="593" t="e">
        <f ca="1">SUM('Bilan patrimonial'!M8:M10)-SUM('Bilan patrimonial'!AA8:AA10)</f>
        <v>#REF!</v>
      </c>
      <c r="Z47" s="593"/>
      <c r="AA47" s="485"/>
      <c r="AB47" s="485"/>
      <c r="AC47" s="485"/>
      <c r="AD47" s="1118"/>
      <c r="AE47" s="70"/>
      <c r="AF47" s="1945">
        <v>2030</v>
      </c>
      <c r="AG47" s="1946"/>
      <c r="AH47" s="1947"/>
      <c r="AI47" s="40"/>
      <c r="AJ47" s="40" t="e">
        <f ca="1">F39-AJ39</f>
        <v>#DIV/0!</v>
      </c>
      <c r="AK47" s="600"/>
      <c r="AL47" s="70"/>
      <c r="AM47" s="1945">
        <v>2030</v>
      </c>
      <c r="AN47" s="1946"/>
      <c r="AO47" s="1947"/>
      <c r="AP47" s="40"/>
      <c r="AQ47" s="4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70"/>
      <c r="CE47" s="1945">
        <v>2030</v>
      </c>
      <c r="CF47" s="1946"/>
      <c r="CG47" s="1947"/>
      <c r="CH47" s="40"/>
      <c r="CI47" s="40"/>
      <c r="CJ47" s="600"/>
      <c r="CK47" s="70"/>
      <c r="CL47" s="1945">
        <v>2030</v>
      </c>
      <c r="CM47" s="1946"/>
      <c r="CN47" s="1947"/>
      <c r="CO47" s="40"/>
      <c r="CP47" s="40"/>
      <c r="CQ47" s="600"/>
      <c r="CR47" s="70"/>
      <c r="CS47" s="1945">
        <v>2030</v>
      </c>
      <c r="CT47" s="1946"/>
      <c r="CU47" s="1947"/>
      <c r="CV47" s="40"/>
      <c r="CW47" s="40"/>
      <c r="CX47" s="600"/>
      <c r="CY47" s="600"/>
      <c r="CZ47" s="600"/>
      <c r="DA47" s="70"/>
      <c r="DB47" s="1945">
        <f>DA9</f>
        <v>0</v>
      </c>
      <c r="DC47" s="1946"/>
      <c r="DD47" s="1947"/>
      <c r="DE47" s="40"/>
      <c r="DF47" s="40"/>
      <c r="DG47" s="600"/>
      <c r="DH47" s="600"/>
      <c r="DI47" s="600"/>
      <c r="DJ47" s="600"/>
      <c r="DK47" s="600"/>
      <c r="DL47" s="600"/>
      <c r="DM47" s="600"/>
      <c r="DN47" s="600"/>
      <c r="DO47" s="600"/>
      <c r="DP47" s="600"/>
      <c r="DQ47" s="600"/>
      <c r="DR47" s="600"/>
      <c r="DS47" s="600"/>
      <c r="DT47" s="600"/>
      <c r="DU47" s="600"/>
      <c r="DV47" s="600"/>
      <c r="DW47" s="600"/>
      <c r="DX47" s="600"/>
      <c r="DY47" s="600"/>
      <c r="DZ47" s="600"/>
      <c r="EA47" s="600"/>
      <c r="EB47" s="600"/>
      <c r="EC47" s="600"/>
      <c r="ED47" s="600"/>
      <c r="EE47" s="600"/>
      <c r="EF47" s="600"/>
      <c r="EG47" s="600"/>
      <c r="EH47" s="600"/>
      <c r="EI47" s="600"/>
      <c r="EJ47" s="600"/>
      <c r="EK47" s="600"/>
      <c r="EL47" s="600"/>
      <c r="EM47" s="600"/>
      <c r="EN47" s="600"/>
      <c r="EO47" s="600"/>
      <c r="EP47" s="600"/>
      <c r="EQ47" s="600"/>
      <c r="ER47" s="600"/>
      <c r="ES47" s="600"/>
      <c r="ET47" s="600"/>
      <c r="EU47" s="600"/>
      <c r="EV47" s="600"/>
      <c r="EW47" s="600"/>
      <c r="EX47" s="600"/>
      <c r="EY47" s="600"/>
      <c r="EZ47" s="600"/>
    </row>
    <row r="48" spans="1:156" s="27" customFormat="1" ht="43.8" thickBot="1">
      <c r="A48" s="1171"/>
      <c r="B48" s="88" t="s">
        <v>210</v>
      </c>
      <c r="C48" s="89" t="s">
        <v>211</v>
      </c>
      <c r="D48" s="90" t="s">
        <v>212</v>
      </c>
      <c r="E48" s="1171"/>
      <c r="F48" s="1171"/>
      <c r="G48" s="1091"/>
      <c r="H48" s="1171"/>
      <c r="I48" s="91" t="s">
        <v>210</v>
      </c>
      <c r="J48" s="92" t="s">
        <v>211</v>
      </c>
      <c r="K48" s="93" t="s">
        <v>212</v>
      </c>
      <c r="L48" s="1171"/>
      <c r="M48" s="1171"/>
      <c r="N48" s="266"/>
      <c r="O48" s="486"/>
      <c r="P48" s="487" t="s">
        <v>204</v>
      </c>
      <c r="Q48" s="452" t="s">
        <v>168</v>
      </c>
      <c r="R48" s="452" t="s">
        <v>169</v>
      </c>
      <c r="S48" s="452" t="s">
        <v>170</v>
      </c>
      <c r="T48" s="485"/>
      <c r="U48" s="485"/>
      <c r="V48" s="485"/>
      <c r="W48" s="485"/>
      <c r="X48" s="485"/>
      <c r="Y48" s="593"/>
      <c r="Z48" s="593"/>
      <c r="AA48" s="1486"/>
      <c r="AB48" s="1486"/>
      <c r="AC48" s="1486"/>
      <c r="AD48" s="1440"/>
      <c r="AE48" s="1171"/>
      <c r="AF48" s="91" t="s">
        <v>210</v>
      </c>
      <c r="AG48" s="92" t="s">
        <v>211</v>
      </c>
      <c r="AH48" s="93" t="s">
        <v>212</v>
      </c>
      <c r="AI48" s="1171"/>
      <c r="AJ48" s="1171"/>
      <c r="AK48" s="1133"/>
      <c r="AL48" s="1171"/>
      <c r="AM48" s="91" t="s">
        <v>210</v>
      </c>
      <c r="AN48" s="92" t="s">
        <v>211</v>
      </c>
      <c r="AO48" s="93" t="s">
        <v>212</v>
      </c>
      <c r="AP48" s="1171"/>
      <c r="AQ48" s="1171"/>
      <c r="AR48" s="1133"/>
      <c r="AS48" s="1133"/>
      <c r="AT48" s="1133"/>
      <c r="AU48" s="1133"/>
      <c r="AV48" s="1133"/>
      <c r="AW48" s="1133"/>
      <c r="AX48" s="1133"/>
      <c r="AY48" s="1133"/>
      <c r="AZ48" s="1133"/>
      <c r="BA48" s="1133"/>
      <c r="BB48" s="1133"/>
      <c r="BC48" s="1133"/>
      <c r="BD48" s="1133"/>
      <c r="BE48" s="1133"/>
      <c r="BF48" s="1133"/>
      <c r="BG48" s="1133"/>
      <c r="BH48" s="1133"/>
      <c r="BI48" s="1133"/>
      <c r="BJ48" s="1133"/>
      <c r="BK48" s="1133"/>
      <c r="BL48" s="1133"/>
      <c r="BM48" s="1133"/>
      <c r="BN48" s="1133"/>
      <c r="BO48" s="1133"/>
      <c r="BP48" s="1133"/>
      <c r="BQ48" s="1133"/>
      <c r="BR48" s="1133"/>
      <c r="BS48" s="1133"/>
      <c r="BT48" s="1133"/>
      <c r="BU48" s="1133"/>
      <c r="BV48" s="1133"/>
      <c r="BW48" s="1133"/>
      <c r="BX48" s="1133"/>
      <c r="BY48" s="1133"/>
      <c r="BZ48" s="1133"/>
      <c r="CA48" s="1133"/>
      <c r="CB48" s="1133"/>
      <c r="CC48" s="1133"/>
      <c r="CD48" s="1171"/>
      <c r="CE48" s="91" t="s">
        <v>210</v>
      </c>
      <c r="CF48" s="92" t="s">
        <v>211</v>
      </c>
      <c r="CG48" s="93" t="s">
        <v>212</v>
      </c>
      <c r="CH48" s="1171"/>
      <c r="CI48" s="1171"/>
      <c r="CJ48" s="1133"/>
      <c r="CK48" s="1171"/>
      <c r="CL48" s="91" t="s">
        <v>210</v>
      </c>
      <c r="CM48" s="92" t="s">
        <v>211</v>
      </c>
      <c r="CN48" s="93" t="s">
        <v>212</v>
      </c>
      <c r="CO48" s="1171"/>
      <c r="CP48" s="1171"/>
      <c r="CQ48" s="1133"/>
      <c r="CR48" s="1171"/>
      <c r="CS48" s="91" t="s">
        <v>210</v>
      </c>
      <c r="CT48" s="92" t="s">
        <v>211</v>
      </c>
      <c r="CU48" s="93" t="s">
        <v>212</v>
      </c>
      <c r="CV48" s="1171"/>
      <c r="CW48" s="1171"/>
      <c r="CX48" s="1133"/>
      <c r="CY48" s="1133"/>
      <c r="CZ48" s="1133"/>
      <c r="DA48" s="1171"/>
      <c r="DB48" s="91" t="s">
        <v>210</v>
      </c>
      <c r="DC48" s="92" t="s">
        <v>211</v>
      </c>
      <c r="DD48" s="93" t="s">
        <v>212</v>
      </c>
      <c r="DE48" s="1171"/>
      <c r="DF48" s="1171"/>
      <c r="DG48" s="1133"/>
      <c r="DH48" s="1133"/>
      <c r="DI48" s="1133"/>
      <c r="DJ48" s="1133"/>
      <c r="DK48" s="1133"/>
      <c r="DL48" s="1133"/>
      <c r="DM48" s="1133"/>
      <c r="DN48" s="1133"/>
      <c r="DO48" s="1133"/>
      <c r="DP48" s="1133"/>
      <c r="DQ48" s="1133"/>
      <c r="DR48" s="1133"/>
      <c r="DS48" s="1133"/>
      <c r="DT48" s="1133"/>
      <c r="DU48" s="1133"/>
      <c r="DV48" s="1133"/>
      <c r="DW48" s="1133"/>
      <c r="DX48" s="1133"/>
      <c r="DY48" s="1133"/>
      <c r="DZ48" s="1133"/>
      <c r="EA48" s="1133"/>
      <c r="EB48" s="1133"/>
      <c r="EC48" s="1133"/>
      <c r="ED48" s="1133"/>
      <c r="EE48" s="1133"/>
      <c r="EF48" s="1133"/>
      <c r="EG48" s="1133"/>
      <c r="EH48" s="1133"/>
      <c r="EI48" s="1133"/>
      <c r="EJ48" s="1133"/>
      <c r="EK48" s="1133"/>
      <c r="EL48" s="1133"/>
      <c r="EM48" s="1133"/>
      <c r="EN48" s="1133"/>
      <c r="EO48" s="1133"/>
      <c r="EP48" s="1133"/>
      <c r="EQ48" s="1133"/>
      <c r="ER48" s="1133"/>
      <c r="ES48" s="1133"/>
      <c r="ET48" s="1133"/>
      <c r="EU48" s="1133"/>
      <c r="EV48" s="1133"/>
      <c r="EW48" s="1133"/>
      <c r="EX48" s="1133"/>
      <c r="EY48" s="1133"/>
      <c r="EZ48" s="1133"/>
    </row>
    <row r="49" spans="1:156" s="2" customFormat="1">
      <c r="A49" s="1172" t="s">
        <v>213</v>
      </c>
      <c r="B49" s="35">
        <f ca="1">SUMIFS(INDIRECT("TabINPUT["&amp;$A$9&amp;"]"),TabINPUT[SECTEUR2],$A49)*B7</f>
        <v>0</v>
      </c>
      <c r="C49" s="7"/>
      <c r="D49" s="33">
        <f t="shared" ref="D49:D54" ca="1" si="111">SUM(B49:C49)</f>
        <v>0</v>
      </c>
      <c r="E49" s="94" t="e">
        <f ca="1">D49/$F$20</f>
        <v>#DIV/0!</v>
      </c>
      <c r="F49" s="79"/>
      <c r="G49" s="79"/>
      <c r="H49" s="1172" t="s">
        <v>213</v>
      </c>
      <c r="I49" s="35" t="e">
        <f ca="1">SUMIFS(INDIRECT("TabINPUT["&amp;$H$9&amp;"]"),TabINPUT[SECTEUR2],$A49)*B7</f>
        <v>#REF!</v>
      </c>
      <c r="J49" s="7"/>
      <c r="K49" s="36" t="e">
        <f t="shared" ref="K49:K54" ca="1" si="112">SUM(I49:J49)</f>
        <v>#REF!</v>
      </c>
      <c r="L49" s="70"/>
      <c r="M49" s="70"/>
      <c r="N49" s="70"/>
      <c r="O49" s="488"/>
      <c r="P49" s="477" t="e">
        <f t="shared" ref="P49:P58" ca="1" si="113">K49/$M$20</f>
        <v>#REF!</v>
      </c>
      <c r="Q49" s="477" t="e">
        <f t="shared" ref="Q49:Q58" ca="1" si="114">IF(D49=0,IF(K49&gt;0,1,0),K49/D49-1)</f>
        <v>#REF!</v>
      </c>
      <c r="R49" s="489" t="e">
        <f t="shared" ref="R49:R58" ca="1" si="115">ROUND(Q49*100,0)</f>
        <v>#REF!</v>
      </c>
      <c r="S49" s="458" t="e">
        <f t="shared" ref="S49:S58" ca="1" si="116">A49&amp;" : "&amp;R49&amp;"%"</f>
        <v>#REF!</v>
      </c>
      <c r="T49" s="485"/>
      <c r="U49" s="485"/>
      <c r="V49" s="485"/>
      <c r="W49" s="485"/>
      <c r="X49" s="485"/>
      <c r="Y49" s="485"/>
      <c r="Z49" s="485"/>
      <c r="AA49" s="485"/>
      <c r="AB49" s="485"/>
      <c r="AC49" s="485"/>
      <c r="AD49" s="1118"/>
      <c r="AE49" s="1172" t="s">
        <v>213</v>
      </c>
      <c r="AF49" s="35" t="e">
        <f ca="1">IF(Objectifs!E48&lt;'Bilan territorial'!I49,'Bilan territorial'!I49,Objectifs!E48)</f>
        <v>#REF!</v>
      </c>
      <c r="AG49" s="7"/>
      <c r="AH49" s="36" t="e">
        <f t="shared" ref="AH49:AH54" ca="1" si="117">SUM(AF49:AG49)</f>
        <v>#REF!</v>
      </c>
      <c r="AI49" s="70"/>
      <c r="AJ49" s="70"/>
      <c r="AK49" s="600"/>
      <c r="AL49" s="1172" t="s">
        <v>213</v>
      </c>
      <c r="AM49" s="35" t="e">
        <f t="shared" ref="AM49:AM55" ca="1" si="118">AF49</f>
        <v>#REF!</v>
      </c>
      <c r="AN49" s="7">
        <f t="shared" ref="AN49:AN55" si="119">AG49</f>
        <v>0</v>
      </c>
      <c r="AO49" s="36" t="e">
        <f t="shared" ref="AO49:AO55" ca="1" si="120">AH49</f>
        <v>#REF!</v>
      </c>
      <c r="AP49" s="70"/>
      <c r="AQ49" s="70"/>
      <c r="AR49" s="600"/>
      <c r="AS49" s="600"/>
      <c r="AT49" s="600"/>
      <c r="AU49" s="600"/>
      <c r="AV49" s="600"/>
      <c r="AW49" s="600"/>
      <c r="AX49" s="600"/>
      <c r="AY49" s="600"/>
      <c r="AZ49" s="600"/>
      <c r="BA49" s="600"/>
      <c r="BB49" s="600"/>
      <c r="BC49" s="600"/>
      <c r="BD49" s="600"/>
      <c r="BE49" s="600"/>
      <c r="BF49" s="600"/>
      <c r="BG49" s="600"/>
      <c r="BH49" s="600"/>
      <c r="BI49" s="600"/>
      <c r="BJ49" s="600"/>
      <c r="BK49" s="600"/>
      <c r="BL49" s="600"/>
      <c r="BM49" s="600"/>
      <c r="BN49" s="600"/>
      <c r="BO49" s="600"/>
      <c r="BP49" s="600"/>
      <c r="BQ49" s="600"/>
      <c r="BR49" s="600"/>
      <c r="BS49" s="600"/>
      <c r="BT49" s="600"/>
      <c r="BU49" s="600"/>
      <c r="BV49" s="600"/>
      <c r="BW49" s="600"/>
      <c r="BX49" s="600"/>
      <c r="BY49" s="600"/>
      <c r="BZ49" s="600"/>
      <c r="CA49" s="600"/>
      <c r="CB49" s="600"/>
      <c r="CC49" s="600"/>
      <c r="CD49" s="1172" t="s">
        <v>213</v>
      </c>
      <c r="CE49" s="35" t="e">
        <f ca="1">I49</f>
        <v>#REF!</v>
      </c>
      <c r="CF49" s="7">
        <f t="shared" ref="CF49:CF59" si="121">J49</f>
        <v>0</v>
      </c>
      <c r="CG49" s="36" t="e">
        <f t="shared" ref="CG49:CG59" ca="1" si="122">K49</f>
        <v>#REF!</v>
      </c>
      <c r="CH49" s="70"/>
      <c r="CI49" s="70"/>
      <c r="CJ49" s="600"/>
      <c r="CK49" s="1172" t="s">
        <v>213</v>
      </c>
      <c r="CL49" s="35" t="e">
        <f ca="1">I49</f>
        <v>#REF!</v>
      </c>
      <c r="CM49" s="7">
        <f t="shared" ref="CM49:CM55" si="123">J49</f>
        <v>0</v>
      </c>
      <c r="CN49" s="36" t="e">
        <f t="shared" ref="CN49:CN54" ca="1" si="124">SUM(CL49:CM49)</f>
        <v>#REF!</v>
      </c>
      <c r="CO49" s="70"/>
      <c r="CP49" s="70"/>
      <c r="CQ49" s="600"/>
      <c r="CR49" s="1172" t="s">
        <v>213</v>
      </c>
      <c r="CS49" s="35" t="e">
        <f ca="1">I49</f>
        <v>#REF!</v>
      </c>
      <c r="CT49" s="7">
        <f t="shared" ref="CT49:CT58" si="125">J49</f>
        <v>0</v>
      </c>
      <c r="CU49" s="36" t="e">
        <f t="shared" ref="CU49:CU54" ca="1" si="126">SUM(CS49:CT49)</f>
        <v>#REF!</v>
      </c>
      <c r="CV49" s="70"/>
      <c r="CW49" s="70"/>
      <c r="CX49" s="600"/>
      <c r="CY49" s="600"/>
      <c r="CZ49" s="600"/>
      <c r="DA49" s="1172" t="s">
        <v>213</v>
      </c>
      <c r="DB49" s="35" t="e">
        <f ca="1">SUMIFS(INDIRECT("TabINPUT["&amp;$DA$9&amp;"]"),TabINPUT[SECTEUR2],$A49)</f>
        <v>#REF!</v>
      </c>
      <c r="DC49" s="7"/>
      <c r="DD49" s="36" t="e">
        <f t="shared" ref="DD49:DD54" ca="1" si="127">SUM(DB49:DC49)</f>
        <v>#REF!</v>
      </c>
      <c r="DE49" s="70"/>
      <c r="DF49" s="70"/>
      <c r="DG49" s="600"/>
      <c r="DH49" s="600"/>
      <c r="DI49" s="600"/>
      <c r="DJ49" s="600"/>
      <c r="DK49" s="600"/>
      <c r="DL49" s="600"/>
      <c r="DM49" s="600"/>
      <c r="DN49" s="600"/>
      <c r="DO49" s="600"/>
      <c r="DP49" s="600"/>
      <c r="DQ49" s="600"/>
      <c r="DR49" s="600"/>
      <c r="DS49" s="600"/>
      <c r="DT49" s="600"/>
      <c r="DU49" s="600"/>
      <c r="DV49" s="600"/>
      <c r="DW49" s="600"/>
      <c r="DX49" s="600"/>
      <c r="DY49" s="600"/>
      <c r="DZ49" s="600"/>
      <c r="EA49" s="600"/>
      <c r="EB49" s="600"/>
      <c r="EC49" s="600"/>
      <c r="ED49" s="600"/>
      <c r="EE49" s="600"/>
      <c r="EF49" s="600"/>
      <c r="EG49" s="600"/>
      <c r="EH49" s="600"/>
      <c r="EI49" s="600"/>
      <c r="EJ49" s="600"/>
      <c r="EK49" s="600"/>
      <c r="EL49" s="600"/>
      <c r="EM49" s="600"/>
      <c r="EN49" s="600"/>
      <c r="EO49" s="600"/>
      <c r="EP49" s="600"/>
      <c r="EQ49" s="600"/>
      <c r="ER49" s="600"/>
      <c r="ES49" s="600"/>
      <c r="ET49" s="600"/>
      <c r="EU49" s="600"/>
      <c r="EV49" s="600"/>
      <c r="EW49" s="600"/>
      <c r="EX49" s="600"/>
      <c r="EY49" s="600"/>
      <c r="EZ49" s="600"/>
    </row>
    <row r="50" spans="1:156" s="2" customFormat="1">
      <c r="A50" s="95" t="s">
        <v>214</v>
      </c>
      <c r="B50" s="35">
        <f ca="1">SUMIFS(INDIRECT("TabINPUT["&amp;$A$9&amp;"]"),TabINPUT[SECTEUR2],$A50)</f>
        <v>0</v>
      </c>
      <c r="C50" s="6"/>
      <c r="D50" s="34">
        <f t="shared" ca="1" si="111"/>
        <v>0</v>
      </c>
      <c r="E50" s="94" t="e">
        <f t="shared" ref="E50:E60" ca="1" si="128">D50/$F$20</f>
        <v>#DIV/0!</v>
      </c>
      <c r="F50" s="267"/>
      <c r="G50" s="79"/>
      <c r="H50" s="95" t="s">
        <v>214</v>
      </c>
      <c r="I50" s="35" t="e">
        <f ca="1">SUMIFS(INDIRECT("TabINPUT["&amp;$H$9&amp;"]"),TabINPUT[SECTEUR2],$A50)</f>
        <v>#REF!</v>
      </c>
      <c r="J50" s="6"/>
      <c r="K50" s="37" t="e">
        <f t="shared" ca="1" si="112"/>
        <v>#REF!</v>
      </c>
      <c r="L50" s="70"/>
      <c r="M50" s="70"/>
      <c r="N50" s="70"/>
      <c r="O50" s="488"/>
      <c r="P50" s="477" t="e">
        <f t="shared" ca="1" si="113"/>
        <v>#REF!</v>
      </c>
      <c r="Q50" s="477" t="e">
        <f t="shared" ca="1" si="114"/>
        <v>#REF!</v>
      </c>
      <c r="R50" s="489" t="e">
        <f t="shared" ca="1" si="115"/>
        <v>#REF!</v>
      </c>
      <c r="S50" s="458" t="e">
        <f t="shared" ca="1" si="116"/>
        <v>#REF!</v>
      </c>
      <c r="T50" s="485"/>
      <c r="U50" s="485"/>
      <c r="V50" s="485"/>
      <c r="W50" s="485"/>
      <c r="X50" s="485"/>
      <c r="Y50" s="485"/>
      <c r="Z50" s="485"/>
      <c r="AA50" s="485"/>
      <c r="AB50" s="485"/>
      <c r="AC50" s="485"/>
      <c r="AD50" s="1118"/>
      <c r="AE50" s="95" t="s">
        <v>214</v>
      </c>
      <c r="AF50" s="35" t="e">
        <f ca="1">IF(Objectifs!E54&lt;'Bilan territorial'!I50,'Bilan territorial'!I50,Objectifs!E54)</f>
        <v>#REF!</v>
      </c>
      <c r="AG50" s="6"/>
      <c r="AH50" s="37" t="e">
        <f t="shared" ca="1" si="117"/>
        <v>#REF!</v>
      </c>
      <c r="AI50" s="70"/>
      <c r="AJ50" s="70"/>
      <c r="AK50" s="600"/>
      <c r="AL50" s="95" t="s">
        <v>214</v>
      </c>
      <c r="AM50" s="35" t="e">
        <f t="shared" ca="1" si="118"/>
        <v>#REF!</v>
      </c>
      <c r="AN50" s="6">
        <f t="shared" si="119"/>
        <v>0</v>
      </c>
      <c r="AO50" s="37" t="e">
        <f t="shared" ca="1" si="120"/>
        <v>#REF!</v>
      </c>
      <c r="AP50" s="70"/>
      <c r="AQ50" s="7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95" t="s">
        <v>214</v>
      </c>
      <c r="CE50" s="35" t="e">
        <f t="shared" ref="CE50:CE59" ca="1" si="129">I50</f>
        <v>#REF!</v>
      </c>
      <c r="CF50" s="6">
        <f t="shared" si="121"/>
        <v>0</v>
      </c>
      <c r="CG50" s="37" t="e">
        <f t="shared" ca="1" si="122"/>
        <v>#REF!</v>
      </c>
      <c r="CH50" s="70"/>
      <c r="CI50" s="70"/>
      <c r="CJ50" s="600"/>
      <c r="CK50" s="95" t="s">
        <v>214</v>
      </c>
      <c r="CL50" s="35" t="e">
        <f t="shared" ref="CL50:CL55" ca="1" si="130">I50</f>
        <v>#REF!</v>
      </c>
      <c r="CM50" s="6">
        <f t="shared" si="123"/>
        <v>0</v>
      </c>
      <c r="CN50" s="37" t="e">
        <f t="shared" ca="1" si="124"/>
        <v>#REF!</v>
      </c>
      <c r="CO50" s="70"/>
      <c r="CP50" s="70"/>
      <c r="CQ50" s="600"/>
      <c r="CR50" s="95" t="s">
        <v>214</v>
      </c>
      <c r="CS50" s="35" t="e">
        <f t="shared" ref="CS50:CS58" ca="1" si="131">I50</f>
        <v>#REF!</v>
      </c>
      <c r="CT50" s="6">
        <f t="shared" si="125"/>
        <v>0</v>
      </c>
      <c r="CU50" s="37" t="e">
        <f t="shared" ca="1" si="126"/>
        <v>#REF!</v>
      </c>
      <c r="CV50" s="70"/>
      <c r="CW50" s="70"/>
      <c r="CX50" s="600"/>
      <c r="CY50" s="600"/>
      <c r="CZ50" s="600"/>
      <c r="DA50" s="95" t="s">
        <v>214</v>
      </c>
      <c r="DB50" s="35" t="e">
        <f ca="1">SUMIFS(INDIRECT("TabINPUT["&amp;$DA$9&amp;"]"),TabINPUT[SECTEUR2],$A50)</f>
        <v>#REF!</v>
      </c>
      <c r="DC50" s="6"/>
      <c r="DD50" s="37" t="e">
        <f t="shared" ca="1" si="127"/>
        <v>#REF!</v>
      </c>
      <c r="DE50" s="70"/>
      <c r="DF50" s="70"/>
      <c r="DG50" s="600"/>
      <c r="DH50" s="600"/>
      <c r="DI50" s="600"/>
      <c r="DJ50" s="600"/>
      <c r="DK50" s="600"/>
      <c r="DL50" s="600"/>
      <c r="DM50" s="600"/>
      <c r="DN50" s="600"/>
      <c r="DO50" s="600"/>
      <c r="DP50" s="600"/>
      <c r="DQ50" s="600"/>
      <c r="DR50" s="600"/>
      <c r="DS50" s="600"/>
      <c r="DT50" s="600"/>
      <c r="DU50" s="600"/>
      <c r="DV50" s="600"/>
      <c r="DW50" s="600"/>
      <c r="DX50" s="600"/>
      <c r="DY50" s="600"/>
      <c r="DZ50" s="600"/>
      <c r="EA50" s="600"/>
      <c r="EB50" s="600"/>
      <c r="EC50" s="600"/>
      <c r="ED50" s="600"/>
      <c r="EE50" s="600"/>
      <c r="EF50" s="600"/>
      <c r="EG50" s="600"/>
      <c r="EH50" s="600"/>
      <c r="EI50" s="600"/>
      <c r="EJ50" s="600"/>
      <c r="EK50" s="600"/>
      <c r="EL50" s="600"/>
      <c r="EM50" s="600"/>
      <c r="EN50" s="600"/>
      <c r="EO50" s="600"/>
      <c r="EP50" s="600"/>
      <c r="EQ50" s="600"/>
      <c r="ER50" s="600"/>
      <c r="ES50" s="600"/>
      <c r="ET50" s="600"/>
      <c r="EU50" s="600"/>
      <c r="EV50" s="600"/>
      <c r="EW50" s="600"/>
      <c r="EX50" s="600"/>
      <c r="EY50" s="600"/>
      <c r="EZ50" s="600"/>
    </row>
    <row r="51" spans="1:156" s="2" customFormat="1">
      <c r="A51" s="95" t="s">
        <v>215</v>
      </c>
      <c r="B51" s="35">
        <f ca="1">SUMIFS(INDIRECT("TabINPUT["&amp;$A$9&amp;"]"),TabINPUT[SECTEUR2],$A51)</f>
        <v>0</v>
      </c>
      <c r="C51" s="6"/>
      <c r="D51" s="34">
        <f t="shared" ca="1" si="111"/>
        <v>0</v>
      </c>
      <c r="E51" s="94" t="e">
        <f t="shared" ca="1" si="128"/>
        <v>#DIV/0!</v>
      </c>
      <c r="F51" s="56"/>
      <c r="G51" s="79"/>
      <c r="H51" s="95" t="s">
        <v>215</v>
      </c>
      <c r="I51" s="35" t="e">
        <f ca="1">SUMIFS(INDIRECT("TabINPUT["&amp;$H$9&amp;"]"),TabINPUT[SECTEUR2],$A51)</f>
        <v>#REF!</v>
      </c>
      <c r="J51" s="6"/>
      <c r="K51" s="37" t="e">
        <f t="shared" ca="1" si="112"/>
        <v>#REF!</v>
      </c>
      <c r="L51" s="70"/>
      <c r="M51" s="70"/>
      <c r="N51" s="70"/>
      <c r="O51" s="488"/>
      <c r="P51" s="477" t="e">
        <f t="shared" ca="1" si="113"/>
        <v>#REF!</v>
      </c>
      <c r="Q51" s="477" t="e">
        <f t="shared" ca="1" si="114"/>
        <v>#REF!</v>
      </c>
      <c r="R51" s="489" t="e">
        <f t="shared" ca="1" si="115"/>
        <v>#REF!</v>
      </c>
      <c r="S51" s="458" t="e">
        <f t="shared" ca="1" si="116"/>
        <v>#REF!</v>
      </c>
      <c r="T51" s="485"/>
      <c r="U51" s="485"/>
      <c r="V51" s="485"/>
      <c r="W51" s="485"/>
      <c r="X51" s="485"/>
      <c r="Y51" s="485"/>
      <c r="Z51" s="485"/>
      <c r="AA51" s="485"/>
      <c r="AB51" s="485"/>
      <c r="AC51" s="485"/>
      <c r="AD51" s="1118"/>
      <c r="AE51" s="95" t="s">
        <v>215</v>
      </c>
      <c r="AF51" s="35" t="e">
        <f ca="1">IF(Objectifs!E49&lt;'Bilan territorial'!I51,'Bilan territorial'!I51,Objectifs!E49)</f>
        <v>#REF!</v>
      </c>
      <c r="AG51" s="6"/>
      <c r="AH51" s="37" t="e">
        <f t="shared" ca="1" si="117"/>
        <v>#REF!</v>
      </c>
      <c r="AI51" s="70"/>
      <c r="AJ51" s="70"/>
      <c r="AK51" s="600"/>
      <c r="AL51" s="95" t="s">
        <v>215</v>
      </c>
      <c r="AM51" s="35" t="e">
        <f t="shared" ca="1" si="118"/>
        <v>#REF!</v>
      </c>
      <c r="AN51" s="6">
        <f t="shared" si="119"/>
        <v>0</v>
      </c>
      <c r="AO51" s="37" t="e">
        <f t="shared" ca="1" si="120"/>
        <v>#REF!</v>
      </c>
      <c r="AP51" s="70"/>
      <c r="AQ51" s="7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95" t="s">
        <v>215</v>
      </c>
      <c r="CE51" s="35" t="e">
        <f t="shared" ca="1" si="129"/>
        <v>#REF!</v>
      </c>
      <c r="CF51" s="6">
        <f t="shared" si="121"/>
        <v>0</v>
      </c>
      <c r="CG51" s="37" t="e">
        <f t="shared" ca="1" si="122"/>
        <v>#REF!</v>
      </c>
      <c r="CH51" s="70"/>
      <c r="CI51" s="70"/>
      <c r="CJ51" s="600"/>
      <c r="CK51" s="95" t="s">
        <v>215</v>
      </c>
      <c r="CL51" s="35" t="e">
        <f t="shared" ca="1" si="130"/>
        <v>#REF!</v>
      </c>
      <c r="CM51" s="6">
        <f t="shared" si="123"/>
        <v>0</v>
      </c>
      <c r="CN51" s="37" t="e">
        <f t="shared" ca="1" si="124"/>
        <v>#REF!</v>
      </c>
      <c r="CO51" s="70"/>
      <c r="CP51" s="70"/>
      <c r="CQ51" s="600"/>
      <c r="CR51" s="95" t="s">
        <v>215</v>
      </c>
      <c r="CS51" s="35" t="e">
        <f t="shared" ca="1" si="131"/>
        <v>#REF!</v>
      </c>
      <c r="CT51" s="6">
        <f t="shared" si="125"/>
        <v>0</v>
      </c>
      <c r="CU51" s="37" t="e">
        <f t="shared" ca="1" si="126"/>
        <v>#REF!</v>
      </c>
      <c r="CV51" s="70"/>
      <c r="CW51" s="70"/>
      <c r="CX51" s="600"/>
      <c r="CY51" s="600"/>
      <c r="CZ51" s="600"/>
      <c r="DA51" s="95" t="s">
        <v>215</v>
      </c>
      <c r="DB51" s="35" t="e">
        <f ca="1">SUMIFS(INDIRECT("TabINPUT["&amp;$DA$9&amp;"]"),TabINPUT[SECTEUR2],$A51)</f>
        <v>#REF!</v>
      </c>
      <c r="DC51" s="6"/>
      <c r="DD51" s="37" t="e">
        <f t="shared" ca="1" si="127"/>
        <v>#REF!</v>
      </c>
      <c r="DE51" s="70"/>
      <c r="DF51" s="70"/>
      <c r="DG51" s="600"/>
      <c r="DH51" s="600"/>
      <c r="DI51" s="600"/>
      <c r="DJ51" s="600"/>
      <c r="DK51" s="600"/>
      <c r="DL51" s="600"/>
      <c r="DM51" s="600"/>
      <c r="DN51" s="600"/>
      <c r="DO51" s="600"/>
      <c r="DP51" s="600"/>
      <c r="DQ51" s="600"/>
      <c r="DR51" s="600"/>
      <c r="DS51" s="600"/>
      <c r="DT51" s="600"/>
      <c r="DU51" s="600"/>
      <c r="DV51" s="600"/>
      <c r="DW51" s="600"/>
      <c r="DX51" s="600"/>
      <c r="DY51" s="600"/>
      <c r="DZ51" s="600"/>
      <c r="EA51" s="600"/>
      <c r="EB51" s="600"/>
      <c r="EC51" s="600"/>
      <c r="ED51" s="600"/>
      <c r="EE51" s="600"/>
      <c r="EF51" s="600"/>
      <c r="EG51" s="600"/>
      <c r="EH51" s="600"/>
      <c r="EI51" s="600"/>
      <c r="EJ51" s="600"/>
      <c r="EK51" s="600"/>
      <c r="EL51" s="600"/>
      <c r="EM51" s="600"/>
      <c r="EN51" s="600"/>
      <c r="EO51" s="600"/>
      <c r="EP51" s="600"/>
      <c r="EQ51" s="600"/>
      <c r="ER51" s="600"/>
      <c r="ES51" s="600"/>
      <c r="ET51" s="600"/>
      <c r="EU51" s="600"/>
      <c r="EV51" s="600"/>
      <c r="EW51" s="600"/>
      <c r="EX51" s="600"/>
      <c r="EY51" s="600"/>
      <c r="EZ51" s="600"/>
    </row>
    <row r="52" spans="1:156" s="2" customFormat="1" ht="15.6">
      <c r="A52" s="95" t="s">
        <v>154</v>
      </c>
      <c r="B52" s="35"/>
      <c r="C52" s="6">
        <f ca="1">SUMIFS(INDIRECT("TabINPUT["&amp;$A$9&amp;"]"),TabINPUT[SECTEUR2],$A52)</f>
        <v>0</v>
      </c>
      <c r="D52" s="34">
        <f t="shared" ca="1" si="111"/>
        <v>0</v>
      </c>
      <c r="E52" s="94" t="e">
        <f t="shared" ca="1" si="128"/>
        <v>#DIV/0!</v>
      </c>
      <c r="F52" s="96"/>
      <c r="G52" s="79"/>
      <c r="H52" s="95" t="s">
        <v>154</v>
      </c>
      <c r="I52" s="35"/>
      <c r="J52" s="6" t="e">
        <f ca="1">SUMIFS(INDIRECT("TabINPUT["&amp;$H$9&amp;"]"),TabINPUT[SECTEUR2],$A52)</f>
        <v>#REF!</v>
      </c>
      <c r="K52" s="37" t="e">
        <f t="shared" ca="1" si="112"/>
        <v>#REF!</v>
      </c>
      <c r="L52" s="70"/>
      <c r="M52" s="70"/>
      <c r="N52" s="70"/>
      <c r="O52" s="488"/>
      <c r="P52" s="477" t="e">
        <f t="shared" ca="1" si="113"/>
        <v>#REF!</v>
      </c>
      <c r="Q52" s="477" t="e">
        <f t="shared" ca="1" si="114"/>
        <v>#REF!</v>
      </c>
      <c r="R52" s="489" t="e">
        <f t="shared" ca="1" si="115"/>
        <v>#REF!</v>
      </c>
      <c r="S52" s="458" t="e">
        <f t="shared" ca="1" si="116"/>
        <v>#REF!</v>
      </c>
      <c r="T52" s="485"/>
      <c r="U52" s="485"/>
      <c r="V52" s="485"/>
      <c r="W52" s="485"/>
      <c r="X52" s="485"/>
      <c r="Y52" s="485"/>
      <c r="Z52" s="485"/>
      <c r="AA52" s="485"/>
      <c r="AB52" s="485"/>
      <c r="AC52" s="485"/>
      <c r="AD52" s="1118"/>
      <c r="AE52" s="95" t="s">
        <v>154</v>
      </c>
      <c r="AF52" s="35"/>
      <c r="AG52" s="6" t="e">
        <f ca="1">IF(Objectifs!E50&lt;'Bilan territorial'!J52,'Bilan territorial'!J52,Objectifs!E50)</f>
        <v>#REF!</v>
      </c>
      <c r="AH52" s="37" t="e">
        <f t="shared" ca="1" si="117"/>
        <v>#REF!</v>
      </c>
      <c r="AI52" s="70"/>
      <c r="AJ52" s="70"/>
      <c r="AK52" s="600"/>
      <c r="AL52" s="95" t="s">
        <v>154</v>
      </c>
      <c r="AM52" s="35">
        <f t="shared" si="118"/>
        <v>0</v>
      </c>
      <c r="AN52" s="6" t="e">
        <f t="shared" ca="1" si="119"/>
        <v>#REF!</v>
      </c>
      <c r="AO52" s="37" t="e">
        <f t="shared" ca="1" si="120"/>
        <v>#REF!</v>
      </c>
      <c r="AP52" s="70"/>
      <c r="AQ52" s="7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95" t="s">
        <v>154</v>
      </c>
      <c r="CE52" s="35">
        <f t="shared" si="129"/>
        <v>0</v>
      </c>
      <c r="CF52" s="6" t="e">
        <f t="shared" ca="1" si="121"/>
        <v>#REF!</v>
      </c>
      <c r="CG52" s="37" t="e">
        <f t="shared" ca="1" si="122"/>
        <v>#REF!</v>
      </c>
      <c r="CH52" s="70"/>
      <c r="CI52" s="70"/>
      <c r="CJ52" s="600"/>
      <c r="CK52" s="95" t="s">
        <v>154</v>
      </c>
      <c r="CL52" s="35">
        <f t="shared" si="130"/>
        <v>0</v>
      </c>
      <c r="CM52" s="6" t="e">
        <f t="shared" ca="1" si="123"/>
        <v>#REF!</v>
      </c>
      <c r="CN52" s="37" t="e">
        <f t="shared" ca="1" si="124"/>
        <v>#REF!</v>
      </c>
      <c r="CO52" s="70"/>
      <c r="CP52" s="70"/>
      <c r="CQ52" s="600"/>
      <c r="CR52" s="95" t="s">
        <v>154</v>
      </c>
      <c r="CS52" s="35">
        <f t="shared" si="131"/>
        <v>0</v>
      </c>
      <c r="CT52" s="6" t="e">
        <f t="shared" ca="1" si="125"/>
        <v>#REF!</v>
      </c>
      <c r="CU52" s="37" t="e">
        <f t="shared" ca="1" si="126"/>
        <v>#REF!</v>
      </c>
      <c r="CV52" s="70"/>
      <c r="CW52" s="70"/>
      <c r="CX52" s="600"/>
      <c r="CY52" s="600"/>
      <c r="CZ52" s="600"/>
      <c r="DA52" s="95" t="s">
        <v>154</v>
      </c>
      <c r="DB52" s="35"/>
      <c r="DC52" s="6" t="e">
        <f ca="1">SUMIFS(INDIRECT("TabINPUT["&amp;$DA$9&amp;"]"),TabINPUT[SECTEUR2],$A52)</f>
        <v>#REF!</v>
      </c>
      <c r="DD52" s="37" t="e">
        <f t="shared" ca="1" si="127"/>
        <v>#REF!</v>
      </c>
      <c r="DE52" s="70"/>
      <c r="DF52" s="70"/>
      <c r="DG52" s="600"/>
      <c r="DH52" s="600"/>
      <c r="DI52" s="600"/>
      <c r="DJ52" s="600"/>
      <c r="DK52" s="600"/>
      <c r="DL52" s="600"/>
      <c r="DM52" s="600"/>
      <c r="DN52" s="600"/>
      <c r="DO52" s="600"/>
      <c r="DP52" s="600"/>
      <c r="DQ52" s="600"/>
      <c r="DR52" s="600"/>
      <c r="DS52" s="600"/>
      <c r="DT52" s="600"/>
      <c r="DU52" s="600"/>
      <c r="DV52" s="600"/>
      <c r="DW52" s="600"/>
      <c r="DX52" s="600"/>
      <c r="DY52" s="600"/>
      <c r="DZ52" s="600"/>
      <c r="EA52" s="600"/>
      <c r="EB52" s="600"/>
      <c r="EC52" s="600"/>
      <c r="ED52" s="600"/>
      <c r="EE52" s="600"/>
      <c r="EF52" s="600"/>
      <c r="EG52" s="600"/>
      <c r="EH52" s="600"/>
      <c r="EI52" s="600"/>
      <c r="EJ52" s="600"/>
      <c r="EK52" s="600"/>
      <c r="EL52" s="600"/>
      <c r="EM52" s="600"/>
      <c r="EN52" s="600"/>
      <c r="EO52" s="600"/>
      <c r="EP52" s="600"/>
      <c r="EQ52" s="600"/>
      <c r="ER52" s="600"/>
      <c r="ES52" s="600"/>
      <c r="ET52" s="600"/>
      <c r="EU52" s="600"/>
      <c r="EV52" s="600"/>
      <c r="EW52" s="600"/>
      <c r="EX52" s="600"/>
      <c r="EY52" s="600"/>
      <c r="EZ52" s="600"/>
    </row>
    <row r="53" spans="1:156" s="2" customFormat="1">
      <c r="A53" s="95" t="s">
        <v>155</v>
      </c>
      <c r="B53" s="35"/>
      <c r="C53" s="6">
        <f ca="1">SUMIFS(INDIRECT("TabINPUT["&amp;$A$9&amp;"]"),TabINPUT[SECTEUR2],$A53)</f>
        <v>0</v>
      </c>
      <c r="D53" s="34">
        <f t="shared" ca="1" si="111"/>
        <v>0</v>
      </c>
      <c r="E53" s="94" t="e">
        <f t="shared" ca="1" si="128"/>
        <v>#DIV/0!</v>
      </c>
      <c r="F53" s="56"/>
      <c r="G53" s="56"/>
      <c r="H53" s="95" t="s">
        <v>155</v>
      </c>
      <c r="I53" s="35"/>
      <c r="J53" s="6" t="e">
        <f ca="1">SUMIFS(INDIRECT("TabINPUT["&amp;$H$9&amp;"]"),TabINPUT[SECTEUR2],$A53)</f>
        <v>#REF!</v>
      </c>
      <c r="K53" s="37" t="e">
        <f t="shared" ca="1" si="112"/>
        <v>#REF!</v>
      </c>
      <c r="L53" s="70"/>
      <c r="M53" s="70"/>
      <c r="N53" s="70"/>
      <c r="O53" s="488"/>
      <c r="P53" s="477" t="e">
        <f t="shared" ca="1" si="113"/>
        <v>#REF!</v>
      </c>
      <c r="Q53" s="477" t="e">
        <f t="shared" ca="1" si="114"/>
        <v>#REF!</v>
      </c>
      <c r="R53" s="489" t="e">
        <f t="shared" ca="1" si="115"/>
        <v>#REF!</v>
      </c>
      <c r="S53" s="458" t="e">
        <f t="shared" ca="1" si="116"/>
        <v>#REF!</v>
      </c>
      <c r="T53" s="485"/>
      <c r="U53" s="485"/>
      <c r="V53" s="485"/>
      <c r="W53" s="485"/>
      <c r="X53" s="485"/>
      <c r="Y53" s="485"/>
      <c r="Z53" s="485"/>
      <c r="AA53" s="485"/>
      <c r="AB53" s="485"/>
      <c r="AC53" s="485"/>
      <c r="AD53" s="1118"/>
      <c r="AE53" s="95" t="s">
        <v>155</v>
      </c>
      <c r="AF53" s="35"/>
      <c r="AG53" s="6" t="e">
        <f ca="1">J53</f>
        <v>#REF!</v>
      </c>
      <c r="AH53" s="37" t="e">
        <f t="shared" ca="1" si="117"/>
        <v>#REF!</v>
      </c>
      <c r="AI53" s="70"/>
      <c r="AJ53" s="70"/>
      <c r="AK53" s="600"/>
      <c r="AL53" s="95" t="s">
        <v>155</v>
      </c>
      <c r="AM53" s="35">
        <f t="shared" si="118"/>
        <v>0</v>
      </c>
      <c r="AN53" s="6" t="e">
        <f t="shared" ca="1" si="119"/>
        <v>#REF!</v>
      </c>
      <c r="AO53" s="37" t="e">
        <f t="shared" ca="1" si="120"/>
        <v>#REF!</v>
      </c>
      <c r="AP53" s="70"/>
      <c r="AQ53" s="7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95" t="s">
        <v>155</v>
      </c>
      <c r="CE53" s="35">
        <f t="shared" si="129"/>
        <v>0</v>
      </c>
      <c r="CF53" s="6" t="e">
        <f t="shared" ca="1" si="121"/>
        <v>#REF!</v>
      </c>
      <c r="CG53" s="37" t="e">
        <f t="shared" ca="1" si="122"/>
        <v>#REF!</v>
      </c>
      <c r="CH53" s="70"/>
      <c r="CI53" s="70"/>
      <c r="CJ53" s="600"/>
      <c r="CK53" s="95" t="s">
        <v>155</v>
      </c>
      <c r="CL53" s="35">
        <f t="shared" si="130"/>
        <v>0</v>
      </c>
      <c r="CM53" s="6" t="e">
        <f t="shared" ca="1" si="123"/>
        <v>#REF!</v>
      </c>
      <c r="CN53" s="37" t="e">
        <f t="shared" ca="1" si="124"/>
        <v>#REF!</v>
      </c>
      <c r="CO53" s="70"/>
      <c r="CP53" s="70"/>
      <c r="CQ53" s="600"/>
      <c r="CR53" s="95" t="s">
        <v>155</v>
      </c>
      <c r="CS53" s="35">
        <f t="shared" si="131"/>
        <v>0</v>
      </c>
      <c r="CT53" s="6" t="e">
        <f t="shared" ca="1" si="125"/>
        <v>#REF!</v>
      </c>
      <c r="CU53" s="37" t="e">
        <f t="shared" ca="1" si="126"/>
        <v>#REF!</v>
      </c>
      <c r="CV53" s="70"/>
      <c r="CW53" s="70"/>
      <c r="CX53" s="600"/>
      <c r="CY53" s="600"/>
      <c r="CZ53" s="600"/>
      <c r="DA53" s="95" t="s">
        <v>155</v>
      </c>
      <c r="DB53" s="35"/>
      <c r="DC53" s="6" t="e">
        <f ca="1">SUMIFS(INDIRECT("TabINPUT["&amp;$DA$9&amp;"]"),TabINPUT[SECTEUR2],$A53)</f>
        <v>#REF!</v>
      </c>
      <c r="DD53" s="37" t="e">
        <f t="shared" ca="1" si="127"/>
        <v>#REF!</v>
      </c>
      <c r="DE53" s="70"/>
      <c r="DF53" s="70"/>
      <c r="DG53" s="600"/>
      <c r="DH53" s="600"/>
      <c r="DI53" s="600"/>
      <c r="DJ53" s="600"/>
      <c r="DK53" s="600"/>
      <c r="DL53" s="600"/>
      <c r="DM53" s="600"/>
      <c r="DN53" s="600"/>
      <c r="DO53" s="600"/>
      <c r="DP53" s="600"/>
      <c r="DQ53" s="600"/>
      <c r="DR53" s="600"/>
      <c r="DS53" s="600"/>
      <c r="DT53" s="600"/>
      <c r="DU53" s="600"/>
      <c r="DV53" s="600"/>
      <c r="DW53" s="600"/>
      <c r="DX53" s="600"/>
      <c r="DY53" s="600"/>
      <c r="DZ53" s="600"/>
      <c r="EA53" s="600"/>
      <c r="EB53" s="600"/>
      <c r="EC53" s="600"/>
      <c r="ED53" s="600"/>
      <c r="EE53" s="600"/>
      <c r="EF53" s="600"/>
      <c r="EG53" s="600"/>
      <c r="EH53" s="600"/>
      <c r="EI53" s="600"/>
      <c r="EJ53" s="600"/>
      <c r="EK53" s="600"/>
      <c r="EL53" s="600"/>
      <c r="EM53" s="600"/>
      <c r="EN53" s="600"/>
      <c r="EO53" s="600"/>
      <c r="EP53" s="600"/>
      <c r="EQ53" s="600"/>
      <c r="ER53" s="600"/>
      <c r="ES53" s="600"/>
      <c r="ET53" s="600"/>
      <c r="EU53" s="600"/>
      <c r="EV53" s="600"/>
      <c r="EW53" s="600"/>
      <c r="EX53" s="600"/>
      <c r="EY53" s="600"/>
      <c r="EZ53" s="600"/>
    </row>
    <row r="54" spans="1:156" s="2" customFormat="1">
      <c r="A54" s="95" t="s">
        <v>216</v>
      </c>
      <c r="B54" s="35"/>
      <c r="C54" s="6">
        <f ca="1">SUMIFS(INDIRECT("TabINPUT["&amp;$A$9&amp;"]"),TabINPUT[SECTEUR2],"Bois chauffage",TabINPUT[VECTEUR],"Chaleur")+SUMIFS(INDIRECT("TabINPUT["&amp;$A$9&amp;"]"),TabINPUT[SECTEUR1],"LOGEMENT",TabINPUT[VECTEUR],"Bois")</f>
        <v>0</v>
      </c>
      <c r="D54" s="34">
        <f t="shared" ca="1" si="111"/>
        <v>0</v>
      </c>
      <c r="E54" s="94" t="e">
        <f t="shared" ca="1" si="128"/>
        <v>#DIV/0!</v>
      </c>
      <c r="F54" s="56"/>
      <c r="G54" s="56"/>
      <c r="H54" s="95" t="s">
        <v>217</v>
      </c>
      <c r="I54" s="35"/>
      <c r="J54" s="6" t="e">
        <f ca="1">SUMIFS(INDIRECT("TabINPUT["&amp;$H$9&amp;"]"),TabINPUT[SECTEUR2],"Bois chauffage",TabINPUT[VECTEUR],"Chaleur")+SUMIFS(INDIRECT("TabINPUT["&amp;$H$9&amp;"]"),TabINPUT[SECTEUR1],"LOGEMENT",TabINPUT[VECTEUR],"Bois")</f>
        <v>#REF!</v>
      </c>
      <c r="K54" s="37" t="e">
        <f t="shared" ca="1" si="112"/>
        <v>#REF!</v>
      </c>
      <c r="L54" s="70"/>
      <c r="M54" s="70"/>
      <c r="N54" s="70"/>
      <c r="O54" s="488"/>
      <c r="P54" s="477" t="e">
        <f t="shared" ca="1" si="113"/>
        <v>#REF!</v>
      </c>
      <c r="Q54" s="477" t="e">
        <f t="shared" ca="1" si="114"/>
        <v>#REF!</v>
      </c>
      <c r="R54" s="489" t="e">
        <f t="shared" ca="1" si="115"/>
        <v>#REF!</v>
      </c>
      <c r="S54" s="458" t="e">
        <f t="shared" ca="1" si="116"/>
        <v>#REF!</v>
      </c>
      <c r="T54" s="485"/>
      <c r="U54" s="485"/>
      <c r="V54" s="485"/>
      <c r="W54" s="485"/>
      <c r="X54" s="485"/>
      <c r="Y54" s="485"/>
      <c r="Z54" s="485"/>
      <c r="AA54" s="485"/>
      <c r="AB54" s="485"/>
      <c r="AC54" s="485"/>
      <c r="AD54" s="1118"/>
      <c r="AE54" s="95" t="s">
        <v>217</v>
      </c>
      <c r="AF54" s="35"/>
      <c r="AG54" s="6" t="e">
        <f ca="1">IF(Objectifs!E53&lt;'Bilan territorial'!J54,'Bilan territorial'!J54,J54+Objectifs!E53)</f>
        <v>#REF!</v>
      </c>
      <c r="AH54" s="37" t="e">
        <f t="shared" ca="1" si="117"/>
        <v>#REF!</v>
      </c>
      <c r="AI54" s="70"/>
      <c r="AJ54" s="70"/>
      <c r="AK54" s="600"/>
      <c r="AL54" s="95" t="s">
        <v>217</v>
      </c>
      <c r="AM54" s="35">
        <f t="shared" si="118"/>
        <v>0</v>
      </c>
      <c r="AN54" s="6" t="e">
        <f ca="1">'Bilan territorial'!J54+Objectifs!E53</f>
        <v>#REF!</v>
      </c>
      <c r="AO54" s="37" t="e">
        <f t="shared" ca="1" si="120"/>
        <v>#REF!</v>
      </c>
      <c r="AP54" s="70"/>
      <c r="AQ54" s="70"/>
      <c r="AR54" s="600"/>
      <c r="AS54" s="600"/>
      <c r="AT54" s="600"/>
      <c r="AU54" s="600"/>
      <c r="AV54" s="600"/>
      <c r="AW54" s="600"/>
      <c r="AX54" s="600"/>
      <c r="AY54" s="600"/>
      <c r="AZ54" s="600"/>
      <c r="BA54" s="600"/>
      <c r="BB54" s="600"/>
      <c r="BC54" s="600"/>
      <c r="BD54" s="600"/>
      <c r="BE54" s="600"/>
      <c r="BF54" s="600"/>
      <c r="BG54" s="600"/>
      <c r="BH54" s="600"/>
      <c r="BI54" s="600"/>
      <c r="BJ54" s="600"/>
      <c r="BK54" s="600"/>
      <c r="BL54" s="600"/>
      <c r="BM54" s="600"/>
      <c r="BN54" s="600"/>
      <c r="BO54" s="600"/>
      <c r="BP54" s="600"/>
      <c r="BQ54" s="600"/>
      <c r="BR54" s="600"/>
      <c r="BS54" s="600"/>
      <c r="BT54" s="600"/>
      <c r="BU54" s="600"/>
      <c r="BV54" s="600"/>
      <c r="BW54" s="600"/>
      <c r="BX54" s="600"/>
      <c r="BY54" s="600"/>
      <c r="BZ54" s="600"/>
      <c r="CA54" s="600"/>
      <c r="CB54" s="600"/>
      <c r="CC54" s="600"/>
      <c r="CD54" s="95" t="s">
        <v>217</v>
      </c>
      <c r="CE54" s="35">
        <f t="shared" si="129"/>
        <v>0</v>
      </c>
      <c r="CF54" s="6" t="e">
        <f t="shared" ca="1" si="121"/>
        <v>#REF!</v>
      </c>
      <c r="CG54" s="37" t="e">
        <f t="shared" ca="1" si="122"/>
        <v>#REF!</v>
      </c>
      <c r="CH54" s="70"/>
      <c r="CI54" s="70"/>
      <c r="CJ54" s="600"/>
      <c r="CK54" s="95" t="s">
        <v>217</v>
      </c>
      <c r="CL54" s="35">
        <f t="shared" si="130"/>
        <v>0</v>
      </c>
      <c r="CM54" s="6" t="e">
        <f t="shared" ca="1" si="123"/>
        <v>#REF!</v>
      </c>
      <c r="CN54" s="37" t="e">
        <f t="shared" ca="1" si="124"/>
        <v>#REF!</v>
      </c>
      <c r="CO54" s="70"/>
      <c r="CP54" s="70"/>
      <c r="CQ54" s="600"/>
      <c r="CR54" s="95" t="s">
        <v>217</v>
      </c>
      <c r="CS54" s="35">
        <f t="shared" si="131"/>
        <v>0</v>
      </c>
      <c r="CT54" s="6" t="e">
        <f t="shared" ca="1" si="125"/>
        <v>#REF!</v>
      </c>
      <c r="CU54" s="37" t="e">
        <f t="shared" ca="1" si="126"/>
        <v>#REF!</v>
      </c>
      <c r="CV54" s="70"/>
      <c r="CW54" s="70"/>
      <c r="CX54" s="600"/>
      <c r="CY54" s="600"/>
      <c r="CZ54" s="600"/>
      <c r="DA54" s="95" t="s">
        <v>217</v>
      </c>
      <c r="DB54" s="35"/>
      <c r="DC54" s="6" t="e">
        <f ca="1">SUMIFS(INDIRECT("TabINPUT["&amp;$DA$9&amp;"]"),TabINPUT[SECTEUR2],"Bois chauffage",TabINPUT[VECTEUR],"Chaleur")+SUMIFS(INDIRECT("TabINPUT["&amp;$DA$9&amp;"]"),TabINPUT[SECTEUR1],"LOGEMENT",TabINPUT[VECTEUR],"Bois")</f>
        <v>#REF!</v>
      </c>
      <c r="DD54" s="37" t="e">
        <f t="shared" ca="1" si="127"/>
        <v>#REF!</v>
      </c>
      <c r="DE54" s="70"/>
      <c r="DF54" s="70"/>
      <c r="DG54" s="600"/>
      <c r="DH54" s="600"/>
      <c r="DI54" s="600"/>
      <c r="DJ54" s="600"/>
      <c r="DK54" s="600"/>
      <c r="DL54" s="600"/>
      <c r="DM54" s="600"/>
      <c r="DN54" s="600"/>
      <c r="DO54" s="600"/>
      <c r="DP54" s="600"/>
      <c r="DQ54" s="600"/>
      <c r="DR54" s="600"/>
      <c r="DS54" s="600"/>
      <c r="DT54" s="600"/>
      <c r="DU54" s="600"/>
      <c r="DV54" s="600"/>
      <c r="DW54" s="600"/>
      <c r="DX54" s="600"/>
      <c r="DY54" s="600"/>
      <c r="DZ54" s="600"/>
      <c r="EA54" s="600"/>
      <c r="EB54" s="600"/>
      <c r="EC54" s="600"/>
      <c r="ED54" s="600"/>
      <c r="EE54" s="600"/>
      <c r="EF54" s="600"/>
      <c r="EG54" s="600"/>
      <c r="EH54" s="600"/>
      <c r="EI54" s="600"/>
      <c r="EJ54" s="600"/>
      <c r="EK54" s="600"/>
      <c r="EL54" s="600"/>
      <c r="EM54" s="600"/>
      <c r="EN54" s="600"/>
      <c r="EO54" s="600"/>
      <c r="EP54" s="600"/>
      <c r="EQ54" s="600"/>
      <c r="ER54" s="600"/>
      <c r="ES54" s="600"/>
      <c r="ET54" s="600"/>
      <c r="EU54" s="600"/>
      <c r="EV54" s="600"/>
      <c r="EW54" s="600"/>
      <c r="EX54" s="600"/>
      <c r="EY54" s="600"/>
      <c r="EZ54" s="600"/>
    </row>
    <row r="55" spans="1:156" s="2" customFormat="1">
      <c r="A55" s="95" t="s">
        <v>218</v>
      </c>
      <c r="B55" s="35">
        <f ca="1">SUM(B56:B58)</f>
        <v>0</v>
      </c>
      <c r="C55" s="6">
        <f ca="1">SUM(C56:C58)</f>
        <v>0</v>
      </c>
      <c r="D55" s="34">
        <f ca="1">SUM(B55,C55)</f>
        <v>0</v>
      </c>
      <c r="E55" s="94" t="e">
        <f t="shared" ca="1" si="128"/>
        <v>#DIV/0!</v>
      </c>
      <c r="F55" s="79"/>
      <c r="G55" s="79"/>
      <c r="H55" s="95" t="s">
        <v>218</v>
      </c>
      <c r="I55" s="35" t="e">
        <f ca="1">SUM(I56:I58)</f>
        <v>#REF!</v>
      </c>
      <c r="J55" s="5" t="e">
        <f ca="1">SUM(J56:J58)</f>
        <v>#REF!</v>
      </c>
      <c r="K55" s="37" t="e">
        <f ca="1">SUM(I55,J55)</f>
        <v>#REF!</v>
      </c>
      <c r="L55" s="70"/>
      <c r="M55" s="70"/>
      <c r="N55" s="70"/>
      <c r="O55" s="488"/>
      <c r="P55" s="477" t="e">
        <f t="shared" ca="1" si="113"/>
        <v>#REF!</v>
      </c>
      <c r="Q55" s="477" t="e">
        <f t="shared" ca="1" si="114"/>
        <v>#REF!</v>
      </c>
      <c r="R55" s="489" t="e">
        <f t="shared" ca="1" si="115"/>
        <v>#REF!</v>
      </c>
      <c r="S55" s="458" t="e">
        <f t="shared" ca="1" si="116"/>
        <v>#REF!</v>
      </c>
      <c r="T55" s="485"/>
      <c r="U55" s="485"/>
      <c r="V55" s="485"/>
      <c r="W55" s="485"/>
      <c r="X55" s="485"/>
      <c r="Y55" s="485"/>
      <c r="Z55" s="485"/>
      <c r="AA55" s="485"/>
      <c r="AB55" s="485"/>
      <c r="AC55" s="485"/>
      <c r="AD55" s="1118"/>
      <c r="AE55" s="95" t="s">
        <v>218</v>
      </c>
      <c r="AF55" s="35" t="e">
        <f ca="1">SUM(AF56:AF58)</f>
        <v>#REF!</v>
      </c>
      <c r="AG55" s="5" t="e">
        <f ca="1">J55</f>
        <v>#REF!</v>
      </c>
      <c r="AH55" s="37" t="e">
        <f ca="1">SUM(AF55,AG55)</f>
        <v>#REF!</v>
      </c>
      <c r="AI55" s="70"/>
      <c r="AJ55" s="70"/>
      <c r="AK55" s="600"/>
      <c r="AL55" s="95" t="s">
        <v>218</v>
      </c>
      <c r="AM55" s="35" t="e">
        <f t="shared" ca="1" si="118"/>
        <v>#REF!</v>
      </c>
      <c r="AN55" s="5" t="e">
        <f t="shared" ca="1" si="119"/>
        <v>#REF!</v>
      </c>
      <c r="AO55" s="37" t="e">
        <f t="shared" ca="1" si="120"/>
        <v>#REF!</v>
      </c>
      <c r="AP55" s="70"/>
      <c r="AQ55" s="70"/>
      <c r="AR55" s="600"/>
      <c r="AS55" s="600"/>
      <c r="AT55" s="600"/>
      <c r="AU55" s="600"/>
      <c r="AV55" s="600"/>
      <c r="AW55" s="600"/>
      <c r="AX55" s="600"/>
      <c r="AY55" s="600"/>
      <c r="AZ55" s="600"/>
      <c r="BA55" s="600"/>
      <c r="BB55" s="600"/>
      <c r="BC55" s="600"/>
      <c r="BD55" s="600"/>
      <c r="BE55" s="600"/>
      <c r="BF55" s="600"/>
      <c r="BG55" s="600"/>
      <c r="BH55" s="600"/>
      <c r="BI55" s="600"/>
      <c r="BJ55" s="600"/>
      <c r="BK55" s="600"/>
      <c r="BL55" s="600"/>
      <c r="BM55" s="600"/>
      <c r="BN55" s="600"/>
      <c r="BO55" s="600"/>
      <c r="BP55" s="600"/>
      <c r="BQ55" s="600"/>
      <c r="BR55" s="600"/>
      <c r="BS55" s="600"/>
      <c r="BT55" s="600"/>
      <c r="BU55" s="600"/>
      <c r="BV55" s="600"/>
      <c r="BW55" s="600"/>
      <c r="BX55" s="600"/>
      <c r="BY55" s="600"/>
      <c r="BZ55" s="600"/>
      <c r="CA55" s="600"/>
      <c r="CB55" s="600"/>
      <c r="CC55" s="600"/>
      <c r="CD55" s="95" t="s">
        <v>218</v>
      </c>
      <c r="CE55" s="35" t="e">
        <f t="shared" ca="1" si="129"/>
        <v>#REF!</v>
      </c>
      <c r="CF55" s="5" t="e">
        <f t="shared" ca="1" si="121"/>
        <v>#REF!</v>
      </c>
      <c r="CG55" s="37" t="e">
        <f t="shared" ca="1" si="122"/>
        <v>#REF!</v>
      </c>
      <c r="CH55" s="70"/>
      <c r="CI55" s="70"/>
      <c r="CJ55" s="600"/>
      <c r="CK55" s="95" t="s">
        <v>218</v>
      </c>
      <c r="CL55" s="35" t="e">
        <f t="shared" ca="1" si="130"/>
        <v>#REF!</v>
      </c>
      <c r="CM55" s="5" t="e">
        <f t="shared" ca="1" si="123"/>
        <v>#REF!</v>
      </c>
      <c r="CN55" s="37" t="e">
        <f ca="1">SUM(CL55,CM55)</f>
        <v>#REF!</v>
      </c>
      <c r="CO55" s="70"/>
      <c r="CP55" s="70"/>
      <c r="CQ55" s="600"/>
      <c r="CR55" s="95" t="s">
        <v>218</v>
      </c>
      <c r="CS55" s="35" t="e">
        <f t="shared" ca="1" si="131"/>
        <v>#REF!</v>
      </c>
      <c r="CT55" s="5" t="e">
        <f t="shared" ca="1" si="125"/>
        <v>#REF!</v>
      </c>
      <c r="CU55" s="37" t="e">
        <f ca="1">SUM(CS55,CT55)</f>
        <v>#REF!</v>
      </c>
      <c r="CV55" s="70"/>
      <c r="CW55" s="70"/>
      <c r="CX55" s="600"/>
      <c r="CY55" s="600"/>
      <c r="CZ55" s="600"/>
      <c r="DA55" s="95" t="s">
        <v>218</v>
      </c>
      <c r="DB55" s="35" t="e">
        <f ca="1">SUM(DB56:DB58)</f>
        <v>#REF!</v>
      </c>
      <c r="DC55" s="5" t="e">
        <f ca="1">SUM(DC56:DC58)</f>
        <v>#REF!</v>
      </c>
      <c r="DD55" s="37" t="e">
        <f ca="1">SUM(DB55,DC55)</f>
        <v>#REF!</v>
      </c>
      <c r="DE55" s="70"/>
      <c r="DF55" s="70"/>
      <c r="DG55" s="600"/>
      <c r="DH55" s="600"/>
      <c r="DI55" s="600"/>
      <c r="DJ55" s="600"/>
      <c r="DK55" s="600"/>
      <c r="DL55" s="600"/>
      <c r="DM55" s="600"/>
      <c r="DN55" s="600"/>
      <c r="DO55" s="600"/>
      <c r="DP55" s="600"/>
      <c r="DQ55" s="600"/>
      <c r="DR55" s="600"/>
      <c r="DS55" s="600"/>
      <c r="DT55" s="600"/>
      <c r="DU55" s="600"/>
      <c r="DV55" s="600"/>
      <c r="DW55" s="600"/>
      <c r="DX55" s="600"/>
      <c r="DY55" s="600"/>
      <c r="DZ55" s="600"/>
      <c r="EA55" s="600"/>
      <c r="EB55" s="600"/>
      <c r="EC55" s="600"/>
      <c r="ED55" s="600"/>
      <c r="EE55" s="600"/>
      <c r="EF55" s="600"/>
      <c r="EG55" s="600"/>
      <c r="EH55" s="600"/>
      <c r="EI55" s="600"/>
      <c r="EJ55" s="600"/>
      <c r="EK55" s="600"/>
      <c r="EL55" s="600"/>
      <c r="EM55" s="600"/>
      <c r="EN55" s="600"/>
      <c r="EO55" s="600"/>
      <c r="EP55" s="600"/>
      <c r="EQ55" s="600"/>
      <c r="ER55" s="600"/>
      <c r="ES55" s="600"/>
      <c r="ET55" s="600"/>
      <c r="EU55" s="600"/>
      <c r="EV55" s="600"/>
      <c r="EW55" s="600"/>
      <c r="EX55" s="600"/>
      <c r="EY55" s="600"/>
      <c r="EZ55" s="600"/>
    </row>
    <row r="56" spans="1:156" s="2" customFormat="1" outlineLevel="1">
      <c r="A56" s="1173" t="s">
        <v>219</v>
      </c>
      <c r="B56" s="35">
        <f t="shared" ref="B56:C58" ca="1" si="132">B66</f>
        <v>0</v>
      </c>
      <c r="C56" s="6">
        <f t="shared" ca="1" si="132"/>
        <v>0</v>
      </c>
      <c r="D56" s="34"/>
      <c r="E56" s="94" t="e">
        <f t="shared" ca="1" si="128"/>
        <v>#DIV/0!</v>
      </c>
      <c r="F56" s="79"/>
      <c r="G56" s="79"/>
      <c r="H56" s="1173" t="s">
        <v>219</v>
      </c>
      <c r="I56" s="35" t="e">
        <f t="shared" ref="I56:J58" ca="1" si="133">I66</f>
        <v>#REF!</v>
      </c>
      <c r="J56" s="6" t="e">
        <f t="shared" ca="1" si="133"/>
        <v>#REF!</v>
      </c>
      <c r="K56" s="37"/>
      <c r="L56" s="70"/>
      <c r="M56" s="70"/>
      <c r="N56" s="70"/>
      <c r="O56" s="488"/>
      <c r="P56" s="477" t="e">
        <f t="shared" ca="1" si="113"/>
        <v>#REF!</v>
      </c>
      <c r="Q56" s="477">
        <f t="shared" si="114"/>
        <v>0</v>
      </c>
      <c r="R56" s="489">
        <f t="shared" si="115"/>
        <v>0</v>
      </c>
      <c r="S56" s="458" t="str">
        <f t="shared" si="116"/>
        <v>Huile vég : 0%</v>
      </c>
      <c r="T56" s="485"/>
      <c r="U56" s="485"/>
      <c r="V56" s="485"/>
      <c r="W56" s="485"/>
      <c r="X56" s="485"/>
      <c r="Y56" s="485"/>
      <c r="Z56" s="485"/>
      <c r="AA56" s="485"/>
      <c r="AB56" s="485"/>
      <c r="AC56" s="485"/>
      <c r="AD56" s="1118"/>
      <c r="AE56" s="1173" t="s">
        <v>219</v>
      </c>
      <c r="AF56" s="35" t="e">
        <f ca="1">I56</f>
        <v>#REF!</v>
      </c>
      <c r="AG56" s="6"/>
      <c r="AH56" s="37"/>
      <c r="AI56" s="70"/>
      <c r="AJ56" s="70"/>
      <c r="AK56" s="600"/>
      <c r="AL56" s="1173" t="s">
        <v>219</v>
      </c>
      <c r="AM56" s="35"/>
      <c r="AN56" s="6"/>
      <c r="AO56" s="37"/>
      <c r="AP56" s="70"/>
      <c r="AQ56" s="70"/>
      <c r="AR56" s="600"/>
      <c r="AS56" s="600"/>
      <c r="AT56" s="600"/>
      <c r="AU56" s="600"/>
      <c r="AV56" s="600"/>
      <c r="AW56" s="600"/>
      <c r="AX56" s="600"/>
      <c r="AY56" s="600"/>
      <c r="AZ56" s="600"/>
      <c r="BA56" s="600"/>
      <c r="BB56" s="600"/>
      <c r="BC56" s="600"/>
      <c r="BD56" s="600"/>
      <c r="BE56" s="600"/>
      <c r="BF56" s="600"/>
      <c r="BG56" s="600"/>
      <c r="BH56" s="600"/>
      <c r="BI56" s="600"/>
      <c r="BJ56" s="600"/>
      <c r="BK56" s="600"/>
      <c r="BL56" s="600"/>
      <c r="BM56" s="600"/>
      <c r="BN56" s="600"/>
      <c r="BO56" s="600"/>
      <c r="BP56" s="600"/>
      <c r="BQ56" s="600"/>
      <c r="BR56" s="600"/>
      <c r="BS56" s="600"/>
      <c r="BT56" s="600"/>
      <c r="BU56" s="600"/>
      <c r="BV56" s="600"/>
      <c r="BW56" s="600"/>
      <c r="BX56" s="600"/>
      <c r="BY56" s="600"/>
      <c r="BZ56" s="600"/>
      <c r="CA56" s="600"/>
      <c r="CB56" s="600"/>
      <c r="CC56" s="600"/>
      <c r="CD56" s="1173" t="s">
        <v>219</v>
      </c>
      <c r="CE56" s="35" t="e">
        <f t="shared" ca="1" si="129"/>
        <v>#REF!</v>
      </c>
      <c r="CF56" s="6" t="e">
        <f t="shared" ca="1" si="121"/>
        <v>#REF!</v>
      </c>
      <c r="CG56" s="37">
        <f t="shared" si="122"/>
        <v>0</v>
      </c>
      <c r="CH56" s="70"/>
      <c r="CI56" s="70"/>
      <c r="CJ56" s="600"/>
      <c r="CK56" s="1173" t="s">
        <v>219</v>
      </c>
      <c r="CL56" s="35"/>
      <c r="CM56" s="6"/>
      <c r="CN56" s="37"/>
      <c r="CO56" s="70"/>
      <c r="CP56" s="70"/>
      <c r="CQ56" s="600"/>
      <c r="CR56" s="1173" t="s">
        <v>219</v>
      </c>
      <c r="CS56" s="35" t="e">
        <f t="shared" ca="1" si="131"/>
        <v>#REF!</v>
      </c>
      <c r="CT56" s="6" t="e">
        <f t="shared" ca="1" si="125"/>
        <v>#REF!</v>
      </c>
      <c r="CU56" s="37"/>
      <c r="CV56" s="70"/>
      <c r="CW56" s="70"/>
      <c r="CX56" s="600"/>
      <c r="CY56" s="600"/>
      <c r="CZ56" s="600"/>
      <c r="DA56" s="1173" t="s">
        <v>219</v>
      </c>
      <c r="DB56" s="35" t="e">
        <f t="shared" ref="DB56:DC56" ca="1" si="134">DB66</f>
        <v>#REF!</v>
      </c>
      <c r="DC56" s="6" t="e">
        <f t="shared" ca="1" si="134"/>
        <v>#REF!</v>
      </c>
      <c r="DD56" s="37"/>
      <c r="DE56" s="70"/>
      <c r="DF56" s="70"/>
      <c r="DG56" s="600"/>
      <c r="DH56" s="600"/>
      <c r="DI56" s="600"/>
      <c r="DJ56" s="600"/>
      <c r="DK56" s="600"/>
      <c r="DL56" s="600"/>
      <c r="DM56" s="600"/>
      <c r="DN56" s="600"/>
      <c r="DO56" s="600"/>
      <c r="DP56" s="600"/>
      <c r="DQ56" s="600"/>
      <c r="DR56" s="600"/>
      <c r="DS56" s="600"/>
      <c r="DT56" s="600"/>
      <c r="DU56" s="600"/>
      <c r="DV56" s="600"/>
      <c r="DW56" s="600"/>
      <c r="DX56" s="600"/>
      <c r="DY56" s="600"/>
      <c r="DZ56" s="600"/>
      <c r="EA56" s="600"/>
      <c r="EB56" s="600"/>
      <c r="EC56" s="600"/>
      <c r="ED56" s="600"/>
      <c r="EE56" s="600"/>
      <c r="EF56" s="600"/>
      <c r="EG56" s="600"/>
      <c r="EH56" s="600"/>
      <c r="EI56" s="600"/>
      <c r="EJ56" s="600"/>
      <c r="EK56" s="600"/>
      <c r="EL56" s="600"/>
      <c r="EM56" s="600"/>
      <c r="EN56" s="600"/>
      <c r="EO56" s="600"/>
      <c r="EP56" s="600"/>
      <c r="EQ56" s="600"/>
      <c r="ER56" s="600"/>
      <c r="ES56" s="600"/>
      <c r="ET56" s="600"/>
      <c r="EU56" s="600"/>
      <c r="EV56" s="600"/>
      <c r="EW56" s="600"/>
      <c r="EX56" s="600"/>
      <c r="EY56" s="600"/>
      <c r="EZ56" s="600"/>
    </row>
    <row r="57" spans="1:156" s="2" customFormat="1" outlineLevel="1">
      <c r="A57" s="1173" t="s">
        <v>220</v>
      </c>
      <c r="B57" s="35">
        <f t="shared" ca="1" si="132"/>
        <v>0</v>
      </c>
      <c r="C57" s="6">
        <f t="shared" ca="1" si="132"/>
        <v>0</v>
      </c>
      <c r="D57" s="34"/>
      <c r="E57" s="94" t="e">
        <f t="shared" ca="1" si="128"/>
        <v>#DIV/0!</v>
      </c>
      <c r="F57" s="79"/>
      <c r="G57" s="79"/>
      <c r="H57" s="1173" t="s">
        <v>220</v>
      </c>
      <c r="I57" s="35" t="e">
        <f t="shared" ca="1" si="133"/>
        <v>#REF!</v>
      </c>
      <c r="J57" s="6" t="e">
        <f t="shared" ca="1" si="133"/>
        <v>#REF!</v>
      </c>
      <c r="K57" s="37"/>
      <c r="L57" s="70"/>
      <c r="M57" s="70"/>
      <c r="N57" s="70"/>
      <c r="O57" s="488"/>
      <c r="P57" s="477" t="e">
        <f t="shared" ca="1" si="113"/>
        <v>#REF!</v>
      </c>
      <c r="Q57" s="477">
        <f t="shared" si="114"/>
        <v>0</v>
      </c>
      <c r="R57" s="489">
        <f t="shared" si="115"/>
        <v>0</v>
      </c>
      <c r="S57" s="458" t="str">
        <f t="shared" si="116"/>
        <v>Biomasse solide : 0%</v>
      </c>
      <c r="T57" s="485"/>
      <c r="U57" s="485"/>
      <c r="V57" s="485"/>
      <c r="W57" s="485"/>
      <c r="X57" s="485"/>
      <c r="Y57" s="485"/>
      <c r="Z57" s="485"/>
      <c r="AA57" s="485"/>
      <c r="AB57" s="485"/>
      <c r="AC57" s="485"/>
      <c r="AD57" s="1118"/>
      <c r="AE57" s="1173" t="s">
        <v>220</v>
      </c>
      <c r="AF57" s="35" t="e">
        <f ca="1">I57</f>
        <v>#REF!</v>
      </c>
      <c r="AG57" s="6"/>
      <c r="AH57" s="37"/>
      <c r="AI57" s="70"/>
      <c r="AJ57" s="70"/>
      <c r="AK57" s="600"/>
      <c r="AL57" s="1173" t="s">
        <v>220</v>
      </c>
      <c r="AM57" s="35"/>
      <c r="AN57" s="6"/>
      <c r="AO57" s="37"/>
      <c r="AP57" s="70"/>
      <c r="AQ57" s="70"/>
      <c r="AR57" s="600"/>
      <c r="AS57" s="600"/>
      <c r="AT57" s="600"/>
      <c r="AU57" s="600"/>
      <c r="AV57" s="600"/>
      <c r="AW57" s="600"/>
      <c r="AX57" s="600"/>
      <c r="AY57" s="600"/>
      <c r="AZ57" s="600"/>
      <c r="BA57" s="600"/>
      <c r="BB57" s="600"/>
      <c r="BC57" s="600"/>
      <c r="BD57" s="600"/>
      <c r="BE57" s="600"/>
      <c r="BF57" s="600"/>
      <c r="BG57" s="600"/>
      <c r="BH57" s="600"/>
      <c r="BI57" s="600"/>
      <c r="BJ57" s="600"/>
      <c r="BK57" s="600"/>
      <c r="BL57" s="600"/>
      <c r="BM57" s="600"/>
      <c r="BN57" s="600"/>
      <c r="BO57" s="600"/>
      <c r="BP57" s="600"/>
      <c r="BQ57" s="600"/>
      <c r="BR57" s="600"/>
      <c r="BS57" s="600"/>
      <c r="BT57" s="600"/>
      <c r="BU57" s="600"/>
      <c r="BV57" s="600"/>
      <c r="BW57" s="600"/>
      <c r="BX57" s="600"/>
      <c r="BY57" s="600"/>
      <c r="BZ57" s="600"/>
      <c r="CA57" s="600"/>
      <c r="CB57" s="600"/>
      <c r="CC57" s="600"/>
      <c r="CD57" s="1173" t="s">
        <v>220</v>
      </c>
      <c r="CE57" s="35" t="e">
        <f t="shared" ca="1" si="129"/>
        <v>#REF!</v>
      </c>
      <c r="CF57" s="6" t="e">
        <f t="shared" ca="1" si="121"/>
        <v>#REF!</v>
      </c>
      <c r="CG57" s="37">
        <f t="shared" si="122"/>
        <v>0</v>
      </c>
      <c r="CH57" s="70"/>
      <c r="CI57" s="70"/>
      <c r="CJ57" s="600"/>
      <c r="CK57" s="1173" t="s">
        <v>220</v>
      </c>
      <c r="CL57" s="35"/>
      <c r="CM57" s="6"/>
      <c r="CN57" s="37"/>
      <c r="CO57" s="70"/>
      <c r="CP57" s="70"/>
      <c r="CQ57" s="600"/>
      <c r="CR57" s="1173" t="s">
        <v>220</v>
      </c>
      <c r="CS57" s="35" t="e">
        <f t="shared" ca="1" si="131"/>
        <v>#REF!</v>
      </c>
      <c r="CT57" s="6" t="e">
        <f t="shared" ca="1" si="125"/>
        <v>#REF!</v>
      </c>
      <c r="CU57" s="37"/>
      <c r="CV57" s="70"/>
      <c r="CW57" s="70"/>
      <c r="CX57" s="600"/>
      <c r="CY57" s="600"/>
      <c r="CZ57" s="600"/>
      <c r="DA57" s="1173" t="s">
        <v>220</v>
      </c>
      <c r="DB57" s="35" t="e">
        <f t="shared" ref="DB57:DC57" ca="1" si="135">DB67</f>
        <v>#REF!</v>
      </c>
      <c r="DC57" s="6" t="e">
        <f t="shared" ca="1" si="135"/>
        <v>#REF!</v>
      </c>
      <c r="DD57" s="37"/>
      <c r="DE57" s="70"/>
      <c r="DF57" s="70"/>
      <c r="DG57" s="600"/>
      <c r="DH57" s="600"/>
      <c r="DI57" s="600"/>
      <c r="DJ57" s="600"/>
      <c r="DK57" s="600"/>
      <c r="DL57" s="600"/>
      <c r="DM57" s="600"/>
      <c r="DN57" s="600"/>
      <c r="DO57" s="600"/>
      <c r="DP57" s="600"/>
      <c r="DQ57" s="600"/>
      <c r="DR57" s="600"/>
      <c r="DS57" s="600"/>
      <c r="DT57" s="600"/>
      <c r="DU57" s="600"/>
      <c r="DV57" s="600"/>
      <c r="DW57" s="600"/>
      <c r="DX57" s="600"/>
      <c r="DY57" s="600"/>
      <c r="DZ57" s="600"/>
      <c r="EA57" s="600"/>
      <c r="EB57" s="600"/>
      <c r="EC57" s="600"/>
      <c r="ED57" s="600"/>
      <c r="EE57" s="600"/>
      <c r="EF57" s="600"/>
      <c r="EG57" s="600"/>
      <c r="EH57" s="600"/>
      <c r="EI57" s="600"/>
      <c r="EJ57" s="600"/>
      <c r="EK57" s="600"/>
      <c r="EL57" s="600"/>
      <c r="EM57" s="600"/>
      <c r="EN57" s="600"/>
      <c r="EO57" s="600"/>
      <c r="EP57" s="600"/>
      <c r="EQ57" s="600"/>
      <c r="ER57" s="600"/>
      <c r="ES57" s="600"/>
      <c r="ET57" s="600"/>
      <c r="EU57" s="600"/>
      <c r="EV57" s="600"/>
      <c r="EW57" s="600"/>
      <c r="EX57" s="600"/>
      <c r="EY57" s="600"/>
      <c r="EZ57" s="600"/>
    </row>
    <row r="58" spans="1:156" s="2" customFormat="1" ht="15" outlineLevel="1" thickBot="1">
      <c r="A58" s="1174" t="s">
        <v>221</v>
      </c>
      <c r="B58" s="35">
        <f t="shared" ca="1" si="132"/>
        <v>0</v>
      </c>
      <c r="C58" s="6">
        <f t="shared" ca="1" si="132"/>
        <v>0</v>
      </c>
      <c r="D58" s="34"/>
      <c r="E58" s="94" t="e">
        <f t="shared" ca="1" si="128"/>
        <v>#DIV/0!</v>
      </c>
      <c r="F58" s="79"/>
      <c r="G58" s="79"/>
      <c r="H58" s="1174" t="s">
        <v>221</v>
      </c>
      <c r="I58" s="35" t="e">
        <f t="shared" ca="1" si="133"/>
        <v>#REF!</v>
      </c>
      <c r="J58" s="6" t="e">
        <f t="shared" ca="1" si="133"/>
        <v>#REF!</v>
      </c>
      <c r="K58" s="37"/>
      <c r="L58" s="70"/>
      <c r="M58" s="70"/>
      <c r="N58" s="70"/>
      <c r="O58" s="488"/>
      <c r="P58" s="477" t="e">
        <f t="shared" ca="1" si="113"/>
        <v>#REF!</v>
      </c>
      <c r="Q58" s="477">
        <f t="shared" si="114"/>
        <v>0</v>
      </c>
      <c r="R58" s="489">
        <f t="shared" si="115"/>
        <v>0</v>
      </c>
      <c r="S58" s="458" t="str">
        <f t="shared" si="116"/>
        <v>Biogaz : 0%</v>
      </c>
      <c r="T58" s="485"/>
      <c r="U58" s="485"/>
      <c r="V58" s="485"/>
      <c r="W58" s="485"/>
      <c r="X58" s="485"/>
      <c r="Y58" s="485"/>
      <c r="Z58" s="485"/>
      <c r="AA58" s="485"/>
      <c r="AB58" s="485"/>
      <c r="AC58" s="485"/>
      <c r="AD58" s="1118"/>
      <c r="AE58" s="1174" t="s">
        <v>221</v>
      </c>
      <c r="AF58" s="35" t="e">
        <f ca="1">I55+Objectifs!U51*'Potentiel EnR'!B19/1000000</f>
        <v>#REF!</v>
      </c>
      <c r="AG58" s="6"/>
      <c r="AH58" s="37"/>
      <c r="AI58" s="70"/>
      <c r="AJ58" s="70"/>
      <c r="AK58" s="600"/>
      <c r="AL58" s="1174" t="s">
        <v>221</v>
      </c>
      <c r="AM58" s="35" t="e">
        <f ca="1">AF58</f>
        <v>#REF!</v>
      </c>
      <c r="AN58" s="6"/>
      <c r="AO58" s="37"/>
      <c r="AP58" s="70"/>
      <c r="AQ58" s="70"/>
      <c r="AR58" s="600"/>
      <c r="AS58" s="600"/>
      <c r="AT58" s="600"/>
      <c r="AU58" s="600"/>
      <c r="AV58" s="600"/>
      <c r="AW58" s="600"/>
      <c r="AX58" s="600"/>
      <c r="AY58" s="600"/>
      <c r="AZ58" s="600"/>
      <c r="BA58" s="600"/>
      <c r="BB58" s="600"/>
      <c r="BC58" s="600"/>
      <c r="BD58" s="600"/>
      <c r="BE58" s="600"/>
      <c r="BF58" s="600"/>
      <c r="BG58" s="600"/>
      <c r="BH58" s="600"/>
      <c r="BI58" s="600"/>
      <c r="BJ58" s="600"/>
      <c r="BK58" s="600"/>
      <c r="BL58" s="600"/>
      <c r="BM58" s="600"/>
      <c r="BN58" s="600"/>
      <c r="BO58" s="600"/>
      <c r="BP58" s="600"/>
      <c r="BQ58" s="600"/>
      <c r="BR58" s="600"/>
      <c r="BS58" s="600"/>
      <c r="BT58" s="600"/>
      <c r="BU58" s="600"/>
      <c r="BV58" s="600"/>
      <c r="BW58" s="600"/>
      <c r="BX58" s="600"/>
      <c r="BY58" s="600"/>
      <c r="BZ58" s="600"/>
      <c r="CA58" s="600"/>
      <c r="CB58" s="600"/>
      <c r="CC58" s="600"/>
      <c r="CD58" s="1174" t="s">
        <v>221</v>
      </c>
      <c r="CE58" s="35" t="e">
        <f t="shared" ca="1" si="129"/>
        <v>#REF!</v>
      </c>
      <c r="CF58" s="6" t="e">
        <f t="shared" ca="1" si="121"/>
        <v>#REF!</v>
      </c>
      <c r="CG58" s="37">
        <f t="shared" si="122"/>
        <v>0</v>
      </c>
      <c r="CH58" s="70"/>
      <c r="CI58" s="70"/>
      <c r="CJ58" s="600"/>
      <c r="CK58" s="1174" t="s">
        <v>221</v>
      </c>
      <c r="CL58" s="35"/>
      <c r="CM58" s="6"/>
      <c r="CN58" s="37"/>
      <c r="CO58" s="70"/>
      <c r="CP58" s="70"/>
      <c r="CQ58" s="600"/>
      <c r="CR58" s="1174" t="s">
        <v>221</v>
      </c>
      <c r="CS58" s="35" t="e">
        <f t="shared" ca="1" si="131"/>
        <v>#REF!</v>
      </c>
      <c r="CT58" s="6" t="e">
        <f t="shared" ca="1" si="125"/>
        <v>#REF!</v>
      </c>
      <c r="CU58" s="37"/>
      <c r="CV58" s="70"/>
      <c r="CW58" s="70"/>
      <c r="CX58" s="600"/>
      <c r="CY58" s="600"/>
      <c r="CZ58" s="600"/>
      <c r="DA58" s="1174" t="s">
        <v>221</v>
      </c>
      <c r="DB58" s="35" t="e">
        <f t="shared" ref="DB58:DC58" ca="1" si="136">DB68</f>
        <v>#REF!</v>
      </c>
      <c r="DC58" s="6" t="e">
        <f t="shared" ca="1" si="136"/>
        <v>#REF!</v>
      </c>
      <c r="DD58" s="37"/>
      <c r="DE58" s="70"/>
      <c r="DF58" s="70"/>
      <c r="DG58" s="600"/>
      <c r="DH58" s="600"/>
      <c r="DI58" s="600"/>
      <c r="DJ58" s="600"/>
      <c r="DK58" s="600"/>
      <c r="DL58" s="600"/>
      <c r="DM58" s="600"/>
      <c r="DN58" s="600"/>
      <c r="DO58" s="600"/>
      <c r="DP58" s="600"/>
      <c r="DQ58" s="600"/>
      <c r="DR58" s="600"/>
      <c r="DS58" s="600"/>
      <c r="DT58" s="600"/>
      <c r="DU58" s="600"/>
      <c r="DV58" s="600"/>
      <c r="DW58" s="600"/>
      <c r="DX58" s="600"/>
      <c r="DY58" s="600"/>
      <c r="DZ58" s="600"/>
      <c r="EA58" s="600"/>
      <c r="EB58" s="600"/>
      <c r="EC58" s="600"/>
      <c r="ED58" s="600"/>
      <c r="EE58" s="600"/>
      <c r="EF58" s="600"/>
      <c r="EG58" s="600"/>
      <c r="EH58" s="600"/>
      <c r="EI58" s="600"/>
      <c r="EJ58" s="600"/>
      <c r="EK58" s="600"/>
      <c r="EL58" s="600"/>
      <c r="EM58" s="600"/>
      <c r="EN58" s="600"/>
      <c r="EO58" s="600"/>
      <c r="EP58" s="600"/>
      <c r="EQ58" s="600"/>
      <c r="ER58" s="600"/>
      <c r="ES58" s="600"/>
      <c r="ET58" s="600"/>
      <c r="EU58" s="600"/>
      <c r="EV58" s="600"/>
      <c r="EW58" s="600"/>
      <c r="EX58" s="600"/>
      <c r="EY58" s="600"/>
      <c r="EZ58" s="600"/>
    </row>
    <row r="59" spans="1:156" s="2" customFormat="1" ht="15" thickBot="1">
      <c r="A59" s="97" t="s">
        <v>222</v>
      </c>
      <c r="B59" s="1175">
        <f ca="1">SUM(B49:B55)</f>
        <v>0</v>
      </c>
      <c r="C59" s="1175">
        <f ca="1">SUM(C49:C55)</f>
        <v>0</v>
      </c>
      <c r="D59" s="1176">
        <f ca="1">B59+C59</f>
        <v>0</v>
      </c>
      <c r="E59" s="94" t="e">
        <f ca="1">(D59+E17)/$F$20</f>
        <v>#DIV/0!</v>
      </c>
      <c r="F59" s="79" t="e">
        <f ca="1">ROUND(E59*100,0)</f>
        <v>#DIV/0!</v>
      </c>
      <c r="G59" s="98" t="e">
        <f ca="1">A59&amp;" : "&amp;F59&amp;"%"</f>
        <v>#DIV/0!</v>
      </c>
      <c r="H59" s="1177" t="s">
        <v>107</v>
      </c>
      <c r="I59" s="1178" t="e">
        <f ca="1">SUM(I49:I55)</f>
        <v>#REF!</v>
      </c>
      <c r="J59" s="1178" t="e">
        <f ca="1">SUM(J49:J55)</f>
        <v>#REF!</v>
      </c>
      <c r="K59" s="1179" t="e">
        <f ca="1">I59+J59</f>
        <v>#REF!</v>
      </c>
      <c r="L59" s="70"/>
      <c r="M59" s="70"/>
      <c r="N59" s="70"/>
      <c r="O59" s="488"/>
      <c r="P59" s="477" t="e">
        <f ca="1">(K59+L17)/$M$20</f>
        <v>#REF!</v>
      </c>
      <c r="Q59" s="490" t="e">
        <f ca="1">ROUND(P59*100,0)</f>
        <v>#REF!</v>
      </c>
      <c r="R59" s="489" t="e">
        <f ca="1">A59&amp;" : "&amp;Q59&amp;"%"</f>
        <v>#REF!</v>
      </c>
      <c r="S59" s="458"/>
      <c r="T59" s="485"/>
      <c r="U59" s="485"/>
      <c r="V59" s="485"/>
      <c r="W59" s="485"/>
      <c r="X59" s="485"/>
      <c r="Y59" s="485"/>
      <c r="Z59" s="485"/>
      <c r="AA59" s="485"/>
      <c r="AB59" s="485"/>
      <c r="AC59" s="485"/>
      <c r="AD59" s="1118"/>
      <c r="AE59" s="1177" t="s">
        <v>107</v>
      </c>
      <c r="AF59" s="1178" t="e">
        <f ca="1">SUM(AF49:AF55)</f>
        <v>#REF!</v>
      </c>
      <c r="AG59" s="1178" t="e">
        <f ca="1">SUM(AG49:AG55)</f>
        <v>#REF!</v>
      </c>
      <c r="AH59" s="1179" t="e">
        <f ca="1">AF59+AG59</f>
        <v>#REF!</v>
      </c>
      <c r="AI59" s="70"/>
      <c r="AJ59" s="70"/>
      <c r="AK59" s="600"/>
      <c r="AL59" s="1177" t="s">
        <v>107</v>
      </c>
      <c r="AM59" s="1178" t="e">
        <f ca="1">SUM(AM49:AM55)</f>
        <v>#REF!</v>
      </c>
      <c r="AN59" s="1178" t="e">
        <f ca="1">SUM(AN49:AN55)</f>
        <v>#REF!</v>
      </c>
      <c r="AO59" s="1179" t="e">
        <f ca="1">AM59+AN59</f>
        <v>#REF!</v>
      </c>
      <c r="AP59" s="70"/>
      <c r="AQ59" s="70"/>
      <c r="AR59" s="600"/>
      <c r="AS59" s="600"/>
      <c r="AT59" s="600"/>
      <c r="AU59" s="600"/>
      <c r="AV59" s="600"/>
      <c r="AW59" s="600"/>
      <c r="AX59" s="600"/>
      <c r="AY59" s="600"/>
      <c r="AZ59" s="600"/>
      <c r="BA59" s="600"/>
      <c r="BB59" s="600"/>
      <c r="BC59" s="600"/>
      <c r="BD59" s="600"/>
      <c r="BE59" s="600"/>
      <c r="BF59" s="600"/>
      <c r="BG59" s="600"/>
      <c r="BH59" s="600"/>
      <c r="BI59" s="600"/>
      <c r="BJ59" s="600"/>
      <c r="BK59" s="600"/>
      <c r="BL59" s="600"/>
      <c r="BM59" s="600"/>
      <c r="BN59" s="600"/>
      <c r="BO59" s="600"/>
      <c r="BP59" s="600"/>
      <c r="BQ59" s="600"/>
      <c r="BR59" s="600"/>
      <c r="BS59" s="600"/>
      <c r="BT59" s="600"/>
      <c r="BU59" s="600"/>
      <c r="BV59" s="600"/>
      <c r="BW59" s="600"/>
      <c r="BX59" s="600"/>
      <c r="BY59" s="600"/>
      <c r="BZ59" s="600"/>
      <c r="CA59" s="600"/>
      <c r="CB59" s="600"/>
      <c r="CC59" s="600"/>
      <c r="CD59" s="1177" t="s">
        <v>107</v>
      </c>
      <c r="CE59" s="1178" t="e">
        <f t="shared" ca="1" si="129"/>
        <v>#REF!</v>
      </c>
      <c r="CF59" s="1178" t="e">
        <f t="shared" ca="1" si="121"/>
        <v>#REF!</v>
      </c>
      <c r="CG59" s="1179" t="e">
        <f t="shared" ca="1" si="122"/>
        <v>#REF!</v>
      </c>
      <c r="CH59" s="70"/>
      <c r="CI59" s="70"/>
      <c r="CJ59" s="600"/>
      <c r="CK59" s="1177" t="s">
        <v>107</v>
      </c>
      <c r="CL59" s="1178" t="e">
        <f ca="1">SUM(CL49:CL55)</f>
        <v>#REF!</v>
      </c>
      <c r="CM59" s="1178" t="e">
        <f ca="1">SUM(CM49:CM55)</f>
        <v>#REF!</v>
      </c>
      <c r="CN59" s="1179" t="e">
        <f ca="1">CL59+CM59</f>
        <v>#REF!</v>
      </c>
      <c r="CO59" s="70"/>
      <c r="CP59" s="70"/>
      <c r="CQ59" s="600"/>
      <c r="CR59" s="1177" t="s">
        <v>107</v>
      </c>
      <c r="CS59" s="1178" t="e">
        <f ca="1">SUM(CS49:CS55)</f>
        <v>#REF!</v>
      </c>
      <c r="CT59" s="1178" t="e">
        <f ca="1">SUM(CT49:CT55)</f>
        <v>#REF!</v>
      </c>
      <c r="CU59" s="1179" t="e">
        <f ca="1">CS59+CT59</f>
        <v>#REF!</v>
      </c>
      <c r="CV59" s="70"/>
      <c r="CW59" s="70"/>
      <c r="CX59" s="600"/>
      <c r="CY59" s="600"/>
      <c r="CZ59" s="600"/>
      <c r="DA59" s="1177" t="s">
        <v>107</v>
      </c>
      <c r="DB59" s="1178" t="e">
        <f ca="1">SUM(DB49:DB55)</f>
        <v>#REF!</v>
      </c>
      <c r="DC59" s="1178" t="e">
        <f ca="1">SUM(DC49:DC55)</f>
        <v>#REF!</v>
      </c>
      <c r="DD59" s="1179" t="e">
        <f ca="1">DB59+DC59</f>
        <v>#REF!</v>
      </c>
      <c r="DE59" s="70"/>
      <c r="DF59" s="70"/>
      <c r="DG59" s="600"/>
      <c r="DH59" s="600"/>
      <c r="DI59" s="600"/>
      <c r="DJ59" s="600"/>
      <c r="DK59" s="600"/>
      <c r="DL59" s="600"/>
      <c r="DM59" s="600"/>
      <c r="DN59" s="600"/>
      <c r="DO59" s="600"/>
      <c r="DP59" s="600"/>
      <c r="DQ59" s="600"/>
      <c r="DR59" s="600"/>
      <c r="DS59" s="600"/>
      <c r="DT59" s="600"/>
      <c r="DU59" s="600"/>
      <c r="DV59" s="600"/>
      <c r="DW59" s="600"/>
      <c r="DX59" s="600"/>
      <c r="DY59" s="600"/>
      <c r="DZ59" s="600"/>
      <c r="EA59" s="600"/>
      <c r="EB59" s="600"/>
      <c r="EC59" s="600"/>
      <c r="ED59" s="600"/>
      <c r="EE59" s="600"/>
      <c r="EF59" s="600"/>
      <c r="EG59" s="600"/>
      <c r="EH59" s="600"/>
      <c r="EI59" s="600"/>
      <c r="EJ59" s="600"/>
      <c r="EK59" s="600"/>
      <c r="EL59" s="600"/>
      <c r="EM59" s="600"/>
      <c r="EN59" s="600"/>
      <c r="EO59" s="600"/>
      <c r="EP59" s="600"/>
      <c r="EQ59" s="600"/>
      <c r="ER59" s="600"/>
      <c r="ES59" s="600"/>
      <c r="ET59" s="600"/>
      <c r="EU59" s="600"/>
      <c r="EV59" s="600"/>
      <c r="EW59" s="600"/>
      <c r="EX59" s="600"/>
      <c r="EY59" s="600"/>
      <c r="EZ59" s="600"/>
    </row>
    <row r="60" spans="1:156" s="2" customFormat="1" ht="15" thickBot="1">
      <c r="A60" s="99" t="s">
        <v>223</v>
      </c>
      <c r="B60" s="79"/>
      <c r="C60" s="79"/>
      <c r="D60" s="393">
        <f ca="1">F20-D59-E17</f>
        <v>0</v>
      </c>
      <c r="E60" s="94" t="e">
        <f t="shared" ca="1" si="128"/>
        <v>#DIV/0!</v>
      </c>
      <c r="F60" s="79"/>
      <c r="G60" s="79"/>
      <c r="H60" s="79"/>
      <c r="I60" s="79"/>
      <c r="J60" s="79"/>
      <c r="K60" s="100" t="e">
        <f ca="1">M20-K59-L17</f>
        <v>#REF!</v>
      </c>
      <c r="L60" s="70"/>
      <c r="M60" s="70"/>
      <c r="N60" s="70"/>
      <c r="O60" s="488"/>
      <c r="P60" s="477" t="e">
        <f ca="1">K60/$M$20</f>
        <v>#REF!</v>
      </c>
      <c r="Q60" s="477" t="e">
        <f ca="1">IF(D60=0,IF(K60&gt;0,1,0),K60/D60-1)</f>
        <v>#REF!</v>
      </c>
      <c r="R60" s="489" t="e">
        <f t="shared" ref="R60:R74" ca="1" si="137">ROUND(Q60*100,0)</f>
        <v>#REF!</v>
      </c>
      <c r="S60" s="458" t="e">
        <f ca="1">A60&amp;" : "&amp;R60&amp;"%"</f>
        <v>#REF!</v>
      </c>
      <c r="T60" s="485"/>
      <c r="U60" s="485"/>
      <c r="V60" s="485"/>
      <c r="W60" s="485"/>
      <c r="X60" s="485"/>
      <c r="Y60" s="485"/>
      <c r="Z60" s="485"/>
      <c r="AA60" s="485"/>
      <c r="AB60" s="485"/>
      <c r="AC60" s="485"/>
      <c r="AD60" s="1118"/>
      <c r="AE60" s="79"/>
      <c r="AF60" s="79"/>
      <c r="AG60" s="79"/>
      <c r="AH60" s="100" t="e">
        <f ca="1">AJ20-AH59-AI17</f>
        <v>#REF!</v>
      </c>
      <c r="AI60" s="70"/>
      <c r="AJ60" s="70"/>
      <c r="AK60" s="600"/>
      <c r="AL60" s="79"/>
      <c r="AM60" s="79"/>
      <c r="AN60" s="79"/>
      <c r="AO60" s="100" t="e">
        <f ca="1">AQ20-AO59-AP17</f>
        <v>#REF!</v>
      </c>
      <c r="AP60" s="70"/>
      <c r="AQ60" s="70"/>
      <c r="AR60" s="600"/>
      <c r="AS60" s="600"/>
      <c r="AT60" s="600"/>
      <c r="AU60" s="600"/>
      <c r="AV60" s="600"/>
      <c r="AW60" s="600"/>
      <c r="AX60" s="600"/>
      <c r="AY60" s="600"/>
      <c r="AZ60" s="600"/>
      <c r="BA60" s="600"/>
      <c r="BB60" s="600"/>
      <c r="BC60" s="600"/>
      <c r="BD60" s="600"/>
      <c r="BE60" s="600"/>
      <c r="BF60" s="600"/>
      <c r="BG60" s="600"/>
      <c r="BH60" s="600"/>
      <c r="BI60" s="600"/>
      <c r="BJ60" s="600"/>
      <c r="BK60" s="600"/>
      <c r="BL60" s="600"/>
      <c r="BM60" s="600"/>
      <c r="BN60" s="600"/>
      <c r="BO60" s="600"/>
      <c r="BP60" s="600"/>
      <c r="BQ60" s="600"/>
      <c r="BR60" s="600"/>
      <c r="BS60" s="600"/>
      <c r="BT60" s="600"/>
      <c r="BU60" s="600"/>
      <c r="BV60" s="600"/>
      <c r="BW60" s="600"/>
      <c r="BX60" s="600"/>
      <c r="BY60" s="600"/>
      <c r="BZ60" s="600"/>
      <c r="CA60" s="600"/>
      <c r="CB60" s="600"/>
      <c r="CC60" s="600"/>
      <c r="CD60" s="79"/>
      <c r="CE60" s="79"/>
      <c r="CF60" s="79"/>
      <c r="CG60" s="100" t="e">
        <f ca="1">CI20-CG59-CH17</f>
        <v>#REF!</v>
      </c>
      <c r="CH60" s="70"/>
      <c r="CI60" s="70"/>
      <c r="CJ60" s="600"/>
      <c r="CK60" s="79"/>
      <c r="CL60" s="79"/>
      <c r="CM60" s="79"/>
      <c r="CN60" s="100" t="e">
        <f ca="1">CP20-CN59-CO17</f>
        <v>#REF!</v>
      </c>
      <c r="CO60" s="70"/>
      <c r="CP60" s="70"/>
      <c r="CQ60" s="600"/>
      <c r="CR60" s="79"/>
      <c r="CS60" s="79"/>
      <c r="CT60" s="79"/>
      <c r="CU60" s="100" t="e">
        <f ca="1">CW20-CU59-CV17</f>
        <v>#REF!</v>
      </c>
      <c r="CV60" s="70"/>
      <c r="CW60" s="70"/>
      <c r="CX60" s="600"/>
      <c r="CY60" s="600"/>
      <c r="CZ60" s="600"/>
      <c r="DA60" s="79"/>
      <c r="DB60" s="79"/>
      <c r="DC60" s="79"/>
      <c r="DD60" s="100" t="e">
        <f ca="1">DF20-DD59-DE17</f>
        <v>#REF!</v>
      </c>
      <c r="DE60" s="70"/>
      <c r="DF60" s="70"/>
      <c r="DG60" s="600"/>
      <c r="DH60" s="600"/>
      <c r="DI60" s="600"/>
      <c r="DJ60" s="600"/>
      <c r="DK60" s="600"/>
      <c r="DL60" s="600"/>
      <c r="DM60" s="600"/>
      <c r="DN60" s="600"/>
      <c r="DO60" s="600"/>
      <c r="DP60" s="600"/>
      <c r="DQ60" s="600"/>
      <c r="DR60" s="600"/>
      <c r="DS60" s="600"/>
      <c r="DT60" s="600"/>
      <c r="DU60" s="600"/>
      <c r="DV60" s="600"/>
      <c r="DW60" s="600"/>
      <c r="DX60" s="600"/>
      <c r="DY60" s="600"/>
      <c r="DZ60" s="600"/>
      <c r="EA60" s="600"/>
      <c r="EB60" s="600"/>
      <c r="EC60" s="600"/>
      <c r="ED60" s="600"/>
      <c r="EE60" s="600"/>
      <c r="EF60" s="600"/>
      <c r="EG60" s="600"/>
      <c r="EH60" s="600"/>
      <c r="EI60" s="600"/>
      <c r="EJ60" s="600"/>
      <c r="EK60" s="600"/>
      <c r="EL60" s="600"/>
      <c r="EM60" s="600"/>
      <c r="EN60" s="600"/>
      <c r="EO60" s="600"/>
      <c r="EP60" s="600"/>
      <c r="EQ60" s="600"/>
      <c r="ER60" s="600"/>
      <c r="ES60" s="600"/>
      <c r="ET60" s="600"/>
      <c r="EU60" s="600"/>
      <c r="EV60" s="600"/>
      <c r="EW60" s="600"/>
      <c r="EX60" s="600"/>
      <c r="EY60" s="600"/>
      <c r="EZ60" s="600"/>
    </row>
    <row r="61" spans="1:156" s="2" customFormat="1" ht="20.25" customHeight="1" thickBot="1">
      <c r="A61" s="1180" t="s">
        <v>224</v>
      </c>
      <c r="B61" s="1181"/>
      <c r="C61" s="1181"/>
      <c r="D61" s="1182" t="e">
        <f ca="1">((B20-B59-B69-B70-B71-B72)*1000*D62+D73)/B20/1000</f>
        <v>#DIV/0!</v>
      </c>
      <c r="E61" s="70"/>
      <c r="F61" s="101"/>
      <c r="G61" s="70"/>
      <c r="H61" s="1180" t="s">
        <v>224</v>
      </c>
      <c r="I61" s="1181"/>
      <c r="J61" s="1181"/>
      <c r="K61" s="1183" t="e">
        <f ca="1">IF(I59&gt;I20,K73/(I59*1000),((I20-I59-I69-I70-I71-I72)*1000*K62+K73)/I20/1000)</f>
        <v>#REF!</v>
      </c>
      <c r="L61" s="70"/>
      <c r="M61" s="70"/>
      <c r="N61" s="70"/>
      <c r="O61" s="488"/>
      <c r="P61" s="458"/>
      <c r="Q61" s="477" t="e">
        <f ca="1">IF(D61=0,IF(K61&gt;0,1,0),K61/D61-1)</f>
        <v>#DIV/0!</v>
      </c>
      <c r="R61" s="489" t="e">
        <f t="shared" ca="1" si="137"/>
        <v>#DIV/0!</v>
      </c>
      <c r="S61" s="458"/>
      <c r="T61" s="485"/>
      <c r="U61" s="485"/>
      <c r="V61" s="485"/>
      <c r="W61" s="485"/>
      <c r="X61" s="485"/>
      <c r="Y61" s="485"/>
      <c r="Z61" s="485"/>
      <c r="AA61" s="485"/>
      <c r="AB61" s="485"/>
      <c r="AC61" s="485"/>
      <c r="AD61" s="1118"/>
      <c r="AE61" s="1180" t="s">
        <v>224</v>
      </c>
      <c r="AF61" s="1181"/>
      <c r="AG61" s="1181"/>
      <c r="AH61" s="1184" t="e">
        <f ca="1">IF(AF59&gt;AF20,AH73/(AF59*1000),((AF20-AF59-AF69-AF70-AF71-AF72)*1000*AH62+AH73)/AF20/1000)</f>
        <v>#REF!</v>
      </c>
      <c r="AI61" s="70"/>
      <c r="AJ61" s="70"/>
      <c r="AK61" s="600"/>
      <c r="AL61" s="1180" t="s">
        <v>224</v>
      </c>
      <c r="AM61" s="1181"/>
      <c r="AN61" s="1181"/>
      <c r="AO61" s="1184" t="e">
        <f ca="1">IF(AM59&gt;AM20,AO73/(AM59*1000),((AM20-AM59-AM69-AM70-AM71-AM72)*1000*AO62+AO73)/AM20/1000)</f>
        <v>#REF!</v>
      </c>
      <c r="AP61" s="70"/>
      <c r="AQ61" s="70"/>
      <c r="AR61" s="600"/>
      <c r="AS61" s="600"/>
      <c r="AT61" s="600"/>
      <c r="AU61" s="600"/>
      <c r="AV61" s="600"/>
      <c r="AW61" s="600"/>
      <c r="AX61" s="600"/>
      <c r="AY61" s="600"/>
      <c r="AZ61" s="600"/>
      <c r="BA61" s="600"/>
      <c r="BB61" s="600"/>
      <c r="BC61" s="600"/>
      <c r="BD61" s="600"/>
      <c r="BE61" s="600"/>
      <c r="BF61" s="600"/>
      <c r="BG61" s="600"/>
      <c r="BH61" s="600"/>
      <c r="BI61" s="600"/>
      <c r="BJ61" s="600"/>
      <c r="BK61" s="600"/>
      <c r="BL61" s="600"/>
      <c r="BM61" s="600"/>
      <c r="BN61" s="600"/>
      <c r="BO61" s="600"/>
      <c r="BP61" s="600"/>
      <c r="BQ61" s="600"/>
      <c r="BR61" s="600"/>
      <c r="BS61" s="600"/>
      <c r="BT61" s="600"/>
      <c r="BU61" s="600"/>
      <c r="BV61" s="600"/>
      <c r="BW61" s="600"/>
      <c r="BX61" s="600"/>
      <c r="BY61" s="600"/>
      <c r="BZ61" s="600"/>
      <c r="CA61" s="600"/>
      <c r="CB61" s="600"/>
      <c r="CC61" s="600"/>
      <c r="CD61" s="1180" t="s">
        <v>224</v>
      </c>
      <c r="CE61" s="1181"/>
      <c r="CF61" s="1181"/>
      <c r="CG61" s="1182" t="e">
        <f ca="1">IF(CE59&gt;CE20,CG73/(CE59*1000),((CE20-CE59-CE69-CE70-CE71-CE72)*1000*CG62+CG73)/CE20/1000)</f>
        <v>#REF!</v>
      </c>
      <c r="CH61" s="70"/>
      <c r="CI61" s="70"/>
      <c r="CJ61" s="600"/>
      <c r="CK61" s="1180" t="s">
        <v>224</v>
      </c>
      <c r="CL61" s="1181"/>
      <c r="CM61" s="1181"/>
      <c r="CN61" s="1182" t="e">
        <f ca="1">IF(CL59&gt;CL20,CN73/(CL59*1000),((CL20-CL59-CL69-CL70-CL71-CL72)*1000*CN62+CN73)/CL20/1000)</f>
        <v>#REF!</v>
      </c>
      <c r="CO61" s="70"/>
      <c r="CP61" s="70"/>
      <c r="CQ61" s="600"/>
      <c r="CR61" s="1180" t="s">
        <v>224</v>
      </c>
      <c r="CS61" s="1181"/>
      <c r="CT61" s="1181"/>
      <c r="CU61" s="1182" t="e">
        <f ca="1">IF(CS59&gt;CS20,CU73/(CS59*1000),((CS20-CS59-CS69-CS70-CS71-CS72)*1000*CU62+CU73)/CS20/1000)</f>
        <v>#REF!</v>
      </c>
      <c r="CV61" s="70"/>
      <c r="CW61" s="70"/>
      <c r="CX61" s="600"/>
      <c r="CY61" s="600"/>
      <c r="CZ61" s="600"/>
      <c r="DA61" s="1180" t="s">
        <v>224</v>
      </c>
      <c r="DB61" s="1181"/>
      <c r="DC61" s="1181"/>
      <c r="DD61" s="1183" t="e">
        <f ca="1">IF(DB59&gt;DB20,DD73/(DB59*1000),((DB20-DB59-DB69-DB70-DB71-DB72)*1000*DD62+DD73)/DB20/1000)</f>
        <v>#REF!</v>
      </c>
      <c r="DE61" s="70"/>
      <c r="DF61" s="70"/>
      <c r="DG61" s="600"/>
      <c r="DH61" s="600"/>
      <c r="DI61" s="600"/>
      <c r="DJ61" s="600"/>
      <c r="DK61" s="600"/>
      <c r="DL61" s="600"/>
      <c r="DM61" s="600"/>
      <c r="DN61" s="600"/>
      <c r="DO61" s="600"/>
      <c r="DP61" s="600"/>
      <c r="DQ61" s="600"/>
      <c r="DR61" s="600"/>
      <c r="DS61" s="600"/>
      <c r="DT61" s="600"/>
      <c r="DU61" s="600"/>
      <c r="DV61" s="600"/>
      <c r="DW61" s="600"/>
      <c r="DX61" s="600"/>
      <c r="DY61" s="600"/>
      <c r="DZ61" s="600"/>
      <c r="EA61" s="600"/>
      <c r="EB61" s="600"/>
      <c r="EC61" s="600"/>
      <c r="ED61" s="600"/>
      <c r="EE61" s="600"/>
      <c r="EF61" s="600"/>
      <c r="EG61" s="600"/>
      <c r="EH61" s="600"/>
      <c r="EI61" s="600"/>
      <c r="EJ61" s="600"/>
      <c r="EK61" s="600"/>
      <c r="EL61" s="600"/>
      <c r="EM61" s="600"/>
      <c r="EN61" s="600"/>
      <c r="EO61" s="600"/>
      <c r="EP61" s="600"/>
      <c r="EQ61" s="600"/>
      <c r="ER61" s="600"/>
      <c r="ES61" s="600"/>
      <c r="ET61" s="600"/>
      <c r="EU61" s="600"/>
      <c r="EV61" s="600"/>
      <c r="EW61" s="600"/>
      <c r="EX61" s="600"/>
      <c r="EY61" s="600"/>
      <c r="EZ61" s="600"/>
    </row>
    <row r="62" spans="1:156" s="2" customFormat="1" ht="15" thickBot="1">
      <c r="A62" s="1180" t="s">
        <v>225</v>
      </c>
      <c r="B62" s="1181"/>
      <c r="C62" s="1181"/>
      <c r="D62" s="1183">
        <f>HLOOKUP(B47,Hypothèses!B21:O22,2,0)</f>
        <v>0.27400000000000002</v>
      </c>
      <c r="E62" s="70"/>
      <c r="F62" s="101"/>
      <c r="G62" s="70"/>
      <c r="H62" s="1180" t="s">
        <v>225</v>
      </c>
      <c r="I62" s="1181"/>
      <c r="J62" s="1181"/>
      <c r="K62" s="1185" t="e">
        <f>HLOOKUP(I47,Hypothèses!B21:Q22,2,0)</f>
        <v>#N/A</v>
      </c>
      <c r="L62" s="70"/>
      <c r="M62" s="70"/>
      <c r="N62" s="70"/>
      <c r="O62" s="488"/>
      <c r="P62" s="480" t="e">
        <f ca="1">E17/F20</f>
        <v>#DIV/0!</v>
      </c>
      <c r="Q62" s="480">
        <v>1</v>
      </c>
      <c r="R62" s="491">
        <f t="shared" si="137"/>
        <v>100</v>
      </c>
      <c r="S62" s="470" t="str">
        <f>"Biocarburants: "&amp;R62&amp;"%"</f>
        <v>Biocarburants: 100%</v>
      </c>
      <c r="T62" s="485"/>
      <c r="U62" s="485"/>
      <c r="V62" s="485"/>
      <c r="W62" s="485"/>
      <c r="X62" s="485"/>
      <c r="Y62" s="485"/>
      <c r="Z62" s="485"/>
      <c r="AA62" s="485"/>
      <c r="AB62" s="485"/>
      <c r="AC62" s="485"/>
      <c r="AD62" s="1118"/>
      <c r="AE62" s="1180" t="s">
        <v>225</v>
      </c>
      <c r="AF62" s="1181"/>
      <c r="AG62" s="1181"/>
      <c r="AH62" s="1186" t="e">
        <f>K62</f>
        <v>#N/A</v>
      </c>
      <c r="AI62" s="70"/>
      <c r="AJ62" s="70"/>
      <c r="AK62" s="600"/>
      <c r="AL62" s="1180" t="s">
        <v>225</v>
      </c>
      <c r="AM62" s="1181"/>
      <c r="AN62" s="1181"/>
      <c r="AO62" s="1185" t="e">
        <f>AH62</f>
        <v>#N/A</v>
      </c>
      <c r="AP62" s="70"/>
      <c r="AQ62" s="70"/>
      <c r="AR62" s="600"/>
      <c r="AS62" s="600"/>
      <c r="AT62" s="600"/>
      <c r="AU62" s="600"/>
      <c r="AV62" s="600"/>
      <c r="AW62" s="600"/>
      <c r="AX62" s="600"/>
      <c r="AY62" s="600"/>
      <c r="AZ62" s="600"/>
      <c r="BA62" s="600"/>
      <c r="BB62" s="600"/>
      <c r="BC62" s="600"/>
      <c r="BD62" s="600"/>
      <c r="BE62" s="600"/>
      <c r="BF62" s="600"/>
      <c r="BG62" s="600"/>
      <c r="BH62" s="600"/>
      <c r="BI62" s="600"/>
      <c r="BJ62" s="600"/>
      <c r="BK62" s="600"/>
      <c r="BL62" s="600"/>
      <c r="BM62" s="600"/>
      <c r="BN62" s="600"/>
      <c r="BO62" s="600"/>
      <c r="BP62" s="600"/>
      <c r="BQ62" s="600"/>
      <c r="BR62" s="600"/>
      <c r="BS62" s="600"/>
      <c r="BT62" s="600"/>
      <c r="BU62" s="600"/>
      <c r="BV62" s="600"/>
      <c r="BW62" s="600"/>
      <c r="BX62" s="600"/>
      <c r="BY62" s="600"/>
      <c r="BZ62" s="600"/>
      <c r="CA62" s="600"/>
      <c r="CB62" s="600"/>
      <c r="CC62" s="600"/>
      <c r="CD62" s="1180" t="s">
        <v>225</v>
      </c>
      <c r="CE62" s="1181"/>
      <c r="CF62" s="1181"/>
      <c r="CG62" s="1185" t="e">
        <f t="shared" ref="CG62" si="138">K62</f>
        <v>#N/A</v>
      </c>
      <c r="CH62" s="70"/>
      <c r="CI62" s="70"/>
      <c r="CJ62" s="600"/>
      <c r="CK62" s="1180" t="s">
        <v>225</v>
      </c>
      <c r="CL62" s="1181"/>
      <c r="CM62" s="1181"/>
      <c r="CN62" s="1185">
        <v>0.26200000000000001</v>
      </c>
      <c r="CO62" s="70"/>
      <c r="CP62" s="70"/>
      <c r="CQ62" s="600"/>
      <c r="CR62" s="1180" t="s">
        <v>225</v>
      </c>
      <c r="CS62" s="1181"/>
      <c r="CT62" s="1181"/>
      <c r="CU62" s="1185">
        <v>0.26200000000000001</v>
      </c>
      <c r="CV62" s="70"/>
      <c r="CW62" s="70"/>
      <c r="CX62" s="600"/>
      <c r="CY62" s="600"/>
      <c r="CZ62" s="600"/>
      <c r="DA62" s="1180" t="s">
        <v>225</v>
      </c>
      <c r="DB62" s="1181"/>
      <c r="DC62" s="1181"/>
      <c r="DD62" s="1185" t="e">
        <f>HLOOKUP(DB47,Hypothèses!B21:O22,2,0)</f>
        <v>#N/A</v>
      </c>
      <c r="DE62" s="70"/>
      <c r="DF62" s="70"/>
      <c r="DG62" s="600"/>
      <c r="DH62" s="600"/>
      <c r="DI62" s="600"/>
      <c r="DJ62" s="600"/>
      <c r="DK62" s="600"/>
      <c r="DL62" s="600"/>
      <c r="DM62" s="600"/>
      <c r="DN62" s="600"/>
      <c r="DO62" s="600"/>
      <c r="DP62" s="600"/>
      <c r="DQ62" s="600"/>
      <c r="DR62" s="600"/>
      <c r="DS62" s="600"/>
      <c r="DT62" s="600"/>
      <c r="DU62" s="600"/>
      <c r="DV62" s="600"/>
      <c r="DW62" s="600"/>
      <c r="DX62" s="600"/>
      <c r="DY62" s="600"/>
      <c r="DZ62" s="600"/>
      <c r="EA62" s="600"/>
      <c r="EB62" s="600"/>
      <c r="EC62" s="600"/>
      <c r="ED62" s="600"/>
      <c r="EE62" s="600"/>
      <c r="EF62" s="600"/>
      <c r="EG62" s="600"/>
      <c r="EH62" s="600"/>
      <c r="EI62" s="600"/>
      <c r="EJ62" s="600"/>
      <c r="EK62" s="600"/>
      <c r="EL62" s="600"/>
      <c r="EM62" s="600"/>
      <c r="EN62" s="600"/>
      <c r="EO62" s="600"/>
      <c r="EP62" s="600"/>
      <c r="EQ62" s="600"/>
      <c r="ER62" s="600"/>
      <c r="ES62" s="600"/>
      <c r="ET62" s="600"/>
      <c r="EU62" s="600"/>
      <c r="EV62" s="600"/>
      <c r="EW62" s="600"/>
      <c r="EX62" s="600"/>
      <c r="EY62" s="600"/>
      <c r="EZ62" s="600"/>
    </row>
    <row r="63" spans="1:156" s="2" customFormat="1" hidden="1" outlineLevel="1">
      <c r="A63" s="87"/>
      <c r="B63" s="1187"/>
      <c r="C63" s="1187"/>
      <c r="D63" s="1188"/>
      <c r="E63" s="70"/>
      <c r="F63" s="101"/>
      <c r="G63" s="70"/>
      <c r="H63" s="87"/>
      <c r="I63" s="1187"/>
      <c r="J63" s="1187"/>
      <c r="K63" s="1188"/>
      <c r="L63" s="70"/>
      <c r="M63" s="70"/>
      <c r="N63" s="70"/>
      <c r="O63" s="488"/>
      <c r="P63" s="470"/>
      <c r="Q63" s="480"/>
      <c r="R63" s="491"/>
      <c r="S63" s="470"/>
      <c r="T63" s="485"/>
      <c r="U63" s="485"/>
      <c r="V63" s="485"/>
      <c r="W63" s="485"/>
      <c r="X63" s="485"/>
      <c r="Y63" s="485"/>
      <c r="Z63" s="485"/>
      <c r="AA63" s="485"/>
      <c r="AB63" s="485"/>
      <c r="AC63" s="485"/>
      <c r="AD63" s="1118"/>
      <c r="AE63" s="87"/>
      <c r="AF63" s="1187"/>
      <c r="AG63" s="1187"/>
      <c r="AH63" s="1188"/>
      <c r="AI63" s="70"/>
      <c r="AJ63" s="70"/>
      <c r="AK63" s="600"/>
      <c r="AL63" s="87"/>
      <c r="AM63" s="1187"/>
      <c r="AN63" s="1187"/>
      <c r="AO63" s="1188"/>
      <c r="AP63" s="70"/>
      <c r="AQ63" s="7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87"/>
      <c r="CE63" s="1187"/>
      <c r="CF63" s="1187"/>
      <c r="CG63" s="1188"/>
      <c r="CH63" s="70"/>
      <c r="CI63" s="70"/>
      <c r="CJ63" s="600"/>
      <c r="CK63" s="87"/>
      <c r="CL63" s="1187"/>
      <c r="CM63" s="1187"/>
      <c r="CN63" s="1188"/>
      <c r="CO63" s="70"/>
      <c r="CP63" s="70"/>
      <c r="CQ63" s="600"/>
      <c r="CR63" s="87"/>
      <c r="CS63" s="1187"/>
      <c r="CT63" s="1187"/>
      <c r="CU63" s="1188"/>
      <c r="CV63" s="70"/>
      <c r="CW63" s="70"/>
      <c r="CX63" s="600"/>
      <c r="CY63" s="600"/>
      <c r="CZ63" s="600"/>
      <c r="DA63" s="87"/>
      <c r="DB63" s="1187"/>
      <c r="DC63" s="1187"/>
      <c r="DD63" s="1188"/>
      <c r="DE63" s="70"/>
      <c r="DF63" s="70"/>
      <c r="DG63" s="600"/>
      <c r="DH63" s="600"/>
      <c r="DI63" s="600"/>
      <c r="DJ63" s="600"/>
      <c r="DK63" s="600"/>
      <c r="DL63" s="600"/>
      <c r="DM63" s="600"/>
      <c r="DN63" s="600"/>
      <c r="DO63" s="600"/>
      <c r="DP63" s="600"/>
      <c r="DQ63" s="600"/>
      <c r="DR63" s="600"/>
      <c r="DS63" s="600"/>
      <c r="DT63" s="600"/>
      <c r="DU63" s="600"/>
      <c r="DV63" s="600"/>
      <c r="DW63" s="600"/>
      <c r="DX63" s="600"/>
      <c r="DY63" s="600"/>
      <c r="DZ63" s="600"/>
      <c r="EA63" s="600"/>
      <c r="EB63" s="600"/>
      <c r="EC63" s="600"/>
      <c r="ED63" s="600"/>
      <c r="EE63" s="600"/>
      <c r="EF63" s="600"/>
      <c r="EG63" s="600"/>
      <c r="EH63" s="600"/>
      <c r="EI63" s="600"/>
      <c r="EJ63" s="600"/>
      <c r="EK63" s="600"/>
      <c r="EL63" s="600"/>
      <c r="EM63" s="600"/>
      <c r="EN63" s="600"/>
      <c r="EO63" s="600"/>
      <c r="EP63" s="600"/>
      <c r="EQ63" s="600"/>
      <c r="ER63" s="600"/>
      <c r="ES63" s="600"/>
      <c r="ET63" s="600"/>
      <c r="EU63" s="600"/>
      <c r="EV63" s="600"/>
      <c r="EW63" s="600"/>
      <c r="EX63" s="600"/>
      <c r="EY63" s="600"/>
      <c r="EZ63" s="600"/>
    </row>
    <row r="64" spans="1:156" s="2" customFormat="1" hidden="1" outlineLevel="1">
      <c r="A64" s="465" t="s">
        <v>226</v>
      </c>
      <c r="B64" s="1189"/>
      <c r="C64" s="1189"/>
      <c r="D64" s="1190"/>
      <c r="E64" s="485"/>
      <c r="F64" s="512"/>
      <c r="G64" s="485"/>
      <c r="H64" s="465"/>
      <c r="I64" s="1189"/>
      <c r="J64" s="1189"/>
      <c r="K64" s="1190"/>
      <c r="L64" s="485"/>
      <c r="M64" s="485"/>
      <c r="N64" s="485"/>
      <c r="O64" s="488"/>
      <c r="P64" s="470"/>
      <c r="Q64" s="480"/>
      <c r="R64" s="491"/>
      <c r="S64" s="470"/>
      <c r="T64" s="485"/>
      <c r="U64" s="485"/>
      <c r="V64" s="485"/>
      <c r="W64" s="485"/>
      <c r="X64" s="485"/>
      <c r="Y64" s="485"/>
      <c r="Z64" s="485"/>
      <c r="AA64" s="485"/>
      <c r="AB64" s="485"/>
      <c r="AC64" s="485"/>
      <c r="AD64" s="1118"/>
      <c r="AE64" s="465"/>
      <c r="AF64" s="1189"/>
      <c r="AG64" s="1189"/>
      <c r="AH64" s="1190"/>
      <c r="AI64" s="485"/>
      <c r="AJ64" s="485"/>
      <c r="AK64" s="600"/>
      <c r="AL64" s="465"/>
      <c r="AM64" s="1189"/>
      <c r="AN64" s="1189"/>
      <c r="AO64" s="1190"/>
      <c r="AP64" s="485"/>
      <c r="AQ64" s="485"/>
      <c r="AR64" s="600"/>
      <c r="AS64" s="600"/>
      <c r="AT64" s="600"/>
      <c r="AU64" s="600"/>
      <c r="AV64" s="600"/>
      <c r="AW64" s="600"/>
      <c r="AX64" s="600"/>
      <c r="AY64" s="600"/>
      <c r="AZ64" s="600"/>
      <c r="BA64" s="600"/>
      <c r="BB64" s="600"/>
      <c r="BC64" s="600"/>
      <c r="BD64" s="600"/>
      <c r="BE64" s="600"/>
      <c r="BF64" s="600"/>
      <c r="BG64" s="600"/>
      <c r="BH64" s="600"/>
      <c r="BI64" s="600"/>
      <c r="BJ64" s="600"/>
      <c r="BK64" s="600"/>
      <c r="BL64" s="600"/>
      <c r="BM64" s="600"/>
      <c r="BN64" s="600"/>
      <c r="BO64" s="600"/>
      <c r="BP64" s="600"/>
      <c r="BQ64" s="600"/>
      <c r="BR64" s="600"/>
      <c r="BS64" s="600"/>
      <c r="BT64" s="600"/>
      <c r="BU64" s="600"/>
      <c r="BV64" s="600"/>
      <c r="BW64" s="600"/>
      <c r="BX64" s="600"/>
      <c r="BY64" s="600"/>
      <c r="BZ64" s="600"/>
      <c r="CA64" s="600"/>
      <c r="CB64" s="600"/>
      <c r="CC64" s="600"/>
      <c r="CD64" s="465"/>
      <c r="CE64" s="1189"/>
      <c r="CF64" s="1189"/>
      <c r="CG64" s="1190"/>
      <c r="CH64" s="485"/>
      <c r="CI64" s="485"/>
      <c r="CJ64" s="600"/>
      <c r="CK64" s="465"/>
      <c r="CL64" s="1189"/>
      <c r="CM64" s="1189"/>
      <c r="CN64" s="1190"/>
      <c r="CO64" s="485"/>
      <c r="CP64" s="485"/>
      <c r="CQ64" s="600"/>
      <c r="CR64" s="465"/>
      <c r="CS64" s="1189"/>
      <c r="CT64" s="1189"/>
      <c r="CU64" s="1190"/>
      <c r="CV64" s="485"/>
      <c r="CW64" s="485"/>
      <c r="CX64" s="600"/>
      <c r="CY64" s="600"/>
      <c r="CZ64" s="600"/>
      <c r="DA64" s="465"/>
      <c r="DB64" s="1189"/>
      <c r="DC64" s="1189"/>
      <c r="DD64" s="1190"/>
      <c r="DE64" s="485"/>
      <c r="DF64" s="485"/>
      <c r="DG64" s="600"/>
      <c r="DH64" s="600"/>
      <c r="DI64" s="600"/>
      <c r="DJ64" s="600"/>
      <c r="DK64" s="600"/>
      <c r="DL64" s="600"/>
      <c r="DM64" s="600"/>
      <c r="DN64" s="600"/>
      <c r="DO64" s="600"/>
      <c r="DP64" s="600"/>
      <c r="DQ64" s="600"/>
      <c r="DR64" s="600"/>
      <c r="DS64" s="600"/>
      <c r="DT64" s="600"/>
      <c r="DU64" s="600"/>
      <c r="DV64" s="600"/>
      <c r="DW64" s="600"/>
      <c r="DX64" s="600"/>
      <c r="DY64" s="600"/>
      <c r="DZ64" s="600"/>
      <c r="EA64" s="600"/>
      <c r="EB64" s="600"/>
      <c r="EC64" s="600"/>
      <c r="ED64" s="600"/>
      <c r="EE64" s="600"/>
      <c r="EF64" s="600"/>
      <c r="EG64" s="600"/>
      <c r="EH64" s="600"/>
      <c r="EI64" s="600"/>
      <c r="EJ64" s="600"/>
      <c r="EK64" s="600"/>
      <c r="EL64" s="600"/>
      <c r="EM64" s="600"/>
      <c r="EN64" s="600"/>
      <c r="EO64" s="600"/>
      <c r="EP64" s="600"/>
      <c r="EQ64" s="600"/>
      <c r="ER64" s="600"/>
      <c r="ES64" s="600"/>
      <c r="ET64" s="600"/>
      <c r="EU64" s="600"/>
      <c r="EV64" s="600"/>
      <c r="EW64" s="600"/>
      <c r="EX64" s="600"/>
      <c r="EY64" s="600"/>
      <c r="EZ64" s="600"/>
    </row>
    <row r="65" spans="1:156" s="2" customFormat="1" ht="28.8" hidden="1" outlineLevel="1">
      <c r="A65" s="513"/>
      <c r="B65" s="514" t="s">
        <v>227</v>
      </c>
      <c r="C65" s="514" t="s">
        <v>228</v>
      </c>
      <c r="D65" s="514" t="s">
        <v>184</v>
      </c>
      <c r="E65" s="515" t="s">
        <v>229</v>
      </c>
      <c r="F65" s="516"/>
      <c r="G65" s="516"/>
      <c r="H65" s="470"/>
      <c r="I65" s="514" t="s">
        <v>227</v>
      </c>
      <c r="J65" s="514" t="s">
        <v>228</v>
      </c>
      <c r="K65" s="514" t="s">
        <v>184</v>
      </c>
      <c r="L65" s="485" t="s">
        <v>229</v>
      </c>
      <c r="M65" s="485"/>
      <c r="N65" s="485"/>
      <c r="O65" s="488"/>
      <c r="P65" s="492"/>
      <c r="Q65" s="493" t="s">
        <v>230</v>
      </c>
      <c r="R65" s="494" t="s">
        <v>169</v>
      </c>
      <c r="S65" s="495" t="s">
        <v>170</v>
      </c>
      <c r="T65" s="485"/>
      <c r="U65" s="485"/>
      <c r="V65" s="485"/>
      <c r="W65" s="485"/>
      <c r="X65" s="485"/>
      <c r="Y65" s="485"/>
      <c r="Z65" s="485"/>
      <c r="AA65" s="485"/>
      <c r="AB65" s="485"/>
      <c r="AC65" s="485"/>
      <c r="AD65" s="1118"/>
      <c r="AE65" s="470"/>
      <c r="AF65" s="514" t="s">
        <v>227</v>
      </c>
      <c r="AG65" s="514" t="s">
        <v>228</v>
      </c>
      <c r="AH65" s="514" t="s">
        <v>184</v>
      </c>
      <c r="AI65" s="485" t="s">
        <v>229</v>
      </c>
      <c r="AJ65" s="485"/>
      <c r="AK65" s="600"/>
      <c r="AL65" s="470"/>
      <c r="AM65" s="514" t="s">
        <v>227</v>
      </c>
      <c r="AN65" s="514" t="s">
        <v>228</v>
      </c>
      <c r="AO65" s="514" t="s">
        <v>184</v>
      </c>
      <c r="AP65" s="485" t="s">
        <v>229</v>
      </c>
      <c r="AQ65" s="485"/>
      <c r="AR65" s="600"/>
      <c r="AS65" s="600"/>
      <c r="AT65" s="600"/>
      <c r="AU65" s="600"/>
      <c r="AV65" s="600"/>
      <c r="AW65" s="600"/>
      <c r="AX65" s="600"/>
      <c r="AY65" s="600"/>
      <c r="AZ65" s="600"/>
      <c r="BA65" s="600"/>
      <c r="BB65" s="600"/>
      <c r="BC65" s="600"/>
      <c r="BD65" s="600"/>
      <c r="BE65" s="600"/>
      <c r="BF65" s="600"/>
      <c r="BG65" s="600"/>
      <c r="BH65" s="600"/>
      <c r="BI65" s="600"/>
      <c r="BJ65" s="600"/>
      <c r="BK65" s="600"/>
      <c r="BL65" s="600"/>
      <c r="BM65" s="600"/>
      <c r="BN65" s="600"/>
      <c r="BO65" s="600"/>
      <c r="BP65" s="600"/>
      <c r="BQ65" s="600"/>
      <c r="BR65" s="600"/>
      <c r="BS65" s="600"/>
      <c r="BT65" s="600"/>
      <c r="BU65" s="600"/>
      <c r="BV65" s="600"/>
      <c r="BW65" s="600"/>
      <c r="BX65" s="600"/>
      <c r="BY65" s="600"/>
      <c r="BZ65" s="600"/>
      <c r="CA65" s="600"/>
      <c r="CB65" s="600"/>
      <c r="CC65" s="600"/>
      <c r="CD65" s="470"/>
      <c r="CE65" s="514" t="s">
        <v>227</v>
      </c>
      <c r="CF65" s="514" t="s">
        <v>228</v>
      </c>
      <c r="CG65" s="514" t="s">
        <v>184</v>
      </c>
      <c r="CH65" s="485" t="s">
        <v>229</v>
      </c>
      <c r="CI65" s="485"/>
      <c r="CJ65" s="600"/>
      <c r="CK65" s="470"/>
      <c r="CL65" s="514" t="s">
        <v>227</v>
      </c>
      <c r="CM65" s="514" t="s">
        <v>228</v>
      </c>
      <c r="CN65" s="514" t="s">
        <v>184</v>
      </c>
      <c r="CO65" s="485" t="s">
        <v>229</v>
      </c>
      <c r="CP65" s="485"/>
      <c r="CQ65" s="600"/>
      <c r="CR65" s="470"/>
      <c r="CS65" s="514" t="s">
        <v>227</v>
      </c>
      <c r="CT65" s="514" t="s">
        <v>228</v>
      </c>
      <c r="CU65" s="514" t="s">
        <v>184</v>
      </c>
      <c r="CV65" s="485" t="s">
        <v>229</v>
      </c>
      <c r="CW65" s="485"/>
      <c r="CX65" s="600"/>
      <c r="CY65" s="600"/>
      <c r="CZ65" s="600"/>
      <c r="DA65" s="470"/>
      <c r="DB65" s="514" t="s">
        <v>227</v>
      </c>
      <c r="DC65" s="514" t="s">
        <v>228</v>
      </c>
      <c r="DD65" s="514" t="s">
        <v>184</v>
      </c>
      <c r="DE65" s="485" t="s">
        <v>229</v>
      </c>
      <c r="DF65" s="485"/>
      <c r="DG65" s="600"/>
      <c r="DH65" s="600"/>
      <c r="DI65" s="600"/>
      <c r="DJ65" s="600"/>
      <c r="DK65" s="600"/>
      <c r="DL65" s="600"/>
      <c r="DM65" s="600"/>
      <c r="DN65" s="600"/>
      <c r="DO65" s="600"/>
      <c r="DP65" s="600"/>
      <c r="DQ65" s="600"/>
      <c r="DR65" s="600"/>
      <c r="DS65" s="600"/>
      <c r="DT65" s="600"/>
      <c r="DU65" s="600"/>
      <c r="DV65" s="600"/>
      <c r="DW65" s="600"/>
      <c r="DX65" s="600"/>
      <c r="DY65" s="600"/>
      <c r="DZ65" s="600"/>
      <c r="EA65" s="600"/>
      <c r="EB65" s="600"/>
      <c r="EC65" s="600"/>
      <c r="ED65" s="600"/>
      <c r="EE65" s="600"/>
      <c r="EF65" s="600"/>
      <c r="EG65" s="600"/>
      <c r="EH65" s="600"/>
      <c r="EI65" s="600"/>
      <c r="EJ65" s="600"/>
      <c r="EK65" s="600"/>
      <c r="EL65" s="600"/>
      <c r="EM65" s="600"/>
      <c r="EN65" s="600"/>
      <c r="EO65" s="600"/>
      <c r="EP65" s="600"/>
      <c r="EQ65" s="600"/>
      <c r="ER65" s="600"/>
      <c r="ES65" s="600"/>
      <c r="ET65" s="600"/>
      <c r="EU65" s="600"/>
      <c r="EV65" s="600"/>
      <c r="EW65" s="600"/>
      <c r="EX65" s="600"/>
      <c r="EY65" s="600"/>
      <c r="EZ65" s="600"/>
    </row>
    <row r="66" spans="1:156" s="2" customFormat="1" ht="23.4" hidden="1" outlineLevel="1">
      <c r="A66" s="517" t="s">
        <v>219</v>
      </c>
      <c r="B66" s="518">
        <f ca="1">IF($E$66=0,0,SUMIFS(INDIRECT("TabINPUT["&amp;$A$9&amp;"]"),TabINPUT[SECTEUR2],"COGEN hors ETS",TabINPUT[VECTEUR],"Electricité SER")*SUMIFS(INDIRECT("TabINPUT["&amp;$A$9&amp;"]"),TabINPUT[SECTEUR2],"COGEN hors ETS",TabINPUT[VECTEUR],$A66)/E$66)</f>
        <v>0</v>
      </c>
      <c r="C66" s="519">
        <f ca="1">IF($E$66=0,0,SUMIFS(INDIRECT("TabINPUT["&amp;$A$9&amp;"]"),TabINPUT[SECTEUR2],"COGEN hors ETS",TabINPUT[VECTEUR],"Chaleur SER")*SUMIFS(INDIRECT("TabINPUT["&amp;$A$9&amp;"]"),TabINPUT[SECTEUR2],"COGEN hors ETS",TabINPUT[VECTEUR],$A66)/$E$66)</f>
        <v>0</v>
      </c>
      <c r="D66" s="520">
        <f ca="1">B66*0.00090576*1000</f>
        <v>0</v>
      </c>
      <c r="E66" s="515">
        <f ca="1">SUMIFS(INDIRECT("TabINPUT["&amp;$A$9&amp;"]"),TabINPUT[SECTEUR2],"COGEN hors ETS",TabINPUT[VECTEUR],"Total SER")</f>
        <v>0</v>
      </c>
      <c r="F66" s="516"/>
      <c r="G66" s="516"/>
      <c r="H66" s="470"/>
      <c r="I66" s="518" t="e">
        <f ca="1">IF($L$66=0,0,SUMIFS(INDIRECT("TabINPUT["&amp;$H$9&amp;"]"),TabINPUT[SECTEUR2],"COGEN hors ETS",TabINPUT[VECTEUR],"Electricité SER")*SUMIFS(INDIRECT("TabINPUT["&amp;$H$9&amp;"]"),TabINPUT[SECTEUR2],"COGEN hors ETS",TabINPUT[VECTEUR],$A66)/$L$66)</f>
        <v>#REF!</v>
      </c>
      <c r="J66" s="519" t="e">
        <f ca="1">IF($L$66=0,0,SUMIFS(INDIRECT("TabINPUT["&amp;$H$9&amp;"]"),TabINPUT[SECTEUR2],"COGEN hors ETS",TabINPUT[VECTEUR],"Chaleur SER")*SUMIFS(INDIRECT("TabINPUT["&amp;$H$9&amp;"]"),TabINPUT[SECTEUR2],"COGEN hors ETS",TabINPUT[VECTEUR],$A66)/$L$66)</f>
        <v>#REF!</v>
      </c>
      <c r="K66" s="520" t="e">
        <f ca="1">I66*0.00090576*1000</f>
        <v>#REF!</v>
      </c>
      <c r="L66" s="485" t="e">
        <f ca="1">SUMIFS(INDIRECT("TabINPUT["&amp;$H$9&amp;"]"),TabINPUT[SECTEUR2],"COGEN hors ETS",TabINPUT[VECTEUR],"Total SER")</f>
        <v>#REF!</v>
      </c>
      <c r="M66" s="485"/>
      <c r="N66" s="485"/>
      <c r="O66" s="488"/>
      <c r="P66" s="492"/>
      <c r="Q66" s="477" t="e">
        <f t="shared" ref="Q66:Q75" ca="1" si="139">IF(D66=0,IF(K66&gt;0,1,0),K66/D66-1)</f>
        <v>#REF!</v>
      </c>
      <c r="R66" s="489" t="e">
        <f t="shared" ca="1" si="137"/>
        <v>#REF!</v>
      </c>
      <c r="S66" s="458" t="e">
        <f t="shared" ref="S66:S75" ca="1" si="140">A66&amp;" : "&amp;R66&amp;"%"</f>
        <v>#REF!</v>
      </c>
      <c r="T66" s="485"/>
      <c r="U66" s="485"/>
      <c r="V66" s="485"/>
      <c r="W66" s="485"/>
      <c r="X66" s="485"/>
      <c r="Y66" s="485"/>
      <c r="Z66" s="485"/>
      <c r="AA66" s="485"/>
      <c r="AB66" s="485"/>
      <c r="AC66" s="485"/>
      <c r="AD66" s="1118"/>
      <c r="AE66" s="470"/>
      <c r="AF66" s="518" t="e">
        <f ca="1">I66</f>
        <v>#REF!</v>
      </c>
      <c r="AG66" s="519" t="e">
        <f ca="1">J66</f>
        <v>#REF!</v>
      </c>
      <c r="AH66" s="520" t="e">
        <f ca="1">AF66*0.00090576*1000</f>
        <v>#REF!</v>
      </c>
      <c r="AI66" s="485" t="e">
        <f ca="1">SUMIFS(INDIRECT("TabINPUT["&amp;$H$9&amp;"]"),TabINPUT[SECTEUR2],"COGEN hors ETS",TabINPUT[VECTEUR],"Total SER")</f>
        <v>#REF!</v>
      </c>
      <c r="AJ66" s="485"/>
      <c r="AK66" s="600"/>
      <c r="AL66" s="470"/>
      <c r="AM66" s="518" t="e">
        <f ca="1">AF66</f>
        <v>#REF!</v>
      </c>
      <c r="AN66" s="518" t="e">
        <f t="shared" ref="AN66:AO73" ca="1" si="141">AG66</f>
        <v>#REF!</v>
      </c>
      <c r="AO66" s="518" t="e">
        <f t="shared" ca="1" si="141"/>
        <v>#REF!</v>
      </c>
      <c r="AP66" s="485" t="e">
        <f ca="1">AI66</f>
        <v>#REF!</v>
      </c>
      <c r="AQ66" s="485"/>
      <c r="AR66" s="600"/>
      <c r="AS66" s="600"/>
      <c r="AT66" s="600"/>
      <c r="AU66" s="600"/>
      <c r="AV66" s="600"/>
      <c r="AW66" s="600"/>
      <c r="AX66" s="600"/>
      <c r="AY66" s="600"/>
      <c r="AZ66" s="600"/>
      <c r="BA66" s="600"/>
      <c r="BB66" s="600"/>
      <c r="BC66" s="600"/>
      <c r="BD66" s="600"/>
      <c r="BE66" s="600"/>
      <c r="BF66" s="600"/>
      <c r="BG66" s="600"/>
      <c r="BH66" s="600"/>
      <c r="BI66" s="600"/>
      <c r="BJ66" s="600"/>
      <c r="BK66" s="600"/>
      <c r="BL66" s="600"/>
      <c r="BM66" s="600"/>
      <c r="BN66" s="600"/>
      <c r="BO66" s="600"/>
      <c r="BP66" s="600"/>
      <c r="BQ66" s="600"/>
      <c r="BR66" s="600"/>
      <c r="BS66" s="600"/>
      <c r="BT66" s="600"/>
      <c r="BU66" s="600"/>
      <c r="BV66" s="600"/>
      <c r="BW66" s="600"/>
      <c r="BX66" s="600"/>
      <c r="BY66" s="600"/>
      <c r="BZ66" s="600"/>
      <c r="CA66" s="600"/>
      <c r="CB66" s="600"/>
      <c r="CC66" s="600"/>
      <c r="CD66" s="470"/>
      <c r="CE66" s="518">
        <f>BV66</f>
        <v>0</v>
      </c>
      <c r="CF66" s="518">
        <f t="shared" ref="CF66:CF73" si="142">BW66</f>
        <v>0</v>
      </c>
      <c r="CG66" s="518">
        <f t="shared" ref="CG66:CG73" si="143">BX66</f>
        <v>0</v>
      </c>
      <c r="CH66" s="485">
        <f>BY66</f>
        <v>0</v>
      </c>
      <c r="CI66" s="485"/>
      <c r="CJ66" s="600"/>
      <c r="CK66" s="470"/>
      <c r="CL66" s="518" t="e">
        <f ca="1">I66</f>
        <v>#REF!</v>
      </c>
      <c r="CM66" s="519" t="e">
        <f t="shared" ref="CM66:CM75" ca="1" si="144">J66</f>
        <v>#REF!</v>
      </c>
      <c r="CN66" s="520" t="e">
        <f t="shared" ref="CN66:CN75" ca="1" si="145">K66</f>
        <v>#REF!</v>
      </c>
      <c r="CO66" s="485" t="e">
        <f ca="1">L66</f>
        <v>#REF!</v>
      </c>
      <c r="CP66" s="485"/>
      <c r="CQ66" s="600"/>
      <c r="CR66" s="470"/>
      <c r="CS66" s="518">
        <f>P66</f>
        <v>0</v>
      </c>
      <c r="CT66" s="519" t="e">
        <f t="shared" ref="CT66:CT75" ca="1" si="146">Q66</f>
        <v>#REF!</v>
      </c>
      <c r="CU66" s="520" t="e">
        <f t="shared" ref="CU66:CU75" ca="1" si="147">R66</f>
        <v>#REF!</v>
      </c>
      <c r="CV66" s="485" t="e">
        <f ca="1">S66</f>
        <v>#REF!</v>
      </c>
      <c r="CW66" s="485"/>
      <c r="CX66" s="600"/>
      <c r="CY66" s="600"/>
      <c r="CZ66" s="600"/>
      <c r="DA66" s="470"/>
      <c r="DB66" s="518" t="e">
        <f ca="1">IF($L$66=0,0,SUMIFS(INDIRECT("TabINPUT["&amp;$DA$9&amp;"]"),TabINPUT[SECTEUR2],"COGEN hors ETS",TabINPUT[VECTEUR],"Electricité SER")*SUMIFS(INDIRECT("TabINPUT["&amp;$DA$9&amp;"]"),TabINPUT[SECTEUR2],"COGEN hors ETS",TabINPUT[VECTEUR],$A66)/$L$66)</f>
        <v>#REF!</v>
      </c>
      <c r="DC66" s="519" t="e">
        <f ca="1">IF($L$66=0,0,SUMIFS(INDIRECT("TabINPUT["&amp;$DA$9&amp;"]"),TabINPUT[SECTEUR2],"COGEN hors ETS",TabINPUT[VECTEUR],"Chaleur SER")*SUMIFS(INDIRECT("TabINPUT["&amp;$DA$9&amp;"]"),TabINPUT[SECTEUR2],"COGEN hors ETS",TabINPUT[VECTEUR],$A66)/$L$66)</f>
        <v>#REF!</v>
      </c>
      <c r="DD66" s="520" t="e">
        <f ca="1">DB66*0.00090576*1000</f>
        <v>#REF!</v>
      </c>
      <c r="DE66" s="485" t="e">
        <f ca="1">SUMIFS(INDIRECT("TabINPUT["&amp;$H$9&amp;"]"),TabINPUT[SECTEUR2],"COGEN hors ETS",TabINPUT[VECTEUR],"Total SER")</f>
        <v>#REF!</v>
      </c>
      <c r="DF66" s="485"/>
      <c r="DG66" s="600"/>
      <c r="DH66" s="600"/>
      <c r="DI66" s="600"/>
      <c r="DJ66" s="600"/>
      <c r="DK66" s="600"/>
      <c r="DL66" s="600"/>
      <c r="DM66" s="600"/>
      <c r="DN66" s="600"/>
      <c r="DO66" s="600"/>
      <c r="DP66" s="600"/>
      <c r="DQ66" s="600"/>
      <c r="DR66" s="600"/>
      <c r="DS66" s="600"/>
      <c r="DT66" s="600"/>
      <c r="DU66" s="600"/>
      <c r="DV66" s="600"/>
      <c r="DW66" s="600"/>
      <c r="DX66" s="600"/>
      <c r="DY66" s="600"/>
      <c r="DZ66" s="600"/>
      <c r="EA66" s="600"/>
      <c r="EB66" s="600"/>
      <c r="EC66" s="600"/>
      <c r="ED66" s="600"/>
      <c r="EE66" s="600"/>
      <c r="EF66" s="600"/>
      <c r="EG66" s="600"/>
      <c r="EH66" s="600"/>
      <c r="EI66" s="600"/>
      <c r="EJ66" s="600"/>
      <c r="EK66" s="600"/>
      <c r="EL66" s="600"/>
      <c r="EM66" s="600"/>
      <c r="EN66" s="600"/>
      <c r="EO66" s="600"/>
      <c r="EP66" s="600"/>
      <c r="EQ66" s="600"/>
      <c r="ER66" s="600"/>
      <c r="ES66" s="600"/>
      <c r="ET66" s="600"/>
      <c r="EU66" s="600"/>
      <c r="EV66" s="600"/>
      <c r="EW66" s="600"/>
      <c r="EX66" s="600"/>
      <c r="EY66" s="600"/>
      <c r="EZ66" s="600"/>
    </row>
    <row r="67" spans="1:156" s="2" customFormat="1" ht="23.4" hidden="1" outlineLevel="1">
      <c r="A67" s="517" t="s">
        <v>220</v>
      </c>
      <c r="B67" s="518">
        <f ca="1">IF($E$66=0,0,SUMIFS(INDIRECT("TabINPUT["&amp;$A$9&amp;"]"),TabINPUT[SECTEUR2],"COGEN hors ETS",TabINPUT[VECTEUR],"Electricité SER")*SUMIFS(INDIRECT("TabINPUT["&amp;$A$9&amp;"]"),TabINPUT[SECTEUR2],"COGEN hors ETS",TabINPUT[VECTEUR],$A67)/E$66)</f>
        <v>0</v>
      </c>
      <c r="C67" s="519">
        <f ca="1">IF($E$66=0,0,SUMIFS(INDIRECT("TabINPUT["&amp;$A$9&amp;"]"),TabINPUT[SECTEUR2],"COGEN hors ETS",TabINPUT[VECTEUR],"Chaleur SER")*SUMIFS(INDIRECT("TabINPUT["&amp;$A$9&amp;"]"),TabINPUT[SECTEUR2],"COGEN hors ETS",TabINPUT[VECTEUR],$A67)/$E$66)</f>
        <v>0</v>
      </c>
      <c r="D67" s="520">
        <f ca="1">B67*1000*Hypothèses!$B$17</f>
        <v>0</v>
      </c>
      <c r="E67" s="515"/>
      <c r="F67" s="516"/>
      <c r="G67" s="516"/>
      <c r="H67" s="470"/>
      <c r="I67" s="518" t="e">
        <f ca="1">IF($L$66=0,0,SUMIFS(INDIRECT("TabINPUT["&amp;$H$9&amp;"]"),TabINPUT[SECTEUR2],"COGEN hors ETS",TabINPUT[VECTEUR],"Electricité SER")*SUMIFS(INDIRECT("TabINPUT["&amp;$H$9&amp;"]"),TabINPUT[SECTEUR2],"COGEN hors ETS",TabINPUT[VECTEUR],$A67)/$L$66)</f>
        <v>#REF!</v>
      </c>
      <c r="J67" s="519" t="e">
        <f ca="1">IF($L$66=0,0,SUMIFS(INDIRECT("TabINPUT["&amp;$H$9&amp;"]"),TabINPUT[SECTEUR2],"COGEN hors ETS",TabINPUT[VECTEUR],"Chaleur SER")*SUMIFS(INDIRECT("TabINPUT["&amp;$H$9&amp;"]"),TabINPUT[SECTEUR2],"COGEN hors ETS",TabINPUT[VECTEUR],$A67)/$L$66)</f>
        <v>#REF!</v>
      </c>
      <c r="K67" s="520" t="e">
        <f ca="1">I67*1000*Hypothèses!$B$17</f>
        <v>#REF!</v>
      </c>
      <c r="L67" s="485"/>
      <c r="M67" s="485"/>
      <c r="N67" s="485"/>
      <c r="O67" s="488"/>
      <c r="P67" s="492"/>
      <c r="Q67" s="477" t="e">
        <f t="shared" ca="1" si="139"/>
        <v>#REF!</v>
      </c>
      <c r="R67" s="489" t="e">
        <f t="shared" ca="1" si="137"/>
        <v>#REF!</v>
      </c>
      <c r="S67" s="458" t="e">
        <f t="shared" ca="1" si="140"/>
        <v>#REF!</v>
      </c>
      <c r="T67" s="485"/>
      <c r="U67" s="485"/>
      <c r="V67" s="485"/>
      <c r="W67" s="485"/>
      <c r="X67" s="485"/>
      <c r="Y67" s="485"/>
      <c r="Z67" s="485"/>
      <c r="AA67" s="485"/>
      <c r="AB67" s="485"/>
      <c r="AC67" s="485"/>
      <c r="AD67" s="1118"/>
      <c r="AE67" s="470"/>
      <c r="AF67" s="518" t="e">
        <f ca="1">I67</f>
        <v>#REF!</v>
      </c>
      <c r="AG67" s="519" t="e">
        <f t="shared" ref="AG67:AG73" ca="1" si="148">J67</f>
        <v>#REF!</v>
      </c>
      <c r="AH67" s="520" t="e">
        <f ca="1">AF67*1000*Hypothèses!$B$17</f>
        <v>#REF!</v>
      </c>
      <c r="AI67" s="485"/>
      <c r="AJ67" s="485"/>
      <c r="AK67" s="600"/>
      <c r="AL67" s="470"/>
      <c r="AM67" s="518" t="e">
        <f t="shared" ref="AM67:AM75" ca="1" si="149">AF67</f>
        <v>#REF!</v>
      </c>
      <c r="AN67" s="518" t="e">
        <f t="shared" ca="1" si="141"/>
        <v>#REF!</v>
      </c>
      <c r="AO67" s="518" t="e">
        <f t="shared" ca="1" si="141"/>
        <v>#REF!</v>
      </c>
      <c r="AP67" s="485"/>
      <c r="AQ67" s="485"/>
      <c r="AR67" s="600"/>
      <c r="AS67" s="600"/>
      <c r="AT67" s="600"/>
      <c r="AU67" s="600"/>
      <c r="AV67" s="600"/>
      <c r="AW67" s="600"/>
      <c r="AX67" s="600"/>
      <c r="AY67" s="600"/>
      <c r="AZ67" s="600"/>
      <c r="BA67" s="600"/>
      <c r="BB67" s="600"/>
      <c r="BC67" s="600"/>
      <c r="BD67" s="600"/>
      <c r="BE67" s="600"/>
      <c r="BF67" s="600"/>
      <c r="BG67" s="600"/>
      <c r="BH67" s="600"/>
      <c r="BI67" s="600"/>
      <c r="BJ67" s="600"/>
      <c r="BK67" s="600"/>
      <c r="BL67" s="600"/>
      <c r="BM67" s="600"/>
      <c r="BN67" s="600"/>
      <c r="BO67" s="600"/>
      <c r="BP67" s="600"/>
      <c r="BQ67" s="600"/>
      <c r="BR67" s="600"/>
      <c r="BS67" s="600"/>
      <c r="BT67" s="600"/>
      <c r="BU67" s="600"/>
      <c r="BV67" s="600"/>
      <c r="BW67" s="600"/>
      <c r="BX67" s="600"/>
      <c r="BY67" s="600"/>
      <c r="BZ67" s="600"/>
      <c r="CA67" s="600"/>
      <c r="CB67" s="600"/>
      <c r="CC67" s="600"/>
      <c r="CD67" s="470"/>
      <c r="CE67" s="518">
        <f t="shared" ref="CE67:CE75" si="150">BV67</f>
        <v>0</v>
      </c>
      <c r="CF67" s="518">
        <f t="shared" si="142"/>
        <v>0</v>
      </c>
      <c r="CG67" s="518">
        <f t="shared" si="143"/>
        <v>0</v>
      </c>
      <c r="CH67" s="485"/>
      <c r="CI67" s="485"/>
      <c r="CJ67" s="600"/>
      <c r="CK67" s="470"/>
      <c r="CL67" s="518" t="e">
        <f t="shared" ref="CL67:CL75" ca="1" si="151">I67</f>
        <v>#REF!</v>
      </c>
      <c r="CM67" s="519" t="e">
        <f t="shared" ca="1" si="144"/>
        <v>#REF!</v>
      </c>
      <c r="CN67" s="520" t="e">
        <f t="shared" ca="1" si="145"/>
        <v>#REF!</v>
      </c>
      <c r="CO67" s="485"/>
      <c r="CP67" s="485"/>
      <c r="CQ67" s="600"/>
      <c r="CR67" s="470"/>
      <c r="CS67" s="518">
        <f t="shared" ref="CS67:CS75" si="152">P67</f>
        <v>0</v>
      </c>
      <c r="CT67" s="519" t="e">
        <f t="shared" ca="1" si="146"/>
        <v>#REF!</v>
      </c>
      <c r="CU67" s="520" t="e">
        <f t="shared" ca="1" si="147"/>
        <v>#REF!</v>
      </c>
      <c r="CV67" s="485"/>
      <c r="CW67" s="485"/>
      <c r="CX67" s="600"/>
      <c r="CY67" s="600"/>
      <c r="CZ67" s="600"/>
      <c r="DA67" s="470"/>
      <c r="DB67" s="518" t="e">
        <f ca="1">IF($L$66=0,0,SUMIFS(INDIRECT("TabINPUT["&amp;$DA$9&amp;"]"),TabINPUT[SECTEUR2],"COGEN hors ETS",TabINPUT[VECTEUR],"Electricité SER")*SUMIFS(INDIRECT("TabINPUT["&amp;$DA$9&amp;"]"),TabINPUT[SECTEUR2],"COGEN hors ETS",TabINPUT[VECTEUR],$A67)/$L$66)</f>
        <v>#REF!</v>
      </c>
      <c r="DC67" s="519" t="e">
        <f ca="1">IF($L$66=0,0,SUMIFS(INDIRECT("TabINPUT["&amp;$DA$9&amp;"]"),TabINPUT[SECTEUR2],"COGEN hors ETS",TabINPUT[VECTEUR],"Chaleur SER")*SUMIFS(INDIRECT("TabINPUT["&amp;$DA$9&amp;"]"),TabINPUT[SECTEUR2],"COGEN hors ETS",TabINPUT[VECTEUR],$A67)/$L$66)</f>
        <v>#REF!</v>
      </c>
      <c r="DD67" s="520" t="e">
        <f ca="1">DB67*1000*Hypothèses!$B$17</f>
        <v>#REF!</v>
      </c>
      <c r="DE67" s="485"/>
      <c r="DF67" s="485"/>
      <c r="DG67" s="600"/>
      <c r="DH67" s="600"/>
      <c r="DI67" s="600"/>
      <c r="DJ67" s="600"/>
      <c r="DK67" s="600"/>
      <c r="DL67" s="600"/>
      <c r="DM67" s="600"/>
      <c r="DN67" s="600"/>
      <c r="DO67" s="600"/>
      <c r="DP67" s="600"/>
      <c r="DQ67" s="600"/>
      <c r="DR67" s="600"/>
      <c r="DS67" s="600"/>
      <c r="DT67" s="600"/>
      <c r="DU67" s="600"/>
      <c r="DV67" s="600"/>
      <c r="DW67" s="600"/>
      <c r="DX67" s="600"/>
      <c r="DY67" s="600"/>
      <c r="DZ67" s="600"/>
      <c r="EA67" s="600"/>
      <c r="EB67" s="600"/>
      <c r="EC67" s="600"/>
      <c r="ED67" s="600"/>
      <c r="EE67" s="600"/>
      <c r="EF67" s="600"/>
      <c r="EG67" s="600"/>
      <c r="EH67" s="600"/>
      <c r="EI67" s="600"/>
      <c r="EJ67" s="600"/>
      <c r="EK67" s="600"/>
      <c r="EL67" s="600"/>
      <c r="EM67" s="600"/>
      <c r="EN67" s="600"/>
      <c r="EO67" s="600"/>
      <c r="EP67" s="600"/>
      <c r="EQ67" s="600"/>
      <c r="ER67" s="600"/>
      <c r="ES67" s="600"/>
      <c r="ET67" s="600"/>
      <c r="EU67" s="600"/>
      <c r="EV67" s="600"/>
      <c r="EW67" s="600"/>
      <c r="EX67" s="600"/>
      <c r="EY67" s="600"/>
      <c r="EZ67" s="600"/>
    </row>
    <row r="68" spans="1:156" s="2" customFormat="1" ht="23.4" hidden="1" outlineLevel="1">
      <c r="A68" s="517" t="s">
        <v>221</v>
      </c>
      <c r="B68" s="518">
        <f ca="1">IF($E$66=0,0,SUMIFS(INDIRECT("TabINPUT["&amp;$A$9&amp;"]"),TabINPUT[SECTEUR2],"COGEN hors ETS",TabINPUT[VECTEUR],"Electricité SER")*SUMIFS(INDIRECT("TabINPUT["&amp;$A$9&amp;"]"),TabINPUT[SECTEUR2],"COGEN hors ETS",TabINPUT[VECTEUR],$A68)/E$66)</f>
        <v>0</v>
      </c>
      <c r="C68" s="519">
        <f ca="1">IF($E$66=0,0,SUMIFS(INDIRECT("TabINPUT["&amp;$A$9&amp;"]"),TabINPUT[SECTEUR2],"COGEN hors ETS",TabINPUT[VECTEUR],"Chaleur SER")*SUMIFS(INDIRECT("TabINPUT["&amp;$A$9&amp;"]"),TabINPUT[SECTEUR2],"COGEN hors ETS",TabINPUT[VECTEUR],$A68)/$E$66)</f>
        <v>0</v>
      </c>
      <c r="D68" s="520">
        <f ca="1">B68*1000*Hypothèses!$B$19</f>
        <v>0</v>
      </c>
      <c r="E68" s="515" t="s">
        <v>231</v>
      </c>
      <c r="F68" s="516"/>
      <c r="G68" s="516"/>
      <c r="H68" s="470"/>
      <c r="I68" s="518" t="e">
        <f ca="1">IF($L$66=0,0,SUMIFS(INDIRECT("TabINPUT["&amp;$H$9&amp;"]"),TabINPUT[SECTEUR2],"COGEN hors ETS",TabINPUT[VECTEUR],"Electricité SER")*SUMIFS(INDIRECT("TabINPUT["&amp;$H$9&amp;"]"),TabINPUT[SECTEUR2],"COGEN hors ETS",TabINPUT[VECTEUR],$A68)/$L$66)</f>
        <v>#REF!</v>
      </c>
      <c r="J68" s="519" t="e">
        <f ca="1">IF($L$66=0,0,SUMIFS(INDIRECT("TabINPUT["&amp;$H$9&amp;"]"),TabINPUT[SECTEUR2],"COGEN hors ETS",TabINPUT[VECTEUR],"Chaleur SER")*SUMIFS(INDIRECT("TabINPUT["&amp;$H$9&amp;"]"),TabINPUT[SECTEUR2],"COGEN hors ETS",TabINPUT[VECTEUR],$A68)/$L$66)</f>
        <v>#REF!</v>
      </c>
      <c r="K68" s="520" t="e">
        <f ca="1">I68*1000*Hypothèses!$B$19</f>
        <v>#REF!</v>
      </c>
      <c r="L68" s="485" t="s">
        <v>231</v>
      </c>
      <c r="M68" s="485"/>
      <c r="N68" s="485"/>
      <c r="O68" s="488"/>
      <c r="P68" s="492"/>
      <c r="Q68" s="477" t="e">
        <f t="shared" ca="1" si="139"/>
        <v>#REF!</v>
      </c>
      <c r="R68" s="489" t="e">
        <f t="shared" ca="1" si="137"/>
        <v>#REF!</v>
      </c>
      <c r="S68" s="458" t="e">
        <f t="shared" ca="1" si="140"/>
        <v>#REF!</v>
      </c>
      <c r="T68" s="485"/>
      <c r="U68" s="485"/>
      <c r="V68" s="485"/>
      <c r="W68" s="485"/>
      <c r="X68" s="485"/>
      <c r="Y68" s="485"/>
      <c r="Z68" s="485"/>
      <c r="AA68" s="485"/>
      <c r="AB68" s="485"/>
      <c r="AC68" s="485"/>
      <c r="AD68" s="1118"/>
      <c r="AE68" s="470"/>
      <c r="AF68" s="518" t="e">
        <f ca="1">I57+AF55-I55</f>
        <v>#REF!</v>
      </c>
      <c r="AG68" s="519" t="e">
        <f t="shared" ca="1" si="148"/>
        <v>#REF!</v>
      </c>
      <c r="AH68" s="520" t="e">
        <f ca="1">AF68*1000*Hypothèses!$B$19</f>
        <v>#REF!</v>
      </c>
      <c r="AI68" s="485" t="s">
        <v>231</v>
      </c>
      <c r="AJ68" s="485"/>
      <c r="AK68" s="600"/>
      <c r="AL68" s="470"/>
      <c r="AM68" s="518" t="e">
        <f t="shared" ca="1" si="149"/>
        <v>#REF!</v>
      </c>
      <c r="AN68" s="518" t="e">
        <f t="shared" ca="1" si="141"/>
        <v>#REF!</v>
      </c>
      <c r="AO68" s="518" t="e">
        <f t="shared" ca="1" si="141"/>
        <v>#REF!</v>
      </c>
      <c r="AP68" s="485" t="s">
        <v>231</v>
      </c>
      <c r="AQ68" s="485"/>
      <c r="AR68" s="600"/>
      <c r="AS68" s="600"/>
      <c r="AT68" s="600"/>
      <c r="AU68" s="600"/>
      <c r="AV68" s="600"/>
      <c r="AW68" s="600"/>
      <c r="AX68" s="600"/>
      <c r="AY68" s="600"/>
      <c r="AZ68" s="600"/>
      <c r="BA68" s="600"/>
      <c r="BB68" s="600"/>
      <c r="BC68" s="600"/>
      <c r="BD68" s="600"/>
      <c r="BE68" s="600"/>
      <c r="BF68" s="600"/>
      <c r="BG68" s="600"/>
      <c r="BH68" s="600"/>
      <c r="BI68" s="600"/>
      <c r="BJ68" s="600"/>
      <c r="BK68" s="600"/>
      <c r="BL68" s="600"/>
      <c r="BM68" s="600"/>
      <c r="BN68" s="600"/>
      <c r="BO68" s="600"/>
      <c r="BP68" s="600"/>
      <c r="BQ68" s="600"/>
      <c r="BR68" s="600"/>
      <c r="BS68" s="600"/>
      <c r="BT68" s="600"/>
      <c r="BU68" s="600"/>
      <c r="BV68" s="600"/>
      <c r="BW68" s="600"/>
      <c r="BX68" s="600"/>
      <c r="BY68" s="600"/>
      <c r="BZ68" s="600"/>
      <c r="CA68" s="600"/>
      <c r="CB68" s="600"/>
      <c r="CC68" s="600"/>
      <c r="CD68" s="470"/>
      <c r="CE68" s="518">
        <f t="shared" si="150"/>
        <v>0</v>
      </c>
      <c r="CF68" s="518">
        <f t="shared" si="142"/>
        <v>0</v>
      </c>
      <c r="CG68" s="518">
        <f t="shared" si="143"/>
        <v>0</v>
      </c>
      <c r="CH68" s="485" t="s">
        <v>231</v>
      </c>
      <c r="CI68" s="485"/>
      <c r="CJ68" s="600"/>
      <c r="CK68" s="470"/>
      <c r="CL68" s="518" t="e">
        <f t="shared" ca="1" si="151"/>
        <v>#REF!</v>
      </c>
      <c r="CM68" s="519" t="e">
        <f t="shared" ca="1" si="144"/>
        <v>#REF!</v>
      </c>
      <c r="CN68" s="520" t="e">
        <f t="shared" ca="1" si="145"/>
        <v>#REF!</v>
      </c>
      <c r="CO68" s="485" t="s">
        <v>231</v>
      </c>
      <c r="CP68" s="485"/>
      <c r="CQ68" s="600"/>
      <c r="CR68" s="470"/>
      <c r="CS68" s="518">
        <f t="shared" si="152"/>
        <v>0</v>
      </c>
      <c r="CT68" s="519" t="e">
        <f t="shared" ca="1" si="146"/>
        <v>#REF!</v>
      </c>
      <c r="CU68" s="520" t="e">
        <f t="shared" ca="1" si="147"/>
        <v>#REF!</v>
      </c>
      <c r="CV68" s="485" t="s">
        <v>231</v>
      </c>
      <c r="CW68" s="485"/>
      <c r="CX68" s="600"/>
      <c r="CY68" s="600"/>
      <c r="CZ68" s="600"/>
      <c r="DA68" s="470"/>
      <c r="DB68" s="518" t="e">
        <f ca="1">IF($L$66=0,0,SUMIFS(INDIRECT("TabINPUT["&amp;$DA$9&amp;"]"),TabINPUT[SECTEUR2],"COGEN hors ETS",TabINPUT[VECTEUR],"Electricité SER")*SUMIFS(INDIRECT("TabINPUT["&amp;$DA$9&amp;"]"),TabINPUT[SECTEUR2],"COGEN hors ETS",TabINPUT[VECTEUR],$A68)/$L$66)</f>
        <v>#REF!</v>
      </c>
      <c r="DC68" s="519" t="e">
        <f ca="1">IF($L$66=0,0,SUMIFS(INDIRECT("TabINPUT["&amp;$DA$9&amp;"]"),TabINPUT[SECTEUR2],"COGEN hors ETS",TabINPUT[VECTEUR],"Chaleur SER")*SUMIFS(INDIRECT("TabINPUT["&amp;$DA$9&amp;"]"),TabINPUT[SECTEUR2],"COGEN hors ETS",TabINPUT[VECTEUR],$A68)/$L$66)</f>
        <v>#REF!</v>
      </c>
      <c r="DD68" s="520" t="e">
        <f ca="1">DB68*1000*Hypothèses!$B$19</f>
        <v>#REF!</v>
      </c>
      <c r="DE68" s="485" t="s">
        <v>231</v>
      </c>
      <c r="DF68" s="485"/>
      <c r="DG68" s="600"/>
      <c r="DH68" s="600"/>
      <c r="DI68" s="600"/>
      <c r="DJ68" s="600"/>
      <c r="DK68" s="600"/>
      <c r="DL68" s="600"/>
      <c r="DM68" s="600"/>
      <c r="DN68" s="600"/>
      <c r="DO68" s="600"/>
      <c r="DP68" s="600"/>
      <c r="DQ68" s="600"/>
      <c r="DR68" s="600"/>
      <c r="DS68" s="600"/>
      <c r="DT68" s="600"/>
      <c r="DU68" s="600"/>
      <c r="DV68" s="600"/>
      <c r="DW68" s="600"/>
      <c r="DX68" s="600"/>
      <c r="DY68" s="600"/>
      <c r="DZ68" s="600"/>
      <c r="EA68" s="600"/>
      <c r="EB68" s="600"/>
      <c r="EC68" s="600"/>
      <c r="ED68" s="600"/>
      <c r="EE68" s="600"/>
      <c r="EF68" s="600"/>
      <c r="EG68" s="600"/>
      <c r="EH68" s="600"/>
      <c r="EI68" s="600"/>
      <c r="EJ68" s="600"/>
      <c r="EK68" s="600"/>
      <c r="EL68" s="600"/>
      <c r="EM68" s="600"/>
      <c r="EN68" s="600"/>
      <c r="EO68" s="600"/>
      <c r="EP68" s="600"/>
      <c r="EQ68" s="600"/>
      <c r="ER68" s="600"/>
      <c r="ES68" s="600"/>
      <c r="ET68" s="600"/>
      <c r="EU68" s="600"/>
      <c r="EV68" s="600"/>
      <c r="EW68" s="600"/>
      <c r="EX68" s="600"/>
      <c r="EY68" s="600"/>
      <c r="EZ68" s="600"/>
    </row>
    <row r="69" spans="1:156" ht="23.4" hidden="1" outlineLevel="1">
      <c r="A69" s="514" t="s">
        <v>98</v>
      </c>
      <c r="B69" s="519">
        <f ca="1">IF($E$69=0,0,SUMIFS(INDIRECT("TabINPUT["&amp;$A$9&amp;"]"),TabINPUT[SECTEUR2],"COGEN hors ETS",TabINPUT[VECTEUR],"Electricité nonSER")*SUMIFS(INDIRECT("TabINPUT["&amp;$A$9&amp;"]"),TabINPUT[SECTEUR2],"COGEN hors ETS",TabINPUT[VECTEUR],$A69)/$E$69)</f>
        <v>0</v>
      </c>
      <c r="C69" s="519">
        <f ca="1">IF($E$69=0,0,SUMIFS(INDIRECT("TabINPUT["&amp;$A$9&amp;"]"),TabINPUT[SECTEUR2],"COGEN hors ETS",TabINPUT[VECTEUR],"Chaleur nonSER")*SUMIFS(INDIRECT("TabINPUT["&amp;$A$9&amp;"]"),TabINPUT[SECTEUR2],"COGEN hors ETS",TabINPUT[VECTEUR],$A69)/$E$69)</f>
        <v>0</v>
      </c>
      <c r="D69" s="519">
        <f ca="1">B69*1000*Hypothèses!$B$3</f>
        <v>0</v>
      </c>
      <c r="E69" s="515">
        <f ca="1">SUMIFS(INDIRECT("TabINPUT["&amp;$A$9&amp;"]"),TabINPUT[SECTEUR2],"COGEN hors ETS",TabINPUT[VECTEUR],"Total nonSER")</f>
        <v>0</v>
      </c>
      <c r="F69" s="516"/>
      <c r="G69" s="516"/>
      <c r="H69" s="470"/>
      <c r="I69" s="519" t="e">
        <f ca="1">IF($L$69=0,0,SUMIFS(INDIRECT("TabINPUT["&amp;$H$9&amp;"]"),TabINPUT[SECTEUR2],"COGEN hors ETS",TabINPUT[VECTEUR],"Electricité nonSER")*SUMIFS(INDIRECT("TabINPUT["&amp;$H$9&amp;"]"),TabINPUT[SECTEUR2],"COGEN hors ETS",TabINPUT[VECTEUR],$A69)/L$69)</f>
        <v>#REF!</v>
      </c>
      <c r="J69" s="519">
        <f ca="1">IF(J77=0,0,SUMIFS(INDIRECT("TabINPUT["&amp;$H$9&amp;"]"),TabINPUT[SECTEUR2],"COGEN hors ETS",TabINPUT[VECTEUR],"Chaleur nonSER")*SUMIFS(INDIRECT("TabINPUT["&amp;$H$9&amp;"]"),TabINPUT[SECTEUR2],"COGEN hors ETS",TabINPUT[VECTEUR],$A69)/$E$69)</f>
        <v>0</v>
      </c>
      <c r="K69" s="519" t="e">
        <f ca="1">I69*1000*Hypothèses!$B$3</f>
        <v>#REF!</v>
      </c>
      <c r="L69" s="485" t="e">
        <f ca="1">SUMIFS(INDIRECT("TabINPUT["&amp;$H$9&amp;"]"),TabINPUT[SECTEUR2],"COGEN hors ETS",TabINPUT[VECTEUR],"Total non SER")</f>
        <v>#REF!</v>
      </c>
      <c r="M69" s="485"/>
      <c r="N69" s="485"/>
      <c r="O69" s="488"/>
      <c r="P69" s="492"/>
      <c r="Q69" s="477" t="e">
        <f t="shared" ca="1" si="139"/>
        <v>#REF!</v>
      </c>
      <c r="R69" s="489" t="e">
        <f t="shared" ca="1" si="137"/>
        <v>#REF!</v>
      </c>
      <c r="S69" s="458" t="e">
        <f t="shared" ca="1" si="140"/>
        <v>#REF!</v>
      </c>
      <c r="T69" s="485"/>
      <c r="U69" s="485"/>
      <c r="V69" s="485"/>
      <c r="W69" s="485"/>
      <c r="X69" s="485"/>
      <c r="Y69" s="485"/>
      <c r="Z69" s="485"/>
      <c r="AA69" s="485"/>
      <c r="AB69" s="485"/>
      <c r="AC69" s="485"/>
      <c r="AD69" s="1118"/>
      <c r="AE69" s="470"/>
      <c r="AF69" s="519" t="e">
        <f ca="1">I69</f>
        <v>#REF!</v>
      </c>
      <c r="AG69" s="519">
        <f t="shared" ca="1" si="148"/>
        <v>0</v>
      </c>
      <c r="AH69" s="519" t="e">
        <f ca="1">AF69*1000*Hypothèses!$B$3</f>
        <v>#REF!</v>
      </c>
      <c r="AI69" s="485" t="e">
        <f ca="1">SUMIFS(INDIRECT("TabINPUT["&amp;$H$9&amp;"]"),TabINPUT[SECTEUR2],"COGEN hors ETS",TabINPUT[VECTEUR],"Total non SER")</f>
        <v>#REF!</v>
      </c>
      <c r="AJ69" s="485"/>
      <c r="AK69" s="600"/>
      <c r="AL69" s="470"/>
      <c r="AM69" s="518" t="e">
        <f t="shared" ca="1" si="149"/>
        <v>#REF!</v>
      </c>
      <c r="AN69" s="518">
        <f t="shared" ca="1" si="141"/>
        <v>0</v>
      </c>
      <c r="AO69" s="518" t="e">
        <f t="shared" ca="1" si="141"/>
        <v>#REF!</v>
      </c>
      <c r="AP69" s="485" t="e">
        <f ca="1">AI69</f>
        <v>#REF!</v>
      </c>
      <c r="AQ69" s="485"/>
      <c r="AR69" s="600"/>
      <c r="AS69" s="600"/>
      <c r="AT69" s="600"/>
      <c r="AU69" s="600"/>
      <c r="AV69" s="600"/>
      <c r="AW69" s="600"/>
      <c r="AX69" s="600"/>
      <c r="AY69" s="600"/>
      <c r="AZ69" s="600"/>
      <c r="BA69" s="600"/>
      <c r="BB69" s="600"/>
      <c r="BC69" s="600"/>
      <c r="BD69" s="600"/>
      <c r="BE69" s="600"/>
      <c r="BF69" s="600"/>
      <c r="BG69" s="600"/>
      <c r="BH69" s="600"/>
      <c r="BI69" s="600"/>
      <c r="BJ69" s="600"/>
      <c r="BK69" s="600"/>
      <c r="BL69" s="600"/>
      <c r="BM69" s="600"/>
      <c r="BN69" s="600"/>
      <c r="BO69" s="600"/>
      <c r="BP69" s="600"/>
      <c r="BQ69" s="600"/>
      <c r="BR69" s="600"/>
      <c r="BS69" s="600"/>
      <c r="BT69" s="600"/>
      <c r="BU69" s="600"/>
      <c r="BV69" s="600"/>
      <c r="BW69" s="600"/>
      <c r="BX69" s="600"/>
      <c r="BY69" s="600"/>
      <c r="BZ69" s="600"/>
      <c r="CA69" s="600"/>
      <c r="CB69" s="600"/>
      <c r="CC69" s="600"/>
      <c r="CD69" s="470"/>
      <c r="CE69" s="518">
        <f t="shared" si="150"/>
        <v>0</v>
      </c>
      <c r="CF69" s="518">
        <f t="shared" si="142"/>
        <v>0</v>
      </c>
      <c r="CG69" s="518">
        <f t="shared" si="143"/>
        <v>0</v>
      </c>
      <c r="CH69" s="485">
        <f>BY69</f>
        <v>0</v>
      </c>
      <c r="CI69" s="485"/>
      <c r="CJ69" s="600"/>
      <c r="CK69" s="470"/>
      <c r="CL69" s="519" t="e">
        <f t="shared" ca="1" si="151"/>
        <v>#REF!</v>
      </c>
      <c r="CM69" s="519">
        <f t="shared" ca="1" si="144"/>
        <v>0</v>
      </c>
      <c r="CN69" s="519" t="e">
        <f t="shared" ca="1" si="145"/>
        <v>#REF!</v>
      </c>
      <c r="CO69" s="485" t="e">
        <f ca="1">L69</f>
        <v>#REF!</v>
      </c>
      <c r="CP69" s="485"/>
      <c r="CQ69" s="600"/>
      <c r="CR69" s="470"/>
      <c r="CS69" s="519">
        <f t="shared" si="152"/>
        <v>0</v>
      </c>
      <c r="CT69" s="519" t="e">
        <f t="shared" ca="1" si="146"/>
        <v>#REF!</v>
      </c>
      <c r="CU69" s="519" t="e">
        <f t="shared" ca="1" si="147"/>
        <v>#REF!</v>
      </c>
      <c r="CV69" s="485" t="e">
        <f ca="1">S69</f>
        <v>#REF!</v>
      </c>
      <c r="CW69" s="485"/>
      <c r="CX69" s="600"/>
      <c r="CY69" s="600"/>
      <c r="CZ69" s="600"/>
      <c r="DA69" s="470"/>
      <c r="DB69" s="519" t="e">
        <f ca="1">IF($L$69=0,0,SUMIFS(INDIRECT("TabINPUT["&amp;$DA$9&amp;"]"),TabINPUT[SECTEUR2],"COGEN hors ETS",TabINPUT[VECTEUR],"Electricité nonSER")*SUMIFS(INDIRECT("TabINPUT["&amp;$DA$9&amp;"]"),TabINPUT[SECTEUR2],"COGEN hors ETS",TabINPUT[VECTEUR],$A69)/DE$69)</f>
        <v>#REF!</v>
      </c>
      <c r="DC69" s="519">
        <f ca="1">IF(DC77=0,0,SUMIFS(INDIRECT("TabINPUT["&amp;$DA$9&amp;"]"),TabINPUT[SECTEUR2],"COGEN hors ETS",TabINPUT[VECTEUR],"Chaleur nonSER")*SUMIFS(INDIRECT("TabINPUT["&amp;$DA$9&amp;"]"),TabINPUT[SECTEUR2],"COGEN hors ETS",TabINPUT[VECTEUR],$A69)/$E$69)</f>
        <v>0</v>
      </c>
      <c r="DD69" s="519" t="e">
        <f ca="1">DB69*1000*Hypothèses!$B$3</f>
        <v>#REF!</v>
      </c>
      <c r="DE69" s="485" t="e">
        <f ca="1">SUMIFS(INDIRECT("TabINPUT["&amp;$H$9&amp;"]"),TabINPUT[SECTEUR2],"COGEN hors ETS",TabINPUT[VECTEUR],"Total non SER")</f>
        <v>#REF!</v>
      </c>
      <c r="DF69" s="485"/>
      <c r="DG69" s="600"/>
      <c r="DH69" s="600"/>
      <c r="DI69" s="600"/>
      <c r="DJ69" s="600"/>
      <c r="DK69" s="600"/>
      <c r="DL69" s="600"/>
      <c r="DM69" s="600"/>
      <c r="DN69" s="600"/>
      <c r="DO69" s="600"/>
      <c r="DP69" s="600"/>
      <c r="DQ69" s="600"/>
      <c r="DR69" s="600"/>
      <c r="DS69" s="600"/>
      <c r="DT69" s="600"/>
      <c r="DU69" s="600"/>
      <c r="DV69" s="600"/>
      <c r="DW69" s="600"/>
      <c r="DX69" s="600"/>
      <c r="DY69" s="600"/>
      <c r="DZ69" s="600"/>
      <c r="EA69" s="600"/>
      <c r="EB69" s="600"/>
      <c r="EC69" s="600"/>
      <c r="ED69" s="600"/>
      <c r="EE69" s="600"/>
      <c r="EF69" s="600"/>
      <c r="EG69" s="600"/>
      <c r="EH69" s="600"/>
      <c r="EI69" s="600"/>
      <c r="EJ69" s="600"/>
      <c r="EK69" s="600"/>
      <c r="EL69" s="600"/>
      <c r="EM69" s="600"/>
      <c r="EN69" s="600"/>
      <c r="EO69" s="600"/>
      <c r="EP69" s="600"/>
      <c r="EQ69" s="600"/>
      <c r="ER69" s="600"/>
      <c r="ES69" s="600"/>
      <c r="ET69" s="600"/>
      <c r="EU69" s="600"/>
      <c r="EV69" s="600"/>
      <c r="EW69" s="600"/>
      <c r="EX69" s="600"/>
      <c r="EY69" s="600"/>
      <c r="EZ69" s="600"/>
    </row>
    <row r="70" spans="1:156" ht="23.4" hidden="1" outlineLevel="1">
      <c r="A70" s="514" t="s">
        <v>232</v>
      </c>
      <c r="B70" s="519">
        <f ca="1">IF($E$69=0,0,SUMIFS(INDIRECT("TabINPUT["&amp;$A$9&amp;"]"),TabINPUT[SECTEUR2],"COGEN hors ETS",TabINPUT[VECTEUR],"Electricité nonSER")*SUMIFS(INDIRECT("TabINPUT["&amp;$A$9&amp;"]"),TabINPUT[SECTEUR2],"COGEN hors ETS",TabINPUT[VECTEUR],$A70)/$E$69)</f>
        <v>0</v>
      </c>
      <c r="C70" s="519">
        <f ca="1">IF($E$69=0,0,SUMIFS(INDIRECT("TabINPUT["&amp;$A$9&amp;"]"),TabINPUT[SECTEUR2],"COGEN hors ETS",TabINPUT[VECTEUR],"Chaleur nonSER")*SUMIFS(INDIRECT("TabINPUT["&amp;$A$9&amp;"]"),TabINPUT[SECTEUR2],"COGEN hors ETS",TabINPUT[VECTEUR],$A70)/$E$69)</f>
        <v>0</v>
      </c>
      <c r="D70" s="519">
        <f ca="1">B70*1000*Hypothèses!$B$8</f>
        <v>0</v>
      </c>
      <c r="E70" s="515"/>
      <c r="F70" s="516"/>
      <c r="G70" s="516"/>
      <c r="H70" s="470"/>
      <c r="I70" s="519" t="e">
        <f ca="1">IF($L$69=0,0,SUMIFS(INDIRECT("TabINPUT["&amp;$H$9&amp;"]"),TabINPUT[SECTEUR2],"COGEN hors ETS",TabINPUT[VECTEUR],"Electricité nonSER")*SUMIFS(INDIRECT("TabINPUT["&amp;$H$9&amp;"]"),TabINPUT[SECTEUR2],"COGEN hors ETS",TabINPUT[VECTEUR],$A70)/L$69)</f>
        <v>#REF!</v>
      </c>
      <c r="J70" s="519">
        <f ca="1">IF(J78=0,0,SUMIFS(INDIRECT("TabINPUT["&amp;$H$9&amp;"]"),TabINPUT[SECTEUR2],"COGEN hors ETS",TabINPUT[VECTEUR],"Chaleur nonSER")*SUMIFS(INDIRECT("TabINPUT["&amp;$H$9&amp;"]"),TabINPUT[SECTEUR2],"COGEN hors ETS",TabINPUT[VECTEUR],$A70)/$E$69)</f>
        <v>0</v>
      </c>
      <c r="K70" s="519" t="e">
        <f ca="1">I70*1000*Hypothèses!$B$8</f>
        <v>#REF!</v>
      </c>
      <c r="L70" s="485"/>
      <c r="M70" s="485"/>
      <c r="N70" s="485"/>
      <c r="O70" s="488"/>
      <c r="P70" s="492"/>
      <c r="Q70" s="477" t="e">
        <f t="shared" ca="1" si="139"/>
        <v>#REF!</v>
      </c>
      <c r="R70" s="489" t="e">
        <f t="shared" ca="1" si="137"/>
        <v>#REF!</v>
      </c>
      <c r="S70" s="458" t="e">
        <f t="shared" ca="1" si="140"/>
        <v>#REF!</v>
      </c>
      <c r="T70" s="485"/>
      <c r="U70" s="485"/>
      <c r="V70" s="485"/>
      <c r="W70" s="485"/>
      <c r="X70" s="485"/>
      <c r="Y70" s="485"/>
      <c r="Z70" s="485"/>
      <c r="AA70" s="485"/>
      <c r="AB70" s="485"/>
      <c r="AC70" s="485"/>
      <c r="AD70" s="1118"/>
      <c r="AE70" s="470"/>
      <c r="AF70" s="519" t="e">
        <f t="shared" ref="AF70:AF73" ca="1" si="153">I70</f>
        <v>#REF!</v>
      </c>
      <c r="AG70" s="519">
        <f t="shared" ca="1" si="148"/>
        <v>0</v>
      </c>
      <c r="AH70" s="519" t="e">
        <f ca="1">AF70*1000*Hypothèses!$B$8</f>
        <v>#REF!</v>
      </c>
      <c r="AI70" s="485"/>
      <c r="AJ70" s="485"/>
      <c r="AK70" s="600"/>
      <c r="AL70" s="470"/>
      <c r="AM70" s="518" t="e">
        <f t="shared" ca="1" si="149"/>
        <v>#REF!</v>
      </c>
      <c r="AN70" s="518">
        <f t="shared" ca="1" si="141"/>
        <v>0</v>
      </c>
      <c r="AO70" s="518" t="e">
        <f t="shared" ca="1" si="141"/>
        <v>#REF!</v>
      </c>
      <c r="AP70" s="485"/>
      <c r="AQ70" s="485"/>
      <c r="AR70" s="600"/>
      <c r="AS70" s="600"/>
      <c r="AT70" s="600"/>
      <c r="AU70" s="600"/>
      <c r="AV70" s="600"/>
      <c r="AW70" s="600"/>
      <c r="AX70" s="600"/>
      <c r="AY70" s="600"/>
      <c r="AZ70" s="600"/>
      <c r="BA70" s="600"/>
      <c r="BB70" s="600"/>
      <c r="BC70" s="600"/>
      <c r="BD70" s="600"/>
      <c r="BE70" s="600"/>
      <c r="BF70" s="600"/>
      <c r="BG70" s="600"/>
      <c r="BH70" s="600"/>
      <c r="BI70" s="600"/>
      <c r="BJ70" s="600"/>
      <c r="BK70" s="600"/>
      <c r="BL70" s="600"/>
      <c r="BM70" s="600"/>
      <c r="BN70" s="600"/>
      <c r="BO70" s="600"/>
      <c r="BP70" s="600"/>
      <c r="BQ70" s="600"/>
      <c r="BR70" s="600"/>
      <c r="BS70" s="600"/>
      <c r="BT70" s="600"/>
      <c r="BU70" s="600"/>
      <c r="BV70" s="600"/>
      <c r="BW70" s="600"/>
      <c r="BX70" s="600"/>
      <c r="BY70" s="600"/>
      <c r="BZ70" s="600"/>
      <c r="CA70" s="600"/>
      <c r="CB70" s="600"/>
      <c r="CC70" s="600"/>
      <c r="CD70" s="470"/>
      <c r="CE70" s="518">
        <f t="shared" si="150"/>
        <v>0</v>
      </c>
      <c r="CF70" s="518">
        <f t="shared" si="142"/>
        <v>0</v>
      </c>
      <c r="CG70" s="518">
        <f t="shared" si="143"/>
        <v>0</v>
      </c>
      <c r="CH70" s="485"/>
      <c r="CI70" s="485"/>
      <c r="CJ70" s="600"/>
      <c r="CK70" s="470"/>
      <c r="CL70" s="519" t="e">
        <f t="shared" ca="1" si="151"/>
        <v>#REF!</v>
      </c>
      <c r="CM70" s="519">
        <f t="shared" ca="1" si="144"/>
        <v>0</v>
      </c>
      <c r="CN70" s="519" t="e">
        <f t="shared" ca="1" si="145"/>
        <v>#REF!</v>
      </c>
      <c r="CO70" s="485"/>
      <c r="CP70" s="485"/>
      <c r="CQ70" s="600"/>
      <c r="CR70" s="470"/>
      <c r="CS70" s="519">
        <f t="shared" si="152"/>
        <v>0</v>
      </c>
      <c r="CT70" s="519" t="e">
        <f t="shared" ca="1" si="146"/>
        <v>#REF!</v>
      </c>
      <c r="CU70" s="519" t="e">
        <f t="shared" ca="1" si="147"/>
        <v>#REF!</v>
      </c>
      <c r="CV70" s="485"/>
      <c r="CW70" s="485"/>
      <c r="CX70" s="600"/>
      <c r="CY70" s="600"/>
      <c r="CZ70" s="600"/>
      <c r="DA70" s="470"/>
      <c r="DB70" s="519" t="e">
        <f ca="1">IF($L$69=0,0,SUMIFS(INDIRECT("TabINPUT["&amp;$DA$9&amp;"]"),TabINPUT[SECTEUR2],"COGEN hors ETS",TabINPUT[VECTEUR],"Electricité nonSER")*SUMIFS(INDIRECT("TabINPUT["&amp;$DA$9&amp;"]"),TabINPUT[SECTEUR2],"COGEN hors ETS",TabINPUT[VECTEUR],$A70)/DE$69)</f>
        <v>#REF!</v>
      </c>
      <c r="DC70" s="519">
        <f ca="1">IF(DC78=0,0,SUMIFS(INDIRECT("TabINPUT["&amp;$DA$9&amp;"]"),TabINPUT[SECTEUR2],"COGEN hors ETS",TabINPUT[VECTEUR],"Chaleur nonSER")*SUMIFS(INDIRECT("TabINPUT["&amp;$DA$9&amp;"]"),TabINPUT[SECTEUR2],"COGEN hors ETS",TabINPUT[VECTEUR],$A70)/$E$69)</f>
        <v>0</v>
      </c>
      <c r="DD70" s="519" t="e">
        <f ca="1">DB70*1000*Hypothèses!$B$8</f>
        <v>#REF!</v>
      </c>
      <c r="DE70" s="485"/>
      <c r="DF70" s="485"/>
      <c r="DG70" s="600"/>
      <c r="DH70" s="600"/>
      <c r="DI70" s="600"/>
      <c r="DJ70" s="600"/>
      <c r="DK70" s="600"/>
      <c r="DL70" s="600"/>
      <c r="DM70" s="600"/>
      <c r="DN70" s="600"/>
      <c r="DO70" s="600"/>
      <c r="DP70" s="600"/>
      <c r="DQ70" s="600"/>
      <c r="DR70" s="600"/>
      <c r="DS70" s="600"/>
      <c r="DT70" s="600"/>
      <c r="DU70" s="600"/>
      <c r="DV70" s="600"/>
      <c r="DW70" s="600"/>
      <c r="DX70" s="600"/>
      <c r="DY70" s="600"/>
      <c r="DZ70" s="600"/>
      <c r="EA70" s="600"/>
      <c r="EB70" s="600"/>
      <c r="EC70" s="600"/>
      <c r="ED70" s="600"/>
      <c r="EE70" s="600"/>
      <c r="EF70" s="600"/>
      <c r="EG70" s="600"/>
      <c r="EH70" s="600"/>
      <c r="EI70" s="600"/>
      <c r="EJ70" s="600"/>
      <c r="EK70" s="600"/>
      <c r="EL70" s="600"/>
      <c r="EM70" s="600"/>
      <c r="EN70" s="600"/>
      <c r="EO70" s="600"/>
      <c r="EP70" s="600"/>
      <c r="EQ70" s="600"/>
      <c r="ER70" s="600"/>
      <c r="ES70" s="600"/>
      <c r="ET70" s="600"/>
      <c r="EU70" s="600"/>
      <c r="EV70" s="600"/>
      <c r="EW70" s="600"/>
      <c r="EX70" s="600"/>
      <c r="EY70" s="600"/>
      <c r="EZ70" s="600"/>
    </row>
    <row r="71" spans="1:156" ht="23.4" hidden="1" outlineLevel="1">
      <c r="A71" s="517" t="s">
        <v>150</v>
      </c>
      <c r="B71" s="521">
        <f ca="1">IF($E$69=0,0,SUMIFS(INDIRECT("TabINPUT["&amp;$A$9&amp;"]"),TabINPUT[SECTEUR2],"COGEN hors ETS",TabINPUT[VECTEUR],"Electricité nonSER")*SUMIFS(INDIRECT("TabINPUT["&amp;$A$9&amp;"]"),TabINPUT[SECTEUR2],"COGEN hors ETS",TabINPUT[VECTEUR],$A71)/$E$69)</f>
        <v>0</v>
      </c>
      <c r="C71" s="521">
        <f ca="1">IF($E$69=0,0,SUMIFS(INDIRECT("TabINPUT["&amp;$A$9&amp;"]"),TabINPUT[SECTEUR2],"COGEN hors ETS",TabINPUT[VECTEUR],"Chaleur nonSER")*SUMIFS(INDIRECT("TabINPUT["&amp;$A$9&amp;"]"),TabINPUT[SECTEUR2],"COGEN hors ETS",TabINPUT[VECTEUR],$A71)/$E$69)</f>
        <v>0</v>
      </c>
      <c r="D71" s="521">
        <f ca="1">B71*1000*Hypothèses!$B$6</f>
        <v>0</v>
      </c>
      <c r="E71" s="515"/>
      <c r="F71" s="516"/>
      <c r="G71" s="516"/>
      <c r="H71" s="470"/>
      <c r="I71" s="521" t="e">
        <f ca="1">IF($L$69=0,0,SUMIFS(INDIRECT("TabINPUT["&amp;$H$9&amp;"]"),TabINPUT[SECTEUR2],"COGEN hors ETS",TabINPUT[VECTEUR],"Electricité nonSER")*SUMIFS(INDIRECT("TabINPUT["&amp;$H$9&amp;"]"),TabINPUT[SECTEUR2],"COGEN hors ETS",TabINPUT[VECTEUR],$A71)/L$69)</f>
        <v>#REF!</v>
      </c>
      <c r="J71" s="521">
        <f ca="1">IF(J79=0,0,SUMIFS(INDIRECT("TabINPUT["&amp;$H$9&amp;"]"),TabINPUT[SECTEUR2],"COGEN hors ETS",TabINPUT[VECTEUR],"Chaleur nonSER")*SUMIFS(INDIRECT("TabINPUT["&amp;$H$9&amp;"]"),TabINPUT[SECTEUR2],"COGEN hors ETS",TabINPUT[VECTEUR],$A71)/$E$69)</f>
        <v>0</v>
      </c>
      <c r="K71" s="521" t="e">
        <f ca="1">I71*1000*Hypothèses!$B$6</f>
        <v>#REF!</v>
      </c>
      <c r="L71" s="485"/>
      <c r="M71" s="485"/>
      <c r="N71" s="485"/>
      <c r="O71" s="488"/>
      <c r="P71" s="492"/>
      <c r="Q71" s="477" t="e">
        <f t="shared" ca="1" si="139"/>
        <v>#REF!</v>
      </c>
      <c r="R71" s="489" t="e">
        <f t="shared" ca="1" si="137"/>
        <v>#REF!</v>
      </c>
      <c r="S71" s="458" t="e">
        <f t="shared" ca="1" si="140"/>
        <v>#REF!</v>
      </c>
      <c r="T71" s="485"/>
      <c r="U71" s="485"/>
      <c r="V71" s="485"/>
      <c r="W71" s="485"/>
      <c r="X71" s="485"/>
      <c r="Y71" s="485"/>
      <c r="Z71" s="485"/>
      <c r="AA71" s="485"/>
      <c r="AB71" s="485"/>
      <c r="AC71" s="485"/>
      <c r="AD71" s="1118"/>
      <c r="AE71" s="470"/>
      <c r="AF71" s="519" t="e">
        <f t="shared" ca="1" si="153"/>
        <v>#REF!</v>
      </c>
      <c r="AG71" s="519">
        <f t="shared" ca="1" si="148"/>
        <v>0</v>
      </c>
      <c r="AH71" s="521" t="e">
        <f ca="1">AF71*1000*Hypothèses!$B$6</f>
        <v>#REF!</v>
      </c>
      <c r="AI71" s="485"/>
      <c r="AJ71" s="485"/>
      <c r="AK71" s="600"/>
      <c r="AL71" s="470"/>
      <c r="AM71" s="518" t="e">
        <f t="shared" ca="1" si="149"/>
        <v>#REF!</v>
      </c>
      <c r="AN71" s="518">
        <f t="shared" ca="1" si="141"/>
        <v>0</v>
      </c>
      <c r="AO71" s="518" t="e">
        <f t="shared" ca="1" si="141"/>
        <v>#REF!</v>
      </c>
      <c r="AP71" s="485"/>
      <c r="AQ71" s="485"/>
      <c r="AR71" s="600"/>
      <c r="AS71" s="600"/>
      <c r="AT71" s="600"/>
      <c r="AU71" s="600"/>
      <c r="AV71" s="600"/>
      <c r="AW71" s="600"/>
      <c r="AX71" s="600"/>
      <c r="AY71" s="600"/>
      <c r="AZ71" s="600"/>
      <c r="BA71" s="600"/>
      <c r="BB71" s="600"/>
      <c r="BC71" s="600"/>
      <c r="BD71" s="600"/>
      <c r="BE71" s="600"/>
      <c r="BF71" s="600"/>
      <c r="BG71" s="600"/>
      <c r="BH71" s="600"/>
      <c r="BI71" s="600"/>
      <c r="BJ71" s="600"/>
      <c r="BK71" s="600"/>
      <c r="BL71" s="600"/>
      <c r="BM71" s="600"/>
      <c r="BN71" s="600"/>
      <c r="BO71" s="600"/>
      <c r="BP71" s="600"/>
      <c r="BQ71" s="600"/>
      <c r="BR71" s="600"/>
      <c r="BS71" s="600"/>
      <c r="BT71" s="600"/>
      <c r="BU71" s="600"/>
      <c r="BV71" s="600"/>
      <c r="BW71" s="600"/>
      <c r="BX71" s="600"/>
      <c r="BY71" s="600"/>
      <c r="BZ71" s="600"/>
      <c r="CA71" s="600"/>
      <c r="CB71" s="600"/>
      <c r="CC71" s="600"/>
      <c r="CD71" s="470"/>
      <c r="CE71" s="518">
        <f t="shared" si="150"/>
        <v>0</v>
      </c>
      <c r="CF71" s="518">
        <f t="shared" si="142"/>
        <v>0</v>
      </c>
      <c r="CG71" s="518">
        <f t="shared" si="143"/>
        <v>0</v>
      </c>
      <c r="CH71" s="485"/>
      <c r="CI71" s="485"/>
      <c r="CJ71" s="600"/>
      <c r="CK71" s="470"/>
      <c r="CL71" s="519" t="e">
        <f t="shared" ca="1" si="151"/>
        <v>#REF!</v>
      </c>
      <c r="CM71" s="519">
        <f t="shared" ca="1" si="144"/>
        <v>0</v>
      </c>
      <c r="CN71" s="521" t="e">
        <f t="shared" ca="1" si="145"/>
        <v>#REF!</v>
      </c>
      <c r="CO71" s="485"/>
      <c r="CP71" s="485"/>
      <c r="CQ71" s="600"/>
      <c r="CR71" s="470"/>
      <c r="CS71" s="519">
        <f t="shared" si="152"/>
        <v>0</v>
      </c>
      <c r="CT71" s="519" t="e">
        <f t="shared" ca="1" si="146"/>
        <v>#REF!</v>
      </c>
      <c r="CU71" s="521" t="e">
        <f t="shared" ca="1" si="147"/>
        <v>#REF!</v>
      </c>
      <c r="CV71" s="485"/>
      <c r="CW71" s="485"/>
      <c r="CX71" s="600"/>
      <c r="CY71" s="600"/>
      <c r="CZ71" s="600"/>
      <c r="DA71" s="470"/>
      <c r="DB71" s="521" t="e">
        <f ca="1">IF($L$69=0,0,SUMIFS(INDIRECT("TabINPUT["&amp;$DA$9&amp;"]"),TabINPUT[SECTEUR2],"COGEN hors ETS",TabINPUT[VECTEUR],"Electricité nonSER")*SUMIFS(INDIRECT("TabINPUT["&amp;$DA$9&amp;"]"),TabINPUT[SECTEUR2],"COGEN hors ETS",TabINPUT[VECTEUR],$A71)/DE$69)</f>
        <v>#REF!</v>
      </c>
      <c r="DC71" s="521">
        <f ca="1">IF(DC79=0,0,SUMIFS(INDIRECT("TabINPUT["&amp;$DA$9&amp;"]"),TabINPUT[SECTEUR2],"COGEN hors ETS",TabINPUT[VECTEUR],"Chaleur nonSER")*SUMIFS(INDIRECT("TabINPUT["&amp;$DA$9&amp;"]"),TabINPUT[SECTEUR2],"COGEN hors ETS",TabINPUT[VECTEUR],$A71)/$E$69)</f>
        <v>0</v>
      </c>
      <c r="DD71" s="521" t="e">
        <f ca="1">DB71*1000*Hypothèses!$B$6</f>
        <v>#REF!</v>
      </c>
      <c r="DE71" s="485"/>
      <c r="DF71" s="485"/>
      <c r="DG71" s="600"/>
      <c r="DH71" s="600"/>
      <c r="DI71" s="600"/>
      <c r="DJ71" s="600"/>
      <c r="DK71" s="600"/>
      <c r="DL71" s="600"/>
      <c r="DM71" s="600"/>
      <c r="DN71" s="600"/>
      <c r="DO71" s="600"/>
      <c r="DP71" s="600"/>
      <c r="DQ71" s="600"/>
      <c r="DR71" s="600"/>
      <c r="DS71" s="600"/>
      <c r="DT71" s="600"/>
      <c r="DU71" s="600"/>
      <c r="DV71" s="600"/>
      <c r="DW71" s="600"/>
      <c r="DX71" s="600"/>
      <c r="DY71" s="600"/>
      <c r="DZ71" s="600"/>
      <c r="EA71" s="600"/>
      <c r="EB71" s="600"/>
      <c r="EC71" s="600"/>
      <c r="ED71" s="600"/>
      <c r="EE71" s="600"/>
      <c r="EF71" s="600"/>
      <c r="EG71" s="600"/>
      <c r="EH71" s="600"/>
      <c r="EI71" s="600"/>
      <c r="EJ71" s="600"/>
      <c r="EK71" s="600"/>
      <c r="EL71" s="600"/>
      <c r="EM71" s="600"/>
      <c r="EN71" s="600"/>
      <c r="EO71" s="600"/>
      <c r="EP71" s="600"/>
      <c r="EQ71" s="600"/>
      <c r="ER71" s="600"/>
      <c r="ES71" s="600"/>
      <c r="ET71" s="600"/>
      <c r="EU71" s="600"/>
      <c r="EV71" s="600"/>
      <c r="EW71" s="600"/>
      <c r="EX71" s="600"/>
      <c r="EY71" s="600"/>
      <c r="EZ71" s="600"/>
    </row>
    <row r="72" spans="1:156" ht="23.4" hidden="1" outlineLevel="1">
      <c r="A72" s="522" t="s">
        <v>157</v>
      </c>
      <c r="B72" s="519">
        <f ca="1">IF($E$69=0,0,SUMIFS(INDIRECT("TabINPUT["&amp;$A$9&amp;"]"),TabINPUT[SECTEUR2],"COGEN hors ETS",TabINPUT[VECTEUR],"Electricité nonSER")*SUMIFS(INDIRECT("TabINPUT["&amp;$A$9&amp;"]"),TabINPUT[SECTEUR2],"COGEN hors ETS",TabINPUT[VECTEUR],$A72)/$E$69)</f>
        <v>0</v>
      </c>
      <c r="C72" s="519">
        <f ca="1">IF($E$69=0,0,SUMIFS(INDIRECT("TabINPUT["&amp;$A$9&amp;"]"),TabINPUT[SECTEUR2],"COGEN hors ETS",TabINPUT[VECTEUR],"Chaleur nonSER")*SUMIFS(INDIRECT("TabINPUT["&amp;$A$9&amp;"]"),TabINPUT[SECTEUR2],"COGEN hors ETS",TabINPUT[VECTEUR],$A72)/$E$69)</f>
        <v>0</v>
      </c>
      <c r="D72" s="519">
        <f ca="1">B72*Hypothèses!$B$12*1000</f>
        <v>0</v>
      </c>
      <c r="E72" s="515"/>
      <c r="F72" s="516"/>
      <c r="G72" s="516"/>
      <c r="H72" s="470"/>
      <c r="I72" s="519" t="e">
        <f ca="1">IF($L$69=0,0,SUMIFS(INDIRECT("TabINPUT["&amp;$H$9&amp;"]"),TabINPUT[SECTEUR2],"COGEN hors ETS",TabINPUT[VECTEUR],"Electricité nonSER")*SUMIFS(INDIRECT("TabINPUT["&amp;$H$9&amp;"]"),TabINPUT[SECTEUR2],"COGEN hors ETS",TabINPUT[VECTEUR],$A72)/L$69)</f>
        <v>#REF!</v>
      </c>
      <c r="J72" s="519">
        <f ca="1">IF(J80=0,0,SUMIFS(INDIRECT("TabINPUT["&amp;$H$9&amp;"]"),TabINPUT[SECTEUR2],"COGEN hors ETS",TabINPUT[VECTEUR],"Chaleur nonSER")*SUMIFS(INDIRECT("TabINPUT["&amp;$H$9&amp;"]"),TabINPUT[SECTEUR2],"COGEN hors ETS",TabINPUT[VECTEUR],$A72)/$E$69)</f>
        <v>0</v>
      </c>
      <c r="K72" s="519" t="e">
        <f ca="1">I72*Hypothèses!$B$12*1000</f>
        <v>#REF!</v>
      </c>
      <c r="L72" s="485"/>
      <c r="M72" s="485"/>
      <c r="N72" s="485"/>
      <c r="O72" s="488"/>
      <c r="P72" s="492"/>
      <c r="Q72" s="477" t="e">
        <f t="shared" ca="1" si="139"/>
        <v>#REF!</v>
      </c>
      <c r="R72" s="489" t="e">
        <f t="shared" ca="1" si="137"/>
        <v>#REF!</v>
      </c>
      <c r="S72" s="458" t="e">
        <f t="shared" ca="1" si="140"/>
        <v>#REF!</v>
      </c>
      <c r="T72" s="485"/>
      <c r="U72" s="485"/>
      <c r="V72" s="485"/>
      <c r="W72" s="485"/>
      <c r="X72" s="485"/>
      <c r="Y72" s="485"/>
      <c r="Z72" s="485"/>
      <c r="AA72" s="485"/>
      <c r="AB72" s="485"/>
      <c r="AC72" s="485"/>
      <c r="AD72" s="1118"/>
      <c r="AE72" s="470"/>
      <c r="AF72" s="519" t="e">
        <f t="shared" ca="1" si="153"/>
        <v>#REF!</v>
      </c>
      <c r="AG72" s="519">
        <f t="shared" ca="1" si="148"/>
        <v>0</v>
      </c>
      <c r="AH72" s="519" t="e">
        <f ca="1">AF72*Hypothèses!$B$12*1000</f>
        <v>#REF!</v>
      </c>
      <c r="AI72" s="485"/>
      <c r="AJ72" s="485"/>
      <c r="AK72" s="600"/>
      <c r="AL72" s="470"/>
      <c r="AM72" s="518" t="e">
        <f t="shared" ca="1" si="149"/>
        <v>#REF!</v>
      </c>
      <c r="AN72" s="518">
        <f t="shared" ca="1" si="141"/>
        <v>0</v>
      </c>
      <c r="AO72" s="518" t="e">
        <f t="shared" ca="1" si="141"/>
        <v>#REF!</v>
      </c>
      <c r="AP72" s="485"/>
      <c r="AQ72" s="485"/>
      <c r="AR72" s="600"/>
      <c r="AS72" s="600"/>
      <c r="AT72" s="600"/>
      <c r="AU72" s="600"/>
      <c r="AV72" s="600"/>
      <c r="AW72" s="600"/>
      <c r="AX72" s="600"/>
      <c r="AY72" s="600"/>
      <c r="AZ72" s="600"/>
      <c r="BA72" s="600"/>
      <c r="BB72" s="600"/>
      <c r="BC72" s="600"/>
      <c r="BD72" s="600"/>
      <c r="BE72" s="600"/>
      <c r="BF72" s="600"/>
      <c r="BG72" s="600"/>
      <c r="BH72" s="600"/>
      <c r="BI72" s="600"/>
      <c r="BJ72" s="600"/>
      <c r="BK72" s="600"/>
      <c r="BL72" s="600"/>
      <c r="BM72" s="600"/>
      <c r="BN72" s="600"/>
      <c r="BO72" s="600"/>
      <c r="BP72" s="600"/>
      <c r="BQ72" s="600"/>
      <c r="BR72" s="600"/>
      <c r="BS72" s="600"/>
      <c r="BT72" s="600"/>
      <c r="BU72" s="600"/>
      <c r="BV72" s="600"/>
      <c r="BW72" s="600"/>
      <c r="BX72" s="600"/>
      <c r="BY72" s="600"/>
      <c r="BZ72" s="600"/>
      <c r="CA72" s="600"/>
      <c r="CB72" s="600"/>
      <c r="CC72" s="600"/>
      <c r="CD72" s="470"/>
      <c r="CE72" s="518">
        <f t="shared" si="150"/>
        <v>0</v>
      </c>
      <c r="CF72" s="518">
        <f t="shared" si="142"/>
        <v>0</v>
      </c>
      <c r="CG72" s="518">
        <f t="shared" si="143"/>
        <v>0</v>
      </c>
      <c r="CH72" s="485"/>
      <c r="CI72" s="485"/>
      <c r="CJ72" s="600"/>
      <c r="CK72" s="470"/>
      <c r="CL72" s="519" t="e">
        <f t="shared" ca="1" si="151"/>
        <v>#REF!</v>
      </c>
      <c r="CM72" s="519">
        <f t="shared" ca="1" si="144"/>
        <v>0</v>
      </c>
      <c r="CN72" s="519" t="e">
        <f t="shared" ca="1" si="145"/>
        <v>#REF!</v>
      </c>
      <c r="CO72" s="485"/>
      <c r="CP72" s="485"/>
      <c r="CQ72" s="600"/>
      <c r="CR72" s="470"/>
      <c r="CS72" s="519">
        <f t="shared" si="152"/>
        <v>0</v>
      </c>
      <c r="CT72" s="519" t="e">
        <f t="shared" ca="1" si="146"/>
        <v>#REF!</v>
      </c>
      <c r="CU72" s="519" t="e">
        <f t="shared" ca="1" si="147"/>
        <v>#REF!</v>
      </c>
      <c r="CV72" s="485"/>
      <c r="CW72" s="485"/>
      <c r="CX72" s="600"/>
      <c r="CY72" s="600"/>
      <c r="CZ72" s="600"/>
      <c r="DA72" s="470"/>
      <c r="DB72" s="519" t="e">
        <f ca="1">IF($L$69=0,0,SUMIFS(INDIRECT("TabINPUT["&amp;$DA$9&amp;"]"),TabINPUT[SECTEUR2],"COGEN hors ETS",TabINPUT[VECTEUR],"Electricité nonSER")*SUMIFS(INDIRECT("TabINPUT["&amp;$DA$9&amp;"]"),TabINPUT[SECTEUR2],"COGEN hors ETS",TabINPUT[VECTEUR],$A72)/DE$69)</f>
        <v>#REF!</v>
      </c>
      <c r="DC72" s="519">
        <f ca="1">IF(DC80=0,0,SUMIFS(INDIRECT("TabINPUT["&amp;$DA$9&amp;"]"),TabINPUT[SECTEUR2],"COGEN hors ETS",TabINPUT[VECTEUR],"Chaleur nonSER")*SUMIFS(INDIRECT("TabINPUT["&amp;$DA$9&amp;"]"),TabINPUT[SECTEUR2],"COGEN hors ETS",TabINPUT[VECTEUR],$A72)/$E$69)</f>
        <v>0</v>
      </c>
      <c r="DD72" s="519" t="e">
        <f ca="1">DB72*Hypothèses!$B$12*1000</f>
        <v>#REF!</v>
      </c>
      <c r="DE72" s="485"/>
      <c r="DF72" s="485"/>
      <c r="DG72" s="600"/>
      <c r="DH72" s="600"/>
      <c r="DI72" s="600"/>
      <c r="DJ72" s="600"/>
      <c r="DK72" s="600"/>
      <c r="DL72" s="600"/>
      <c r="DM72" s="600"/>
      <c r="DN72" s="600"/>
      <c r="DO72" s="600"/>
      <c r="DP72" s="600"/>
      <c r="DQ72" s="600"/>
      <c r="DR72" s="600"/>
      <c r="DS72" s="600"/>
      <c r="DT72" s="600"/>
      <c r="DU72" s="600"/>
      <c r="DV72" s="600"/>
      <c r="DW72" s="600"/>
      <c r="DX72" s="600"/>
      <c r="DY72" s="600"/>
      <c r="DZ72" s="600"/>
      <c r="EA72" s="600"/>
      <c r="EB72" s="600"/>
      <c r="EC72" s="600"/>
      <c r="ED72" s="600"/>
      <c r="EE72" s="600"/>
      <c r="EF72" s="600"/>
      <c r="EG72" s="600"/>
      <c r="EH72" s="600"/>
      <c r="EI72" s="600"/>
      <c r="EJ72" s="600"/>
      <c r="EK72" s="600"/>
      <c r="EL72" s="600"/>
      <c r="EM72" s="600"/>
      <c r="EN72" s="600"/>
      <c r="EO72" s="600"/>
      <c r="EP72" s="600"/>
      <c r="EQ72" s="600"/>
      <c r="ER72" s="600"/>
      <c r="ES72" s="600"/>
      <c r="ET72" s="600"/>
      <c r="EU72" s="600"/>
      <c r="EV72" s="600"/>
      <c r="EW72" s="600"/>
      <c r="EX72" s="600"/>
      <c r="EY72" s="600"/>
      <c r="EZ72" s="600"/>
    </row>
    <row r="73" spans="1:156" ht="23.4" hidden="1" outlineLevel="1">
      <c r="A73" s="517" t="s">
        <v>107</v>
      </c>
      <c r="B73" s="521">
        <f ca="1">SUM(B69:B72)</f>
        <v>0</v>
      </c>
      <c r="C73" s="521">
        <f ca="1">SUM(C69:C72)</f>
        <v>0</v>
      </c>
      <c r="D73" s="521">
        <f ca="1">SUM(D69:D72)</f>
        <v>0</v>
      </c>
      <c r="E73" s="515"/>
      <c r="F73" s="516"/>
      <c r="G73" s="516"/>
      <c r="H73" s="470"/>
      <c r="I73" s="521" t="e">
        <f ca="1">SUM(I69:I72)</f>
        <v>#REF!</v>
      </c>
      <c r="J73" s="521">
        <f ca="1">SUM(J69:J72)</f>
        <v>0</v>
      </c>
      <c r="K73" s="623" t="e">
        <f ca="1">SUM(K66:K72)</f>
        <v>#REF!</v>
      </c>
      <c r="L73" s="485"/>
      <c r="M73" s="485"/>
      <c r="N73" s="485"/>
      <c r="O73" s="488"/>
      <c r="P73" s="492"/>
      <c r="Q73" s="477" t="e">
        <f t="shared" ca="1" si="139"/>
        <v>#REF!</v>
      </c>
      <c r="R73" s="489" t="e">
        <f t="shared" ca="1" si="137"/>
        <v>#REF!</v>
      </c>
      <c r="S73" s="458" t="e">
        <f t="shared" ca="1" si="140"/>
        <v>#REF!</v>
      </c>
      <c r="T73" s="485"/>
      <c r="U73" s="485"/>
      <c r="V73" s="485"/>
      <c r="W73" s="485"/>
      <c r="X73" s="485"/>
      <c r="Y73" s="485"/>
      <c r="Z73" s="485"/>
      <c r="AA73" s="485"/>
      <c r="AB73" s="485"/>
      <c r="AC73" s="485"/>
      <c r="AD73" s="1118"/>
      <c r="AE73" s="470"/>
      <c r="AF73" s="519" t="e">
        <f t="shared" ca="1" si="153"/>
        <v>#REF!</v>
      </c>
      <c r="AG73" s="519">
        <f t="shared" ca="1" si="148"/>
        <v>0</v>
      </c>
      <c r="AH73" s="623" t="e">
        <f ca="1">SUM(AH66:AH72)</f>
        <v>#REF!</v>
      </c>
      <c r="AI73" s="485"/>
      <c r="AJ73" s="485"/>
      <c r="AK73" s="600"/>
      <c r="AL73" s="470"/>
      <c r="AM73" s="518" t="e">
        <f t="shared" ca="1" si="149"/>
        <v>#REF!</v>
      </c>
      <c r="AN73" s="518">
        <f t="shared" ca="1" si="141"/>
        <v>0</v>
      </c>
      <c r="AO73" s="518" t="e">
        <f t="shared" ca="1" si="141"/>
        <v>#REF!</v>
      </c>
      <c r="AP73" s="485"/>
      <c r="AQ73" s="485"/>
      <c r="AR73" s="600"/>
      <c r="AS73" s="600"/>
      <c r="AT73" s="600"/>
      <c r="AU73" s="600"/>
      <c r="AV73" s="600"/>
      <c r="AW73" s="600"/>
      <c r="AX73" s="600"/>
      <c r="AY73" s="600"/>
      <c r="AZ73" s="600"/>
      <c r="BA73" s="600"/>
      <c r="BB73" s="600"/>
      <c r="BC73" s="600"/>
      <c r="BD73" s="600"/>
      <c r="BE73" s="600"/>
      <c r="BF73" s="600"/>
      <c r="BG73" s="600"/>
      <c r="BH73" s="600"/>
      <c r="BI73" s="600"/>
      <c r="BJ73" s="600"/>
      <c r="BK73" s="600"/>
      <c r="BL73" s="600"/>
      <c r="BM73" s="600"/>
      <c r="BN73" s="600"/>
      <c r="BO73" s="600"/>
      <c r="BP73" s="600"/>
      <c r="BQ73" s="600"/>
      <c r="BR73" s="600"/>
      <c r="BS73" s="600"/>
      <c r="BT73" s="600"/>
      <c r="BU73" s="600"/>
      <c r="BV73" s="600"/>
      <c r="BW73" s="600"/>
      <c r="BX73" s="600"/>
      <c r="BY73" s="600"/>
      <c r="BZ73" s="600"/>
      <c r="CA73" s="600"/>
      <c r="CB73" s="600"/>
      <c r="CC73" s="600"/>
      <c r="CD73" s="470"/>
      <c r="CE73" s="518">
        <f t="shared" si="150"/>
        <v>0</v>
      </c>
      <c r="CF73" s="518">
        <f t="shared" si="142"/>
        <v>0</v>
      </c>
      <c r="CG73" s="518">
        <f t="shared" si="143"/>
        <v>0</v>
      </c>
      <c r="CH73" s="485"/>
      <c r="CI73" s="485"/>
      <c r="CJ73" s="600"/>
      <c r="CK73" s="470"/>
      <c r="CL73" s="519" t="e">
        <f t="shared" ca="1" si="151"/>
        <v>#REF!</v>
      </c>
      <c r="CM73" s="519">
        <f t="shared" ca="1" si="144"/>
        <v>0</v>
      </c>
      <c r="CN73" s="623" t="e">
        <f t="shared" ca="1" si="145"/>
        <v>#REF!</v>
      </c>
      <c r="CO73" s="485"/>
      <c r="CP73" s="485"/>
      <c r="CQ73" s="600"/>
      <c r="CR73" s="470"/>
      <c r="CS73" s="519">
        <f t="shared" si="152"/>
        <v>0</v>
      </c>
      <c r="CT73" s="519" t="e">
        <f t="shared" ca="1" si="146"/>
        <v>#REF!</v>
      </c>
      <c r="CU73" s="623" t="e">
        <f t="shared" ca="1" si="147"/>
        <v>#REF!</v>
      </c>
      <c r="CV73" s="485"/>
      <c r="CW73" s="485"/>
      <c r="CX73" s="600"/>
      <c r="CY73" s="600"/>
      <c r="CZ73" s="600"/>
      <c r="DA73" s="470"/>
      <c r="DB73" s="521" t="e">
        <f ca="1">SUM(DB69:DB72)</f>
        <v>#REF!</v>
      </c>
      <c r="DC73" s="521">
        <f ca="1">SUM(DC69:DC72)</f>
        <v>0</v>
      </c>
      <c r="DD73" s="623" t="e">
        <f ca="1">SUM(DD66:DD72)</f>
        <v>#REF!</v>
      </c>
      <c r="DE73" s="485"/>
      <c r="DF73" s="485"/>
      <c r="DG73" s="600"/>
      <c r="DH73" s="600"/>
      <c r="DI73" s="600"/>
      <c r="DJ73" s="600"/>
      <c r="DK73" s="600"/>
      <c r="DL73" s="600"/>
      <c r="DM73" s="600"/>
      <c r="DN73" s="600"/>
      <c r="DO73" s="600"/>
      <c r="DP73" s="600"/>
      <c r="DQ73" s="600"/>
      <c r="DR73" s="600"/>
      <c r="DS73" s="600"/>
      <c r="DT73" s="600"/>
      <c r="DU73" s="600"/>
      <c r="DV73" s="600"/>
      <c r="DW73" s="600"/>
      <c r="DX73" s="600"/>
      <c r="DY73" s="600"/>
      <c r="DZ73" s="600"/>
      <c r="EA73" s="600"/>
      <c r="EB73" s="600"/>
      <c r="EC73" s="600"/>
      <c r="ED73" s="600"/>
      <c r="EE73" s="600"/>
      <c r="EF73" s="600"/>
      <c r="EG73" s="600"/>
      <c r="EH73" s="600"/>
      <c r="EI73" s="600"/>
      <c r="EJ73" s="600"/>
      <c r="EK73" s="600"/>
      <c r="EL73" s="600"/>
      <c r="EM73" s="600"/>
      <c r="EN73" s="600"/>
      <c r="EO73" s="600"/>
      <c r="EP73" s="600"/>
      <c r="EQ73" s="600"/>
      <c r="ER73" s="600"/>
      <c r="ES73" s="600"/>
      <c r="ET73" s="600"/>
      <c r="EU73" s="600"/>
      <c r="EV73" s="600"/>
      <c r="EW73" s="600"/>
      <c r="EX73" s="600"/>
      <c r="EY73" s="600"/>
      <c r="EZ73" s="600"/>
    </row>
    <row r="74" spans="1:156" ht="23.4" hidden="1" outlineLevel="1">
      <c r="A74" s="523" t="s">
        <v>233</v>
      </c>
      <c r="B74" s="524">
        <f ca="1">SUMIFS(INDIRECT("TabINPUT["&amp;$A$9&amp;"]"),TabINPUT[SECTEUR2],"COGEN hors ETS",TabINPUT[VECTEUR],"Total")</f>
        <v>0</v>
      </c>
      <c r="C74" s="524"/>
      <c r="D74" s="525"/>
      <c r="E74" s="515"/>
      <c r="F74" s="516"/>
      <c r="G74" s="516"/>
      <c r="H74" s="526"/>
      <c r="I74" s="524" t="e">
        <f ca="1">SUMIFS(INDIRECT("TabINPUT["&amp;$H$9&amp;"]"),TabINPUT[SECTEUR2],"COGEN hors ETS",TabINPUT[VECTEUR],"Total")</f>
        <v>#REF!</v>
      </c>
      <c r="J74" s="524"/>
      <c r="K74" s="458"/>
      <c r="L74" s="485"/>
      <c r="M74" s="485"/>
      <c r="N74" s="485"/>
      <c r="O74" s="488"/>
      <c r="P74" s="492"/>
      <c r="Q74" s="477">
        <f t="shared" si="139"/>
        <v>0</v>
      </c>
      <c r="R74" s="489">
        <f t="shared" si="137"/>
        <v>0</v>
      </c>
      <c r="S74" s="458" t="str">
        <f t="shared" si="140"/>
        <v>Total conso cogen : 0%</v>
      </c>
      <c r="T74" s="485"/>
      <c r="U74" s="485"/>
      <c r="V74" s="485"/>
      <c r="W74" s="485"/>
      <c r="X74" s="485"/>
      <c r="Y74" s="485"/>
      <c r="Z74" s="485"/>
      <c r="AA74" s="485"/>
      <c r="AB74" s="485"/>
      <c r="AC74" s="485"/>
      <c r="AD74" s="1118"/>
      <c r="AE74" s="526"/>
      <c r="AF74" s="524" t="e">
        <f ca="1">SUMIFS(INDIRECT("TabINPUT["&amp;$H$9&amp;"]"),TabINPUT[SECTEUR2],"COGEN hors ETS",TabINPUT[VECTEUR],"Total")</f>
        <v>#REF!</v>
      </c>
      <c r="AG74" s="524"/>
      <c r="AH74" s="458"/>
      <c r="AI74" s="485"/>
      <c r="AJ74" s="485"/>
      <c r="AK74" s="600"/>
      <c r="AL74" s="526"/>
      <c r="AM74" s="518" t="e">
        <f t="shared" ca="1" si="149"/>
        <v>#REF!</v>
      </c>
      <c r="AN74" s="524"/>
      <c r="AO74" s="458"/>
      <c r="AP74" s="485"/>
      <c r="AQ74" s="485"/>
      <c r="AR74" s="600"/>
      <c r="AS74" s="600"/>
      <c r="AT74" s="600"/>
      <c r="AU74" s="600"/>
      <c r="AV74" s="600"/>
      <c r="AW74" s="600"/>
      <c r="AX74" s="600"/>
      <c r="AY74" s="600"/>
      <c r="AZ74" s="600"/>
      <c r="BA74" s="600"/>
      <c r="BB74" s="600"/>
      <c r="BC74" s="600"/>
      <c r="BD74" s="600"/>
      <c r="BE74" s="600"/>
      <c r="BF74" s="600"/>
      <c r="BG74" s="600"/>
      <c r="BH74" s="600"/>
      <c r="BI74" s="600"/>
      <c r="BJ74" s="600"/>
      <c r="BK74" s="600"/>
      <c r="BL74" s="600"/>
      <c r="BM74" s="600"/>
      <c r="BN74" s="600"/>
      <c r="BO74" s="600"/>
      <c r="BP74" s="600"/>
      <c r="BQ74" s="600"/>
      <c r="BR74" s="600"/>
      <c r="BS74" s="600"/>
      <c r="BT74" s="600"/>
      <c r="BU74" s="600"/>
      <c r="BV74" s="600"/>
      <c r="BW74" s="600"/>
      <c r="BX74" s="600"/>
      <c r="BY74" s="600"/>
      <c r="BZ74" s="600"/>
      <c r="CA74" s="600"/>
      <c r="CB74" s="600"/>
      <c r="CC74" s="600"/>
      <c r="CD74" s="526"/>
      <c r="CE74" s="518">
        <f t="shared" si="150"/>
        <v>0</v>
      </c>
      <c r="CF74" s="524"/>
      <c r="CG74" s="458"/>
      <c r="CH74" s="485"/>
      <c r="CI74" s="485"/>
      <c r="CJ74" s="600"/>
      <c r="CK74" s="526"/>
      <c r="CL74" s="524" t="e">
        <f t="shared" ca="1" si="151"/>
        <v>#REF!</v>
      </c>
      <c r="CM74" s="524">
        <f t="shared" si="144"/>
        <v>0</v>
      </c>
      <c r="CN74" s="458">
        <f t="shared" si="145"/>
        <v>0</v>
      </c>
      <c r="CO74" s="485"/>
      <c r="CP74" s="485"/>
      <c r="CQ74" s="600"/>
      <c r="CR74" s="526"/>
      <c r="CS74" s="524">
        <f t="shared" si="152"/>
        <v>0</v>
      </c>
      <c r="CT74" s="524">
        <f t="shared" si="146"/>
        <v>0</v>
      </c>
      <c r="CU74" s="458">
        <f t="shared" si="147"/>
        <v>0</v>
      </c>
      <c r="CV74" s="485"/>
      <c r="CW74" s="485"/>
      <c r="CX74" s="600"/>
      <c r="CY74" s="600"/>
      <c r="CZ74" s="600"/>
      <c r="DA74" s="526"/>
      <c r="DB74" s="524" t="e">
        <f ca="1">SUMIFS(INDIRECT("TabINPUT["&amp;$DA$9&amp;"]"),TabINPUT[SECTEUR2],"COGEN hors ETS",TabINPUT[VECTEUR],"Total")</f>
        <v>#REF!</v>
      </c>
      <c r="DC74" s="524"/>
      <c r="DD74" s="458"/>
      <c r="DE74" s="485"/>
      <c r="DF74" s="485"/>
      <c r="DG74" s="600"/>
      <c r="DH74" s="600"/>
      <c r="DI74" s="600"/>
      <c r="DJ74" s="600"/>
      <c r="DK74" s="600"/>
      <c r="DL74" s="600"/>
      <c r="DM74" s="600"/>
      <c r="DN74" s="600"/>
      <c r="DO74" s="600"/>
      <c r="DP74" s="600"/>
      <c r="DQ74" s="600"/>
      <c r="DR74" s="600"/>
      <c r="DS74" s="600"/>
      <c r="DT74" s="600"/>
      <c r="DU74" s="600"/>
      <c r="DV74" s="600"/>
      <c r="DW74" s="600"/>
      <c r="DX74" s="600"/>
      <c r="DY74" s="600"/>
      <c r="DZ74" s="600"/>
      <c r="EA74" s="600"/>
      <c r="EB74" s="600"/>
      <c r="EC74" s="600"/>
      <c r="ED74" s="600"/>
      <c r="EE74" s="600"/>
      <c r="EF74" s="600"/>
      <c r="EG74" s="600"/>
      <c r="EH74" s="600"/>
      <c r="EI74" s="600"/>
      <c r="EJ74" s="600"/>
      <c r="EK74" s="600"/>
      <c r="EL74" s="600"/>
      <c r="EM74" s="600"/>
      <c r="EN74" s="600"/>
      <c r="EO74" s="600"/>
      <c r="EP74" s="600"/>
      <c r="EQ74" s="600"/>
      <c r="ER74" s="600"/>
      <c r="ES74" s="600"/>
      <c r="ET74" s="600"/>
      <c r="EU74" s="600"/>
      <c r="EV74" s="600"/>
      <c r="EW74" s="600"/>
      <c r="EX74" s="600"/>
      <c r="EY74" s="600"/>
      <c r="EZ74" s="600"/>
    </row>
    <row r="75" spans="1:156" s="29" customFormat="1" hidden="1" outlineLevel="1">
      <c r="A75" s="527" t="s">
        <v>145</v>
      </c>
      <c r="B75" s="528"/>
      <c r="C75" s="528"/>
      <c r="D75" s="529">
        <f ca="1">E17</f>
        <v>0</v>
      </c>
      <c r="E75" s="530"/>
      <c r="F75" s="531"/>
      <c r="G75" s="531"/>
      <c r="H75" s="532"/>
      <c r="I75" s="458"/>
      <c r="J75" s="458"/>
      <c r="K75" s="533" t="e">
        <f ca="1">L17</f>
        <v>#REF!</v>
      </c>
      <c r="L75" s="485"/>
      <c r="M75" s="485"/>
      <c r="N75" s="485"/>
      <c r="O75" s="488"/>
      <c r="P75" s="496"/>
      <c r="Q75" s="477" t="e">
        <f t="shared" ca="1" si="139"/>
        <v>#REF!</v>
      </c>
      <c r="R75" s="489" t="e">
        <f ca="1">ROUND(Q75*100,0)</f>
        <v>#REF!</v>
      </c>
      <c r="S75" s="458" t="e">
        <f t="shared" ca="1" si="140"/>
        <v>#REF!</v>
      </c>
      <c r="T75" s="485"/>
      <c r="U75" s="485"/>
      <c r="V75" s="485"/>
      <c r="W75" s="485"/>
      <c r="X75" s="485"/>
      <c r="Y75" s="485"/>
      <c r="Z75" s="485"/>
      <c r="AA75" s="485"/>
      <c r="AB75" s="485"/>
      <c r="AC75" s="485"/>
      <c r="AD75" s="1118"/>
      <c r="AE75" s="532"/>
      <c r="AF75" s="458"/>
      <c r="AG75" s="458"/>
      <c r="AH75" s="533" t="e">
        <f ca="1">AI17</f>
        <v>#REF!</v>
      </c>
      <c r="AI75" s="485"/>
      <c r="AJ75" s="485"/>
      <c r="AK75" s="600"/>
      <c r="AL75" s="532"/>
      <c r="AM75" s="518">
        <f t="shared" si="149"/>
        <v>0</v>
      </c>
      <c r="AN75" s="458"/>
      <c r="AO75" s="533" t="e">
        <f ca="1">AP17</f>
        <v>#REF!</v>
      </c>
      <c r="AP75" s="485"/>
      <c r="AQ75" s="485"/>
      <c r="AR75" s="600"/>
      <c r="AS75" s="600"/>
      <c r="AT75" s="600"/>
      <c r="AU75" s="600"/>
      <c r="AV75" s="600"/>
      <c r="AW75" s="600"/>
      <c r="AX75" s="600"/>
      <c r="AY75" s="600"/>
      <c r="AZ75" s="600"/>
      <c r="BA75" s="600"/>
      <c r="BB75" s="600"/>
      <c r="BC75" s="600"/>
      <c r="BD75" s="600"/>
      <c r="BE75" s="600"/>
      <c r="BF75" s="600"/>
      <c r="BG75" s="600"/>
      <c r="BH75" s="600"/>
      <c r="BI75" s="600"/>
      <c r="BJ75" s="600"/>
      <c r="BK75" s="600"/>
      <c r="BL75" s="600"/>
      <c r="BM75" s="600"/>
      <c r="BN75" s="600"/>
      <c r="BO75" s="600"/>
      <c r="BP75" s="600"/>
      <c r="BQ75" s="600"/>
      <c r="BR75" s="600"/>
      <c r="BS75" s="600"/>
      <c r="BT75" s="600"/>
      <c r="BU75" s="600"/>
      <c r="BV75" s="600"/>
      <c r="BW75" s="600"/>
      <c r="BX75" s="600"/>
      <c r="BY75" s="600"/>
      <c r="BZ75" s="600"/>
      <c r="CA75" s="600"/>
      <c r="CB75" s="600"/>
      <c r="CC75" s="600"/>
      <c r="CD75" s="532"/>
      <c r="CE75" s="518">
        <f t="shared" si="150"/>
        <v>0</v>
      </c>
      <c r="CF75" s="458"/>
      <c r="CG75" s="533" t="e">
        <f ca="1">CH17</f>
        <v>#REF!</v>
      </c>
      <c r="CH75" s="485"/>
      <c r="CI75" s="485"/>
      <c r="CJ75" s="600"/>
      <c r="CK75" s="532"/>
      <c r="CL75" s="458">
        <f t="shared" si="151"/>
        <v>0</v>
      </c>
      <c r="CM75" s="458">
        <f t="shared" si="144"/>
        <v>0</v>
      </c>
      <c r="CN75" s="533" t="e">
        <f t="shared" ca="1" si="145"/>
        <v>#REF!</v>
      </c>
      <c r="CO75" s="485"/>
      <c r="CP75" s="485"/>
      <c r="CQ75" s="600"/>
      <c r="CR75" s="532"/>
      <c r="CS75" s="458">
        <f t="shared" si="152"/>
        <v>0</v>
      </c>
      <c r="CT75" s="458" t="e">
        <f t="shared" ca="1" si="146"/>
        <v>#REF!</v>
      </c>
      <c r="CU75" s="533" t="e">
        <f t="shared" ca="1" si="147"/>
        <v>#REF!</v>
      </c>
      <c r="CV75" s="485"/>
      <c r="CW75" s="485"/>
      <c r="CX75" s="600"/>
      <c r="CY75" s="600"/>
      <c r="CZ75" s="600"/>
      <c r="DA75" s="532"/>
      <c r="DB75" s="458"/>
      <c r="DC75" s="458"/>
      <c r="DD75" s="533" t="e">
        <f ca="1">DE17</f>
        <v>#REF!</v>
      </c>
      <c r="DE75" s="485"/>
      <c r="DF75" s="485"/>
      <c r="DG75" s="600"/>
      <c r="DH75" s="600"/>
      <c r="DI75" s="600"/>
      <c r="DJ75" s="600"/>
      <c r="DK75" s="600"/>
      <c r="DL75" s="600"/>
      <c r="DM75" s="600"/>
      <c r="DN75" s="600"/>
      <c r="DO75" s="600"/>
      <c r="DP75" s="600"/>
      <c r="DQ75" s="600"/>
      <c r="DR75" s="600"/>
      <c r="DS75" s="600"/>
      <c r="DT75" s="600"/>
      <c r="DU75" s="600"/>
      <c r="DV75" s="600"/>
      <c r="DW75" s="600"/>
      <c r="DX75" s="600"/>
      <c r="DY75" s="600"/>
      <c r="DZ75" s="600"/>
      <c r="EA75" s="600"/>
      <c r="EB75" s="600"/>
      <c r="EC75" s="600"/>
      <c r="ED75" s="600"/>
      <c r="EE75" s="600"/>
      <c r="EF75" s="600"/>
      <c r="EG75" s="600"/>
      <c r="EH75" s="600"/>
      <c r="EI75" s="600"/>
      <c r="EJ75" s="600"/>
      <c r="EK75" s="600"/>
      <c r="EL75" s="600"/>
      <c r="EM75" s="600"/>
      <c r="EN75" s="600"/>
      <c r="EO75" s="600"/>
      <c r="EP75" s="600"/>
      <c r="EQ75" s="600"/>
      <c r="ER75" s="600"/>
      <c r="ES75" s="600"/>
      <c r="ET75" s="600"/>
      <c r="EU75" s="600"/>
      <c r="EV75" s="600"/>
      <c r="EW75" s="600"/>
      <c r="EX75" s="600"/>
      <c r="EY75" s="600"/>
      <c r="EZ75" s="600"/>
    </row>
    <row r="76" spans="1:156" ht="23.4" hidden="1" outlineLevel="1">
      <c r="A76" s="534"/>
      <c r="B76" s="535"/>
      <c r="C76" s="535"/>
      <c r="D76" s="536"/>
      <c r="E76" s="515"/>
      <c r="F76" s="516"/>
      <c r="G76" s="516"/>
      <c r="H76" s="526"/>
      <c r="I76" s="535"/>
      <c r="J76" s="535"/>
      <c r="K76" s="470"/>
      <c r="L76" s="485"/>
      <c r="M76" s="485"/>
      <c r="N76" s="485"/>
      <c r="O76" s="488"/>
      <c r="P76" s="492"/>
      <c r="Q76" s="480"/>
      <c r="R76" s="491"/>
      <c r="S76" s="470"/>
      <c r="T76" s="485"/>
      <c r="U76" s="485"/>
      <c r="V76" s="485"/>
      <c r="W76" s="485"/>
      <c r="X76" s="485"/>
      <c r="Y76" s="485"/>
      <c r="Z76" s="485"/>
      <c r="AA76" s="485"/>
      <c r="AB76" s="485"/>
      <c r="AC76" s="485"/>
      <c r="AD76" s="1118"/>
      <c r="AE76" s="526"/>
      <c r="AF76" s="535"/>
      <c r="AG76" s="535"/>
      <c r="AH76" s="470"/>
      <c r="AI76" s="485"/>
      <c r="AJ76" s="485"/>
      <c r="AK76" s="600"/>
      <c r="AL76" s="526"/>
      <c r="AM76" s="535"/>
      <c r="AN76" s="535"/>
      <c r="AO76" s="470"/>
      <c r="AP76" s="485"/>
      <c r="AQ76" s="485"/>
      <c r="AR76" s="600"/>
      <c r="AS76" s="600"/>
      <c r="AT76" s="600"/>
      <c r="AU76" s="600"/>
      <c r="AV76" s="600"/>
      <c r="AW76" s="600"/>
      <c r="AX76" s="600"/>
      <c r="AY76" s="600"/>
      <c r="AZ76" s="600"/>
      <c r="BA76" s="600"/>
      <c r="BB76" s="600"/>
      <c r="BC76" s="600"/>
      <c r="BD76" s="600"/>
      <c r="BE76" s="600"/>
      <c r="BF76" s="600"/>
      <c r="BG76" s="600"/>
      <c r="BH76" s="600"/>
      <c r="BI76" s="600"/>
      <c r="BJ76" s="600"/>
      <c r="BK76" s="600"/>
      <c r="BL76" s="600"/>
      <c r="BM76" s="600"/>
      <c r="BN76" s="600"/>
      <c r="BO76" s="600"/>
      <c r="BP76" s="600"/>
      <c r="BQ76" s="600"/>
      <c r="BR76" s="600"/>
      <c r="BS76" s="600"/>
      <c r="BT76" s="600"/>
      <c r="BU76" s="600"/>
      <c r="BV76" s="600"/>
      <c r="BW76" s="600"/>
      <c r="BX76" s="600"/>
      <c r="BY76" s="600"/>
      <c r="BZ76" s="600"/>
      <c r="CA76" s="600"/>
      <c r="CB76" s="600"/>
      <c r="CC76" s="600"/>
      <c r="CD76" s="526"/>
      <c r="CE76" s="535"/>
      <c r="CF76" s="535"/>
      <c r="CG76" s="470"/>
      <c r="CH76" s="485"/>
      <c r="CI76" s="485"/>
      <c r="CJ76" s="600"/>
      <c r="CK76" s="526"/>
      <c r="CL76" s="535"/>
      <c r="CM76" s="535"/>
      <c r="CN76" s="470"/>
      <c r="CO76" s="485"/>
      <c r="CP76" s="485"/>
      <c r="CQ76" s="600"/>
      <c r="CR76" s="526"/>
      <c r="CS76" s="535"/>
      <c r="CT76" s="535"/>
      <c r="CU76" s="470"/>
      <c r="CV76" s="485"/>
      <c r="CW76" s="485"/>
      <c r="CX76" s="600"/>
      <c r="CY76" s="600"/>
      <c r="CZ76" s="600"/>
      <c r="DA76" s="526"/>
      <c r="DB76" s="535"/>
      <c r="DC76" s="535"/>
      <c r="DD76" s="470"/>
      <c r="DE76" s="485"/>
      <c r="DF76" s="485"/>
      <c r="DG76" s="600"/>
      <c r="DH76" s="600"/>
      <c r="DI76" s="600"/>
      <c r="DJ76" s="600"/>
      <c r="DK76" s="600"/>
      <c r="DL76" s="600"/>
      <c r="DM76" s="600"/>
      <c r="DN76" s="600"/>
      <c r="DO76" s="600"/>
      <c r="DP76" s="600"/>
      <c r="DQ76" s="600"/>
      <c r="DR76" s="600"/>
      <c r="DS76" s="600"/>
      <c r="DT76" s="600"/>
      <c r="DU76" s="600"/>
      <c r="DV76" s="600"/>
      <c r="DW76" s="600"/>
      <c r="DX76" s="600"/>
      <c r="DY76" s="600"/>
      <c r="DZ76" s="600"/>
      <c r="EA76" s="600"/>
      <c r="EB76" s="600"/>
      <c r="EC76" s="600"/>
      <c r="ED76" s="600"/>
      <c r="EE76" s="600"/>
      <c r="EF76" s="600"/>
      <c r="EG76" s="600"/>
      <c r="EH76" s="600"/>
      <c r="EI76" s="600"/>
      <c r="EJ76" s="600"/>
      <c r="EK76" s="600"/>
      <c r="EL76" s="600"/>
      <c r="EM76" s="600"/>
      <c r="EN76" s="600"/>
      <c r="EO76" s="600"/>
      <c r="EP76" s="600"/>
      <c r="EQ76" s="600"/>
      <c r="ER76" s="600"/>
      <c r="ES76" s="600"/>
      <c r="ET76" s="600"/>
      <c r="EU76" s="600"/>
      <c r="EV76" s="600"/>
      <c r="EW76" s="600"/>
      <c r="EX76" s="600"/>
      <c r="EY76" s="600"/>
      <c r="EZ76" s="600"/>
    </row>
    <row r="77" spans="1:156" ht="30" hidden="1" customHeight="1" outlineLevel="1">
      <c r="A77" s="1954" t="s">
        <v>234</v>
      </c>
      <c r="B77" s="1954"/>
      <c r="C77" s="1954"/>
      <c r="D77" s="1954"/>
      <c r="E77" s="515"/>
      <c r="F77" s="516"/>
      <c r="G77" s="516"/>
      <c r="H77" s="526"/>
      <c r="I77" s="535"/>
      <c r="J77" s="535"/>
      <c r="K77" s="470"/>
      <c r="L77" s="485"/>
      <c r="M77" s="485"/>
      <c r="N77" s="485"/>
      <c r="O77" s="488"/>
      <c r="P77" s="492"/>
      <c r="Q77" s="480"/>
      <c r="R77" s="491"/>
      <c r="S77" s="470"/>
      <c r="T77" s="485"/>
      <c r="U77" s="485"/>
      <c r="V77" s="485"/>
      <c r="W77" s="485"/>
      <c r="X77" s="485"/>
      <c r="Y77" s="485"/>
      <c r="Z77" s="485"/>
      <c r="AA77" s="485"/>
      <c r="AB77" s="485"/>
      <c r="AC77" s="485"/>
      <c r="AD77" s="1118"/>
      <c r="AE77" s="526"/>
      <c r="AF77" s="535"/>
      <c r="AG77" s="535"/>
      <c r="AH77" s="470"/>
      <c r="AI77" s="485"/>
      <c r="AJ77" s="485"/>
      <c r="AK77" s="600"/>
      <c r="AL77" s="526"/>
      <c r="AM77" s="535"/>
      <c r="AN77" s="535"/>
      <c r="AO77" s="470"/>
      <c r="AP77" s="485"/>
      <c r="AQ77" s="485"/>
      <c r="AR77" s="600"/>
      <c r="AS77" s="600"/>
      <c r="AT77" s="600"/>
      <c r="AU77" s="600"/>
      <c r="AV77" s="600"/>
      <c r="AW77" s="600"/>
      <c r="AX77" s="600"/>
      <c r="AY77" s="600"/>
      <c r="AZ77" s="600"/>
      <c r="BA77" s="600"/>
      <c r="BB77" s="600"/>
      <c r="BC77" s="600"/>
      <c r="BD77" s="600"/>
      <c r="BE77" s="600"/>
      <c r="BF77" s="600"/>
      <c r="BG77" s="600"/>
      <c r="BH77" s="600"/>
      <c r="BI77" s="600"/>
      <c r="BJ77" s="600"/>
      <c r="BK77" s="600"/>
      <c r="BL77" s="600"/>
      <c r="BM77" s="600"/>
      <c r="BN77" s="600"/>
      <c r="BO77" s="600"/>
      <c r="BP77" s="600"/>
      <c r="BQ77" s="600"/>
      <c r="BR77" s="600"/>
      <c r="BS77" s="600"/>
      <c r="BT77" s="600"/>
      <c r="BU77" s="600"/>
      <c r="BV77" s="600"/>
      <c r="BW77" s="600"/>
      <c r="BX77" s="600"/>
      <c r="BY77" s="600"/>
      <c r="BZ77" s="600"/>
      <c r="CA77" s="600"/>
      <c r="CB77" s="600"/>
      <c r="CC77" s="600"/>
      <c r="CD77" s="526"/>
      <c r="CE77" s="535"/>
      <c r="CF77" s="535"/>
      <c r="CG77" s="470"/>
      <c r="CH77" s="485"/>
      <c r="CI77" s="485"/>
      <c r="CJ77" s="600"/>
      <c r="CK77" s="526"/>
      <c r="CL77" s="535"/>
      <c r="CM77" s="535"/>
      <c r="CN77" s="470"/>
      <c r="CO77" s="485"/>
      <c r="CP77" s="485"/>
      <c r="CQ77" s="600"/>
      <c r="CR77" s="526"/>
      <c r="CS77" s="535"/>
      <c r="CT77" s="535"/>
      <c r="CU77" s="470"/>
      <c r="CV77" s="485"/>
      <c r="CW77" s="485"/>
      <c r="CX77" s="600"/>
      <c r="CY77" s="600"/>
      <c r="CZ77" s="600"/>
      <c r="DA77" s="526"/>
      <c r="DB77" s="535"/>
      <c r="DC77" s="535"/>
      <c r="DD77" s="470"/>
      <c r="DE77" s="485"/>
      <c r="DF77" s="485"/>
      <c r="DG77" s="600"/>
      <c r="DH77" s="600"/>
      <c r="DI77" s="600"/>
      <c r="DJ77" s="600"/>
      <c r="DK77" s="600"/>
      <c r="DL77" s="600"/>
      <c r="DM77" s="600"/>
      <c r="DN77" s="600"/>
      <c r="DO77" s="600"/>
      <c r="DP77" s="600"/>
      <c r="DQ77" s="600"/>
      <c r="DR77" s="600"/>
      <c r="DS77" s="600"/>
      <c r="DT77" s="600"/>
      <c r="DU77" s="600"/>
      <c r="DV77" s="600"/>
      <c r="DW77" s="600"/>
      <c r="DX77" s="600"/>
      <c r="DY77" s="600"/>
      <c r="DZ77" s="600"/>
      <c r="EA77" s="600"/>
      <c r="EB77" s="600"/>
      <c r="EC77" s="600"/>
      <c r="ED77" s="600"/>
      <c r="EE77" s="600"/>
      <c r="EF77" s="600"/>
      <c r="EG77" s="600"/>
      <c r="EH77" s="600"/>
      <c r="EI77" s="600"/>
      <c r="EJ77" s="600"/>
      <c r="EK77" s="600"/>
      <c r="EL77" s="600"/>
      <c r="EM77" s="600"/>
      <c r="EN77" s="600"/>
      <c r="EO77" s="600"/>
      <c r="EP77" s="600"/>
      <c r="EQ77" s="600"/>
      <c r="ER77" s="600"/>
      <c r="ES77" s="600"/>
      <c r="ET77" s="600"/>
      <c r="EU77" s="600"/>
      <c r="EV77" s="600"/>
      <c r="EW77" s="600"/>
      <c r="EX77" s="600"/>
      <c r="EY77" s="600"/>
      <c r="EZ77" s="600"/>
    </row>
    <row r="78" spans="1:156" ht="23.4" hidden="1" outlineLevel="1">
      <c r="A78" s="1944" t="e">
        <f ca="1">"Evolution des consommations de "&amp;$B$47&amp;" à "&amp;$I$47&amp;" par secteur : "&amp;$Q$22&amp;"%"</f>
        <v>#REF!</v>
      </c>
      <c r="B78" s="1944"/>
      <c r="C78" s="1944"/>
      <c r="D78" s="1944"/>
      <c r="E78" s="1944"/>
      <c r="F78" s="1944"/>
      <c r="G78" s="1944"/>
      <c r="H78" s="537"/>
      <c r="I78" s="485"/>
      <c r="J78" s="485"/>
      <c r="K78" s="485"/>
      <c r="L78" s="485"/>
      <c r="M78" s="485"/>
      <c r="N78" s="485"/>
      <c r="O78" s="488"/>
      <c r="P78" s="492"/>
      <c r="Q78" s="480"/>
      <c r="R78" s="491"/>
      <c r="S78" s="470"/>
      <c r="T78" s="485"/>
      <c r="U78" s="485"/>
      <c r="V78" s="485"/>
      <c r="W78" s="485"/>
      <c r="X78" s="485"/>
      <c r="Y78" s="485"/>
      <c r="Z78" s="485"/>
      <c r="AA78" s="485"/>
      <c r="AB78" s="485"/>
      <c r="AC78" s="485"/>
      <c r="AD78" s="1118"/>
      <c r="AE78" s="537"/>
      <c r="AF78" s="485"/>
      <c r="AG78" s="485"/>
      <c r="AH78" s="485"/>
      <c r="AI78" s="485"/>
      <c r="AJ78" s="485"/>
      <c r="AK78" s="600"/>
      <c r="AL78" s="537"/>
      <c r="AM78" s="485"/>
      <c r="AN78" s="485"/>
      <c r="AO78" s="485"/>
      <c r="AP78" s="485"/>
      <c r="AQ78" s="485"/>
      <c r="AR78" s="600"/>
      <c r="AS78" s="600"/>
      <c r="AT78" s="600"/>
      <c r="AU78" s="600"/>
      <c r="AV78" s="600"/>
      <c r="AW78" s="600"/>
      <c r="AX78" s="600"/>
      <c r="AY78" s="600"/>
      <c r="AZ78" s="600"/>
      <c r="BA78" s="600"/>
      <c r="BB78" s="600"/>
      <c r="BC78" s="600"/>
      <c r="BD78" s="600"/>
      <c r="BE78" s="600"/>
      <c r="BF78" s="600"/>
      <c r="BG78" s="600"/>
      <c r="BH78" s="600"/>
      <c r="BI78" s="600"/>
      <c r="BJ78" s="600"/>
      <c r="BK78" s="600"/>
      <c r="BL78" s="600"/>
      <c r="BM78" s="600"/>
      <c r="BN78" s="600"/>
      <c r="BO78" s="600"/>
      <c r="BP78" s="600"/>
      <c r="BQ78" s="600"/>
      <c r="BR78" s="600"/>
      <c r="BS78" s="600"/>
      <c r="BT78" s="600"/>
      <c r="BU78" s="600"/>
      <c r="BV78" s="600"/>
      <c r="BW78" s="600"/>
      <c r="BX78" s="600"/>
      <c r="BY78" s="600"/>
      <c r="BZ78" s="600"/>
      <c r="CA78" s="600"/>
      <c r="CB78" s="600"/>
      <c r="CC78" s="600"/>
      <c r="CD78" s="537"/>
      <c r="CE78" s="485"/>
      <c r="CF78" s="485"/>
      <c r="CG78" s="485"/>
      <c r="CH78" s="485"/>
      <c r="CI78" s="485"/>
      <c r="CJ78" s="600"/>
      <c r="CK78" s="537"/>
      <c r="CL78" s="485"/>
      <c r="CM78" s="485"/>
      <c r="CN78" s="485"/>
      <c r="CO78" s="485"/>
      <c r="CP78" s="485"/>
      <c r="CQ78" s="600"/>
      <c r="CR78" s="537"/>
      <c r="CS78" s="485"/>
      <c r="CT78" s="485"/>
      <c r="CU78" s="485"/>
      <c r="CV78" s="485"/>
      <c r="CW78" s="485"/>
      <c r="CX78" s="600"/>
      <c r="CY78" s="600"/>
      <c r="CZ78" s="600"/>
      <c r="DA78" s="537"/>
      <c r="DB78" s="485"/>
      <c r="DC78" s="485"/>
      <c r="DD78" s="485"/>
      <c r="DE78" s="485"/>
      <c r="DF78" s="485"/>
      <c r="DG78" s="600"/>
      <c r="DH78" s="600"/>
      <c r="DI78" s="600"/>
      <c r="DJ78" s="600"/>
      <c r="DK78" s="600"/>
      <c r="DL78" s="600"/>
      <c r="DM78" s="600"/>
      <c r="DN78" s="600"/>
      <c r="DO78" s="600"/>
      <c r="DP78" s="600"/>
      <c r="DQ78" s="600"/>
      <c r="DR78" s="600"/>
      <c r="DS78" s="600"/>
      <c r="DT78" s="600"/>
      <c r="DU78" s="600"/>
      <c r="DV78" s="600"/>
      <c r="DW78" s="600"/>
      <c r="DX78" s="600"/>
      <c r="DY78" s="600"/>
      <c r="DZ78" s="600"/>
      <c r="EA78" s="600"/>
      <c r="EB78" s="600"/>
      <c r="EC78" s="600"/>
      <c r="ED78" s="600"/>
      <c r="EE78" s="600"/>
      <c r="EF78" s="600"/>
      <c r="EG78" s="600"/>
      <c r="EH78" s="600"/>
      <c r="EI78" s="600"/>
      <c r="EJ78" s="600"/>
      <c r="EK78" s="600"/>
      <c r="EL78" s="600"/>
      <c r="EM78" s="600"/>
      <c r="EN78" s="600"/>
      <c r="EO78" s="600"/>
      <c r="EP78" s="600"/>
      <c r="EQ78" s="600"/>
      <c r="ER78" s="600"/>
      <c r="ES78" s="600"/>
      <c r="ET78" s="600"/>
      <c r="EU78" s="600"/>
      <c r="EV78" s="600"/>
      <c r="EW78" s="600"/>
      <c r="EX78" s="600"/>
      <c r="EY78" s="600"/>
      <c r="EZ78" s="600"/>
    </row>
    <row r="79" spans="1:156" ht="23.25" hidden="1" customHeight="1" outlineLevel="1">
      <c r="A79" s="1950" t="e">
        <f ca="1">"Evolution des émissions de "&amp;$B$47&amp;" à "&amp;$I$47&amp;" par secteur : "&amp;$Q$41&amp;"%"</f>
        <v>#DIV/0!</v>
      </c>
      <c r="B79" s="1951"/>
      <c r="C79" s="1951"/>
      <c r="D79" s="1951"/>
      <c r="E79" s="1951"/>
      <c r="F79" s="1951"/>
      <c r="G79" s="1952"/>
      <c r="H79" s="537"/>
      <c r="I79" s="485"/>
      <c r="J79" s="485"/>
      <c r="K79" s="485"/>
      <c r="L79" s="485"/>
      <c r="M79" s="485"/>
      <c r="N79" s="485"/>
      <c r="O79" s="488"/>
      <c r="P79" s="492"/>
      <c r="Q79" s="480"/>
      <c r="R79" s="491"/>
      <c r="S79" s="470"/>
      <c r="T79" s="485"/>
      <c r="U79" s="485"/>
      <c r="V79" s="485"/>
      <c r="W79" s="485"/>
      <c r="X79" s="485"/>
      <c r="Y79" s="485"/>
      <c r="Z79" s="485"/>
      <c r="AA79" s="485"/>
      <c r="AB79" s="485"/>
      <c r="AC79" s="485"/>
      <c r="AD79" s="1118"/>
      <c r="AE79" s="537"/>
      <c r="AF79" s="485"/>
      <c r="AG79" s="485"/>
      <c r="AH79" s="485"/>
      <c r="AI79" s="485"/>
      <c r="AJ79" s="485"/>
      <c r="AK79" s="600"/>
      <c r="AL79" s="537"/>
      <c r="AM79" s="485"/>
      <c r="AN79" s="485"/>
      <c r="AO79" s="485"/>
      <c r="AP79" s="485"/>
      <c r="AQ79" s="485"/>
      <c r="AR79" s="600"/>
      <c r="AS79" s="600"/>
      <c r="AT79" s="600"/>
      <c r="AU79" s="600"/>
      <c r="AV79" s="600"/>
      <c r="AW79" s="600"/>
      <c r="AX79" s="600"/>
      <c r="AY79" s="600"/>
      <c r="AZ79" s="600"/>
      <c r="BA79" s="600"/>
      <c r="BB79" s="600"/>
      <c r="BC79" s="600"/>
      <c r="BD79" s="600"/>
      <c r="BE79" s="600"/>
      <c r="BF79" s="600"/>
      <c r="BG79" s="600"/>
      <c r="BH79" s="600"/>
      <c r="BI79" s="600"/>
      <c r="BJ79" s="600"/>
      <c r="BK79" s="600"/>
      <c r="BL79" s="600"/>
      <c r="BM79" s="600"/>
      <c r="BN79" s="600"/>
      <c r="BO79" s="600"/>
      <c r="BP79" s="600"/>
      <c r="BQ79" s="600"/>
      <c r="BR79" s="600"/>
      <c r="BS79" s="600"/>
      <c r="BT79" s="600"/>
      <c r="BU79" s="600"/>
      <c r="BV79" s="600"/>
      <c r="BW79" s="600"/>
      <c r="BX79" s="600"/>
      <c r="BY79" s="600"/>
      <c r="BZ79" s="600"/>
      <c r="CA79" s="600"/>
      <c r="CB79" s="600"/>
      <c r="CC79" s="600"/>
      <c r="CD79" s="537"/>
      <c r="CE79" s="485"/>
      <c r="CF79" s="485"/>
      <c r="CG79" s="485"/>
      <c r="CH79" s="485"/>
      <c r="CI79" s="485"/>
      <c r="CJ79" s="600"/>
      <c r="CK79" s="537"/>
      <c r="CL79" s="485"/>
      <c r="CM79" s="485"/>
      <c r="CN79" s="485"/>
      <c r="CO79" s="485"/>
      <c r="CP79" s="485"/>
      <c r="CQ79" s="600"/>
      <c r="CR79" s="537"/>
      <c r="CS79" s="485"/>
      <c r="CT79" s="485"/>
      <c r="CU79" s="485"/>
      <c r="CV79" s="485"/>
      <c r="CW79" s="485"/>
      <c r="CX79" s="600"/>
      <c r="CY79" s="600"/>
      <c r="CZ79" s="600"/>
      <c r="DA79" s="537"/>
      <c r="DB79" s="485"/>
      <c r="DC79" s="485"/>
      <c r="DD79" s="485"/>
      <c r="DE79" s="485"/>
      <c r="DF79" s="485"/>
      <c r="DG79" s="600"/>
      <c r="DH79" s="600"/>
      <c r="DI79" s="600"/>
      <c r="DJ79" s="600"/>
      <c r="DK79" s="600"/>
      <c r="DL79" s="600"/>
      <c r="DM79" s="600"/>
      <c r="DN79" s="600"/>
      <c r="DO79" s="600"/>
      <c r="DP79" s="600"/>
      <c r="DQ79" s="600"/>
      <c r="DR79" s="600"/>
      <c r="DS79" s="600"/>
      <c r="DT79" s="600"/>
      <c r="DU79" s="600"/>
      <c r="DV79" s="600"/>
      <c r="DW79" s="600"/>
      <c r="DX79" s="600"/>
      <c r="DY79" s="600"/>
      <c r="DZ79" s="600"/>
      <c r="EA79" s="600"/>
      <c r="EB79" s="600"/>
      <c r="EC79" s="600"/>
      <c r="ED79" s="600"/>
      <c r="EE79" s="600"/>
      <c r="EF79" s="600"/>
      <c r="EG79" s="600"/>
      <c r="EH79" s="600"/>
      <c r="EI79" s="600"/>
      <c r="EJ79" s="600"/>
      <c r="EK79" s="600"/>
      <c r="EL79" s="600"/>
      <c r="EM79" s="600"/>
      <c r="EN79" s="600"/>
      <c r="EO79" s="600"/>
      <c r="EP79" s="600"/>
      <c r="EQ79" s="600"/>
      <c r="ER79" s="600"/>
      <c r="ES79" s="600"/>
      <c r="ET79" s="600"/>
      <c r="EU79" s="600"/>
      <c r="EV79" s="600"/>
      <c r="EW79" s="600"/>
      <c r="EX79" s="600"/>
      <c r="EY79" s="600"/>
      <c r="EZ79" s="600"/>
    </row>
    <row r="80" spans="1:156" ht="23.4" hidden="1" outlineLevel="1">
      <c r="A80" s="1944" t="e">
        <f ca="1">"Evolution des consommations de "&amp;$B$47&amp;" à "&amp;$I$47&amp;" par vecteur : "&amp;$Q$22&amp;"%"</f>
        <v>#REF!</v>
      </c>
      <c r="B80" s="1944"/>
      <c r="C80" s="1944"/>
      <c r="D80" s="1944"/>
      <c r="E80" s="1944"/>
      <c r="F80" s="1944"/>
      <c r="G80" s="1944"/>
      <c r="H80" s="537"/>
      <c r="I80" s="485"/>
      <c r="J80" s="485"/>
      <c r="K80" s="485"/>
      <c r="L80" s="485"/>
      <c r="M80" s="485"/>
      <c r="N80" s="485"/>
      <c r="O80" s="488"/>
      <c r="P80" s="492"/>
      <c r="Q80" s="480"/>
      <c r="R80" s="491"/>
      <c r="S80" s="470"/>
      <c r="T80" s="485"/>
      <c r="U80" s="485"/>
      <c r="V80" s="485"/>
      <c r="W80" s="485"/>
      <c r="X80" s="485"/>
      <c r="Y80" s="485"/>
      <c r="Z80" s="485"/>
      <c r="AA80" s="485"/>
      <c r="AB80" s="485"/>
      <c r="AC80" s="485"/>
      <c r="AD80" s="1118"/>
      <c r="AE80" s="537"/>
      <c r="AF80" s="485"/>
      <c r="AG80" s="485"/>
      <c r="AH80" s="485"/>
      <c r="AI80" s="485"/>
      <c r="AJ80" s="485"/>
      <c r="AK80" s="600"/>
      <c r="AL80" s="537"/>
      <c r="AM80" s="485"/>
      <c r="AN80" s="485"/>
      <c r="AO80" s="485"/>
      <c r="AP80" s="485"/>
      <c r="AQ80" s="485"/>
      <c r="AR80" s="600"/>
      <c r="AS80" s="600"/>
      <c r="AT80" s="600"/>
      <c r="AU80" s="600"/>
      <c r="AV80" s="600"/>
      <c r="AW80" s="600"/>
      <c r="AX80" s="600"/>
      <c r="AY80" s="600"/>
      <c r="AZ80" s="600"/>
      <c r="BA80" s="600"/>
      <c r="BB80" s="600"/>
      <c r="BC80" s="600"/>
      <c r="BD80" s="600"/>
      <c r="BE80" s="600"/>
      <c r="BF80" s="600"/>
      <c r="BG80" s="600"/>
      <c r="BH80" s="600"/>
      <c r="BI80" s="600"/>
      <c r="BJ80" s="600"/>
      <c r="BK80" s="600"/>
      <c r="BL80" s="600"/>
      <c r="BM80" s="600"/>
      <c r="BN80" s="600"/>
      <c r="BO80" s="600"/>
      <c r="BP80" s="600"/>
      <c r="BQ80" s="600"/>
      <c r="BR80" s="600"/>
      <c r="BS80" s="600"/>
      <c r="BT80" s="600"/>
      <c r="BU80" s="600"/>
      <c r="BV80" s="600"/>
      <c r="BW80" s="600"/>
      <c r="BX80" s="600"/>
      <c r="BY80" s="600"/>
      <c r="BZ80" s="600"/>
      <c r="CA80" s="600"/>
      <c r="CB80" s="600"/>
      <c r="CC80" s="600"/>
      <c r="CD80" s="537"/>
      <c r="CE80" s="485"/>
      <c r="CF80" s="485"/>
      <c r="CG80" s="485"/>
      <c r="CH80" s="485"/>
      <c r="CI80" s="485"/>
      <c r="CJ80" s="600"/>
      <c r="CK80" s="537"/>
      <c r="CL80" s="485"/>
      <c r="CM80" s="485"/>
      <c r="CN80" s="485"/>
      <c r="CO80" s="485"/>
      <c r="CP80" s="485"/>
      <c r="CQ80" s="600"/>
      <c r="CR80" s="537"/>
      <c r="CS80" s="485"/>
      <c r="CT80" s="485"/>
      <c r="CU80" s="485"/>
      <c r="CV80" s="485"/>
      <c r="CW80" s="485"/>
      <c r="CX80" s="600"/>
      <c r="CY80" s="600"/>
      <c r="CZ80" s="600"/>
      <c r="DA80" s="537"/>
      <c r="DB80" s="485"/>
      <c r="DC80" s="485"/>
      <c r="DD80" s="485"/>
      <c r="DE80" s="485"/>
      <c r="DF80" s="485"/>
      <c r="DG80" s="600"/>
      <c r="DH80" s="600"/>
      <c r="DI80" s="600"/>
      <c r="DJ80" s="600"/>
      <c r="DK80" s="600"/>
      <c r="DL80" s="600"/>
      <c r="DM80" s="600"/>
      <c r="DN80" s="600"/>
      <c r="DO80" s="600"/>
      <c r="DP80" s="600"/>
      <c r="DQ80" s="600"/>
      <c r="DR80" s="600"/>
      <c r="DS80" s="600"/>
      <c r="DT80" s="600"/>
      <c r="DU80" s="600"/>
      <c r="DV80" s="600"/>
      <c r="DW80" s="600"/>
      <c r="DX80" s="600"/>
      <c r="DY80" s="600"/>
      <c r="DZ80" s="600"/>
      <c r="EA80" s="600"/>
      <c r="EB80" s="600"/>
      <c r="EC80" s="600"/>
      <c r="ED80" s="600"/>
      <c r="EE80" s="600"/>
      <c r="EF80" s="600"/>
      <c r="EG80" s="600"/>
      <c r="EH80" s="600"/>
      <c r="EI80" s="600"/>
      <c r="EJ80" s="600"/>
      <c r="EK80" s="600"/>
      <c r="EL80" s="600"/>
      <c r="EM80" s="600"/>
      <c r="EN80" s="600"/>
      <c r="EO80" s="600"/>
      <c r="EP80" s="600"/>
      <c r="EQ80" s="600"/>
      <c r="ER80" s="600"/>
      <c r="ES80" s="600"/>
      <c r="ET80" s="600"/>
      <c r="EU80" s="600"/>
      <c r="EV80" s="600"/>
      <c r="EW80" s="600"/>
      <c r="EX80" s="600"/>
      <c r="EY80" s="600"/>
      <c r="EZ80" s="600"/>
    </row>
    <row r="81" spans="1:156" ht="23.25" hidden="1" customHeight="1" outlineLevel="1">
      <c r="A81" s="1950" t="e">
        <f ca="1">"Evolution des émissions de "&amp;$B$47&amp;" à "&amp;$I$47&amp;" par vecteur : "&amp;$Q$41&amp;"%"</f>
        <v>#DIV/0!</v>
      </c>
      <c r="B81" s="1951"/>
      <c r="C81" s="1951"/>
      <c r="D81" s="1951"/>
      <c r="E81" s="1951"/>
      <c r="F81" s="1951"/>
      <c r="G81" s="1952"/>
      <c r="H81" s="537"/>
      <c r="I81" s="485"/>
      <c r="J81" s="485"/>
      <c r="K81" s="485"/>
      <c r="L81" s="485"/>
      <c r="M81" s="485"/>
      <c r="N81" s="485"/>
      <c r="O81" s="488"/>
      <c r="P81" s="492"/>
      <c r="Q81" s="480"/>
      <c r="R81" s="491"/>
      <c r="S81" s="470"/>
      <c r="T81" s="485"/>
      <c r="U81" s="485"/>
      <c r="V81" s="485"/>
      <c r="W81" s="485"/>
      <c r="X81" s="485"/>
      <c r="Y81" s="485"/>
      <c r="Z81" s="485"/>
      <c r="AA81" s="485"/>
      <c r="AB81" s="485"/>
      <c r="AC81" s="485"/>
      <c r="AD81" s="1118"/>
      <c r="AE81" s="537"/>
      <c r="AF81" s="485"/>
      <c r="AG81" s="485"/>
      <c r="AH81" s="485"/>
      <c r="AI81" s="485"/>
      <c r="AJ81" s="485"/>
      <c r="AK81" s="600"/>
      <c r="AL81" s="537"/>
      <c r="AM81" s="485"/>
      <c r="AN81" s="485"/>
      <c r="AO81" s="485"/>
      <c r="AP81" s="485"/>
      <c r="AQ81" s="485"/>
      <c r="AR81" s="600"/>
      <c r="AS81" s="600"/>
      <c r="AT81" s="600"/>
      <c r="AU81" s="600"/>
      <c r="AV81" s="600"/>
      <c r="AW81" s="600"/>
      <c r="AX81" s="600"/>
      <c r="AY81" s="600"/>
      <c r="AZ81" s="600"/>
      <c r="BA81" s="600"/>
      <c r="BB81" s="600"/>
      <c r="BC81" s="600"/>
      <c r="BD81" s="600"/>
      <c r="BE81" s="600"/>
      <c r="BF81" s="600"/>
      <c r="BG81" s="600"/>
      <c r="BH81" s="600"/>
      <c r="BI81" s="600"/>
      <c r="BJ81" s="600"/>
      <c r="BK81" s="600"/>
      <c r="BL81" s="600"/>
      <c r="BM81" s="600"/>
      <c r="BN81" s="600"/>
      <c r="BO81" s="600"/>
      <c r="BP81" s="600"/>
      <c r="BQ81" s="600"/>
      <c r="BR81" s="600"/>
      <c r="BS81" s="600"/>
      <c r="BT81" s="600"/>
      <c r="BU81" s="600"/>
      <c r="BV81" s="600"/>
      <c r="BW81" s="600"/>
      <c r="BX81" s="600"/>
      <c r="BY81" s="600"/>
      <c r="BZ81" s="600"/>
      <c r="CA81" s="600"/>
      <c r="CB81" s="600"/>
      <c r="CC81" s="600"/>
      <c r="CD81" s="537"/>
      <c r="CE81" s="485"/>
      <c r="CF81" s="485"/>
      <c r="CG81" s="485"/>
      <c r="CH81" s="485"/>
      <c r="CI81" s="485"/>
      <c r="CJ81" s="600"/>
      <c r="CK81" s="537"/>
      <c r="CL81" s="485"/>
      <c r="CM81" s="485"/>
      <c r="CN81" s="485"/>
      <c r="CO81" s="485"/>
      <c r="CP81" s="485"/>
      <c r="CQ81" s="600"/>
      <c r="CR81" s="537"/>
      <c r="CS81" s="485"/>
      <c r="CT81" s="485"/>
      <c r="CU81" s="485"/>
      <c r="CV81" s="485"/>
      <c r="CW81" s="485"/>
      <c r="CX81" s="600"/>
      <c r="CY81" s="600"/>
      <c r="CZ81" s="600"/>
      <c r="DA81" s="537"/>
      <c r="DB81" s="485"/>
      <c r="DC81" s="485"/>
      <c r="DD81" s="485"/>
      <c r="DE81" s="485"/>
      <c r="DF81" s="485"/>
      <c r="DG81" s="600"/>
      <c r="DH81" s="600"/>
      <c r="DI81" s="600"/>
      <c r="DJ81" s="600"/>
      <c r="DK81" s="600"/>
      <c r="DL81" s="600"/>
      <c r="DM81" s="600"/>
      <c r="DN81" s="600"/>
      <c r="DO81" s="600"/>
      <c r="DP81" s="600"/>
      <c r="DQ81" s="600"/>
      <c r="DR81" s="600"/>
      <c r="DS81" s="600"/>
      <c r="DT81" s="600"/>
      <c r="DU81" s="600"/>
      <c r="DV81" s="600"/>
      <c r="DW81" s="600"/>
      <c r="DX81" s="600"/>
      <c r="DY81" s="600"/>
      <c r="DZ81" s="600"/>
      <c r="EA81" s="600"/>
      <c r="EB81" s="600"/>
      <c r="EC81" s="600"/>
      <c r="ED81" s="600"/>
      <c r="EE81" s="600"/>
      <c r="EF81" s="600"/>
      <c r="EG81" s="600"/>
      <c r="EH81" s="600"/>
      <c r="EI81" s="600"/>
      <c r="EJ81" s="600"/>
      <c r="EK81" s="600"/>
      <c r="EL81" s="600"/>
      <c r="EM81" s="600"/>
      <c r="EN81" s="600"/>
      <c r="EO81" s="600"/>
      <c r="EP81" s="600"/>
      <c r="EQ81" s="600"/>
      <c r="ER81" s="600"/>
      <c r="ES81" s="600"/>
      <c r="ET81" s="600"/>
      <c r="EU81" s="600"/>
      <c r="EV81" s="600"/>
      <c r="EW81" s="600"/>
      <c r="EX81" s="600"/>
      <c r="EY81" s="600"/>
      <c r="EZ81" s="600"/>
    </row>
    <row r="82" spans="1:156" hidden="1" outlineLevel="1">
      <c r="A82" s="485"/>
      <c r="B82" s="485"/>
      <c r="C82" s="485"/>
      <c r="D82" s="485"/>
      <c r="E82" s="485"/>
      <c r="F82" s="485"/>
      <c r="G82" s="485"/>
      <c r="H82" s="485"/>
      <c r="I82" s="485"/>
      <c r="J82" s="485"/>
      <c r="K82" s="485"/>
      <c r="L82" s="485"/>
      <c r="M82" s="485"/>
      <c r="N82" s="485"/>
      <c r="O82" s="485"/>
      <c r="P82" s="485"/>
      <c r="Q82" s="485"/>
      <c r="R82" s="485"/>
      <c r="S82" s="485"/>
      <c r="T82" s="485"/>
      <c r="U82" s="485"/>
      <c r="V82" s="485"/>
      <c r="W82" s="485"/>
      <c r="X82" s="485"/>
      <c r="Y82" s="485"/>
      <c r="Z82" s="485"/>
      <c r="AA82" s="485"/>
      <c r="AB82" s="485"/>
      <c r="AC82" s="485"/>
      <c r="AD82" s="1118"/>
      <c r="AE82" s="485"/>
      <c r="AF82" s="485"/>
      <c r="AG82" s="485"/>
      <c r="AH82" s="485"/>
      <c r="AI82" s="485"/>
      <c r="AJ82" s="485"/>
      <c r="AK82" s="600"/>
      <c r="AL82" s="485"/>
      <c r="AM82" s="485"/>
      <c r="AN82" s="485"/>
      <c r="AO82" s="485"/>
      <c r="AP82" s="485"/>
      <c r="AQ82" s="485"/>
      <c r="AR82" s="600"/>
      <c r="AS82" s="600"/>
      <c r="AT82" s="600"/>
      <c r="AU82" s="600"/>
      <c r="AV82" s="600"/>
      <c r="AW82" s="600"/>
      <c r="AX82" s="600"/>
      <c r="AY82" s="600"/>
      <c r="AZ82" s="600"/>
      <c r="BA82" s="600"/>
      <c r="BB82" s="600"/>
      <c r="BC82" s="600"/>
      <c r="BD82" s="600"/>
      <c r="BE82" s="600"/>
      <c r="BF82" s="600"/>
      <c r="BG82" s="600"/>
      <c r="BH82" s="600"/>
      <c r="BI82" s="600"/>
      <c r="BJ82" s="600"/>
      <c r="BK82" s="600"/>
      <c r="BL82" s="600"/>
      <c r="BM82" s="600"/>
      <c r="BN82" s="600"/>
      <c r="BO82" s="600"/>
      <c r="BP82" s="600"/>
      <c r="BQ82" s="600"/>
      <c r="BR82" s="600"/>
      <c r="BS82" s="600"/>
      <c r="BT82" s="600"/>
      <c r="BU82" s="600"/>
      <c r="BV82" s="600"/>
      <c r="BW82" s="600"/>
      <c r="BX82" s="600"/>
      <c r="BY82" s="600"/>
      <c r="BZ82" s="600"/>
      <c r="CA82" s="600"/>
      <c r="CB82" s="600"/>
      <c r="CC82" s="600"/>
      <c r="CD82" s="485"/>
      <c r="CE82" s="485"/>
      <c r="CF82" s="485"/>
      <c r="CG82" s="485"/>
      <c r="CH82" s="485"/>
      <c r="CI82" s="485"/>
      <c r="CJ82" s="600"/>
      <c r="CK82" s="485"/>
      <c r="CL82" s="485"/>
      <c r="CM82" s="485"/>
      <c r="CN82" s="485"/>
      <c r="CO82" s="485"/>
      <c r="CP82" s="485"/>
      <c r="CQ82" s="600"/>
      <c r="CR82" s="485"/>
      <c r="CS82" s="485"/>
      <c r="CT82" s="485"/>
      <c r="CU82" s="485"/>
      <c r="CV82" s="485"/>
      <c r="CW82" s="485"/>
      <c r="CX82" s="600"/>
      <c r="CY82" s="600"/>
      <c r="CZ82" s="600"/>
      <c r="DA82" s="485"/>
      <c r="DB82" s="485"/>
      <c r="DC82" s="485"/>
      <c r="DD82" s="485"/>
      <c r="DE82" s="485"/>
      <c r="DF82" s="485"/>
    </row>
    <row r="83" spans="1:156" ht="23.4" collapsed="1">
      <c r="A83" s="106"/>
      <c r="B83" s="107"/>
      <c r="C83" s="107"/>
      <c r="D83" s="104"/>
      <c r="E83" s="102"/>
      <c r="F83" s="103"/>
      <c r="G83" s="103"/>
      <c r="H83" s="105"/>
      <c r="I83" s="70"/>
      <c r="J83" s="70"/>
      <c r="K83" s="70"/>
      <c r="L83" s="640"/>
      <c r="M83" s="70"/>
      <c r="N83" s="567"/>
      <c r="O83" s="592"/>
      <c r="P83" s="592"/>
      <c r="Q83" s="485"/>
      <c r="R83" s="485"/>
      <c r="S83" s="485"/>
      <c r="T83" s="485"/>
      <c r="U83" s="485"/>
      <c r="V83" s="485"/>
      <c r="W83" s="485"/>
      <c r="X83" s="485"/>
      <c r="Y83" s="485"/>
      <c r="Z83" s="485"/>
      <c r="AA83" s="485"/>
      <c r="AB83" s="485"/>
      <c r="AC83" s="485"/>
      <c r="AD83" s="1118"/>
      <c r="AE83" s="105" t="s">
        <v>2088</v>
      </c>
      <c r="AF83" s="70">
        <f>Objectifs!E52</f>
        <v>0</v>
      </c>
      <c r="AG83" s="70"/>
      <c r="AH83" s="70"/>
      <c r="AI83" s="640"/>
      <c r="AJ83" s="70"/>
      <c r="AK83" s="600"/>
      <c r="AL83" s="105"/>
      <c r="AM83" s="70"/>
      <c r="AN83" s="70"/>
      <c r="AO83" s="70"/>
      <c r="AP83" s="640"/>
      <c r="AQ83" s="70"/>
      <c r="AR83" s="600"/>
      <c r="AS83" s="600"/>
      <c r="AT83" s="600"/>
      <c r="AU83" s="600"/>
      <c r="AV83" s="600"/>
      <c r="AW83" s="600"/>
      <c r="AX83" s="600"/>
      <c r="AY83" s="600"/>
      <c r="AZ83" s="600"/>
      <c r="BA83" s="600"/>
      <c r="BB83" s="600"/>
      <c r="BC83" s="600"/>
      <c r="BD83" s="600"/>
      <c r="BE83" s="600"/>
      <c r="BF83" s="600"/>
      <c r="BG83" s="600"/>
      <c r="BH83" s="600"/>
      <c r="BI83" s="600"/>
      <c r="BJ83" s="600"/>
      <c r="BK83" s="600"/>
      <c r="BL83" s="600"/>
      <c r="BM83" s="600"/>
      <c r="BN83" s="600"/>
      <c r="BO83" s="600"/>
      <c r="BP83" s="600"/>
      <c r="BQ83" s="600"/>
      <c r="BR83" s="600"/>
      <c r="BS83" s="600"/>
      <c r="BT83" s="600"/>
      <c r="BU83" s="600"/>
      <c r="BV83" s="600"/>
      <c r="BW83" s="600"/>
      <c r="BX83" s="600"/>
      <c r="BY83" s="600"/>
      <c r="BZ83" s="600"/>
      <c r="CA83" s="600"/>
      <c r="CB83" s="600"/>
      <c r="CC83" s="600"/>
      <c r="CD83" s="105"/>
      <c r="CE83" s="70"/>
      <c r="CF83" s="70"/>
      <c r="CG83" s="70"/>
      <c r="CH83" s="640"/>
      <c r="CI83" s="70"/>
      <c r="CJ83" s="600"/>
      <c r="CK83" s="105"/>
      <c r="CL83" s="70"/>
      <c r="CM83" s="70"/>
      <c r="CN83" s="70"/>
      <c r="CO83" s="640"/>
      <c r="CP83" s="70"/>
      <c r="CQ83" s="600"/>
      <c r="CR83" s="105"/>
      <c r="CS83" s="70"/>
      <c r="CT83" s="70"/>
      <c r="CU83" s="70"/>
      <c r="CV83" s="640"/>
      <c r="CW83" s="70"/>
      <c r="CX83" s="600"/>
      <c r="CY83" s="600"/>
      <c r="CZ83" s="600"/>
      <c r="DA83" s="105"/>
      <c r="DB83" s="70"/>
      <c r="DC83" s="70"/>
      <c r="DD83" s="70"/>
      <c r="DE83" s="640"/>
      <c r="DF83" s="70"/>
    </row>
    <row r="84" spans="1:156" ht="23.4">
      <c r="A84" s="106"/>
      <c r="B84" s="107"/>
      <c r="C84" s="107"/>
      <c r="D84" s="104"/>
      <c r="E84" s="102"/>
      <c r="F84" s="103"/>
      <c r="G84" s="103"/>
      <c r="H84" s="105"/>
      <c r="I84" s="70"/>
      <c r="J84" s="70"/>
      <c r="K84" s="70"/>
      <c r="L84" s="640"/>
      <c r="M84" s="70"/>
      <c r="N84" s="567"/>
      <c r="O84" s="592"/>
      <c r="P84" s="592"/>
      <c r="Q84" s="485"/>
      <c r="R84" s="485"/>
      <c r="S84" s="485"/>
      <c r="T84" s="485"/>
      <c r="U84" s="485"/>
      <c r="V84" s="485"/>
      <c r="W84" s="485"/>
      <c r="X84" s="485"/>
      <c r="Y84" s="485"/>
      <c r="Z84" s="485"/>
      <c r="AA84" s="485"/>
      <c r="AB84" s="485"/>
      <c r="AC84" s="485"/>
      <c r="AD84" s="1118"/>
      <c r="AE84" s="105" t="s">
        <v>2087</v>
      </c>
      <c r="AF84" s="1483" t="e">
        <f ca="1">IF(AN20=0,0,IF(AF83&gt;AN20,'Hypothèses &amp; Méthodo'!B23,((AN20-AF83)*'Hypothèses &amp; Méthodo'!B10+'Bilan territorial'!AF83*'Hypothèses &amp; Méthodo'!B23)/'Bilan territorial'!AN20))</f>
        <v>#REF!</v>
      </c>
      <c r="AG84" s="70"/>
      <c r="AH84" s="70"/>
      <c r="AI84" s="640"/>
      <c r="AJ84" s="70"/>
      <c r="AK84" s="600"/>
      <c r="AL84" s="105"/>
      <c r="AM84" s="70" t="s">
        <v>235</v>
      </c>
      <c r="AN84" s="70" t="s">
        <v>236</v>
      </c>
      <c r="AO84" s="70" t="s">
        <v>93</v>
      </c>
      <c r="AP84" s="640" t="s">
        <v>107</v>
      </c>
      <c r="AQ84" s="70"/>
      <c r="AR84" s="600"/>
      <c r="AS84" s="600"/>
      <c r="AT84" s="600"/>
      <c r="AU84" s="600"/>
      <c r="AV84" s="600"/>
      <c r="AW84" s="600"/>
      <c r="AX84" s="600"/>
      <c r="AY84" s="600"/>
      <c r="AZ84" s="600"/>
      <c r="BA84" s="600"/>
      <c r="BB84" s="600"/>
      <c r="BC84" s="600"/>
      <c r="BD84" s="600"/>
      <c r="BE84" s="600"/>
      <c r="BF84" s="600"/>
      <c r="BG84" s="600"/>
      <c r="BH84" s="600"/>
      <c r="BI84" s="600"/>
      <c r="BJ84" s="600"/>
      <c r="BK84" s="600"/>
      <c r="BL84" s="600"/>
      <c r="BM84" s="600"/>
      <c r="BN84" s="600"/>
      <c r="BO84" s="600"/>
      <c r="BP84" s="600"/>
      <c r="BQ84" s="600"/>
      <c r="BR84" s="600"/>
      <c r="BS84" s="600"/>
      <c r="BT84" s="600"/>
      <c r="BU84" s="600"/>
      <c r="BV84" s="600"/>
      <c r="BW84" s="600"/>
      <c r="BX84" s="600"/>
      <c r="BY84" s="600"/>
      <c r="BZ84" s="600"/>
      <c r="CA84" s="600"/>
      <c r="CB84" s="600"/>
      <c r="CC84" s="600"/>
      <c r="CD84" s="105"/>
      <c r="CE84" s="70" t="s">
        <v>235</v>
      </c>
      <c r="CF84" s="70" t="s">
        <v>236</v>
      </c>
      <c r="CG84" s="70" t="s">
        <v>93</v>
      </c>
      <c r="CH84" s="640" t="s">
        <v>107</v>
      </c>
      <c r="CI84" s="70"/>
      <c r="CJ84" s="600"/>
      <c r="CK84" s="105"/>
      <c r="CL84" s="70"/>
      <c r="CM84" s="70"/>
      <c r="CN84" s="70"/>
      <c r="CO84" s="640"/>
      <c r="CP84" s="70"/>
      <c r="CQ84" s="600"/>
      <c r="CR84" s="105"/>
      <c r="CS84" s="70"/>
      <c r="CT84" s="70"/>
      <c r="CU84" s="70"/>
      <c r="CV84" s="640"/>
      <c r="CW84" s="70"/>
      <c r="CX84" s="600"/>
      <c r="CY84" s="600"/>
      <c r="CZ84" s="600"/>
      <c r="DA84" s="105"/>
      <c r="DB84" s="70"/>
      <c r="DC84" s="70"/>
      <c r="DD84" s="70"/>
      <c r="DE84" s="640"/>
      <c r="DF84" s="70"/>
    </row>
    <row r="85" spans="1:156" ht="23.4">
      <c r="A85" s="106"/>
      <c r="B85" s="107"/>
      <c r="C85" s="107"/>
      <c r="D85" s="104"/>
      <c r="E85" s="102"/>
      <c r="F85" s="103"/>
      <c r="G85" s="103"/>
      <c r="H85" s="105"/>
      <c r="I85" s="70"/>
      <c r="J85" s="70"/>
      <c r="K85" s="70"/>
      <c r="L85" s="640"/>
      <c r="M85" s="70"/>
      <c r="N85" s="567"/>
      <c r="O85" s="592"/>
      <c r="P85" s="592"/>
      <c r="Q85" s="485"/>
      <c r="R85" s="485"/>
      <c r="S85" s="485"/>
      <c r="T85" s="485"/>
      <c r="U85" s="485"/>
      <c r="V85" s="485"/>
      <c r="W85" s="485"/>
      <c r="X85" s="485"/>
      <c r="Y85" s="485"/>
      <c r="Z85" s="485"/>
      <c r="AA85" s="485"/>
      <c r="AB85" s="485"/>
      <c r="AC85" s="485"/>
      <c r="AD85" s="1118"/>
      <c r="AE85" s="105"/>
      <c r="AF85" s="70"/>
      <c r="AG85" s="70"/>
      <c r="AH85" s="70"/>
      <c r="AI85" s="640"/>
      <c r="AJ85" s="70"/>
      <c r="AK85" s="600"/>
      <c r="AL85" s="105" t="s">
        <v>237</v>
      </c>
      <c r="AM85" s="1191" t="e">
        <f ca="1">SUM(AN17:AP17)</f>
        <v>#REF!</v>
      </c>
      <c r="AN85" s="1191" t="e">
        <f ca="1">SUM(AN11:AP12)+SUM(AN15:AP16)+SUM(BQ13:BR15)</f>
        <v>#REF!</v>
      </c>
      <c r="AO85" s="1191" t="e">
        <f ca="1">AM20</f>
        <v>#REF!</v>
      </c>
      <c r="AP85" s="1192" t="e">
        <f ca="1">SUM(AM85:AO85)</f>
        <v>#REF!</v>
      </c>
      <c r="AQ85" s="70"/>
      <c r="AR85" s="600"/>
      <c r="AS85" s="600"/>
      <c r="AT85" s="600"/>
      <c r="AU85" s="600"/>
      <c r="AV85" s="600"/>
      <c r="AW85" s="600"/>
      <c r="AX85" s="600"/>
      <c r="AY85" s="600"/>
      <c r="AZ85" s="600"/>
      <c r="BA85" s="600"/>
      <c r="BB85" s="600"/>
      <c r="BC85" s="600"/>
      <c r="BD85" s="600"/>
      <c r="BE85" s="600"/>
      <c r="BF85" s="600"/>
      <c r="BG85" s="600"/>
      <c r="BH85" s="600"/>
      <c r="BI85" s="600"/>
      <c r="BJ85" s="600"/>
      <c r="BK85" s="600"/>
      <c r="BL85" s="600"/>
      <c r="BM85" s="600"/>
      <c r="BN85" s="600"/>
      <c r="BO85" s="600"/>
      <c r="BP85" s="600"/>
      <c r="BQ85" s="600"/>
      <c r="BR85" s="600"/>
      <c r="BS85" s="600"/>
      <c r="BT85" s="600"/>
      <c r="BU85" s="600"/>
      <c r="BV85" s="600"/>
      <c r="BW85" s="600"/>
      <c r="BX85" s="600"/>
      <c r="BY85" s="600"/>
      <c r="BZ85" s="600"/>
      <c r="CA85" s="600"/>
      <c r="CB85" s="600"/>
      <c r="CC85" s="600"/>
      <c r="CD85" s="105" t="s">
        <v>237</v>
      </c>
      <c r="CE85" s="1191" t="e">
        <f ca="1">SUM(CF17:CH17)</f>
        <v>#REF!</v>
      </c>
      <c r="CF85" s="1191" t="e">
        <f ca="1">SUM(CF11:CH12)+SUM(CF15:CH16)</f>
        <v>#REF!</v>
      </c>
      <c r="CG85" s="1191" t="e">
        <f ca="1">CE20</f>
        <v>#REF!</v>
      </c>
      <c r="CH85" s="1192" t="e">
        <f ca="1">SUM(CE85:CG85)</f>
        <v>#REF!</v>
      </c>
      <c r="CI85" s="70"/>
      <c r="CJ85" s="600"/>
      <c r="CK85" s="105"/>
      <c r="CL85" s="70"/>
      <c r="CM85" s="70"/>
      <c r="CN85" s="70"/>
      <c r="CO85" s="640"/>
      <c r="CP85" s="70"/>
      <c r="CQ85" s="600"/>
      <c r="CR85" s="105"/>
      <c r="CS85" s="70"/>
      <c r="CT85" s="70"/>
      <c r="CU85" s="70"/>
      <c r="CV85" s="640"/>
      <c r="CW85" s="70"/>
      <c r="CX85" s="600"/>
      <c r="CY85" s="600"/>
      <c r="CZ85" s="600"/>
      <c r="DA85" s="105"/>
      <c r="DB85" s="70"/>
      <c r="DC85" s="70"/>
      <c r="DD85" s="70"/>
      <c r="DE85" s="640"/>
      <c r="DF85" s="70"/>
    </row>
    <row r="86" spans="1:156" ht="23.4">
      <c r="A86" s="106"/>
      <c r="B86" s="107"/>
      <c r="C86" s="107"/>
      <c r="D86" s="104"/>
      <c r="E86" s="102"/>
      <c r="F86" s="103"/>
      <c r="G86" s="103"/>
      <c r="H86" s="105"/>
      <c r="I86" s="70"/>
      <c r="J86" s="70"/>
      <c r="K86" s="70"/>
      <c r="L86" s="640"/>
      <c r="M86" s="70"/>
      <c r="N86" s="567"/>
      <c r="O86" s="592"/>
      <c r="P86" s="592"/>
      <c r="Q86" s="485"/>
      <c r="R86" s="485"/>
      <c r="S86" s="485"/>
      <c r="T86" s="485"/>
      <c r="U86" s="485"/>
      <c r="V86" s="485"/>
      <c r="W86" s="485"/>
      <c r="X86" s="485"/>
      <c r="Y86" s="485"/>
      <c r="Z86" s="485"/>
      <c r="AA86" s="485"/>
      <c r="AB86" s="485"/>
      <c r="AC86" s="485"/>
      <c r="AD86" s="1118"/>
      <c r="AE86" s="105"/>
      <c r="AF86" s="70"/>
      <c r="AG86" s="70"/>
      <c r="AH86" s="70"/>
      <c r="AI86" s="640"/>
      <c r="AJ86" s="70"/>
      <c r="AK86" s="600"/>
      <c r="AL86" s="105" t="s">
        <v>238</v>
      </c>
      <c r="AM86" s="1191" t="e">
        <f ca="1">AP17</f>
        <v>#REF!</v>
      </c>
      <c r="AN86" s="1191" t="e">
        <f ca="1">AN59+IF(AN20=0,0,IF(AF83&gt;AN20,AN20,AF83))+SUM(BQ13:BR15)</f>
        <v>#REF!</v>
      </c>
      <c r="AO86" s="1191" t="e">
        <f ca="1">AM59</f>
        <v>#REF!</v>
      </c>
      <c r="AP86" s="1192" t="e">
        <f t="shared" ref="AP86" ca="1" si="154">SUM(AM86:AO86)</f>
        <v>#REF!</v>
      </c>
      <c r="AQ86" s="1193" t="e">
        <f ca="1">AP86/AP85</f>
        <v>#REF!</v>
      </c>
      <c r="AR86" s="600"/>
      <c r="AS86" s="600"/>
      <c r="AT86" s="600"/>
      <c r="AU86" s="600"/>
      <c r="AV86" s="600"/>
      <c r="AW86" s="600"/>
      <c r="AX86" s="600"/>
      <c r="AY86" s="600"/>
      <c r="AZ86" s="600"/>
      <c r="BA86" s="600"/>
      <c r="BB86" s="600"/>
      <c r="BC86" s="600"/>
      <c r="BD86" s="600"/>
      <c r="BE86" s="600"/>
      <c r="BF86" s="600"/>
      <c r="BG86" s="600"/>
      <c r="BH86" s="600"/>
      <c r="BI86" s="600"/>
      <c r="BJ86" s="600"/>
      <c r="BK86" s="600"/>
      <c r="BL86" s="600"/>
      <c r="BM86" s="600"/>
      <c r="BN86" s="600"/>
      <c r="BO86" s="600"/>
      <c r="BP86" s="600"/>
      <c r="BQ86" s="600"/>
      <c r="BR86" s="600"/>
      <c r="BS86" s="600"/>
      <c r="BT86" s="600"/>
      <c r="BU86" s="600"/>
      <c r="BV86" s="600"/>
      <c r="BW86" s="600"/>
      <c r="BX86" s="600"/>
      <c r="BY86" s="600"/>
      <c r="BZ86" s="600"/>
      <c r="CA86" s="600"/>
      <c r="CB86" s="600"/>
      <c r="CC86" s="600"/>
      <c r="CD86" s="105" t="s">
        <v>238</v>
      </c>
      <c r="CE86" s="1191" t="e">
        <f ca="1">CH17</f>
        <v>#REF!</v>
      </c>
      <c r="CF86" s="1191" t="e">
        <f ca="1">CF59</f>
        <v>#REF!</v>
      </c>
      <c r="CG86" s="1191" t="e">
        <f ca="1">CE59</f>
        <v>#REF!</v>
      </c>
      <c r="CH86" s="1192" t="e">
        <f t="shared" ref="CH86" ca="1" si="155">SUM(CE86:CG86)</f>
        <v>#REF!</v>
      </c>
      <c r="CI86" s="1193" t="e">
        <f ca="1">CH86/CH85</f>
        <v>#REF!</v>
      </c>
      <c r="CJ86" s="600"/>
      <c r="CK86" s="105"/>
      <c r="CL86" s="70"/>
      <c r="CM86" s="70"/>
      <c r="CN86" s="70"/>
      <c r="CO86" s="640"/>
      <c r="CP86" s="70"/>
      <c r="CQ86" s="600"/>
      <c r="CR86" s="105"/>
      <c r="CS86" s="70"/>
      <c r="CT86" s="70"/>
      <c r="CU86" s="70"/>
      <c r="CV86" s="640"/>
      <c r="CW86" s="70"/>
      <c r="CX86" s="600"/>
      <c r="CY86" s="600"/>
      <c r="CZ86" s="600"/>
      <c r="DA86" s="105"/>
      <c r="DB86" s="70"/>
      <c r="DC86" s="70"/>
      <c r="DD86" s="70"/>
      <c r="DE86" s="640"/>
      <c r="DF86" s="70"/>
    </row>
    <row r="87" spans="1:156" ht="23.4">
      <c r="A87" s="106"/>
      <c r="B87" s="107"/>
      <c r="C87" s="107"/>
      <c r="D87" s="104"/>
      <c r="E87" s="102"/>
      <c r="F87" s="103"/>
      <c r="G87" s="103"/>
      <c r="H87" s="105"/>
      <c r="I87" s="70"/>
      <c r="J87" s="70"/>
      <c r="K87" s="70"/>
      <c r="L87" s="640"/>
      <c r="M87" s="70"/>
      <c r="N87" s="567"/>
      <c r="O87" s="592"/>
      <c r="P87" s="592"/>
      <c r="Q87" s="485"/>
      <c r="R87" s="485"/>
      <c r="S87" s="485"/>
      <c r="T87" s="485"/>
      <c r="U87" s="485"/>
      <c r="V87" s="485"/>
      <c r="W87" s="485"/>
      <c r="X87" s="485"/>
      <c r="Y87" s="485"/>
      <c r="Z87" s="485"/>
      <c r="AA87" s="485"/>
      <c r="AB87" s="485"/>
      <c r="AC87" s="485"/>
      <c r="AD87" s="1118"/>
      <c r="AE87" s="105"/>
      <c r="AF87" s="70"/>
      <c r="AG87" s="70"/>
      <c r="AH87" s="70"/>
      <c r="AI87" s="640"/>
      <c r="AJ87" s="70"/>
      <c r="AK87" s="600"/>
      <c r="AL87" s="105" t="s">
        <v>239</v>
      </c>
      <c r="AM87" s="1191" t="e">
        <f ca="1">AM85-AM86</f>
        <v>#REF!</v>
      </c>
      <c r="AN87" s="1191" t="e">
        <f t="shared" ref="AN87:AO87" ca="1" si="156">AN85-AN86</f>
        <v>#REF!</v>
      </c>
      <c r="AO87" s="1194" t="e">
        <f t="shared" ca="1" si="156"/>
        <v>#REF!</v>
      </c>
      <c r="AP87" s="1192"/>
      <c r="AQ87" s="70"/>
      <c r="AR87" s="600"/>
      <c r="AS87" s="600"/>
      <c r="AT87" s="600"/>
      <c r="AU87" s="600"/>
      <c r="AV87" s="600"/>
      <c r="AW87" s="600"/>
      <c r="AX87" s="600"/>
      <c r="AY87" s="600"/>
      <c r="AZ87" s="600"/>
      <c r="BA87" s="600"/>
      <c r="BB87" s="600"/>
      <c r="BC87" s="600"/>
      <c r="BD87" s="600"/>
      <c r="BE87" s="600"/>
      <c r="BF87" s="600"/>
      <c r="BG87" s="600"/>
      <c r="BH87" s="600"/>
      <c r="BI87" s="600"/>
      <c r="BJ87" s="600"/>
      <c r="BK87" s="600"/>
      <c r="BL87" s="600"/>
      <c r="BM87" s="600"/>
      <c r="BN87" s="600"/>
      <c r="BO87" s="600"/>
      <c r="BP87" s="600"/>
      <c r="BQ87" s="600"/>
      <c r="BR87" s="600"/>
      <c r="BS87" s="600"/>
      <c r="BT87" s="600"/>
      <c r="BU87" s="600"/>
      <c r="BV87" s="600"/>
      <c r="BW87" s="600"/>
      <c r="BX87" s="600"/>
      <c r="BY87" s="600"/>
      <c r="BZ87" s="600"/>
      <c r="CA87" s="600"/>
      <c r="CB87" s="600"/>
      <c r="CC87" s="600"/>
      <c r="CD87" s="105" t="s">
        <v>239</v>
      </c>
      <c r="CE87" s="1191" t="e">
        <f ca="1">CE85-CE86</f>
        <v>#REF!</v>
      </c>
      <c r="CF87" s="1191" t="e">
        <f t="shared" ref="CF87:CG87" ca="1" si="157">CF85-CF86</f>
        <v>#REF!</v>
      </c>
      <c r="CG87" s="1191" t="e">
        <f t="shared" ca="1" si="157"/>
        <v>#REF!</v>
      </c>
      <c r="CH87" s="1192"/>
      <c r="CI87" s="70"/>
      <c r="CJ87" s="600"/>
      <c r="CK87" s="105"/>
      <c r="CL87" s="70"/>
      <c r="CM87" s="70"/>
      <c r="CN87" s="70"/>
      <c r="CO87" s="640"/>
      <c r="CP87" s="70"/>
      <c r="CQ87" s="600"/>
      <c r="CR87" s="105"/>
      <c r="CS87" s="70"/>
      <c r="CT87" s="70"/>
      <c r="CU87" s="70"/>
      <c r="CV87" s="640"/>
      <c r="CW87" s="70"/>
      <c r="CX87" s="600"/>
      <c r="CY87" s="600"/>
      <c r="CZ87" s="600"/>
      <c r="DA87" s="105"/>
      <c r="DB87" s="70"/>
      <c r="DC87" s="70"/>
      <c r="DD87" s="70"/>
      <c r="DE87" s="640"/>
      <c r="DF87" s="70"/>
    </row>
    <row r="88" spans="1:156" ht="23.4">
      <c r="A88" s="106"/>
      <c r="B88" s="107"/>
      <c r="C88" s="107"/>
      <c r="D88" s="104"/>
      <c r="E88" s="102"/>
      <c r="F88" s="103"/>
      <c r="G88" s="103"/>
      <c r="H88" s="105"/>
      <c r="I88" s="70"/>
      <c r="J88" s="70"/>
      <c r="K88" s="70"/>
      <c r="L88" s="640"/>
      <c r="M88" s="70"/>
      <c r="N88" s="567"/>
      <c r="O88" s="592"/>
      <c r="P88" s="592"/>
      <c r="Q88" s="485"/>
      <c r="R88" s="485"/>
      <c r="S88" s="485"/>
      <c r="T88" s="485"/>
      <c r="U88" s="485"/>
      <c r="V88" s="485"/>
      <c r="W88" s="485"/>
      <c r="X88" s="485"/>
      <c r="Y88" s="485"/>
      <c r="Z88" s="485"/>
      <c r="AA88" s="485"/>
      <c r="AB88" s="485"/>
      <c r="AC88" s="485"/>
      <c r="AD88" s="1118"/>
      <c r="AE88" s="105"/>
      <c r="AF88" s="70"/>
      <c r="AG88" s="70"/>
      <c r="AH88" s="70"/>
      <c r="AI88" s="640"/>
      <c r="AJ88" s="70"/>
      <c r="AK88" s="600"/>
      <c r="AL88" s="105"/>
      <c r="AM88" s="1195" t="e">
        <f ca="1">AM86/AM85</f>
        <v>#REF!</v>
      </c>
      <c r="AN88" s="1195" t="e">
        <f t="shared" ref="AN88:AO88" ca="1" si="158">AN86/AN85</f>
        <v>#REF!</v>
      </c>
      <c r="AO88" s="1195" t="e">
        <f t="shared" ca="1" si="158"/>
        <v>#REF!</v>
      </c>
      <c r="AP88" s="640"/>
      <c r="AQ88" s="70"/>
      <c r="AR88" s="600"/>
      <c r="AS88" s="600"/>
      <c r="AT88" s="600"/>
      <c r="AU88" s="600"/>
      <c r="AV88" s="600"/>
      <c r="AW88" s="600"/>
      <c r="AX88" s="600"/>
      <c r="AY88" s="600"/>
      <c r="AZ88" s="600"/>
      <c r="BA88" s="600"/>
      <c r="BB88" s="600"/>
      <c r="BC88" s="600"/>
      <c r="BD88" s="600"/>
      <c r="BE88" s="600"/>
      <c r="BF88" s="600"/>
      <c r="BG88" s="600"/>
      <c r="BH88" s="600"/>
      <c r="BI88" s="600"/>
      <c r="BJ88" s="600"/>
      <c r="BK88" s="600"/>
      <c r="BL88" s="600"/>
      <c r="BM88" s="600"/>
      <c r="BN88" s="600"/>
      <c r="BO88" s="600"/>
      <c r="BP88" s="600"/>
      <c r="BQ88" s="600"/>
      <c r="BR88" s="600"/>
      <c r="BS88" s="600"/>
      <c r="BT88" s="600"/>
      <c r="BU88" s="600"/>
      <c r="BV88" s="600"/>
      <c r="BW88" s="600"/>
      <c r="BX88" s="600"/>
      <c r="BY88" s="600"/>
      <c r="BZ88" s="600"/>
      <c r="CA88" s="600"/>
      <c r="CB88" s="600"/>
      <c r="CC88" s="600"/>
      <c r="CD88" s="105"/>
      <c r="CE88" s="1195" t="e">
        <f ca="1">CE86/CE85</f>
        <v>#REF!</v>
      </c>
      <c r="CF88" s="1195" t="e">
        <f t="shared" ref="CF88:CG88" ca="1" si="159">CF86/CF85</f>
        <v>#REF!</v>
      </c>
      <c r="CG88" s="1195" t="e">
        <f t="shared" ca="1" si="159"/>
        <v>#REF!</v>
      </c>
      <c r="CH88" s="640"/>
      <c r="CI88" s="70"/>
      <c r="CJ88" s="600"/>
      <c r="CK88" s="105"/>
      <c r="CL88" s="70"/>
      <c r="CM88" s="70"/>
      <c r="CN88" s="70"/>
      <c r="CO88" s="640"/>
      <c r="CP88" s="70"/>
      <c r="CQ88" s="600"/>
      <c r="CR88" s="105"/>
      <c r="CS88" s="70"/>
      <c r="CT88" s="70"/>
      <c r="CU88" s="70"/>
      <c r="CV88" s="640"/>
      <c r="CW88" s="70"/>
      <c r="CX88" s="600"/>
      <c r="CY88" s="600"/>
      <c r="CZ88" s="600"/>
      <c r="DA88" s="105"/>
      <c r="DB88" s="70"/>
      <c r="DC88" s="70"/>
      <c r="DD88" s="70"/>
      <c r="DE88" s="640"/>
      <c r="DF88" s="70"/>
    </row>
    <row r="89" spans="1:156" ht="23.4">
      <c r="A89" s="106"/>
      <c r="B89" s="107"/>
      <c r="C89" s="107"/>
      <c r="D89" s="104"/>
      <c r="E89" s="102"/>
      <c r="F89" s="103"/>
      <c r="G89" s="103"/>
      <c r="H89" s="105"/>
      <c r="I89" s="70"/>
      <c r="J89" s="70"/>
      <c r="K89" s="70"/>
      <c r="L89" s="640"/>
      <c r="M89" s="70"/>
      <c r="N89" s="567"/>
      <c r="O89" s="592"/>
      <c r="P89" s="592"/>
      <c r="Q89" s="485"/>
      <c r="R89" s="485"/>
      <c r="S89" s="485"/>
      <c r="T89" s="485"/>
      <c r="U89" s="485"/>
      <c r="V89" s="485"/>
      <c r="W89" s="485"/>
      <c r="X89" s="485"/>
      <c r="Y89" s="485"/>
      <c r="Z89" s="485"/>
      <c r="AA89" s="485"/>
      <c r="AB89" s="485"/>
      <c r="AC89" s="485"/>
      <c r="AD89" s="1118"/>
      <c r="AE89" s="105"/>
      <c r="AF89" s="70"/>
      <c r="AG89" s="70"/>
      <c r="AH89" s="70"/>
      <c r="AI89" s="640"/>
      <c r="AJ89" s="70"/>
      <c r="AK89" s="600"/>
      <c r="AL89" s="105"/>
      <c r="AM89" s="70"/>
      <c r="AN89" s="70"/>
      <c r="AO89" s="70"/>
      <c r="AP89" s="640"/>
      <c r="AQ89" s="70"/>
      <c r="AR89" s="600"/>
      <c r="AS89" s="600"/>
      <c r="AT89" s="600"/>
      <c r="AU89" s="600"/>
      <c r="AV89" s="600"/>
      <c r="AW89" s="600"/>
      <c r="AX89" s="600"/>
      <c r="AY89" s="600"/>
      <c r="AZ89" s="600"/>
      <c r="BA89" s="600"/>
      <c r="BB89" s="600"/>
      <c r="BC89" s="600"/>
      <c r="BD89" s="600"/>
      <c r="BE89" s="600"/>
      <c r="BF89" s="600"/>
      <c r="BG89" s="600"/>
      <c r="BH89" s="600"/>
      <c r="BI89" s="600"/>
      <c r="BJ89" s="600"/>
      <c r="BK89" s="600"/>
      <c r="BL89" s="600"/>
      <c r="BM89" s="600"/>
      <c r="BN89" s="600"/>
      <c r="BO89" s="600"/>
      <c r="BP89" s="600"/>
      <c r="BQ89" s="600"/>
      <c r="BR89" s="600"/>
      <c r="BS89" s="600"/>
      <c r="BT89" s="600"/>
      <c r="BU89" s="600"/>
      <c r="BV89" s="600"/>
      <c r="BW89" s="600"/>
      <c r="BX89" s="600"/>
      <c r="BY89" s="600"/>
      <c r="BZ89" s="600"/>
      <c r="CA89" s="600"/>
      <c r="CB89" s="600"/>
      <c r="CC89" s="600"/>
      <c r="CD89" s="105"/>
      <c r="CE89" s="70"/>
      <c r="CF89" s="70"/>
      <c r="CG89" s="70"/>
      <c r="CH89" s="640"/>
      <c r="CI89" s="70"/>
      <c r="CJ89" s="600"/>
      <c r="CK89" s="105"/>
      <c r="CL89" s="70"/>
      <c r="CM89" s="70"/>
      <c r="CN89" s="70"/>
      <c r="CO89" s="640"/>
      <c r="CP89" s="70"/>
      <c r="CQ89" s="600"/>
      <c r="CR89" s="105"/>
      <c r="CS89" s="70"/>
      <c r="CT89" s="70"/>
      <c r="CU89" s="70"/>
      <c r="CV89" s="640"/>
      <c r="CW89" s="70"/>
      <c r="CX89" s="600"/>
      <c r="CY89" s="600"/>
      <c r="CZ89" s="600"/>
      <c r="DA89" s="105"/>
      <c r="DB89" s="70"/>
      <c r="DC89" s="70"/>
      <c r="DD89" s="70"/>
      <c r="DE89" s="640"/>
      <c r="DF89" s="70"/>
    </row>
    <row r="90" spans="1:156" ht="23.4">
      <c r="A90" s="106"/>
      <c r="B90" s="107"/>
      <c r="C90" s="107"/>
      <c r="D90" s="104"/>
      <c r="E90" s="102"/>
      <c r="F90" s="103"/>
      <c r="G90" s="103"/>
      <c r="H90" s="105"/>
      <c r="I90" s="70"/>
      <c r="J90" s="70"/>
      <c r="K90" s="70"/>
      <c r="L90" s="640"/>
      <c r="M90" s="70"/>
      <c r="N90" s="567"/>
      <c r="O90" s="592"/>
      <c r="P90" s="592"/>
      <c r="Q90" s="485"/>
      <c r="R90" s="485"/>
      <c r="S90" s="485"/>
      <c r="T90" s="485"/>
      <c r="U90" s="485"/>
      <c r="V90" s="485"/>
      <c r="W90" s="485"/>
      <c r="X90" s="485"/>
      <c r="Y90" s="485"/>
      <c r="Z90" s="485"/>
      <c r="AA90" s="485"/>
      <c r="AB90" s="485"/>
      <c r="AC90" s="485"/>
      <c r="AD90" s="1118"/>
      <c r="AE90" s="105"/>
      <c r="AF90" s="70"/>
      <c r="AG90" s="70"/>
      <c r="AH90" s="70"/>
      <c r="AI90" s="640"/>
      <c r="AJ90" s="70"/>
      <c r="AK90" s="600"/>
      <c r="AL90" s="105"/>
      <c r="AM90" s="70"/>
      <c r="AN90" s="70"/>
      <c r="AO90" s="70"/>
      <c r="AP90" s="640"/>
      <c r="AQ90" s="70"/>
      <c r="AR90" s="600"/>
      <c r="AS90" s="600"/>
      <c r="AT90" s="600"/>
      <c r="AU90" s="600"/>
      <c r="AV90" s="600"/>
      <c r="AW90" s="600"/>
      <c r="AX90" s="600"/>
      <c r="AY90" s="600"/>
      <c r="AZ90" s="600"/>
      <c r="BA90" s="600"/>
      <c r="BB90" s="600"/>
      <c r="BC90" s="600"/>
      <c r="BD90" s="600"/>
      <c r="BE90" s="600"/>
      <c r="BF90" s="600"/>
      <c r="BG90" s="600"/>
      <c r="BH90" s="600"/>
      <c r="BI90" s="600"/>
      <c r="BJ90" s="600"/>
      <c r="BK90" s="600"/>
      <c r="BL90" s="600"/>
      <c r="BM90" s="600"/>
      <c r="BN90" s="600"/>
      <c r="BO90" s="600"/>
      <c r="BP90" s="600"/>
      <c r="BQ90" s="600"/>
      <c r="BR90" s="600"/>
      <c r="BS90" s="600"/>
      <c r="BT90" s="600"/>
      <c r="BU90" s="600"/>
      <c r="BV90" s="600"/>
      <c r="BW90" s="600"/>
      <c r="BX90" s="600"/>
      <c r="BY90" s="600"/>
      <c r="BZ90" s="600"/>
      <c r="CA90" s="600"/>
      <c r="CB90" s="600"/>
      <c r="CC90" s="600"/>
      <c r="CD90" s="105"/>
      <c r="CE90" s="70"/>
      <c r="CF90" s="70"/>
      <c r="CG90" s="70"/>
      <c r="CH90" s="640"/>
      <c r="CI90" s="70"/>
      <c r="CJ90" s="600"/>
      <c r="CK90" s="105"/>
      <c r="CL90" s="70"/>
      <c r="CM90" s="70"/>
      <c r="CN90" s="70"/>
      <c r="CO90" s="640"/>
      <c r="CP90" s="70"/>
      <c r="CQ90" s="600"/>
      <c r="CR90" s="105"/>
      <c r="CS90" s="70"/>
      <c r="CT90" s="70"/>
      <c r="CU90" s="70"/>
      <c r="CV90" s="640"/>
      <c r="CW90" s="70"/>
      <c r="CX90" s="600"/>
      <c r="CY90" s="600"/>
      <c r="CZ90" s="600"/>
      <c r="DA90" s="105"/>
      <c r="DB90" s="70"/>
      <c r="DC90" s="70"/>
      <c r="DD90" s="70"/>
      <c r="DE90" s="640"/>
      <c r="DF90" s="70"/>
    </row>
    <row r="91" spans="1:156" ht="23.4">
      <c r="A91" s="106"/>
      <c r="B91" s="107"/>
      <c r="C91" s="107"/>
      <c r="D91" s="104"/>
      <c r="E91" s="102"/>
      <c r="F91" s="103"/>
      <c r="G91" s="103"/>
      <c r="H91" s="105"/>
      <c r="I91" s="70"/>
      <c r="J91" s="70"/>
      <c r="K91" s="70"/>
      <c r="L91" s="640"/>
      <c r="M91" s="70"/>
      <c r="N91" s="567"/>
      <c r="O91" s="592"/>
      <c r="P91" s="592"/>
      <c r="Q91" s="485"/>
      <c r="R91" s="485"/>
      <c r="S91" s="485"/>
      <c r="T91" s="485"/>
      <c r="U91" s="485"/>
      <c r="V91" s="485"/>
      <c r="W91" s="485"/>
      <c r="X91" s="485"/>
      <c r="Y91" s="485"/>
      <c r="Z91" s="485"/>
      <c r="AA91" s="485"/>
      <c r="AB91" s="485"/>
      <c r="AC91" s="485"/>
      <c r="AD91" s="1118"/>
      <c r="AE91" s="105"/>
      <c r="AF91" s="70"/>
      <c r="AG91" s="70"/>
      <c r="AH91" s="70"/>
      <c r="AI91" s="640"/>
      <c r="AJ91" s="70"/>
      <c r="AK91" s="600"/>
      <c r="AL91" s="105"/>
      <c r="AM91" s="70"/>
      <c r="AN91" s="70"/>
      <c r="AO91" s="70"/>
      <c r="AP91" s="640"/>
      <c r="AQ91" s="70"/>
      <c r="AR91" s="600"/>
      <c r="AS91" s="600"/>
      <c r="AT91" s="600"/>
      <c r="AU91" s="600"/>
      <c r="AV91" s="600"/>
      <c r="AW91" s="600"/>
      <c r="AX91" s="600"/>
      <c r="AY91" s="600"/>
      <c r="AZ91" s="600"/>
      <c r="BA91" s="600"/>
      <c r="BB91" s="600"/>
      <c r="BC91" s="600"/>
      <c r="BD91" s="600"/>
      <c r="BE91" s="600"/>
      <c r="BF91" s="600"/>
      <c r="BG91" s="600"/>
      <c r="BH91" s="600"/>
      <c r="BI91" s="600"/>
      <c r="BJ91" s="600"/>
      <c r="BK91" s="600"/>
      <c r="BL91" s="600"/>
      <c r="BM91" s="600"/>
      <c r="BN91" s="600"/>
      <c r="BO91" s="600"/>
      <c r="BP91" s="600"/>
      <c r="BQ91" s="600"/>
      <c r="BR91" s="600"/>
      <c r="BS91" s="600"/>
      <c r="BT91" s="600"/>
      <c r="BU91" s="600"/>
      <c r="BV91" s="600"/>
      <c r="BW91" s="600"/>
      <c r="BX91" s="600"/>
      <c r="BY91" s="600"/>
      <c r="BZ91" s="600"/>
      <c r="CA91" s="600"/>
      <c r="CB91" s="600"/>
      <c r="CC91" s="600"/>
      <c r="CD91" s="105"/>
      <c r="CE91" s="70"/>
      <c r="CF91" s="70"/>
      <c r="CG91" s="70"/>
      <c r="CH91" s="640"/>
      <c r="CI91" s="70"/>
      <c r="CJ91" s="600"/>
      <c r="CK91" s="105"/>
      <c r="CL91" s="70"/>
      <c r="CM91" s="70"/>
      <c r="CN91" s="70"/>
      <c r="CO91" s="640"/>
      <c r="CP91" s="70"/>
      <c r="CQ91" s="600"/>
      <c r="CR91" s="105"/>
      <c r="CS91" s="70"/>
      <c r="CT91" s="70"/>
      <c r="CU91" s="70"/>
      <c r="CV91" s="640"/>
      <c r="CW91" s="70"/>
      <c r="CX91" s="600"/>
      <c r="CY91" s="600"/>
      <c r="CZ91" s="600"/>
      <c r="DA91" s="105"/>
      <c r="DB91" s="70"/>
      <c r="DC91" s="70"/>
      <c r="DD91" s="70"/>
      <c r="DE91" s="640"/>
      <c r="DF91" s="70"/>
    </row>
    <row r="92" spans="1:156" ht="23.4">
      <c r="A92" s="106"/>
      <c r="B92" s="107"/>
      <c r="C92" s="107"/>
      <c r="D92" s="104"/>
      <c r="E92" s="102"/>
      <c r="F92" s="103"/>
      <c r="G92" s="103"/>
      <c r="H92" s="105"/>
      <c r="I92" s="70"/>
      <c r="J92" s="70"/>
      <c r="K92" s="70"/>
      <c r="L92" s="640"/>
      <c r="M92" s="70"/>
      <c r="N92" s="567"/>
      <c r="O92" s="592"/>
      <c r="P92" s="592"/>
      <c r="Q92" s="485"/>
      <c r="R92" s="485"/>
      <c r="S92" s="485"/>
      <c r="T92" s="485"/>
      <c r="U92" s="485"/>
      <c r="V92" s="485"/>
      <c r="W92" s="485"/>
      <c r="X92" s="485"/>
      <c r="Y92" s="485"/>
      <c r="Z92" s="485"/>
      <c r="AA92" s="485"/>
      <c r="AB92" s="485"/>
      <c r="AC92" s="485"/>
      <c r="AD92" s="1118"/>
      <c r="AE92" s="105"/>
      <c r="AF92" s="70"/>
      <c r="AG92" s="70"/>
      <c r="AH92" s="70"/>
      <c r="AI92" s="640"/>
      <c r="AJ92" s="70"/>
      <c r="AK92" s="600"/>
      <c r="AL92" s="105"/>
      <c r="AM92" s="70"/>
      <c r="AN92" s="70"/>
      <c r="AO92" s="70"/>
      <c r="AP92" s="640"/>
      <c r="AQ92" s="70"/>
      <c r="AR92" s="600"/>
      <c r="AS92" s="600"/>
      <c r="AT92" s="600"/>
      <c r="AU92" s="600"/>
      <c r="AV92" s="600"/>
      <c r="AW92" s="600"/>
      <c r="AX92" s="600"/>
      <c r="AY92" s="600"/>
      <c r="AZ92" s="600"/>
      <c r="BA92" s="600"/>
      <c r="BB92" s="600"/>
      <c r="BC92" s="600"/>
      <c r="BD92" s="600"/>
      <c r="BE92" s="600"/>
      <c r="BF92" s="600"/>
      <c r="BG92" s="600"/>
      <c r="BH92" s="600"/>
      <c r="BI92" s="600"/>
      <c r="BJ92" s="600"/>
      <c r="BK92" s="600"/>
      <c r="BL92" s="600"/>
      <c r="BM92" s="600"/>
      <c r="BN92" s="600"/>
      <c r="BO92" s="600"/>
      <c r="BP92" s="600"/>
      <c r="BQ92" s="600"/>
      <c r="BR92" s="600"/>
      <c r="BS92" s="600"/>
      <c r="BT92" s="600"/>
      <c r="BU92" s="600"/>
      <c r="BV92" s="600"/>
      <c r="BW92" s="600"/>
      <c r="BX92" s="600"/>
      <c r="BY92" s="600"/>
      <c r="BZ92" s="600"/>
      <c r="CA92" s="600"/>
      <c r="CB92" s="600"/>
      <c r="CC92" s="600"/>
      <c r="CD92" s="105"/>
      <c r="CE92" s="70"/>
      <c r="CF92" s="70"/>
      <c r="CG92" s="70"/>
      <c r="CH92" s="640"/>
      <c r="CI92" s="70"/>
      <c r="CJ92" s="600"/>
      <c r="CK92" s="105"/>
      <c r="CL92" s="70"/>
      <c r="CM92" s="70"/>
      <c r="CN92" s="70"/>
      <c r="CO92" s="640"/>
      <c r="CP92" s="70"/>
      <c r="CQ92" s="600"/>
      <c r="CR92" s="105"/>
      <c r="CS92" s="70"/>
      <c r="CT92" s="70"/>
      <c r="CU92" s="70"/>
      <c r="CV92" s="640"/>
      <c r="CW92" s="70"/>
      <c r="CX92" s="600"/>
      <c r="CY92" s="600"/>
      <c r="CZ92" s="600"/>
      <c r="DA92" s="105"/>
      <c r="DB92" s="70"/>
      <c r="DC92" s="70"/>
      <c r="DD92" s="70"/>
      <c r="DE92" s="640"/>
      <c r="DF92" s="70"/>
    </row>
    <row r="93" spans="1:156" ht="23.4">
      <c r="A93" s="106"/>
      <c r="B93" s="107"/>
      <c r="C93" s="107"/>
      <c r="D93" s="104"/>
      <c r="E93" s="102"/>
      <c r="F93" s="103"/>
      <c r="G93" s="103"/>
      <c r="H93" s="105"/>
      <c r="I93" s="70"/>
      <c r="J93" s="70"/>
      <c r="K93" s="70"/>
      <c r="L93" s="640"/>
      <c r="M93" s="70"/>
      <c r="N93" s="567"/>
      <c r="O93" s="592"/>
      <c r="P93" s="592"/>
      <c r="Q93" s="485"/>
      <c r="R93" s="485"/>
      <c r="S93" s="485"/>
      <c r="T93" s="485"/>
      <c r="U93" s="485"/>
      <c r="V93" s="485"/>
      <c r="W93" s="485"/>
      <c r="X93" s="485"/>
      <c r="Y93" s="485"/>
      <c r="Z93" s="485"/>
      <c r="AA93" s="485"/>
      <c r="AB93" s="485"/>
      <c r="AC93" s="485"/>
      <c r="AD93" s="1118"/>
      <c r="AE93" s="105"/>
      <c r="AF93" s="70"/>
      <c r="AG93" s="70"/>
      <c r="AH93" s="70"/>
      <c r="AI93" s="640"/>
      <c r="AJ93" s="70"/>
      <c r="AK93" s="600"/>
      <c r="AL93" s="105"/>
      <c r="AM93" s="70"/>
      <c r="AN93" s="70"/>
      <c r="AO93" s="70"/>
      <c r="AP93" s="640"/>
      <c r="AQ93" s="70"/>
      <c r="AR93" s="600"/>
      <c r="AS93" s="600"/>
      <c r="AT93" s="600"/>
      <c r="AU93" s="600"/>
      <c r="AV93" s="600"/>
      <c r="AW93" s="600"/>
      <c r="AX93" s="600"/>
      <c r="AY93" s="600"/>
      <c r="AZ93" s="600"/>
      <c r="BA93" s="600"/>
      <c r="BB93" s="600"/>
      <c r="BC93" s="600"/>
      <c r="BD93" s="600"/>
      <c r="BE93" s="600"/>
      <c r="BF93" s="600"/>
      <c r="BG93" s="600"/>
      <c r="BH93" s="600"/>
      <c r="BI93" s="600"/>
      <c r="BJ93" s="600"/>
      <c r="BK93" s="600"/>
      <c r="BL93" s="600"/>
      <c r="BM93" s="600"/>
      <c r="BN93" s="600"/>
      <c r="BO93" s="600"/>
      <c r="BP93" s="600"/>
      <c r="BQ93" s="600"/>
      <c r="BR93" s="600"/>
      <c r="BS93" s="600"/>
      <c r="BT93" s="600"/>
      <c r="BU93" s="600"/>
      <c r="BV93" s="600"/>
      <c r="BW93" s="600"/>
      <c r="BX93" s="600"/>
      <c r="BY93" s="600"/>
      <c r="BZ93" s="600"/>
      <c r="CA93" s="600"/>
      <c r="CB93" s="600"/>
      <c r="CC93" s="600"/>
      <c r="CD93" s="105"/>
      <c r="CE93" s="70"/>
      <c r="CF93" s="70"/>
      <c r="CG93" s="70"/>
      <c r="CH93" s="640"/>
      <c r="CI93" s="70"/>
      <c r="CJ93" s="600"/>
      <c r="CK93" s="105"/>
      <c r="CL93" s="70"/>
      <c r="CM93" s="70"/>
      <c r="CN93" s="70"/>
      <c r="CO93" s="640"/>
      <c r="CP93" s="70"/>
      <c r="CQ93" s="600"/>
      <c r="CR93" s="105"/>
      <c r="CS93" s="70"/>
      <c r="CT93" s="70"/>
      <c r="CU93" s="70"/>
      <c r="CV93" s="640"/>
      <c r="CW93" s="70"/>
      <c r="CX93" s="600"/>
      <c r="CY93" s="600"/>
      <c r="CZ93" s="600"/>
      <c r="DA93" s="105"/>
      <c r="DB93" s="70"/>
      <c r="DC93" s="70"/>
      <c r="DD93" s="70"/>
      <c r="DE93" s="640"/>
      <c r="DF93" s="70"/>
    </row>
    <row r="94" spans="1:156" ht="23.4">
      <c r="A94" s="106"/>
      <c r="B94" s="107"/>
      <c r="C94" s="107"/>
      <c r="D94" s="104"/>
      <c r="E94" s="102"/>
      <c r="F94" s="103"/>
      <c r="G94" s="103"/>
      <c r="H94" s="105"/>
      <c r="I94" s="70"/>
      <c r="J94" s="70"/>
      <c r="K94" s="70"/>
      <c r="L94" s="640"/>
      <c r="M94" s="70"/>
      <c r="N94" s="567"/>
      <c r="O94" s="592"/>
      <c r="P94" s="592"/>
      <c r="Q94" s="485"/>
      <c r="R94" s="485"/>
      <c r="S94" s="485"/>
      <c r="T94" s="485"/>
      <c r="U94" s="485"/>
      <c r="V94" s="485"/>
      <c r="W94" s="485"/>
      <c r="X94" s="485"/>
      <c r="Y94" s="485"/>
      <c r="Z94" s="485"/>
      <c r="AA94" s="485"/>
      <c r="AB94" s="485"/>
      <c r="AC94" s="485"/>
      <c r="AD94" s="1118"/>
      <c r="AE94" s="105"/>
      <c r="AF94" s="70"/>
      <c r="AG94" s="70"/>
      <c r="AH94" s="70"/>
      <c r="AI94" s="640"/>
      <c r="AJ94" s="70"/>
      <c r="AK94" s="600"/>
      <c r="AL94" s="105"/>
      <c r="AM94" s="70"/>
      <c r="AN94" s="70"/>
      <c r="AO94" s="70"/>
      <c r="AP94" s="640"/>
      <c r="AQ94" s="70"/>
      <c r="AR94" s="600"/>
      <c r="AS94" s="600"/>
      <c r="AT94" s="600"/>
      <c r="AU94" s="600"/>
      <c r="AV94" s="600"/>
      <c r="AW94" s="600"/>
      <c r="AX94" s="600"/>
      <c r="AY94" s="600"/>
      <c r="AZ94" s="600"/>
      <c r="BA94" s="600"/>
      <c r="BB94" s="600"/>
      <c r="BC94" s="600"/>
      <c r="BD94" s="600"/>
      <c r="BE94" s="600"/>
      <c r="BF94" s="600"/>
      <c r="BG94" s="600"/>
      <c r="BH94" s="600"/>
      <c r="BI94" s="600"/>
      <c r="BJ94" s="600"/>
      <c r="BK94" s="600"/>
      <c r="BL94" s="600"/>
      <c r="BM94" s="600"/>
      <c r="BN94" s="600"/>
      <c r="BO94" s="600"/>
      <c r="BP94" s="600"/>
      <c r="BQ94" s="600"/>
      <c r="BR94" s="600"/>
      <c r="BS94" s="600"/>
      <c r="BT94" s="600"/>
      <c r="BU94" s="600"/>
      <c r="BV94" s="600"/>
      <c r="BW94" s="600"/>
      <c r="BX94" s="600"/>
      <c r="BY94" s="600"/>
      <c r="BZ94" s="600"/>
      <c r="CA94" s="600"/>
      <c r="CB94" s="600"/>
      <c r="CC94" s="600"/>
      <c r="CD94" s="105"/>
      <c r="CE94" s="70"/>
      <c r="CF94" s="70"/>
      <c r="CG94" s="70"/>
      <c r="CH94" s="640"/>
      <c r="CI94" s="70"/>
      <c r="CJ94" s="600"/>
      <c r="CK94" s="105"/>
      <c r="CL94" s="70"/>
      <c r="CM94" s="70"/>
      <c r="CN94" s="70"/>
      <c r="CO94" s="640"/>
      <c r="CP94" s="70"/>
      <c r="CQ94" s="600"/>
      <c r="CR94" s="105"/>
      <c r="CS94" s="70"/>
      <c r="CT94" s="70"/>
      <c r="CU94" s="70"/>
      <c r="CV94" s="640"/>
      <c r="CW94" s="70"/>
      <c r="CX94" s="600"/>
      <c r="CY94" s="600"/>
      <c r="CZ94" s="600"/>
      <c r="DA94" s="105"/>
      <c r="DB94" s="70"/>
      <c r="DC94" s="70"/>
      <c r="DD94" s="70"/>
      <c r="DE94" s="640"/>
      <c r="DF94" s="70"/>
    </row>
    <row r="95" spans="1:156" ht="23.4">
      <c r="A95" s="106"/>
      <c r="B95" s="107"/>
      <c r="C95" s="107"/>
      <c r="D95" s="104"/>
      <c r="E95" s="102"/>
      <c r="F95" s="103"/>
      <c r="G95" s="103"/>
      <c r="H95" s="105"/>
      <c r="I95" s="70"/>
      <c r="J95" s="70"/>
      <c r="K95" s="70"/>
      <c r="L95" s="640"/>
      <c r="M95" s="70"/>
      <c r="N95" s="567"/>
      <c r="O95" s="592"/>
      <c r="P95" s="592"/>
      <c r="Q95" s="485"/>
      <c r="R95" s="485"/>
      <c r="S95" s="485"/>
      <c r="T95" s="485"/>
      <c r="U95" s="485"/>
      <c r="V95" s="485"/>
      <c r="W95" s="485"/>
      <c r="X95" s="485"/>
      <c r="Y95" s="485"/>
      <c r="Z95" s="485"/>
      <c r="AA95" s="485"/>
      <c r="AB95" s="485"/>
      <c r="AC95" s="485"/>
      <c r="AD95" s="1118"/>
      <c r="AE95" s="105"/>
      <c r="AF95" s="70"/>
      <c r="AG95" s="70"/>
      <c r="AH95" s="70"/>
      <c r="AI95" s="640"/>
      <c r="AJ95" s="70"/>
      <c r="AK95" s="600"/>
      <c r="AL95" s="105"/>
      <c r="AM95" s="70"/>
      <c r="AN95" s="70"/>
      <c r="AO95" s="70"/>
      <c r="AP95" s="640"/>
      <c r="AQ95" s="70"/>
      <c r="AR95" s="600"/>
      <c r="AS95" s="600"/>
      <c r="AT95" s="600"/>
      <c r="AU95" s="600"/>
      <c r="AV95" s="600"/>
      <c r="AW95" s="600"/>
      <c r="AX95" s="600"/>
      <c r="AY95" s="600"/>
      <c r="AZ95" s="600"/>
      <c r="BA95" s="600"/>
      <c r="BB95" s="600"/>
      <c r="BC95" s="600"/>
      <c r="BD95" s="600"/>
      <c r="BE95" s="600"/>
      <c r="BF95" s="600"/>
      <c r="BG95" s="600"/>
      <c r="BH95" s="600"/>
      <c r="BI95" s="600"/>
      <c r="BJ95" s="600"/>
      <c r="BK95" s="600"/>
      <c r="BL95" s="600"/>
      <c r="BM95" s="600"/>
      <c r="BN95" s="600"/>
      <c r="BO95" s="600"/>
      <c r="BP95" s="600"/>
      <c r="BQ95" s="600"/>
      <c r="BR95" s="600"/>
      <c r="BS95" s="600"/>
      <c r="BT95" s="600"/>
      <c r="BU95" s="600"/>
      <c r="BV95" s="600"/>
      <c r="BW95" s="600"/>
      <c r="BX95" s="600"/>
      <c r="BY95" s="600"/>
      <c r="BZ95" s="600"/>
      <c r="CA95" s="600"/>
      <c r="CB95" s="600"/>
      <c r="CC95" s="600"/>
      <c r="CD95" s="105"/>
      <c r="CE95" s="70"/>
      <c r="CF95" s="70"/>
      <c r="CG95" s="70"/>
      <c r="CH95" s="640"/>
      <c r="CI95" s="70"/>
      <c r="CJ95" s="600"/>
      <c r="CK95" s="105"/>
      <c r="CL95" s="70"/>
      <c r="CM95" s="70"/>
      <c r="CN95" s="70"/>
      <c r="CO95" s="640"/>
      <c r="CP95" s="70"/>
      <c r="CQ95" s="600"/>
      <c r="CR95" s="105"/>
      <c r="CS95" s="70"/>
      <c r="CT95" s="70"/>
      <c r="CU95" s="70"/>
      <c r="CV95" s="640"/>
      <c r="CW95" s="70"/>
      <c r="CX95" s="600"/>
      <c r="CY95" s="600"/>
      <c r="CZ95" s="600"/>
      <c r="DA95" s="105"/>
      <c r="DB95" s="70"/>
      <c r="DC95" s="70"/>
      <c r="DD95" s="70"/>
      <c r="DE95" s="640"/>
      <c r="DF95" s="70"/>
    </row>
    <row r="96" spans="1:156" ht="23.4">
      <c r="A96" s="106"/>
      <c r="B96" s="107"/>
      <c r="C96" s="107"/>
      <c r="D96" s="104"/>
      <c r="E96" s="102"/>
      <c r="F96" s="103"/>
      <c r="G96" s="103"/>
      <c r="H96" s="105"/>
      <c r="I96" s="70"/>
      <c r="J96" s="70"/>
      <c r="K96" s="70"/>
      <c r="L96" s="640"/>
      <c r="M96" s="70"/>
      <c r="N96" s="567"/>
      <c r="O96" s="592"/>
      <c r="P96" s="592"/>
      <c r="Q96" s="485"/>
      <c r="R96" s="485"/>
      <c r="S96" s="485"/>
      <c r="T96" s="485"/>
      <c r="U96" s="485"/>
      <c r="V96" s="485"/>
      <c r="W96" s="485"/>
      <c r="X96" s="485"/>
      <c r="Y96" s="485"/>
      <c r="Z96" s="485"/>
      <c r="AA96" s="485"/>
      <c r="AB96" s="485"/>
      <c r="AC96" s="485"/>
      <c r="AD96" s="1118"/>
      <c r="AE96" s="105"/>
      <c r="AF96" s="70"/>
      <c r="AG96" s="70"/>
      <c r="AH96" s="70"/>
      <c r="AI96" s="640"/>
      <c r="AJ96" s="70"/>
      <c r="AK96" s="600"/>
      <c r="AL96" s="105"/>
      <c r="AM96" s="70"/>
      <c r="AN96" s="70"/>
      <c r="AO96" s="70"/>
      <c r="AP96" s="640"/>
      <c r="AQ96" s="70"/>
      <c r="AR96" s="600"/>
      <c r="AS96" s="600"/>
      <c r="AT96" s="600"/>
      <c r="AU96" s="600"/>
      <c r="AV96" s="600"/>
      <c r="AW96" s="600"/>
      <c r="AX96" s="600"/>
      <c r="AY96" s="600"/>
      <c r="AZ96" s="600"/>
      <c r="BA96" s="600"/>
      <c r="BB96" s="600"/>
      <c r="BC96" s="600"/>
      <c r="BD96" s="600"/>
      <c r="BE96" s="600"/>
      <c r="BF96" s="600"/>
      <c r="BG96" s="600"/>
      <c r="BH96" s="600"/>
      <c r="BI96" s="600"/>
      <c r="BJ96" s="600"/>
      <c r="BK96" s="600"/>
      <c r="BL96" s="600"/>
      <c r="BM96" s="600"/>
      <c r="BN96" s="600"/>
      <c r="BO96" s="600"/>
      <c r="BP96" s="600"/>
      <c r="BQ96" s="600"/>
      <c r="BR96" s="600"/>
      <c r="BS96" s="600"/>
      <c r="BT96" s="600"/>
      <c r="BU96" s="600"/>
      <c r="BV96" s="600"/>
      <c r="BW96" s="600"/>
      <c r="BX96" s="600"/>
      <c r="BY96" s="600"/>
      <c r="BZ96" s="600"/>
      <c r="CA96" s="600"/>
      <c r="CB96" s="600"/>
      <c r="CC96" s="600"/>
      <c r="CD96" s="105"/>
      <c r="CE96" s="70"/>
      <c r="CF96" s="70"/>
      <c r="CG96" s="70"/>
      <c r="CH96" s="640"/>
      <c r="CI96" s="70"/>
      <c r="CJ96" s="600"/>
      <c r="CK96" s="105"/>
      <c r="CL96" s="70"/>
      <c r="CM96" s="70"/>
      <c r="CN96" s="70"/>
      <c r="CO96" s="640"/>
      <c r="CP96" s="70"/>
      <c r="CQ96" s="600"/>
      <c r="CR96" s="105"/>
      <c r="CS96" s="70"/>
      <c r="CT96" s="70"/>
      <c r="CU96" s="70"/>
      <c r="CV96" s="640"/>
      <c r="CW96" s="70"/>
      <c r="CX96" s="600"/>
      <c r="CY96" s="600"/>
      <c r="CZ96" s="600"/>
      <c r="DA96" s="105"/>
      <c r="DB96" s="70"/>
      <c r="DC96" s="70"/>
      <c r="DD96" s="70"/>
      <c r="DE96" s="640"/>
      <c r="DF96" s="70"/>
    </row>
    <row r="97" spans="1:110" ht="23.4">
      <c r="A97" s="106"/>
      <c r="B97" s="107"/>
      <c r="C97" s="107"/>
      <c r="D97" s="104"/>
      <c r="E97" s="102"/>
      <c r="F97" s="103"/>
      <c r="G97" s="103"/>
      <c r="H97" s="105"/>
      <c r="I97" s="70"/>
      <c r="J97" s="70"/>
      <c r="K97" s="70"/>
      <c r="L97" s="640"/>
      <c r="M97" s="70"/>
      <c r="N97" s="567"/>
      <c r="O97" s="592"/>
      <c r="P97" s="592"/>
      <c r="Q97" s="485"/>
      <c r="R97" s="485"/>
      <c r="S97" s="485"/>
      <c r="T97" s="485"/>
      <c r="U97" s="485"/>
      <c r="V97" s="485"/>
      <c r="W97" s="485"/>
      <c r="X97" s="485"/>
      <c r="Y97" s="485"/>
      <c r="Z97" s="485"/>
      <c r="AA97" s="485"/>
      <c r="AB97" s="485"/>
      <c r="AC97" s="485"/>
      <c r="AD97" s="1118"/>
      <c r="AE97" s="105"/>
      <c r="AF97" s="70"/>
      <c r="AG97" s="70"/>
      <c r="AH97" s="70"/>
      <c r="AI97" s="640"/>
      <c r="AJ97" s="70"/>
      <c r="AK97" s="600"/>
      <c r="AL97" s="105"/>
      <c r="AM97" s="70"/>
      <c r="AN97" s="70"/>
      <c r="AO97" s="70"/>
      <c r="AP97" s="640"/>
      <c r="AQ97" s="70"/>
      <c r="AR97" s="600"/>
      <c r="AS97" s="600"/>
      <c r="AT97" s="600"/>
      <c r="AU97" s="600"/>
      <c r="AV97" s="600"/>
      <c r="AW97" s="600"/>
      <c r="AX97" s="600"/>
      <c r="AY97" s="600"/>
      <c r="AZ97" s="600"/>
      <c r="BA97" s="600"/>
      <c r="BB97" s="600"/>
      <c r="BC97" s="600"/>
      <c r="BD97" s="600"/>
      <c r="BE97" s="600"/>
      <c r="BF97" s="600"/>
      <c r="BG97" s="600"/>
      <c r="BH97" s="600"/>
      <c r="BI97" s="600"/>
      <c r="BJ97" s="600"/>
      <c r="BK97" s="600"/>
      <c r="BL97" s="600"/>
      <c r="BM97" s="600"/>
      <c r="BN97" s="600"/>
      <c r="BO97" s="600"/>
      <c r="BP97" s="600"/>
      <c r="BQ97" s="600"/>
      <c r="BR97" s="600"/>
      <c r="BS97" s="600"/>
      <c r="BT97" s="600"/>
      <c r="BU97" s="600"/>
      <c r="BV97" s="600"/>
      <c r="BW97" s="600"/>
      <c r="BX97" s="600"/>
      <c r="BY97" s="600"/>
      <c r="BZ97" s="600"/>
      <c r="CA97" s="600"/>
      <c r="CB97" s="600"/>
      <c r="CC97" s="600"/>
      <c r="CD97" s="105"/>
      <c r="CE97" s="70"/>
      <c r="CF97" s="70"/>
      <c r="CG97" s="70"/>
      <c r="CH97" s="640"/>
      <c r="CI97" s="70"/>
      <c r="CJ97" s="600"/>
      <c r="CK97" s="105"/>
      <c r="CL97" s="70"/>
      <c r="CM97" s="70"/>
      <c r="CN97" s="70"/>
      <c r="CO97" s="640"/>
      <c r="CP97" s="70"/>
      <c r="CQ97" s="600"/>
      <c r="CR97" s="105"/>
      <c r="CS97" s="70"/>
      <c r="CT97" s="70"/>
      <c r="CU97" s="70"/>
      <c r="CV97" s="640"/>
      <c r="CW97" s="70"/>
      <c r="CX97" s="600"/>
      <c r="CY97" s="600"/>
      <c r="CZ97" s="600"/>
      <c r="DA97" s="105"/>
      <c r="DB97" s="70"/>
      <c r="DC97" s="70"/>
      <c r="DD97" s="70"/>
      <c r="DE97" s="640"/>
      <c r="DF97" s="70"/>
    </row>
    <row r="98" spans="1:110" ht="23.4">
      <c r="A98" s="106"/>
      <c r="B98" s="107"/>
      <c r="C98" s="107"/>
      <c r="D98" s="104"/>
      <c r="E98" s="102"/>
      <c r="F98" s="103"/>
      <c r="G98" s="103"/>
      <c r="H98" s="105"/>
      <c r="I98" s="70"/>
      <c r="J98" s="70"/>
      <c r="K98" s="70"/>
      <c r="L98" s="640"/>
      <c r="M98" s="70"/>
      <c r="N98" s="567"/>
      <c r="O98" s="592"/>
      <c r="P98" s="592"/>
      <c r="Q98" s="485"/>
      <c r="R98" s="485"/>
      <c r="S98" s="485"/>
      <c r="T98" s="485"/>
      <c r="U98" s="485"/>
      <c r="V98" s="485"/>
      <c r="W98" s="485"/>
      <c r="X98" s="485"/>
      <c r="Y98" s="485"/>
      <c r="Z98" s="485"/>
      <c r="AA98" s="485"/>
      <c r="AB98" s="485"/>
      <c r="AC98" s="485"/>
      <c r="AD98" s="1118"/>
      <c r="AE98" s="105"/>
      <c r="AF98" s="70"/>
      <c r="AG98" s="70"/>
      <c r="AH98" s="70"/>
      <c r="AI98" s="640"/>
      <c r="AJ98" s="70"/>
      <c r="AK98" s="600"/>
      <c r="AL98" s="105"/>
      <c r="AM98" s="70"/>
      <c r="AN98" s="70"/>
      <c r="AO98" s="70"/>
      <c r="AP98" s="640"/>
      <c r="AQ98" s="70"/>
      <c r="AR98" s="600"/>
      <c r="AS98" s="600"/>
      <c r="AT98" s="600"/>
      <c r="AU98" s="600"/>
      <c r="AV98" s="600"/>
      <c r="AW98" s="600"/>
      <c r="AX98" s="600"/>
      <c r="AY98" s="600"/>
      <c r="AZ98" s="600"/>
      <c r="BA98" s="600"/>
      <c r="BB98" s="600"/>
      <c r="BC98" s="600"/>
      <c r="BD98" s="600"/>
      <c r="BE98" s="600"/>
      <c r="BF98" s="600"/>
      <c r="BG98" s="600"/>
      <c r="BH98" s="600"/>
      <c r="BI98" s="600"/>
      <c r="BJ98" s="600"/>
      <c r="BK98" s="600"/>
      <c r="BL98" s="600"/>
      <c r="BM98" s="600"/>
      <c r="BN98" s="600"/>
      <c r="BO98" s="600"/>
      <c r="BP98" s="600"/>
      <c r="BQ98" s="600"/>
      <c r="BR98" s="600"/>
      <c r="BS98" s="600"/>
      <c r="BT98" s="600"/>
      <c r="BU98" s="600"/>
      <c r="BV98" s="600"/>
      <c r="BW98" s="600"/>
      <c r="BX98" s="600"/>
      <c r="BY98" s="600"/>
      <c r="BZ98" s="600"/>
      <c r="CA98" s="600"/>
      <c r="CB98" s="600"/>
      <c r="CC98" s="600"/>
      <c r="CD98" s="105"/>
      <c r="CE98" s="70"/>
      <c r="CF98" s="70"/>
      <c r="CG98" s="70"/>
      <c r="CH98" s="640"/>
      <c r="CI98" s="70"/>
      <c r="CJ98" s="600"/>
      <c r="CK98" s="105"/>
      <c r="CL98" s="70"/>
      <c r="CM98" s="70"/>
      <c r="CN98" s="70"/>
      <c r="CO98" s="640"/>
      <c r="CP98" s="70"/>
      <c r="CQ98" s="600"/>
      <c r="CR98" s="105"/>
      <c r="CS98" s="70"/>
      <c r="CT98" s="70"/>
      <c r="CU98" s="70"/>
      <c r="CV98" s="640"/>
      <c r="CW98" s="70"/>
      <c r="CX98" s="600"/>
      <c r="CY98" s="600"/>
      <c r="CZ98" s="600"/>
      <c r="DA98" s="105"/>
      <c r="DB98" s="70"/>
      <c r="DC98" s="70"/>
      <c r="DD98" s="70"/>
      <c r="DE98" s="640"/>
      <c r="DF98" s="70"/>
    </row>
    <row r="99" spans="1:110" ht="23.4">
      <c r="A99" s="106"/>
      <c r="B99" s="107"/>
      <c r="C99" s="107"/>
      <c r="D99" s="104"/>
      <c r="E99" s="102"/>
      <c r="F99" s="103"/>
      <c r="G99" s="103"/>
      <c r="H99" s="105"/>
      <c r="I99" s="70"/>
      <c r="J99" s="70"/>
      <c r="K99" s="70"/>
      <c r="L99" s="640"/>
      <c r="M99" s="70"/>
      <c r="N99" s="567"/>
      <c r="O99" s="592"/>
      <c r="P99" s="592"/>
      <c r="Q99" s="485"/>
      <c r="R99" s="485"/>
      <c r="S99" s="485"/>
      <c r="T99" s="485"/>
      <c r="U99" s="485"/>
      <c r="V99" s="485"/>
      <c r="W99" s="485"/>
      <c r="X99" s="485"/>
      <c r="Y99" s="485"/>
      <c r="Z99" s="485"/>
      <c r="AA99" s="485"/>
      <c r="AB99" s="485"/>
      <c r="AC99" s="485"/>
      <c r="AD99" s="1118"/>
      <c r="AE99" s="105"/>
      <c r="AF99" s="70"/>
      <c r="AG99" s="70"/>
      <c r="AH99" s="70"/>
      <c r="AI99" s="640"/>
      <c r="AJ99" s="70"/>
      <c r="AK99" s="600"/>
      <c r="AL99" s="105"/>
      <c r="AM99" s="70"/>
      <c r="AN99" s="70"/>
      <c r="AO99" s="70"/>
      <c r="AP99" s="640"/>
      <c r="AQ99" s="70"/>
      <c r="AR99" s="600"/>
      <c r="AS99" s="600"/>
      <c r="AT99" s="600"/>
      <c r="AU99" s="600"/>
      <c r="AV99" s="600"/>
      <c r="AW99" s="600"/>
      <c r="AX99" s="600"/>
      <c r="AY99" s="600"/>
      <c r="AZ99" s="600"/>
      <c r="BA99" s="600"/>
      <c r="BB99" s="600"/>
      <c r="BC99" s="600"/>
      <c r="BD99" s="600"/>
      <c r="BE99" s="600"/>
      <c r="BF99" s="600"/>
      <c r="BG99" s="600"/>
      <c r="BH99" s="600"/>
      <c r="BI99" s="600"/>
      <c r="BJ99" s="600"/>
      <c r="BK99" s="600"/>
      <c r="BL99" s="600"/>
      <c r="BM99" s="600"/>
      <c r="BN99" s="600"/>
      <c r="BO99" s="600"/>
      <c r="BP99" s="600"/>
      <c r="BQ99" s="600"/>
      <c r="BR99" s="600"/>
      <c r="BS99" s="600"/>
      <c r="BT99" s="600"/>
      <c r="BU99" s="600"/>
      <c r="BV99" s="600"/>
      <c r="BW99" s="600"/>
      <c r="BX99" s="600"/>
      <c r="BY99" s="600"/>
      <c r="BZ99" s="600"/>
      <c r="CA99" s="600"/>
      <c r="CB99" s="600"/>
      <c r="CC99" s="600"/>
      <c r="CD99" s="105"/>
      <c r="CE99" s="70"/>
      <c r="CF99" s="70"/>
      <c r="CG99" s="70"/>
      <c r="CH99" s="640"/>
      <c r="CI99" s="70"/>
      <c r="CJ99" s="600"/>
      <c r="CK99" s="105"/>
      <c r="CL99" s="70"/>
      <c r="CM99" s="70"/>
      <c r="CN99" s="70"/>
      <c r="CO99" s="640"/>
      <c r="CP99" s="70"/>
      <c r="CQ99" s="600"/>
      <c r="CR99" s="105"/>
      <c r="CS99" s="70"/>
      <c r="CT99" s="70"/>
      <c r="CU99" s="70"/>
      <c r="CV99" s="640"/>
      <c r="CW99" s="70"/>
      <c r="CX99" s="600"/>
      <c r="CY99" s="600"/>
      <c r="CZ99" s="600"/>
      <c r="DA99" s="105"/>
      <c r="DB99" s="70"/>
      <c r="DC99" s="70"/>
      <c r="DD99" s="70"/>
      <c r="DE99" s="640"/>
      <c r="DF99" s="70"/>
    </row>
    <row r="100" spans="1:110" ht="23.4">
      <c r="A100" s="106"/>
      <c r="B100" s="107"/>
      <c r="C100" s="107"/>
      <c r="D100" s="104"/>
      <c r="E100" s="102"/>
      <c r="F100" s="103"/>
      <c r="G100" s="103"/>
      <c r="H100" s="105"/>
      <c r="I100" s="70"/>
      <c r="J100" s="70"/>
      <c r="K100" s="70"/>
      <c r="L100" s="640"/>
      <c r="M100" s="70"/>
      <c r="N100" s="567"/>
      <c r="O100" s="592"/>
      <c r="P100" s="592"/>
      <c r="Q100" s="485"/>
      <c r="R100" s="485"/>
      <c r="S100" s="485"/>
      <c r="T100" s="485"/>
      <c r="U100" s="485"/>
      <c r="V100" s="485"/>
      <c r="W100" s="485"/>
      <c r="X100" s="485"/>
      <c r="Y100" s="485"/>
      <c r="Z100" s="485"/>
      <c r="AA100" s="485"/>
      <c r="AB100" s="485"/>
      <c r="AC100" s="485"/>
      <c r="AD100" s="1118"/>
      <c r="AE100" s="105"/>
      <c r="AF100" s="70"/>
      <c r="AG100" s="70"/>
      <c r="AH100" s="70"/>
      <c r="AI100" s="640"/>
      <c r="AJ100" s="70"/>
      <c r="AK100" s="600"/>
      <c r="AL100" s="105"/>
      <c r="AM100" s="70"/>
      <c r="AN100" s="70"/>
      <c r="AO100" s="70"/>
      <c r="AP100" s="640"/>
      <c r="AQ100" s="70"/>
      <c r="AR100" s="600"/>
      <c r="AS100" s="600"/>
      <c r="AT100" s="600"/>
      <c r="AU100" s="600"/>
      <c r="AV100" s="600"/>
      <c r="AW100" s="600"/>
      <c r="AX100" s="600"/>
      <c r="AY100" s="600"/>
      <c r="AZ100" s="600"/>
      <c r="BA100" s="600"/>
      <c r="BB100" s="600"/>
      <c r="BC100" s="600"/>
      <c r="BD100" s="600"/>
      <c r="BE100" s="600"/>
      <c r="BF100" s="600"/>
      <c r="BG100" s="600"/>
      <c r="BH100" s="600"/>
      <c r="BI100" s="600"/>
      <c r="BJ100" s="600"/>
      <c r="BK100" s="600"/>
      <c r="BL100" s="600"/>
      <c r="BM100" s="600"/>
      <c r="BN100" s="600"/>
      <c r="BO100" s="600"/>
      <c r="BP100" s="600"/>
      <c r="BQ100" s="600"/>
      <c r="BR100" s="600"/>
      <c r="BS100" s="600"/>
      <c r="BT100" s="600"/>
      <c r="BU100" s="600"/>
      <c r="BV100" s="600"/>
      <c r="BW100" s="600"/>
      <c r="BX100" s="600"/>
      <c r="BY100" s="600"/>
      <c r="BZ100" s="600"/>
      <c r="CA100" s="600"/>
      <c r="CB100" s="600"/>
      <c r="CC100" s="600"/>
      <c r="CD100" s="105"/>
      <c r="CE100" s="70"/>
      <c r="CF100" s="70"/>
      <c r="CG100" s="70"/>
      <c r="CH100" s="640"/>
      <c r="CI100" s="70"/>
      <c r="CJ100" s="600"/>
      <c r="CK100" s="105"/>
      <c r="CL100" s="70"/>
      <c r="CM100" s="70"/>
      <c r="CN100" s="70"/>
      <c r="CO100" s="640"/>
      <c r="CP100" s="70"/>
      <c r="CQ100" s="600"/>
      <c r="CR100" s="105"/>
      <c r="CS100" s="70"/>
      <c r="CT100" s="70"/>
      <c r="CU100" s="70"/>
      <c r="CV100" s="640"/>
      <c r="CW100" s="70"/>
      <c r="CX100" s="600"/>
      <c r="CY100" s="600"/>
      <c r="CZ100" s="600"/>
      <c r="DA100" s="105"/>
      <c r="DB100" s="70"/>
      <c r="DC100" s="70"/>
      <c r="DD100" s="70"/>
      <c r="DE100" s="640"/>
      <c r="DF100" s="70"/>
    </row>
    <row r="101" spans="1:110" ht="23.4">
      <c r="A101" s="106"/>
      <c r="B101" s="107"/>
      <c r="C101" s="107"/>
      <c r="D101" s="104"/>
      <c r="E101" s="102"/>
      <c r="F101" s="103"/>
      <c r="G101" s="103"/>
      <c r="H101" s="105"/>
      <c r="I101" s="70"/>
      <c r="J101" s="70"/>
      <c r="K101" s="70"/>
      <c r="L101" s="640"/>
      <c r="M101" s="70"/>
      <c r="N101" s="567"/>
      <c r="O101" s="592"/>
      <c r="P101" s="592"/>
      <c r="Q101" s="485"/>
      <c r="R101" s="485"/>
      <c r="S101" s="485"/>
      <c r="T101" s="485"/>
      <c r="U101" s="485"/>
      <c r="V101" s="485"/>
      <c r="W101" s="485"/>
      <c r="X101" s="485"/>
      <c r="Y101" s="485"/>
      <c r="Z101" s="485"/>
      <c r="AA101" s="485"/>
      <c r="AB101" s="485"/>
      <c r="AC101" s="485"/>
      <c r="AD101" s="1118"/>
      <c r="AE101" s="105"/>
      <c r="AF101" s="70"/>
      <c r="AG101" s="70"/>
      <c r="AH101" s="70"/>
      <c r="AI101" s="640"/>
      <c r="AJ101" s="70"/>
      <c r="AK101" s="600"/>
      <c r="AL101" s="105"/>
      <c r="AM101" s="70"/>
      <c r="AN101" s="70"/>
      <c r="AO101" s="70"/>
      <c r="AP101" s="640"/>
      <c r="AQ101" s="70"/>
      <c r="AR101" s="600"/>
      <c r="AS101" s="600"/>
      <c r="AT101" s="600"/>
      <c r="AU101" s="600"/>
      <c r="AV101" s="600"/>
      <c r="AW101" s="600"/>
      <c r="AX101" s="600"/>
      <c r="AY101" s="600"/>
      <c r="AZ101" s="600"/>
      <c r="BA101" s="600"/>
      <c r="BB101" s="600"/>
      <c r="BC101" s="600"/>
      <c r="BD101" s="600"/>
      <c r="BE101" s="600"/>
      <c r="BF101" s="600"/>
      <c r="BG101" s="600"/>
      <c r="BH101" s="600"/>
      <c r="BI101" s="600"/>
      <c r="BJ101" s="600"/>
      <c r="BK101" s="600"/>
      <c r="BL101" s="600"/>
      <c r="BM101" s="600"/>
      <c r="BN101" s="600"/>
      <c r="BO101" s="600"/>
      <c r="BP101" s="600"/>
      <c r="BQ101" s="600"/>
      <c r="BR101" s="600"/>
      <c r="BS101" s="600"/>
      <c r="BT101" s="600"/>
      <c r="BU101" s="600"/>
      <c r="BV101" s="600"/>
      <c r="BW101" s="600"/>
      <c r="BX101" s="600"/>
      <c r="BY101" s="600"/>
      <c r="BZ101" s="600"/>
      <c r="CA101" s="600"/>
      <c r="CB101" s="600"/>
      <c r="CC101" s="600"/>
      <c r="CD101" s="105"/>
      <c r="CE101" s="70"/>
      <c r="CF101" s="70"/>
      <c r="CG101" s="70"/>
      <c r="CH101" s="640"/>
      <c r="CI101" s="70"/>
      <c r="CJ101" s="600"/>
      <c r="CK101" s="105"/>
      <c r="CL101" s="70"/>
      <c r="CM101" s="70"/>
      <c r="CN101" s="70"/>
      <c r="CO101" s="640"/>
      <c r="CP101" s="70"/>
      <c r="CQ101" s="600"/>
      <c r="CR101" s="105"/>
      <c r="CS101" s="70"/>
      <c r="CT101" s="70"/>
      <c r="CU101" s="70"/>
      <c r="CV101" s="640"/>
      <c r="CW101" s="70"/>
      <c r="CX101" s="600"/>
      <c r="CY101" s="600"/>
      <c r="CZ101" s="600"/>
      <c r="DA101" s="105"/>
      <c r="DB101" s="70"/>
      <c r="DC101" s="70"/>
      <c r="DD101" s="70"/>
      <c r="DE101" s="640"/>
      <c r="DF101" s="70"/>
    </row>
    <row r="102" spans="1:110" ht="23.4">
      <c r="A102" s="106"/>
      <c r="B102" s="107"/>
      <c r="C102" s="107"/>
      <c r="D102" s="104"/>
      <c r="E102" s="102"/>
      <c r="F102" s="103"/>
      <c r="G102" s="103"/>
      <c r="H102" s="105"/>
      <c r="I102" s="70"/>
      <c r="J102" s="70"/>
      <c r="K102" s="70"/>
      <c r="L102" s="640"/>
      <c r="M102" s="70"/>
      <c r="N102" s="567"/>
      <c r="O102" s="592"/>
      <c r="P102" s="592"/>
      <c r="Q102" s="485"/>
      <c r="R102" s="485"/>
      <c r="S102" s="485"/>
      <c r="T102" s="485"/>
      <c r="U102" s="485"/>
      <c r="V102" s="485"/>
      <c r="W102" s="485"/>
      <c r="X102" s="485"/>
      <c r="Y102" s="485"/>
      <c r="Z102" s="485"/>
      <c r="AA102" s="485"/>
      <c r="AB102" s="485"/>
      <c r="AC102" s="485"/>
      <c r="AD102" s="1118"/>
      <c r="AE102" s="105"/>
      <c r="AF102" s="70"/>
      <c r="AG102" s="70"/>
      <c r="AH102" s="70"/>
      <c r="AI102" s="640"/>
      <c r="AJ102" s="70"/>
      <c r="AK102" s="600"/>
      <c r="AL102" s="105"/>
      <c r="AM102" s="70"/>
      <c r="AN102" s="70"/>
      <c r="AO102" s="70"/>
      <c r="AP102" s="640"/>
      <c r="AQ102" s="70"/>
      <c r="AR102" s="600"/>
      <c r="AS102" s="600"/>
      <c r="AT102" s="600"/>
      <c r="AU102" s="600"/>
      <c r="AV102" s="600"/>
      <c r="AW102" s="600"/>
      <c r="AX102" s="600"/>
      <c r="AY102" s="600"/>
      <c r="AZ102" s="600"/>
      <c r="BA102" s="600"/>
      <c r="BB102" s="600"/>
      <c r="BC102" s="600"/>
      <c r="BD102" s="600"/>
      <c r="BE102" s="600"/>
      <c r="BF102" s="600"/>
      <c r="BG102" s="600"/>
      <c r="BH102" s="600"/>
      <c r="BI102" s="600"/>
      <c r="BJ102" s="600"/>
      <c r="BK102" s="600"/>
      <c r="BL102" s="600"/>
      <c r="BM102" s="600"/>
      <c r="BN102" s="600"/>
      <c r="BO102" s="600"/>
      <c r="BP102" s="600"/>
      <c r="BQ102" s="600"/>
      <c r="BR102" s="600"/>
      <c r="BS102" s="600"/>
      <c r="BT102" s="600"/>
      <c r="BU102" s="600"/>
      <c r="BV102" s="600"/>
      <c r="BW102" s="600"/>
      <c r="BX102" s="600"/>
      <c r="BY102" s="600"/>
      <c r="BZ102" s="600"/>
      <c r="CA102" s="600"/>
      <c r="CB102" s="600"/>
      <c r="CC102" s="600"/>
      <c r="CD102" s="105"/>
      <c r="CE102" s="70"/>
      <c r="CF102" s="70"/>
      <c r="CG102" s="70"/>
      <c r="CH102" s="640"/>
      <c r="CI102" s="70"/>
      <c r="CJ102" s="600"/>
      <c r="CK102" s="105"/>
      <c r="CL102" s="70"/>
      <c r="CM102" s="70"/>
      <c r="CN102" s="70"/>
      <c r="CO102" s="640"/>
      <c r="CP102" s="70"/>
      <c r="CQ102" s="600"/>
      <c r="CR102" s="105"/>
      <c r="CS102" s="70"/>
      <c r="CT102" s="70"/>
      <c r="CU102" s="70"/>
      <c r="CV102" s="640"/>
      <c r="CW102" s="70"/>
      <c r="CX102" s="600"/>
      <c r="CY102" s="600"/>
      <c r="CZ102" s="600"/>
      <c r="DA102" s="105"/>
      <c r="DB102" s="70"/>
      <c r="DC102" s="70"/>
      <c r="DD102" s="70"/>
      <c r="DE102" s="640"/>
      <c r="DF102" s="70"/>
    </row>
    <row r="103" spans="1:110" ht="23.4">
      <c r="A103" s="106"/>
      <c r="B103" s="107"/>
      <c r="C103" s="107"/>
      <c r="D103" s="104"/>
      <c r="E103" s="102"/>
      <c r="F103" s="103"/>
      <c r="G103" s="103"/>
      <c r="H103" s="105"/>
      <c r="I103" s="70"/>
      <c r="J103" s="70"/>
      <c r="K103" s="70"/>
      <c r="L103" s="640"/>
      <c r="M103" s="70"/>
      <c r="N103" s="567"/>
      <c r="O103" s="592"/>
      <c r="P103" s="592"/>
      <c r="Q103" s="485"/>
      <c r="R103" s="485"/>
      <c r="S103" s="485"/>
      <c r="T103" s="485"/>
      <c r="U103" s="485"/>
      <c r="V103" s="485"/>
      <c r="W103" s="485"/>
      <c r="X103" s="485"/>
      <c r="Y103" s="485"/>
      <c r="Z103" s="485"/>
      <c r="AA103" s="485"/>
      <c r="AB103" s="485"/>
      <c r="AC103" s="485"/>
      <c r="AD103" s="1118"/>
      <c r="AE103" s="105"/>
      <c r="AF103" s="70"/>
      <c r="AG103" s="70"/>
      <c r="AH103" s="70"/>
      <c r="AI103" s="640"/>
      <c r="AJ103" s="70"/>
      <c r="AK103" s="600"/>
      <c r="AL103" s="105"/>
      <c r="AM103" s="70"/>
      <c r="AN103" s="70"/>
      <c r="AO103" s="70"/>
      <c r="AP103" s="640"/>
      <c r="AQ103" s="70"/>
      <c r="AR103" s="600"/>
      <c r="AS103" s="600"/>
      <c r="AT103" s="600"/>
      <c r="AU103" s="600"/>
      <c r="AV103" s="600"/>
      <c r="AW103" s="600"/>
      <c r="AX103" s="600"/>
      <c r="AY103" s="600"/>
      <c r="AZ103" s="600"/>
      <c r="BA103" s="600"/>
      <c r="BB103" s="600"/>
      <c r="BC103" s="600"/>
      <c r="BD103" s="600"/>
      <c r="BE103" s="600"/>
      <c r="BF103" s="600"/>
      <c r="BG103" s="600"/>
      <c r="BH103" s="600"/>
      <c r="BI103" s="600"/>
      <c r="BJ103" s="600"/>
      <c r="BK103" s="600"/>
      <c r="BL103" s="600"/>
      <c r="BM103" s="600"/>
      <c r="BN103" s="600"/>
      <c r="BO103" s="600"/>
      <c r="BP103" s="600"/>
      <c r="BQ103" s="600"/>
      <c r="BR103" s="600"/>
      <c r="BS103" s="600"/>
      <c r="BT103" s="600"/>
      <c r="BU103" s="600"/>
      <c r="BV103" s="600"/>
      <c r="BW103" s="600"/>
      <c r="BX103" s="600"/>
      <c r="BY103" s="600"/>
      <c r="BZ103" s="600"/>
      <c r="CA103" s="600"/>
      <c r="CB103" s="600"/>
      <c r="CC103" s="600"/>
      <c r="CD103" s="105"/>
      <c r="CE103" s="70"/>
      <c r="CF103" s="70"/>
      <c r="CG103" s="70"/>
      <c r="CH103" s="640"/>
      <c r="CI103" s="70"/>
      <c r="CJ103" s="600"/>
      <c r="CK103" s="105"/>
      <c r="CL103" s="70"/>
      <c r="CM103" s="70"/>
      <c r="CN103" s="70"/>
      <c r="CO103" s="640"/>
      <c r="CP103" s="70"/>
      <c r="CQ103" s="600"/>
      <c r="CR103" s="105"/>
      <c r="CS103" s="70"/>
      <c r="CT103" s="70"/>
      <c r="CU103" s="70"/>
      <c r="CV103" s="640"/>
      <c r="CW103" s="70"/>
      <c r="CX103" s="600"/>
      <c r="CY103" s="600"/>
      <c r="CZ103" s="600"/>
      <c r="DA103" s="105"/>
      <c r="DB103" s="70"/>
      <c r="DC103" s="70"/>
      <c r="DD103" s="70"/>
      <c r="DE103" s="640"/>
      <c r="DF103" s="70"/>
    </row>
    <row r="104" spans="1:110" ht="23.4">
      <c r="A104" s="106"/>
      <c r="B104" s="107"/>
      <c r="C104" s="107"/>
      <c r="D104" s="104"/>
      <c r="E104" s="102"/>
      <c r="F104" s="103"/>
      <c r="G104" s="103"/>
      <c r="H104" s="105"/>
      <c r="I104" s="70"/>
      <c r="J104" s="70"/>
      <c r="K104" s="70"/>
      <c r="L104" s="640"/>
      <c r="M104" s="70"/>
      <c r="N104" s="567"/>
      <c r="O104" s="592"/>
      <c r="P104" s="592"/>
      <c r="Q104" s="485"/>
      <c r="R104" s="485"/>
      <c r="S104" s="485"/>
      <c r="T104" s="485"/>
      <c r="U104" s="485"/>
      <c r="V104" s="485"/>
      <c r="W104" s="485"/>
      <c r="X104" s="485"/>
      <c r="Y104" s="485"/>
      <c r="Z104" s="485"/>
      <c r="AA104" s="485"/>
      <c r="AB104" s="485"/>
      <c r="AC104" s="485"/>
      <c r="AD104" s="1118"/>
      <c r="AE104" s="105"/>
      <c r="AF104" s="70"/>
      <c r="AG104" s="70"/>
      <c r="AH104" s="70"/>
      <c r="AI104" s="640"/>
      <c r="AJ104" s="70"/>
      <c r="AK104" s="600"/>
      <c r="AL104" s="105"/>
      <c r="AM104" s="70"/>
      <c r="AN104" s="70"/>
      <c r="AO104" s="70"/>
      <c r="AP104" s="640"/>
      <c r="AQ104" s="70"/>
      <c r="AR104" s="600"/>
      <c r="AS104" s="600"/>
      <c r="AT104" s="600"/>
      <c r="AU104" s="600"/>
      <c r="AV104" s="600"/>
      <c r="AW104" s="600"/>
      <c r="AX104" s="600"/>
      <c r="AY104" s="600"/>
      <c r="AZ104" s="600"/>
      <c r="BA104" s="600"/>
      <c r="BB104" s="600"/>
      <c r="BC104" s="600"/>
      <c r="BD104" s="600"/>
      <c r="BE104" s="600"/>
      <c r="BF104" s="600"/>
      <c r="BG104" s="600"/>
      <c r="BH104" s="600"/>
      <c r="BI104" s="600"/>
      <c r="BJ104" s="600"/>
      <c r="BK104" s="600"/>
      <c r="BL104" s="600"/>
      <c r="BM104" s="600"/>
      <c r="BN104" s="600"/>
      <c r="BO104" s="600"/>
      <c r="BP104" s="600"/>
      <c r="BQ104" s="600"/>
      <c r="BR104" s="600"/>
      <c r="BS104" s="600"/>
      <c r="BT104" s="600"/>
      <c r="BU104" s="600"/>
      <c r="BV104" s="600"/>
      <c r="BW104" s="600"/>
      <c r="BX104" s="600"/>
      <c r="BY104" s="600"/>
      <c r="BZ104" s="600"/>
      <c r="CA104" s="600"/>
      <c r="CB104" s="600"/>
      <c r="CC104" s="600"/>
      <c r="CD104" s="105"/>
      <c r="CE104" s="70"/>
      <c r="CF104" s="70"/>
      <c r="CG104" s="70"/>
      <c r="CH104" s="640"/>
      <c r="CI104" s="70"/>
      <c r="CJ104" s="600"/>
      <c r="CK104" s="105"/>
      <c r="CL104" s="70"/>
      <c r="CM104" s="70"/>
      <c r="CN104" s="70"/>
      <c r="CO104" s="640"/>
      <c r="CP104" s="70"/>
      <c r="CQ104" s="600"/>
      <c r="CR104" s="105"/>
      <c r="CS104" s="70"/>
      <c r="CT104" s="70"/>
      <c r="CU104" s="70"/>
      <c r="CV104" s="640"/>
      <c r="CW104" s="70"/>
      <c r="CX104" s="600"/>
      <c r="CY104" s="600"/>
      <c r="CZ104" s="600"/>
      <c r="DA104" s="105"/>
      <c r="DB104" s="70"/>
      <c r="DC104" s="70"/>
      <c r="DD104" s="70"/>
      <c r="DE104" s="640"/>
      <c r="DF104" s="70"/>
    </row>
    <row r="105" spans="1:110" ht="23.4">
      <c r="A105" s="106"/>
      <c r="B105" s="107"/>
      <c r="C105" s="107"/>
      <c r="D105" s="104"/>
      <c r="E105" s="102"/>
      <c r="F105" s="103"/>
      <c r="G105" s="103"/>
      <c r="H105" s="105"/>
      <c r="I105" s="70"/>
      <c r="J105" s="70"/>
      <c r="K105" s="70"/>
      <c r="L105" s="640"/>
      <c r="M105" s="70"/>
      <c r="N105" s="567"/>
      <c r="O105" s="592"/>
      <c r="P105" s="592"/>
      <c r="Q105" s="485"/>
      <c r="R105" s="485"/>
      <c r="S105" s="485"/>
      <c r="T105" s="485"/>
      <c r="U105" s="485"/>
      <c r="V105" s="485"/>
      <c r="W105" s="485"/>
      <c r="X105" s="485"/>
      <c r="Y105" s="485"/>
      <c r="Z105" s="485"/>
      <c r="AA105" s="485"/>
      <c r="AB105" s="485"/>
      <c r="AC105" s="485"/>
      <c r="AD105" s="1118"/>
      <c r="AE105" s="105"/>
      <c r="AF105" s="70"/>
      <c r="AG105" s="70"/>
      <c r="AH105" s="70"/>
      <c r="AI105" s="640"/>
      <c r="AJ105" s="70"/>
      <c r="AK105" s="600"/>
      <c r="AL105" s="105"/>
      <c r="AM105" s="70"/>
      <c r="AN105" s="70"/>
      <c r="AO105" s="70"/>
      <c r="AP105" s="640"/>
      <c r="AQ105" s="70"/>
      <c r="AR105" s="600"/>
      <c r="AS105" s="600"/>
      <c r="AT105" s="600"/>
      <c r="AU105" s="600"/>
      <c r="AV105" s="600"/>
      <c r="AW105" s="600"/>
      <c r="AX105" s="600"/>
      <c r="AY105" s="600"/>
      <c r="AZ105" s="600"/>
      <c r="BA105" s="600"/>
      <c r="BB105" s="600"/>
      <c r="BC105" s="600"/>
      <c r="BD105" s="600"/>
      <c r="BE105" s="600"/>
      <c r="BF105" s="600"/>
      <c r="BG105" s="600"/>
      <c r="BH105" s="600"/>
      <c r="BI105" s="600"/>
      <c r="BJ105" s="600"/>
      <c r="BK105" s="600"/>
      <c r="BL105" s="600"/>
      <c r="BM105" s="600"/>
      <c r="BN105" s="600"/>
      <c r="BO105" s="600"/>
      <c r="BP105" s="600"/>
      <c r="BQ105" s="600"/>
      <c r="BR105" s="600"/>
      <c r="BS105" s="600"/>
      <c r="BT105" s="600"/>
      <c r="BU105" s="600"/>
      <c r="BV105" s="600"/>
      <c r="BW105" s="600"/>
      <c r="BX105" s="600"/>
      <c r="BY105" s="600"/>
      <c r="BZ105" s="600"/>
      <c r="CA105" s="600"/>
      <c r="CB105" s="600"/>
      <c r="CC105" s="600"/>
      <c r="CD105" s="105"/>
      <c r="CE105" s="70"/>
      <c r="CF105" s="70"/>
      <c r="CG105" s="70"/>
      <c r="CH105" s="640"/>
      <c r="CI105" s="70"/>
      <c r="CJ105" s="600"/>
      <c r="CK105" s="105"/>
      <c r="CL105" s="70"/>
      <c r="CM105" s="70"/>
      <c r="CN105" s="70"/>
      <c r="CO105" s="640"/>
      <c r="CP105" s="70"/>
      <c r="CQ105" s="600"/>
      <c r="CR105" s="105"/>
      <c r="CS105" s="70"/>
      <c r="CT105" s="70"/>
      <c r="CU105" s="70"/>
      <c r="CV105" s="640"/>
      <c r="CW105" s="70"/>
      <c r="CX105" s="600"/>
      <c r="CY105" s="600"/>
      <c r="CZ105" s="600"/>
      <c r="DA105" s="105"/>
      <c r="DB105" s="70"/>
      <c r="DC105" s="70"/>
      <c r="DD105" s="70"/>
      <c r="DE105" s="640"/>
      <c r="DF105" s="70"/>
    </row>
    <row r="106" spans="1:110" ht="23.4">
      <c r="A106" s="106"/>
      <c r="B106" s="107"/>
      <c r="C106" s="107"/>
      <c r="D106" s="104"/>
      <c r="E106" s="102"/>
      <c r="F106" s="103"/>
      <c r="G106" s="103"/>
      <c r="H106" s="105"/>
      <c r="I106" s="70"/>
      <c r="J106" s="70"/>
      <c r="K106" s="70"/>
      <c r="L106" s="640"/>
      <c r="M106" s="70"/>
      <c r="N106" s="567"/>
      <c r="O106" s="592"/>
      <c r="P106" s="592"/>
      <c r="Q106" s="485"/>
      <c r="R106" s="485"/>
      <c r="S106" s="485"/>
      <c r="T106" s="485"/>
      <c r="U106" s="485"/>
      <c r="V106" s="485"/>
      <c r="W106" s="485"/>
      <c r="X106" s="485"/>
      <c r="Y106" s="485"/>
      <c r="Z106" s="485"/>
      <c r="AA106" s="485"/>
      <c r="AB106" s="485"/>
      <c r="AC106" s="485"/>
      <c r="AD106" s="1118"/>
      <c r="AE106" s="105"/>
      <c r="AF106" s="70"/>
      <c r="AG106" s="70"/>
      <c r="AH106" s="70"/>
      <c r="AI106" s="640"/>
      <c r="AJ106" s="70"/>
      <c r="AK106" s="600"/>
      <c r="AL106" s="105"/>
      <c r="AM106" s="70"/>
      <c r="AN106" s="70"/>
      <c r="AO106" s="70"/>
      <c r="AP106" s="640"/>
      <c r="AQ106" s="70"/>
      <c r="AR106" s="600"/>
      <c r="AS106" s="600"/>
      <c r="AT106" s="600"/>
      <c r="AU106" s="600"/>
      <c r="AV106" s="600"/>
      <c r="AW106" s="600"/>
      <c r="AX106" s="600"/>
      <c r="AY106" s="600"/>
      <c r="AZ106" s="600"/>
      <c r="BA106" s="600"/>
      <c r="BB106" s="600"/>
      <c r="BC106" s="600"/>
      <c r="BD106" s="600"/>
      <c r="BE106" s="600"/>
      <c r="BF106" s="600"/>
      <c r="BG106" s="600"/>
      <c r="BH106" s="600"/>
      <c r="BI106" s="600"/>
      <c r="BJ106" s="600"/>
      <c r="BK106" s="600"/>
      <c r="BL106" s="600"/>
      <c r="BM106" s="600"/>
      <c r="BN106" s="600"/>
      <c r="BO106" s="600"/>
      <c r="BP106" s="600"/>
      <c r="BQ106" s="600"/>
      <c r="BR106" s="600"/>
      <c r="BS106" s="600"/>
      <c r="BT106" s="600"/>
      <c r="BU106" s="600"/>
      <c r="BV106" s="600"/>
      <c r="BW106" s="600"/>
      <c r="BX106" s="600"/>
      <c r="BY106" s="600"/>
      <c r="BZ106" s="600"/>
      <c r="CA106" s="600"/>
      <c r="CB106" s="600"/>
      <c r="CC106" s="600"/>
      <c r="CD106" s="105"/>
      <c r="CE106" s="70"/>
      <c r="CF106" s="70"/>
      <c r="CG106" s="70"/>
      <c r="CH106" s="640"/>
      <c r="CI106" s="70"/>
      <c r="CJ106" s="600"/>
      <c r="CK106" s="105"/>
      <c r="CL106" s="70"/>
      <c r="CM106" s="70"/>
      <c r="CN106" s="70"/>
      <c r="CO106" s="640"/>
      <c r="CP106" s="70"/>
      <c r="CQ106" s="600"/>
      <c r="CR106" s="105"/>
      <c r="CS106" s="70"/>
      <c r="CT106" s="70"/>
      <c r="CU106" s="70"/>
      <c r="CV106" s="640"/>
      <c r="CW106" s="70"/>
      <c r="CX106" s="600"/>
      <c r="CY106" s="600"/>
      <c r="CZ106" s="600"/>
      <c r="DA106" s="105"/>
      <c r="DB106" s="70"/>
      <c r="DC106" s="70"/>
      <c r="DD106" s="70"/>
      <c r="DE106" s="640"/>
      <c r="DF106" s="70"/>
    </row>
    <row r="107" spans="1:110" ht="23.4">
      <c r="A107" s="106"/>
      <c r="B107" s="107"/>
      <c r="C107" s="107"/>
      <c r="D107" s="104"/>
      <c r="E107" s="102"/>
      <c r="F107" s="103"/>
      <c r="G107" s="103"/>
      <c r="H107" s="105"/>
      <c r="I107" s="70"/>
      <c r="J107" s="70"/>
      <c r="K107" s="70"/>
      <c r="L107" s="640"/>
      <c r="M107" s="70"/>
      <c r="N107" s="567"/>
      <c r="O107" s="592"/>
      <c r="P107" s="592"/>
      <c r="Q107" s="485"/>
      <c r="R107" s="485"/>
      <c r="S107" s="485"/>
      <c r="T107" s="485"/>
      <c r="U107" s="485"/>
      <c r="V107" s="485"/>
      <c r="W107" s="485"/>
      <c r="X107" s="485"/>
      <c r="Y107" s="485"/>
      <c r="Z107" s="485"/>
      <c r="AA107" s="485"/>
      <c r="AB107" s="485"/>
      <c r="AC107" s="485"/>
      <c r="AD107" s="1118"/>
      <c r="AE107" s="105"/>
      <c r="AF107" s="70"/>
      <c r="AG107" s="70"/>
      <c r="AH107" s="70"/>
      <c r="AI107" s="640"/>
      <c r="AJ107" s="70"/>
      <c r="AK107" s="600"/>
      <c r="AL107" s="105"/>
      <c r="AM107" s="70"/>
      <c r="AN107" s="70"/>
      <c r="AO107" s="70"/>
      <c r="AP107" s="640"/>
      <c r="AQ107" s="70"/>
      <c r="AR107" s="600"/>
      <c r="AS107" s="600"/>
      <c r="AT107" s="600"/>
      <c r="AU107" s="600"/>
      <c r="AV107" s="600"/>
      <c r="AW107" s="600"/>
      <c r="AX107" s="600"/>
      <c r="AY107" s="600"/>
      <c r="AZ107" s="600"/>
      <c r="BA107" s="600"/>
      <c r="BB107" s="600"/>
      <c r="BC107" s="600"/>
      <c r="BD107" s="600"/>
      <c r="BE107" s="600"/>
      <c r="BF107" s="600"/>
      <c r="BG107" s="600"/>
      <c r="BH107" s="600"/>
      <c r="BI107" s="600"/>
      <c r="BJ107" s="600"/>
      <c r="BK107" s="600"/>
      <c r="BL107" s="600"/>
      <c r="BM107" s="600"/>
      <c r="BN107" s="600"/>
      <c r="BO107" s="600"/>
      <c r="BP107" s="600"/>
      <c r="BQ107" s="600"/>
      <c r="BR107" s="600"/>
      <c r="BS107" s="600"/>
      <c r="BT107" s="600"/>
      <c r="BU107" s="600"/>
      <c r="BV107" s="600"/>
      <c r="BW107" s="600"/>
      <c r="BX107" s="600"/>
      <c r="BY107" s="600"/>
      <c r="BZ107" s="600"/>
      <c r="CA107" s="600"/>
      <c r="CB107" s="600"/>
      <c r="CC107" s="600"/>
      <c r="CD107" s="105"/>
      <c r="CE107" s="70"/>
      <c r="CF107" s="70"/>
      <c r="CG107" s="70"/>
      <c r="CH107" s="640"/>
      <c r="CI107" s="70"/>
      <c r="CJ107" s="600"/>
      <c r="CK107" s="105"/>
      <c r="CL107" s="70"/>
      <c r="CM107" s="70"/>
      <c r="CN107" s="70"/>
      <c r="CO107" s="640"/>
      <c r="CP107" s="70"/>
      <c r="CQ107" s="600"/>
      <c r="CR107" s="105"/>
      <c r="CS107" s="70"/>
      <c r="CT107" s="70"/>
      <c r="CU107" s="70"/>
      <c r="CV107" s="640"/>
      <c r="CW107" s="70"/>
      <c r="CX107" s="600"/>
      <c r="CY107" s="600"/>
      <c r="CZ107" s="600"/>
      <c r="DA107" s="105"/>
      <c r="DB107" s="70"/>
      <c r="DC107" s="70"/>
      <c r="DD107" s="70"/>
      <c r="DE107" s="640"/>
      <c r="DF107" s="70"/>
    </row>
    <row r="108" spans="1:110" ht="23.4">
      <c r="A108" s="106"/>
      <c r="B108" s="107"/>
      <c r="C108" s="107"/>
      <c r="D108" s="104"/>
      <c r="E108" s="102"/>
      <c r="F108" s="103"/>
      <c r="G108" s="103"/>
      <c r="H108" s="105"/>
      <c r="I108" s="70"/>
      <c r="J108" s="70"/>
      <c r="K108" s="70"/>
      <c r="L108" s="640"/>
      <c r="M108" s="70"/>
      <c r="N108" s="567"/>
      <c r="O108" s="592"/>
      <c r="P108" s="592"/>
      <c r="Q108" s="485"/>
      <c r="R108" s="485"/>
      <c r="S108" s="485"/>
      <c r="T108" s="485"/>
      <c r="U108" s="485"/>
      <c r="V108" s="485"/>
      <c r="W108" s="485"/>
      <c r="X108" s="485"/>
      <c r="Y108" s="485"/>
      <c r="Z108" s="485"/>
      <c r="AA108" s="485"/>
      <c r="AB108" s="485"/>
      <c r="AC108" s="485"/>
      <c r="AD108" s="1118"/>
      <c r="AE108" s="105"/>
      <c r="AF108" s="70"/>
      <c r="AG108" s="70"/>
      <c r="AH108" s="70"/>
      <c r="AI108" s="640"/>
      <c r="AJ108" s="70"/>
      <c r="AK108" s="600"/>
      <c r="AL108" s="105"/>
      <c r="AM108" s="70"/>
      <c r="AN108" s="70"/>
      <c r="AO108" s="70"/>
      <c r="AP108" s="640"/>
      <c r="AQ108" s="70"/>
      <c r="AR108" s="600"/>
      <c r="AS108" s="600"/>
      <c r="AT108" s="600"/>
      <c r="AU108" s="600"/>
      <c r="AV108" s="600"/>
      <c r="AW108" s="600"/>
      <c r="AX108" s="600"/>
      <c r="AY108" s="600"/>
      <c r="AZ108" s="600"/>
      <c r="BA108" s="600"/>
      <c r="BB108" s="600"/>
      <c r="BC108" s="600"/>
      <c r="BD108" s="600"/>
      <c r="BE108" s="600"/>
      <c r="BF108" s="600"/>
      <c r="BG108" s="600"/>
      <c r="BH108" s="600"/>
      <c r="BI108" s="600"/>
      <c r="BJ108" s="600"/>
      <c r="BK108" s="600"/>
      <c r="BL108" s="600"/>
      <c r="BM108" s="600"/>
      <c r="BN108" s="600"/>
      <c r="BO108" s="600"/>
      <c r="BP108" s="600"/>
      <c r="BQ108" s="600"/>
      <c r="BR108" s="600"/>
      <c r="BS108" s="600"/>
      <c r="BT108" s="600"/>
      <c r="BU108" s="600"/>
      <c r="BV108" s="600"/>
      <c r="BW108" s="600"/>
      <c r="BX108" s="600"/>
      <c r="BY108" s="600"/>
      <c r="BZ108" s="600"/>
      <c r="CA108" s="600"/>
      <c r="CB108" s="600"/>
      <c r="CC108" s="600"/>
      <c r="CD108" s="105"/>
      <c r="CE108" s="70"/>
      <c r="CF108" s="70"/>
      <c r="CG108" s="70"/>
      <c r="CH108" s="640"/>
      <c r="CI108" s="70"/>
      <c r="CJ108" s="600"/>
      <c r="CK108" s="105"/>
      <c r="CL108" s="70"/>
      <c r="CM108" s="70"/>
      <c r="CN108" s="70"/>
      <c r="CO108" s="640"/>
      <c r="CP108" s="70"/>
      <c r="CQ108" s="600"/>
      <c r="CR108" s="105"/>
      <c r="CS108" s="70"/>
      <c r="CT108" s="70"/>
      <c r="CU108" s="70"/>
      <c r="CV108" s="640"/>
      <c r="CW108" s="70"/>
      <c r="CX108" s="600"/>
      <c r="CY108" s="600"/>
      <c r="CZ108" s="600"/>
      <c r="DA108" s="105"/>
      <c r="DB108" s="70"/>
      <c r="DC108" s="70"/>
      <c r="DD108" s="70"/>
      <c r="DE108" s="640"/>
      <c r="DF108" s="70"/>
    </row>
    <row r="109" spans="1:110" ht="23.4">
      <c r="A109" s="106"/>
      <c r="B109" s="107"/>
      <c r="C109" s="107"/>
      <c r="D109" s="104"/>
      <c r="E109" s="102"/>
      <c r="F109" s="103"/>
      <c r="G109" s="103"/>
      <c r="H109" s="105"/>
      <c r="I109" s="70"/>
      <c r="J109" s="70"/>
      <c r="K109" s="70"/>
      <c r="L109" s="640"/>
      <c r="M109" s="70"/>
      <c r="N109" s="567"/>
      <c r="O109" s="592"/>
      <c r="P109" s="592"/>
      <c r="Q109" s="485"/>
      <c r="R109" s="485"/>
      <c r="S109" s="485"/>
      <c r="T109" s="498"/>
      <c r="U109" s="593"/>
      <c r="V109" s="593"/>
      <c r="W109" s="593"/>
      <c r="X109" s="498"/>
      <c r="Y109" s="485"/>
      <c r="Z109" s="485"/>
      <c r="AA109" s="485"/>
      <c r="AB109" s="485"/>
      <c r="AC109" s="485"/>
      <c r="AD109" s="1118"/>
      <c r="AE109" s="105"/>
      <c r="AF109" s="70"/>
      <c r="AG109" s="70"/>
      <c r="AH109" s="70"/>
      <c r="AI109" s="640"/>
      <c r="AJ109" s="70"/>
      <c r="AK109" s="600"/>
      <c r="AL109" s="105"/>
      <c r="AM109" s="70"/>
      <c r="AN109" s="70"/>
      <c r="AO109" s="70"/>
      <c r="AP109" s="640"/>
      <c r="AQ109" s="70"/>
      <c r="AR109" s="600"/>
      <c r="AS109" s="600"/>
      <c r="AT109" s="600"/>
      <c r="AU109" s="600"/>
      <c r="AV109" s="600"/>
      <c r="AW109" s="600"/>
      <c r="AX109" s="600"/>
      <c r="AY109" s="600"/>
      <c r="AZ109" s="600"/>
      <c r="BA109" s="600"/>
      <c r="BB109" s="600"/>
      <c r="BC109" s="600"/>
      <c r="BD109" s="600"/>
      <c r="BE109" s="600"/>
      <c r="BF109" s="600"/>
      <c r="BG109" s="600"/>
      <c r="BH109" s="600"/>
      <c r="BI109" s="600"/>
      <c r="BJ109" s="600"/>
      <c r="BK109" s="600"/>
      <c r="BL109" s="600"/>
      <c r="BM109" s="600"/>
      <c r="BN109" s="600"/>
      <c r="BO109" s="600"/>
      <c r="BP109" s="600"/>
      <c r="BQ109" s="600"/>
      <c r="BR109" s="600"/>
      <c r="BS109" s="600"/>
      <c r="BT109" s="600"/>
      <c r="BU109" s="600"/>
      <c r="BV109" s="600"/>
      <c r="BW109" s="600"/>
      <c r="BX109" s="600"/>
      <c r="BY109" s="600"/>
      <c r="BZ109" s="600"/>
      <c r="CA109" s="600"/>
      <c r="CB109" s="600"/>
      <c r="CC109" s="600"/>
      <c r="CD109" s="105"/>
      <c r="CE109" s="70"/>
      <c r="CF109" s="70"/>
      <c r="CG109" s="70"/>
      <c r="CH109" s="640"/>
      <c r="CI109" s="70"/>
      <c r="CJ109" s="600"/>
      <c r="CK109" s="105"/>
      <c r="CL109" s="70"/>
      <c r="CM109" s="70"/>
      <c r="CN109" s="70"/>
      <c r="CO109" s="640"/>
      <c r="CP109" s="70"/>
      <c r="CQ109" s="600"/>
      <c r="CR109" s="105"/>
      <c r="CS109" s="70"/>
      <c r="CT109" s="70"/>
      <c r="CU109" s="70"/>
      <c r="CV109" s="640"/>
      <c r="CW109" s="70"/>
      <c r="CX109" s="600"/>
      <c r="CY109" s="600"/>
      <c r="CZ109" s="600"/>
      <c r="DA109" s="105"/>
      <c r="DB109" s="70"/>
      <c r="DC109" s="70"/>
      <c r="DD109" s="70"/>
      <c r="DE109" s="640"/>
      <c r="DF109" s="70"/>
    </row>
    <row r="110" spans="1:110" ht="23.4">
      <c r="A110" s="106"/>
      <c r="B110" s="107"/>
      <c r="C110" s="107"/>
      <c r="D110" s="104"/>
      <c r="E110" s="102"/>
      <c r="F110" s="103"/>
      <c r="G110" s="103"/>
      <c r="H110" s="105"/>
      <c r="I110" s="70"/>
      <c r="J110" s="70"/>
      <c r="K110" s="70"/>
      <c r="L110" s="640"/>
      <c r="M110" s="70"/>
      <c r="N110" s="567"/>
      <c r="O110" s="592"/>
      <c r="P110" s="592"/>
      <c r="Q110" s="485"/>
      <c r="R110" s="485"/>
      <c r="S110" s="485"/>
      <c r="T110" s="498"/>
      <c r="U110" s="593"/>
      <c r="V110" s="593"/>
      <c r="W110" s="593"/>
      <c r="X110" s="498"/>
      <c r="Y110" s="485"/>
      <c r="Z110" s="485"/>
      <c r="AA110" s="485"/>
      <c r="AB110" s="485"/>
      <c r="AC110" s="485"/>
      <c r="AD110" s="1118"/>
      <c r="AE110" s="105"/>
      <c r="AF110" s="70"/>
      <c r="AG110" s="70"/>
      <c r="AH110" s="70"/>
      <c r="AI110" s="640"/>
      <c r="AJ110" s="70"/>
      <c r="AK110" s="600"/>
      <c r="AL110" s="105"/>
      <c r="AM110" s="70"/>
      <c r="AN110" s="70"/>
      <c r="AO110" s="70"/>
      <c r="AP110" s="640"/>
      <c r="AQ110" s="70"/>
      <c r="AR110" s="600"/>
      <c r="AS110" s="600"/>
      <c r="AT110" s="600"/>
      <c r="AU110" s="600"/>
      <c r="AV110" s="600"/>
      <c r="AW110" s="600"/>
      <c r="AX110" s="600"/>
      <c r="AY110" s="600"/>
      <c r="AZ110" s="600"/>
      <c r="BA110" s="600"/>
      <c r="BB110" s="600"/>
      <c r="BC110" s="600"/>
      <c r="BD110" s="600"/>
      <c r="BE110" s="600"/>
      <c r="BF110" s="600"/>
      <c r="BG110" s="600"/>
      <c r="BH110" s="600"/>
      <c r="BI110" s="600"/>
      <c r="BJ110" s="600"/>
      <c r="BK110" s="600"/>
      <c r="BL110" s="600"/>
      <c r="BM110" s="600"/>
      <c r="BN110" s="600"/>
      <c r="BO110" s="600"/>
      <c r="BP110" s="600"/>
      <c r="BQ110" s="600"/>
      <c r="BR110" s="600"/>
      <c r="BS110" s="600"/>
      <c r="BT110" s="600"/>
      <c r="BU110" s="600"/>
      <c r="BV110" s="600"/>
      <c r="BW110" s="600"/>
      <c r="BX110" s="600"/>
      <c r="BY110" s="600"/>
      <c r="BZ110" s="600"/>
      <c r="CA110" s="600"/>
      <c r="CB110" s="600"/>
      <c r="CC110" s="600"/>
      <c r="CD110" s="105"/>
      <c r="CE110" s="70"/>
      <c r="CF110" s="70"/>
      <c r="CG110" s="70"/>
      <c r="CH110" s="640"/>
      <c r="CI110" s="70"/>
      <c r="CJ110" s="600"/>
      <c r="CK110" s="105"/>
      <c r="CL110" s="70"/>
      <c r="CM110" s="70"/>
      <c r="CN110" s="70"/>
      <c r="CO110" s="640"/>
      <c r="CP110" s="70"/>
      <c r="CQ110" s="600"/>
      <c r="CR110" s="105"/>
      <c r="CS110" s="70"/>
      <c r="CT110" s="70"/>
      <c r="CU110" s="70"/>
      <c r="CV110" s="640"/>
      <c r="CW110" s="70"/>
      <c r="CX110" s="600"/>
      <c r="CY110" s="600"/>
      <c r="CZ110" s="600"/>
      <c r="DA110" s="105"/>
      <c r="DB110" s="70"/>
      <c r="DC110" s="70"/>
      <c r="DD110" s="70"/>
      <c r="DE110" s="640"/>
      <c r="DF110" s="70"/>
    </row>
    <row r="111" spans="1:110" ht="23.4">
      <c r="A111" s="106"/>
      <c r="B111" s="107"/>
      <c r="C111" s="107"/>
      <c r="D111" s="104"/>
      <c r="E111" s="102"/>
      <c r="F111" s="103"/>
      <c r="G111" s="103"/>
      <c r="H111" s="105"/>
      <c r="I111" s="70"/>
      <c r="J111" s="70"/>
      <c r="K111" s="70"/>
      <c r="L111" s="640"/>
      <c r="M111" s="70"/>
      <c r="N111" s="567"/>
      <c r="O111" s="592"/>
      <c r="P111" s="497" t="s">
        <v>240</v>
      </c>
      <c r="Q111" s="498"/>
      <c r="R111" s="498"/>
      <c r="S111" s="1444"/>
      <c r="T111" s="1444"/>
      <c r="U111" s="593"/>
      <c r="V111" s="593"/>
      <c r="W111" s="593"/>
      <c r="X111" s="1444"/>
      <c r="Y111" s="1444"/>
      <c r="Z111" s="1444"/>
      <c r="AA111" s="1444"/>
      <c r="AB111" s="1444"/>
      <c r="AC111" s="1444"/>
      <c r="AD111" s="1118"/>
      <c r="AE111" s="105"/>
      <c r="AF111" s="70"/>
      <c r="AG111" s="70"/>
      <c r="AH111" s="70"/>
      <c r="AI111" s="640"/>
      <c r="AJ111" s="70"/>
      <c r="AK111" s="600"/>
      <c r="AL111" s="105"/>
      <c r="AM111" s="70"/>
      <c r="AN111" s="70"/>
      <c r="AO111" s="70"/>
      <c r="AP111" s="640"/>
      <c r="AQ111" s="70"/>
      <c r="AR111" s="600"/>
      <c r="AS111" s="600"/>
      <c r="AT111" s="600"/>
      <c r="AU111" s="600"/>
      <c r="AV111" s="600"/>
      <c r="AW111" s="600"/>
      <c r="AX111" s="600"/>
      <c r="AY111" s="600"/>
      <c r="AZ111" s="600"/>
      <c r="BA111" s="600"/>
      <c r="BB111" s="600"/>
      <c r="BC111" s="600"/>
      <c r="BD111" s="600"/>
      <c r="BE111" s="600"/>
      <c r="BF111" s="600"/>
      <c r="BG111" s="600"/>
      <c r="BH111" s="600"/>
      <c r="BI111" s="600"/>
      <c r="BJ111" s="600"/>
      <c r="BK111" s="600"/>
      <c r="BL111" s="600"/>
      <c r="BM111" s="600"/>
      <c r="BN111" s="600"/>
      <c r="BO111" s="600"/>
      <c r="BP111" s="600"/>
      <c r="BQ111" s="600"/>
      <c r="BR111" s="600"/>
      <c r="BS111" s="600"/>
      <c r="BT111" s="600"/>
      <c r="BU111" s="600"/>
      <c r="BV111" s="600"/>
      <c r="BW111" s="600"/>
      <c r="BX111" s="600"/>
      <c r="BY111" s="600"/>
      <c r="BZ111" s="600"/>
      <c r="CA111" s="600"/>
      <c r="CB111" s="600"/>
      <c r="CC111" s="600"/>
      <c r="CD111" s="105"/>
      <c r="CE111" s="70"/>
      <c r="CF111" s="70"/>
      <c r="CG111" s="70"/>
      <c r="CH111" s="640"/>
      <c r="CI111" s="70"/>
      <c r="CJ111" s="600"/>
      <c r="CK111" s="105"/>
      <c r="CL111" s="70"/>
      <c r="CM111" s="70"/>
      <c r="CN111" s="70"/>
      <c r="CO111" s="640"/>
      <c r="CP111" s="70"/>
      <c r="CQ111" s="600"/>
      <c r="CR111" s="105"/>
      <c r="CS111" s="70"/>
      <c r="CT111" s="70"/>
      <c r="CU111" s="70"/>
      <c r="CV111" s="640"/>
      <c r="CW111" s="70"/>
      <c r="CX111" s="600"/>
      <c r="CY111" s="600"/>
      <c r="CZ111" s="600"/>
      <c r="DA111" s="105"/>
      <c r="DB111" s="70"/>
      <c r="DC111" s="70"/>
      <c r="DD111" s="70"/>
      <c r="DE111" s="640"/>
      <c r="DF111" s="70"/>
    </row>
    <row r="112" spans="1:110" ht="23.4">
      <c r="A112" s="106"/>
      <c r="B112" s="107"/>
      <c r="C112" s="107"/>
      <c r="D112" s="104"/>
      <c r="E112" s="102"/>
      <c r="F112" s="103"/>
      <c r="G112" s="103"/>
      <c r="H112" s="105"/>
      <c r="I112" s="70"/>
      <c r="J112" s="70"/>
      <c r="K112" s="70"/>
      <c r="L112" s="640"/>
      <c r="M112" s="70"/>
      <c r="N112" s="567"/>
      <c r="O112" s="592"/>
      <c r="P112" s="470"/>
      <c r="Q112" s="452" t="s">
        <v>241</v>
      </c>
      <c r="R112" s="452">
        <f>B3</f>
        <v>0</v>
      </c>
      <c r="S112" s="1444"/>
      <c r="T112" s="1444"/>
      <c r="U112" s="593"/>
      <c r="V112" s="593" t="s">
        <v>242</v>
      </c>
      <c r="W112" s="593" t="s">
        <v>243</v>
      </c>
      <c r="X112" s="1444"/>
      <c r="Y112" s="1444"/>
      <c r="Z112" s="1444"/>
      <c r="AA112" s="1444"/>
      <c r="AB112" s="1444"/>
      <c r="AC112" s="1444"/>
      <c r="AD112" s="1118"/>
      <c r="AE112" s="105"/>
      <c r="AF112" s="70"/>
      <c r="AG112" s="70"/>
      <c r="AH112" s="70"/>
      <c r="AI112" s="640"/>
      <c r="AJ112" s="70"/>
      <c r="AK112" s="600"/>
      <c r="AL112" s="105"/>
      <c r="AM112" s="70"/>
      <c r="AN112" s="70"/>
      <c r="AO112" s="70"/>
      <c r="AP112" s="640"/>
      <c r="AQ112" s="70"/>
      <c r="AR112" s="600"/>
      <c r="AS112" s="600"/>
      <c r="AT112" s="600"/>
      <c r="AU112" s="600"/>
      <c r="AV112" s="600"/>
      <c r="AW112" s="600"/>
      <c r="AX112" s="600"/>
      <c r="AY112" s="600"/>
      <c r="AZ112" s="600"/>
      <c r="BA112" s="600"/>
      <c r="BB112" s="600"/>
      <c r="BC112" s="600"/>
      <c r="BD112" s="600"/>
      <c r="BE112" s="600"/>
      <c r="BF112" s="600"/>
      <c r="BG112" s="600"/>
      <c r="BH112" s="600"/>
      <c r="BI112" s="600"/>
      <c r="BJ112" s="600"/>
      <c r="BK112" s="600"/>
      <c r="BL112" s="600"/>
      <c r="BM112" s="600"/>
      <c r="BN112" s="600"/>
      <c r="BO112" s="600"/>
      <c r="BP112" s="600"/>
      <c r="BQ112" s="600"/>
      <c r="BR112" s="600"/>
      <c r="BS112" s="600"/>
      <c r="BT112" s="600"/>
      <c r="BU112" s="600"/>
      <c r="BV112" s="600"/>
      <c r="BW112" s="600"/>
      <c r="BX112" s="600"/>
      <c r="BY112" s="600"/>
      <c r="BZ112" s="600"/>
      <c r="CA112" s="600"/>
      <c r="CB112" s="600"/>
      <c r="CC112" s="600"/>
      <c r="CD112" s="105"/>
      <c r="CE112" s="70"/>
      <c r="CF112" s="70"/>
      <c r="CG112" s="70"/>
      <c r="CH112" s="640"/>
      <c r="CI112" s="70"/>
      <c r="CJ112" s="600"/>
      <c r="CK112" s="105"/>
      <c r="CL112" s="70"/>
      <c r="CM112" s="70"/>
      <c r="CN112" s="70"/>
      <c r="CO112" s="640"/>
      <c r="CP112" s="70"/>
      <c r="CQ112" s="600"/>
      <c r="CR112" s="105"/>
      <c r="CS112" s="70"/>
      <c r="CT112" s="70"/>
      <c r="CU112" s="70"/>
      <c r="CV112" s="640"/>
      <c r="CW112" s="70"/>
      <c r="CX112" s="600"/>
      <c r="CY112" s="600"/>
      <c r="CZ112" s="600"/>
      <c r="DA112" s="105"/>
      <c r="DB112" s="70"/>
      <c r="DC112" s="70"/>
      <c r="DD112" s="70"/>
      <c r="DE112" s="640"/>
      <c r="DF112" s="70"/>
    </row>
    <row r="113" spans="1:110" ht="23.4">
      <c r="A113" s="106"/>
      <c r="B113" s="107"/>
      <c r="C113" s="107"/>
      <c r="D113" s="104"/>
      <c r="E113" s="102"/>
      <c r="F113" s="103"/>
      <c r="G113" s="103"/>
      <c r="H113" s="105"/>
      <c r="I113" s="70"/>
      <c r="J113" s="70"/>
      <c r="K113" s="70"/>
      <c r="L113" s="640"/>
      <c r="M113" s="70"/>
      <c r="N113" s="567"/>
      <c r="O113" s="592"/>
      <c r="P113" s="499">
        <f>A9</f>
        <v>2006</v>
      </c>
      <c r="Q113" s="458">
        <f>IF(B4="Réel",VLOOKUP(P113,$U$113:$W$121,2,0),VLOOKUP(P113,$U$113:$W$121,3,0))</f>
        <v>6.5540000000000003</v>
      </c>
      <c r="R113" s="500" t="e">
        <f ca="1">(F39-F38)/SUMIFS(INDIRECT("TabINPUT["&amp;P113&amp;"]"),TabINPUT[UNITE],"habitants")</f>
        <v>#DIV/0!</v>
      </c>
      <c r="S113" s="1675"/>
      <c r="T113" s="1675"/>
      <c r="U113" s="593">
        <v>2006</v>
      </c>
      <c r="V113" s="593">
        <v>6.5540000000000003</v>
      </c>
      <c r="W113" s="593">
        <v>6.7329999999999997</v>
      </c>
      <c r="X113" s="1675"/>
      <c r="Y113" s="1675"/>
      <c r="Z113" s="1675"/>
      <c r="AA113" s="1444"/>
      <c r="AB113" s="1444"/>
      <c r="AC113" s="1444"/>
      <c r="AD113" s="1118"/>
      <c r="AE113" s="105"/>
      <c r="AF113" s="70"/>
      <c r="AG113" s="70"/>
      <c r="AH113" s="70"/>
      <c r="AI113" s="640"/>
      <c r="AJ113" s="70"/>
      <c r="AK113" s="600"/>
      <c r="AL113" s="105"/>
      <c r="AM113" s="70"/>
      <c r="AN113" s="70"/>
      <c r="AO113" s="70"/>
      <c r="AP113" s="640"/>
      <c r="AQ113" s="70"/>
      <c r="AR113" s="600"/>
      <c r="AS113" s="600"/>
      <c r="AT113" s="600"/>
      <c r="AU113" s="600"/>
      <c r="AV113" s="600"/>
      <c r="AW113" s="600"/>
      <c r="AX113" s="600"/>
      <c r="AY113" s="600"/>
      <c r="AZ113" s="600"/>
      <c r="BA113" s="600"/>
      <c r="BB113" s="600"/>
      <c r="BC113" s="600"/>
      <c r="BD113" s="600"/>
      <c r="BE113" s="600"/>
      <c r="BF113" s="600"/>
      <c r="BG113" s="600"/>
      <c r="BH113" s="600"/>
      <c r="BI113" s="600"/>
      <c r="BJ113" s="600"/>
      <c r="BK113" s="600"/>
      <c r="BL113" s="600"/>
      <c r="BM113" s="600"/>
      <c r="BN113" s="600"/>
      <c r="BO113" s="600"/>
      <c r="BP113" s="600"/>
      <c r="BQ113" s="600"/>
      <c r="BR113" s="600"/>
      <c r="BS113" s="600"/>
      <c r="BT113" s="600"/>
      <c r="BU113" s="600"/>
      <c r="BV113" s="600"/>
      <c r="BW113" s="600"/>
      <c r="BX113" s="600"/>
      <c r="BY113" s="600"/>
      <c r="BZ113" s="600"/>
      <c r="CA113" s="600"/>
      <c r="CB113" s="600"/>
      <c r="CC113" s="600"/>
      <c r="CD113" s="105"/>
      <c r="CE113" s="70"/>
      <c r="CF113" s="70"/>
      <c r="CG113" s="70"/>
      <c r="CH113" s="640"/>
      <c r="CI113" s="70"/>
      <c r="CJ113" s="600"/>
      <c r="CK113" s="105"/>
      <c r="CL113" s="70"/>
      <c r="CM113" s="70"/>
      <c r="CN113" s="70"/>
      <c r="CO113" s="640"/>
      <c r="CP113" s="70"/>
      <c r="CQ113" s="600"/>
      <c r="CR113" s="105"/>
      <c r="CS113" s="70"/>
      <c r="CT113" s="70"/>
      <c r="CU113" s="70"/>
      <c r="CV113" s="640"/>
      <c r="CW113" s="70"/>
      <c r="CX113" s="600"/>
      <c r="CY113" s="600"/>
      <c r="CZ113" s="600"/>
      <c r="DA113" s="105"/>
      <c r="DB113" s="70"/>
      <c r="DC113" s="70"/>
      <c r="DD113" s="70"/>
      <c r="DE113" s="640"/>
      <c r="DF113" s="70"/>
    </row>
    <row r="114" spans="1:110" ht="23.4">
      <c r="A114" s="106"/>
      <c r="B114" s="107"/>
      <c r="C114" s="107"/>
      <c r="D114" s="104"/>
      <c r="E114" s="102"/>
      <c r="F114" s="103"/>
      <c r="G114" s="103"/>
      <c r="H114" s="105"/>
      <c r="I114" s="70"/>
      <c r="J114" s="70"/>
      <c r="K114" s="70"/>
      <c r="L114" s="640"/>
      <c r="M114" s="70"/>
      <c r="N114" s="567"/>
      <c r="O114" s="592"/>
      <c r="P114" s="499">
        <f>H9</f>
        <v>0</v>
      </c>
      <c r="Q114" s="458" t="e">
        <f>IF(B5="Réel",VLOOKUP(P114,$U$113:$W$126,2,0),VLOOKUP(P114,$U$113:$W$126,3,0))</f>
        <v>#N/A</v>
      </c>
      <c r="R114" s="500" t="e">
        <f ca="1">(M39-M38)/SUMIFS(INDIRECT("TabINPUT["&amp;P114&amp;"]"),TabINPUT[UNITE],"habitants")</f>
        <v>#REF!</v>
      </c>
      <c r="S114" s="1675"/>
      <c r="T114" s="1675"/>
      <c r="U114" s="593">
        <v>2010</v>
      </c>
      <c r="V114" s="593">
        <v>6.5983239083297702</v>
      </c>
      <c r="W114" s="593">
        <v>6.6795</v>
      </c>
      <c r="X114" s="1675"/>
      <c r="Y114" s="1675"/>
      <c r="Z114" s="1675"/>
      <c r="AA114" s="1444"/>
      <c r="AB114" s="1444"/>
      <c r="AC114" s="1444"/>
      <c r="AD114" s="1118"/>
      <c r="AE114" s="105"/>
      <c r="AF114" s="70"/>
      <c r="AG114" s="70"/>
      <c r="AH114" s="70"/>
      <c r="AI114" s="640"/>
      <c r="AJ114" s="70"/>
      <c r="AK114" s="600"/>
      <c r="AL114" s="105"/>
      <c r="AM114" s="70"/>
      <c r="AN114" s="70"/>
      <c r="AO114" s="70"/>
      <c r="AP114" s="640"/>
      <c r="AQ114" s="70"/>
      <c r="AR114" s="600"/>
      <c r="AS114" s="600"/>
      <c r="AT114" s="600"/>
      <c r="AU114" s="600"/>
      <c r="AV114" s="600"/>
      <c r="AW114" s="600"/>
      <c r="AX114" s="600"/>
      <c r="AY114" s="600"/>
      <c r="AZ114" s="600"/>
      <c r="BA114" s="600"/>
      <c r="BB114" s="600"/>
      <c r="BC114" s="600"/>
      <c r="BD114" s="600"/>
      <c r="BE114" s="600"/>
      <c r="BF114" s="600"/>
      <c r="BG114" s="600"/>
      <c r="BH114" s="600"/>
      <c r="BI114" s="600"/>
      <c r="BJ114" s="600"/>
      <c r="BK114" s="600"/>
      <c r="BL114" s="600"/>
      <c r="BM114" s="600"/>
      <c r="BN114" s="600"/>
      <c r="BO114" s="600"/>
      <c r="BP114" s="600"/>
      <c r="BQ114" s="600"/>
      <c r="BR114" s="600"/>
      <c r="BS114" s="600"/>
      <c r="BT114" s="600"/>
      <c r="BU114" s="600"/>
      <c r="BV114" s="600"/>
      <c r="BW114" s="600"/>
      <c r="BX114" s="600"/>
      <c r="BY114" s="600"/>
      <c r="BZ114" s="600"/>
      <c r="CA114" s="600"/>
      <c r="CB114" s="600"/>
      <c r="CC114" s="600"/>
      <c r="CD114" s="105"/>
      <c r="CE114" s="70"/>
      <c r="CF114" s="70"/>
      <c r="CG114" s="70"/>
      <c r="CH114" s="640"/>
      <c r="CI114" s="70"/>
      <c r="CJ114" s="600"/>
      <c r="CK114" s="105"/>
      <c r="CL114" s="70"/>
      <c r="CM114" s="70"/>
      <c r="CN114" s="70"/>
      <c r="CO114" s="640"/>
      <c r="CP114" s="70"/>
      <c r="CQ114" s="600"/>
      <c r="CR114" s="105"/>
      <c r="CS114" s="70"/>
      <c r="CT114" s="70"/>
      <c r="CU114" s="70"/>
      <c r="CV114" s="640"/>
      <c r="CW114" s="70"/>
      <c r="CX114" s="600"/>
      <c r="CY114" s="600"/>
      <c r="CZ114" s="600"/>
      <c r="DA114" s="105"/>
      <c r="DB114" s="70"/>
      <c r="DC114" s="70"/>
      <c r="DD114" s="70"/>
      <c r="DE114" s="640"/>
      <c r="DF114" s="70"/>
    </row>
    <row r="115" spans="1:110" ht="23.4">
      <c r="A115" s="106"/>
      <c r="B115" s="107"/>
      <c r="C115" s="107"/>
      <c r="D115" s="104"/>
      <c r="E115" s="102"/>
      <c r="F115" s="103"/>
      <c r="G115" s="103"/>
      <c r="H115" s="105"/>
      <c r="I115" s="70"/>
      <c r="J115" s="70"/>
      <c r="K115" s="70"/>
      <c r="L115" s="640"/>
      <c r="M115" s="70"/>
      <c r="N115" s="567"/>
      <c r="O115" s="592"/>
      <c r="P115" s="501" t="s">
        <v>168</v>
      </c>
      <c r="Q115" s="477" t="e">
        <f>Q114/Q113-1</f>
        <v>#N/A</v>
      </c>
      <c r="R115" s="477" t="e">
        <f ca="1">R114/R113-1</f>
        <v>#REF!</v>
      </c>
      <c r="S115" s="1675"/>
      <c r="T115" s="1675"/>
      <c r="U115" s="593">
        <v>2011</v>
      </c>
      <c r="V115" s="593">
        <v>6.2579448886863611</v>
      </c>
      <c r="W115" s="593">
        <v>6.7718999999999996</v>
      </c>
      <c r="X115" s="1675"/>
      <c r="Y115" s="1675"/>
      <c r="Z115" s="1675"/>
      <c r="AA115" s="1444"/>
      <c r="AB115" s="1444"/>
      <c r="AC115" s="1444"/>
      <c r="AD115" s="1118"/>
      <c r="AE115" s="105"/>
      <c r="AF115" s="70"/>
      <c r="AG115" s="70"/>
      <c r="AH115" s="70"/>
      <c r="AI115" s="640"/>
      <c r="AJ115" s="70"/>
      <c r="AK115" s="600"/>
      <c r="AL115" s="105"/>
      <c r="AM115" s="70"/>
      <c r="AN115" s="70"/>
      <c r="AO115" s="70"/>
      <c r="AP115" s="640"/>
      <c r="AQ115" s="70"/>
      <c r="AR115" s="600"/>
      <c r="AS115" s="600"/>
      <c r="AT115" s="600"/>
      <c r="AU115" s="600"/>
      <c r="AV115" s="600"/>
      <c r="AW115" s="600"/>
      <c r="AX115" s="600"/>
      <c r="AY115" s="600"/>
      <c r="AZ115" s="600"/>
      <c r="BA115" s="600"/>
      <c r="BB115" s="600"/>
      <c r="BC115" s="600"/>
      <c r="BD115" s="600"/>
      <c r="BE115" s="600"/>
      <c r="BF115" s="600"/>
      <c r="BG115" s="600"/>
      <c r="BH115" s="600"/>
      <c r="BI115" s="600"/>
      <c r="BJ115" s="600"/>
      <c r="BK115" s="600"/>
      <c r="BL115" s="600"/>
      <c r="BM115" s="600"/>
      <c r="BN115" s="600"/>
      <c r="BO115" s="600"/>
      <c r="BP115" s="600"/>
      <c r="BQ115" s="600"/>
      <c r="BR115" s="600"/>
      <c r="BS115" s="600"/>
      <c r="BT115" s="600"/>
      <c r="BU115" s="600"/>
      <c r="BV115" s="600"/>
      <c r="BW115" s="600"/>
      <c r="BX115" s="600"/>
      <c r="BY115" s="600"/>
      <c r="BZ115" s="600"/>
      <c r="CA115" s="600"/>
      <c r="CB115" s="600"/>
      <c r="CC115" s="600"/>
      <c r="CD115" s="105"/>
      <c r="CE115" s="70"/>
      <c r="CF115" s="70"/>
      <c r="CG115" s="70"/>
      <c r="CH115" s="640"/>
      <c r="CI115" s="70"/>
      <c r="CJ115" s="600"/>
      <c r="CK115" s="105"/>
      <c r="CL115" s="70"/>
      <c r="CM115" s="70"/>
      <c r="CN115" s="70"/>
      <c r="CO115" s="640"/>
      <c r="CP115" s="70"/>
      <c r="CQ115" s="600"/>
      <c r="CR115" s="105"/>
      <c r="CS115" s="70"/>
      <c r="CT115" s="70"/>
      <c r="CU115" s="70"/>
      <c r="CV115" s="640"/>
      <c r="CW115" s="70"/>
      <c r="CX115" s="600"/>
      <c r="CY115" s="600"/>
      <c r="CZ115" s="600"/>
      <c r="DA115" s="105"/>
      <c r="DB115" s="70"/>
      <c r="DC115" s="70"/>
      <c r="DD115" s="70"/>
      <c r="DE115" s="640"/>
      <c r="DF115" s="70"/>
    </row>
    <row r="116" spans="1:110" ht="23.4">
      <c r="A116" s="106"/>
      <c r="B116" s="107"/>
      <c r="C116" s="107"/>
      <c r="D116" s="104"/>
      <c r="E116" s="102"/>
      <c r="F116" s="103"/>
      <c r="G116" s="103"/>
      <c r="H116" s="105"/>
      <c r="I116" s="70"/>
      <c r="J116" s="70"/>
      <c r="K116" s="70"/>
      <c r="L116" s="640"/>
      <c r="M116" s="70"/>
      <c r="N116" s="567"/>
      <c r="O116" s="592"/>
      <c r="P116" s="501" t="s">
        <v>169</v>
      </c>
      <c r="Q116" s="458" t="e">
        <f>ROUND(Q115*100,0)</f>
        <v>#N/A</v>
      </c>
      <c r="R116" s="458" t="e">
        <f ca="1">ROUND(R115*100,0)</f>
        <v>#REF!</v>
      </c>
      <c r="S116" s="1675"/>
      <c r="T116" s="1675"/>
      <c r="U116" s="593">
        <v>2012</v>
      </c>
      <c r="V116" s="593">
        <v>6.0639000000000003</v>
      </c>
      <c r="W116" s="593">
        <v>6.0639000000000003</v>
      </c>
      <c r="X116" s="1675"/>
      <c r="Y116" s="1675"/>
      <c r="Z116" s="1675"/>
      <c r="AA116" s="1444"/>
      <c r="AB116" s="1444"/>
      <c r="AC116" s="1444"/>
      <c r="AD116" s="1118"/>
      <c r="AE116" s="105"/>
      <c r="AF116" s="70"/>
      <c r="AG116" s="70"/>
      <c r="AH116" s="70"/>
      <c r="AI116" s="640"/>
      <c r="AJ116" s="70"/>
      <c r="AK116" s="600"/>
      <c r="AL116" s="105"/>
      <c r="AM116" s="70"/>
      <c r="AN116" s="70"/>
      <c r="AO116" s="70"/>
      <c r="AP116" s="640"/>
      <c r="AQ116" s="70"/>
      <c r="AR116" s="600"/>
      <c r="AS116" s="600"/>
      <c r="AT116" s="600"/>
      <c r="AU116" s="600"/>
      <c r="AV116" s="600"/>
      <c r="AW116" s="600"/>
      <c r="AX116" s="600"/>
      <c r="AY116" s="600"/>
      <c r="AZ116" s="600"/>
      <c r="BA116" s="600"/>
      <c r="BB116" s="600"/>
      <c r="BC116" s="600"/>
      <c r="BD116" s="600"/>
      <c r="BE116" s="600"/>
      <c r="BF116" s="600"/>
      <c r="BG116" s="600"/>
      <c r="BH116" s="600"/>
      <c r="BI116" s="600"/>
      <c r="BJ116" s="600"/>
      <c r="BK116" s="600"/>
      <c r="BL116" s="600"/>
      <c r="BM116" s="600"/>
      <c r="BN116" s="600"/>
      <c r="BO116" s="600"/>
      <c r="BP116" s="600"/>
      <c r="BQ116" s="600"/>
      <c r="BR116" s="600"/>
      <c r="BS116" s="600"/>
      <c r="BT116" s="600"/>
      <c r="BU116" s="600"/>
      <c r="BV116" s="600"/>
      <c r="BW116" s="600"/>
      <c r="BX116" s="600"/>
      <c r="BY116" s="600"/>
      <c r="BZ116" s="600"/>
      <c r="CA116" s="600"/>
      <c r="CB116" s="600"/>
      <c r="CC116" s="600"/>
      <c r="CD116" s="105"/>
      <c r="CE116" s="70"/>
      <c r="CF116" s="70"/>
      <c r="CG116" s="70"/>
      <c r="CH116" s="640"/>
      <c r="CI116" s="70"/>
      <c r="CJ116" s="600"/>
      <c r="CK116" s="105"/>
      <c r="CL116" s="70"/>
      <c r="CM116" s="70"/>
      <c r="CN116" s="70"/>
      <c r="CO116" s="640"/>
      <c r="CP116" s="70"/>
      <c r="CQ116" s="600"/>
      <c r="CR116" s="105"/>
      <c r="CS116" s="70"/>
      <c r="CT116" s="70"/>
      <c r="CU116" s="70"/>
      <c r="CV116" s="640"/>
      <c r="CW116" s="70"/>
      <c r="CX116" s="600"/>
      <c r="CY116" s="600"/>
      <c r="CZ116" s="600"/>
      <c r="DA116" s="105"/>
      <c r="DB116" s="70"/>
      <c r="DC116" s="70"/>
      <c r="DD116" s="70"/>
      <c r="DE116" s="640"/>
      <c r="DF116" s="70"/>
    </row>
    <row r="117" spans="1:110" ht="23.4">
      <c r="A117" s="106"/>
      <c r="B117" s="107"/>
      <c r="C117" s="107"/>
      <c r="D117" s="104"/>
      <c r="E117" s="102"/>
      <c r="F117" s="103"/>
      <c r="G117" s="103"/>
      <c r="H117" s="105"/>
      <c r="I117" s="70"/>
      <c r="J117" s="70"/>
      <c r="K117" s="70"/>
      <c r="L117" s="640"/>
      <c r="M117" s="70"/>
      <c r="N117" s="567"/>
      <c r="O117" s="592"/>
      <c r="P117" s="501" t="s">
        <v>170</v>
      </c>
      <c r="Q117" s="458" t="e">
        <f>Q112&amp;" : "&amp;Q116&amp;"%"</f>
        <v>#N/A</v>
      </c>
      <c r="R117" s="458" t="e">
        <f ca="1">R112&amp;" : "&amp;R116&amp;"%"</f>
        <v>#REF!</v>
      </c>
      <c r="S117" s="1675"/>
      <c r="T117" s="1675"/>
      <c r="U117" s="593">
        <v>2013</v>
      </c>
      <c r="V117" s="593">
        <v>6.1364000000000001</v>
      </c>
      <c r="W117" s="593">
        <v>5.9044999999999996</v>
      </c>
      <c r="X117" s="1675"/>
      <c r="Y117" s="1675"/>
      <c r="Z117" s="1675"/>
      <c r="AA117" s="1444"/>
      <c r="AB117" s="1444"/>
      <c r="AC117" s="1444"/>
      <c r="AD117" s="1118"/>
      <c r="AE117" s="105"/>
      <c r="AF117" s="70"/>
      <c r="AG117" s="70"/>
      <c r="AH117" s="70"/>
      <c r="AI117" s="640"/>
      <c r="AJ117" s="70"/>
      <c r="AK117" s="600"/>
      <c r="AL117" s="105"/>
      <c r="AM117" s="70"/>
      <c r="AN117" s="70"/>
      <c r="AO117" s="70"/>
      <c r="AP117" s="640"/>
      <c r="AQ117" s="70"/>
      <c r="AR117" s="600"/>
      <c r="AS117" s="600"/>
      <c r="AT117" s="600"/>
      <c r="AU117" s="600"/>
      <c r="AV117" s="600"/>
      <c r="AW117" s="600"/>
      <c r="AX117" s="600"/>
      <c r="AY117" s="600"/>
      <c r="AZ117" s="600"/>
      <c r="BA117" s="600"/>
      <c r="BB117" s="600"/>
      <c r="BC117" s="600"/>
      <c r="BD117" s="600"/>
      <c r="BE117" s="600"/>
      <c r="BF117" s="600"/>
      <c r="BG117" s="600"/>
      <c r="BH117" s="600"/>
      <c r="BI117" s="600"/>
      <c r="BJ117" s="600"/>
      <c r="BK117" s="600"/>
      <c r="BL117" s="600"/>
      <c r="BM117" s="600"/>
      <c r="BN117" s="600"/>
      <c r="BO117" s="600"/>
      <c r="BP117" s="600"/>
      <c r="BQ117" s="600"/>
      <c r="BR117" s="600"/>
      <c r="BS117" s="600"/>
      <c r="BT117" s="600"/>
      <c r="BU117" s="600"/>
      <c r="BV117" s="600"/>
      <c r="BW117" s="600"/>
      <c r="BX117" s="600"/>
      <c r="BY117" s="600"/>
      <c r="BZ117" s="600"/>
      <c r="CA117" s="600"/>
      <c r="CB117" s="600"/>
      <c r="CC117" s="600"/>
      <c r="CD117" s="105"/>
      <c r="CE117" s="70"/>
      <c r="CF117" s="70"/>
      <c r="CG117" s="70"/>
      <c r="CH117" s="640"/>
      <c r="CI117" s="70"/>
      <c r="CJ117" s="600"/>
      <c r="CK117" s="105"/>
      <c r="CL117" s="70"/>
      <c r="CM117" s="70"/>
      <c r="CN117" s="70"/>
      <c r="CO117" s="640"/>
      <c r="CP117" s="70"/>
      <c r="CQ117" s="600"/>
      <c r="CR117" s="105"/>
      <c r="CS117" s="70"/>
      <c r="CT117" s="70"/>
      <c r="CU117" s="70"/>
      <c r="CV117" s="640"/>
      <c r="CW117" s="70"/>
      <c r="CX117" s="600"/>
      <c r="CY117" s="600"/>
      <c r="CZ117" s="600"/>
      <c r="DA117" s="105"/>
      <c r="DB117" s="70"/>
      <c r="DC117" s="70"/>
      <c r="DD117" s="70"/>
      <c r="DE117" s="640"/>
      <c r="DF117" s="70"/>
    </row>
    <row r="118" spans="1:110" ht="23.4">
      <c r="A118" s="106"/>
      <c r="B118" s="107"/>
      <c r="C118" s="107"/>
      <c r="D118" s="104"/>
      <c r="E118" s="102"/>
      <c r="F118" s="103"/>
      <c r="G118" s="103"/>
      <c r="H118" s="105"/>
      <c r="I118" s="70"/>
      <c r="J118" s="70"/>
      <c r="K118" s="70"/>
      <c r="L118" s="640"/>
      <c r="M118" s="70"/>
      <c r="N118" s="567"/>
      <c r="O118" s="592"/>
      <c r="P118" s="592"/>
      <c r="Q118" s="485"/>
      <c r="R118" s="485"/>
      <c r="S118" s="1675"/>
      <c r="T118" s="1675"/>
      <c r="U118" s="593">
        <v>2014</v>
      </c>
      <c r="V118" s="593">
        <v>5.6590999999999996</v>
      </c>
      <c r="W118" s="593">
        <v>6.27</v>
      </c>
      <c r="X118" s="1675"/>
      <c r="Y118" s="1675"/>
      <c r="Z118" s="1675"/>
      <c r="AA118" s="1444"/>
      <c r="AB118" s="1444"/>
      <c r="AC118" s="1444"/>
      <c r="AD118" s="1118"/>
      <c r="AE118" s="105"/>
      <c r="AF118" s="70"/>
      <c r="AG118" s="70"/>
      <c r="AH118" s="70"/>
      <c r="AI118" s="640"/>
      <c r="AJ118" s="70"/>
      <c r="AK118" s="600"/>
      <c r="AL118" s="105"/>
      <c r="AM118" s="70"/>
      <c r="AN118" s="70"/>
      <c r="AO118" s="70"/>
      <c r="AP118" s="640"/>
      <c r="AQ118" s="70"/>
      <c r="AR118" s="600"/>
      <c r="AS118" s="600"/>
      <c r="AT118" s="600"/>
      <c r="AU118" s="600"/>
      <c r="AV118" s="600"/>
      <c r="AW118" s="600"/>
      <c r="AX118" s="600"/>
      <c r="AY118" s="600"/>
      <c r="AZ118" s="600"/>
      <c r="BA118" s="600"/>
      <c r="BB118" s="600"/>
      <c r="BC118" s="600"/>
      <c r="BD118" s="600"/>
      <c r="BE118" s="600"/>
      <c r="BF118" s="600"/>
      <c r="BG118" s="600"/>
      <c r="BH118" s="600"/>
      <c r="BI118" s="600"/>
      <c r="BJ118" s="600"/>
      <c r="BK118" s="600"/>
      <c r="BL118" s="600"/>
      <c r="BM118" s="600"/>
      <c r="BN118" s="600"/>
      <c r="BO118" s="600"/>
      <c r="BP118" s="600"/>
      <c r="BQ118" s="600"/>
      <c r="BR118" s="600"/>
      <c r="BS118" s="600"/>
      <c r="BT118" s="600"/>
      <c r="BU118" s="600"/>
      <c r="BV118" s="600"/>
      <c r="BW118" s="600"/>
      <c r="BX118" s="600"/>
      <c r="BY118" s="600"/>
      <c r="BZ118" s="600"/>
      <c r="CA118" s="600"/>
      <c r="CB118" s="600"/>
      <c r="CC118" s="600"/>
      <c r="CD118" s="105"/>
      <c r="CE118" s="70"/>
      <c r="CF118" s="70"/>
      <c r="CG118" s="70"/>
      <c r="CH118" s="640"/>
      <c r="CI118" s="70"/>
      <c r="CJ118" s="600"/>
      <c r="CK118" s="105"/>
      <c r="CL118" s="70"/>
      <c r="CM118" s="70"/>
      <c r="CN118" s="70"/>
      <c r="CO118" s="640"/>
      <c r="CP118" s="70"/>
      <c r="CQ118" s="600"/>
      <c r="CR118" s="105"/>
      <c r="CS118" s="70"/>
      <c r="CT118" s="70"/>
      <c r="CU118" s="70"/>
      <c r="CV118" s="640"/>
      <c r="CW118" s="70"/>
      <c r="CX118" s="600"/>
      <c r="CY118" s="600"/>
      <c r="CZ118" s="600"/>
      <c r="DA118" s="105"/>
      <c r="DB118" s="70"/>
      <c r="DC118" s="70"/>
      <c r="DD118" s="70"/>
      <c r="DE118" s="640"/>
      <c r="DF118" s="70"/>
    </row>
    <row r="119" spans="1:110" ht="23.4">
      <c r="A119" s="106"/>
      <c r="B119" s="107"/>
      <c r="C119" s="107"/>
      <c r="D119" s="104"/>
      <c r="E119" s="102"/>
      <c r="F119" s="103"/>
      <c r="G119" s="103"/>
      <c r="H119" s="105"/>
      <c r="I119" s="70"/>
      <c r="J119" s="70"/>
      <c r="K119" s="70"/>
      <c r="L119" s="640"/>
      <c r="M119" s="70"/>
      <c r="N119" s="567"/>
      <c r="O119" s="592"/>
      <c r="P119" s="592"/>
      <c r="Q119" s="485"/>
      <c r="R119" s="485"/>
      <c r="S119" s="1675"/>
      <c r="T119" s="1675"/>
      <c r="U119" s="593">
        <v>2015</v>
      </c>
      <c r="V119" s="593">
        <v>5.6680000000000001</v>
      </c>
      <c r="W119" s="593">
        <v>5.9363999999999999</v>
      </c>
      <c r="X119" s="1675"/>
      <c r="Y119" s="1675"/>
      <c r="Z119" s="1675"/>
      <c r="AA119" s="1444"/>
      <c r="AB119" s="1444"/>
      <c r="AC119" s="1444"/>
      <c r="AD119" s="1118"/>
      <c r="AE119" s="105"/>
      <c r="AF119" s="70"/>
      <c r="AG119" s="70"/>
      <c r="AH119" s="70"/>
      <c r="AI119" s="640"/>
      <c r="AJ119" s="70"/>
      <c r="AK119" s="600"/>
      <c r="AL119" s="105"/>
      <c r="AM119" s="70"/>
      <c r="AN119" s="70"/>
      <c r="AO119" s="70"/>
      <c r="AP119" s="640"/>
      <c r="AQ119" s="70"/>
      <c r="AR119" s="600"/>
      <c r="AS119" s="600"/>
      <c r="AT119" s="600"/>
      <c r="AU119" s="600"/>
      <c r="AV119" s="600"/>
      <c r="AW119" s="600"/>
      <c r="AX119" s="600"/>
      <c r="AY119" s="600"/>
      <c r="AZ119" s="600"/>
      <c r="BA119" s="600"/>
      <c r="BB119" s="600"/>
      <c r="BC119" s="600"/>
      <c r="BD119" s="600"/>
      <c r="BE119" s="600"/>
      <c r="BF119" s="600"/>
      <c r="BG119" s="600"/>
      <c r="BH119" s="600"/>
      <c r="BI119" s="600"/>
      <c r="BJ119" s="600"/>
      <c r="BK119" s="600"/>
      <c r="BL119" s="600"/>
      <c r="BM119" s="600"/>
      <c r="BN119" s="600"/>
      <c r="BO119" s="600"/>
      <c r="BP119" s="600"/>
      <c r="BQ119" s="600"/>
      <c r="BR119" s="600"/>
      <c r="BS119" s="600"/>
      <c r="BT119" s="600"/>
      <c r="BU119" s="600"/>
      <c r="BV119" s="600"/>
      <c r="BW119" s="600"/>
      <c r="BX119" s="600"/>
      <c r="BY119" s="600"/>
      <c r="BZ119" s="600"/>
      <c r="CA119" s="600"/>
      <c r="CB119" s="600"/>
      <c r="CC119" s="600"/>
      <c r="CD119" s="105"/>
      <c r="CE119" s="70"/>
      <c r="CF119" s="70"/>
      <c r="CG119" s="70"/>
      <c r="CH119" s="640"/>
      <c r="CI119" s="70"/>
      <c r="CJ119" s="600"/>
      <c r="CK119" s="105"/>
      <c r="CL119" s="70"/>
      <c r="CM119" s="70"/>
      <c r="CN119" s="70"/>
      <c r="CO119" s="640"/>
      <c r="CP119" s="70"/>
      <c r="CQ119" s="600"/>
      <c r="CR119" s="105"/>
      <c r="CS119" s="70"/>
      <c r="CT119" s="70"/>
      <c r="CU119" s="70"/>
      <c r="CV119" s="640"/>
      <c r="CW119" s="70"/>
      <c r="CX119" s="600"/>
      <c r="CY119" s="600"/>
      <c r="CZ119" s="600"/>
      <c r="DA119" s="105"/>
      <c r="DB119" s="70"/>
      <c r="DC119" s="70"/>
      <c r="DD119" s="70"/>
      <c r="DE119" s="640"/>
      <c r="DF119" s="70"/>
    </row>
    <row r="120" spans="1:110" ht="23.4">
      <c r="A120" s="106"/>
      <c r="B120" s="107"/>
      <c r="C120" s="107"/>
      <c r="D120" s="104"/>
      <c r="E120" s="102"/>
      <c r="F120" s="103"/>
      <c r="G120" s="103"/>
      <c r="H120" s="105"/>
      <c r="I120" s="70"/>
      <c r="J120" s="70"/>
      <c r="K120" s="70"/>
      <c r="L120" s="640"/>
      <c r="M120" s="70"/>
      <c r="N120" s="567"/>
      <c r="O120" s="592"/>
      <c r="P120" s="592"/>
      <c r="Q120" s="485"/>
      <c r="R120" s="485"/>
      <c r="S120" s="1675"/>
      <c r="T120" s="1675"/>
      <c r="U120" s="593">
        <v>2016</v>
      </c>
      <c r="V120" s="593">
        <v>5.6052</v>
      </c>
      <c r="W120" s="593">
        <v>5.5716999999999999</v>
      </c>
      <c r="X120" s="1675"/>
      <c r="Y120" s="1675"/>
      <c r="Z120" s="1675"/>
      <c r="AA120" s="1444"/>
      <c r="AB120" s="1444"/>
      <c r="AC120" s="1444"/>
      <c r="AD120" s="1118"/>
      <c r="AE120" s="105"/>
      <c r="AF120" s="70"/>
      <c r="AG120" s="70"/>
      <c r="AH120" s="70"/>
      <c r="AI120" s="640"/>
      <c r="AJ120" s="70"/>
      <c r="AK120" s="600"/>
      <c r="AL120" s="105"/>
      <c r="AM120" s="70"/>
      <c r="AN120" s="70"/>
      <c r="AO120" s="70"/>
      <c r="AP120" s="640"/>
      <c r="AQ120" s="70"/>
      <c r="AR120" s="600"/>
      <c r="AS120" s="600"/>
      <c r="AT120" s="600"/>
      <c r="AU120" s="600"/>
      <c r="AV120" s="600"/>
      <c r="AW120" s="600"/>
      <c r="AX120" s="600"/>
      <c r="AY120" s="600"/>
      <c r="AZ120" s="600"/>
      <c r="BA120" s="600"/>
      <c r="BB120" s="600"/>
      <c r="BC120" s="600"/>
      <c r="BD120" s="600"/>
      <c r="BE120" s="600"/>
      <c r="BF120" s="600"/>
      <c r="BG120" s="600"/>
      <c r="BH120" s="600"/>
      <c r="BI120" s="600"/>
      <c r="BJ120" s="600"/>
      <c r="BK120" s="600"/>
      <c r="BL120" s="600"/>
      <c r="BM120" s="600"/>
      <c r="BN120" s="600"/>
      <c r="BO120" s="600"/>
      <c r="BP120" s="600"/>
      <c r="BQ120" s="600"/>
      <c r="BR120" s="600"/>
      <c r="BS120" s="600"/>
      <c r="BT120" s="600"/>
      <c r="BU120" s="600"/>
      <c r="BV120" s="600"/>
      <c r="BW120" s="600"/>
      <c r="BX120" s="600"/>
      <c r="BY120" s="600"/>
      <c r="BZ120" s="600"/>
      <c r="CA120" s="600"/>
      <c r="CB120" s="600"/>
      <c r="CC120" s="600"/>
      <c r="CD120" s="105"/>
      <c r="CE120" s="70"/>
      <c r="CF120" s="70"/>
      <c r="CG120" s="70"/>
      <c r="CH120" s="640"/>
      <c r="CI120" s="70"/>
      <c r="CJ120" s="600"/>
      <c r="CK120" s="105"/>
      <c r="CL120" s="70"/>
      <c r="CM120" s="70"/>
      <c r="CN120" s="70"/>
      <c r="CO120" s="640"/>
      <c r="CP120" s="70"/>
      <c r="CQ120" s="600"/>
      <c r="CR120" s="105"/>
      <c r="CS120" s="70"/>
      <c r="CT120" s="70"/>
      <c r="CU120" s="70"/>
      <c r="CV120" s="640"/>
      <c r="CW120" s="70"/>
      <c r="CX120" s="600"/>
      <c r="CY120" s="600"/>
      <c r="CZ120" s="600"/>
      <c r="DA120" s="105"/>
      <c r="DB120" s="70"/>
      <c r="DC120" s="70"/>
      <c r="DD120" s="70"/>
      <c r="DE120" s="640"/>
      <c r="DF120" s="70"/>
    </row>
    <row r="121" spans="1:110" ht="23.4">
      <c r="A121" s="106"/>
      <c r="B121" s="107"/>
      <c r="C121" s="107"/>
      <c r="D121" s="104"/>
      <c r="E121" s="102"/>
      <c r="F121" s="103"/>
      <c r="G121" s="103"/>
      <c r="H121" s="105"/>
      <c r="I121" s="70"/>
      <c r="J121" s="70"/>
      <c r="K121" s="70"/>
      <c r="L121" s="640"/>
      <c r="M121" s="70"/>
      <c r="N121" s="567"/>
      <c r="O121" s="592"/>
      <c r="P121" s="592"/>
      <c r="Q121" s="485"/>
      <c r="R121" s="485"/>
      <c r="S121" s="1675"/>
      <c r="T121" s="1675"/>
      <c r="U121" s="593">
        <v>2017</v>
      </c>
      <c r="V121" s="593">
        <v>5.5766</v>
      </c>
      <c r="W121" s="593">
        <v>5.7230999999999996</v>
      </c>
      <c r="X121" s="1675"/>
      <c r="Y121" s="1675"/>
      <c r="Z121" s="1675"/>
      <c r="AA121" s="1444"/>
      <c r="AB121" s="1444"/>
      <c r="AC121" s="1444"/>
      <c r="AD121" s="1118"/>
      <c r="AE121" s="105"/>
      <c r="AF121" s="70"/>
      <c r="AG121" s="70"/>
      <c r="AH121" s="70"/>
      <c r="AI121" s="640"/>
      <c r="AJ121" s="70"/>
      <c r="AK121" s="600"/>
      <c r="AL121" s="105"/>
      <c r="AM121" s="70"/>
      <c r="AN121" s="70"/>
      <c r="AO121" s="70"/>
      <c r="AP121" s="640"/>
      <c r="AQ121" s="70"/>
      <c r="AR121" s="600"/>
      <c r="AS121" s="600"/>
      <c r="AT121" s="600"/>
      <c r="AU121" s="600"/>
      <c r="AV121" s="600"/>
      <c r="AW121" s="600"/>
      <c r="AX121" s="600"/>
      <c r="AY121" s="600"/>
      <c r="AZ121" s="600"/>
      <c r="BA121" s="600"/>
      <c r="BB121" s="600"/>
      <c r="BC121" s="600"/>
      <c r="BD121" s="600"/>
      <c r="BE121" s="600"/>
      <c r="BF121" s="600"/>
      <c r="BG121" s="600"/>
      <c r="BH121" s="600"/>
      <c r="BI121" s="600"/>
      <c r="BJ121" s="600"/>
      <c r="BK121" s="600"/>
      <c r="BL121" s="600"/>
      <c r="BM121" s="600"/>
      <c r="BN121" s="600"/>
      <c r="BO121" s="600"/>
      <c r="BP121" s="600"/>
      <c r="BQ121" s="600"/>
      <c r="BR121" s="600"/>
      <c r="BS121" s="600"/>
      <c r="BT121" s="600"/>
      <c r="BU121" s="600"/>
      <c r="BV121" s="600"/>
      <c r="BW121" s="600"/>
      <c r="BX121" s="600"/>
      <c r="BY121" s="600"/>
      <c r="BZ121" s="600"/>
      <c r="CA121" s="600"/>
      <c r="CB121" s="600"/>
      <c r="CC121" s="600"/>
      <c r="CD121" s="105"/>
      <c r="CE121" s="70"/>
      <c r="CF121" s="70"/>
      <c r="CG121" s="70"/>
      <c r="CH121" s="640"/>
      <c r="CI121" s="70"/>
      <c r="CJ121" s="600"/>
      <c r="CK121" s="105"/>
      <c r="CL121" s="70"/>
      <c r="CM121" s="70"/>
      <c r="CN121" s="70"/>
      <c r="CO121" s="640"/>
      <c r="CP121" s="70"/>
      <c r="CQ121" s="600"/>
      <c r="CR121" s="105"/>
      <c r="CS121" s="70"/>
      <c r="CT121" s="70"/>
      <c r="CU121" s="70"/>
      <c r="CV121" s="640"/>
      <c r="CW121" s="70"/>
      <c r="CX121" s="600"/>
      <c r="CY121" s="600"/>
      <c r="CZ121" s="600"/>
      <c r="DA121" s="105"/>
      <c r="DB121" s="70"/>
      <c r="DC121" s="70"/>
      <c r="DD121" s="70"/>
      <c r="DE121" s="640"/>
      <c r="DF121" s="70"/>
    </row>
    <row r="122" spans="1:110" ht="23.4">
      <c r="A122" s="106"/>
      <c r="B122" s="107"/>
      <c r="C122" s="107"/>
      <c r="D122" s="104"/>
      <c r="E122" s="102"/>
      <c r="F122" s="103"/>
      <c r="G122" s="103"/>
      <c r="H122" s="105"/>
      <c r="I122" s="70"/>
      <c r="J122" s="70"/>
      <c r="K122" s="70"/>
      <c r="L122" s="640"/>
      <c r="M122" s="70"/>
      <c r="N122" s="567"/>
      <c r="O122" s="592"/>
      <c r="P122" s="592"/>
      <c r="Q122" s="485"/>
      <c r="R122" s="485"/>
      <c r="S122" s="1675"/>
      <c r="T122" s="1675"/>
      <c r="U122" s="593">
        <v>2018</v>
      </c>
      <c r="V122" s="593">
        <v>5.6050000000000004</v>
      </c>
      <c r="W122" s="593">
        <v>5.6820000000000004</v>
      </c>
      <c r="X122" s="1675"/>
      <c r="Y122" s="1675"/>
      <c r="Z122" s="1675"/>
      <c r="AA122" s="1444"/>
      <c r="AB122" s="1444"/>
      <c r="AC122" s="1444"/>
      <c r="AD122" s="1118"/>
      <c r="AE122" s="105"/>
      <c r="AF122" s="70"/>
      <c r="AG122" s="70"/>
      <c r="AH122" s="70"/>
      <c r="AI122" s="640"/>
      <c r="AJ122" s="70"/>
      <c r="AK122" s="600"/>
      <c r="AL122" s="105"/>
      <c r="AM122" s="70"/>
      <c r="AN122" s="70"/>
      <c r="AO122" s="70"/>
      <c r="AP122" s="640"/>
      <c r="AQ122" s="70"/>
      <c r="AR122" s="600"/>
      <c r="AS122" s="600"/>
      <c r="AT122" s="600"/>
      <c r="AU122" s="600"/>
      <c r="AV122" s="600"/>
      <c r="AW122" s="600"/>
      <c r="AX122" s="600"/>
      <c r="AY122" s="600"/>
      <c r="AZ122" s="600"/>
      <c r="BA122" s="600"/>
      <c r="BB122" s="600"/>
      <c r="BC122" s="600"/>
      <c r="BD122" s="600"/>
      <c r="BE122" s="600"/>
      <c r="BF122" s="600"/>
      <c r="BG122" s="600"/>
      <c r="BH122" s="600"/>
      <c r="BI122" s="600"/>
      <c r="BJ122" s="600"/>
      <c r="BK122" s="600"/>
      <c r="BL122" s="600"/>
      <c r="BM122" s="600"/>
      <c r="BN122" s="600"/>
      <c r="BO122" s="600"/>
      <c r="BP122" s="600"/>
      <c r="BQ122" s="600"/>
      <c r="BR122" s="600"/>
      <c r="BS122" s="600"/>
      <c r="BT122" s="600"/>
      <c r="BU122" s="600"/>
      <c r="BV122" s="600"/>
      <c r="BW122" s="600"/>
      <c r="BX122" s="600"/>
      <c r="BY122" s="600"/>
      <c r="BZ122" s="600"/>
      <c r="CA122" s="600"/>
      <c r="CB122" s="600"/>
      <c r="CC122" s="600"/>
      <c r="CD122" s="105"/>
      <c r="CE122" s="70"/>
      <c r="CF122" s="70"/>
      <c r="CG122" s="70"/>
      <c r="CH122" s="640"/>
      <c r="CI122" s="70"/>
      <c r="CJ122" s="600"/>
      <c r="CK122" s="105"/>
      <c r="CL122" s="70"/>
      <c r="CM122" s="70"/>
      <c r="CN122" s="70"/>
      <c r="CO122" s="640"/>
      <c r="CP122" s="70"/>
      <c r="CQ122" s="600"/>
      <c r="CR122" s="105"/>
      <c r="CS122" s="70"/>
      <c r="CT122" s="70"/>
      <c r="CU122" s="70"/>
      <c r="CV122" s="640"/>
      <c r="CW122" s="70"/>
      <c r="CX122" s="600"/>
      <c r="CY122" s="600"/>
      <c r="CZ122" s="600"/>
      <c r="DA122" s="105"/>
      <c r="DB122" s="70"/>
      <c r="DC122" s="70"/>
      <c r="DD122" s="70"/>
      <c r="DE122" s="640"/>
      <c r="DF122" s="70"/>
    </row>
    <row r="123" spans="1:110" ht="23.4">
      <c r="A123" s="106"/>
      <c r="B123" s="107"/>
      <c r="C123" s="107"/>
      <c r="D123" s="104"/>
      <c r="E123" s="102"/>
      <c r="F123" s="103"/>
      <c r="G123" s="103"/>
      <c r="H123" s="105"/>
      <c r="I123" s="70"/>
      <c r="J123" s="70"/>
      <c r="K123" s="70"/>
      <c r="L123" s="640"/>
      <c r="M123" s="70"/>
      <c r="N123" s="567"/>
      <c r="O123" s="592"/>
      <c r="P123" s="592"/>
      <c r="Q123" s="485"/>
      <c r="R123" s="485"/>
      <c r="S123" s="1675"/>
      <c r="T123" s="1675"/>
      <c r="U123" s="593">
        <v>2019</v>
      </c>
      <c r="V123" s="593">
        <v>5.367</v>
      </c>
      <c r="W123" s="593">
        <v>5.4930000000000003</v>
      </c>
      <c r="X123" s="1675"/>
      <c r="Y123" s="1675"/>
      <c r="Z123" s="1675"/>
      <c r="AA123" s="1444"/>
      <c r="AB123" s="1444"/>
      <c r="AC123" s="1444"/>
      <c r="AD123" s="1118"/>
      <c r="AE123" s="105"/>
      <c r="AF123" s="70"/>
      <c r="AG123" s="70"/>
      <c r="AH123" s="70"/>
      <c r="AI123" s="640"/>
      <c r="AJ123" s="70"/>
      <c r="AK123" s="600"/>
      <c r="AL123" s="105"/>
      <c r="AM123" s="70"/>
      <c r="AN123" s="70"/>
      <c r="AO123" s="70"/>
      <c r="AP123" s="640"/>
      <c r="AQ123" s="70"/>
      <c r="AR123" s="600"/>
      <c r="AS123" s="600"/>
      <c r="AT123" s="600"/>
      <c r="AU123" s="600"/>
      <c r="AV123" s="600"/>
      <c r="AW123" s="600"/>
      <c r="AX123" s="600"/>
      <c r="AY123" s="600"/>
      <c r="AZ123" s="600"/>
      <c r="BA123" s="600"/>
      <c r="BB123" s="600"/>
      <c r="BC123" s="600"/>
      <c r="BD123" s="600"/>
      <c r="BE123" s="600"/>
      <c r="BF123" s="600"/>
      <c r="BG123" s="600"/>
      <c r="BH123" s="600"/>
      <c r="BI123" s="600"/>
      <c r="BJ123" s="600"/>
      <c r="BK123" s="600"/>
      <c r="BL123" s="600"/>
      <c r="BM123" s="600"/>
      <c r="BN123" s="600"/>
      <c r="BO123" s="600"/>
      <c r="BP123" s="600"/>
      <c r="BQ123" s="600"/>
      <c r="BR123" s="600"/>
      <c r="BS123" s="600"/>
      <c r="BT123" s="600"/>
      <c r="BU123" s="600"/>
      <c r="BV123" s="600"/>
      <c r="BW123" s="600"/>
      <c r="BX123" s="600"/>
      <c r="BY123" s="600"/>
      <c r="BZ123" s="600"/>
      <c r="CA123" s="600"/>
      <c r="CB123" s="600"/>
      <c r="CC123" s="600"/>
      <c r="CD123" s="105"/>
      <c r="CE123" s="70"/>
      <c r="CF123" s="70"/>
      <c r="CG123" s="70"/>
      <c r="CH123" s="640"/>
      <c r="CI123" s="70"/>
      <c r="CJ123" s="600"/>
      <c r="CK123" s="105"/>
      <c r="CL123" s="70"/>
      <c r="CM123" s="70"/>
      <c r="CN123" s="70"/>
      <c r="CO123" s="640"/>
      <c r="CP123" s="70"/>
      <c r="CQ123" s="600"/>
      <c r="CR123" s="105"/>
      <c r="CS123" s="70"/>
      <c r="CT123" s="70"/>
      <c r="CU123" s="70"/>
      <c r="CV123" s="640"/>
      <c r="CW123" s="70"/>
      <c r="CX123" s="600"/>
      <c r="CY123" s="600"/>
      <c r="CZ123" s="600"/>
      <c r="DA123" s="105"/>
      <c r="DB123" s="70"/>
      <c r="DC123" s="70"/>
      <c r="DD123" s="70"/>
      <c r="DE123" s="640"/>
      <c r="DF123" s="70"/>
    </row>
    <row r="124" spans="1:110" ht="23.4">
      <c r="A124" s="106"/>
      <c r="B124" s="107"/>
      <c r="C124" s="107"/>
      <c r="D124" s="104"/>
      <c r="E124" s="102"/>
      <c r="F124" s="103"/>
      <c r="G124" s="103"/>
      <c r="H124" s="105"/>
      <c r="I124" s="70"/>
      <c r="J124" s="70"/>
      <c r="K124" s="70"/>
      <c r="L124" s="640"/>
      <c r="M124" s="70"/>
      <c r="N124" s="567"/>
      <c r="O124" s="592"/>
      <c r="P124" s="592"/>
      <c r="Q124" s="485"/>
      <c r="R124" s="485"/>
      <c r="S124" s="1675"/>
      <c r="T124" s="1675"/>
      <c r="U124" s="593">
        <v>2020</v>
      </c>
      <c r="V124" s="593">
        <v>5.3147087120453609</v>
      </c>
      <c r="W124" s="593">
        <v>5.4377745530728552</v>
      </c>
      <c r="X124" s="1675"/>
      <c r="Y124" s="1675"/>
      <c r="Z124" s="1675"/>
      <c r="AA124" s="1444"/>
      <c r="AB124" s="1444"/>
      <c r="AC124" s="1444"/>
      <c r="AD124" s="1118"/>
      <c r="AE124" s="105"/>
      <c r="AF124" s="70"/>
      <c r="AG124" s="70"/>
      <c r="AH124" s="70"/>
      <c r="AI124" s="640"/>
      <c r="AJ124" s="70"/>
      <c r="AK124" s="600"/>
      <c r="AL124" s="105"/>
      <c r="AM124" s="70"/>
      <c r="AN124" s="70"/>
      <c r="AO124" s="70"/>
      <c r="AP124" s="640"/>
      <c r="AQ124" s="70"/>
      <c r="AR124" s="600"/>
      <c r="AS124" s="600"/>
      <c r="AT124" s="600"/>
      <c r="AU124" s="600"/>
      <c r="AV124" s="600"/>
      <c r="AW124" s="600"/>
      <c r="AX124" s="600"/>
      <c r="AY124" s="600"/>
      <c r="AZ124" s="600"/>
      <c r="BA124" s="600"/>
      <c r="BB124" s="600"/>
      <c r="BC124" s="600"/>
      <c r="BD124" s="600"/>
      <c r="BE124" s="600"/>
      <c r="BF124" s="600"/>
      <c r="BG124" s="600"/>
      <c r="BH124" s="600"/>
      <c r="BI124" s="600"/>
      <c r="BJ124" s="600"/>
      <c r="BK124" s="600"/>
      <c r="BL124" s="600"/>
      <c r="BM124" s="600"/>
      <c r="BN124" s="600"/>
      <c r="BO124" s="600"/>
      <c r="BP124" s="600"/>
      <c r="BQ124" s="600"/>
      <c r="BR124" s="600"/>
      <c r="BS124" s="600"/>
      <c r="BT124" s="600"/>
      <c r="BU124" s="600"/>
      <c r="BV124" s="600"/>
      <c r="BW124" s="600"/>
      <c r="BX124" s="600"/>
      <c r="BY124" s="600"/>
      <c r="BZ124" s="600"/>
      <c r="CA124" s="600"/>
      <c r="CB124" s="600"/>
      <c r="CC124" s="600"/>
      <c r="CD124" s="105"/>
      <c r="CE124" s="70"/>
      <c r="CF124" s="70"/>
      <c r="CG124" s="70"/>
      <c r="CH124" s="640"/>
      <c r="CI124" s="70"/>
      <c r="CJ124" s="600"/>
      <c r="CK124" s="105"/>
      <c r="CL124" s="70"/>
      <c r="CM124" s="70"/>
      <c r="CN124" s="70"/>
      <c r="CO124" s="640"/>
      <c r="CP124" s="70"/>
      <c r="CQ124" s="600"/>
      <c r="CR124" s="105"/>
      <c r="CS124" s="70"/>
      <c r="CT124" s="70"/>
      <c r="CU124" s="70"/>
      <c r="CV124" s="640"/>
      <c r="CW124" s="70"/>
      <c r="CX124" s="600"/>
      <c r="CY124" s="600"/>
      <c r="CZ124" s="600"/>
      <c r="DA124" s="105"/>
      <c r="DB124" s="70"/>
      <c r="DC124" s="70"/>
      <c r="DD124" s="70"/>
      <c r="DE124" s="640"/>
      <c r="DF124" s="70"/>
    </row>
    <row r="125" spans="1:110" ht="23.4">
      <c r="A125" s="106"/>
      <c r="B125" s="107"/>
      <c r="C125" s="107"/>
      <c r="D125" s="104"/>
      <c r="E125" s="102"/>
      <c r="F125" s="103"/>
      <c r="G125" s="103"/>
      <c r="H125" s="105"/>
      <c r="I125" s="70"/>
      <c r="J125" s="70"/>
      <c r="K125" s="70"/>
      <c r="L125" s="640"/>
      <c r="M125" s="70"/>
      <c r="N125" s="567"/>
      <c r="O125" s="592"/>
      <c r="P125" s="592"/>
      <c r="Q125" s="485"/>
      <c r="R125" s="485"/>
      <c r="S125" s="1675"/>
      <c r="T125" s="1675"/>
      <c r="U125" s="593">
        <v>2021</v>
      </c>
      <c r="V125" s="593">
        <v>5.1289999999999996</v>
      </c>
      <c r="W125" s="593">
        <v>5.1130000000000004</v>
      </c>
      <c r="X125" s="1675"/>
      <c r="Y125" s="1675"/>
      <c r="Z125" s="1675"/>
      <c r="AA125" s="1444"/>
      <c r="AB125" s="1444"/>
      <c r="AC125" s="1444"/>
      <c r="AD125" s="1118"/>
      <c r="AE125" s="105"/>
      <c r="AF125" s="70"/>
      <c r="AG125" s="70"/>
      <c r="AH125" s="70"/>
      <c r="AI125" s="640"/>
      <c r="AJ125" s="70"/>
      <c r="AK125" s="600"/>
      <c r="AL125" s="105"/>
      <c r="AM125" s="70"/>
      <c r="AN125" s="70"/>
      <c r="AO125" s="70"/>
      <c r="AP125" s="640"/>
      <c r="AQ125" s="70"/>
      <c r="AR125" s="600"/>
      <c r="AS125" s="600"/>
      <c r="AT125" s="600"/>
      <c r="AU125" s="600"/>
      <c r="AV125" s="600"/>
      <c r="AW125" s="600"/>
      <c r="AX125" s="600"/>
      <c r="AY125" s="600"/>
      <c r="AZ125" s="600"/>
      <c r="BA125" s="600"/>
      <c r="BB125" s="600"/>
      <c r="BC125" s="600"/>
      <c r="BD125" s="600"/>
      <c r="BE125" s="600"/>
      <c r="BF125" s="600"/>
      <c r="BG125" s="600"/>
      <c r="BH125" s="600"/>
      <c r="BI125" s="600"/>
      <c r="BJ125" s="600"/>
      <c r="BK125" s="600"/>
      <c r="BL125" s="600"/>
      <c r="BM125" s="600"/>
      <c r="BN125" s="600"/>
      <c r="BO125" s="600"/>
      <c r="BP125" s="600"/>
      <c r="BQ125" s="600"/>
      <c r="BR125" s="600"/>
      <c r="BS125" s="600"/>
      <c r="BT125" s="600"/>
      <c r="BU125" s="600"/>
      <c r="BV125" s="600"/>
      <c r="BW125" s="600"/>
      <c r="BX125" s="600"/>
      <c r="BY125" s="600"/>
      <c r="BZ125" s="600"/>
      <c r="CA125" s="600"/>
      <c r="CB125" s="600"/>
      <c r="CC125" s="600"/>
      <c r="CD125" s="105"/>
      <c r="CE125" s="70"/>
      <c r="CF125" s="70"/>
      <c r="CG125" s="70"/>
      <c r="CH125" s="640"/>
      <c r="CI125" s="70"/>
      <c r="CJ125" s="600"/>
      <c r="CK125" s="105"/>
      <c r="CL125" s="70"/>
      <c r="CM125" s="70"/>
      <c r="CN125" s="70"/>
      <c r="CO125" s="640"/>
      <c r="CP125" s="70"/>
      <c r="CQ125" s="600"/>
      <c r="CR125" s="105"/>
      <c r="CS125" s="70"/>
      <c r="CT125" s="70"/>
      <c r="CU125" s="70"/>
      <c r="CV125" s="640"/>
      <c r="CW125" s="70"/>
      <c r="CX125" s="600"/>
      <c r="CY125" s="600"/>
      <c r="CZ125" s="600"/>
      <c r="DA125" s="105"/>
      <c r="DB125" s="70"/>
      <c r="DC125" s="70"/>
      <c r="DD125" s="70"/>
      <c r="DE125" s="640"/>
      <c r="DF125" s="70"/>
    </row>
    <row r="126" spans="1:110" ht="23.4">
      <c r="A126" s="106"/>
      <c r="B126" s="107"/>
      <c r="C126" s="107"/>
      <c r="D126" s="104"/>
      <c r="E126" s="102"/>
      <c r="F126" s="103"/>
      <c r="G126" s="103"/>
      <c r="H126" s="105"/>
      <c r="I126" s="70"/>
      <c r="J126" s="70"/>
      <c r="K126" s="70"/>
      <c r="L126" s="640"/>
      <c r="M126" s="70"/>
      <c r="N126" s="567"/>
      <c r="O126" s="592"/>
      <c r="P126" s="592"/>
      <c r="Q126" s="485"/>
      <c r="R126" s="485"/>
      <c r="S126" s="1675"/>
      <c r="T126" s="1675"/>
      <c r="U126" s="593">
        <v>2022</v>
      </c>
      <c r="V126" s="593"/>
      <c r="W126" s="593"/>
      <c r="X126" s="1675"/>
      <c r="Y126" s="1675"/>
      <c r="Z126" s="1675"/>
      <c r="AA126" s="1444"/>
      <c r="AB126" s="1444"/>
      <c r="AC126" s="1444"/>
      <c r="AD126" s="1118"/>
      <c r="AE126" s="105"/>
      <c r="AF126" s="70"/>
      <c r="AG126" s="70"/>
      <c r="AH126" s="70"/>
      <c r="AI126" s="640"/>
      <c r="AJ126" s="70"/>
      <c r="AK126" s="600"/>
      <c r="AL126" s="105"/>
      <c r="AM126" s="70"/>
      <c r="AN126" s="70"/>
      <c r="AO126" s="70"/>
      <c r="AP126" s="640"/>
      <c r="AQ126" s="70"/>
      <c r="AR126" s="600"/>
      <c r="AS126" s="600"/>
      <c r="AT126" s="600"/>
      <c r="AU126" s="600"/>
      <c r="AV126" s="600"/>
      <c r="AW126" s="600"/>
      <c r="AX126" s="600"/>
      <c r="AY126" s="600"/>
      <c r="AZ126" s="600"/>
      <c r="BA126" s="600"/>
      <c r="BB126" s="600"/>
      <c r="BC126" s="600"/>
      <c r="BD126" s="600"/>
      <c r="BE126" s="600"/>
      <c r="BF126" s="600"/>
      <c r="BG126" s="600"/>
      <c r="BH126" s="600"/>
      <c r="BI126" s="600"/>
      <c r="BJ126" s="600"/>
      <c r="BK126" s="600"/>
      <c r="BL126" s="600"/>
      <c r="BM126" s="600"/>
      <c r="BN126" s="600"/>
      <c r="BO126" s="600"/>
      <c r="BP126" s="600"/>
      <c r="BQ126" s="600"/>
      <c r="BR126" s="600"/>
      <c r="BS126" s="600"/>
      <c r="BT126" s="600"/>
      <c r="BU126" s="600"/>
      <c r="BV126" s="600"/>
      <c r="BW126" s="600"/>
      <c r="BX126" s="600"/>
      <c r="BY126" s="600"/>
      <c r="BZ126" s="600"/>
      <c r="CA126" s="600"/>
      <c r="CB126" s="600"/>
      <c r="CC126" s="600"/>
      <c r="CD126" s="105"/>
      <c r="CE126" s="70"/>
      <c r="CF126" s="70"/>
      <c r="CG126" s="70"/>
      <c r="CH126" s="640"/>
      <c r="CI126" s="70"/>
      <c r="CJ126" s="600"/>
      <c r="CK126" s="105"/>
      <c r="CL126" s="70"/>
      <c r="CM126" s="70"/>
      <c r="CN126" s="70"/>
      <c r="CO126" s="640"/>
      <c r="CP126" s="70"/>
      <c r="CQ126" s="600"/>
      <c r="CR126" s="105"/>
      <c r="CS126" s="70"/>
      <c r="CT126" s="70"/>
      <c r="CU126" s="70"/>
      <c r="CV126" s="640"/>
      <c r="CW126" s="70"/>
      <c r="CX126" s="600"/>
      <c r="CY126" s="600"/>
      <c r="CZ126" s="600"/>
      <c r="DA126" s="105"/>
      <c r="DB126" s="70"/>
      <c r="DC126" s="70"/>
      <c r="DD126" s="70"/>
      <c r="DE126" s="640"/>
      <c r="DF126" s="70"/>
    </row>
    <row r="127" spans="1:110" ht="23.4">
      <c r="A127" s="106"/>
      <c r="B127" s="107"/>
      <c r="C127" s="107"/>
      <c r="D127" s="104"/>
      <c r="E127" s="102"/>
      <c r="F127" s="103"/>
      <c r="G127" s="103"/>
      <c r="H127" s="105"/>
      <c r="I127" s="70"/>
      <c r="J127" s="70"/>
      <c r="K127" s="70"/>
      <c r="L127" s="640"/>
      <c r="M127" s="70"/>
      <c r="N127" s="567"/>
      <c r="O127" s="592"/>
      <c r="P127" s="592"/>
      <c r="Q127" s="485"/>
      <c r="R127" s="485"/>
      <c r="S127" s="1675"/>
      <c r="T127" s="1675"/>
      <c r="U127" s="593"/>
      <c r="V127" s="593"/>
      <c r="W127" s="593"/>
      <c r="X127" s="1675"/>
      <c r="Y127" s="1675"/>
      <c r="Z127" s="1675"/>
      <c r="AA127" s="1444"/>
      <c r="AB127" s="1444"/>
      <c r="AC127" s="1444"/>
      <c r="AD127" s="1118"/>
      <c r="AE127" s="105"/>
      <c r="AF127" s="70"/>
      <c r="AG127" s="70"/>
      <c r="AH127" s="70"/>
      <c r="AI127" s="640"/>
      <c r="AJ127" s="70"/>
      <c r="AK127" s="600"/>
      <c r="AL127" s="105"/>
      <c r="AM127" s="70"/>
      <c r="AN127" s="70"/>
      <c r="AO127" s="70"/>
      <c r="AP127" s="640"/>
      <c r="AQ127" s="70"/>
      <c r="AR127" s="600"/>
      <c r="AS127" s="600"/>
      <c r="AT127" s="600"/>
      <c r="AU127" s="600"/>
      <c r="AV127" s="600"/>
      <c r="AW127" s="600"/>
      <c r="AX127" s="600"/>
      <c r="AY127" s="600"/>
      <c r="AZ127" s="600"/>
      <c r="BA127" s="600"/>
      <c r="BB127" s="600"/>
      <c r="BC127" s="600"/>
      <c r="BD127" s="600"/>
      <c r="BE127" s="600"/>
      <c r="BF127" s="600"/>
      <c r="BG127" s="600"/>
      <c r="BH127" s="600"/>
      <c r="BI127" s="600"/>
      <c r="BJ127" s="600"/>
      <c r="BK127" s="600"/>
      <c r="BL127" s="600"/>
      <c r="BM127" s="600"/>
      <c r="BN127" s="600"/>
      <c r="BO127" s="600"/>
      <c r="BP127" s="600"/>
      <c r="BQ127" s="600"/>
      <c r="BR127" s="600"/>
      <c r="BS127" s="600"/>
      <c r="BT127" s="600"/>
      <c r="BU127" s="600"/>
      <c r="BV127" s="600"/>
      <c r="BW127" s="600"/>
      <c r="BX127" s="600"/>
      <c r="BY127" s="600"/>
      <c r="BZ127" s="600"/>
      <c r="CA127" s="600"/>
      <c r="CB127" s="600"/>
      <c r="CC127" s="600"/>
      <c r="CD127" s="105"/>
      <c r="CE127" s="70"/>
      <c r="CF127" s="70"/>
      <c r="CG127" s="70"/>
      <c r="CH127" s="640"/>
      <c r="CI127" s="70"/>
      <c r="CJ127" s="600"/>
      <c r="CK127" s="105"/>
      <c r="CL127" s="70"/>
      <c r="CM127" s="70"/>
      <c r="CN127" s="70"/>
      <c r="CO127" s="640"/>
      <c r="CP127" s="70"/>
      <c r="CQ127" s="600"/>
      <c r="CR127" s="105"/>
      <c r="CS127" s="70"/>
      <c r="CT127" s="70"/>
      <c r="CU127" s="70"/>
      <c r="CV127" s="640"/>
      <c r="CW127" s="70"/>
      <c r="CX127" s="600"/>
      <c r="CY127" s="600"/>
      <c r="CZ127" s="600"/>
      <c r="DA127" s="105"/>
      <c r="DB127" s="70"/>
      <c r="DC127" s="70"/>
      <c r="DD127" s="70"/>
      <c r="DE127" s="640"/>
      <c r="DF127" s="70"/>
    </row>
    <row r="128" spans="1:110" ht="23.4">
      <c r="A128" s="106"/>
      <c r="B128" s="107"/>
      <c r="C128" s="107"/>
      <c r="D128" s="104"/>
      <c r="E128" s="102"/>
      <c r="F128" s="103"/>
      <c r="G128" s="103"/>
      <c r="H128" s="105"/>
      <c r="I128" s="70"/>
      <c r="J128" s="70"/>
      <c r="K128" s="70"/>
      <c r="L128" s="640"/>
      <c r="M128" s="70"/>
      <c r="N128" s="567"/>
      <c r="O128" s="592"/>
      <c r="P128" s="592"/>
      <c r="Q128" s="485"/>
      <c r="R128" s="485"/>
      <c r="S128" s="1675"/>
      <c r="T128" s="1675"/>
      <c r="U128" s="593"/>
      <c r="V128" s="593"/>
      <c r="W128" s="593"/>
      <c r="X128" s="1675"/>
      <c r="Y128" s="1675"/>
      <c r="Z128" s="1675"/>
      <c r="AA128" s="1444"/>
      <c r="AB128" s="1444"/>
      <c r="AC128" s="1444"/>
      <c r="AD128" s="1118"/>
      <c r="AE128" s="105"/>
      <c r="AF128" s="70"/>
      <c r="AG128" s="70"/>
      <c r="AH128" s="70"/>
      <c r="AI128" s="640"/>
      <c r="AJ128" s="70"/>
      <c r="AK128" s="600"/>
      <c r="AL128" s="105"/>
      <c r="AM128" s="70"/>
      <c r="AN128" s="70"/>
      <c r="AO128" s="70"/>
      <c r="AP128" s="640"/>
      <c r="AQ128" s="70"/>
      <c r="AR128" s="600"/>
      <c r="AS128" s="600"/>
      <c r="AT128" s="600"/>
      <c r="AU128" s="600"/>
      <c r="AV128" s="600"/>
      <c r="AW128" s="600"/>
      <c r="AX128" s="600"/>
      <c r="AY128" s="600"/>
      <c r="AZ128" s="600"/>
      <c r="BA128" s="600"/>
      <c r="BB128" s="600"/>
      <c r="BC128" s="600"/>
      <c r="BD128" s="600"/>
      <c r="BE128" s="600"/>
      <c r="BF128" s="600"/>
      <c r="BG128" s="600"/>
      <c r="BH128" s="600"/>
      <c r="BI128" s="600"/>
      <c r="BJ128" s="600"/>
      <c r="BK128" s="600"/>
      <c r="BL128" s="600"/>
      <c r="BM128" s="600"/>
      <c r="BN128" s="600"/>
      <c r="BO128" s="600"/>
      <c r="BP128" s="600"/>
      <c r="BQ128" s="600"/>
      <c r="BR128" s="600"/>
      <c r="BS128" s="600"/>
      <c r="BT128" s="600"/>
      <c r="BU128" s="600"/>
      <c r="BV128" s="600"/>
      <c r="BW128" s="600"/>
      <c r="BX128" s="600"/>
      <c r="BY128" s="600"/>
      <c r="BZ128" s="600"/>
      <c r="CA128" s="600"/>
      <c r="CB128" s="600"/>
      <c r="CC128" s="600"/>
      <c r="CD128" s="105"/>
      <c r="CE128" s="70"/>
      <c r="CF128" s="70"/>
      <c r="CG128" s="70"/>
      <c r="CH128" s="640"/>
      <c r="CI128" s="70"/>
      <c r="CJ128" s="600"/>
      <c r="CK128" s="105"/>
      <c r="CL128" s="70"/>
      <c r="CM128" s="70"/>
      <c r="CN128" s="70"/>
      <c r="CO128" s="640"/>
      <c r="CP128" s="70"/>
      <c r="CQ128" s="600"/>
      <c r="CR128" s="105"/>
      <c r="CS128" s="70"/>
      <c r="CT128" s="70"/>
      <c r="CU128" s="70"/>
      <c r="CV128" s="640"/>
      <c r="CW128" s="70"/>
      <c r="CX128" s="600"/>
      <c r="CY128" s="600"/>
      <c r="CZ128" s="600"/>
      <c r="DA128" s="105"/>
      <c r="DB128" s="70"/>
      <c r="DC128" s="70"/>
      <c r="DD128" s="70"/>
      <c r="DE128" s="640"/>
      <c r="DF128" s="70"/>
    </row>
    <row r="129" spans="1:110" ht="23.4">
      <c r="A129" s="106"/>
      <c r="B129" s="107"/>
      <c r="C129" s="107"/>
      <c r="D129" s="104"/>
      <c r="E129" s="102"/>
      <c r="F129" s="103"/>
      <c r="G129" s="103"/>
      <c r="H129" s="105"/>
      <c r="I129" s="70"/>
      <c r="J129" s="70"/>
      <c r="K129" s="70"/>
      <c r="L129" s="640"/>
      <c r="M129" s="70"/>
      <c r="N129" s="567"/>
      <c r="O129" s="592"/>
      <c r="P129" s="592"/>
      <c r="Q129" s="485"/>
      <c r="R129" s="485"/>
      <c r="S129" s="1675"/>
      <c r="T129" s="1675"/>
      <c r="U129" s="593"/>
      <c r="V129" s="593"/>
      <c r="W129" s="593"/>
      <c r="X129" s="1675"/>
      <c r="Y129" s="1675"/>
      <c r="Z129" s="1675"/>
      <c r="AA129" s="1444"/>
      <c r="AB129" s="1444"/>
      <c r="AC129" s="1444"/>
      <c r="AD129" s="1118"/>
      <c r="AE129" s="105"/>
      <c r="AF129" s="70"/>
      <c r="AG129" s="70"/>
      <c r="AH129" s="70"/>
      <c r="AI129" s="640"/>
      <c r="AJ129" s="70"/>
      <c r="AK129" s="600"/>
      <c r="AL129" s="105"/>
      <c r="AM129" s="70"/>
      <c r="AN129" s="70"/>
      <c r="AO129" s="70"/>
      <c r="AP129" s="640"/>
      <c r="AQ129" s="70"/>
      <c r="AR129" s="600"/>
      <c r="AS129" s="600"/>
      <c r="AT129" s="600"/>
      <c r="AU129" s="600"/>
      <c r="AV129" s="600"/>
      <c r="AW129" s="600"/>
      <c r="AX129" s="600"/>
      <c r="AY129" s="600"/>
      <c r="AZ129" s="600"/>
      <c r="BA129" s="600"/>
      <c r="BB129" s="600"/>
      <c r="BC129" s="600"/>
      <c r="BD129" s="600"/>
      <c r="BE129" s="600"/>
      <c r="BF129" s="600"/>
      <c r="BG129" s="600"/>
      <c r="BH129" s="600"/>
      <c r="BI129" s="600"/>
      <c r="BJ129" s="600"/>
      <c r="BK129" s="600"/>
      <c r="BL129" s="600"/>
      <c r="BM129" s="600"/>
      <c r="BN129" s="600"/>
      <c r="BO129" s="600"/>
      <c r="BP129" s="600"/>
      <c r="BQ129" s="600"/>
      <c r="BR129" s="600"/>
      <c r="BS129" s="600"/>
      <c r="BT129" s="600"/>
      <c r="BU129" s="600"/>
      <c r="BV129" s="600"/>
      <c r="BW129" s="600"/>
      <c r="BX129" s="600"/>
      <c r="BY129" s="600"/>
      <c r="BZ129" s="600"/>
      <c r="CA129" s="600"/>
      <c r="CB129" s="600"/>
      <c r="CC129" s="600"/>
      <c r="CD129" s="105"/>
      <c r="CE129" s="70"/>
      <c r="CF129" s="70"/>
      <c r="CG129" s="70"/>
      <c r="CH129" s="640"/>
      <c r="CI129" s="70"/>
      <c r="CJ129" s="600"/>
      <c r="CK129" s="105"/>
      <c r="CL129" s="70"/>
      <c r="CM129" s="70"/>
      <c r="CN129" s="70"/>
      <c r="CO129" s="640"/>
      <c r="CP129" s="70"/>
      <c r="CQ129" s="600"/>
      <c r="CR129" s="105"/>
      <c r="CS129" s="70"/>
      <c r="CT129" s="70"/>
      <c r="CU129" s="70"/>
      <c r="CV129" s="640"/>
      <c r="CW129" s="70"/>
      <c r="CX129" s="600"/>
      <c r="CY129" s="600"/>
      <c r="CZ129" s="600"/>
      <c r="DA129" s="105"/>
      <c r="DB129" s="70"/>
      <c r="DC129" s="70"/>
      <c r="DD129" s="70"/>
      <c r="DE129" s="640"/>
      <c r="DF129" s="70"/>
    </row>
    <row r="130" spans="1:110" ht="23.4">
      <c r="A130" s="106"/>
      <c r="B130" s="107"/>
      <c r="C130" s="107"/>
      <c r="D130" s="104"/>
      <c r="E130" s="102"/>
      <c r="F130" s="103"/>
      <c r="G130" s="103"/>
      <c r="H130" s="105"/>
      <c r="I130" s="70"/>
      <c r="J130" s="70"/>
      <c r="K130" s="70"/>
      <c r="L130" s="640"/>
      <c r="M130" s="70"/>
      <c r="N130" s="567"/>
      <c r="O130" s="592"/>
      <c r="P130" s="592"/>
      <c r="Q130" s="485"/>
      <c r="R130" s="485"/>
      <c r="S130" s="1675"/>
      <c r="T130" s="1675"/>
      <c r="U130" s="593"/>
      <c r="V130" s="593"/>
      <c r="W130" s="593"/>
      <c r="X130" s="1675"/>
      <c r="Y130" s="1675"/>
      <c r="Z130" s="1675"/>
      <c r="AA130" s="1444"/>
      <c r="AB130" s="1444"/>
      <c r="AC130" s="1444"/>
      <c r="AD130" s="1118"/>
      <c r="AE130" s="105"/>
      <c r="AF130" s="70"/>
      <c r="AG130" s="70"/>
      <c r="AH130" s="70"/>
      <c r="AI130" s="640"/>
      <c r="AJ130" s="70"/>
      <c r="AK130" s="600"/>
      <c r="AL130" s="105"/>
      <c r="AM130" s="70"/>
      <c r="AN130" s="70"/>
      <c r="AO130" s="70"/>
      <c r="AP130" s="640"/>
      <c r="AQ130" s="70"/>
      <c r="AR130" s="600"/>
      <c r="AS130" s="600"/>
      <c r="AT130" s="600"/>
      <c r="AU130" s="600"/>
      <c r="AV130" s="600"/>
      <c r="AW130" s="600"/>
      <c r="AX130" s="600"/>
      <c r="AY130" s="600"/>
      <c r="AZ130" s="600"/>
      <c r="BA130" s="600"/>
      <c r="BB130" s="600"/>
      <c r="BC130" s="600"/>
      <c r="BD130" s="600"/>
      <c r="BE130" s="600"/>
      <c r="BF130" s="600"/>
      <c r="BG130" s="600"/>
      <c r="BH130" s="600"/>
      <c r="BI130" s="600"/>
      <c r="BJ130" s="600"/>
      <c r="BK130" s="600"/>
      <c r="BL130" s="600"/>
      <c r="BM130" s="600"/>
      <c r="BN130" s="600"/>
      <c r="BO130" s="600"/>
      <c r="BP130" s="600"/>
      <c r="BQ130" s="600"/>
      <c r="BR130" s="600"/>
      <c r="BS130" s="600"/>
      <c r="BT130" s="600"/>
      <c r="BU130" s="600"/>
      <c r="BV130" s="600"/>
      <c r="BW130" s="600"/>
      <c r="BX130" s="600"/>
      <c r="BY130" s="600"/>
      <c r="BZ130" s="600"/>
      <c r="CA130" s="600"/>
      <c r="CB130" s="600"/>
      <c r="CC130" s="600"/>
      <c r="CD130" s="105"/>
      <c r="CE130" s="70"/>
      <c r="CF130" s="70"/>
      <c r="CG130" s="70"/>
      <c r="CH130" s="640"/>
      <c r="CI130" s="70"/>
      <c r="CJ130" s="600"/>
      <c r="CK130" s="105"/>
      <c r="CL130" s="70"/>
      <c r="CM130" s="70"/>
      <c r="CN130" s="70"/>
      <c r="CO130" s="640"/>
      <c r="CP130" s="70"/>
      <c r="CQ130" s="600"/>
      <c r="CR130" s="105"/>
      <c r="CS130" s="70"/>
      <c r="CT130" s="70"/>
      <c r="CU130" s="70"/>
      <c r="CV130" s="640"/>
      <c r="CW130" s="70"/>
      <c r="CX130" s="600"/>
      <c r="CY130" s="600"/>
      <c r="CZ130" s="600"/>
      <c r="DA130" s="105"/>
      <c r="DB130" s="70"/>
      <c r="DC130" s="70"/>
      <c r="DD130" s="70"/>
      <c r="DE130" s="640"/>
      <c r="DF130" s="70"/>
    </row>
    <row r="131" spans="1:110" ht="23.4">
      <c r="A131" s="106"/>
      <c r="B131" s="107"/>
      <c r="C131" s="107"/>
      <c r="D131" s="104"/>
      <c r="E131" s="102"/>
      <c r="F131" s="103"/>
      <c r="G131" s="103"/>
      <c r="H131" s="105"/>
      <c r="I131" s="70"/>
      <c r="J131" s="70"/>
      <c r="K131" s="70"/>
      <c r="L131" s="640"/>
      <c r="M131" s="70"/>
      <c r="N131" s="567"/>
      <c r="O131" s="592"/>
      <c r="P131" s="592"/>
      <c r="Q131" s="485"/>
      <c r="R131" s="485"/>
      <c r="S131" s="1675"/>
      <c r="T131" s="1675"/>
      <c r="U131" s="593"/>
      <c r="V131" s="593"/>
      <c r="W131" s="593"/>
      <c r="X131" s="1675"/>
      <c r="Y131" s="1675"/>
      <c r="Z131" s="1675"/>
      <c r="AA131" s="1444"/>
      <c r="AB131" s="1444"/>
      <c r="AC131" s="1444"/>
      <c r="AD131" s="1118"/>
      <c r="AE131" s="105"/>
      <c r="AF131" s="70"/>
      <c r="AG131" s="70"/>
      <c r="AH131" s="70"/>
      <c r="AI131" s="640"/>
      <c r="AJ131" s="70"/>
      <c r="AK131" s="600"/>
      <c r="AL131" s="105"/>
      <c r="AM131" s="70"/>
      <c r="AN131" s="70"/>
      <c r="AO131" s="70"/>
      <c r="AP131" s="640"/>
      <c r="AQ131" s="70"/>
      <c r="AR131" s="600"/>
      <c r="AS131" s="600"/>
      <c r="AT131" s="600"/>
      <c r="AU131" s="600"/>
      <c r="AV131" s="600"/>
      <c r="AW131" s="600"/>
      <c r="AX131" s="600"/>
      <c r="AY131" s="600"/>
      <c r="AZ131" s="600"/>
      <c r="BA131" s="600"/>
      <c r="BB131" s="600"/>
      <c r="BC131" s="600"/>
      <c r="BD131" s="600"/>
      <c r="BE131" s="600"/>
      <c r="BF131" s="600"/>
      <c r="BG131" s="600"/>
      <c r="BH131" s="600"/>
      <c r="BI131" s="600"/>
      <c r="BJ131" s="600"/>
      <c r="BK131" s="600"/>
      <c r="BL131" s="600"/>
      <c r="BM131" s="600"/>
      <c r="BN131" s="600"/>
      <c r="BO131" s="600"/>
      <c r="BP131" s="600"/>
      <c r="BQ131" s="600"/>
      <c r="BR131" s="600"/>
      <c r="BS131" s="600"/>
      <c r="BT131" s="600"/>
      <c r="BU131" s="600"/>
      <c r="BV131" s="600"/>
      <c r="BW131" s="600"/>
      <c r="BX131" s="600"/>
      <c r="BY131" s="600"/>
      <c r="BZ131" s="600"/>
      <c r="CA131" s="600"/>
      <c r="CB131" s="600"/>
      <c r="CC131" s="600"/>
      <c r="CD131" s="105"/>
      <c r="CE131" s="70"/>
      <c r="CF131" s="70"/>
      <c r="CG131" s="70"/>
      <c r="CH131" s="640"/>
      <c r="CI131" s="70"/>
      <c r="CJ131" s="600"/>
      <c r="CK131" s="105"/>
      <c r="CL131" s="70"/>
      <c r="CM131" s="70"/>
      <c r="CN131" s="70"/>
      <c r="CO131" s="640"/>
      <c r="CP131" s="70"/>
      <c r="CQ131" s="600"/>
      <c r="CR131" s="105"/>
      <c r="CS131" s="70"/>
      <c r="CT131" s="70"/>
      <c r="CU131" s="70"/>
      <c r="CV131" s="640"/>
      <c r="CW131" s="70"/>
      <c r="CX131" s="600"/>
      <c r="CY131" s="600"/>
      <c r="CZ131" s="600"/>
      <c r="DA131" s="105"/>
      <c r="DB131" s="70"/>
      <c r="DC131" s="70"/>
      <c r="DD131" s="70"/>
      <c r="DE131" s="640"/>
      <c r="DF131" s="70"/>
    </row>
    <row r="132" spans="1:110" ht="23.4">
      <c r="A132" s="106"/>
      <c r="B132" s="107"/>
      <c r="C132" s="107"/>
      <c r="D132" s="104"/>
      <c r="E132" s="102"/>
      <c r="F132" s="103"/>
      <c r="G132" s="103"/>
      <c r="H132" s="105"/>
      <c r="I132" s="70"/>
      <c r="J132" s="70"/>
      <c r="K132" s="70"/>
      <c r="L132" s="640"/>
      <c r="M132" s="70"/>
      <c r="N132" s="567"/>
      <c r="O132" s="592"/>
      <c r="P132" s="592"/>
      <c r="Q132" s="485"/>
      <c r="R132" s="485"/>
      <c r="S132" s="1675"/>
      <c r="T132" s="1675"/>
      <c r="U132" s="1675"/>
      <c r="V132" s="1675"/>
      <c r="W132" s="1675"/>
      <c r="X132" s="1675"/>
      <c r="Y132" s="1675"/>
      <c r="Z132" s="1675"/>
      <c r="AA132" s="1444"/>
      <c r="AB132" s="1444"/>
      <c r="AC132" s="1444"/>
      <c r="AD132" s="1118"/>
      <c r="AE132" s="105"/>
      <c r="AF132" s="70"/>
      <c r="AG132" s="70"/>
      <c r="AH132" s="70"/>
      <c r="AI132" s="640"/>
      <c r="AJ132" s="70"/>
      <c r="AK132" s="600"/>
      <c r="AL132" s="105"/>
      <c r="AM132" s="70"/>
      <c r="AN132" s="70"/>
      <c r="AO132" s="70"/>
      <c r="AP132" s="640"/>
      <c r="AQ132" s="70"/>
      <c r="AR132" s="600"/>
      <c r="AS132" s="600"/>
      <c r="AT132" s="600"/>
      <c r="AU132" s="600"/>
      <c r="AV132" s="600"/>
      <c r="AW132" s="600"/>
      <c r="AX132" s="600"/>
      <c r="AY132" s="600"/>
      <c r="AZ132" s="600"/>
      <c r="BA132" s="600"/>
      <c r="BB132" s="600"/>
      <c r="BC132" s="600"/>
      <c r="BD132" s="600"/>
      <c r="BE132" s="600"/>
      <c r="BF132" s="600"/>
      <c r="BG132" s="600"/>
      <c r="BH132" s="600"/>
      <c r="BI132" s="600"/>
      <c r="BJ132" s="600"/>
      <c r="BK132" s="600"/>
      <c r="BL132" s="600"/>
      <c r="BM132" s="600"/>
      <c r="BN132" s="600"/>
      <c r="BO132" s="600"/>
      <c r="BP132" s="600"/>
      <c r="BQ132" s="600"/>
      <c r="BR132" s="600"/>
      <c r="BS132" s="600"/>
      <c r="BT132" s="600"/>
      <c r="BU132" s="600"/>
      <c r="BV132" s="600"/>
      <c r="BW132" s="600"/>
      <c r="BX132" s="600"/>
      <c r="BY132" s="600"/>
      <c r="BZ132" s="600"/>
      <c r="CA132" s="600"/>
      <c r="CB132" s="600"/>
      <c r="CC132" s="600"/>
      <c r="CD132" s="105"/>
      <c r="CE132" s="70"/>
      <c r="CF132" s="70"/>
      <c r="CG132" s="70"/>
      <c r="CH132" s="640"/>
      <c r="CI132" s="70"/>
      <c r="CJ132" s="600"/>
      <c r="CK132" s="105"/>
      <c r="CL132" s="70"/>
      <c r="CM132" s="70"/>
      <c r="CN132" s="70"/>
      <c r="CO132" s="640"/>
      <c r="CP132" s="70"/>
      <c r="CQ132" s="600"/>
      <c r="CR132" s="105"/>
      <c r="CS132" s="70"/>
      <c r="CT132" s="70"/>
      <c r="CU132" s="70"/>
      <c r="CV132" s="640"/>
      <c r="CW132" s="70"/>
      <c r="CX132" s="600"/>
      <c r="CY132" s="600"/>
      <c r="CZ132" s="600"/>
      <c r="DA132" s="105"/>
      <c r="DB132" s="70"/>
      <c r="DC132" s="70"/>
      <c r="DD132" s="70"/>
      <c r="DE132" s="640"/>
      <c r="DF132" s="70"/>
    </row>
    <row r="133" spans="1:110" ht="23.4">
      <c r="A133" s="106"/>
      <c r="B133" s="107"/>
      <c r="C133" s="107"/>
      <c r="D133" s="104"/>
      <c r="E133" s="102"/>
      <c r="F133" s="103"/>
      <c r="G133" s="103"/>
      <c r="H133" s="105"/>
      <c r="I133" s="70"/>
      <c r="J133" s="70"/>
      <c r="K133" s="70"/>
      <c r="L133" s="640"/>
      <c r="M133" s="70"/>
      <c r="N133" s="567"/>
      <c r="O133" s="592"/>
      <c r="P133" s="592"/>
      <c r="Q133" s="485"/>
      <c r="R133" s="485"/>
      <c r="S133" s="1675"/>
      <c r="T133" s="1675"/>
      <c r="U133" s="1675"/>
      <c r="V133" s="1675"/>
      <c r="W133" s="1675"/>
      <c r="X133" s="1675"/>
      <c r="Y133" s="1675"/>
      <c r="Z133" s="1675"/>
      <c r="AA133" s="1444"/>
      <c r="AB133" s="1444"/>
      <c r="AC133" s="1444"/>
      <c r="AD133" s="1118"/>
      <c r="AE133" s="105"/>
      <c r="AF133" s="70"/>
      <c r="AG133" s="70"/>
      <c r="AH133" s="70"/>
      <c r="AI133" s="640"/>
      <c r="AJ133" s="70"/>
      <c r="AK133" s="600"/>
      <c r="AL133" s="105"/>
      <c r="AM133" s="70"/>
      <c r="AN133" s="70"/>
      <c r="AO133" s="70"/>
      <c r="AP133" s="640"/>
      <c r="AQ133" s="70"/>
      <c r="AR133" s="600"/>
      <c r="AS133" s="600"/>
      <c r="AT133" s="600"/>
      <c r="AU133" s="600"/>
      <c r="AV133" s="600"/>
      <c r="AW133" s="600"/>
      <c r="AX133" s="600"/>
      <c r="AY133" s="600"/>
      <c r="AZ133" s="600"/>
      <c r="BA133" s="600"/>
      <c r="BB133" s="600"/>
      <c r="BC133" s="600"/>
      <c r="BD133" s="600"/>
      <c r="BE133" s="600"/>
      <c r="BF133" s="600"/>
      <c r="BG133" s="600"/>
      <c r="BH133" s="600"/>
      <c r="BI133" s="600"/>
      <c r="BJ133" s="600"/>
      <c r="BK133" s="600"/>
      <c r="BL133" s="600"/>
      <c r="BM133" s="600"/>
      <c r="BN133" s="600"/>
      <c r="BO133" s="600"/>
      <c r="BP133" s="600"/>
      <c r="BQ133" s="600"/>
      <c r="BR133" s="600"/>
      <c r="BS133" s="600"/>
      <c r="BT133" s="600"/>
      <c r="BU133" s="600"/>
      <c r="BV133" s="600"/>
      <c r="BW133" s="600"/>
      <c r="BX133" s="600"/>
      <c r="BY133" s="600"/>
      <c r="BZ133" s="600"/>
      <c r="CA133" s="600"/>
      <c r="CB133" s="600"/>
      <c r="CC133" s="600"/>
      <c r="CD133" s="105"/>
      <c r="CE133" s="70"/>
      <c r="CF133" s="70"/>
      <c r="CG133" s="70"/>
      <c r="CH133" s="640"/>
      <c r="CI133" s="70"/>
      <c r="CJ133" s="600"/>
      <c r="CK133" s="105"/>
      <c r="CL133" s="70"/>
      <c r="CM133" s="70"/>
      <c r="CN133" s="70"/>
      <c r="CO133" s="640"/>
      <c r="CP133" s="70"/>
      <c r="CQ133" s="600"/>
      <c r="CR133" s="105"/>
      <c r="CS133" s="70"/>
      <c r="CT133" s="70"/>
      <c r="CU133" s="70"/>
      <c r="CV133" s="640"/>
      <c r="CW133" s="70"/>
      <c r="CX133" s="600"/>
      <c r="CY133" s="600"/>
      <c r="CZ133" s="600"/>
      <c r="DA133" s="105"/>
      <c r="DB133" s="70"/>
      <c r="DC133" s="70"/>
      <c r="DD133" s="70"/>
      <c r="DE133" s="640"/>
      <c r="DF133" s="70"/>
    </row>
    <row r="134" spans="1:110" ht="23.4">
      <c r="A134" s="106"/>
      <c r="B134" s="107"/>
      <c r="C134" s="107"/>
      <c r="D134" s="104"/>
      <c r="E134" s="102"/>
      <c r="F134" s="103"/>
      <c r="G134" s="103"/>
      <c r="H134" s="105"/>
      <c r="I134" s="70"/>
      <c r="J134" s="70"/>
      <c r="K134" s="70"/>
      <c r="L134" s="640"/>
      <c r="M134" s="70"/>
      <c r="N134" s="567"/>
      <c r="O134" s="592"/>
      <c r="P134" s="592"/>
      <c r="Q134" s="485"/>
      <c r="R134" s="485"/>
      <c r="S134" s="1675"/>
      <c r="T134" s="1675"/>
      <c r="U134" s="1675"/>
      <c r="V134" s="1675"/>
      <c r="W134" s="1675"/>
      <c r="X134" s="1675"/>
      <c r="Y134" s="1675"/>
      <c r="Z134" s="1675"/>
      <c r="AA134" s="1444"/>
      <c r="AB134" s="1444"/>
      <c r="AC134" s="1444"/>
      <c r="AD134" s="1118"/>
      <c r="AE134" s="105"/>
      <c r="AF134" s="70"/>
      <c r="AG134" s="70"/>
      <c r="AH134" s="70"/>
      <c r="AI134" s="640"/>
      <c r="AJ134" s="70"/>
      <c r="AK134" s="600"/>
      <c r="AL134" s="105"/>
      <c r="AM134" s="70"/>
      <c r="AN134" s="70"/>
      <c r="AO134" s="70"/>
      <c r="AP134" s="640"/>
      <c r="AQ134" s="70"/>
      <c r="AR134" s="600"/>
      <c r="AS134" s="600"/>
      <c r="AT134" s="600"/>
      <c r="AU134" s="600"/>
      <c r="AV134" s="600"/>
      <c r="AW134" s="600"/>
      <c r="AX134" s="600"/>
      <c r="AY134" s="600"/>
      <c r="AZ134" s="600"/>
      <c r="BA134" s="600"/>
      <c r="BB134" s="600"/>
      <c r="BC134" s="600"/>
      <c r="BD134" s="600"/>
      <c r="BE134" s="600"/>
      <c r="BF134" s="600"/>
      <c r="BG134" s="600"/>
      <c r="BH134" s="600"/>
      <c r="BI134" s="600"/>
      <c r="BJ134" s="600"/>
      <c r="BK134" s="600"/>
      <c r="BL134" s="600"/>
      <c r="BM134" s="600"/>
      <c r="BN134" s="600"/>
      <c r="BO134" s="600"/>
      <c r="BP134" s="600"/>
      <c r="BQ134" s="600"/>
      <c r="BR134" s="600"/>
      <c r="BS134" s="600"/>
      <c r="BT134" s="600"/>
      <c r="BU134" s="600"/>
      <c r="BV134" s="600"/>
      <c r="BW134" s="600"/>
      <c r="BX134" s="600"/>
      <c r="BY134" s="600"/>
      <c r="BZ134" s="600"/>
      <c r="CA134" s="600"/>
      <c r="CB134" s="600"/>
      <c r="CC134" s="600"/>
      <c r="CD134" s="105"/>
      <c r="CE134" s="70"/>
      <c r="CF134" s="70"/>
      <c r="CG134" s="70"/>
      <c r="CH134" s="640"/>
      <c r="CI134" s="70"/>
      <c r="CJ134" s="600"/>
      <c r="CK134" s="105"/>
      <c r="CL134" s="70"/>
      <c r="CM134" s="70"/>
      <c r="CN134" s="70"/>
      <c r="CO134" s="640"/>
      <c r="CP134" s="70"/>
      <c r="CQ134" s="600"/>
      <c r="CR134" s="105"/>
      <c r="CS134" s="70"/>
      <c r="CT134" s="70"/>
      <c r="CU134" s="70"/>
      <c r="CV134" s="640"/>
      <c r="CW134" s="70"/>
      <c r="CX134" s="600"/>
      <c r="CY134" s="600"/>
      <c r="CZ134" s="600"/>
      <c r="DA134" s="105"/>
      <c r="DB134" s="70"/>
      <c r="DC134" s="70"/>
      <c r="DD134" s="70"/>
      <c r="DE134" s="640"/>
      <c r="DF134" s="70"/>
    </row>
    <row r="135" spans="1:110" ht="23.4">
      <c r="A135" s="106"/>
      <c r="B135" s="107"/>
      <c r="C135" s="107"/>
      <c r="D135" s="104"/>
      <c r="E135" s="102"/>
      <c r="F135" s="103"/>
      <c r="G135" s="103"/>
      <c r="H135" s="105"/>
      <c r="I135" s="70"/>
      <c r="J135" s="70"/>
      <c r="K135" s="70"/>
      <c r="L135" s="640"/>
      <c r="M135" s="70"/>
      <c r="N135" s="567"/>
      <c r="O135" s="592"/>
      <c r="P135" s="592"/>
      <c r="Q135" s="485"/>
      <c r="R135" s="485"/>
      <c r="S135" s="1675"/>
      <c r="T135" s="1675"/>
      <c r="U135" s="1675"/>
      <c r="V135" s="1675"/>
      <c r="W135" s="1675"/>
      <c r="X135" s="1675"/>
      <c r="Y135" s="1675"/>
      <c r="Z135" s="1675"/>
      <c r="AA135" s="1444"/>
      <c r="AB135" s="1444"/>
      <c r="AC135" s="1444"/>
      <c r="AD135" s="1118"/>
      <c r="AE135" s="105"/>
      <c r="AF135" s="70"/>
      <c r="AG135" s="70"/>
      <c r="AH135" s="70"/>
      <c r="AI135" s="640"/>
      <c r="AJ135" s="70"/>
      <c r="AK135" s="600"/>
      <c r="AL135" s="105"/>
      <c r="AM135" s="70"/>
      <c r="AN135" s="70"/>
      <c r="AO135" s="70"/>
      <c r="AP135" s="640"/>
      <c r="AQ135" s="70"/>
      <c r="AR135" s="600"/>
      <c r="AS135" s="600"/>
      <c r="AT135" s="600"/>
      <c r="AU135" s="600"/>
      <c r="AV135" s="600"/>
      <c r="AW135" s="600"/>
      <c r="AX135" s="600"/>
      <c r="AY135" s="600"/>
      <c r="AZ135" s="600"/>
      <c r="BA135" s="600"/>
      <c r="BB135" s="600"/>
      <c r="BC135" s="600"/>
      <c r="BD135" s="600"/>
      <c r="BE135" s="600"/>
      <c r="BF135" s="600"/>
      <c r="BG135" s="600"/>
      <c r="BH135" s="600"/>
      <c r="BI135" s="600"/>
      <c r="BJ135" s="600"/>
      <c r="BK135" s="600"/>
      <c r="BL135" s="600"/>
      <c r="BM135" s="600"/>
      <c r="BN135" s="600"/>
      <c r="BO135" s="600"/>
      <c r="BP135" s="600"/>
      <c r="BQ135" s="600"/>
      <c r="BR135" s="600"/>
      <c r="BS135" s="600"/>
      <c r="BT135" s="600"/>
      <c r="BU135" s="600"/>
      <c r="BV135" s="600"/>
      <c r="BW135" s="600"/>
      <c r="BX135" s="600"/>
      <c r="BY135" s="600"/>
      <c r="BZ135" s="600"/>
      <c r="CA135" s="600"/>
      <c r="CB135" s="600"/>
      <c r="CC135" s="600"/>
      <c r="CD135" s="105"/>
      <c r="CE135" s="70"/>
      <c r="CF135" s="70"/>
      <c r="CG135" s="70"/>
      <c r="CH135" s="640"/>
      <c r="CI135" s="70"/>
      <c r="CJ135" s="600"/>
      <c r="CK135" s="105"/>
      <c r="CL135" s="70"/>
      <c r="CM135" s="70"/>
      <c r="CN135" s="70"/>
      <c r="CO135" s="640"/>
      <c r="CP135" s="70"/>
      <c r="CQ135" s="600"/>
      <c r="CR135" s="105"/>
      <c r="CS135" s="70"/>
      <c r="CT135" s="70"/>
      <c r="CU135" s="70"/>
      <c r="CV135" s="640"/>
      <c r="CW135" s="70"/>
      <c r="CX135" s="600"/>
      <c r="CY135" s="600"/>
      <c r="CZ135" s="600"/>
      <c r="DA135" s="105"/>
      <c r="DB135" s="70"/>
      <c r="DC135" s="70"/>
      <c r="DD135" s="70"/>
      <c r="DE135" s="640"/>
      <c r="DF135" s="70"/>
    </row>
    <row r="136" spans="1:110" ht="23.4">
      <c r="A136" s="106"/>
      <c r="B136" s="107"/>
      <c r="C136" s="107"/>
      <c r="D136" s="104"/>
      <c r="E136" s="102"/>
      <c r="F136" s="103"/>
      <c r="G136" s="103"/>
      <c r="H136" s="105"/>
      <c r="I136" s="70"/>
      <c r="J136" s="70"/>
      <c r="K136" s="70"/>
      <c r="L136" s="640"/>
      <c r="M136" s="70"/>
      <c r="N136" s="567"/>
      <c r="O136" s="592"/>
      <c r="P136" s="592"/>
      <c r="Q136" s="485"/>
      <c r="R136" s="485"/>
      <c r="S136" s="1675"/>
      <c r="T136" s="1675"/>
      <c r="U136" s="1675"/>
      <c r="V136" s="1675"/>
      <c r="W136" s="1675"/>
      <c r="X136" s="1675"/>
      <c r="Y136" s="1675"/>
      <c r="Z136" s="1675"/>
      <c r="AA136" s="485"/>
      <c r="AB136" s="485"/>
      <c r="AC136" s="485"/>
      <c r="AD136" s="1118"/>
      <c r="AE136" s="105"/>
      <c r="AF136" s="70"/>
      <c r="AG136" s="70"/>
      <c r="AH136" s="70"/>
      <c r="AI136" s="640"/>
      <c r="AJ136" s="70"/>
      <c r="AK136" s="600"/>
      <c r="AL136" s="105"/>
      <c r="AM136" s="70"/>
      <c r="AN136" s="70"/>
      <c r="AO136" s="70"/>
      <c r="AP136" s="640"/>
      <c r="AQ136" s="70"/>
      <c r="AR136" s="600"/>
      <c r="AS136" s="600"/>
      <c r="AT136" s="600"/>
      <c r="AU136" s="600"/>
      <c r="AV136" s="600"/>
      <c r="AW136" s="600"/>
      <c r="AX136" s="600"/>
      <c r="AY136" s="600"/>
      <c r="AZ136" s="600"/>
      <c r="BA136" s="600"/>
      <c r="BB136" s="600"/>
      <c r="BC136" s="600"/>
      <c r="BD136" s="600"/>
      <c r="BE136" s="600"/>
      <c r="BF136" s="600"/>
      <c r="BG136" s="600"/>
      <c r="BH136" s="600"/>
      <c r="BI136" s="600"/>
      <c r="BJ136" s="600"/>
      <c r="BK136" s="600"/>
      <c r="BL136" s="600"/>
      <c r="BM136" s="600"/>
      <c r="BN136" s="600"/>
      <c r="BO136" s="600"/>
      <c r="BP136" s="600"/>
      <c r="BQ136" s="600"/>
      <c r="BR136" s="600"/>
      <c r="BS136" s="600"/>
      <c r="BT136" s="600"/>
      <c r="BU136" s="600"/>
      <c r="BV136" s="600"/>
      <c r="BW136" s="600"/>
      <c r="BX136" s="600"/>
      <c r="BY136" s="600"/>
      <c r="BZ136" s="600"/>
      <c r="CA136" s="600"/>
      <c r="CB136" s="600"/>
      <c r="CC136" s="600"/>
      <c r="CD136" s="105"/>
      <c r="CE136" s="70"/>
      <c r="CF136" s="70"/>
      <c r="CG136" s="70"/>
      <c r="CH136" s="640"/>
      <c r="CI136" s="70"/>
      <c r="CJ136" s="600"/>
      <c r="CK136" s="105"/>
      <c r="CL136" s="70"/>
      <c r="CM136" s="70"/>
      <c r="CN136" s="70"/>
      <c r="CO136" s="640"/>
      <c r="CP136" s="70"/>
      <c r="CQ136" s="600"/>
      <c r="CR136" s="105"/>
      <c r="CS136" s="70"/>
      <c r="CT136" s="70"/>
      <c r="CU136" s="70"/>
      <c r="CV136" s="640"/>
      <c r="CW136" s="70"/>
      <c r="CX136" s="600"/>
      <c r="CY136" s="600"/>
      <c r="CZ136" s="600"/>
      <c r="DA136" s="105"/>
      <c r="DB136" s="70"/>
      <c r="DC136" s="70"/>
      <c r="DD136" s="70"/>
      <c r="DE136" s="640"/>
      <c r="DF136" s="70"/>
    </row>
    <row r="137" spans="1:110" ht="54">
      <c r="A137" s="106" t="str">
        <f>"Détail de l'évolution des consommations par secteur ("&amp;B4&amp;")"</f>
        <v>Détail de l'évolution des consommations par secteur (Réel)</v>
      </c>
      <c r="B137" s="107"/>
      <c r="C137" s="107"/>
      <c r="D137" s="104"/>
      <c r="E137" s="102"/>
      <c r="F137" s="103"/>
      <c r="G137" s="103"/>
      <c r="H137" s="105"/>
      <c r="I137" s="70"/>
      <c r="J137" s="70"/>
      <c r="K137" s="70"/>
      <c r="L137" s="640"/>
      <c r="M137" s="70"/>
      <c r="N137" s="567"/>
      <c r="O137" s="592"/>
      <c r="P137" s="592"/>
      <c r="Q137" s="485"/>
      <c r="R137" s="485"/>
      <c r="S137" s="1675"/>
      <c r="T137" s="1675"/>
      <c r="U137" s="1675"/>
      <c r="V137" s="1675"/>
      <c r="W137" s="1675"/>
      <c r="X137" s="1675"/>
      <c r="Y137" s="1675"/>
      <c r="Z137" s="1675"/>
      <c r="AA137" s="485"/>
      <c r="AB137" s="485"/>
      <c r="AC137" s="485"/>
      <c r="AD137" s="1118"/>
      <c r="AE137" s="105"/>
      <c r="AF137" s="70"/>
      <c r="AG137" s="70"/>
      <c r="AH137" s="70"/>
      <c r="AI137" s="640"/>
      <c r="AJ137" s="70"/>
      <c r="AK137" s="600"/>
      <c r="AL137" s="105"/>
      <c r="AM137" s="70"/>
      <c r="AN137" s="70"/>
      <c r="AO137" s="70"/>
      <c r="AP137" s="640"/>
      <c r="AQ137" s="70"/>
      <c r="AR137" s="600"/>
      <c r="AS137" s="600"/>
      <c r="AT137" s="600"/>
      <c r="AU137" s="600"/>
      <c r="AV137" s="600"/>
      <c r="AW137" s="600"/>
      <c r="AX137" s="600"/>
      <c r="AY137" s="600"/>
      <c r="AZ137" s="600"/>
      <c r="BA137" s="600"/>
      <c r="BB137" s="600"/>
      <c r="BC137" s="600"/>
      <c r="BD137" s="600"/>
      <c r="BE137" s="600"/>
      <c r="BF137" s="600"/>
      <c r="BG137" s="600"/>
      <c r="BH137" s="600"/>
      <c r="BI137" s="600"/>
      <c r="BJ137" s="600"/>
      <c r="BK137" s="600"/>
      <c r="BL137" s="600"/>
      <c r="BM137" s="600"/>
      <c r="BN137" s="600"/>
      <c r="BO137" s="600"/>
      <c r="BP137" s="600"/>
      <c r="BQ137" s="600"/>
      <c r="BR137" s="600"/>
      <c r="BS137" s="600"/>
      <c r="BT137" s="600"/>
      <c r="BU137" s="600"/>
      <c r="BV137" s="600"/>
      <c r="BW137" s="600"/>
      <c r="BX137" s="600"/>
      <c r="BY137" s="600"/>
      <c r="BZ137" s="600"/>
      <c r="CA137" s="600"/>
      <c r="CB137" s="600"/>
      <c r="CC137" s="600"/>
      <c r="CD137" s="105"/>
      <c r="CE137" s="70"/>
      <c r="CF137" s="70"/>
      <c r="CG137" s="70"/>
      <c r="CH137" s="640"/>
      <c r="CI137" s="70"/>
      <c r="CJ137" s="600"/>
      <c r="CK137" s="105"/>
      <c r="CL137" s="70"/>
      <c r="CM137" s="70"/>
      <c r="CN137" s="70"/>
      <c r="CO137" s="640"/>
      <c r="CP137" s="70"/>
      <c r="CQ137" s="600"/>
      <c r="CR137" s="105"/>
      <c r="CS137" s="70"/>
      <c r="CT137" s="70"/>
      <c r="CU137" s="70"/>
      <c r="CV137" s="640"/>
      <c r="CW137" s="70"/>
      <c r="CX137" s="600"/>
      <c r="CY137" s="600"/>
      <c r="CZ137" s="600"/>
      <c r="DA137" s="105"/>
      <c r="DB137" s="70"/>
      <c r="DC137" s="70"/>
      <c r="DD137" s="70"/>
      <c r="DE137" s="640"/>
      <c r="DF137" s="70"/>
    </row>
    <row r="138" spans="1:110" ht="23.4">
      <c r="A138" s="106"/>
      <c r="B138" s="107"/>
      <c r="C138" s="107"/>
      <c r="D138" s="104"/>
      <c r="E138" s="102"/>
      <c r="F138" s="103"/>
      <c r="G138" s="103"/>
      <c r="H138" s="105"/>
      <c r="I138" s="70"/>
      <c r="J138" s="70"/>
      <c r="K138" s="70"/>
      <c r="L138" s="640"/>
      <c r="M138" s="70"/>
      <c r="N138" s="567"/>
      <c r="O138" s="592" t="s">
        <v>185</v>
      </c>
      <c r="P138" s="592"/>
      <c r="Q138" s="485"/>
      <c r="R138" s="485"/>
      <c r="S138" s="485"/>
      <c r="T138" s="485"/>
      <c r="U138" s="485"/>
      <c r="V138" s="485"/>
      <c r="W138" s="485"/>
      <c r="X138" s="485"/>
      <c r="Y138" s="485"/>
      <c r="Z138" s="485"/>
      <c r="AA138" s="485"/>
      <c r="AB138" s="485"/>
      <c r="AC138" s="485"/>
      <c r="AD138" s="1118"/>
      <c r="AE138" s="105"/>
      <c r="AF138" s="70"/>
      <c r="AG138" s="70"/>
      <c r="AH138" s="70"/>
      <c r="AI138" s="640"/>
      <c r="AJ138" s="70"/>
      <c r="AK138" s="600"/>
      <c r="AL138" s="105"/>
      <c r="AM138" s="70"/>
      <c r="AN138" s="70"/>
      <c r="AO138" s="70"/>
      <c r="AP138" s="640"/>
      <c r="AQ138" s="70"/>
      <c r="AR138" s="600"/>
      <c r="AS138" s="600"/>
      <c r="AT138" s="600"/>
      <c r="AU138" s="600"/>
      <c r="AV138" s="600"/>
      <c r="AW138" s="600"/>
      <c r="AX138" s="600"/>
      <c r="AY138" s="600"/>
      <c r="AZ138" s="600"/>
      <c r="BA138" s="600"/>
      <c r="BB138" s="600"/>
      <c r="BC138" s="600"/>
      <c r="BD138" s="600"/>
      <c r="BE138" s="600"/>
      <c r="BF138" s="600"/>
      <c r="BG138" s="600"/>
      <c r="BH138" s="600"/>
      <c r="BI138" s="600"/>
      <c r="BJ138" s="600"/>
      <c r="BK138" s="600"/>
      <c r="BL138" s="600"/>
      <c r="BM138" s="600"/>
      <c r="BN138" s="600"/>
      <c r="BO138" s="600"/>
      <c r="BP138" s="600"/>
      <c r="BQ138" s="600"/>
      <c r="BR138" s="600"/>
      <c r="BS138" s="600"/>
      <c r="BT138" s="600"/>
      <c r="BU138" s="600"/>
      <c r="BV138" s="600"/>
      <c r="BW138" s="600"/>
      <c r="BX138" s="600"/>
      <c r="BY138" s="600"/>
      <c r="BZ138" s="600"/>
      <c r="CA138" s="600"/>
      <c r="CB138" s="600"/>
      <c r="CC138" s="600"/>
      <c r="CD138" s="105"/>
      <c r="CE138" s="70"/>
      <c r="CF138" s="70"/>
      <c r="CG138" s="70"/>
      <c r="CH138" s="640"/>
      <c r="CI138" s="70"/>
      <c r="CJ138" s="600"/>
      <c r="CK138" s="105"/>
      <c r="CL138" s="70"/>
      <c r="CM138" s="70"/>
      <c r="CN138" s="70"/>
      <c r="CO138" s="640"/>
      <c r="CP138" s="70"/>
      <c r="CQ138" s="600"/>
      <c r="CR138" s="105"/>
      <c r="CS138" s="70"/>
      <c r="CT138" s="70"/>
      <c r="CU138" s="70"/>
      <c r="CV138" s="640"/>
      <c r="CW138" s="70"/>
      <c r="CX138" s="600"/>
      <c r="CY138" s="600"/>
      <c r="CZ138" s="600"/>
      <c r="DA138" s="105"/>
      <c r="DB138" s="70"/>
      <c r="DC138" s="70"/>
      <c r="DD138" s="70"/>
      <c r="DE138" s="640"/>
      <c r="DF138" s="70"/>
    </row>
    <row r="139" spans="1:110" ht="23.4">
      <c r="A139" s="106"/>
      <c r="B139" s="107"/>
      <c r="C139" s="107"/>
      <c r="D139" s="104"/>
      <c r="E139" s="102"/>
      <c r="F139" s="103"/>
      <c r="G139" s="103"/>
      <c r="H139" s="105"/>
      <c r="I139" s="70"/>
      <c r="J139" s="70"/>
      <c r="K139" s="70"/>
      <c r="L139" s="640"/>
      <c r="M139" s="70"/>
      <c r="N139" s="567"/>
      <c r="O139" s="595" t="s">
        <v>244</v>
      </c>
      <c r="P139" s="595">
        <v>2006</v>
      </c>
      <c r="Q139" s="466">
        <v>2010</v>
      </c>
      <c r="R139" s="466">
        <v>2011</v>
      </c>
      <c r="S139" s="595">
        <v>2012</v>
      </c>
      <c r="T139" s="466">
        <v>2013</v>
      </c>
      <c r="U139" s="466">
        <v>2014</v>
      </c>
      <c r="V139" s="595">
        <v>2015</v>
      </c>
      <c r="W139" s="466">
        <v>2016</v>
      </c>
      <c r="X139" s="466">
        <v>2017</v>
      </c>
      <c r="Y139" s="466">
        <v>2018</v>
      </c>
      <c r="Z139" s="466">
        <v>2019</v>
      </c>
      <c r="AA139" s="1487">
        <v>2020</v>
      </c>
      <c r="AB139" s="466">
        <v>2021</v>
      </c>
      <c r="AC139" s="1487">
        <v>2022</v>
      </c>
      <c r="AD139" s="1442"/>
      <c r="AE139" s="105"/>
      <c r="AF139" s="70"/>
      <c r="AG139" s="70"/>
      <c r="AH139" s="70"/>
      <c r="AI139" s="640"/>
      <c r="AJ139" s="70"/>
      <c r="AK139" s="600"/>
      <c r="AL139" s="105"/>
      <c r="AM139" s="70"/>
      <c r="AN139" s="70"/>
      <c r="AO139" s="70"/>
      <c r="AP139" s="640"/>
      <c r="AQ139" s="70"/>
      <c r="AR139" s="600"/>
      <c r="AS139" s="600"/>
      <c r="AT139" s="600"/>
      <c r="AU139" s="600"/>
      <c r="AV139" s="600"/>
      <c r="AW139" s="600"/>
      <c r="AX139" s="600"/>
      <c r="AY139" s="600"/>
      <c r="AZ139" s="600"/>
      <c r="BA139" s="600"/>
      <c r="BB139" s="600"/>
      <c r="BC139" s="600"/>
      <c r="BD139" s="600"/>
      <c r="BE139" s="600"/>
      <c r="BF139" s="600"/>
      <c r="BG139" s="600"/>
      <c r="BH139" s="600"/>
      <c r="BI139" s="600"/>
      <c r="BJ139" s="600"/>
      <c r="BK139" s="600"/>
      <c r="BL139" s="600"/>
      <c r="BM139" s="600"/>
      <c r="BN139" s="600"/>
      <c r="BO139" s="600"/>
      <c r="BP139" s="600"/>
      <c r="BQ139" s="600"/>
      <c r="BR139" s="600"/>
      <c r="BS139" s="600"/>
      <c r="BT139" s="600"/>
      <c r="BU139" s="600"/>
      <c r="BV139" s="600"/>
      <c r="BW139" s="600"/>
      <c r="BX139" s="600"/>
      <c r="BY139" s="600"/>
      <c r="BZ139" s="600"/>
      <c r="CA139" s="600"/>
      <c r="CB139" s="600"/>
      <c r="CC139" s="600"/>
      <c r="CD139" s="105"/>
      <c r="CE139" s="70"/>
      <c r="CF139" s="70"/>
      <c r="CG139" s="70"/>
      <c r="CH139" s="640"/>
      <c r="CI139" s="70"/>
      <c r="CJ139" s="600"/>
      <c r="CK139" s="105"/>
      <c r="CL139" s="70"/>
      <c r="CM139" s="70"/>
      <c r="CN139" s="70"/>
      <c r="CO139" s="640"/>
      <c r="CP139" s="70"/>
      <c r="CQ139" s="600"/>
      <c r="CR139" s="105"/>
      <c r="CS139" s="70"/>
      <c r="CT139" s="70"/>
      <c r="CU139" s="70"/>
      <c r="CV139" s="640"/>
      <c r="CW139" s="70"/>
      <c r="CX139" s="600"/>
      <c r="CY139" s="600"/>
      <c r="CZ139" s="600"/>
      <c r="DA139" s="105"/>
      <c r="DB139" s="70"/>
      <c r="DC139" s="70"/>
      <c r="DD139" s="70"/>
      <c r="DE139" s="640"/>
      <c r="DF139" s="70"/>
    </row>
    <row r="140" spans="1:110" ht="23.4">
      <c r="A140" s="106"/>
      <c r="B140" s="107"/>
      <c r="C140" s="107"/>
      <c r="D140" s="104"/>
      <c r="E140" s="102"/>
      <c r="F140" s="103"/>
      <c r="G140" s="103"/>
      <c r="H140" s="105"/>
      <c r="I140" s="70"/>
      <c r="J140" s="70"/>
      <c r="K140" s="70"/>
      <c r="L140" s="640"/>
      <c r="M140" s="70"/>
      <c r="N140" s="567"/>
      <c r="O140" s="595" t="s">
        <v>198</v>
      </c>
      <c r="P140" s="594">
        <f ca="1">SUMIFS(INDIRECT("TabINPUT["&amp;P$139&amp;"]"),TabINPUT[SECTEUR1],$O140,TabINPUT[VECTEUR],"Total")</f>
        <v>0</v>
      </c>
      <c r="Q140" s="594">
        <f ca="1">SUMIFS(INDIRECT("TabINPUT["&amp;Q$139&amp;"]"),TabINPUT[SECTEUR1],$O140,TabINPUT[VECTEUR],"Total")</f>
        <v>0</v>
      </c>
      <c r="R140" s="594">
        <f ca="1">SUMIFS(INDIRECT("TabINPUT["&amp;R$139&amp;"]"),TabINPUT[SECTEUR1],$O140,TabINPUT[VECTEUR],"Total")</f>
        <v>0</v>
      </c>
      <c r="S140" s="594">
        <f ca="1">SUMIFS(INDIRECT("TabINPUT["&amp;S$139&amp;"]"),TabINPUT[SECTEUR1],$O140,TabINPUT[VECTEUR],"Total")</f>
        <v>0</v>
      </c>
      <c r="T140" s="594">
        <f ca="1">SUMIFS(INDIRECT("TabINPUT["&amp;T$139&amp;"]"),TabINPUT[SECTEUR1],$O140,TabINPUT[VECTEUR],"Total")</f>
        <v>0</v>
      </c>
      <c r="U140" s="594">
        <f ca="1">SUMIFS(INDIRECT("TabINPUT["&amp;U$139&amp;"]"),TabINPUT[SECTEUR1],$O140,TabINPUT[VECTEUR],"Total")</f>
        <v>0</v>
      </c>
      <c r="V140" s="594">
        <f ca="1">SUMIFS(INDIRECT("TabINPUT["&amp;V$139&amp;"]"),TabINPUT[SECTEUR1],$O140,TabINPUT[VECTEUR],"Total")</f>
        <v>0</v>
      </c>
      <c r="W140" s="594">
        <f ca="1">SUMIFS(INDIRECT("TabINPUT["&amp;W$139&amp;"]"),TabINPUT[SECTEUR1],$O140,TabINPUT[VECTEUR],"Total")</f>
        <v>0</v>
      </c>
      <c r="X140" s="594">
        <f ca="1">SUMIFS(INDIRECT("TabINPUT["&amp;X$139&amp;"]"),TabINPUT[SECTEUR1],$O140,TabINPUT[VECTEUR],"Total")</f>
        <v>0</v>
      </c>
      <c r="Y140" s="594">
        <f ca="1">SUMIFS(INDIRECT("TabINPUT["&amp;Y$139&amp;"]"),TabINPUT[SECTEUR1],$O140,TabINPUT[VECTEUR],"Total")</f>
        <v>0</v>
      </c>
      <c r="Z140" s="594">
        <f ca="1">SUMIFS(INDIRECT("TabINPUT["&amp;Z$139&amp;"]"),TabINPUT[SECTEUR1],$O140,TabINPUT[VECTEUR],"Total")</f>
        <v>0</v>
      </c>
      <c r="AA140" s="1488">
        <f ca="1">SUMIFS(INDIRECT("TabINPUT["&amp;AA$139&amp;"]"),TabINPUT[SECTEUR1],$O140,TabINPUT[VECTEUR],"Total")</f>
        <v>0</v>
      </c>
      <c r="AB140" s="1488">
        <f ca="1">SUMIFS(INDIRECT("TabINPUT["&amp;AB$139&amp;"]"),TabINPUT[SECTEUR1],$O140,TabINPUT[VECTEUR],"Total")</f>
        <v>0</v>
      </c>
      <c r="AC140" s="1488">
        <f ca="1">SUMIFS(INDIRECT("TabINPUT["&amp;AC$139&amp;"]"),TabINPUT[SECTEUR1],$O140,TabINPUT[VECTEUR],"Total")</f>
        <v>0</v>
      </c>
      <c r="AD140" s="1443"/>
      <c r="AE140" s="105"/>
      <c r="AF140" s="70"/>
      <c r="AG140" s="70"/>
      <c r="AH140" s="70"/>
      <c r="AI140" s="640"/>
      <c r="AJ140" s="70"/>
      <c r="AK140" s="600"/>
      <c r="AL140" s="105"/>
      <c r="AM140" s="70"/>
      <c r="AN140" s="70"/>
      <c r="AO140" s="70"/>
      <c r="AP140" s="640"/>
      <c r="AQ140" s="70"/>
      <c r="AR140" s="600"/>
      <c r="AS140" s="600"/>
      <c r="AT140" s="600"/>
      <c r="AU140" s="600"/>
      <c r="AV140" s="600"/>
      <c r="AW140" s="600"/>
      <c r="AX140" s="600"/>
      <c r="AY140" s="600"/>
      <c r="AZ140" s="600"/>
      <c r="BA140" s="600"/>
      <c r="BB140" s="600"/>
      <c r="BC140" s="600"/>
      <c r="BD140" s="600"/>
      <c r="BE140" s="600"/>
      <c r="BF140" s="600"/>
      <c r="BG140" s="600"/>
      <c r="BH140" s="600"/>
      <c r="BI140" s="600"/>
      <c r="BJ140" s="600"/>
      <c r="BK140" s="600"/>
      <c r="BL140" s="600"/>
      <c r="BM140" s="600"/>
      <c r="BN140" s="600"/>
      <c r="BO140" s="600"/>
      <c r="BP140" s="600"/>
      <c r="BQ140" s="600"/>
      <c r="BR140" s="600"/>
      <c r="BS140" s="600"/>
      <c r="BT140" s="600"/>
      <c r="BU140" s="600"/>
      <c r="BV140" s="600"/>
      <c r="BW140" s="600"/>
      <c r="BX140" s="600"/>
      <c r="BY140" s="600"/>
      <c r="BZ140" s="600"/>
      <c r="CA140" s="600"/>
      <c r="CB140" s="600"/>
      <c r="CC140" s="600"/>
      <c r="CD140" s="105"/>
      <c r="CE140" s="70"/>
      <c r="CF140" s="70"/>
      <c r="CG140" s="70"/>
      <c r="CH140" s="640"/>
      <c r="CI140" s="70"/>
      <c r="CJ140" s="600"/>
      <c r="CK140" s="105"/>
      <c r="CL140" s="70"/>
      <c r="CM140" s="70"/>
      <c r="CN140" s="70"/>
      <c r="CO140" s="640"/>
      <c r="CP140" s="70"/>
      <c r="CQ140" s="600"/>
      <c r="CR140" s="105"/>
      <c r="CS140" s="70"/>
      <c r="CT140" s="70"/>
      <c r="CU140" s="70"/>
      <c r="CV140" s="640"/>
      <c r="CW140" s="70"/>
      <c r="CX140" s="600"/>
      <c r="CY140" s="600"/>
      <c r="CZ140" s="600"/>
      <c r="DA140" s="105"/>
      <c r="DB140" s="70"/>
      <c r="DC140" s="70"/>
      <c r="DD140" s="70"/>
      <c r="DE140" s="640"/>
      <c r="DF140" s="70"/>
    </row>
    <row r="141" spans="1:110" ht="23.4">
      <c r="A141" s="106"/>
      <c r="B141" s="107"/>
      <c r="C141" s="107"/>
      <c r="D141" s="104"/>
      <c r="E141" s="102"/>
      <c r="F141" s="103"/>
      <c r="G141" s="103"/>
      <c r="H141" s="105"/>
      <c r="I141" s="70"/>
      <c r="J141" s="70"/>
      <c r="K141" s="70"/>
      <c r="L141" s="640"/>
      <c r="M141" s="70"/>
      <c r="N141" s="567"/>
      <c r="O141" s="595" t="s">
        <v>199</v>
      </c>
      <c r="P141" s="594">
        <f ca="1">SUMIFS(INDIRECT("TabINPUT["&amp;P$139&amp;"]"),TabINPUT[SECTEUR1],$O141,TabINPUT[VECTEUR],"Electricité")+(SUMIFS(INDIRECT("TabINPUT["&amp;P$139&amp;"]"),TabINPUT[SECTEUR1],$O141,TabINPUT[VECTEUR],"Total")-SUMIFS(INDIRECT("TabINPUT["&amp;P$139&amp;"]"),TabINPUT[SECTEUR1],$O141,TabINPUT[VECTEUR],"Electricité"))*IF($B$4="Réel",1,HLOOKUP(P$139,Hypothèses!$A$25:$AA$28,3,0))</f>
        <v>0</v>
      </c>
      <c r="Q141" s="594">
        <f ca="1">SUMIFS(INDIRECT("TabINPUT["&amp;Q$139&amp;"]"),TabINPUT[SECTEUR1],$O141,TabINPUT[VECTEUR],"Electricité")+(SUMIFS(INDIRECT("TabINPUT["&amp;Q$139&amp;"]"),TabINPUT[SECTEUR1],$O141,TabINPUT[VECTEUR],"Total")-SUMIFS(INDIRECT("TabINPUT["&amp;Q$139&amp;"]"),TabINPUT[SECTEUR1],$O141,TabINPUT[VECTEUR],"Electricité"))*IF($B$4="Réel",1,HLOOKUP(Q$139,Hypothèses!$A$25:$AA$28,3,0))</f>
        <v>0</v>
      </c>
      <c r="R141" s="594">
        <f ca="1">SUMIFS(INDIRECT("TabINPUT["&amp;R$139&amp;"]"),TabINPUT[SECTEUR1],$O141,TabINPUT[VECTEUR],"Electricité")+(SUMIFS(INDIRECT("TabINPUT["&amp;R$139&amp;"]"),TabINPUT[SECTEUR1],$O141,TabINPUT[VECTEUR],"Total")-SUMIFS(INDIRECT("TabINPUT["&amp;R$139&amp;"]"),TabINPUT[SECTEUR1],$O141,TabINPUT[VECTEUR],"Electricité"))*IF($B$4="Réel",1,HLOOKUP(R$139,Hypothèses!$A$25:$AA$28,3,0))</f>
        <v>0</v>
      </c>
      <c r="S141" s="594">
        <f ca="1">SUMIFS(INDIRECT("TabINPUT["&amp;S$139&amp;"]"),TabINPUT[SECTEUR1],$O141,TabINPUT[VECTEUR],"Electricité")+(SUMIFS(INDIRECT("TabINPUT["&amp;S$139&amp;"]"),TabINPUT[SECTEUR1],$O141,TabINPUT[VECTEUR],"Total")-SUMIFS(INDIRECT("TabINPUT["&amp;S$139&amp;"]"),TabINPUT[SECTEUR1],$O141,TabINPUT[VECTEUR],"Electricité"))*IF($B$4="Réel",1,HLOOKUP(S$139,Hypothèses!$A$25:$AA$28,3,0))</f>
        <v>0</v>
      </c>
      <c r="T141" s="594">
        <f ca="1">SUMIFS(INDIRECT("TabINPUT["&amp;T$139&amp;"]"),TabINPUT[SECTEUR1],$O141,TabINPUT[VECTEUR],"Electricité")+(SUMIFS(INDIRECT("TabINPUT["&amp;T$139&amp;"]"),TabINPUT[SECTEUR1],$O141,TabINPUT[VECTEUR],"Total")-SUMIFS(INDIRECT("TabINPUT["&amp;T$139&amp;"]"),TabINPUT[SECTEUR1],$O141,TabINPUT[VECTEUR],"Electricité"))*IF($B$4="Réel",1,HLOOKUP(T$139,Hypothèses!$A$25:$AA$28,3,0))</f>
        <v>0</v>
      </c>
      <c r="U141" s="594">
        <f ca="1">SUMIFS(INDIRECT("TabINPUT["&amp;U$139&amp;"]"),TabINPUT[SECTEUR1],$O141,TabINPUT[VECTEUR],"Electricité")+(SUMIFS(INDIRECT("TabINPUT["&amp;U$139&amp;"]"),TabINPUT[SECTEUR1],$O141,TabINPUT[VECTEUR],"Total")-SUMIFS(INDIRECT("TabINPUT["&amp;U$139&amp;"]"),TabINPUT[SECTEUR1],$O141,TabINPUT[VECTEUR],"Electricité"))*IF($B$4="Réel",1,HLOOKUP(U$139,Hypothèses!$A$25:$AA$28,3,0))</f>
        <v>0</v>
      </c>
      <c r="V141" s="594">
        <f ca="1">SUMIFS(INDIRECT("TabINPUT["&amp;V$139&amp;"]"),TabINPUT[SECTEUR1],$O141,TabINPUT[VECTEUR],"Electricité")+(SUMIFS(INDIRECT("TabINPUT["&amp;V$139&amp;"]"),TabINPUT[SECTEUR1],$O141,TabINPUT[VECTEUR],"Total")-SUMIFS(INDIRECT("TabINPUT["&amp;V$139&amp;"]"),TabINPUT[SECTEUR1],$O141,TabINPUT[VECTEUR],"Electricité"))*IF($B$4="Réel",1,HLOOKUP(V$139,Hypothèses!$A$25:$AA$28,3,0))</f>
        <v>0</v>
      </c>
      <c r="W141" s="594">
        <f ca="1">SUMIFS(INDIRECT("TabINPUT["&amp;W$139&amp;"]"),TabINPUT[SECTEUR1],$O141,TabINPUT[VECTEUR],"Electricité")+(SUMIFS(INDIRECT("TabINPUT["&amp;W$139&amp;"]"),TabINPUT[SECTEUR1],$O141,TabINPUT[VECTEUR],"Total")-SUMIFS(INDIRECT("TabINPUT["&amp;W$139&amp;"]"),TabINPUT[SECTEUR1],$O141,TabINPUT[VECTEUR],"Electricité"))*IF($B$4="Réel",1,HLOOKUP(W$139,Hypothèses!$A$25:$AA$28,3,0))</f>
        <v>0</v>
      </c>
      <c r="X141" s="594">
        <f ca="1">SUMIFS(INDIRECT("TabINPUT["&amp;X$139&amp;"]"),TabINPUT[SECTEUR1],$O141,TabINPUT[VECTEUR],"Electricité")+(SUMIFS(INDIRECT("TabINPUT["&amp;X$139&amp;"]"),TabINPUT[SECTEUR1],$O141,TabINPUT[VECTEUR],"Total")-SUMIFS(INDIRECT("TabINPUT["&amp;X$139&amp;"]"),TabINPUT[SECTEUR1],$O141,TabINPUT[VECTEUR],"Electricité"))*IF($B$4="Réel",1,HLOOKUP(X$139,Hypothèses!$A$25:$AA$28,3,0))</f>
        <v>0</v>
      </c>
      <c r="Y141" s="594">
        <f ca="1">SUMIFS(INDIRECT("TabINPUT["&amp;Y$139&amp;"]"),TabINPUT[SECTEUR1],$O141,TabINPUT[VECTEUR],"Electricité")+(SUMIFS(INDIRECT("TabINPUT["&amp;Y$139&amp;"]"),TabINPUT[SECTEUR1],$O141,TabINPUT[VECTEUR],"Total")-SUMIFS(INDIRECT("TabINPUT["&amp;Y$139&amp;"]"),TabINPUT[SECTEUR1],$O141,TabINPUT[VECTEUR],"Electricité"))*IF($B$4="Réel",1,HLOOKUP(Y$139,Hypothèses!$A$25:$AA$28,3,0))</f>
        <v>0</v>
      </c>
      <c r="Z141" s="594">
        <f ca="1">SUMIFS(INDIRECT("TabINPUT["&amp;Z$139&amp;"]"),TabINPUT[SECTEUR1],$O141,TabINPUT[VECTEUR],"Electricité")+(SUMIFS(INDIRECT("TabINPUT["&amp;Z$139&amp;"]"),TabINPUT[SECTEUR1],$O141,TabINPUT[VECTEUR],"Total")-SUMIFS(INDIRECT("TabINPUT["&amp;Z$139&amp;"]"),TabINPUT[SECTEUR1],$O141,TabINPUT[VECTEUR],"Electricité"))*IF($B$4="Réel",1,HLOOKUP(Z$139,Hypothèses!$A$25:$AA$28,3,0))</f>
        <v>0</v>
      </c>
      <c r="AA141" s="1488">
        <f ca="1">SUMIFS(INDIRECT("TabINPUT["&amp;AA$139&amp;"]"),TabINPUT[SECTEUR1],$O141,TabINPUT[VECTEUR],"Electricité")+(SUMIFS(INDIRECT("TabINPUT["&amp;AA$139&amp;"]"),TabINPUT[SECTEUR1],$O141,TabINPUT[VECTEUR],"Total")-SUMIFS(INDIRECT("TabINPUT["&amp;AA$139&amp;"]"),TabINPUT[SECTEUR1],$O141,TabINPUT[VECTEUR],"Electricité"))*IF($B$4="Réel",1,HLOOKUP(AA$139,Hypothèses!$A$25:$AA$28,3,0))</f>
        <v>0</v>
      </c>
      <c r="AB141" s="1488">
        <f ca="1">SUMIFS(INDIRECT("TabINPUT["&amp;AB$139&amp;"]"),TabINPUT[SECTEUR1],$O141,TabINPUT[VECTEUR],"Electricité")+(SUMIFS(INDIRECT("TabINPUT["&amp;AB$139&amp;"]"),TabINPUT[SECTEUR1],$O141,TabINPUT[VECTEUR],"Total")-SUMIFS(INDIRECT("TabINPUT["&amp;AB$139&amp;"]"),TabINPUT[SECTEUR1],$O141,TabINPUT[VECTEUR],"Electricité"))*IF($B$4="Réel",1,HLOOKUP(AB$139,Hypothèses!$A$25:$AA$28,3,0))</f>
        <v>0</v>
      </c>
      <c r="AC141" s="1488">
        <f ca="1">SUMIFS(INDIRECT("TabINPUT["&amp;AC$139&amp;"]"),TabINPUT[SECTEUR1],$O141,TabINPUT[VECTEUR],"Electricité")+(SUMIFS(INDIRECT("TabINPUT["&amp;AC$139&amp;"]"),TabINPUT[SECTEUR1],$O141,TabINPUT[VECTEUR],"Total")-SUMIFS(INDIRECT("TabINPUT["&amp;AC$139&amp;"]"),TabINPUT[SECTEUR1],$O141,TabINPUT[VECTEUR],"Electricité"))*IF($B$4="Réel",1,HLOOKUP(AC$139,Hypothèses!$A$25:$AA$28,3,0))</f>
        <v>0</v>
      </c>
      <c r="AD141" s="1443"/>
      <c r="AE141" s="105"/>
      <c r="AF141" s="70"/>
      <c r="AG141" s="70"/>
      <c r="AH141" s="70"/>
      <c r="AI141" s="640"/>
      <c r="AJ141" s="70"/>
      <c r="AK141" s="600"/>
      <c r="AL141" s="105"/>
      <c r="AM141" s="70"/>
      <c r="AN141" s="70"/>
      <c r="AO141" s="70"/>
      <c r="AP141" s="640"/>
      <c r="AQ141" s="70"/>
      <c r="AR141" s="600"/>
      <c r="AS141" s="600"/>
      <c r="AT141" s="600"/>
      <c r="AU141" s="600"/>
      <c r="AV141" s="600"/>
      <c r="AW141" s="600"/>
      <c r="AX141" s="600"/>
      <c r="AY141" s="600"/>
      <c r="AZ141" s="600"/>
      <c r="BA141" s="600"/>
      <c r="BB141" s="600"/>
      <c r="BC141" s="600"/>
      <c r="BD141" s="600"/>
      <c r="BE141" s="600"/>
      <c r="BF141" s="600"/>
      <c r="BG141" s="600"/>
      <c r="BH141" s="600"/>
      <c r="BI141" s="600"/>
      <c r="BJ141" s="600"/>
      <c r="BK141" s="600"/>
      <c r="BL141" s="600"/>
      <c r="BM141" s="600"/>
      <c r="BN141" s="600"/>
      <c r="BO141" s="600"/>
      <c r="BP141" s="600"/>
      <c r="BQ141" s="600"/>
      <c r="BR141" s="600"/>
      <c r="BS141" s="600"/>
      <c r="BT141" s="600"/>
      <c r="BU141" s="600"/>
      <c r="BV141" s="600"/>
      <c r="BW141" s="600"/>
      <c r="BX141" s="600"/>
      <c r="BY141" s="600"/>
      <c r="BZ141" s="600"/>
      <c r="CA141" s="600"/>
      <c r="CB141" s="600"/>
      <c r="CC141" s="600"/>
      <c r="CD141" s="105"/>
      <c r="CE141" s="70"/>
      <c r="CF141" s="70"/>
      <c r="CG141" s="70"/>
      <c r="CH141" s="640"/>
      <c r="CI141" s="70"/>
      <c r="CJ141" s="600"/>
      <c r="CK141" s="105"/>
      <c r="CL141" s="70"/>
      <c r="CM141" s="70"/>
      <c r="CN141" s="70"/>
      <c r="CO141" s="640"/>
      <c r="CP141" s="70"/>
      <c r="CQ141" s="600"/>
      <c r="CR141" s="105"/>
      <c r="CS141" s="70"/>
      <c r="CT141" s="70"/>
      <c r="CU141" s="70"/>
      <c r="CV141" s="640"/>
      <c r="CW141" s="70"/>
      <c r="CX141" s="600"/>
      <c r="CY141" s="600"/>
      <c r="CZ141" s="600"/>
      <c r="DA141" s="105"/>
      <c r="DB141" s="70"/>
      <c r="DC141" s="70"/>
      <c r="DD141" s="70"/>
      <c r="DE141" s="640"/>
      <c r="DF141" s="70"/>
    </row>
    <row r="142" spans="1:110" ht="23.4">
      <c r="A142" s="106"/>
      <c r="B142" s="107"/>
      <c r="C142" s="107"/>
      <c r="D142" s="104"/>
      <c r="E142" s="102"/>
      <c r="F142" s="103"/>
      <c r="G142" s="103"/>
      <c r="H142" s="105"/>
      <c r="I142" s="70"/>
      <c r="J142" s="70"/>
      <c r="K142" s="70"/>
      <c r="L142" s="640"/>
      <c r="M142" s="70"/>
      <c r="N142" s="567"/>
      <c r="O142" s="595" t="s">
        <v>201</v>
      </c>
      <c r="P142" s="594">
        <f ca="1">SUMIFS(INDIRECT("TabINPUT["&amp;P$139&amp;"]"),TabINPUT[SECTEUR1],$O142,TabINPUT[VECTEUR],"Electricité")+(SUMIFS(INDIRECT("TabINPUT["&amp;P$139&amp;"]"),TabINPUT[SECTEUR1],$O142,TabINPUT[VECTEUR],"Total")-SUMIFS(INDIRECT("TabINPUT["&amp;P$139&amp;"]"),TabINPUT[SECTEUR1],$O142,TabINPUT[VECTEUR],"Electricité"))*IF($B$4="Réel",1,HLOOKUP(P$139,Hypothèses!$A$25:$AA$28,3,0))</f>
        <v>0</v>
      </c>
      <c r="Q142" s="594">
        <f ca="1">SUMIFS(INDIRECT("TabINPUT["&amp;Q$139&amp;"]"),TabINPUT[SECTEUR1],$O142,TabINPUT[VECTEUR],"Electricité")+(SUMIFS(INDIRECT("TabINPUT["&amp;Q$139&amp;"]"),TabINPUT[SECTEUR1],$O142,TabINPUT[VECTEUR],"Total")-SUMIFS(INDIRECT("TabINPUT["&amp;Q$139&amp;"]"),TabINPUT[SECTEUR1],$O142,TabINPUT[VECTEUR],"Electricité"))*IF($B$4="Réel",1,HLOOKUP(Q$139,Hypothèses!$A$25:$AA$28,3,0))</f>
        <v>0</v>
      </c>
      <c r="R142" s="594">
        <f ca="1">SUMIFS(INDIRECT("TabINPUT["&amp;R$139&amp;"]"),TabINPUT[SECTEUR1],$O142,TabINPUT[VECTEUR],"Electricité")+(SUMIFS(INDIRECT("TabINPUT["&amp;R$139&amp;"]"),TabINPUT[SECTEUR1],$O142,TabINPUT[VECTEUR],"Total")-SUMIFS(INDIRECT("TabINPUT["&amp;R$139&amp;"]"),TabINPUT[SECTEUR1],$O142,TabINPUT[VECTEUR],"Electricité"))*IF($B$4="Réel",1,HLOOKUP(R$139,Hypothèses!$A$25:$AA$28,3,0))</f>
        <v>0</v>
      </c>
      <c r="S142" s="594">
        <f ca="1">SUMIFS(INDIRECT("TabINPUT["&amp;S$139&amp;"]"),TabINPUT[SECTEUR1],$O142,TabINPUT[VECTEUR],"Electricité")+(SUMIFS(INDIRECT("TabINPUT["&amp;S$139&amp;"]"),TabINPUT[SECTEUR1],$O142,TabINPUT[VECTEUR],"Total")-SUMIFS(INDIRECT("TabINPUT["&amp;S$139&amp;"]"),TabINPUT[SECTEUR1],$O142,TabINPUT[VECTEUR],"Electricité"))*IF($B$4="Réel",1,HLOOKUP(S$139,Hypothèses!$A$25:$AA$28,3,0))</f>
        <v>0</v>
      </c>
      <c r="T142" s="594">
        <f ca="1">SUMIFS(INDIRECT("TabINPUT["&amp;T$139&amp;"]"),TabINPUT[SECTEUR1],$O142,TabINPUT[VECTEUR],"Electricité")+(SUMIFS(INDIRECT("TabINPUT["&amp;T$139&amp;"]"),TabINPUT[SECTEUR1],$O142,TabINPUT[VECTEUR],"Total")-SUMIFS(INDIRECT("TabINPUT["&amp;T$139&amp;"]"),TabINPUT[SECTEUR1],$O142,TabINPUT[VECTEUR],"Electricité"))*IF($B$4="Réel",1,HLOOKUP(T$139,Hypothèses!$A$25:$AA$28,3,0))</f>
        <v>0</v>
      </c>
      <c r="U142" s="594">
        <f ca="1">SUMIFS(INDIRECT("TabINPUT["&amp;U$139&amp;"]"),TabINPUT[SECTEUR1],$O142,TabINPUT[VECTEUR],"Electricité")+(SUMIFS(INDIRECT("TabINPUT["&amp;U$139&amp;"]"),TabINPUT[SECTEUR1],$O142,TabINPUT[VECTEUR],"Total")-SUMIFS(INDIRECT("TabINPUT["&amp;U$139&amp;"]"),TabINPUT[SECTEUR1],$O142,TabINPUT[VECTEUR],"Electricité"))*IF($B$4="Réel",1,HLOOKUP(U$139,Hypothèses!$A$25:$AA$28,3,0))</f>
        <v>0</v>
      </c>
      <c r="V142" s="594">
        <f ca="1">SUMIFS(INDIRECT("TabINPUT["&amp;V$139&amp;"]"),TabINPUT[SECTEUR1],$O142,TabINPUT[VECTEUR],"Electricité")+(SUMIFS(INDIRECT("TabINPUT["&amp;V$139&amp;"]"),TabINPUT[SECTEUR1],$O142,TabINPUT[VECTEUR],"Total")-SUMIFS(INDIRECT("TabINPUT["&amp;V$139&amp;"]"),TabINPUT[SECTEUR1],$O142,TabINPUT[VECTEUR],"Electricité"))*IF($B$4="Réel",1,HLOOKUP(V$139,Hypothèses!$A$25:$AA$28,3,0))</f>
        <v>0</v>
      </c>
      <c r="W142" s="594">
        <f ca="1">SUMIFS(INDIRECT("TabINPUT["&amp;W$139&amp;"]"),TabINPUT[SECTEUR1],$O142,TabINPUT[VECTEUR],"Electricité")+(SUMIFS(INDIRECT("TabINPUT["&amp;W$139&amp;"]"),TabINPUT[SECTEUR1],$O142,TabINPUT[VECTEUR],"Total")-SUMIFS(INDIRECT("TabINPUT["&amp;W$139&amp;"]"),TabINPUT[SECTEUR1],$O142,TabINPUT[VECTEUR],"Electricité"))*IF($B$4="Réel",1,HLOOKUP(W$139,Hypothèses!$A$25:$AA$28,3,0))</f>
        <v>0</v>
      </c>
      <c r="X142" s="594">
        <f ca="1">SUMIFS(INDIRECT("TabINPUT["&amp;X$139&amp;"]"),TabINPUT[SECTEUR1],$O142,TabINPUT[VECTEUR],"Electricité")+(SUMIFS(INDIRECT("TabINPUT["&amp;X$139&amp;"]"),TabINPUT[SECTEUR1],$O142,TabINPUT[VECTEUR],"Total")-SUMIFS(INDIRECT("TabINPUT["&amp;X$139&amp;"]"),TabINPUT[SECTEUR1],$O142,TabINPUT[VECTEUR],"Electricité"))*IF($B$4="Réel",1,HLOOKUP(X$139,Hypothèses!$A$25:$AA$28,3,0))</f>
        <v>0</v>
      </c>
      <c r="Y142" s="594">
        <f ca="1">SUMIFS(INDIRECT("TabINPUT["&amp;Y$139&amp;"]"),TabINPUT[SECTEUR1],$O142,TabINPUT[VECTEUR],"Electricité")+(SUMIFS(INDIRECT("TabINPUT["&amp;Y$139&amp;"]"),TabINPUT[SECTEUR1],$O142,TabINPUT[VECTEUR],"Total")-SUMIFS(INDIRECT("TabINPUT["&amp;Y$139&amp;"]"),TabINPUT[SECTEUR1],$O142,TabINPUT[VECTEUR],"Electricité"))*IF($B$4="Réel",1,HLOOKUP(Y$139,Hypothèses!$A$25:$AA$28,3,0))</f>
        <v>0</v>
      </c>
      <c r="Z142" s="594">
        <f ca="1">SUMIFS(INDIRECT("TabINPUT["&amp;Z$139&amp;"]"),TabINPUT[SECTEUR1],$O142,TabINPUT[VECTEUR],"Electricité")+(SUMIFS(INDIRECT("TabINPUT["&amp;Z$139&amp;"]"),TabINPUT[SECTEUR1],$O142,TabINPUT[VECTEUR],"Total")-SUMIFS(INDIRECT("TabINPUT["&amp;Z$139&amp;"]"),TabINPUT[SECTEUR1],$O142,TabINPUT[VECTEUR],"Electricité"))*IF($B$4="Réel",1,HLOOKUP(Z$139,Hypothèses!$A$25:$AA$28,3,0))</f>
        <v>0</v>
      </c>
      <c r="AA142" s="1488">
        <f ca="1">SUMIFS(INDIRECT("TabINPUT["&amp;AA$139&amp;"]"),TabINPUT[SECTEUR1],$O142,TabINPUT[VECTEUR],"Electricité")+(SUMIFS(INDIRECT("TabINPUT["&amp;AA$139&amp;"]"),TabINPUT[SECTEUR1],$O142,TabINPUT[VECTEUR],"Total")-SUMIFS(INDIRECT("TabINPUT["&amp;AA$139&amp;"]"),TabINPUT[SECTEUR1],$O142,TabINPUT[VECTEUR],"Electricité"))*IF($B$4="Réel",1,HLOOKUP(AA$139,Hypothèses!$A$25:$AA$28,3,0))</f>
        <v>0</v>
      </c>
      <c r="AB142" s="1488">
        <f ca="1">SUMIFS(INDIRECT("TabINPUT["&amp;AB$139&amp;"]"),TabINPUT[SECTEUR1],$O142,TabINPUT[VECTEUR],"Electricité")+(SUMIFS(INDIRECT("TabINPUT["&amp;AB$139&amp;"]"),TabINPUT[SECTEUR1],$O142,TabINPUT[VECTEUR],"Total")-SUMIFS(INDIRECT("TabINPUT["&amp;AB$139&amp;"]"),TabINPUT[SECTEUR1],$O142,TabINPUT[VECTEUR],"Electricité"))*IF($B$4="Réel",1,HLOOKUP(AB$139,Hypothèses!$A$25:$AA$28,3,0))</f>
        <v>0</v>
      </c>
      <c r="AC142" s="1488">
        <f ca="1">SUMIFS(INDIRECT("TabINPUT["&amp;AC$139&amp;"]"),TabINPUT[SECTEUR1],$O142,TabINPUT[VECTEUR],"Electricité")+(SUMIFS(INDIRECT("TabINPUT["&amp;AC$139&amp;"]"),TabINPUT[SECTEUR1],$O142,TabINPUT[VECTEUR],"Total")-SUMIFS(INDIRECT("TabINPUT["&amp;AC$139&amp;"]"),TabINPUT[SECTEUR1],$O142,TabINPUT[VECTEUR],"Electricité"))*IF($B$4="Réel",1,HLOOKUP(AC$139,Hypothèses!$A$25:$AA$28,3,0))</f>
        <v>0</v>
      </c>
      <c r="AD142" s="1443"/>
      <c r="AE142" s="105"/>
      <c r="AF142" s="70"/>
      <c r="AG142" s="70"/>
      <c r="AH142" s="70"/>
      <c r="AI142" s="640"/>
      <c r="AJ142" s="70"/>
      <c r="AK142" s="600"/>
      <c r="AL142" s="105"/>
      <c r="AM142" s="70"/>
      <c r="AN142" s="70"/>
      <c r="AO142" s="70"/>
      <c r="AP142" s="640"/>
      <c r="AQ142" s="70"/>
      <c r="AR142" s="600"/>
      <c r="AS142" s="600"/>
      <c r="AT142" s="600"/>
      <c r="AU142" s="600"/>
      <c r="AV142" s="600"/>
      <c r="AW142" s="600"/>
      <c r="AX142" s="600"/>
      <c r="AY142" s="600"/>
      <c r="AZ142" s="600"/>
      <c r="BA142" s="600"/>
      <c r="BB142" s="600"/>
      <c r="BC142" s="600"/>
      <c r="BD142" s="600"/>
      <c r="BE142" s="600"/>
      <c r="BF142" s="600"/>
      <c r="BG142" s="600"/>
      <c r="BH142" s="600"/>
      <c r="BI142" s="600"/>
      <c r="BJ142" s="600"/>
      <c r="BK142" s="600"/>
      <c r="BL142" s="600"/>
      <c r="BM142" s="600"/>
      <c r="BN142" s="600"/>
      <c r="BO142" s="600"/>
      <c r="BP142" s="600"/>
      <c r="BQ142" s="600"/>
      <c r="BR142" s="600"/>
      <c r="BS142" s="600"/>
      <c r="BT142" s="600"/>
      <c r="BU142" s="600"/>
      <c r="BV142" s="600"/>
      <c r="BW142" s="600"/>
      <c r="BX142" s="600"/>
      <c r="BY142" s="600"/>
      <c r="BZ142" s="600"/>
      <c r="CA142" s="600"/>
      <c r="CB142" s="600"/>
      <c r="CC142" s="600"/>
      <c r="CD142" s="105"/>
      <c r="CE142" s="70"/>
      <c r="CF142" s="70"/>
      <c r="CG142" s="70"/>
      <c r="CH142" s="640"/>
      <c r="CI142" s="70"/>
      <c r="CJ142" s="600"/>
      <c r="CK142" s="105"/>
      <c r="CL142" s="70"/>
      <c r="CM142" s="70"/>
      <c r="CN142" s="70"/>
      <c r="CO142" s="640"/>
      <c r="CP142" s="70"/>
      <c r="CQ142" s="600"/>
      <c r="CR142" s="105"/>
      <c r="CS142" s="70"/>
      <c r="CT142" s="70"/>
      <c r="CU142" s="70"/>
      <c r="CV142" s="640"/>
      <c r="CW142" s="70"/>
      <c r="CX142" s="600"/>
      <c r="CY142" s="600"/>
      <c r="CZ142" s="600"/>
      <c r="DA142" s="105"/>
      <c r="DB142" s="70"/>
      <c r="DC142" s="70"/>
      <c r="DD142" s="70"/>
      <c r="DE142" s="640"/>
      <c r="DF142" s="70"/>
    </row>
    <row r="143" spans="1:110" ht="23.4">
      <c r="A143" s="106"/>
      <c r="B143" s="107"/>
      <c r="C143" s="107"/>
      <c r="D143" s="104"/>
      <c r="E143" s="102"/>
      <c r="F143" s="103"/>
      <c r="G143" s="103"/>
      <c r="H143" s="105"/>
      <c r="I143" s="70"/>
      <c r="J143" s="70"/>
      <c r="K143" s="70"/>
      <c r="L143" s="640"/>
      <c r="M143" s="70"/>
      <c r="N143" s="567"/>
      <c r="O143" s="595" t="s">
        <v>202</v>
      </c>
      <c r="P143" s="594">
        <f ca="1">SUMIFS(INDIRECT("TabINPUT["&amp;P$139&amp;"]"),TabINPUT[SECTEUR1],$O143,TabINPUT[VECTEUR],"Total")</f>
        <v>0</v>
      </c>
      <c r="Q143" s="594">
        <f ca="1">SUMIFS(INDIRECT("TabINPUT["&amp;Q$139&amp;"]"),TabINPUT[SECTEUR1],$O143,TabINPUT[VECTEUR],"Total")</f>
        <v>0</v>
      </c>
      <c r="R143" s="594">
        <f ca="1">SUMIFS(INDIRECT("TabINPUT["&amp;R$139&amp;"]"),TabINPUT[SECTEUR1],$O143,TabINPUT[VECTEUR],"Total")</f>
        <v>0</v>
      </c>
      <c r="S143" s="594">
        <f ca="1">SUMIFS(INDIRECT("TabINPUT["&amp;S$139&amp;"]"),TabINPUT[SECTEUR1],$O143,TabINPUT[VECTEUR],"Total")</f>
        <v>0</v>
      </c>
      <c r="T143" s="594">
        <f ca="1">SUMIFS(INDIRECT("TabINPUT["&amp;T$139&amp;"]"),TabINPUT[SECTEUR1],$O143,TabINPUT[VECTEUR],"Total")</f>
        <v>0</v>
      </c>
      <c r="U143" s="594">
        <f ca="1">SUMIFS(INDIRECT("TabINPUT["&amp;U$139&amp;"]"),TabINPUT[SECTEUR1],$O143,TabINPUT[VECTEUR],"Total")</f>
        <v>0</v>
      </c>
      <c r="V143" s="594">
        <f ca="1">SUMIFS(INDIRECT("TabINPUT["&amp;V$139&amp;"]"),TabINPUT[SECTEUR1],$O143,TabINPUT[VECTEUR],"Total")</f>
        <v>0</v>
      </c>
      <c r="W143" s="594">
        <f ca="1">SUMIFS(INDIRECT("TabINPUT["&amp;W$139&amp;"]"),TabINPUT[SECTEUR1],$O143,TabINPUT[VECTEUR],"Total")</f>
        <v>0</v>
      </c>
      <c r="X143" s="594">
        <f ca="1">SUMIFS(INDIRECT("TabINPUT["&amp;X$139&amp;"]"),TabINPUT[SECTEUR1],$O143,TabINPUT[VECTEUR],"Total")</f>
        <v>0</v>
      </c>
      <c r="Y143" s="594">
        <f ca="1">SUMIFS(INDIRECT("TabINPUT["&amp;Y$139&amp;"]"),TabINPUT[SECTEUR1],$O143,TabINPUT[VECTEUR],"Total")</f>
        <v>0</v>
      </c>
      <c r="Z143" s="594">
        <f ca="1">SUMIFS(INDIRECT("TabINPUT["&amp;Z$139&amp;"]"),TabINPUT[SECTEUR1],$O143,TabINPUT[VECTEUR],"Total")</f>
        <v>0</v>
      </c>
      <c r="AA143" s="1488">
        <f ca="1">SUMIFS(INDIRECT("TabINPUT["&amp;AA$139&amp;"]"),TabINPUT[SECTEUR1],$O143,TabINPUT[VECTEUR],"Total")</f>
        <v>0</v>
      </c>
      <c r="AB143" s="1488">
        <f ca="1">SUMIFS(INDIRECT("TabINPUT["&amp;AB$139&amp;"]"),TabINPUT[SECTEUR1],$O143,TabINPUT[VECTEUR],"Total")</f>
        <v>0</v>
      </c>
      <c r="AC143" s="1488">
        <f ca="1">SUMIFS(INDIRECT("TabINPUT["&amp;AC$139&amp;"]"),TabINPUT[SECTEUR1],$O143,TabINPUT[VECTEUR],"Total")</f>
        <v>0</v>
      </c>
      <c r="AD143" s="1443"/>
      <c r="AE143" s="105"/>
      <c r="AF143" s="70"/>
      <c r="AG143" s="70"/>
      <c r="AH143" s="70"/>
      <c r="AI143" s="640"/>
      <c r="AJ143" s="70"/>
      <c r="AK143" s="600"/>
      <c r="AL143" s="105"/>
      <c r="AM143" s="70"/>
      <c r="AN143" s="70"/>
      <c r="AO143" s="70"/>
      <c r="AP143" s="640"/>
      <c r="AQ143" s="70"/>
      <c r="AR143" s="600"/>
      <c r="AS143" s="600"/>
      <c r="AT143" s="600"/>
      <c r="AU143" s="600"/>
      <c r="AV143" s="600"/>
      <c r="AW143" s="600"/>
      <c r="AX143" s="600"/>
      <c r="AY143" s="600"/>
      <c r="AZ143" s="600"/>
      <c r="BA143" s="600"/>
      <c r="BB143" s="600"/>
      <c r="BC143" s="600"/>
      <c r="BD143" s="600"/>
      <c r="BE143" s="600"/>
      <c r="BF143" s="600"/>
      <c r="BG143" s="600"/>
      <c r="BH143" s="600"/>
      <c r="BI143" s="600"/>
      <c r="BJ143" s="600"/>
      <c r="BK143" s="600"/>
      <c r="BL143" s="600"/>
      <c r="BM143" s="600"/>
      <c r="BN143" s="600"/>
      <c r="BO143" s="600"/>
      <c r="BP143" s="600"/>
      <c r="BQ143" s="600"/>
      <c r="BR143" s="600"/>
      <c r="BS143" s="600"/>
      <c r="BT143" s="600"/>
      <c r="BU143" s="600"/>
      <c r="BV143" s="600"/>
      <c r="BW143" s="600"/>
      <c r="BX143" s="600"/>
      <c r="BY143" s="600"/>
      <c r="BZ143" s="600"/>
      <c r="CA143" s="600"/>
      <c r="CB143" s="600"/>
      <c r="CC143" s="600"/>
      <c r="CD143" s="105"/>
      <c r="CE143" s="70"/>
      <c r="CF143" s="70"/>
      <c r="CG143" s="70"/>
      <c r="CH143" s="640"/>
      <c r="CI143" s="70"/>
      <c r="CJ143" s="600"/>
      <c r="CK143" s="105"/>
      <c r="CL143" s="70"/>
      <c r="CM143" s="70"/>
      <c r="CN143" s="70"/>
      <c r="CO143" s="640"/>
      <c r="CP143" s="70"/>
      <c r="CQ143" s="600"/>
      <c r="CR143" s="105"/>
      <c r="CS143" s="70"/>
      <c r="CT143" s="70"/>
      <c r="CU143" s="70"/>
      <c r="CV143" s="640"/>
      <c r="CW143" s="70"/>
      <c r="CX143" s="600"/>
      <c r="CY143" s="600"/>
      <c r="CZ143" s="600"/>
      <c r="DA143" s="105"/>
      <c r="DB143" s="70"/>
      <c r="DC143" s="70"/>
      <c r="DD143" s="70"/>
      <c r="DE143" s="640"/>
      <c r="DF143" s="70"/>
    </row>
    <row r="144" spans="1:110" ht="23.4">
      <c r="A144" s="106"/>
      <c r="B144" s="107"/>
      <c r="C144" s="107"/>
      <c r="D144" s="104"/>
      <c r="E144" s="102"/>
      <c r="F144" s="103"/>
      <c r="G144" s="103"/>
      <c r="H144" s="105"/>
      <c r="I144" s="70"/>
      <c r="J144" s="70"/>
      <c r="K144" s="70"/>
      <c r="L144" s="640"/>
      <c r="M144" s="70"/>
      <c r="N144" s="567"/>
      <c r="O144" s="595" t="s">
        <v>203</v>
      </c>
      <c r="P144" s="594">
        <f ca="1">SUMIFS(INDIRECT("TabINPUT["&amp;P$139&amp;"]"),TabINPUT[SECTEUR1],$O144,TabINPUT[VECTEUR],"Total")/2</f>
        <v>0</v>
      </c>
      <c r="Q144" s="594">
        <f ca="1">SUMIFS(INDIRECT("TabINPUT["&amp;Q$139&amp;"]"),TabINPUT[SECTEUR1],$O144,TabINPUT[VECTEUR],"Total")/2</f>
        <v>0</v>
      </c>
      <c r="R144" s="594">
        <f ca="1">SUMIFS(INDIRECT("TabINPUT["&amp;R$139&amp;"]"),TabINPUT[SECTEUR1],$O144,TabINPUT[VECTEUR],"Total")/2</f>
        <v>0</v>
      </c>
      <c r="S144" s="594">
        <f ca="1">SUMIFS(INDIRECT("TabINPUT["&amp;S$139&amp;"]"),TabINPUT[SECTEUR1],$O144,TabINPUT[VECTEUR],"Total")/2</f>
        <v>0</v>
      </c>
      <c r="T144" s="594">
        <f ca="1">SUMIFS(INDIRECT("TabINPUT["&amp;T$139&amp;"]"),TabINPUT[SECTEUR1],$O144,TabINPUT[VECTEUR],"Total")/2</f>
        <v>0</v>
      </c>
      <c r="U144" s="594">
        <f ca="1">SUMIFS(INDIRECT("TabINPUT["&amp;U$139&amp;"]"),TabINPUT[SECTEUR1],$O144,TabINPUT[VECTEUR],"Total")/2</f>
        <v>0</v>
      </c>
      <c r="V144" s="594">
        <f ca="1">SUMIFS(INDIRECT("TabINPUT["&amp;V$139&amp;"]"),TabINPUT[SECTEUR1],$O144,TabINPUT[VECTEUR],"Total")/2</f>
        <v>0</v>
      </c>
      <c r="W144" s="594">
        <f ca="1">SUMIFS(INDIRECT("TabINPUT["&amp;W$139&amp;"]"),TabINPUT[SECTEUR1],$O144,TabINPUT[VECTEUR],"Total")/2</f>
        <v>0</v>
      </c>
      <c r="X144" s="594">
        <f ca="1">SUMIFS(INDIRECT("TabINPUT["&amp;X$139&amp;"]"),TabINPUT[SECTEUR1],$O144,TabINPUT[VECTEUR],"Total")/2</f>
        <v>0</v>
      </c>
      <c r="Y144" s="594">
        <f ca="1">SUMIFS(INDIRECT("TabINPUT["&amp;Y$139&amp;"]"),TabINPUT[SECTEUR1],$O144,TabINPUT[VECTEUR],"Total")/2</f>
        <v>0</v>
      </c>
      <c r="Z144" s="594">
        <f ca="1">SUMIFS(INDIRECT("TabINPUT["&amp;Z$139&amp;"]"),TabINPUT[SECTEUR1],$O144,TabINPUT[VECTEUR],"Total")/2</f>
        <v>0</v>
      </c>
      <c r="AA144" s="1488">
        <f ca="1">SUMIFS(INDIRECT("TabINPUT["&amp;AA$139&amp;"]"),TabINPUT[SECTEUR1],$O144,TabINPUT[VECTEUR],"Total")/2</f>
        <v>0</v>
      </c>
      <c r="AB144" s="1488">
        <f ca="1">SUMIFS(INDIRECT("TabINPUT["&amp;AB$139&amp;"]"),TabINPUT[SECTEUR1],$O144,TabINPUT[VECTEUR],"Total")/2</f>
        <v>0</v>
      </c>
      <c r="AC144" s="1488">
        <f ca="1">SUMIFS(INDIRECT("TabINPUT["&amp;AC$139&amp;"]"),TabINPUT[SECTEUR1],$O144,TabINPUT[VECTEUR],"Total")/2</f>
        <v>0</v>
      </c>
      <c r="AD144" s="1443"/>
      <c r="AE144" s="105"/>
      <c r="AF144" s="70"/>
      <c r="AG144" s="70"/>
      <c r="AH144" s="70"/>
      <c r="AI144" s="640"/>
      <c r="AJ144" s="70"/>
      <c r="AK144" s="600"/>
      <c r="AL144" s="105"/>
      <c r="AM144" s="70"/>
      <c r="AN144" s="70"/>
      <c r="AO144" s="70"/>
      <c r="AP144" s="640"/>
      <c r="AQ144" s="70"/>
      <c r="AR144" s="600"/>
      <c r="AS144" s="600"/>
      <c r="AT144" s="600"/>
      <c r="AU144" s="600"/>
      <c r="AV144" s="600"/>
      <c r="AW144" s="600"/>
      <c r="AX144" s="600"/>
      <c r="AY144" s="600"/>
      <c r="AZ144" s="600"/>
      <c r="BA144" s="600"/>
      <c r="BB144" s="600"/>
      <c r="BC144" s="600"/>
      <c r="BD144" s="600"/>
      <c r="BE144" s="600"/>
      <c r="BF144" s="600"/>
      <c r="BG144" s="600"/>
      <c r="BH144" s="600"/>
      <c r="BI144" s="600"/>
      <c r="BJ144" s="600"/>
      <c r="BK144" s="600"/>
      <c r="BL144" s="600"/>
      <c r="BM144" s="600"/>
      <c r="BN144" s="600"/>
      <c r="BO144" s="600"/>
      <c r="BP144" s="600"/>
      <c r="BQ144" s="600"/>
      <c r="BR144" s="600"/>
      <c r="BS144" s="600"/>
      <c r="BT144" s="600"/>
      <c r="BU144" s="600"/>
      <c r="BV144" s="600"/>
      <c r="BW144" s="600"/>
      <c r="BX144" s="600"/>
      <c r="BY144" s="600"/>
      <c r="BZ144" s="600"/>
      <c r="CA144" s="600"/>
      <c r="CB144" s="600"/>
      <c r="CC144" s="600"/>
      <c r="CD144" s="105"/>
      <c r="CE144" s="70"/>
      <c r="CF144" s="70"/>
      <c r="CG144" s="70"/>
      <c r="CH144" s="640"/>
      <c r="CI144" s="70"/>
      <c r="CJ144" s="600"/>
      <c r="CK144" s="105"/>
      <c r="CL144" s="70"/>
      <c r="CM144" s="70"/>
      <c r="CN144" s="70"/>
      <c r="CO144" s="640"/>
      <c r="CP144" s="70"/>
      <c r="CQ144" s="600"/>
      <c r="CR144" s="105"/>
      <c r="CS144" s="70"/>
      <c r="CT144" s="70"/>
      <c r="CU144" s="70"/>
      <c r="CV144" s="640"/>
      <c r="CW144" s="70"/>
      <c r="CX144" s="600"/>
      <c r="CY144" s="600"/>
      <c r="CZ144" s="600"/>
      <c r="DA144" s="105"/>
      <c r="DB144" s="70"/>
      <c r="DC144" s="70"/>
      <c r="DD144" s="70"/>
      <c r="DE144" s="640"/>
      <c r="DF144" s="70"/>
    </row>
    <row r="145" spans="1:110" ht="23.4">
      <c r="A145" s="106"/>
      <c r="B145" s="107"/>
      <c r="C145" s="107"/>
      <c r="D145" s="104"/>
      <c r="E145" s="102"/>
      <c r="F145" s="103"/>
      <c r="G145" s="103"/>
      <c r="H145" s="105"/>
      <c r="I145" s="70"/>
      <c r="J145" s="70"/>
      <c r="K145" s="70"/>
      <c r="L145" s="640"/>
      <c r="M145" s="70"/>
      <c r="N145" s="567"/>
      <c r="O145" s="592"/>
      <c r="P145" s="592"/>
      <c r="Q145" s="485"/>
      <c r="R145" s="485"/>
      <c r="S145" s="485"/>
      <c r="T145" s="485"/>
      <c r="U145" s="485"/>
      <c r="V145" s="485"/>
      <c r="W145" s="485"/>
      <c r="X145" s="485"/>
      <c r="Y145" s="485"/>
      <c r="Z145" s="485"/>
      <c r="AA145" s="485"/>
      <c r="AB145" s="485"/>
      <c r="AC145" s="485"/>
      <c r="AD145" s="1118"/>
      <c r="AE145" s="105"/>
      <c r="AF145" s="70"/>
      <c r="AG145" s="70"/>
      <c r="AH145" s="70"/>
      <c r="AI145" s="640"/>
      <c r="AJ145" s="70"/>
      <c r="AK145" s="600"/>
      <c r="AL145" s="105"/>
      <c r="AM145" s="70"/>
      <c r="AN145" s="70"/>
      <c r="AO145" s="70"/>
      <c r="AP145" s="640"/>
      <c r="AQ145" s="70"/>
      <c r="AR145" s="600"/>
      <c r="AS145" s="600"/>
      <c r="AT145" s="600"/>
      <c r="AU145" s="600"/>
      <c r="AV145" s="600"/>
      <c r="AW145" s="600"/>
      <c r="AX145" s="600"/>
      <c r="AY145" s="600"/>
      <c r="AZ145" s="600"/>
      <c r="BA145" s="600"/>
      <c r="BB145" s="600"/>
      <c r="BC145" s="600"/>
      <c r="BD145" s="600"/>
      <c r="BE145" s="600"/>
      <c r="BF145" s="600"/>
      <c r="BG145" s="600"/>
      <c r="BH145" s="600"/>
      <c r="BI145" s="600"/>
      <c r="BJ145" s="600"/>
      <c r="BK145" s="600"/>
      <c r="BL145" s="600"/>
      <c r="BM145" s="600"/>
      <c r="BN145" s="600"/>
      <c r="BO145" s="600"/>
      <c r="BP145" s="600"/>
      <c r="BQ145" s="600"/>
      <c r="BR145" s="600"/>
      <c r="BS145" s="600"/>
      <c r="BT145" s="600"/>
      <c r="BU145" s="600"/>
      <c r="BV145" s="600"/>
      <c r="BW145" s="600"/>
      <c r="BX145" s="600"/>
      <c r="BY145" s="600"/>
      <c r="BZ145" s="600"/>
      <c r="CA145" s="600"/>
      <c r="CB145" s="600"/>
      <c r="CC145" s="600"/>
      <c r="CD145" s="105"/>
      <c r="CE145" s="70"/>
      <c r="CF145" s="70"/>
      <c r="CG145" s="70"/>
      <c r="CH145" s="640"/>
      <c r="CI145" s="70"/>
      <c r="CJ145" s="600"/>
      <c r="CK145" s="105"/>
      <c r="CL145" s="70"/>
      <c r="CM145" s="70"/>
      <c r="CN145" s="70"/>
      <c r="CO145" s="640"/>
      <c r="CP145" s="70"/>
      <c r="CQ145" s="600"/>
      <c r="CR145" s="105"/>
      <c r="CS145" s="70"/>
      <c r="CT145" s="70"/>
      <c r="CU145" s="70"/>
      <c r="CV145" s="640"/>
      <c r="CW145" s="70"/>
      <c r="CX145" s="600"/>
      <c r="CY145" s="600"/>
      <c r="CZ145" s="600"/>
      <c r="DA145" s="105"/>
      <c r="DB145" s="70"/>
      <c r="DC145" s="70"/>
      <c r="DD145" s="70"/>
      <c r="DE145" s="640"/>
      <c r="DF145" s="70"/>
    </row>
    <row r="146" spans="1:110" ht="23.4">
      <c r="A146" s="106"/>
      <c r="B146" s="107"/>
      <c r="C146" s="107"/>
      <c r="D146" s="104"/>
      <c r="E146" s="102"/>
      <c r="F146" s="103"/>
      <c r="G146" s="103"/>
      <c r="H146" s="105"/>
      <c r="I146" s="70"/>
      <c r="J146" s="70"/>
      <c r="K146" s="70"/>
      <c r="L146" s="640"/>
      <c r="M146" s="70"/>
      <c r="N146" s="567"/>
      <c r="O146" s="592"/>
      <c r="P146" s="592"/>
      <c r="Q146" s="485"/>
      <c r="R146" s="485"/>
      <c r="S146" s="485"/>
      <c r="T146" s="485"/>
      <c r="U146" s="485"/>
      <c r="V146" s="485"/>
      <c r="W146" s="485"/>
      <c r="X146" s="485"/>
      <c r="Y146" s="485"/>
      <c r="Z146" s="485"/>
      <c r="AA146" s="485"/>
      <c r="AB146" s="485"/>
      <c r="AC146" s="485"/>
      <c r="AD146" s="1118"/>
      <c r="AE146" s="105"/>
      <c r="AF146" s="70"/>
      <c r="AG146" s="70"/>
      <c r="AH146" s="70"/>
      <c r="AI146" s="640"/>
      <c r="AJ146" s="70"/>
      <c r="AK146" s="600"/>
      <c r="AL146" s="105"/>
      <c r="AM146" s="70"/>
      <c r="AN146" s="70"/>
      <c r="AO146" s="70"/>
      <c r="AP146" s="640"/>
      <c r="AQ146" s="70"/>
      <c r="AR146" s="600"/>
      <c r="AS146" s="600"/>
      <c r="AT146" s="600"/>
      <c r="AU146" s="600"/>
      <c r="AV146" s="600"/>
      <c r="AW146" s="600"/>
      <c r="AX146" s="600"/>
      <c r="AY146" s="600"/>
      <c r="AZ146" s="600"/>
      <c r="BA146" s="600"/>
      <c r="BB146" s="600"/>
      <c r="BC146" s="600"/>
      <c r="BD146" s="600"/>
      <c r="BE146" s="600"/>
      <c r="BF146" s="600"/>
      <c r="BG146" s="600"/>
      <c r="BH146" s="600"/>
      <c r="BI146" s="600"/>
      <c r="BJ146" s="600"/>
      <c r="BK146" s="600"/>
      <c r="BL146" s="600"/>
      <c r="BM146" s="600"/>
      <c r="BN146" s="600"/>
      <c r="BO146" s="600"/>
      <c r="BP146" s="600"/>
      <c r="BQ146" s="600"/>
      <c r="BR146" s="600"/>
      <c r="BS146" s="600"/>
      <c r="BT146" s="600"/>
      <c r="BU146" s="600"/>
      <c r="BV146" s="600"/>
      <c r="BW146" s="600"/>
      <c r="BX146" s="600"/>
      <c r="BY146" s="600"/>
      <c r="BZ146" s="600"/>
      <c r="CA146" s="600"/>
      <c r="CB146" s="600"/>
      <c r="CC146" s="600"/>
      <c r="CD146" s="105"/>
      <c r="CE146" s="70"/>
      <c r="CF146" s="70"/>
      <c r="CG146" s="70"/>
      <c r="CH146" s="640"/>
      <c r="CI146" s="70"/>
      <c r="CJ146" s="600"/>
      <c r="CK146" s="105"/>
      <c r="CL146" s="70"/>
      <c r="CM146" s="70"/>
      <c r="CN146" s="70"/>
      <c r="CO146" s="640"/>
      <c r="CP146" s="70"/>
      <c r="CQ146" s="600"/>
      <c r="CR146" s="105"/>
      <c r="CS146" s="70"/>
      <c r="CT146" s="70"/>
      <c r="CU146" s="70"/>
      <c r="CV146" s="640"/>
      <c r="CW146" s="70"/>
      <c r="CX146" s="600"/>
      <c r="CY146" s="600"/>
      <c r="CZ146" s="600"/>
      <c r="DA146" s="105"/>
      <c r="DB146" s="70"/>
      <c r="DC146" s="70"/>
      <c r="DD146" s="70"/>
      <c r="DE146" s="640"/>
      <c r="DF146" s="70"/>
    </row>
    <row r="147" spans="1:110" ht="23.4">
      <c r="A147" s="106"/>
      <c r="B147" s="107"/>
      <c r="C147" s="107"/>
      <c r="D147" s="104"/>
      <c r="E147" s="102"/>
      <c r="F147" s="103"/>
      <c r="G147" s="103"/>
      <c r="H147" s="105"/>
      <c r="I147" s="70"/>
      <c r="J147" s="70"/>
      <c r="K147" s="70"/>
      <c r="L147" s="640"/>
      <c r="M147" s="70"/>
      <c r="N147" s="567"/>
      <c r="O147" s="592"/>
      <c r="P147" s="592"/>
      <c r="Q147" s="485"/>
      <c r="R147" s="485"/>
      <c r="S147" s="485"/>
      <c r="T147" s="485"/>
      <c r="U147" s="485"/>
      <c r="V147" s="485"/>
      <c r="W147" s="485"/>
      <c r="X147" s="485"/>
      <c r="Y147" s="485"/>
      <c r="Z147" s="485"/>
      <c r="AA147" s="485"/>
      <c r="AB147" s="485"/>
      <c r="AC147" s="485"/>
      <c r="AD147" s="1118"/>
      <c r="AE147" s="105"/>
      <c r="AF147" s="70"/>
      <c r="AG147" s="70"/>
      <c r="AH147" s="70"/>
      <c r="AI147" s="640"/>
      <c r="AJ147" s="70"/>
      <c r="AK147" s="600"/>
      <c r="AL147" s="105"/>
      <c r="AM147" s="70"/>
      <c r="AN147" s="70"/>
      <c r="AO147" s="70"/>
      <c r="AP147" s="640"/>
      <c r="AQ147" s="70"/>
      <c r="AR147" s="600"/>
      <c r="AS147" s="600"/>
      <c r="AT147" s="600"/>
      <c r="AU147" s="600"/>
      <c r="AV147" s="600"/>
      <c r="AW147" s="600"/>
      <c r="AX147" s="600"/>
      <c r="AY147" s="600"/>
      <c r="AZ147" s="600"/>
      <c r="BA147" s="600"/>
      <c r="BB147" s="600"/>
      <c r="BC147" s="600"/>
      <c r="BD147" s="600"/>
      <c r="BE147" s="600"/>
      <c r="BF147" s="600"/>
      <c r="BG147" s="600"/>
      <c r="BH147" s="600"/>
      <c r="BI147" s="600"/>
      <c r="BJ147" s="600"/>
      <c r="BK147" s="600"/>
      <c r="BL147" s="600"/>
      <c r="BM147" s="600"/>
      <c r="BN147" s="600"/>
      <c r="BO147" s="600"/>
      <c r="BP147" s="600"/>
      <c r="BQ147" s="600"/>
      <c r="BR147" s="600"/>
      <c r="BS147" s="600"/>
      <c r="BT147" s="600"/>
      <c r="BU147" s="600"/>
      <c r="BV147" s="600"/>
      <c r="BW147" s="600"/>
      <c r="BX147" s="600"/>
      <c r="BY147" s="600"/>
      <c r="BZ147" s="600"/>
      <c r="CA147" s="600"/>
      <c r="CB147" s="600"/>
      <c r="CC147" s="600"/>
      <c r="CD147" s="105"/>
      <c r="CE147" s="70"/>
      <c r="CF147" s="70"/>
      <c r="CG147" s="70"/>
      <c r="CH147" s="640"/>
      <c r="CI147" s="70"/>
      <c r="CJ147" s="600"/>
      <c r="CK147" s="105"/>
      <c r="CL147" s="70"/>
      <c r="CM147" s="70"/>
      <c r="CN147" s="70"/>
      <c r="CO147" s="640"/>
      <c r="CP147" s="70"/>
      <c r="CQ147" s="600"/>
      <c r="CR147" s="105"/>
      <c r="CS147" s="70"/>
      <c r="CT147" s="70"/>
      <c r="CU147" s="70"/>
      <c r="CV147" s="640"/>
      <c r="CW147" s="70"/>
      <c r="CX147" s="600"/>
      <c r="CY147" s="600"/>
      <c r="CZ147" s="600"/>
      <c r="DA147" s="105"/>
      <c r="DB147" s="70"/>
      <c r="DC147" s="70"/>
      <c r="DD147" s="70"/>
      <c r="DE147" s="640"/>
      <c r="DF147" s="70"/>
    </row>
    <row r="148" spans="1:110">
      <c r="A148" s="70"/>
      <c r="B148" s="70"/>
      <c r="C148" s="70"/>
      <c r="D148" s="70"/>
      <c r="E148" s="70"/>
      <c r="F148" s="70"/>
      <c r="G148" s="70"/>
      <c r="H148" s="70"/>
      <c r="I148" s="70"/>
      <c r="J148" s="70"/>
      <c r="K148" s="70"/>
      <c r="L148" s="70"/>
      <c r="M148" s="70"/>
      <c r="N148" s="70"/>
      <c r="O148" s="592"/>
      <c r="P148" s="592"/>
      <c r="Q148" s="485"/>
      <c r="R148" s="485"/>
      <c r="S148" s="485"/>
      <c r="T148" s="485"/>
      <c r="U148" s="485"/>
      <c r="V148" s="485"/>
      <c r="W148" s="485"/>
      <c r="X148" s="485"/>
      <c r="Y148" s="485"/>
      <c r="Z148" s="485"/>
      <c r="AA148" s="485"/>
      <c r="AB148" s="485"/>
      <c r="AC148" s="485"/>
      <c r="AD148" s="1118"/>
      <c r="AE148" s="70"/>
      <c r="AF148" s="70"/>
      <c r="AG148" s="70"/>
      <c r="AH148" s="70"/>
      <c r="AI148" s="70"/>
      <c r="AJ148" s="70"/>
      <c r="AK148" s="600"/>
      <c r="AL148" s="70"/>
      <c r="AM148" s="70"/>
      <c r="AN148" s="70"/>
      <c r="AO148" s="70"/>
      <c r="AP148" s="70"/>
      <c r="AQ148" s="70"/>
      <c r="AR148" s="600"/>
      <c r="AS148" s="600"/>
      <c r="AT148" s="600"/>
      <c r="AU148" s="600"/>
      <c r="AV148" s="600"/>
      <c r="AW148" s="600"/>
      <c r="AX148" s="600"/>
      <c r="AY148" s="600"/>
      <c r="AZ148" s="600"/>
      <c r="BA148" s="600"/>
      <c r="BB148" s="600"/>
      <c r="BC148" s="600"/>
      <c r="BD148" s="600"/>
      <c r="BE148" s="600"/>
      <c r="BF148" s="600"/>
      <c r="BG148" s="600"/>
      <c r="BH148" s="600"/>
      <c r="BI148" s="600"/>
      <c r="BJ148" s="600"/>
      <c r="BK148" s="600"/>
      <c r="BL148" s="600"/>
      <c r="BM148" s="600"/>
      <c r="BN148" s="600"/>
      <c r="BO148" s="600"/>
      <c r="BP148" s="600"/>
      <c r="BQ148" s="600"/>
      <c r="BR148" s="600"/>
      <c r="BS148" s="600"/>
      <c r="BT148" s="600"/>
      <c r="BU148" s="600"/>
      <c r="BV148" s="600"/>
      <c r="BW148" s="600"/>
      <c r="BX148" s="600"/>
      <c r="BY148" s="600"/>
      <c r="BZ148" s="600"/>
      <c r="CA148" s="600"/>
      <c r="CB148" s="600"/>
      <c r="CC148" s="600"/>
      <c r="CD148" s="70"/>
      <c r="CE148" s="70"/>
      <c r="CF148" s="70"/>
      <c r="CG148" s="70"/>
      <c r="CH148" s="70"/>
      <c r="CI148" s="70"/>
      <c r="CJ148" s="600"/>
      <c r="CK148" s="70"/>
      <c r="CL148" s="70"/>
      <c r="CM148" s="70"/>
      <c r="CN148" s="70"/>
      <c r="CO148" s="70"/>
      <c r="CP148" s="70"/>
      <c r="CQ148" s="600"/>
      <c r="CR148" s="70"/>
      <c r="CS148" s="70"/>
      <c r="CT148" s="70"/>
      <c r="CU148" s="70"/>
      <c r="CV148" s="70"/>
      <c r="CW148" s="70"/>
      <c r="CX148" s="600"/>
      <c r="CY148" s="600"/>
      <c r="CZ148" s="600"/>
      <c r="DA148" s="70"/>
      <c r="DB148" s="70"/>
      <c r="DC148" s="70"/>
      <c r="DD148" s="70"/>
      <c r="DE148" s="70"/>
      <c r="DF148" s="70"/>
    </row>
    <row r="149" spans="1:110">
      <c r="A149" s="70"/>
      <c r="B149" s="70"/>
      <c r="C149" s="70"/>
      <c r="D149" s="70"/>
      <c r="E149" s="70"/>
      <c r="F149" s="70"/>
      <c r="G149" s="70"/>
      <c r="H149" s="70"/>
      <c r="I149" s="70"/>
      <c r="J149" s="70"/>
      <c r="K149" s="70"/>
      <c r="L149" s="70"/>
      <c r="M149" s="70"/>
      <c r="N149" s="70"/>
      <c r="O149" s="592"/>
      <c r="P149" s="592"/>
      <c r="Q149" s="485"/>
      <c r="R149" s="485"/>
      <c r="S149" s="485"/>
      <c r="T149" s="485"/>
      <c r="U149" s="485"/>
      <c r="V149" s="485"/>
      <c r="W149" s="485"/>
      <c r="X149" s="485"/>
      <c r="Y149" s="485"/>
      <c r="Z149" s="485"/>
      <c r="AA149" s="485"/>
      <c r="AB149" s="485"/>
      <c r="AC149" s="485"/>
      <c r="AD149" s="1118"/>
      <c r="AE149" s="70"/>
      <c r="AF149" s="70"/>
      <c r="AG149" s="70"/>
      <c r="AH149" s="70"/>
      <c r="AI149" s="70"/>
      <c r="AJ149" s="70"/>
      <c r="AK149" s="600"/>
      <c r="AL149" s="70"/>
      <c r="AM149" s="70"/>
      <c r="AN149" s="70"/>
      <c r="AO149" s="70"/>
      <c r="AP149" s="70"/>
      <c r="AQ149" s="70"/>
      <c r="AR149" s="600"/>
      <c r="AS149" s="600"/>
      <c r="AT149" s="600"/>
      <c r="AU149" s="600"/>
      <c r="AV149" s="600"/>
      <c r="AW149" s="600"/>
      <c r="AX149" s="600"/>
      <c r="AY149" s="600"/>
      <c r="AZ149" s="600"/>
      <c r="BA149" s="600"/>
      <c r="BB149" s="600"/>
      <c r="BC149" s="600"/>
      <c r="BD149" s="600"/>
      <c r="BE149" s="600"/>
      <c r="BF149" s="600"/>
      <c r="BG149" s="600"/>
      <c r="BH149" s="600"/>
      <c r="BI149" s="600"/>
      <c r="BJ149" s="600"/>
      <c r="BK149" s="600"/>
      <c r="BL149" s="600"/>
      <c r="BM149" s="600"/>
      <c r="BN149" s="600"/>
      <c r="BO149" s="600"/>
      <c r="BP149" s="600"/>
      <c r="BQ149" s="600"/>
      <c r="BR149" s="600"/>
      <c r="BS149" s="600"/>
      <c r="BT149" s="600"/>
      <c r="BU149" s="600"/>
      <c r="BV149" s="600"/>
      <c r="BW149" s="600"/>
      <c r="BX149" s="600"/>
      <c r="BY149" s="600"/>
      <c r="BZ149" s="600"/>
      <c r="CA149" s="600"/>
      <c r="CB149" s="600"/>
      <c r="CC149" s="600"/>
      <c r="CD149" s="70"/>
      <c r="CE149" s="70"/>
      <c r="CF149" s="70"/>
      <c r="CG149" s="70"/>
      <c r="CH149" s="70"/>
      <c r="CI149" s="70"/>
      <c r="CJ149" s="600"/>
      <c r="CK149" s="70"/>
      <c r="CL149" s="70"/>
      <c r="CM149" s="70"/>
      <c r="CN149" s="70"/>
      <c r="CO149" s="70"/>
      <c r="CP149" s="70"/>
      <c r="CQ149" s="600"/>
      <c r="CR149" s="70"/>
      <c r="CS149" s="70"/>
      <c r="CT149" s="70"/>
      <c r="CU149" s="70"/>
      <c r="CV149" s="70"/>
      <c r="CW149" s="70"/>
      <c r="CX149" s="600"/>
      <c r="CY149" s="600"/>
      <c r="CZ149" s="600"/>
      <c r="DA149" s="70"/>
      <c r="DB149" s="70"/>
      <c r="DC149" s="70"/>
      <c r="DD149" s="70"/>
      <c r="DE149" s="70"/>
      <c r="DF149" s="70"/>
    </row>
    <row r="150" spans="1:110">
      <c r="A150" s="70"/>
      <c r="B150" s="70"/>
      <c r="C150" s="70"/>
      <c r="D150" s="70"/>
      <c r="E150" s="70"/>
      <c r="F150" s="70"/>
      <c r="G150" s="70"/>
      <c r="H150" s="70"/>
      <c r="I150" s="70"/>
      <c r="J150" s="70"/>
      <c r="K150" s="70"/>
      <c r="L150" s="70"/>
      <c r="M150" s="70"/>
      <c r="N150" s="70"/>
      <c r="O150" s="592"/>
      <c r="P150" s="592"/>
      <c r="Q150" s="485"/>
      <c r="R150" s="485"/>
      <c r="S150" s="485"/>
      <c r="T150" s="485"/>
      <c r="U150" s="485"/>
      <c r="V150" s="485"/>
      <c r="W150" s="485"/>
      <c r="X150" s="485"/>
      <c r="Y150" s="485"/>
      <c r="Z150" s="485"/>
      <c r="AA150" s="485"/>
      <c r="AB150" s="485"/>
      <c r="AC150" s="485"/>
      <c r="AD150" s="1118"/>
      <c r="AE150" s="70"/>
      <c r="AF150" s="70"/>
      <c r="AG150" s="70"/>
      <c r="AH150" s="70"/>
      <c r="AI150" s="70"/>
      <c r="AJ150" s="70"/>
      <c r="AK150" s="600"/>
      <c r="AL150" s="70"/>
      <c r="AM150" s="70"/>
      <c r="AN150" s="70"/>
      <c r="AO150" s="70"/>
      <c r="AP150" s="70"/>
      <c r="AQ150" s="70"/>
      <c r="AR150" s="600"/>
      <c r="AS150" s="600"/>
      <c r="AT150" s="600"/>
      <c r="AU150" s="600"/>
      <c r="AV150" s="600"/>
      <c r="AW150" s="600"/>
      <c r="AX150" s="600"/>
      <c r="AY150" s="600"/>
      <c r="AZ150" s="600"/>
      <c r="BA150" s="600"/>
      <c r="BB150" s="600"/>
      <c r="BC150" s="600"/>
      <c r="BD150" s="600"/>
      <c r="BE150" s="600"/>
      <c r="BF150" s="600"/>
      <c r="BG150" s="600"/>
      <c r="BH150" s="600"/>
      <c r="BI150" s="600"/>
      <c r="BJ150" s="600"/>
      <c r="BK150" s="600"/>
      <c r="BL150" s="600"/>
      <c r="BM150" s="600"/>
      <c r="BN150" s="600"/>
      <c r="BO150" s="600"/>
      <c r="BP150" s="600"/>
      <c r="BQ150" s="600"/>
      <c r="BR150" s="600"/>
      <c r="BS150" s="600"/>
      <c r="BT150" s="600"/>
      <c r="BU150" s="600"/>
      <c r="BV150" s="600"/>
      <c r="BW150" s="600"/>
      <c r="BX150" s="600"/>
      <c r="BY150" s="600"/>
      <c r="BZ150" s="600"/>
      <c r="CA150" s="600"/>
      <c r="CB150" s="600"/>
      <c r="CC150" s="600"/>
      <c r="CD150" s="70"/>
      <c r="CE150" s="70"/>
      <c r="CF150" s="70"/>
      <c r="CG150" s="70"/>
      <c r="CH150" s="70"/>
      <c r="CI150" s="70"/>
      <c r="CJ150" s="600"/>
      <c r="CK150" s="70"/>
      <c r="CL150" s="70"/>
      <c r="CM150" s="70"/>
      <c r="CN150" s="70"/>
      <c r="CO150" s="70"/>
      <c r="CP150" s="70"/>
      <c r="CQ150" s="600"/>
      <c r="CR150" s="70"/>
      <c r="CS150" s="70"/>
      <c r="CT150" s="70"/>
      <c r="CU150" s="70"/>
      <c r="CV150" s="70"/>
      <c r="CW150" s="70"/>
      <c r="CX150" s="600"/>
      <c r="CY150" s="600"/>
      <c r="CZ150" s="600"/>
      <c r="DA150" s="70"/>
      <c r="DB150" s="70"/>
      <c r="DC150" s="70"/>
      <c r="DD150" s="70"/>
      <c r="DE150" s="70"/>
      <c r="DF150" s="70"/>
    </row>
    <row r="151" spans="1:110">
      <c r="A151" s="70"/>
      <c r="B151" s="70"/>
      <c r="C151" s="70"/>
      <c r="D151" s="70"/>
      <c r="E151" s="70"/>
      <c r="F151" s="70"/>
      <c r="G151" s="70"/>
      <c r="H151" s="70"/>
      <c r="I151" s="70"/>
      <c r="J151" s="70"/>
      <c r="K151" s="70"/>
      <c r="L151" s="70"/>
      <c r="M151" s="70"/>
      <c r="N151" s="70"/>
      <c r="O151" s="592"/>
      <c r="P151" s="592"/>
      <c r="Q151" s="485"/>
      <c r="R151" s="485"/>
      <c r="S151" s="485"/>
      <c r="T151" s="485"/>
      <c r="U151" s="485"/>
      <c r="V151" s="485"/>
      <c r="W151" s="485"/>
      <c r="X151" s="485"/>
      <c r="Y151" s="485"/>
      <c r="Z151" s="485"/>
      <c r="AA151" s="485"/>
      <c r="AB151" s="485"/>
      <c r="AC151" s="485"/>
      <c r="AD151" s="1118"/>
      <c r="AE151" s="70"/>
      <c r="AF151" s="70"/>
      <c r="AG151" s="70"/>
      <c r="AH151" s="70"/>
      <c r="AI151" s="70"/>
      <c r="AJ151" s="70"/>
      <c r="AK151" s="600"/>
      <c r="AL151" s="70"/>
      <c r="AM151" s="70"/>
      <c r="AN151" s="70"/>
      <c r="AO151" s="70"/>
      <c r="AP151" s="70"/>
      <c r="AQ151" s="70"/>
      <c r="AR151" s="600"/>
      <c r="AS151" s="600"/>
      <c r="AT151" s="600"/>
      <c r="AU151" s="600"/>
      <c r="AV151" s="600"/>
      <c r="AW151" s="600"/>
      <c r="AX151" s="600"/>
      <c r="AY151" s="600"/>
      <c r="AZ151" s="600"/>
      <c r="BA151" s="600"/>
      <c r="BB151" s="600"/>
      <c r="BC151" s="600"/>
      <c r="BD151" s="600"/>
      <c r="BE151" s="600"/>
      <c r="BF151" s="600"/>
      <c r="BG151" s="600"/>
      <c r="BH151" s="600"/>
      <c r="BI151" s="600"/>
      <c r="BJ151" s="600"/>
      <c r="BK151" s="600"/>
      <c r="BL151" s="600"/>
      <c r="BM151" s="600"/>
      <c r="BN151" s="600"/>
      <c r="BO151" s="600"/>
      <c r="BP151" s="600"/>
      <c r="BQ151" s="600"/>
      <c r="BR151" s="600"/>
      <c r="BS151" s="600"/>
      <c r="BT151" s="600"/>
      <c r="BU151" s="600"/>
      <c r="BV151" s="600"/>
      <c r="BW151" s="600"/>
      <c r="BX151" s="600"/>
      <c r="BY151" s="600"/>
      <c r="BZ151" s="600"/>
      <c r="CA151" s="600"/>
      <c r="CB151" s="600"/>
      <c r="CC151" s="600"/>
      <c r="CD151" s="70"/>
      <c r="CE151" s="70"/>
      <c r="CF151" s="70"/>
      <c r="CG151" s="70"/>
      <c r="CH151" s="70"/>
      <c r="CI151" s="70"/>
      <c r="CJ151" s="600"/>
      <c r="CK151" s="70"/>
      <c r="CL151" s="70"/>
      <c r="CM151" s="70"/>
      <c r="CN151" s="70"/>
      <c r="CO151" s="70"/>
      <c r="CP151" s="70"/>
      <c r="CQ151" s="600"/>
      <c r="CR151" s="70"/>
      <c r="CS151" s="70"/>
      <c r="CT151" s="70"/>
      <c r="CU151" s="70"/>
      <c r="CV151" s="70"/>
      <c r="CW151" s="70"/>
      <c r="CX151" s="600"/>
      <c r="CY151" s="600"/>
      <c r="CZ151" s="600"/>
      <c r="DA151" s="70"/>
      <c r="DB151" s="70"/>
      <c r="DC151" s="70"/>
      <c r="DD151" s="70"/>
      <c r="DE151" s="70"/>
      <c r="DF151" s="70"/>
    </row>
    <row r="152" spans="1:110">
      <c r="A152" s="70"/>
      <c r="B152" s="70"/>
      <c r="C152" s="70"/>
      <c r="D152" s="70"/>
      <c r="E152" s="70"/>
      <c r="F152" s="70"/>
      <c r="G152" s="70"/>
      <c r="H152" s="70"/>
      <c r="I152" s="70"/>
      <c r="J152" s="70"/>
      <c r="K152" s="70"/>
      <c r="L152" s="70"/>
      <c r="M152" s="70"/>
      <c r="N152" s="70"/>
      <c r="O152" s="592"/>
      <c r="P152" s="592"/>
      <c r="Q152" s="485"/>
      <c r="R152" s="485"/>
      <c r="S152" s="485"/>
      <c r="T152" s="485"/>
      <c r="U152" s="485"/>
      <c r="V152" s="485"/>
      <c r="W152" s="485"/>
      <c r="X152" s="485"/>
      <c r="Y152" s="485"/>
      <c r="Z152" s="485"/>
      <c r="AA152" s="485"/>
      <c r="AB152" s="485"/>
      <c r="AC152" s="485"/>
      <c r="AD152" s="1118"/>
      <c r="AE152" s="70"/>
      <c r="AF152" s="70"/>
      <c r="AG152" s="70"/>
      <c r="AH152" s="70"/>
      <c r="AI152" s="70"/>
      <c r="AJ152" s="70"/>
      <c r="AK152" s="600"/>
      <c r="AL152" s="70"/>
      <c r="AM152" s="70"/>
      <c r="AN152" s="70"/>
      <c r="AO152" s="70"/>
      <c r="AP152" s="70"/>
      <c r="AQ152" s="70"/>
      <c r="AR152" s="600"/>
      <c r="AS152" s="600"/>
      <c r="AT152" s="600"/>
      <c r="AU152" s="600"/>
      <c r="AV152" s="600"/>
      <c r="AW152" s="600"/>
      <c r="AX152" s="600"/>
      <c r="AY152" s="600"/>
      <c r="AZ152" s="600"/>
      <c r="BA152" s="600"/>
      <c r="BB152" s="600"/>
      <c r="BC152" s="600"/>
      <c r="BD152" s="600"/>
      <c r="BE152" s="600"/>
      <c r="BF152" s="600"/>
      <c r="BG152" s="600"/>
      <c r="BH152" s="600"/>
      <c r="BI152" s="600"/>
      <c r="BJ152" s="600"/>
      <c r="BK152" s="600"/>
      <c r="BL152" s="600"/>
      <c r="BM152" s="600"/>
      <c r="BN152" s="600"/>
      <c r="BO152" s="600"/>
      <c r="BP152" s="600"/>
      <c r="BQ152" s="600"/>
      <c r="BR152" s="600"/>
      <c r="BS152" s="600"/>
      <c r="BT152" s="600"/>
      <c r="BU152" s="600"/>
      <c r="BV152" s="600"/>
      <c r="BW152" s="600"/>
      <c r="BX152" s="600"/>
      <c r="BY152" s="600"/>
      <c r="BZ152" s="600"/>
      <c r="CA152" s="600"/>
      <c r="CB152" s="600"/>
      <c r="CC152" s="600"/>
      <c r="CD152" s="70"/>
      <c r="CE152" s="70"/>
      <c r="CF152" s="70"/>
      <c r="CG152" s="70"/>
      <c r="CH152" s="70"/>
      <c r="CI152" s="70"/>
      <c r="CJ152" s="600"/>
      <c r="CK152" s="70"/>
      <c r="CL152" s="70"/>
      <c r="CM152" s="70"/>
      <c r="CN152" s="70"/>
      <c r="CO152" s="70"/>
      <c r="CP152" s="70"/>
      <c r="CQ152" s="600"/>
      <c r="CR152" s="70"/>
      <c r="CS152" s="70"/>
      <c r="CT152" s="70"/>
      <c r="CU152" s="70"/>
      <c r="CV152" s="70"/>
      <c r="CW152" s="70"/>
      <c r="CX152" s="600"/>
      <c r="CY152" s="600"/>
      <c r="CZ152" s="600"/>
      <c r="DA152" s="70"/>
      <c r="DB152" s="70"/>
      <c r="DC152" s="70"/>
      <c r="DD152" s="70"/>
      <c r="DE152" s="70"/>
      <c r="DF152" s="70"/>
    </row>
    <row r="153" spans="1:110">
      <c r="A153" s="70"/>
      <c r="B153" s="70"/>
      <c r="C153" s="70"/>
      <c r="D153" s="70"/>
      <c r="E153" s="70"/>
      <c r="F153" s="70"/>
      <c r="G153" s="70"/>
      <c r="H153" s="70"/>
      <c r="I153" s="70"/>
      <c r="J153" s="70"/>
      <c r="K153" s="70"/>
      <c r="L153" s="70"/>
      <c r="M153" s="70"/>
      <c r="N153" s="70"/>
      <c r="O153" s="592"/>
      <c r="P153" s="592"/>
      <c r="Q153" s="485"/>
      <c r="R153" s="485"/>
      <c r="S153" s="485"/>
      <c r="T153" s="485"/>
      <c r="U153" s="485"/>
      <c r="V153" s="485"/>
      <c r="W153" s="485"/>
      <c r="X153" s="485"/>
      <c r="Y153" s="485"/>
      <c r="Z153" s="485"/>
      <c r="AA153" s="485"/>
      <c r="AB153" s="485"/>
      <c r="AC153" s="485"/>
      <c r="AD153" s="1118"/>
      <c r="AE153" s="70"/>
      <c r="AF153" s="70"/>
      <c r="AG153" s="70"/>
      <c r="AH153" s="70"/>
      <c r="AI153" s="70"/>
      <c r="AJ153" s="70"/>
      <c r="AK153" s="600"/>
      <c r="AL153" s="70"/>
      <c r="AM153" s="70"/>
      <c r="AN153" s="70"/>
      <c r="AO153" s="70"/>
      <c r="AP153" s="70"/>
      <c r="AQ153" s="70"/>
      <c r="AR153" s="600"/>
      <c r="AS153" s="600"/>
      <c r="AT153" s="600"/>
      <c r="AU153" s="600"/>
      <c r="AV153" s="600"/>
      <c r="AW153" s="600"/>
      <c r="AX153" s="600"/>
      <c r="AY153" s="600"/>
      <c r="AZ153" s="600"/>
      <c r="BA153" s="600"/>
      <c r="BB153" s="600"/>
      <c r="BC153" s="600"/>
      <c r="BD153" s="600"/>
      <c r="BE153" s="600"/>
      <c r="BF153" s="600"/>
      <c r="BG153" s="600"/>
      <c r="BH153" s="600"/>
      <c r="BI153" s="600"/>
      <c r="BJ153" s="600"/>
      <c r="BK153" s="600"/>
      <c r="BL153" s="600"/>
      <c r="BM153" s="600"/>
      <c r="BN153" s="600"/>
      <c r="BO153" s="600"/>
      <c r="BP153" s="600"/>
      <c r="BQ153" s="600"/>
      <c r="BR153" s="600"/>
      <c r="BS153" s="600"/>
      <c r="BT153" s="600"/>
      <c r="BU153" s="600"/>
      <c r="BV153" s="600"/>
      <c r="BW153" s="600"/>
      <c r="BX153" s="600"/>
      <c r="BY153" s="600"/>
      <c r="BZ153" s="600"/>
      <c r="CA153" s="600"/>
      <c r="CB153" s="600"/>
      <c r="CC153" s="600"/>
      <c r="CD153" s="70"/>
      <c r="CE153" s="70"/>
      <c r="CF153" s="70"/>
      <c r="CG153" s="70"/>
      <c r="CH153" s="70"/>
      <c r="CI153" s="70"/>
      <c r="CJ153" s="600"/>
      <c r="CK153" s="70"/>
      <c r="CL153" s="70"/>
      <c r="CM153" s="70"/>
      <c r="CN153" s="70"/>
      <c r="CO153" s="70"/>
      <c r="CP153" s="70"/>
      <c r="CQ153" s="600"/>
      <c r="CR153" s="70"/>
      <c r="CS153" s="70"/>
      <c r="CT153" s="70"/>
      <c r="CU153" s="70"/>
      <c r="CV153" s="70"/>
      <c r="CW153" s="70"/>
      <c r="CX153" s="600"/>
      <c r="CY153" s="600"/>
      <c r="CZ153" s="600"/>
      <c r="DA153" s="70"/>
      <c r="DB153" s="70"/>
      <c r="DC153" s="70"/>
      <c r="DD153" s="70"/>
      <c r="DE153" s="70"/>
      <c r="DF153" s="70"/>
    </row>
    <row r="154" spans="1:110">
      <c r="A154" s="70"/>
      <c r="B154" s="70"/>
      <c r="C154" s="70"/>
      <c r="D154" s="70"/>
      <c r="E154" s="70"/>
      <c r="F154" s="70"/>
      <c r="G154" s="70"/>
      <c r="H154" s="70"/>
      <c r="I154" s="70"/>
      <c r="J154" s="70"/>
      <c r="K154" s="70"/>
      <c r="L154" s="70"/>
      <c r="M154" s="70"/>
      <c r="N154" s="70"/>
      <c r="O154" s="592"/>
      <c r="P154" s="592"/>
      <c r="Q154" s="485"/>
      <c r="R154" s="485"/>
      <c r="S154" s="485"/>
      <c r="T154" s="485"/>
      <c r="U154" s="485"/>
      <c r="V154" s="485"/>
      <c r="W154" s="485"/>
      <c r="X154" s="485"/>
      <c r="Y154" s="485"/>
      <c r="Z154" s="485"/>
      <c r="AA154" s="485"/>
      <c r="AB154" s="485"/>
      <c r="AC154" s="485"/>
      <c r="AD154" s="1118"/>
      <c r="AE154" s="70"/>
      <c r="AF154" s="70"/>
      <c r="AG154" s="70"/>
      <c r="AH154" s="70"/>
      <c r="AI154" s="70"/>
      <c r="AJ154" s="70"/>
      <c r="AK154" s="600"/>
      <c r="AL154" s="70"/>
      <c r="AM154" s="70"/>
      <c r="AN154" s="70"/>
      <c r="AO154" s="70"/>
      <c r="AP154" s="70"/>
      <c r="AQ154" s="70"/>
      <c r="AR154" s="600"/>
      <c r="AS154" s="600"/>
      <c r="AT154" s="600"/>
      <c r="AU154" s="600"/>
      <c r="AV154" s="600"/>
      <c r="AW154" s="600"/>
      <c r="AX154" s="600"/>
      <c r="AY154" s="600"/>
      <c r="AZ154" s="600"/>
      <c r="BA154" s="600"/>
      <c r="BB154" s="600"/>
      <c r="BC154" s="600"/>
      <c r="BD154" s="600"/>
      <c r="BE154" s="600"/>
      <c r="BF154" s="600"/>
      <c r="BG154" s="600"/>
      <c r="BH154" s="600"/>
      <c r="BI154" s="600"/>
      <c r="BJ154" s="600"/>
      <c r="BK154" s="600"/>
      <c r="BL154" s="600"/>
      <c r="BM154" s="600"/>
      <c r="BN154" s="600"/>
      <c r="BO154" s="600"/>
      <c r="BP154" s="600"/>
      <c r="BQ154" s="600"/>
      <c r="BR154" s="600"/>
      <c r="BS154" s="600"/>
      <c r="BT154" s="600"/>
      <c r="BU154" s="600"/>
      <c r="BV154" s="600"/>
      <c r="BW154" s="600"/>
      <c r="BX154" s="600"/>
      <c r="BY154" s="600"/>
      <c r="BZ154" s="600"/>
      <c r="CA154" s="600"/>
      <c r="CB154" s="600"/>
      <c r="CC154" s="600"/>
      <c r="CD154" s="70"/>
      <c r="CE154" s="70"/>
      <c r="CF154" s="70"/>
      <c r="CG154" s="70"/>
      <c r="CH154" s="70"/>
      <c r="CI154" s="70"/>
      <c r="CJ154" s="600"/>
      <c r="CK154" s="70"/>
      <c r="CL154" s="70"/>
      <c r="CM154" s="70"/>
      <c r="CN154" s="70"/>
      <c r="CO154" s="70"/>
      <c r="CP154" s="70"/>
      <c r="CQ154" s="600"/>
      <c r="CR154" s="70"/>
      <c r="CS154" s="70"/>
      <c r="CT154" s="70"/>
      <c r="CU154" s="70"/>
      <c r="CV154" s="70"/>
      <c r="CW154" s="70"/>
      <c r="CX154" s="600"/>
      <c r="CY154" s="600"/>
      <c r="CZ154" s="600"/>
      <c r="DA154" s="70"/>
      <c r="DB154" s="70"/>
      <c r="DC154" s="70"/>
      <c r="DD154" s="70"/>
      <c r="DE154" s="70"/>
      <c r="DF154" s="70"/>
    </row>
    <row r="155" spans="1:110">
      <c r="A155" s="70"/>
      <c r="B155" s="70"/>
      <c r="C155" s="70"/>
      <c r="D155" s="70"/>
      <c r="E155" s="70"/>
      <c r="F155" s="70"/>
      <c r="G155" s="70"/>
      <c r="H155" s="70"/>
      <c r="I155" s="70"/>
      <c r="J155" s="70"/>
      <c r="K155" s="70"/>
      <c r="L155" s="70"/>
      <c r="M155" s="70"/>
      <c r="N155" s="70"/>
      <c r="O155" s="592"/>
      <c r="P155" s="592"/>
      <c r="Q155" s="485"/>
      <c r="R155" s="485"/>
      <c r="S155" s="485"/>
      <c r="T155" s="485"/>
      <c r="U155" s="485"/>
      <c r="V155" s="485"/>
      <c r="W155" s="485"/>
      <c r="X155" s="485"/>
      <c r="Y155" s="485"/>
      <c r="Z155" s="485"/>
      <c r="AA155" s="485"/>
      <c r="AB155" s="485"/>
      <c r="AC155" s="485"/>
      <c r="AD155" s="1118"/>
      <c r="AE155" s="70"/>
      <c r="AF155" s="70"/>
      <c r="AG155" s="70"/>
      <c r="AH155" s="70"/>
      <c r="AI155" s="70"/>
      <c r="AJ155" s="70"/>
      <c r="AK155" s="600"/>
      <c r="AL155" s="70"/>
      <c r="AM155" s="70"/>
      <c r="AN155" s="70"/>
      <c r="AO155" s="70"/>
      <c r="AP155" s="70"/>
      <c r="AQ155" s="70"/>
      <c r="AR155" s="600"/>
      <c r="AS155" s="600"/>
      <c r="AT155" s="600"/>
      <c r="AU155" s="600"/>
      <c r="AV155" s="600"/>
      <c r="AW155" s="600"/>
      <c r="AX155" s="600"/>
      <c r="AY155" s="600"/>
      <c r="AZ155" s="600"/>
      <c r="BA155" s="600"/>
      <c r="BB155" s="600"/>
      <c r="BC155" s="600"/>
      <c r="BD155" s="600"/>
      <c r="BE155" s="600"/>
      <c r="BF155" s="600"/>
      <c r="BG155" s="600"/>
      <c r="BH155" s="600"/>
      <c r="BI155" s="600"/>
      <c r="BJ155" s="600"/>
      <c r="BK155" s="600"/>
      <c r="BL155" s="600"/>
      <c r="BM155" s="600"/>
      <c r="BN155" s="600"/>
      <c r="BO155" s="600"/>
      <c r="BP155" s="600"/>
      <c r="BQ155" s="600"/>
      <c r="BR155" s="600"/>
      <c r="BS155" s="600"/>
      <c r="BT155" s="600"/>
      <c r="BU155" s="600"/>
      <c r="BV155" s="600"/>
      <c r="BW155" s="600"/>
      <c r="BX155" s="600"/>
      <c r="BY155" s="600"/>
      <c r="BZ155" s="600"/>
      <c r="CA155" s="600"/>
      <c r="CB155" s="600"/>
      <c r="CC155" s="600"/>
      <c r="CD155" s="70"/>
      <c r="CE155" s="70"/>
      <c r="CF155" s="70"/>
      <c r="CG155" s="70"/>
      <c r="CH155" s="70"/>
      <c r="CI155" s="70"/>
      <c r="CJ155" s="600"/>
      <c r="CK155" s="70"/>
      <c r="CL155" s="70"/>
      <c r="CM155" s="70"/>
      <c r="CN155" s="70"/>
      <c r="CO155" s="70"/>
      <c r="CP155" s="70"/>
      <c r="CQ155" s="600"/>
      <c r="CR155" s="70"/>
      <c r="CS155" s="70"/>
      <c r="CT155" s="70"/>
      <c r="CU155" s="70"/>
      <c r="CV155" s="70"/>
      <c r="CW155" s="70"/>
      <c r="CX155" s="600"/>
      <c r="CY155" s="600"/>
      <c r="CZ155" s="600"/>
      <c r="DA155" s="70"/>
      <c r="DB155" s="70"/>
      <c r="DC155" s="70"/>
      <c r="DD155" s="70"/>
      <c r="DE155" s="70"/>
      <c r="DF155" s="70"/>
    </row>
    <row r="156" spans="1:110">
      <c r="A156" s="70"/>
      <c r="B156" s="70"/>
      <c r="C156" s="70"/>
      <c r="D156" s="70"/>
      <c r="E156" s="70"/>
      <c r="F156" s="70"/>
      <c r="G156" s="70"/>
      <c r="H156" s="70"/>
      <c r="I156" s="70"/>
      <c r="J156" s="70"/>
      <c r="K156" s="70"/>
      <c r="L156" s="70"/>
      <c r="M156" s="70"/>
      <c r="N156" s="70"/>
      <c r="O156" s="592"/>
      <c r="P156" s="592"/>
      <c r="Q156" s="485"/>
      <c r="R156" s="485"/>
      <c r="S156" s="485"/>
      <c r="T156" s="485"/>
      <c r="U156" s="485"/>
      <c r="V156" s="485"/>
      <c r="W156" s="485"/>
      <c r="X156" s="485"/>
      <c r="Y156" s="485"/>
      <c r="Z156" s="485"/>
      <c r="AA156" s="485"/>
      <c r="AB156" s="485"/>
      <c r="AC156" s="485"/>
      <c r="AD156" s="1118"/>
      <c r="AE156" s="70"/>
      <c r="AF156" s="70"/>
      <c r="AG156" s="70"/>
      <c r="AH156" s="70"/>
      <c r="AI156" s="70"/>
      <c r="AJ156" s="70"/>
      <c r="AK156" s="600"/>
      <c r="AL156" s="70"/>
      <c r="AM156" s="70"/>
      <c r="AN156" s="70"/>
      <c r="AO156" s="70"/>
      <c r="AP156" s="70"/>
      <c r="AQ156" s="70"/>
      <c r="AR156" s="600"/>
      <c r="AS156" s="600"/>
      <c r="AT156" s="600"/>
      <c r="AU156" s="600"/>
      <c r="AV156" s="600"/>
      <c r="AW156" s="600"/>
      <c r="AX156" s="600"/>
      <c r="AY156" s="600"/>
      <c r="AZ156" s="600"/>
      <c r="BA156" s="600"/>
      <c r="BB156" s="600"/>
      <c r="BC156" s="600"/>
      <c r="BD156" s="600"/>
      <c r="BE156" s="600"/>
      <c r="BF156" s="600"/>
      <c r="BG156" s="600"/>
      <c r="BH156" s="600"/>
      <c r="BI156" s="600"/>
      <c r="BJ156" s="600"/>
      <c r="BK156" s="600"/>
      <c r="BL156" s="600"/>
      <c r="BM156" s="600"/>
      <c r="BN156" s="600"/>
      <c r="BO156" s="600"/>
      <c r="BP156" s="600"/>
      <c r="BQ156" s="600"/>
      <c r="BR156" s="600"/>
      <c r="BS156" s="600"/>
      <c r="BT156" s="600"/>
      <c r="BU156" s="600"/>
      <c r="BV156" s="600"/>
      <c r="BW156" s="600"/>
      <c r="BX156" s="600"/>
      <c r="BY156" s="600"/>
      <c r="BZ156" s="600"/>
      <c r="CA156" s="600"/>
      <c r="CB156" s="600"/>
      <c r="CC156" s="600"/>
      <c r="CD156" s="70"/>
      <c r="CE156" s="70"/>
      <c r="CF156" s="70"/>
      <c r="CG156" s="70"/>
      <c r="CH156" s="70"/>
      <c r="CI156" s="70"/>
      <c r="CJ156" s="600"/>
      <c r="CK156" s="70"/>
      <c r="CL156" s="70"/>
      <c r="CM156" s="70"/>
      <c r="CN156" s="70"/>
      <c r="CO156" s="70"/>
      <c r="CP156" s="70"/>
      <c r="CQ156" s="600"/>
      <c r="CR156" s="70"/>
      <c r="CS156" s="70"/>
      <c r="CT156" s="70"/>
      <c r="CU156" s="70"/>
      <c r="CV156" s="70"/>
      <c r="CW156" s="70"/>
      <c r="CX156" s="600"/>
      <c r="CY156" s="600"/>
      <c r="CZ156" s="600"/>
      <c r="DA156" s="70"/>
      <c r="DB156" s="70"/>
      <c r="DC156" s="70"/>
      <c r="DD156" s="70"/>
      <c r="DE156" s="70"/>
      <c r="DF156" s="70"/>
    </row>
    <row r="157" spans="1:110" s="598" customFormat="1"/>
    <row r="158" spans="1:110" s="598" customFormat="1"/>
    <row r="159" spans="1:110" s="598" customFormat="1"/>
    <row r="160" spans="1:110" s="598" customFormat="1"/>
    <row r="161" s="598" customFormat="1"/>
    <row r="162" s="598" customFormat="1"/>
    <row r="163" s="598" customFormat="1"/>
    <row r="164" s="598" customFormat="1"/>
    <row r="165" s="598" customFormat="1"/>
    <row r="166" s="598" customFormat="1"/>
    <row r="167" s="598" customFormat="1"/>
    <row r="168" s="598" customFormat="1"/>
    <row r="169" s="598" customFormat="1"/>
    <row r="170" s="598" customFormat="1"/>
    <row r="171" s="598" customFormat="1"/>
    <row r="172" s="598" customFormat="1"/>
    <row r="173" s="598" customFormat="1"/>
    <row r="174" s="598" customFormat="1"/>
    <row r="175" s="598" customFormat="1"/>
    <row r="176" s="598" customFormat="1"/>
    <row r="177" s="598" customFormat="1"/>
    <row r="178" s="598" customFormat="1"/>
    <row r="179" s="598" customFormat="1"/>
    <row r="180" s="598" customFormat="1"/>
    <row r="181" s="598" customFormat="1"/>
    <row r="182" s="598" customFormat="1"/>
    <row r="183" s="598" customFormat="1"/>
    <row r="184" s="598" customFormat="1"/>
    <row r="185" s="598" customFormat="1"/>
    <row r="186" s="598" customFormat="1"/>
    <row r="187" s="598" customFormat="1"/>
    <row r="188" s="598" customFormat="1"/>
    <row r="189" s="598" customFormat="1"/>
    <row r="190" s="598" customFormat="1"/>
    <row r="191" s="598" customFormat="1"/>
    <row r="192" s="598" customFormat="1"/>
    <row r="193" s="598" customFormat="1"/>
    <row r="194" s="598" customFormat="1"/>
    <row r="195" s="598" customFormat="1"/>
    <row r="196" s="598" customFormat="1"/>
    <row r="197" s="598" customFormat="1"/>
    <row r="198" s="598" customFormat="1"/>
    <row r="199" s="598" customFormat="1"/>
    <row r="200" s="598" customFormat="1"/>
    <row r="201" s="598" customFormat="1"/>
    <row r="202" s="598" customFormat="1"/>
    <row r="203" s="598" customFormat="1"/>
    <row r="204" s="598" customFormat="1"/>
    <row r="205" s="598" customFormat="1"/>
    <row r="206" s="598" customFormat="1"/>
    <row r="207" s="598" customFormat="1"/>
    <row r="208" s="598" customFormat="1"/>
    <row r="209" s="598" customFormat="1"/>
    <row r="210" s="598" customFormat="1"/>
    <row r="211" s="598" customFormat="1"/>
    <row r="212" s="598" customFormat="1"/>
    <row r="213" s="598" customFormat="1"/>
    <row r="214" s="598" customFormat="1"/>
    <row r="215" s="598" customFormat="1"/>
    <row r="216" s="598" customFormat="1"/>
    <row r="217" s="598" customFormat="1"/>
    <row r="218" s="598" customFormat="1"/>
    <row r="219" s="598" customFormat="1"/>
    <row r="220" s="598" customFormat="1"/>
    <row r="221" s="598" customFormat="1"/>
    <row r="222" s="598" customFormat="1"/>
    <row r="223" s="598" customFormat="1"/>
    <row r="224" s="598" customFormat="1"/>
    <row r="225" s="598" customFormat="1"/>
    <row r="226" s="598" customFormat="1"/>
    <row r="227" s="598" customFormat="1"/>
    <row r="228" s="598" customFormat="1"/>
    <row r="229" s="598" customFormat="1"/>
    <row r="230" s="598" customFormat="1"/>
    <row r="231" s="598" customFormat="1"/>
    <row r="232" s="598" customFormat="1"/>
    <row r="233" s="598" customFormat="1"/>
    <row r="234" s="598" customFormat="1"/>
    <row r="235" s="598" customFormat="1"/>
    <row r="236" s="598" customFormat="1"/>
    <row r="237" s="598" customFormat="1"/>
    <row r="238" s="598" customFormat="1"/>
    <row r="239" s="598" customFormat="1"/>
    <row r="240" s="598" customFormat="1"/>
    <row r="241" s="598" customFormat="1"/>
    <row r="242" s="598" customFormat="1"/>
    <row r="243" s="598" customFormat="1"/>
    <row r="244" s="598" customFormat="1"/>
    <row r="245" s="598" customFormat="1"/>
    <row r="246" s="598" customFormat="1"/>
    <row r="247" s="598" customFormat="1"/>
    <row r="248" s="598" customFormat="1"/>
    <row r="249" s="598" customFormat="1"/>
    <row r="250" s="598" customFormat="1"/>
    <row r="251" s="598" customFormat="1"/>
    <row r="252" s="598" customFormat="1"/>
    <row r="253" s="598" customFormat="1"/>
    <row r="254" s="598" customFormat="1"/>
    <row r="255" s="598" customFormat="1"/>
    <row r="256" s="598" customFormat="1"/>
    <row r="257" s="598" customFormat="1"/>
    <row r="258" s="598" customFormat="1"/>
    <row r="259" s="598" customFormat="1"/>
    <row r="260" s="598" customFormat="1"/>
    <row r="261" s="598" customFormat="1"/>
    <row r="262" s="598" customFormat="1"/>
    <row r="263" s="598" customFormat="1"/>
    <row r="264" s="598" customFormat="1"/>
    <row r="265" s="598" customFormat="1"/>
    <row r="266" s="598" customFormat="1"/>
    <row r="267" s="598" customFormat="1"/>
    <row r="268" s="598" customFormat="1"/>
    <row r="269" s="598" customFormat="1"/>
    <row r="270" s="598" customFormat="1"/>
    <row r="271" s="598" customFormat="1"/>
    <row r="272" s="598" customFormat="1"/>
    <row r="273" s="598" customFormat="1"/>
    <row r="274" s="598" customFormat="1"/>
    <row r="275" s="598" customFormat="1"/>
    <row r="276" s="598" customFormat="1"/>
    <row r="277" s="598" customFormat="1"/>
    <row r="278" s="598" customFormat="1"/>
    <row r="279" s="598" customFormat="1"/>
    <row r="280" s="598" customFormat="1"/>
    <row r="281" s="598" customFormat="1"/>
    <row r="282" s="598" customFormat="1"/>
    <row r="283" s="598" customFormat="1"/>
    <row r="284" s="598" customFormat="1"/>
    <row r="285" s="598" customFormat="1"/>
    <row r="286" s="598" customFormat="1"/>
    <row r="287" s="598" customFormat="1"/>
    <row r="288" s="598" customFormat="1"/>
    <row r="289" s="598" customFormat="1"/>
    <row r="290" s="598" customFormat="1"/>
    <row r="291" s="598" customFormat="1"/>
    <row r="292" s="598" customFormat="1"/>
    <row r="293" s="598" customFormat="1"/>
    <row r="294" s="598" customFormat="1"/>
    <row r="295" s="598" customFormat="1"/>
    <row r="296" s="598" customFormat="1"/>
    <row r="297" s="598" customFormat="1"/>
    <row r="298" s="598" customFormat="1"/>
    <row r="299" s="598" customFormat="1"/>
    <row r="300" s="598" customFormat="1"/>
    <row r="301" s="598" customFormat="1"/>
    <row r="302" s="598" customFormat="1"/>
    <row r="303" s="598" customFormat="1"/>
    <row r="304" s="598" customFormat="1"/>
    <row r="305" s="598" customFormat="1"/>
    <row r="306" s="598" customFormat="1"/>
    <row r="307" s="598" customFormat="1"/>
    <row r="308" s="598" customFormat="1"/>
    <row r="309" s="598" customFormat="1"/>
    <row r="310" s="598" customFormat="1"/>
    <row r="311" s="598" customFormat="1"/>
    <row r="312" s="598" customFormat="1"/>
    <row r="313" s="598" customFormat="1"/>
    <row r="314" s="598" customFormat="1"/>
    <row r="315" s="598" customFormat="1"/>
    <row r="316" s="598" customFormat="1"/>
    <row r="317" s="598" customFormat="1"/>
    <row r="318" s="598" customFormat="1"/>
    <row r="319" s="598" customFormat="1"/>
    <row r="320" s="598" customFormat="1"/>
    <row r="321" s="598" customFormat="1"/>
    <row r="322" s="598" customFormat="1"/>
    <row r="323" s="598" customFormat="1"/>
    <row r="324" s="598" customFormat="1"/>
    <row r="325" s="598" customFormat="1"/>
    <row r="326" s="598" customFormat="1"/>
    <row r="327" s="598" customFormat="1"/>
    <row r="328" s="598" customFormat="1"/>
    <row r="329" s="598" customFormat="1"/>
    <row r="330" s="598" customFormat="1"/>
    <row r="331" s="598" customFormat="1"/>
    <row r="332" s="598" customFormat="1"/>
    <row r="333" s="598" customFormat="1"/>
    <row r="334" s="598" customFormat="1"/>
    <row r="335" s="598" customFormat="1"/>
    <row r="336" s="598" customFormat="1"/>
    <row r="337" s="598" customFormat="1"/>
    <row r="338" s="598" customFormat="1"/>
    <row r="339" s="598" customFormat="1"/>
    <row r="340" s="598" customFormat="1"/>
    <row r="341" s="598" customFormat="1"/>
    <row r="342" s="598" customFormat="1"/>
    <row r="343" s="598" customFormat="1"/>
    <row r="344" s="598" customFormat="1"/>
    <row r="345" s="598" customFormat="1"/>
    <row r="346" s="598" customFormat="1"/>
    <row r="347" s="598" customFormat="1"/>
    <row r="348" s="598" customFormat="1"/>
    <row r="349" s="598" customFormat="1"/>
    <row r="350" s="598" customFormat="1"/>
    <row r="351" s="598" customFormat="1"/>
    <row r="352" s="598" customFormat="1"/>
    <row r="353" s="598" customFormat="1"/>
    <row r="354" s="598" customFormat="1"/>
    <row r="355" s="598" customFormat="1"/>
    <row r="356" s="598" customFormat="1"/>
    <row r="357" s="598" customFormat="1"/>
    <row r="358" s="598" customFormat="1"/>
    <row r="359" s="598" customFormat="1"/>
    <row r="360" s="598" customFormat="1"/>
    <row r="361" s="598" customFormat="1"/>
    <row r="362" s="598" customFormat="1"/>
    <row r="363" s="598" customFormat="1"/>
    <row r="364" s="598" customFormat="1"/>
    <row r="365" s="598" customFormat="1"/>
    <row r="366" s="598" customFormat="1"/>
    <row r="367" s="598" customFormat="1"/>
    <row r="368" s="598" customFormat="1"/>
    <row r="369" s="598" customFormat="1"/>
    <row r="370" s="598" customFormat="1"/>
    <row r="371" s="598" customFormat="1"/>
    <row r="372" s="598" customFormat="1"/>
    <row r="373" s="598" customFormat="1"/>
    <row r="374" s="598" customFormat="1"/>
    <row r="375" s="598" customFormat="1"/>
    <row r="376" s="598" customFormat="1"/>
    <row r="377" s="598" customFormat="1"/>
    <row r="378" s="598" customFormat="1"/>
    <row r="379" s="598" customFormat="1"/>
    <row r="380" s="598" customFormat="1"/>
    <row r="381" s="598" customFormat="1"/>
    <row r="382" s="598" customFormat="1"/>
    <row r="383" s="598" customFormat="1"/>
    <row r="384" s="598" customFormat="1"/>
    <row r="385" s="598" customFormat="1"/>
    <row r="386" s="598" customFormat="1"/>
    <row r="387" s="598" customFormat="1"/>
    <row r="388" s="598" customFormat="1"/>
    <row r="389" s="598" customFormat="1"/>
    <row r="390" s="598" customFormat="1"/>
    <row r="391" s="598" customFormat="1"/>
    <row r="392" s="598" customFormat="1"/>
    <row r="393" s="598" customFormat="1"/>
    <row r="394" s="598" customFormat="1"/>
    <row r="395" s="598" customFormat="1"/>
    <row r="396" s="598" customFormat="1"/>
    <row r="397" s="598" customFormat="1"/>
    <row r="398" s="598" customFormat="1"/>
    <row r="399" s="598" customFormat="1"/>
    <row r="400" s="598" customFormat="1"/>
    <row r="401" s="598" customFormat="1"/>
    <row r="402" s="598" customFormat="1"/>
    <row r="403" s="598" customFormat="1"/>
    <row r="404" s="598" customFormat="1"/>
    <row r="405" s="598" customFormat="1"/>
    <row r="406" s="598" customFormat="1"/>
    <row r="407" s="598" customFormat="1"/>
    <row r="408" s="598" customFormat="1"/>
    <row r="409" s="598" customFormat="1"/>
    <row r="410" s="598" customFormat="1"/>
    <row r="411" s="598" customFormat="1"/>
    <row r="412" s="598" customFormat="1"/>
    <row r="413" s="598" customFormat="1"/>
    <row r="414" s="598" customFormat="1"/>
    <row r="415" s="598" customFormat="1"/>
    <row r="416" s="598" customFormat="1"/>
    <row r="417" s="598" customFormat="1"/>
    <row r="418" s="598" customFormat="1"/>
    <row r="419" s="598" customFormat="1"/>
    <row r="420" s="598" customFormat="1"/>
    <row r="421" s="598" customFormat="1"/>
    <row r="422" s="598" customFormat="1"/>
    <row r="423" s="598" customFormat="1"/>
    <row r="424" s="598" customFormat="1"/>
    <row r="425" s="598" customFormat="1"/>
    <row r="426" s="598" customFormat="1"/>
    <row r="427" s="598" customFormat="1"/>
    <row r="428" s="598" customFormat="1"/>
    <row r="429" s="598" customFormat="1"/>
    <row r="430" s="598" customFormat="1"/>
    <row r="431" s="598" customFormat="1"/>
    <row r="432" s="598" customFormat="1"/>
    <row r="433" s="598" customFormat="1"/>
    <row r="434" s="598" customFormat="1"/>
    <row r="435" s="598" customFormat="1"/>
    <row r="436" s="598" customFormat="1"/>
    <row r="437" s="598" customFormat="1"/>
    <row r="438" s="598" customFormat="1"/>
    <row r="439" s="598" customFormat="1"/>
    <row r="440" s="598" customFormat="1"/>
    <row r="441" s="598" customFormat="1"/>
    <row r="442" s="598" customFormat="1"/>
    <row r="443" s="598" customFormat="1"/>
    <row r="444" s="598" customFormat="1"/>
    <row r="445" s="598" customFormat="1"/>
    <row r="446" s="598" customFormat="1"/>
    <row r="447" s="598" customFormat="1"/>
    <row r="448" s="598" customFormat="1"/>
    <row r="449" s="598" customFormat="1"/>
    <row r="450" s="598" customFormat="1"/>
    <row r="451" s="598" customFormat="1"/>
    <row r="452" s="598" customFormat="1"/>
    <row r="453" s="598" customFormat="1"/>
    <row r="454" s="598" customFormat="1"/>
    <row r="455" s="598" customFormat="1"/>
    <row r="456" s="598" customFormat="1"/>
    <row r="457" s="598" customFormat="1"/>
    <row r="458" s="598" customFormat="1"/>
    <row r="459" s="598" customFormat="1"/>
    <row r="460" s="598" customFormat="1"/>
    <row r="461" s="598" customFormat="1"/>
    <row r="462" s="598" customFormat="1"/>
    <row r="463" s="598" customFormat="1"/>
    <row r="464" s="598" customFormat="1"/>
    <row r="465" s="598" customFormat="1"/>
    <row r="466" s="598" customFormat="1"/>
    <row r="467" s="598" customFormat="1"/>
    <row r="468" s="598" customFormat="1"/>
    <row r="469" s="598" customFormat="1"/>
    <row r="470" s="598" customFormat="1"/>
    <row r="471" s="598" customFormat="1"/>
    <row r="472" s="598" customFormat="1"/>
    <row r="473" s="598" customFormat="1"/>
    <row r="474" s="598" customFormat="1"/>
    <row r="475" s="598" customFormat="1"/>
    <row r="476" s="598" customFormat="1"/>
    <row r="477" s="598" customFormat="1"/>
    <row r="478" s="598" customFormat="1"/>
    <row r="479" s="598" customFormat="1"/>
    <row r="480" s="598" customFormat="1"/>
    <row r="481" s="598" customFormat="1"/>
    <row r="482" s="598" customFormat="1"/>
    <row r="483" s="598" customFormat="1"/>
    <row r="484" s="598" customFormat="1"/>
    <row r="485" s="598" customFormat="1"/>
    <row r="486" s="598" customFormat="1"/>
    <row r="487" s="598" customFormat="1"/>
    <row r="488" s="598" customFormat="1"/>
    <row r="489" s="598" customFormat="1"/>
    <row r="490" s="598" customFormat="1"/>
    <row r="491" s="598" customFormat="1"/>
    <row r="492" s="598" customFormat="1"/>
    <row r="493" s="598" customFormat="1"/>
    <row r="494" s="598" customFormat="1"/>
    <row r="495" s="598" customFormat="1"/>
    <row r="496" s="598" customFormat="1"/>
    <row r="497" s="598" customFormat="1"/>
    <row r="498" s="598" customFormat="1"/>
    <row r="499" s="598" customFormat="1"/>
    <row r="500" s="598" customFormat="1"/>
    <row r="501" s="598" customFormat="1"/>
    <row r="502" s="598" customFormat="1"/>
    <row r="503" s="598" customFormat="1"/>
    <row r="504" s="598" customFormat="1"/>
    <row r="505" s="598" customFormat="1"/>
    <row r="506" s="598" customFormat="1"/>
    <row r="507" s="598" customFormat="1"/>
    <row r="508" s="598" customFormat="1"/>
    <row r="509" s="598" customFormat="1"/>
    <row r="510" s="598" customFormat="1"/>
    <row r="511" s="598" customFormat="1"/>
    <row r="512" s="598" customFormat="1"/>
    <row r="513" s="598" customFormat="1"/>
    <row r="514" s="598" customFormat="1"/>
    <row r="515" s="598" customFormat="1"/>
    <row r="516" s="598" customFormat="1"/>
    <row r="517" s="598" customFormat="1"/>
    <row r="518" s="598" customFormat="1"/>
    <row r="519" s="598" customFormat="1"/>
    <row r="520" s="598" customFormat="1"/>
    <row r="521" s="598" customFormat="1"/>
    <row r="522" s="598" customFormat="1"/>
    <row r="523" s="598" customFormat="1"/>
    <row r="524" s="598" customFormat="1"/>
    <row r="525" s="598" customFormat="1"/>
    <row r="526" s="598" customFormat="1"/>
    <row r="527" s="598" customFormat="1"/>
    <row r="528" s="598" customFormat="1"/>
    <row r="529" s="598" customFormat="1"/>
    <row r="530" s="598" customFormat="1"/>
    <row r="531" s="598" customFormat="1"/>
    <row r="532" s="598" customFormat="1"/>
    <row r="533" s="598" customFormat="1"/>
    <row r="534" s="598" customFormat="1"/>
    <row r="535" s="598" customFormat="1"/>
    <row r="536" s="598" customFormat="1"/>
    <row r="537" s="598" customFormat="1"/>
    <row r="538" s="598" customFormat="1"/>
    <row r="539" s="598" customFormat="1"/>
    <row r="540" s="598" customFormat="1"/>
    <row r="541" s="598" customFormat="1"/>
    <row r="542" s="598" customFormat="1"/>
    <row r="543" s="598" customFormat="1"/>
    <row r="544" s="598" customFormat="1"/>
    <row r="545" s="598" customFormat="1"/>
    <row r="546" s="598" customFormat="1"/>
    <row r="547" s="598" customFormat="1"/>
    <row r="548" s="598" customFormat="1"/>
    <row r="549" s="598" customFormat="1"/>
    <row r="550" s="598" customFormat="1"/>
    <row r="551" s="598" customFormat="1"/>
    <row r="552" s="598" customFormat="1"/>
    <row r="553" s="598" customFormat="1"/>
    <row r="554" s="598" customFormat="1"/>
    <row r="555" s="598" customFormat="1"/>
    <row r="556" s="598" customFormat="1"/>
    <row r="557" s="598" customFormat="1"/>
    <row r="558" s="598" customFormat="1"/>
    <row r="559" s="598" customFormat="1"/>
    <row r="560" s="598" customFormat="1"/>
    <row r="561" s="598" customFormat="1"/>
    <row r="562" s="598" customFormat="1"/>
    <row r="563" s="598" customFormat="1"/>
    <row r="564" s="598" customFormat="1"/>
    <row r="565" s="598" customFormat="1"/>
    <row r="566" s="598" customFormat="1"/>
    <row r="567" s="598" customFormat="1"/>
    <row r="568" s="598" customFormat="1"/>
    <row r="569" s="598" customFormat="1"/>
    <row r="570" s="598" customFormat="1"/>
    <row r="571" s="598" customFormat="1"/>
    <row r="572" s="598" customFormat="1"/>
    <row r="573" s="598" customFormat="1"/>
    <row r="574" s="598" customFormat="1"/>
    <row r="575" s="598" customFormat="1"/>
    <row r="576" s="598" customFormat="1"/>
    <row r="577" s="598" customFormat="1"/>
    <row r="578" s="598" customFormat="1"/>
    <row r="579" s="598" customFormat="1"/>
    <row r="580" s="598" customFormat="1"/>
    <row r="581" s="598" customFormat="1"/>
    <row r="582" s="598" customFormat="1"/>
    <row r="583" s="598" customFormat="1"/>
    <row r="584" s="598" customFormat="1"/>
    <row r="585" s="598" customFormat="1"/>
    <row r="586" s="598" customFormat="1"/>
    <row r="587" s="598" customFormat="1"/>
    <row r="588" s="598" customFormat="1"/>
    <row r="589" s="598" customFormat="1"/>
    <row r="590" s="598" customFormat="1"/>
    <row r="591" s="598" customFormat="1"/>
    <row r="592" s="598" customFormat="1"/>
    <row r="593" s="598" customFormat="1"/>
    <row r="594" s="598" customFormat="1"/>
    <row r="595" s="598" customFormat="1"/>
  </sheetData>
  <sheetProtection algorithmName="SHA-512" hashValue="4i9p/OpNauaa7uzF03Y5KssEe2z4+U0hS5N7A0vLgLReYcPDZ1Nmb5jv6WVSa8rS5AZ25RrB5Ey4xvuYH6U8sQ==" saltValue="+kfHls31jvU9VUH7lr3aQg==" spinCount="100000" sheet="1" formatColumns="0" formatRows="0"/>
  <mergeCells count="44">
    <mergeCell ref="CA9:CB9"/>
    <mergeCell ref="CL9:CP9"/>
    <mergeCell ref="CL27:CP27"/>
    <mergeCell ref="CL47:CN47"/>
    <mergeCell ref="CD9:CD10"/>
    <mergeCell ref="CE9:CI9"/>
    <mergeCell ref="CE27:CI27"/>
    <mergeCell ref="CE47:CG47"/>
    <mergeCell ref="DB9:DF9"/>
    <mergeCell ref="DB27:DF27"/>
    <mergeCell ref="DB47:DD47"/>
    <mergeCell ref="CS9:CW9"/>
    <mergeCell ref="CS27:CW27"/>
    <mergeCell ref="CS47:CU47"/>
    <mergeCell ref="AM9:AQ9"/>
    <mergeCell ref="AM27:AQ27"/>
    <mergeCell ref="AM47:AO47"/>
    <mergeCell ref="BO9:BP9"/>
    <mergeCell ref="BT9:BV9"/>
    <mergeCell ref="AL9:AL10"/>
    <mergeCell ref="A81:G81"/>
    <mergeCell ref="B27:F27"/>
    <mergeCell ref="A46:B46"/>
    <mergeCell ref="B47:D47"/>
    <mergeCell ref="A80:G80"/>
    <mergeCell ref="A77:D77"/>
    <mergeCell ref="A79:G79"/>
    <mergeCell ref="B4:C4"/>
    <mergeCell ref="AF9:AJ9"/>
    <mergeCell ref="A78:G78"/>
    <mergeCell ref="I9:M9"/>
    <mergeCell ref="I27:M27"/>
    <mergeCell ref="I47:K47"/>
    <mergeCell ref="B9:F9"/>
    <mergeCell ref="AF27:AJ27"/>
    <mergeCell ref="AF47:AH47"/>
    <mergeCell ref="BY9:BZ9"/>
    <mergeCell ref="BB9:BC9"/>
    <mergeCell ref="BD9:BE9"/>
    <mergeCell ref="BM9:BN9"/>
    <mergeCell ref="BJ9:BL9"/>
    <mergeCell ref="BG9:BH9"/>
    <mergeCell ref="BQ9:BR9"/>
    <mergeCell ref="BW9:BX9"/>
  </mergeCells>
  <conditionalFormatting sqref="C12:E15 B13 I13 J12:L15 C30:E33 J30:L33">
    <cfRule type="expression" dxfId="414" priority="23" stopIfTrue="1">
      <formula>$B$4="Normalisé"</formula>
    </cfRule>
  </conditionalFormatting>
  <conditionalFormatting sqref="H10">
    <cfRule type="expression" dxfId="413" priority="22" stopIfTrue="1">
      <formula>$B$5="NON"</formula>
    </cfRule>
  </conditionalFormatting>
  <conditionalFormatting sqref="B31">
    <cfRule type="expression" dxfId="412" priority="21" stopIfTrue="1">
      <formula>$B$4="Normalisé"</formula>
    </cfRule>
  </conditionalFormatting>
  <conditionalFormatting sqref="I31">
    <cfRule type="expression" dxfId="411" priority="20" stopIfTrue="1">
      <formula>$B$4="Normalisé"</formula>
    </cfRule>
  </conditionalFormatting>
  <conditionalFormatting sqref="AF13 AG31:AG33 AG13:AI15">
    <cfRule type="expression" dxfId="410" priority="19" stopIfTrue="1">
      <formula>$B$4="Normalisé"</formula>
    </cfRule>
  </conditionalFormatting>
  <conditionalFormatting sqref="AE10">
    <cfRule type="expression" dxfId="409" priority="18" stopIfTrue="1">
      <formula>$B$5="NON"</formula>
    </cfRule>
  </conditionalFormatting>
  <conditionalFormatting sqref="AF31">
    <cfRule type="expression" dxfId="408" priority="17" stopIfTrue="1">
      <formula>$B$4="Normalisé"</formula>
    </cfRule>
  </conditionalFormatting>
  <conditionalFormatting sqref="AP31:AP33">
    <cfRule type="expression" dxfId="407" priority="16" stopIfTrue="1">
      <formula>$B$4="Normalisé"</formula>
    </cfRule>
  </conditionalFormatting>
  <conditionalFormatting sqref="CH30:CH33">
    <cfRule type="expression" dxfId="406" priority="13" stopIfTrue="1">
      <formula>$B$4="Normalisé"</formula>
    </cfRule>
  </conditionalFormatting>
  <conditionalFormatting sqref="CK10">
    <cfRule type="expression" dxfId="405" priority="11" stopIfTrue="1">
      <formula>$B$5="NON"</formula>
    </cfRule>
  </conditionalFormatting>
  <conditionalFormatting sqref="CL31">
    <cfRule type="expression" dxfId="404" priority="10" stopIfTrue="1">
      <formula>$B$4="Normalisé"</formula>
    </cfRule>
  </conditionalFormatting>
  <conditionalFormatting sqref="CS13">
    <cfRule type="expression" dxfId="403" priority="9" stopIfTrue="1">
      <formula>$B$4="Normalisé"</formula>
    </cfRule>
  </conditionalFormatting>
  <conditionalFormatting sqref="CR10">
    <cfRule type="expression" dxfId="402" priority="8" stopIfTrue="1">
      <formula>$B$5="NON"</formula>
    </cfRule>
  </conditionalFormatting>
  <conditionalFormatting sqref="CS31">
    <cfRule type="expression" dxfId="401" priority="7" stopIfTrue="1">
      <formula>$B$4="Normalisé"</formula>
    </cfRule>
  </conditionalFormatting>
  <conditionalFormatting sqref="DB13 DC12:DE15 DC30:DE33">
    <cfRule type="expression" dxfId="400" priority="6" stopIfTrue="1">
      <formula>$B$4="Normalisé"</formula>
    </cfRule>
  </conditionalFormatting>
  <conditionalFormatting sqref="DA10">
    <cfRule type="expression" dxfId="399" priority="5" stopIfTrue="1">
      <formula>$B$5="NON"</formula>
    </cfRule>
  </conditionalFormatting>
  <conditionalFormatting sqref="DB31">
    <cfRule type="expression" dxfId="398" priority="4" stopIfTrue="1">
      <formula>$B$4="Normalisé"</formula>
    </cfRule>
  </conditionalFormatting>
  <conditionalFormatting sqref="AN31:AN33">
    <cfRule type="expression" dxfId="397" priority="3" stopIfTrue="1">
      <formula>$B$4="Normalisé"</formula>
    </cfRule>
  </conditionalFormatting>
  <conditionalFormatting sqref="CM31:CM33">
    <cfRule type="expression" dxfId="396" priority="2" stopIfTrue="1">
      <formula>$B$4="Normalisé"</formula>
    </cfRule>
  </conditionalFormatting>
  <conditionalFormatting sqref="CT31:CT33">
    <cfRule type="expression" dxfId="395" priority="1" stopIfTrue="1">
      <formula>$B$4="Normalisé"</formula>
    </cfRule>
  </conditionalFormatting>
  <dataValidations count="3">
    <dataValidation type="list" allowBlank="1" showInputMessage="1" showErrorMessage="1" sqref="B4" xr:uid="{00000000-0002-0000-0600-000000000000}">
      <formula1>Type_bilan</formula1>
    </dataValidation>
    <dataValidation type="list" allowBlank="1" showInputMessage="1" showErrorMessage="1" sqref="B5" xr:uid="{00000000-0002-0000-0600-000001000000}">
      <formula1>Choix</formula1>
    </dataValidation>
    <dataValidation type="list" allowBlank="1" showInputMessage="1" showErrorMessage="1" sqref="B6:B7" xr:uid="{00000000-0002-0000-0600-000002000000}">
      <formula1>Pourcent</formula1>
    </dataValidation>
  </dataValidations>
  <pageMargins left="0.7" right="0.7" top="0.75" bottom="0.75" header="0.3" footer="0.3"/>
  <pageSetup paperSize="9" scale="64" orientation="portrait" r:id="rId1"/>
  <rowBreaks count="1" manualBreakCount="1">
    <brk id="96" max="16383" man="1"/>
  </rowBreaks>
  <colBreaks count="2" manualBreakCount="2">
    <brk id="7" max="1048575" man="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8947617" r:id="rId4" name="Button 1441">
              <controlPr defaultSize="0" print="0" autoFill="0" autoPict="0" macro="[0]!export_territoire_to_word">
                <anchor moveWithCells="1">
                  <from>
                    <xdr:col>10</xdr:col>
                    <xdr:colOff>830580</xdr:colOff>
                    <xdr:row>1</xdr:row>
                    <xdr:rowOff>182880</xdr:rowOff>
                  </from>
                  <to>
                    <xdr:col>12</xdr:col>
                    <xdr:colOff>792480</xdr:colOff>
                    <xdr:row>3</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6">
    <tabColor theme="8" tint="-0.249977111117893"/>
  </sheetPr>
  <dimension ref="A1:O141"/>
  <sheetViews>
    <sheetView showGridLines="0" zoomScale="90" zoomScaleNormal="90" zoomScaleSheetLayoutView="90" workbookViewId="0">
      <pane ySplit="1" topLeftCell="A2" activePane="bottomLeft" state="frozen"/>
      <selection activeCell="D90" sqref="D90"/>
      <selection pane="bottomLeft" activeCell="A21" sqref="A21"/>
    </sheetView>
  </sheetViews>
  <sheetFormatPr baseColWidth="10" defaultColWidth="9.109375" defaultRowHeight="14.4"/>
  <cols>
    <col min="1" max="1" width="38.44140625" customWidth="1"/>
    <col min="2" max="2" width="16" customWidth="1"/>
    <col min="3" max="3" width="15" bestFit="1" customWidth="1"/>
    <col min="4" max="4" width="15.44140625" bestFit="1" customWidth="1"/>
    <col min="5" max="5" width="15.88671875" bestFit="1" customWidth="1"/>
    <col min="6" max="6" width="14.44140625" bestFit="1" customWidth="1"/>
    <col min="7" max="7" width="10.44140625" customWidth="1"/>
    <col min="8" max="8" width="12" customWidth="1"/>
    <col min="9" max="9" width="23.88671875" customWidth="1"/>
    <col min="10" max="10" width="11.44140625" style="1" customWidth="1"/>
    <col min="11" max="11" width="19.33203125" style="1" customWidth="1"/>
    <col min="12" max="13" width="11.44140625" style="1" customWidth="1"/>
    <col min="14" max="14" width="20" style="1" customWidth="1"/>
    <col min="15" max="15" width="14" style="45" customWidth="1"/>
    <col min="16" max="16384" width="9.109375" style="31"/>
  </cols>
  <sheetData>
    <row r="1" spans="1:15" s="121" customFormat="1" ht="63.75" customHeight="1">
      <c r="A1" s="247"/>
      <c r="B1" s="248"/>
      <c r="C1" s="248"/>
      <c r="D1" s="248"/>
      <c r="E1" s="248"/>
      <c r="F1" s="249"/>
      <c r="G1" s="248"/>
      <c r="H1" s="248"/>
      <c r="I1" s="248"/>
      <c r="J1" s="248"/>
      <c r="K1" s="248"/>
      <c r="L1" s="248"/>
      <c r="M1" s="250"/>
      <c r="N1" s="251"/>
      <c r="O1" s="268"/>
    </row>
    <row r="2" spans="1:15" s="122" customFormat="1" ht="15.75" customHeight="1">
      <c r="A2" s="252"/>
      <c r="B2" s="253"/>
      <c r="C2" s="253"/>
      <c r="D2" s="253"/>
      <c r="E2" s="253"/>
      <c r="F2" s="253"/>
      <c r="G2" s="253"/>
      <c r="H2" s="253"/>
      <c r="I2" s="253"/>
      <c r="J2" s="1001"/>
      <c r="K2" s="1001"/>
      <c r="L2" s="1001"/>
      <c r="M2" s="1001"/>
      <c r="N2" s="1002"/>
      <c r="O2" s="567"/>
    </row>
    <row r="3" spans="1:15" ht="33.6" hidden="1">
      <c r="A3" s="108" t="e">
        <f>#REF!</f>
        <v>#REF!</v>
      </c>
      <c r="J3" s="601"/>
      <c r="K3" s="601"/>
      <c r="L3" s="601"/>
      <c r="M3" s="601"/>
      <c r="N3" s="601"/>
      <c r="O3" s="567"/>
    </row>
    <row r="4" spans="1:15" ht="23.4" hidden="1">
      <c r="A4" s="109" t="s">
        <v>245</v>
      </c>
      <c r="J4" s="601"/>
      <c r="K4" s="601"/>
      <c r="L4" s="601"/>
      <c r="M4" s="601"/>
      <c r="N4" s="601"/>
      <c r="O4" s="233"/>
    </row>
    <row r="5" spans="1:15" hidden="1">
      <c r="A5" s="1196"/>
      <c r="B5" s="59" t="s">
        <v>246</v>
      </c>
      <c r="C5" s="59" t="s">
        <v>247</v>
      </c>
      <c r="J5" s="601"/>
      <c r="K5" s="601"/>
      <c r="L5" s="601"/>
      <c r="M5" s="601"/>
      <c r="N5" s="601"/>
      <c r="O5" s="233"/>
    </row>
    <row r="6" spans="1:15" hidden="1">
      <c r="A6" s="1197">
        <v>2010</v>
      </c>
      <c r="B6" s="110" t="e">
        <f>VLOOKUP(A3,#REF!,#REF!,0)</f>
        <v>#REF!</v>
      </c>
      <c r="C6" s="59" t="e">
        <f>VLOOKUP(A3,#REF!,#REF!,0)</f>
        <v>#REF!</v>
      </c>
      <c r="J6" s="601"/>
      <c r="K6" s="601"/>
      <c r="L6" s="601"/>
      <c r="M6" s="601"/>
      <c r="N6" s="601"/>
      <c r="O6" s="233"/>
    </row>
    <row r="7" spans="1:15" hidden="1">
      <c r="A7" s="1197">
        <v>2020</v>
      </c>
      <c r="B7" s="110"/>
      <c r="C7" s="59"/>
      <c r="J7" s="601"/>
      <c r="K7" s="601"/>
      <c r="L7" s="601"/>
      <c r="M7" s="601"/>
      <c r="N7" s="601"/>
      <c r="O7" s="233"/>
    </row>
    <row r="8" spans="1:15" hidden="1">
      <c r="A8" s="1197">
        <v>2030</v>
      </c>
      <c r="B8" s="110"/>
      <c r="C8" s="59"/>
      <c r="J8" s="601"/>
      <c r="K8" s="601"/>
      <c r="L8" s="601"/>
      <c r="M8" s="601"/>
      <c r="N8" s="601"/>
      <c r="O8" s="233"/>
    </row>
    <row r="9" spans="1:15" hidden="1">
      <c r="A9" s="1197">
        <v>2040</v>
      </c>
      <c r="B9" s="110"/>
      <c r="C9" s="59"/>
      <c r="J9" s="601"/>
      <c r="K9" s="601"/>
      <c r="L9" s="601"/>
      <c r="M9" s="601"/>
      <c r="N9" s="601"/>
      <c r="O9" s="233"/>
    </row>
    <row r="10" spans="1:15" hidden="1">
      <c r="A10" s="1197">
        <v>2050</v>
      </c>
      <c r="B10" s="110"/>
      <c r="C10" s="59"/>
      <c r="J10" s="601"/>
      <c r="K10" s="601"/>
      <c r="L10" s="601"/>
      <c r="M10" s="601"/>
      <c r="N10" s="601"/>
      <c r="O10" s="233"/>
    </row>
    <row r="11" spans="1:15" ht="5.25" customHeight="1">
      <c r="A11" s="1196"/>
      <c r="J11" s="601"/>
      <c r="K11" s="1468"/>
      <c r="L11" s="602"/>
      <c r="M11" s="602"/>
      <c r="N11" s="602"/>
      <c r="O11" s="271"/>
    </row>
    <row r="12" spans="1:15" ht="10.5" customHeight="1">
      <c r="A12" s="1196"/>
      <c r="E12" s="1955"/>
      <c r="F12" s="1955"/>
      <c r="G12" s="1955"/>
      <c r="H12" s="1955"/>
      <c r="J12" s="601"/>
      <c r="K12" s="269" t="s">
        <v>248</v>
      </c>
      <c r="L12" s="272" t="s">
        <v>249</v>
      </c>
      <c r="M12" s="273" t="s">
        <v>250</v>
      </c>
      <c r="N12" s="273" t="s">
        <v>107</v>
      </c>
      <c r="O12" s="601"/>
    </row>
    <row r="13" spans="1:15" ht="23.4">
      <c r="A13" s="109" t="str">
        <f>"Potentiel énergies renouvelables (production "&amp;Accueil!E29&amp;" + potentiel supplémentaire)"</f>
        <v>Potentiel énergies renouvelables (production  + potentiel supplémentaire)</v>
      </c>
      <c r="I13" s="55"/>
      <c r="J13" s="243"/>
      <c r="K13" s="1703" t="str">
        <f>$A$23</f>
        <v>Chaleur fatale</v>
      </c>
      <c r="L13" s="1704">
        <f>$E$23</f>
        <v>0</v>
      </c>
      <c r="M13" s="1704">
        <f>$F$23</f>
        <v>0</v>
      </c>
      <c r="N13" s="1704">
        <f>$G$23</f>
        <v>0</v>
      </c>
      <c r="O13" s="1702"/>
    </row>
    <row r="14" spans="1:15" ht="9.75" customHeight="1" thickBot="1">
      <c r="A14" s="111"/>
      <c r="I14" s="55"/>
      <c r="J14" s="243"/>
      <c r="K14" s="269" t="str">
        <f>$A$16</f>
        <v>Eolien</v>
      </c>
      <c r="L14" s="270">
        <f>$E$16</f>
        <v>0</v>
      </c>
      <c r="M14" s="270">
        <f>$F$16</f>
        <v>0</v>
      </c>
      <c r="N14" s="270">
        <f>$G$16</f>
        <v>0</v>
      </c>
      <c r="O14" s="1702"/>
    </row>
    <row r="15" spans="1:15" ht="72.599999999999994" thickBot="1">
      <c r="A15" s="1198" t="s">
        <v>251</v>
      </c>
      <c r="B15" s="1199" t="s">
        <v>252</v>
      </c>
      <c r="C15" s="1200" t="s">
        <v>253</v>
      </c>
      <c r="D15" s="1200" t="s">
        <v>254</v>
      </c>
      <c r="E15" s="1200" t="s">
        <v>255</v>
      </c>
      <c r="F15" s="1200" t="s">
        <v>256</v>
      </c>
      <c r="G15" s="1200" t="s">
        <v>257</v>
      </c>
      <c r="H15" s="1201" t="s">
        <v>258</v>
      </c>
      <c r="I15" s="1480" t="s">
        <v>2071</v>
      </c>
      <c r="J15" s="243"/>
      <c r="K15" s="269" t="str">
        <f>$A$22</f>
        <v xml:space="preserve">Photovoltaïque </v>
      </c>
      <c r="L15" s="270">
        <f>$E$22</f>
        <v>0</v>
      </c>
      <c r="M15" s="270">
        <f>$F$22</f>
        <v>0</v>
      </c>
      <c r="N15" s="270">
        <f>$G$22</f>
        <v>0</v>
      </c>
      <c r="O15" s="1702"/>
    </row>
    <row r="16" spans="1:15" ht="28.8">
      <c r="A16" s="1706" t="s">
        <v>213</v>
      </c>
      <c r="B16" s="1707">
        <v>2190</v>
      </c>
      <c r="C16" s="1708"/>
      <c r="D16" s="1709"/>
      <c r="E16" s="1710">
        <f>B16*C16/1000000</f>
        <v>0</v>
      </c>
      <c r="F16" s="1710">
        <f>B16*D16/1000000</f>
        <v>0</v>
      </c>
      <c r="G16" s="1711">
        <f>SUM(E16:F16)</f>
        <v>0</v>
      </c>
      <c r="H16" s="1712">
        <f t="shared" ref="H16:H23" si="0">IF($G$24=0,0,G16/$G$24)</f>
        <v>0</v>
      </c>
      <c r="I16" s="1479" t="str">
        <f>"Production "&amp;Accueil!E$29&amp;" &gt; potentiel encodé!"</f>
        <v>Production  &gt; potentiel encodé!</v>
      </c>
      <c r="J16" s="243">
        <f t="shared" ref="J16:J22" si="1">IF(G16=0,0,IF(G16&lt;G48,1,0))</f>
        <v>0</v>
      </c>
      <c r="K16" s="269" t="str">
        <f>$A$21</f>
        <v>Solaire thermique</v>
      </c>
      <c r="L16" s="270">
        <f>$E$21</f>
        <v>0</v>
      </c>
      <c r="M16" s="270">
        <f>$F$21</f>
        <v>0</v>
      </c>
      <c r="N16" s="270">
        <f>$G$21</f>
        <v>0</v>
      </c>
      <c r="O16" s="1702"/>
    </row>
    <row r="17" spans="1:15" ht="28.8">
      <c r="A17" s="1460" t="s">
        <v>214</v>
      </c>
      <c r="B17" s="1206">
        <v>3300</v>
      </c>
      <c r="C17" s="1471"/>
      <c r="D17" s="1472"/>
      <c r="E17" s="1473">
        <f t="shared" ref="E17:E23" si="2">B17*C17/1000000</f>
        <v>0</v>
      </c>
      <c r="F17" s="1473">
        <f t="shared" ref="F17:F23" si="3">B17*D17/1000000</f>
        <v>0</v>
      </c>
      <c r="G17" s="1474">
        <f t="shared" ref="G17:G23" si="4">SUM(E17:F17)</f>
        <v>0</v>
      </c>
      <c r="H17" s="1713">
        <f t="shared" si="0"/>
        <v>0</v>
      </c>
      <c r="I17" s="1479" t="str">
        <f>"Production "&amp;Accueil!E$29&amp;" &gt; potentiel encodé!"</f>
        <v>Production  &gt; potentiel encodé!</v>
      </c>
      <c r="J17" s="243">
        <f t="shared" si="1"/>
        <v>0</v>
      </c>
      <c r="K17" s="269" t="str">
        <f>$A$18</f>
        <v>Bois</v>
      </c>
      <c r="L17" s="270">
        <f>$E$18</f>
        <v>0</v>
      </c>
      <c r="M17" s="270">
        <f>$F$18</f>
        <v>0</v>
      </c>
      <c r="N17" s="270">
        <f>$G$18</f>
        <v>0</v>
      </c>
      <c r="O17" s="1702"/>
    </row>
    <row r="18" spans="1:15" ht="28.8">
      <c r="A18" s="1460" t="s">
        <v>189</v>
      </c>
      <c r="B18" s="1206">
        <v>4800</v>
      </c>
      <c r="C18" s="1471"/>
      <c r="D18" s="1471"/>
      <c r="E18" s="1473">
        <f t="shared" si="2"/>
        <v>0</v>
      </c>
      <c r="F18" s="1473">
        <f t="shared" si="3"/>
        <v>0</v>
      </c>
      <c r="G18" s="1474">
        <f t="shared" si="4"/>
        <v>0</v>
      </c>
      <c r="H18" s="1713">
        <f t="shared" si="0"/>
        <v>0</v>
      </c>
      <c r="I18" s="1479" t="str">
        <f>"Production "&amp;Accueil!E$29&amp;" &gt; potentiel encodé!"</f>
        <v>Production  &gt; potentiel encodé!</v>
      </c>
      <c r="J18" s="243">
        <f t="shared" si="1"/>
        <v>0</v>
      </c>
      <c r="K18" s="269" t="str">
        <f>$A$19</f>
        <v xml:space="preserve">Biométhanisation </v>
      </c>
      <c r="L18" s="270">
        <f>$E$19</f>
        <v>0</v>
      </c>
      <c r="M18" s="270">
        <f>$F$19</f>
        <v>0</v>
      </c>
      <c r="N18" s="270">
        <f>$G$19</f>
        <v>0</v>
      </c>
      <c r="O18" s="1702"/>
    </row>
    <row r="19" spans="1:15" ht="28.8">
      <c r="A19" s="1460" t="s">
        <v>259</v>
      </c>
      <c r="B19" s="1206">
        <v>6500</v>
      </c>
      <c r="C19" s="1471"/>
      <c r="D19" s="1471"/>
      <c r="E19" s="1473">
        <f>B19*C19/1000000</f>
        <v>0</v>
      </c>
      <c r="F19" s="1473">
        <f>B19*D19/1000000</f>
        <v>0</v>
      </c>
      <c r="G19" s="1474">
        <f t="shared" si="4"/>
        <v>0</v>
      </c>
      <c r="H19" s="1713">
        <f t="shared" si="0"/>
        <v>0</v>
      </c>
      <c r="I19" s="1479" t="str">
        <f>"Production "&amp;Accueil!E$29&amp;" &gt; potentiel encodé!"</f>
        <v>Production  &gt; potentiel encodé!</v>
      </c>
      <c r="J19" s="243">
        <f t="shared" si="1"/>
        <v>0</v>
      </c>
      <c r="K19" s="269" t="str">
        <f>$A$17</f>
        <v>Hydroélectricité</v>
      </c>
      <c r="L19" s="270">
        <f>$E$17</f>
        <v>0</v>
      </c>
      <c r="M19" s="270">
        <f>$F$17</f>
        <v>0</v>
      </c>
      <c r="N19" s="270">
        <f>$G$17</f>
        <v>0</v>
      </c>
      <c r="O19" s="1702"/>
    </row>
    <row r="20" spans="1:15" ht="28.8">
      <c r="A20" s="1460" t="s">
        <v>2216</v>
      </c>
      <c r="B20" s="1206">
        <v>1800</v>
      </c>
      <c r="C20" s="1472"/>
      <c r="D20" s="1471"/>
      <c r="E20" s="1473"/>
      <c r="F20" s="1473">
        <f>B20*D20/1000000</f>
        <v>0</v>
      </c>
      <c r="G20" s="1474">
        <f t="shared" si="4"/>
        <v>0</v>
      </c>
      <c r="H20" s="1713">
        <f t="shared" si="0"/>
        <v>0</v>
      </c>
      <c r="I20" s="1479" t="str">
        <f>"Production "&amp;Accueil!E$29&amp;" &gt; potentiel encodé!"</f>
        <v>Production  &gt; potentiel encodé!</v>
      </c>
      <c r="J20" s="243">
        <f t="shared" si="1"/>
        <v>0</v>
      </c>
      <c r="K20" s="269" t="str">
        <f>$A$20</f>
        <v>PAC</v>
      </c>
      <c r="L20" s="270">
        <f>$E$20</f>
        <v>0</v>
      </c>
      <c r="M20" s="270">
        <f>$F$20</f>
        <v>0</v>
      </c>
      <c r="N20" s="270">
        <f>$G$20</f>
        <v>0</v>
      </c>
      <c r="O20" s="1701"/>
    </row>
    <row r="21" spans="1:15" ht="28.8">
      <c r="A21" s="1460" t="s">
        <v>154</v>
      </c>
      <c r="B21" s="1206">
        <v>900</v>
      </c>
      <c r="C21" s="1472"/>
      <c r="D21" s="1471"/>
      <c r="E21" s="1473">
        <f>B21*C21/1000000</f>
        <v>0</v>
      </c>
      <c r="F21" s="1473">
        <f>B21*D21/1000000</f>
        <v>0</v>
      </c>
      <c r="G21" s="1474">
        <f t="shared" si="4"/>
        <v>0</v>
      </c>
      <c r="H21" s="1713">
        <f t="shared" si="0"/>
        <v>0</v>
      </c>
      <c r="I21" s="1479" t="str">
        <f>"Production "&amp;Accueil!E$29&amp;" &gt; potentiel encodé!"</f>
        <v>Production  &gt; potentiel encodé!</v>
      </c>
      <c r="J21" s="243">
        <f t="shared" si="1"/>
        <v>0</v>
      </c>
      <c r="K21" s="243"/>
      <c r="L21" s="243"/>
      <c r="M21" s="243"/>
      <c r="N21" s="243"/>
      <c r="O21" s="1701"/>
    </row>
    <row r="22" spans="1:15" ht="30" customHeight="1">
      <c r="A22" s="1714" t="s">
        <v>261</v>
      </c>
      <c r="B22" s="1678">
        <v>950</v>
      </c>
      <c r="C22" s="1679"/>
      <c r="D22" s="1680"/>
      <c r="E22" s="1681">
        <f t="shared" si="2"/>
        <v>0</v>
      </c>
      <c r="F22" s="1681">
        <f t="shared" si="3"/>
        <v>0</v>
      </c>
      <c r="G22" s="1682">
        <f t="shared" si="4"/>
        <v>0</v>
      </c>
      <c r="H22" s="1715">
        <f t="shared" si="0"/>
        <v>0</v>
      </c>
      <c r="I22" s="1479" t="str">
        <f>"Production "&amp;Accueil!E$29&amp;" &gt; potentiel encodé!"</f>
        <v>Production  &gt; potentiel encodé!</v>
      </c>
      <c r="J22" s="243">
        <f t="shared" si="1"/>
        <v>0</v>
      </c>
      <c r="K22" s="243"/>
      <c r="L22" s="243"/>
      <c r="M22" s="243"/>
      <c r="N22" s="243"/>
      <c r="O22" s="1701"/>
    </row>
    <row r="23" spans="1:15" ht="30" customHeight="1" thickBot="1">
      <c r="A23" s="1716" t="s">
        <v>2178</v>
      </c>
      <c r="B23" s="1717">
        <v>4800</v>
      </c>
      <c r="C23" s="1718"/>
      <c r="D23" s="1719"/>
      <c r="E23" s="1720">
        <f t="shared" si="2"/>
        <v>0</v>
      </c>
      <c r="F23" s="1720">
        <f t="shared" si="3"/>
        <v>0</v>
      </c>
      <c r="G23" s="1721">
        <f t="shared" si="4"/>
        <v>0</v>
      </c>
      <c r="H23" s="1722">
        <f t="shared" si="0"/>
        <v>0</v>
      </c>
      <c r="I23" s="1479" t="str">
        <f>"Production "&amp;Accueil!E$29&amp;" &gt; potentiel encodé!"</f>
        <v>Production  &gt; potentiel encodé!</v>
      </c>
      <c r="J23" s="243"/>
      <c r="K23" s="243"/>
      <c r="L23" s="243"/>
      <c r="M23" s="243"/>
      <c r="N23" s="243"/>
      <c r="O23" s="233"/>
    </row>
    <row r="24" spans="1:15">
      <c r="A24" s="113"/>
      <c r="D24" s="77" t="s">
        <v>107</v>
      </c>
      <c r="E24" s="1209">
        <f>SUM(E16:E23)</f>
        <v>0</v>
      </c>
      <c r="F24" s="1209">
        <f>SUM(F16:F23)</f>
        <v>0</v>
      </c>
      <c r="G24" s="1209">
        <f>SUM(G16:G23)</f>
        <v>0</v>
      </c>
      <c r="J24" s="243"/>
      <c r="K24" s="243"/>
      <c r="L24" s="243"/>
      <c r="M24" s="243"/>
      <c r="N24" s="243"/>
      <c r="O24" s="233"/>
    </row>
    <row r="25" spans="1:15">
      <c r="A25" s="113"/>
      <c r="J25" s="243"/>
      <c r="K25" s="243"/>
      <c r="L25" s="243"/>
      <c r="M25" s="243"/>
      <c r="N25" s="243"/>
      <c r="O25" s="233"/>
    </row>
    <row r="26" spans="1:15" ht="18">
      <c r="A26" s="1956" t="str">
        <f>"Part de la consommation "&amp;Accueil!E29&amp;" qui pourrait être couverte par le productible annuel potentiel "</f>
        <v xml:space="preserve">Part de la consommation  qui pourrait être couverte par le productible annuel potentiel </v>
      </c>
      <c r="B26" s="1956"/>
      <c r="C26" s="1956"/>
      <c r="D26" s="1956"/>
      <c r="E26" s="1956"/>
      <c r="F26" s="1956"/>
      <c r="G26" s="114" t="e">
        <f ca="1">(G24+'Bilan territorial'!$L$17)/'Bilan territorial'!M20</f>
        <v>#REF!</v>
      </c>
      <c r="J26" s="243"/>
      <c r="K26" s="243"/>
      <c r="L26" s="243"/>
      <c r="M26" s="243"/>
      <c r="N26" s="243"/>
      <c r="O26" s="233"/>
    </row>
    <row r="27" spans="1:15">
      <c r="A27" s="55" t="e">
        <f ca="1">"Couverture renouvelable potentielle : "&amp;ROUND(G26*100,0)&amp;"% de la consommation "&amp;Accueil!E29</f>
        <v>#REF!</v>
      </c>
      <c r="G27" s="116"/>
      <c r="J27" s="243"/>
      <c r="K27" s="243"/>
      <c r="L27" s="243"/>
      <c r="M27" s="243"/>
      <c r="N27" s="243"/>
      <c r="O27" s="233"/>
    </row>
    <row r="28" spans="1:15">
      <c r="J28" s="243"/>
      <c r="K28" s="243"/>
      <c r="L28" s="243"/>
      <c r="M28" s="243"/>
      <c r="N28" s="243"/>
      <c r="O28" s="233"/>
    </row>
    <row r="29" spans="1:15">
      <c r="A29" s="422"/>
      <c r="B29" s="422"/>
      <c r="C29" s="422"/>
      <c r="D29" s="422"/>
      <c r="E29" s="422"/>
      <c r="F29" s="422"/>
      <c r="G29" s="422"/>
      <c r="J29" s="243"/>
      <c r="K29" s="243"/>
      <c r="L29" s="243"/>
      <c r="M29" s="243"/>
      <c r="N29" s="243"/>
      <c r="O29" s="233"/>
    </row>
    <row r="30" spans="1:15" ht="30.75" customHeight="1">
      <c r="A30" s="433" t="s">
        <v>262</v>
      </c>
      <c r="B30" s="426" t="s">
        <v>263</v>
      </c>
      <c r="C30" s="424" t="s">
        <v>236</v>
      </c>
      <c r="D30" s="424" t="s">
        <v>203</v>
      </c>
      <c r="E30" s="424" t="s">
        <v>107</v>
      </c>
      <c r="F30" s="55"/>
      <c r="G30" s="422"/>
      <c r="J30" s="243"/>
      <c r="K30" s="243"/>
      <c r="L30" s="243"/>
      <c r="M30" s="243"/>
      <c r="N30" s="243"/>
      <c r="O30" s="233"/>
    </row>
    <row r="31" spans="1:15" ht="17.25" customHeight="1">
      <c r="A31" s="434" t="s">
        <v>264</v>
      </c>
      <c r="B31" s="365" t="e">
        <f ca="1">'Bilan territorial'!$I$20-'Bilan territorial'!$I$17</f>
        <v>#REF!</v>
      </c>
      <c r="C31" s="365" t="e">
        <f ca="1">SUM('Bilan territorial'!$J$20:$L$20)-SUM('Bilan territorial'!$J$17:$L$17)</f>
        <v>#REF!</v>
      </c>
      <c r="D31" s="365" t="e">
        <f ca="1">'Bilan territorial'!$M$17</f>
        <v>#REF!</v>
      </c>
      <c r="E31" s="365" t="e">
        <f ca="1">SUM(B31:D31)</f>
        <v>#REF!</v>
      </c>
      <c r="F31" s="115" t="e">
        <f ca="1">SUM(B31:D31)</f>
        <v>#REF!</v>
      </c>
      <c r="G31" s="422"/>
      <c r="I31" s="116"/>
      <c r="J31" s="243"/>
      <c r="K31" s="243"/>
      <c r="L31" s="243"/>
      <c r="M31" s="243"/>
      <c r="N31" s="243"/>
      <c r="O31" s="233"/>
    </row>
    <row r="32" spans="1:15" ht="12" customHeight="1">
      <c r="A32" s="434" t="s">
        <v>265</v>
      </c>
      <c r="B32" s="365">
        <f>E24</f>
        <v>0</v>
      </c>
      <c r="C32" s="365">
        <f>F24</f>
        <v>0</v>
      </c>
      <c r="D32" s="365" t="e">
        <f ca="1">'Bilan territorial'!$L$17</f>
        <v>#REF!</v>
      </c>
      <c r="E32" s="365" t="e">
        <f t="shared" ref="E32:E35" ca="1" si="5">SUM(B32:D32)</f>
        <v>#REF!</v>
      </c>
      <c r="F32" s="117" t="e">
        <f ca="1">SUM(B32:D32)</f>
        <v>#REF!</v>
      </c>
      <c r="G32" s="422"/>
      <c r="H32" s="118"/>
      <c r="J32" s="243"/>
      <c r="K32" s="243"/>
      <c r="L32" s="243"/>
      <c r="M32" s="243"/>
      <c r="N32" s="243"/>
      <c r="O32" s="233"/>
    </row>
    <row r="33" spans="1:15">
      <c r="A33" s="425" t="s">
        <v>266</v>
      </c>
      <c r="B33" s="365" t="e">
        <f ca="1">IF(B31-B32&lt;0,0,B31-B32)</f>
        <v>#REF!</v>
      </c>
      <c r="C33" s="365" t="e">
        <f ca="1">IF(C31-C32&lt;0,0,C31-C32)</f>
        <v>#REF!</v>
      </c>
      <c r="D33" s="365" t="e">
        <f ca="1">IF(D31-D32&lt;0,0,D31-D32)</f>
        <v>#REF!</v>
      </c>
      <c r="E33" s="365" t="e">
        <f t="shared" ca="1" si="5"/>
        <v>#REF!</v>
      </c>
      <c r="F33" s="55"/>
      <c r="G33" s="422"/>
      <c r="J33" s="243"/>
      <c r="K33" s="243"/>
      <c r="L33" s="243"/>
      <c r="M33" s="243"/>
      <c r="N33" s="243"/>
      <c r="O33" s="233"/>
    </row>
    <row r="34" spans="1:15">
      <c r="A34" s="425" t="s">
        <v>267</v>
      </c>
      <c r="B34" s="365" t="e">
        <f ca="1">IF(B32&gt;B31,B31,B32)</f>
        <v>#REF!</v>
      </c>
      <c r="C34" s="365" t="e">
        <f ca="1">IF(C32&gt;C31,C31,C32)</f>
        <v>#REF!</v>
      </c>
      <c r="D34" s="365" t="e">
        <f ca="1">IF(D32&gt;D31,D31,D32)</f>
        <v>#REF!</v>
      </c>
      <c r="E34" s="365" t="e">
        <f t="shared" ca="1" si="5"/>
        <v>#REF!</v>
      </c>
      <c r="F34" s="55"/>
      <c r="G34" s="422"/>
      <c r="J34" s="243"/>
      <c r="K34" s="243"/>
      <c r="L34" s="243"/>
      <c r="M34" s="243"/>
      <c r="N34" s="243"/>
      <c r="O34" s="233"/>
    </row>
    <row r="35" spans="1:15">
      <c r="A35" s="425" t="s">
        <v>268</v>
      </c>
      <c r="B35" s="365" t="e">
        <f ca="1">-(B32-B34)</f>
        <v>#REF!</v>
      </c>
      <c r="C35" s="365" t="e">
        <f ca="1">-(C32-C34)</f>
        <v>#REF!</v>
      </c>
      <c r="D35" s="365" t="e">
        <f ca="1">-(D32-D34)</f>
        <v>#REF!</v>
      </c>
      <c r="E35" s="365" t="e">
        <f t="shared" ca="1" si="5"/>
        <v>#REF!</v>
      </c>
      <c r="F35" s="55"/>
      <c r="G35" s="422"/>
      <c r="J35" s="243"/>
      <c r="K35" s="243"/>
      <c r="L35" s="243"/>
      <c r="M35" s="243"/>
      <c r="N35" s="243"/>
      <c r="O35" s="233"/>
    </row>
    <row r="36" spans="1:15" ht="14.4" hidden="1" customHeight="1">
      <c r="A36" s="346"/>
      <c r="B36" s="423" t="e">
        <f ca="1">B32/B31</f>
        <v>#REF!</v>
      </c>
      <c r="C36" s="423" t="e">
        <f ca="1">C32/C31</f>
        <v>#REF!</v>
      </c>
      <c r="D36" s="423" t="e">
        <f ca="1">D32/D31</f>
        <v>#REF!</v>
      </c>
      <c r="E36" s="1477"/>
      <c r="F36" s="55"/>
      <c r="G36" s="422"/>
      <c r="I36" s="1957" t="s">
        <v>269</v>
      </c>
      <c r="J36" s="1957"/>
      <c r="K36" s="1957"/>
      <c r="L36" s="1957"/>
      <c r="M36" s="1957"/>
      <c r="N36" s="1957"/>
      <c r="O36" s="233"/>
    </row>
    <row r="37" spans="1:15" ht="6.6" customHeight="1">
      <c r="A37" s="422"/>
      <c r="B37" s="1478"/>
      <c r="C37" s="1478"/>
      <c r="D37" s="1478"/>
      <c r="E37" s="1477"/>
      <c r="F37" s="55"/>
      <c r="G37" s="422"/>
      <c r="I37" s="1957"/>
      <c r="J37" s="1957"/>
      <c r="K37" s="1957"/>
      <c r="L37" s="1957"/>
      <c r="M37" s="1957"/>
      <c r="N37" s="1957"/>
      <c r="O37" s="233"/>
    </row>
    <row r="38" spans="1:15" ht="15" customHeight="1">
      <c r="A38" s="422"/>
      <c r="B38" s="1478"/>
      <c r="C38" s="1478"/>
      <c r="D38" s="1478"/>
      <c r="E38" s="785"/>
      <c r="F38" s="55"/>
      <c r="G38" s="422"/>
      <c r="I38" s="1957"/>
      <c r="J38" s="1957"/>
      <c r="K38" s="1957"/>
      <c r="L38" s="1957"/>
      <c r="M38" s="1957"/>
      <c r="N38" s="1957"/>
      <c r="O38" s="233"/>
    </row>
    <row r="39" spans="1:15">
      <c r="A39" s="425" t="str">
        <f>"Production renouvelable en "&amp;Accueil!E29</f>
        <v xml:space="preserve">Production renouvelable en </v>
      </c>
      <c r="B39" s="365" t="e">
        <f ca="1">'Bilan territorial'!I59</f>
        <v>#REF!</v>
      </c>
      <c r="C39" s="365" t="e">
        <f ca="1">'Bilan territorial'!J59</f>
        <v>#REF!</v>
      </c>
      <c r="D39" s="365" t="e">
        <f ca="1">D32</f>
        <v>#REF!</v>
      </c>
      <c r="E39" s="365" t="e">
        <f ca="1">SUM(B39:D39)</f>
        <v>#REF!</v>
      </c>
      <c r="F39" s="422"/>
      <c r="G39" s="422"/>
      <c r="I39" s="1957"/>
      <c r="J39" s="1957"/>
      <c r="K39" s="1957"/>
      <c r="L39" s="1957"/>
      <c r="M39" s="1957"/>
      <c r="N39" s="1957"/>
      <c r="O39" s="233"/>
    </row>
    <row r="40" spans="1:15">
      <c r="A40" s="425" t="str">
        <f>"Part de la consommation couverte en "&amp;Accueil!E29</f>
        <v xml:space="preserve">Part de la consommation couverte en </v>
      </c>
      <c r="B40" s="423" t="e">
        <f t="shared" ref="B40:D40" ca="1" si="6">B39/B31</f>
        <v>#REF!</v>
      </c>
      <c r="C40" s="423" t="e">
        <f t="shared" ca="1" si="6"/>
        <v>#REF!</v>
      </c>
      <c r="D40" s="423" t="e">
        <f t="shared" ca="1" si="6"/>
        <v>#REF!</v>
      </c>
      <c r="E40" s="423" t="e">
        <f ca="1">E39/E31</f>
        <v>#REF!</v>
      </c>
      <c r="F40" s="422"/>
      <c r="G40" s="422"/>
      <c r="I40" s="1957"/>
      <c r="J40" s="1957"/>
      <c r="K40" s="1957"/>
      <c r="L40" s="1957"/>
      <c r="M40" s="1957"/>
      <c r="N40" s="1957"/>
      <c r="O40" s="233"/>
    </row>
    <row r="41" spans="1:15">
      <c r="A41" s="425" t="str">
        <f>"Part du potentiel valorisé en "&amp;Accueil!E29</f>
        <v xml:space="preserve">Part du potentiel valorisé en </v>
      </c>
      <c r="B41" s="423">
        <f>IF(B32=0,0,B39/B32)</f>
        <v>0</v>
      </c>
      <c r="C41" s="423">
        <f>IF(C32=0,0,C39/C32)</f>
        <v>0</v>
      </c>
      <c r="D41" s="423" t="e">
        <f t="shared" ref="D41:E41" ca="1" si="7">D39/D32</f>
        <v>#REF!</v>
      </c>
      <c r="E41" s="423" t="e">
        <f t="shared" ca="1" si="7"/>
        <v>#REF!</v>
      </c>
      <c r="F41" s="422"/>
      <c r="G41" s="422"/>
      <c r="I41" s="1957"/>
      <c r="J41" s="1957"/>
      <c r="K41" s="1957"/>
      <c r="L41" s="1957"/>
      <c r="M41" s="1957"/>
      <c r="N41" s="1957"/>
      <c r="O41" s="233"/>
    </row>
    <row r="42" spans="1:15">
      <c r="A42" s="422"/>
      <c r="B42" s="422"/>
      <c r="C42" s="422"/>
      <c r="D42" s="422"/>
      <c r="E42" s="422"/>
      <c r="F42" s="422"/>
      <c r="G42" s="422"/>
      <c r="I42" s="1957"/>
      <c r="J42" s="1957"/>
      <c r="K42" s="1957"/>
      <c r="L42" s="1957"/>
      <c r="M42" s="1957"/>
      <c r="N42" s="1957"/>
      <c r="O42" s="233"/>
    </row>
    <row r="43" spans="1:15">
      <c r="A43" s="422"/>
      <c r="B43" s="422"/>
      <c r="C43" s="422"/>
      <c r="D43" s="422"/>
      <c r="E43" s="422"/>
      <c r="F43" s="422"/>
      <c r="G43" s="422"/>
      <c r="J43" s="243"/>
      <c r="K43" s="243"/>
      <c r="L43" s="243"/>
      <c r="M43" s="243"/>
      <c r="N43" s="243"/>
      <c r="O43" s="233"/>
    </row>
    <row r="44" spans="1:15">
      <c r="J44" s="243"/>
      <c r="K44" s="243"/>
      <c r="L44" s="243"/>
      <c r="M44" s="243"/>
      <c r="N44" s="243"/>
      <c r="O44" s="233"/>
    </row>
    <row r="45" spans="1:15" ht="23.4">
      <c r="A45" s="109" t="str">
        <f>"Production d'énergie renouvelable en "&amp;Accueil!E29</f>
        <v xml:space="preserve">Production d'énergie renouvelable en </v>
      </c>
      <c r="J45" s="243"/>
      <c r="K45" s="243"/>
      <c r="L45" s="243"/>
      <c r="M45" s="243"/>
      <c r="N45" s="243"/>
      <c r="O45" s="233"/>
    </row>
    <row r="46" spans="1:15" ht="24" thickBot="1">
      <c r="A46" s="111"/>
      <c r="J46" s="243"/>
      <c r="K46" s="243"/>
      <c r="L46" s="243"/>
      <c r="M46" s="243"/>
      <c r="N46" s="243"/>
      <c r="O46" s="233"/>
    </row>
    <row r="47" spans="1:15" ht="72.599999999999994" thickBot="1">
      <c r="A47" s="1198" t="s">
        <v>251</v>
      </c>
      <c r="B47" s="1199" t="s">
        <v>252</v>
      </c>
      <c r="C47" s="1200" t="s">
        <v>253</v>
      </c>
      <c r="D47" s="1200" t="s">
        <v>254</v>
      </c>
      <c r="E47" s="1200" t="s">
        <v>255</v>
      </c>
      <c r="F47" s="1200" t="s">
        <v>256</v>
      </c>
      <c r="G47" s="1201" t="s">
        <v>257</v>
      </c>
      <c r="J47" s="243"/>
      <c r="K47" s="243"/>
      <c r="L47" s="243"/>
      <c r="M47" s="243"/>
      <c r="N47" s="243"/>
      <c r="O47" s="233"/>
    </row>
    <row r="48" spans="1:15">
      <c r="A48" s="1458" t="s">
        <v>213</v>
      </c>
      <c r="B48" s="1203">
        <v>2190</v>
      </c>
      <c r="C48" s="1456" t="e">
        <f ca="1">E48/B48*1000000</f>
        <v>#REF!</v>
      </c>
      <c r="D48" s="956"/>
      <c r="E48" s="1204" t="e">
        <f ca="1">'Bilan territorial'!I49</f>
        <v>#REF!</v>
      </c>
      <c r="F48" s="1204">
        <v>0</v>
      </c>
      <c r="G48" s="1459" t="e">
        <f ca="1">SUM(E48:F48)</f>
        <v>#REF!</v>
      </c>
      <c r="J48" s="243"/>
      <c r="K48" s="243"/>
      <c r="L48" s="243"/>
      <c r="M48" s="243"/>
      <c r="N48" s="243"/>
      <c r="O48" s="233"/>
    </row>
    <row r="49" spans="1:15">
      <c r="A49" s="1460" t="s">
        <v>214</v>
      </c>
      <c r="B49" s="1206">
        <v>3300</v>
      </c>
      <c r="C49" s="1457" t="e">
        <f ca="1">E49/B49*1000000</f>
        <v>#REF!</v>
      </c>
      <c r="D49" s="957"/>
      <c r="E49" s="1207" t="e">
        <f ca="1">'Bilan territorial'!I50</f>
        <v>#REF!</v>
      </c>
      <c r="F49" s="1207"/>
      <c r="G49" s="1461" t="e">
        <f t="shared" ref="G49:G54" ca="1" si="8">SUM(E49:F49)</f>
        <v>#REF!</v>
      </c>
      <c r="J49" s="243"/>
      <c r="K49" s="243"/>
      <c r="L49" s="243"/>
      <c r="M49" s="243"/>
      <c r="N49" s="243"/>
      <c r="O49" s="233"/>
    </row>
    <row r="50" spans="1:15">
      <c r="A50" s="1460" t="s">
        <v>189</v>
      </c>
      <c r="B50" s="1206">
        <v>4800</v>
      </c>
      <c r="C50" s="1457"/>
      <c r="D50" s="1457" t="e">
        <f ca="1">F50/B50*1000000</f>
        <v>#REF!</v>
      </c>
      <c r="E50" s="1207"/>
      <c r="F50" s="1207" t="e">
        <f ca="1">'Bilan territorial'!J54</f>
        <v>#REF!</v>
      </c>
      <c r="G50" s="1461" t="e">
        <f t="shared" ca="1" si="8"/>
        <v>#REF!</v>
      </c>
      <c r="J50" s="243"/>
      <c r="K50" s="243"/>
      <c r="L50" s="243"/>
      <c r="M50" s="243"/>
      <c r="N50" s="243"/>
      <c r="O50" s="233"/>
    </row>
    <row r="51" spans="1:15">
      <c r="A51" s="1460" t="s">
        <v>259</v>
      </c>
      <c r="B51" s="1206">
        <v>6500</v>
      </c>
      <c r="C51" s="1457" t="e">
        <f ca="1">(E51/$B$51)*1000000</f>
        <v>#REF!</v>
      </c>
      <c r="D51" s="1457" t="e">
        <f ca="1">(F51/B51)*1000000</f>
        <v>#REF!</v>
      </c>
      <c r="E51" s="1207" t="e">
        <f ca="1">'Bilan territorial'!I58</f>
        <v>#REF!</v>
      </c>
      <c r="F51" s="1207" t="e">
        <f ca="1">'Bilan territorial'!J58</f>
        <v>#REF!</v>
      </c>
      <c r="G51" s="1461" t="e">
        <f t="shared" ca="1" si="8"/>
        <v>#REF!</v>
      </c>
      <c r="J51" s="243"/>
      <c r="K51" s="243"/>
      <c r="L51" s="243"/>
      <c r="M51" s="243"/>
      <c r="N51" s="243"/>
      <c r="O51" s="233"/>
    </row>
    <row r="52" spans="1:15">
      <c r="A52" s="1460" t="s">
        <v>260</v>
      </c>
      <c r="B52" s="1206">
        <v>1800</v>
      </c>
      <c r="C52" s="957"/>
      <c r="D52" s="1457"/>
      <c r="E52" s="1207"/>
      <c r="F52" s="1207"/>
      <c r="G52" s="1461">
        <f t="shared" si="8"/>
        <v>0</v>
      </c>
      <c r="J52" s="243"/>
      <c r="K52" s="243"/>
      <c r="L52" s="243"/>
      <c r="M52" s="243"/>
      <c r="N52" s="243"/>
      <c r="O52" s="233"/>
    </row>
    <row r="53" spans="1:15">
      <c r="A53" s="1460" t="s">
        <v>154</v>
      </c>
      <c r="B53" s="1206">
        <v>900</v>
      </c>
      <c r="C53" s="957"/>
      <c r="D53" s="1457" t="e">
        <f t="shared" ref="D53" ca="1" si="9">(F53/B53)*1000000</f>
        <v>#REF!</v>
      </c>
      <c r="E53" s="1207"/>
      <c r="F53" s="1207" t="e">
        <f ca="1">'Bilan territorial'!J52</f>
        <v>#REF!</v>
      </c>
      <c r="G53" s="1461" t="e">
        <f t="shared" ca="1" si="8"/>
        <v>#REF!</v>
      </c>
      <c r="J53" s="243"/>
      <c r="K53" s="243"/>
      <c r="L53" s="243"/>
      <c r="M53" s="243"/>
      <c r="N53" s="243"/>
      <c r="O53" s="233"/>
    </row>
    <row r="54" spans="1:15" ht="15" thickBot="1">
      <c r="A54" s="1462" t="s">
        <v>261</v>
      </c>
      <c r="B54" s="1463">
        <v>950</v>
      </c>
      <c r="C54" s="1464" t="e">
        <f ca="1">E54/B54*1000000</f>
        <v>#REF!</v>
      </c>
      <c r="D54" s="1465"/>
      <c r="E54" s="1466" t="e">
        <f ca="1">'Bilan territorial'!I51</f>
        <v>#REF!</v>
      </c>
      <c r="F54" s="1466"/>
      <c r="G54" s="1467" t="e">
        <f t="shared" ca="1" si="8"/>
        <v>#REF!</v>
      </c>
      <c r="J54" s="243"/>
      <c r="K54" s="243"/>
      <c r="L54" s="243"/>
      <c r="M54" s="243"/>
      <c r="N54" s="243"/>
      <c r="O54" s="233"/>
    </row>
    <row r="55" spans="1:15">
      <c r="A55" s="113"/>
      <c r="D55" s="77" t="s">
        <v>107</v>
      </c>
      <c r="E55" s="1209" t="e">
        <f ca="1">SUM(E48:E54)</f>
        <v>#REF!</v>
      </c>
      <c r="F55" s="1209" t="e">
        <f ca="1">SUM(F48:F54)</f>
        <v>#REF!</v>
      </c>
      <c r="G55" s="1209" t="e">
        <f ca="1">SUM(G48:G54)</f>
        <v>#REF!</v>
      </c>
      <c r="J55" s="243"/>
      <c r="K55" s="243"/>
      <c r="L55" s="243"/>
      <c r="M55" s="243"/>
      <c r="N55" s="243"/>
      <c r="O55" s="233"/>
    </row>
    <row r="56" spans="1:15">
      <c r="J56" s="243"/>
      <c r="K56" s="243"/>
      <c r="L56" s="243"/>
      <c r="M56" s="243"/>
      <c r="N56" s="243"/>
      <c r="O56" s="233"/>
    </row>
    <row r="57" spans="1:15" ht="23.4">
      <c r="A57" s="109" t="s">
        <v>2072</v>
      </c>
      <c r="J57" s="243"/>
      <c r="K57" s="243"/>
      <c r="L57" s="243"/>
      <c r="M57" s="243"/>
      <c r="N57" s="243"/>
      <c r="O57" s="233"/>
    </row>
    <row r="58" spans="1:15" ht="24" thickBot="1">
      <c r="A58" s="111"/>
      <c r="J58" s="243"/>
      <c r="K58" s="243"/>
      <c r="L58" s="243"/>
      <c r="M58" s="243"/>
      <c r="N58" s="243"/>
      <c r="O58" s="233"/>
    </row>
    <row r="59" spans="1:15" ht="72.599999999999994" thickBot="1">
      <c r="A59" s="1198" t="s">
        <v>251</v>
      </c>
      <c r="B59" s="1199" t="s">
        <v>252</v>
      </c>
      <c r="C59" s="1200" t="s">
        <v>253</v>
      </c>
      <c r="D59" s="1200" t="s">
        <v>254</v>
      </c>
      <c r="E59" s="1200" t="s">
        <v>255</v>
      </c>
      <c r="F59" s="1200" t="s">
        <v>256</v>
      </c>
      <c r="G59" s="1201" t="s">
        <v>257</v>
      </c>
      <c r="J59" s="243"/>
      <c r="K59" s="243"/>
      <c r="L59" s="243"/>
      <c r="M59" s="243"/>
      <c r="N59" s="243"/>
      <c r="O59" s="233"/>
    </row>
    <row r="60" spans="1:15">
      <c r="A60" s="1458" t="s">
        <v>213</v>
      </c>
      <c r="B60" s="1203">
        <v>2190</v>
      </c>
      <c r="C60" s="1456">
        <f ca="1">E60/B60*1000000</f>
        <v>0</v>
      </c>
      <c r="D60" s="956"/>
      <c r="E60" s="1204">
        <f ca="1">'Bilan territorial'!B49</f>
        <v>0</v>
      </c>
      <c r="F60" s="1204"/>
      <c r="G60" s="1459">
        <f ca="1">SUM(E60:F60)</f>
        <v>0</v>
      </c>
      <c r="J60" s="243"/>
      <c r="K60" s="243"/>
      <c r="L60" s="243"/>
      <c r="M60" s="243"/>
      <c r="N60" s="243"/>
      <c r="O60" s="233"/>
    </row>
    <row r="61" spans="1:15">
      <c r="A61" s="1460" t="s">
        <v>214</v>
      </c>
      <c r="B61" s="1206">
        <v>3300</v>
      </c>
      <c r="C61" s="1457">
        <f ca="1">E61/B61*1000000</f>
        <v>0</v>
      </c>
      <c r="D61" s="957"/>
      <c r="E61" s="1207">
        <f ca="1">'Bilan territorial'!B50</f>
        <v>0</v>
      </c>
      <c r="F61" s="1207"/>
      <c r="G61" s="1461">
        <f t="shared" ref="G61:G66" ca="1" si="10">SUM(E61:F61)</f>
        <v>0</v>
      </c>
      <c r="J61" s="243"/>
      <c r="K61" s="243"/>
      <c r="L61" s="243"/>
      <c r="M61" s="243"/>
      <c r="N61" s="243"/>
      <c r="O61" s="233"/>
    </row>
    <row r="62" spans="1:15">
      <c r="A62" s="1460" t="s">
        <v>189</v>
      </c>
      <c r="B62" s="1206">
        <v>4800</v>
      </c>
      <c r="C62" s="1457"/>
      <c r="D62" s="1457">
        <f ca="1">F62/B62*1000000</f>
        <v>0</v>
      </c>
      <c r="E62" s="1207"/>
      <c r="F62" s="1207">
        <f ca="1">'Bilan territorial'!C54</f>
        <v>0</v>
      </c>
      <c r="G62" s="1461">
        <f t="shared" ca="1" si="10"/>
        <v>0</v>
      </c>
      <c r="J62" s="243"/>
      <c r="K62" s="243"/>
      <c r="L62" s="243"/>
      <c r="M62" s="243"/>
      <c r="N62" s="243"/>
      <c r="O62" s="233"/>
    </row>
    <row r="63" spans="1:15">
      <c r="A63" s="1460" t="s">
        <v>259</v>
      </c>
      <c r="B63" s="1206">
        <v>6500</v>
      </c>
      <c r="C63" s="1457">
        <f ca="1">(E63/$B$51)*1000000</f>
        <v>0</v>
      </c>
      <c r="D63" s="1457">
        <f ca="1">(F63/B63)*1000000</f>
        <v>0</v>
      </c>
      <c r="E63" s="1207">
        <f ca="1">'Bilan territorial'!B58</f>
        <v>0</v>
      </c>
      <c r="F63" s="1207">
        <f ca="1">'Bilan territorial'!C58</f>
        <v>0</v>
      </c>
      <c r="G63" s="1461">
        <f t="shared" ca="1" si="10"/>
        <v>0</v>
      </c>
      <c r="J63" s="243"/>
      <c r="K63" s="243"/>
      <c r="L63" s="243"/>
      <c r="M63" s="243"/>
      <c r="N63" s="243"/>
      <c r="O63" s="233"/>
    </row>
    <row r="64" spans="1:15">
      <c r="A64" s="1460" t="s">
        <v>260</v>
      </c>
      <c r="B64" s="1206">
        <v>1800</v>
      </c>
      <c r="C64" s="957"/>
      <c r="D64" s="1457"/>
      <c r="E64" s="1207"/>
      <c r="F64" s="1207"/>
      <c r="G64" s="1461">
        <f t="shared" si="10"/>
        <v>0</v>
      </c>
      <c r="J64" s="243"/>
      <c r="K64" s="243"/>
      <c r="L64" s="243"/>
      <c r="M64" s="243"/>
      <c r="N64" s="243"/>
      <c r="O64" s="233"/>
    </row>
    <row r="65" spans="1:15">
      <c r="A65" s="1460" t="s">
        <v>154</v>
      </c>
      <c r="B65" s="1206">
        <v>900</v>
      </c>
      <c r="C65" s="957"/>
      <c r="D65" s="1457">
        <f t="shared" ref="D65" ca="1" si="11">(F65/B65)*1000000</f>
        <v>0</v>
      </c>
      <c r="E65" s="1207"/>
      <c r="F65" s="1207">
        <f ca="1">'Bilan territorial'!C52</f>
        <v>0</v>
      </c>
      <c r="G65" s="1461">
        <f t="shared" ca="1" si="10"/>
        <v>0</v>
      </c>
      <c r="J65" s="243"/>
      <c r="K65" s="243"/>
      <c r="L65" s="243"/>
      <c r="M65" s="243"/>
      <c r="N65" s="243"/>
      <c r="O65" s="233"/>
    </row>
    <row r="66" spans="1:15" ht="15" thickBot="1">
      <c r="A66" s="1462" t="s">
        <v>261</v>
      </c>
      <c r="B66" s="1463">
        <v>950</v>
      </c>
      <c r="C66" s="1464">
        <f ca="1">E66/B66*1000000</f>
        <v>0</v>
      </c>
      <c r="D66" s="1465"/>
      <c r="E66" s="1466">
        <f ca="1">'Bilan territorial'!B51</f>
        <v>0</v>
      </c>
      <c r="F66" s="1466"/>
      <c r="G66" s="1467">
        <f t="shared" ca="1" si="10"/>
        <v>0</v>
      </c>
      <c r="J66" s="243"/>
      <c r="K66" s="243"/>
      <c r="L66" s="243"/>
      <c r="M66" s="243"/>
      <c r="N66" s="243"/>
      <c r="O66" s="233"/>
    </row>
    <row r="67" spans="1:15">
      <c r="A67" s="113"/>
      <c r="D67" s="77" t="s">
        <v>107</v>
      </c>
      <c r="E67" s="1209">
        <f ca="1">SUM(E60:E66)</f>
        <v>0</v>
      </c>
      <c r="F67" s="1209">
        <f ca="1">SUM(F60:F66)</f>
        <v>0</v>
      </c>
      <c r="G67" s="1209">
        <f ca="1">SUM(G60:G66)</f>
        <v>0</v>
      </c>
      <c r="J67" s="243"/>
      <c r="K67" s="243"/>
      <c r="L67" s="243"/>
      <c r="M67" s="243"/>
      <c r="N67" s="243"/>
      <c r="O67" s="233"/>
    </row>
    <row r="68" spans="1:15">
      <c r="J68" s="243"/>
      <c r="K68" s="243"/>
      <c r="L68" s="243"/>
      <c r="M68" s="243"/>
      <c r="N68" s="243"/>
      <c r="O68" s="233"/>
    </row>
    <row r="69" spans="1:15">
      <c r="J69" s="243"/>
      <c r="K69" s="243"/>
      <c r="L69" s="243"/>
      <c r="M69" s="243"/>
      <c r="N69" s="243"/>
      <c r="O69" s="233"/>
    </row>
    <row r="70" spans="1:15">
      <c r="J70" s="243"/>
      <c r="K70" s="243"/>
      <c r="L70" s="243"/>
      <c r="M70" s="243"/>
      <c r="N70" s="243"/>
      <c r="O70" s="233"/>
    </row>
    <row r="71" spans="1:15" hidden="1">
      <c r="A71" t="s">
        <v>2079</v>
      </c>
      <c r="B71" t="s">
        <v>2082</v>
      </c>
      <c r="C71" t="s">
        <v>2083</v>
      </c>
      <c r="D71" t="s">
        <v>107</v>
      </c>
      <c r="J71" s="243"/>
      <c r="K71" s="243"/>
      <c r="L71" s="243"/>
      <c r="M71" s="243"/>
      <c r="N71" s="243"/>
      <c r="O71" s="233"/>
    </row>
    <row r="72" spans="1:15" hidden="1">
      <c r="A72" t="s">
        <v>2080</v>
      </c>
      <c r="B72" s="116">
        <f ca="1">E19-E63</f>
        <v>0</v>
      </c>
      <c r="C72" s="116">
        <f ca="1">F19-F63</f>
        <v>0</v>
      </c>
      <c r="D72" s="116">
        <f ca="1">SUM(B72:C72)</f>
        <v>0</v>
      </c>
      <c r="J72" s="243"/>
      <c r="K72" s="243"/>
      <c r="L72" s="243"/>
      <c r="M72" s="243"/>
      <c r="N72" s="243"/>
      <c r="O72" s="233"/>
    </row>
    <row r="73" spans="1:15" hidden="1">
      <c r="A73" t="s">
        <v>2081</v>
      </c>
      <c r="C73" s="116">
        <f ca="1">D72</f>
        <v>0</v>
      </c>
      <c r="D73" s="116">
        <f ca="1">SUM(B73:C73)</f>
        <v>0</v>
      </c>
      <c r="J73" s="243"/>
      <c r="K73" s="243"/>
      <c r="L73" s="243"/>
      <c r="M73" s="243"/>
      <c r="N73" s="243"/>
      <c r="O73" s="233"/>
    </row>
    <row r="74" spans="1:15" hidden="1">
      <c r="B74" s="116"/>
      <c r="J74" s="243"/>
      <c r="K74" s="243"/>
      <c r="L74" s="243"/>
      <c r="M74" s="243"/>
      <c r="N74" s="243"/>
      <c r="O74" s="233"/>
    </row>
    <row r="75" spans="1:15" hidden="1">
      <c r="A75" t="s">
        <v>325</v>
      </c>
      <c r="B75" t="s">
        <v>2082</v>
      </c>
      <c r="C75" t="s">
        <v>2083</v>
      </c>
      <c r="D75" t="s">
        <v>107</v>
      </c>
      <c r="E75" t="s">
        <v>2084</v>
      </c>
      <c r="F75" t="s">
        <v>2085</v>
      </c>
      <c r="J75" s="243"/>
      <c r="K75" s="243"/>
      <c r="L75" s="243"/>
      <c r="M75" s="243"/>
      <c r="N75" s="243"/>
      <c r="O75" s="233"/>
    </row>
    <row r="76" spans="1:15" hidden="1">
      <c r="A76" t="s">
        <v>2080</v>
      </c>
      <c r="B76" s="785">
        <f>Objectifs!E51</f>
        <v>0</v>
      </c>
      <c r="C76" s="785">
        <v>0</v>
      </c>
      <c r="D76" s="116">
        <f>SUM(B76:C76)</f>
        <v>0</v>
      </c>
      <c r="E76" s="116">
        <f ca="1">IF(D77=0,B72,IF(D72-D77&lt;0,0,(D72-D77)*B72/D72))</f>
        <v>0</v>
      </c>
      <c r="F76" s="116" t="str">
        <f ca="1">ROUND(E76/B63*1000000,0)&amp;" kW"</f>
        <v>0 kW</v>
      </c>
      <c r="J76" s="243"/>
      <c r="K76" s="243"/>
      <c r="L76" s="243"/>
      <c r="M76" s="243"/>
      <c r="N76" s="243"/>
      <c r="O76" s="233"/>
    </row>
    <row r="77" spans="1:15" hidden="1">
      <c r="A77" t="s">
        <v>2081</v>
      </c>
      <c r="B77" s="785"/>
      <c r="C77" s="785">
        <f>Objectifs!E52</f>
        <v>0</v>
      </c>
      <c r="D77" s="116">
        <f>SUM(B77:C77)</f>
        <v>0</v>
      </c>
      <c r="E77" s="116">
        <f ca="1">IF(B72-B76&lt;0,0,IF(B72=0,0,(B72-B76)/B72*D72))</f>
        <v>0</v>
      </c>
      <c r="F77" t="str">
        <f ca="1">ROUND(E77,3)&amp;" GWh"</f>
        <v>0 GWh</v>
      </c>
      <c r="J77" s="243"/>
      <c r="K77" s="243"/>
      <c r="L77" s="243"/>
      <c r="M77" s="243"/>
      <c r="N77" s="243"/>
      <c r="O77" s="233"/>
    </row>
    <row r="78" spans="1:15">
      <c r="D78" s="116">
        <f>SUM(D76:D77)</f>
        <v>0</v>
      </c>
      <c r="J78" s="243"/>
      <c r="K78" s="243"/>
      <c r="L78" s="243"/>
      <c r="M78" s="243"/>
      <c r="N78" s="243"/>
      <c r="O78" s="233"/>
    </row>
    <row r="79" spans="1:15">
      <c r="J79" s="243"/>
      <c r="K79" s="243"/>
      <c r="L79" s="243"/>
      <c r="M79" s="243"/>
      <c r="N79" s="243"/>
      <c r="O79" s="233"/>
    </row>
    <row r="80" spans="1:15">
      <c r="J80" s="243"/>
      <c r="K80" s="243"/>
      <c r="L80" s="243"/>
      <c r="M80" s="243"/>
      <c r="N80" s="243"/>
      <c r="O80" s="233"/>
    </row>
    <row r="81" spans="10:15">
      <c r="J81" s="243"/>
      <c r="K81" s="243"/>
      <c r="L81" s="243"/>
      <c r="M81" s="243"/>
      <c r="N81" s="243"/>
      <c r="O81" s="233"/>
    </row>
    <row r="82" spans="10:15">
      <c r="J82" s="243"/>
      <c r="K82" s="243"/>
      <c r="L82" s="243"/>
      <c r="M82" s="243"/>
      <c r="N82" s="243"/>
      <c r="O82" s="233"/>
    </row>
    <row r="83" spans="10:15">
      <c r="J83" s="243"/>
      <c r="K83" s="243"/>
      <c r="L83" s="243"/>
      <c r="M83" s="243"/>
      <c r="N83" s="243"/>
      <c r="O83" s="233"/>
    </row>
    <row r="84" spans="10:15">
      <c r="J84" s="243"/>
      <c r="K84" s="243"/>
      <c r="L84" s="243"/>
      <c r="M84" s="243"/>
      <c r="N84" s="243"/>
      <c r="O84" s="233"/>
    </row>
    <row r="85" spans="10:15">
      <c r="J85" s="243"/>
      <c r="K85" s="243"/>
      <c r="L85" s="243"/>
      <c r="M85" s="243"/>
      <c r="N85" s="243"/>
      <c r="O85" s="233"/>
    </row>
    <row r="86" spans="10:15">
      <c r="J86" s="243"/>
      <c r="K86" s="243"/>
      <c r="L86" s="243"/>
      <c r="M86" s="243"/>
      <c r="N86" s="243"/>
      <c r="O86" s="233"/>
    </row>
    <row r="87" spans="10:15">
      <c r="J87" s="243"/>
      <c r="K87" s="243"/>
      <c r="L87" s="243"/>
      <c r="M87" s="243"/>
      <c r="N87" s="243"/>
      <c r="O87" s="233"/>
    </row>
    <row r="88" spans="10:15">
      <c r="J88" s="243"/>
      <c r="K88" s="243"/>
      <c r="L88" s="243"/>
      <c r="M88" s="243"/>
      <c r="N88" s="243"/>
      <c r="O88" s="233"/>
    </row>
    <row r="89" spans="10:15">
      <c r="J89" s="243"/>
      <c r="K89" s="243"/>
      <c r="L89" s="243"/>
      <c r="M89" s="243"/>
      <c r="N89" s="243"/>
      <c r="O89" s="233"/>
    </row>
    <row r="90" spans="10:15">
      <c r="J90" s="243"/>
      <c r="K90" s="243"/>
      <c r="L90" s="243"/>
      <c r="M90" s="243"/>
      <c r="N90" s="243"/>
      <c r="O90" s="233"/>
    </row>
    <row r="91" spans="10:15">
      <c r="J91" s="243"/>
      <c r="K91" s="243"/>
      <c r="L91" s="243"/>
      <c r="M91" s="243"/>
      <c r="N91" s="243"/>
      <c r="O91" s="233"/>
    </row>
    <row r="92" spans="10:15">
      <c r="J92" s="243"/>
      <c r="K92" s="243"/>
      <c r="L92" s="243"/>
      <c r="M92" s="243"/>
      <c r="N92" s="243"/>
      <c r="O92" s="233"/>
    </row>
    <row r="93" spans="10:15">
      <c r="J93" s="243"/>
      <c r="K93" s="243"/>
      <c r="L93" s="243"/>
      <c r="M93" s="243"/>
      <c r="N93" s="243"/>
      <c r="O93" s="233"/>
    </row>
    <row r="94" spans="10:15">
      <c r="J94" s="243"/>
      <c r="K94" s="243"/>
      <c r="L94" s="243"/>
      <c r="M94" s="243"/>
      <c r="N94" s="243"/>
      <c r="O94" s="233"/>
    </row>
    <row r="95" spans="10:15">
      <c r="J95" s="243"/>
      <c r="K95" s="243"/>
      <c r="L95" s="243"/>
      <c r="M95" s="243"/>
      <c r="N95" s="243"/>
      <c r="O95" s="233"/>
    </row>
    <row r="96" spans="10:15">
      <c r="J96" s="243"/>
      <c r="K96" s="243"/>
      <c r="L96" s="243"/>
      <c r="M96" s="243"/>
      <c r="N96" s="243"/>
      <c r="O96" s="233"/>
    </row>
    <row r="97" spans="1:15">
      <c r="J97" s="243"/>
      <c r="K97" s="243"/>
      <c r="L97" s="243"/>
      <c r="M97" s="243"/>
      <c r="N97" s="243"/>
      <c r="O97" s="233"/>
    </row>
    <row r="98" spans="1:15">
      <c r="J98" s="243"/>
      <c r="K98" s="243"/>
      <c r="L98" s="243"/>
      <c r="M98" s="243"/>
      <c r="N98" s="243"/>
      <c r="O98" s="233"/>
    </row>
    <row r="99" spans="1:15">
      <c r="J99" s="243"/>
      <c r="K99" s="243"/>
      <c r="L99" s="243"/>
      <c r="M99" s="243"/>
      <c r="N99" s="243"/>
      <c r="O99" s="233"/>
    </row>
    <row r="100" spans="1:15">
      <c r="J100" s="243"/>
      <c r="K100" s="243"/>
      <c r="L100" s="243"/>
      <c r="M100" s="243"/>
      <c r="N100" s="243"/>
      <c r="O100" s="233"/>
    </row>
    <row r="101" spans="1:15" hidden="1">
      <c r="A101" s="1"/>
      <c r="B101" s="1"/>
      <c r="C101" s="1"/>
      <c r="D101" s="1"/>
      <c r="E101" s="1"/>
      <c r="F101" s="1"/>
      <c r="G101" s="1"/>
      <c r="H101" s="1"/>
      <c r="I101" s="1"/>
      <c r="O101" s="233"/>
    </row>
    <row r="102" spans="1:15" hidden="1">
      <c r="A102" s="1"/>
      <c r="B102" s="1"/>
      <c r="C102" s="1"/>
      <c r="D102" s="1"/>
      <c r="E102" s="1"/>
      <c r="F102" s="1"/>
      <c r="G102" s="1"/>
      <c r="H102" s="1"/>
      <c r="I102" s="1"/>
      <c r="O102" s="233"/>
    </row>
    <row r="103" spans="1:15" hidden="1">
      <c r="A103" s="1"/>
      <c r="B103" s="1"/>
      <c r="C103" s="1"/>
      <c r="D103" s="1"/>
      <c r="E103" s="1"/>
      <c r="F103" s="1"/>
      <c r="G103" s="1"/>
      <c r="H103" s="1"/>
      <c r="I103" s="1"/>
      <c r="O103" s="233"/>
    </row>
    <row r="104" spans="1:15" hidden="1">
      <c r="A104" s="1"/>
      <c r="B104" s="1"/>
      <c r="C104" s="1"/>
      <c r="D104" s="1"/>
      <c r="E104" s="1"/>
      <c r="F104" s="1"/>
      <c r="G104" s="1"/>
      <c r="H104" s="1"/>
      <c r="I104" s="1"/>
      <c r="O104" s="233"/>
    </row>
    <row r="105" spans="1:15" ht="15" hidden="1" thickBot="1">
      <c r="A105" s="1" t="s">
        <v>2122</v>
      </c>
      <c r="B105" s="1"/>
      <c r="C105" s="1"/>
      <c r="D105" s="1"/>
      <c r="E105" s="1"/>
      <c r="F105" s="1"/>
      <c r="G105" s="1"/>
      <c r="H105" s="1"/>
      <c r="I105" s="1"/>
      <c r="O105" s="233"/>
    </row>
    <row r="106" spans="1:15" ht="72.599999999999994" hidden="1" thickBot="1">
      <c r="A106" s="1198" t="s">
        <v>251</v>
      </c>
      <c r="B106" s="1199" t="s">
        <v>252</v>
      </c>
      <c r="C106" s="1200" t="s">
        <v>253</v>
      </c>
      <c r="D106" s="1200" t="s">
        <v>254</v>
      </c>
      <c r="E106" s="1"/>
      <c r="F106" s="1"/>
      <c r="G106" s="1"/>
      <c r="H106" s="1"/>
      <c r="I106" s="1"/>
      <c r="O106" s="233"/>
    </row>
    <row r="107" spans="1:15" hidden="1">
      <c r="A107" s="1202" t="s">
        <v>213</v>
      </c>
      <c r="B107" s="1203">
        <v>2190</v>
      </c>
      <c r="C107" s="913"/>
      <c r="D107" s="1470"/>
      <c r="E107" s="1"/>
      <c r="F107" s="1"/>
      <c r="G107" s="1"/>
      <c r="H107" s="1"/>
      <c r="I107" s="1"/>
      <c r="O107" s="233"/>
    </row>
    <row r="108" spans="1:15" hidden="1">
      <c r="A108" s="1205" t="s">
        <v>214</v>
      </c>
      <c r="B108" s="1206">
        <v>3300</v>
      </c>
      <c r="C108" s="1471"/>
      <c r="D108" s="1472"/>
      <c r="E108" s="1"/>
      <c r="F108" s="1"/>
      <c r="G108" s="1"/>
      <c r="H108" s="1"/>
      <c r="I108" s="1"/>
      <c r="O108" s="233"/>
    </row>
    <row r="109" spans="1:15" hidden="1">
      <c r="A109" s="1205" t="s">
        <v>189</v>
      </c>
      <c r="B109" s="1206">
        <v>4800</v>
      </c>
      <c r="C109" s="1471">
        <v>1200</v>
      </c>
      <c r="D109" s="1471"/>
      <c r="E109" s="1"/>
      <c r="F109" s="1"/>
      <c r="G109" s="1"/>
      <c r="H109" s="1"/>
      <c r="I109" s="1"/>
      <c r="O109" s="233"/>
    </row>
    <row r="110" spans="1:15" hidden="1">
      <c r="A110" s="1205" t="s">
        <v>259</v>
      </c>
      <c r="B110" s="1206">
        <v>6500</v>
      </c>
      <c r="C110" s="1469">
        <v>723</v>
      </c>
      <c r="D110" s="1471">
        <v>295</v>
      </c>
      <c r="E110" s="1"/>
      <c r="F110" s="1"/>
      <c r="G110" s="1"/>
      <c r="H110" s="1"/>
      <c r="I110" s="1"/>
      <c r="O110" s="233"/>
    </row>
    <row r="111" spans="1:15" hidden="1">
      <c r="A111" s="1205" t="s">
        <v>260</v>
      </c>
      <c r="B111" s="1206">
        <v>1800</v>
      </c>
      <c r="C111" s="1472"/>
      <c r="D111" s="1471"/>
      <c r="E111" s="1"/>
      <c r="F111" s="1"/>
      <c r="G111" s="1"/>
      <c r="H111" s="1"/>
      <c r="I111" s="1"/>
      <c r="O111" s="233"/>
    </row>
    <row r="112" spans="1:15" hidden="1">
      <c r="A112" s="1205" t="s">
        <v>154</v>
      </c>
      <c r="B112" s="1206">
        <v>900</v>
      </c>
      <c r="C112" s="1472"/>
      <c r="D112" s="1471">
        <v>15934</v>
      </c>
      <c r="E112" s="1"/>
      <c r="F112" s="1"/>
      <c r="G112" s="1"/>
      <c r="H112" s="1"/>
      <c r="I112" s="1"/>
      <c r="O112" s="233"/>
    </row>
    <row r="113" spans="1:15" ht="15" hidden="1" thickBot="1">
      <c r="A113" s="112" t="s">
        <v>261</v>
      </c>
      <c r="B113" s="1208">
        <v>950</v>
      </c>
      <c r="C113" s="1475">
        <v>159336</v>
      </c>
      <c r="D113" s="1476"/>
      <c r="E113" s="1"/>
      <c r="F113" s="1"/>
      <c r="G113" s="1"/>
      <c r="H113" s="1"/>
      <c r="I113" s="1"/>
      <c r="O113" s="233"/>
    </row>
    <row r="114" spans="1:15" hidden="1">
      <c r="A114" s="1"/>
      <c r="B114" s="1"/>
      <c r="C114" s="1"/>
      <c r="D114" s="1"/>
      <c r="E114" s="1"/>
      <c r="F114" s="1"/>
      <c r="G114" s="1"/>
      <c r="H114" s="1"/>
      <c r="I114" s="1"/>
      <c r="O114" s="233"/>
    </row>
    <row r="115" spans="1:15" ht="15" hidden="1" thickBot="1">
      <c r="A115" s="1" t="s">
        <v>2123</v>
      </c>
      <c r="B115" s="1"/>
      <c r="C115" s="1"/>
      <c r="D115" s="1"/>
      <c r="E115" s="1"/>
      <c r="F115" s="1"/>
      <c r="G115" s="1"/>
      <c r="H115" s="1"/>
      <c r="I115" s="1"/>
      <c r="O115" s="233"/>
    </row>
    <row r="116" spans="1:15" ht="72.599999999999994" hidden="1" thickBot="1">
      <c r="A116" s="1198" t="s">
        <v>251</v>
      </c>
      <c r="B116" s="1199" t="s">
        <v>252</v>
      </c>
      <c r="C116" s="1200" t="s">
        <v>253</v>
      </c>
      <c r="D116" s="1200" t="s">
        <v>254</v>
      </c>
      <c r="E116" s="1"/>
      <c r="F116" s="1"/>
      <c r="G116" s="1"/>
      <c r="H116" s="1"/>
      <c r="I116" s="1"/>
      <c r="O116" s="233"/>
    </row>
    <row r="117" spans="1:15" hidden="1">
      <c r="A117" s="1202" t="s">
        <v>213</v>
      </c>
      <c r="B117" s="1203">
        <v>2190</v>
      </c>
      <c r="C117" s="1469" t="e">
        <f ca="1">C107+C48</f>
        <v>#REF!</v>
      </c>
      <c r="D117" s="1469">
        <f>D107+D48</f>
        <v>0</v>
      </c>
      <c r="E117" s="1"/>
      <c r="F117" s="1"/>
      <c r="G117" s="1"/>
      <c r="H117" s="1"/>
      <c r="I117" s="1"/>
      <c r="O117" s="233"/>
    </row>
    <row r="118" spans="1:15" hidden="1">
      <c r="A118" s="1205" t="s">
        <v>214</v>
      </c>
      <c r="B118" s="1206">
        <v>3300</v>
      </c>
      <c r="C118" s="1469" t="e">
        <f t="shared" ref="C118:D123" ca="1" si="12">C108+C49</f>
        <v>#REF!</v>
      </c>
      <c r="D118" s="1469">
        <f t="shared" si="12"/>
        <v>0</v>
      </c>
      <c r="E118" s="1"/>
      <c r="F118" s="1"/>
      <c r="G118" s="1"/>
      <c r="H118" s="1"/>
      <c r="I118" s="1"/>
      <c r="O118" s="233"/>
    </row>
    <row r="119" spans="1:15" hidden="1">
      <c r="A119" s="1205" t="s">
        <v>189</v>
      </c>
      <c r="B119" s="1206">
        <v>4800</v>
      </c>
      <c r="C119" s="1469">
        <f t="shared" si="12"/>
        <v>1200</v>
      </c>
      <c r="D119" s="1469" t="e">
        <f t="shared" ca="1" si="12"/>
        <v>#REF!</v>
      </c>
      <c r="E119" s="1"/>
      <c r="F119" s="1"/>
      <c r="G119" s="1"/>
      <c r="H119" s="1"/>
      <c r="I119" s="1"/>
      <c r="O119" s="233"/>
    </row>
    <row r="120" spans="1:15" hidden="1">
      <c r="A120" s="1205" t="s">
        <v>259</v>
      </c>
      <c r="B120" s="1206">
        <v>6500</v>
      </c>
      <c r="C120" s="1469" t="e">
        <f t="shared" ca="1" si="12"/>
        <v>#REF!</v>
      </c>
      <c r="D120" s="1469" t="e">
        <f t="shared" ca="1" si="12"/>
        <v>#REF!</v>
      </c>
      <c r="E120" s="1"/>
      <c r="F120" s="1"/>
      <c r="G120" s="1"/>
      <c r="H120" s="1"/>
      <c r="I120" s="1"/>
      <c r="O120" s="233"/>
    </row>
    <row r="121" spans="1:15" hidden="1">
      <c r="A121" s="1205" t="s">
        <v>260</v>
      </c>
      <c r="B121" s="1206">
        <v>1800</v>
      </c>
      <c r="C121" s="1469">
        <f t="shared" si="12"/>
        <v>0</v>
      </c>
      <c r="D121" s="1469">
        <f t="shared" si="12"/>
        <v>0</v>
      </c>
      <c r="E121" s="1"/>
      <c r="F121" s="1"/>
      <c r="G121" s="1"/>
      <c r="H121" s="1"/>
      <c r="I121" s="1"/>
      <c r="O121" s="233"/>
    </row>
    <row r="122" spans="1:15" hidden="1">
      <c r="A122" s="1205" t="s">
        <v>154</v>
      </c>
      <c r="B122" s="1206">
        <v>900</v>
      </c>
      <c r="C122" s="1469">
        <f t="shared" si="12"/>
        <v>0</v>
      </c>
      <c r="D122" s="1469" t="e">
        <f t="shared" ca="1" si="12"/>
        <v>#REF!</v>
      </c>
      <c r="E122" s="1"/>
      <c r="F122" s="1"/>
      <c r="G122" s="1"/>
      <c r="H122" s="1"/>
      <c r="I122" s="1"/>
      <c r="O122" s="233"/>
    </row>
    <row r="123" spans="1:15" ht="15" hidden="1" thickBot="1">
      <c r="A123" s="112" t="s">
        <v>261</v>
      </c>
      <c r="B123" s="1208">
        <v>950</v>
      </c>
      <c r="C123" s="1469" t="e">
        <f t="shared" ca="1" si="12"/>
        <v>#REF!</v>
      </c>
      <c r="D123" s="1469">
        <f t="shared" si="12"/>
        <v>0</v>
      </c>
      <c r="E123" s="1"/>
      <c r="F123" s="1"/>
      <c r="G123" s="1"/>
      <c r="H123" s="1"/>
      <c r="I123" s="1"/>
      <c r="O123" s="233"/>
    </row>
    <row r="124" spans="1:15">
      <c r="A124" s="1"/>
      <c r="B124" s="1"/>
      <c r="C124" s="1"/>
      <c r="D124" s="1"/>
      <c r="E124" s="1"/>
      <c r="F124" s="1"/>
      <c r="G124" s="1"/>
      <c r="H124" s="1"/>
      <c r="I124" s="1"/>
      <c r="O124" s="233"/>
    </row>
    <row r="125" spans="1:15">
      <c r="A125" s="1"/>
      <c r="B125" s="1"/>
      <c r="C125" s="1"/>
      <c r="D125" s="1"/>
      <c r="E125" s="1"/>
      <c r="F125" s="1"/>
      <c r="G125" s="1"/>
      <c r="H125" s="1"/>
      <c r="I125" s="1"/>
      <c r="O125" s="233"/>
    </row>
    <row r="126" spans="1:15">
      <c r="A126" s="1"/>
      <c r="B126" s="1"/>
      <c r="C126" s="1"/>
      <c r="D126" s="1"/>
      <c r="E126" s="1"/>
      <c r="F126" s="1"/>
      <c r="G126" s="1"/>
      <c r="H126" s="1"/>
      <c r="I126" s="1"/>
      <c r="O126" s="233"/>
    </row>
    <row r="127" spans="1:15">
      <c r="A127" s="1"/>
      <c r="B127" s="1"/>
      <c r="C127" s="1"/>
      <c r="D127" s="1"/>
      <c r="E127" s="1"/>
      <c r="F127" s="1"/>
      <c r="G127" s="1"/>
      <c r="H127" s="1"/>
      <c r="I127" s="1"/>
      <c r="O127" s="233"/>
    </row>
    <row r="128" spans="1:15">
      <c r="A128" s="1"/>
      <c r="B128" s="1"/>
      <c r="C128" s="1"/>
      <c r="D128" s="1"/>
      <c r="E128" s="1"/>
      <c r="F128" s="1"/>
      <c r="G128" s="1"/>
      <c r="H128" s="1"/>
      <c r="I128" s="1"/>
      <c r="O128" s="233"/>
    </row>
    <row r="129" spans="1:15">
      <c r="A129" s="1"/>
      <c r="B129" s="1"/>
      <c r="C129" s="1"/>
      <c r="D129" s="1"/>
      <c r="E129" s="1"/>
      <c r="F129" s="1"/>
      <c r="G129" s="1"/>
      <c r="H129" s="1"/>
      <c r="I129" s="1"/>
      <c r="O129" s="233"/>
    </row>
    <row r="130" spans="1:15">
      <c r="A130" s="1"/>
      <c r="B130" s="1"/>
      <c r="C130" s="1"/>
      <c r="D130" s="1"/>
      <c r="E130" s="1"/>
      <c r="F130" s="1"/>
      <c r="G130" s="1"/>
      <c r="H130" s="1"/>
      <c r="I130" s="1"/>
      <c r="O130" s="233"/>
    </row>
    <row r="131" spans="1:15">
      <c r="A131" s="1"/>
      <c r="B131" s="1"/>
      <c r="C131" s="1"/>
      <c r="D131" s="1"/>
      <c r="E131" s="1"/>
      <c r="F131" s="1"/>
      <c r="G131" s="1"/>
      <c r="H131" s="1"/>
      <c r="I131" s="1"/>
      <c r="O131" s="233"/>
    </row>
    <row r="132" spans="1:15">
      <c r="A132" s="1"/>
      <c r="B132" s="1"/>
      <c r="C132" s="1"/>
      <c r="D132" s="1"/>
      <c r="E132" s="1"/>
      <c r="F132" s="1"/>
      <c r="G132" s="1"/>
      <c r="H132" s="1"/>
      <c r="I132" s="1"/>
      <c r="O132" s="233"/>
    </row>
    <row r="133" spans="1:15">
      <c r="A133" s="1"/>
      <c r="B133" s="1"/>
      <c r="C133" s="1"/>
      <c r="D133" s="1"/>
      <c r="E133" s="1"/>
      <c r="F133" s="1"/>
      <c r="G133" s="1"/>
      <c r="H133" s="1"/>
      <c r="I133" s="1"/>
      <c r="O133" s="233"/>
    </row>
    <row r="134" spans="1:15">
      <c r="A134" s="1"/>
      <c r="B134" s="1"/>
      <c r="C134" s="1"/>
      <c r="D134" s="1"/>
      <c r="E134" s="1"/>
      <c r="F134" s="1"/>
      <c r="G134" s="1"/>
      <c r="H134" s="1"/>
      <c r="I134" s="1"/>
      <c r="O134" s="233"/>
    </row>
    <row r="135" spans="1:15">
      <c r="A135" s="1"/>
      <c r="B135" s="1"/>
      <c r="C135" s="1"/>
      <c r="D135" s="1"/>
      <c r="E135" s="1"/>
      <c r="F135" s="1"/>
      <c r="G135" s="1"/>
      <c r="H135" s="1"/>
      <c r="I135" s="1"/>
      <c r="O135" s="233"/>
    </row>
    <row r="136" spans="1:15">
      <c r="A136" s="1"/>
      <c r="B136" s="1"/>
      <c r="C136" s="1"/>
      <c r="D136" s="1"/>
      <c r="E136" s="1"/>
      <c r="F136" s="1"/>
      <c r="G136" s="1"/>
      <c r="H136" s="1"/>
      <c r="I136" s="1"/>
      <c r="O136" s="233"/>
    </row>
    <row r="137" spans="1:15">
      <c r="A137" s="1"/>
      <c r="B137" s="1"/>
      <c r="C137" s="1"/>
      <c r="D137" s="1"/>
      <c r="E137" s="1"/>
      <c r="F137" s="1"/>
      <c r="G137" s="1"/>
      <c r="H137" s="1"/>
      <c r="I137" s="1"/>
      <c r="O137" s="233"/>
    </row>
    <row r="138" spans="1:15">
      <c r="A138" s="1"/>
      <c r="B138" s="1"/>
      <c r="C138" s="1"/>
      <c r="D138" s="1"/>
      <c r="E138" s="1"/>
      <c r="F138" s="1"/>
      <c r="G138" s="1"/>
      <c r="H138" s="1"/>
      <c r="I138" s="1"/>
      <c r="O138" s="233"/>
    </row>
    <row r="139" spans="1:15">
      <c r="A139" s="1"/>
      <c r="B139" s="1"/>
      <c r="C139" s="1"/>
      <c r="D139" s="1"/>
      <c r="E139" s="1"/>
      <c r="F139" s="1"/>
      <c r="G139" s="1"/>
      <c r="H139" s="1"/>
      <c r="I139" s="1"/>
      <c r="O139" s="233"/>
    </row>
    <row r="140" spans="1:15">
      <c r="A140" s="1"/>
      <c r="B140" s="1"/>
      <c r="C140" s="1"/>
      <c r="D140" s="1"/>
      <c r="E140" s="1"/>
      <c r="F140" s="1"/>
      <c r="G140" s="1"/>
      <c r="H140" s="1"/>
      <c r="I140" s="1"/>
      <c r="O140" s="233"/>
    </row>
    <row r="141" spans="1:15">
      <c r="A141" s="1"/>
      <c r="B141" s="1"/>
      <c r="C141" s="1"/>
      <c r="D141" s="1"/>
      <c r="E141" s="1"/>
      <c r="F141" s="1"/>
      <c r="G141" s="1"/>
      <c r="H141" s="1"/>
      <c r="I141" s="1"/>
      <c r="O141" s="233"/>
    </row>
  </sheetData>
  <sheetProtection sheet="1" objects="1" scenarios="1"/>
  <sortState xmlns:xlrd2="http://schemas.microsoft.com/office/spreadsheetml/2017/richdata2" ref="K13:N20">
    <sortCondition descending="1" ref="N12"/>
  </sortState>
  <mergeCells count="3">
    <mergeCell ref="E12:H12"/>
    <mergeCell ref="A26:F26"/>
    <mergeCell ref="I36:N42"/>
  </mergeCells>
  <conditionalFormatting sqref="I16:I23">
    <cfRule type="expression" dxfId="394" priority="1">
      <formula>$J16=1</formula>
    </cfRule>
  </conditionalFormatting>
  <dataValidations count="2">
    <dataValidation type="decimal" operator="greaterThan" allowBlank="1" showInputMessage="1" showErrorMessage="1" sqref="C16:D23" xr:uid="{3D89D5DF-6A39-44A9-A4A6-212CDCAF8D4E}">
      <formula1>0</formula1>
    </dataValidation>
    <dataValidation operator="greaterThan" allowBlank="1" showInputMessage="1" showErrorMessage="1" sqref="C48:D54 C60:D66 C107:D113 C117:D123" xr:uid="{7ADAD357-3218-49B3-86F3-710D76B901BA}"/>
  </dataValidations>
  <pageMargins left="0.7" right="0.7" top="0.75" bottom="0.75" header="0.3" footer="0.3"/>
  <pageSetup paperSize="9" scale="3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7">
    <tabColor theme="8" tint="-0.249977111117893"/>
  </sheetPr>
  <dimension ref="A1:DK37"/>
  <sheetViews>
    <sheetView showGridLines="0" zoomScale="90" zoomScaleNormal="90" workbookViewId="0">
      <pane ySplit="1" topLeftCell="A2" activePane="bottomLeft" state="frozen"/>
      <selection activeCell="D90" sqref="D90"/>
      <selection pane="bottomLeft" activeCell="G1" sqref="G1"/>
    </sheetView>
  </sheetViews>
  <sheetFormatPr baseColWidth="10" defaultColWidth="9.109375" defaultRowHeight="14.4" outlineLevelCol="1"/>
  <cols>
    <col min="1" max="1" width="88.44140625" style="31" bestFit="1" customWidth="1"/>
    <col min="2" max="2" width="11.44140625" style="31" customWidth="1"/>
    <col min="3" max="3" width="6.44140625" style="31" customWidth="1"/>
    <col min="4" max="4" width="17.5546875" style="31" bestFit="1" customWidth="1"/>
    <col min="5" max="5" width="15.88671875" style="31" bestFit="1" customWidth="1"/>
    <col min="6" max="6" width="14.44140625" style="31" bestFit="1" customWidth="1"/>
    <col min="7" max="7" width="8" style="31" bestFit="1" customWidth="1"/>
    <col min="8" max="8" width="10.44140625" style="31" bestFit="1" customWidth="1"/>
    <col min="9" max="9" width="43.44140625" style="31" customWidth="1"/>
    <col min="10" max="10" width="40.109375" style="31" hidden="1" customWidth="1" outlineLevel="1"/>
    <col min="11" max="11" width="10.5546875" style="31" hidden="1" customWidth="1" outlineLevel="1"/>
    <col min="12" max="12" width="8.44140625" style="31" hidden="1" customWidth="1" outlineLevel="1"/>
    <col min="13" max="13" width="5.44140625" style="31" hidden="1" customWidth="1" outlineLevel="1"/>
    <col min="14" max="14" width="12.33203125" style="31" customWidth="1" collapsed="1"/>
    <col min="15" max="19" width="7.44140625" style="31" customWidth="1"/>
    <col min="20" max="16384" width="9.109375" style="31"/>
  </cols>
  <sheetData>
    <row r="1" spans="1:115" s="48" customFormat="1" ht="70.5" customHeight="1">
      <c r="A1" s="247"/>
      <c r="B1" s="248"/>
      <c r="C1" s="248"/>
      <c r="D1" s="248"/>
      <c r="E1" s="248"/>
      <c r="F1" s="248"/>
      <c r="G1" s="249"/>
      <c r="H1" s="248"/>
      <c r="I1" s="248"/>
      <c r="J1" s="1325"/>
      <c r="K1" s="1325"/>
      <c r="L1" s="1325"/>
      <c r="M1" s="1326"/>
      <c r="N1" s="251"/>
      <c r="O1" s="119"/>
      <c r="P1" s="119"/>
      <c r="Q1" s="120"/>
      <c r="R1" s="120"/>
      <c r="S1" s="120"/>
      <c r="T1" s="120"/>
      <c r="U1" s="120"/>
      <c r="V1" s="120"/>
      <c r="W1" s="120"/>
      <c r="X1" s="120"/>
      <c r="Y1" s="120"/>
      <c r="Z1" s="120"/>
      <c r="AA1" s="120"/>
      <c r="AB1" s="120"/>
      <c r="AC1" s="120"/>
      <c r="AD1" s="120"/>
      <c r="AE1" s="120"/>
      <c r="AF1" s="120"/>
      <c r="AG1" s="120"/>
      <c r="AH1" s="120"/>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row>
    <row r="2" spans="1:115" s="46" customFormat="1" ht="15.75" customHeight="1">
      <c r="A2" s="252"/>
      <c r="B2" s="253"/>
      <c r="C2" s="253"/>
      <c r="D2" s="253"/>
      <c r="E2" s="253"/>
      <c r="F2" s="253"/>
      <c r="G2" s="253"/>
      <c r="H2" s="253"/>
      <c r="I2" s="253"/>
      <c r="J2" s="435"/>
      <c r="K2" s="435"/>
      <c r="L2" s="435"/>
      <c r="M2" s="435"/>
      <c r="N2" s="254"/>
      <c r="O2" s="1210"/>
      <c r="P2" s="1210"/>
      <c r="Q2" s="31"/>
      <c r="R2" s="31"/>
      <c r="S2" s="31"/>
      <c r="T2" s="31"/>
      <c r="U2" s="31"/>
      <c r="V2" s="31"/>
      <c r="W2" s="31"/>
      <c r="X2" s="31"/>
      <c r="Y2" s="31"/>
      <c r="Z2" s="31"/>
      <c r="AA2" s="31"/>
      <c r="AB2" s="31"/>
      <c r="AC2" s="31"/>
      <c r="AD2" s="31"/>
      <c r="AE2" s="31"/>
      <c r="AF2" s="31"/>
      <c r="AG2" s="31"/>
      <c r="AH2" s="31"/>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row>
    <row r="3" spans="1:115" ht="25.8">
      <c r="A3" s="274" t="s">
        <v>270</v>
      </c>
      <c r="B3" s="1211"/>
      <c r="C3" s="275"/>
      <c r="D3" s="1212"/>
      <c r="E3" s="1212"/>
      <c r="F3" s="1212"/>
      <c r="G3" s="1213"/>
      <c r="H3" s="1214"/>
      <c r="I3" s="1213"/>
      <c r="J3" s="436"/>
      <c r="K3" s="436"/>
      <c r="L3" s="436"/>
      <c r="M3" s="436"/>
      <c r="N3" s="233"/>
    </row>
    <row r="4" spans="1:115">
      <c r="A4" s="1211"/>
      <c r="B4" s="1211"/>
      <c r="C4" s="275"/>
      <c r="D4" s="1212"/>
      <c r="E4" s="1212"/>
      <c r="F4" s="1212"/>
      <c r="G4" s="1213"/>
      <c r="H4" s="1214"/>
      <c r="I4" s="1213"/>
      <c r="J4" s="437" t="s">
        <v>271</v>
      </c>
      <c r="K4" s="436"/>
      <c r="L4" s="436"/>
      <c r="M4" s="436"/>
      <c r="N4" s="233"/>
    </row>
    <row r="5" spans="1:115">
      <c r="A5" s="1211"/>
      <c r="B5" s="1211"/>
      <c r="C5" s="275"/>
      <c r="D5" s="1212"/>
      <c r="E5" s="1212"/>
      <c r="F5" s="1212"/>
      <c r="G5" s="1213"/>
      <c r="H5" s="1214"/>
      <c r="I5" s="1213"/>
      <c r="J5" s="603" t="s">
        <v>185</v>
      </c>
      <c r="K5" s="438">
        <f>Accueil!E29</f>
        <v>0</v>
      </c>
      <c r="L5" s="439">
        <v>2050</v>
      </c>
      <c r="M5" s="436"/>
      <c r="N5" s="233"/>
    </row>
    <row r="6" spans="1:115" ht="18">
      <c r="A6" s="276" t="str">
        <f>"Economie d'énergie réalisée entre "&amp;Accueil!E29&amp;" et 2050"</f>
        <v>Economie d'énergie réalisée entre  et 2050</v>
      </c>
      <c r="B6" s="618"/>
      <c r="C6" s="275"/>
      <c r="D6" s="1212"/>
      <c r="E6" s="1212"/>
      <c r="F6" s="1212"/>
      <c r="G6" s="1213"/>
      <c r="H6" s="1214"/>
      <c r="I6" s="1213"/>
      <c r="J6" s="440" t="s">
        <v>272</v>
      </c>
      <c r="K6" s="1127">
        <f>'Potentiel EnR'!G24</f>
        <v>0</v>
      </c>
      <c r="L6" s="1215">
        <f>+K6</f>
        <v>0</v>
      </c>
      <c r="M6" s="436"/>
      <c r="N6" s="233"/>
    </row>
    <row r="7" spans="1:115" ht="18">
      <c r="A7" s="276" t="s">
        <v>273</v>
      </c>
      <c r="B7" s="618"/>
      <c r="C7" s="1213"/>
      <c r="D7" s="1212"/>
      <c r="E7" s="1212"/>
      <c r="F7" s="1212"/>
      <c r="G7" s="1213"/>
      <c r="H7" s="1214"/>
      <c r="I7" s="1213"/>
      <c r="J7" s="440" t="s">
        <v>274</v>
      </c>
      <c r="K7" s="1127" t="e">
        <f ca="1">'Bilan territorial'!M20-'Bilan territorial'!K59</f>
        <v>#REF!</v>
      </c>
      <c r="L7" s="441" t="e">
        <f ca="1">L9-L8</f>
        <v>#REF!</v>
      </c>
      <c r="M7" s="436"/>
      <c r="N7" s="233"/>
    </row>
    <row r="8" spans="1:115" ht="18">
      <c r="A8" s="276" t="s">
        <v>275</v>
      </c>
      <c r="B8" s="277" t="str">
        <f>IF(L6=0,"/",L8/L6)</f>
        <v>/</v>
      </c>
      <c r="C8" s="1213"/>
      <c r="D8" s="1213"/>
      <c r="E8" s="1213"/>
      <c r="F8" s="1213"/>
      <c r="G8" s="1213"/>
      <c r="H8" s="1213"/>
      <c r="I8" s="1213"/>
      <c r="J8" s="440" t="s">
        <v>276</v>
      </c>
      <c r="K8" s="1127" t="e">
        <f ca="1">'Bilan territorial'!K59</f>
        <v>#REF!</v>
      </c>
      <c r="L8" s="442" t="e">
        <f ca="1">L9*B7</f>
        <v>#REF!</v>
      </c>
      <c r="M8" s="436"/>
      <c r="N8" s="233"/>
    </row>
    <row r="9" spans="1:115">
      <c r="A9" s="1211"/>
      <c r="B9" s="567"/>
      <c r="C9" s="1213"/>
      <c r="D9" s="1965"/>
      <c r="E9" s="1965"/>
      <c r="F9" s="1965"/>
      <c r="G9" s="1965"/>
      <c r="H9" s="1965"/>
      <c r="I9" s="1213"/>
      <c r="J9" s="440" t="s">
        <v>277</v>
      </c>
      <c r="K9" s="1127" t="e">
        <f ca="1">SUM(K7:K8)</f>
        <v>#REF!</v>
      </c>
      <c r="L9" s="442" t="e">
        <f ca="1">K9*(1-B6)</f>
        <v>#REF!</v>
      </c>
      <c r="M9" s="436"/>
      <c r="N9" s="233"/>
    </row>
    <row r="10" spans="1:115">
      <c r="A10" s="1968"/>
      <c r="B10" s="1968"/>
      <c r="C10" s="1968"/>
      <c r="D10" s="1213"/>
      <c r="E10" s="1213"/>
      <c r="F10" s="1213"/>
      <c r="G10" s="1213"/>
      <c r="H10" s="1213"/>
      <c r="I10" s="1213"/>
      <c r="J10" s="440" t="s">
        <v>278</v>
      </c>
      <c r="K10" s="1124" t="e">
        <f ca="1">K8/K9</f>
        <v>#REF!</v>
      </c>
      <c r="L10" s="1124" t="e">
        <f ca="1">L8/L9</f>
        <v>#REF!</v>
      </c>
      <c r="M10" s="436"/>
      <c r="N10" s="233"/>
    </row>
    <row r="11" spans="1:115">
      <c r="A11" s="1968"/>
      <c r="B11" s="1968"/>
      <c r="C11" s="1968"/>
      <c r="D11" s="1216"/>
      <c r="E11" s="1213"/>
      <c r="F11" s="1213"/>
      <c r="G11" s="1213"/>
      <c r="H11" s="1213"/>
      <c r="I11" s="1213"/>
      <c r="J11" s="436"/>
      <c r="K11" s="443"/>
      <c r="L11" s="436"/>
      <c r="M11" s="436"/>
      <c r="N11" s="233"/>
    </row>
    <row r="12" spans="1:115">
      <c r="A12" s="1968"/>
      <c r="B12" s="1968"/>
      <c r="C12" s="1968"/>
      <c r="D12" s="1213"/>
      <c r="E12" s="1213"/>
      <c r="F12" s="1213"/>
      <c r="G12" s="1213"/>
      <c r="H12" s="1213"/>
      <c r="I12" s="1213"/>
      <c r="J12" s="436"/>
      <c r="K12" s="436"/>
      <c r="L12" s="436"/>
      <c r="M12" s="436"/>
      <c r="N12" s="233"/>
    </row>
    <row r="13" spans="1:115">
      <c r="A13" s="1968"/>
      <c r="B13" s="1968"/>
      <c r="C13" s="1968"/>
      <c r="D13" s="1217"/>
      <c r="E13" s="1214"/>
      <c r="F13" s="1214"/>
      <c r="G13" s="1217"/>
      <c r="H13" s="1214"/>
      <c r="I13" s="1213"/>
      <c r="J13" s="436"/>
      <c r="K13" s="436"/>
      <c r="L13" s="436"/>
      <c r="M13" s="436"/>
      <c r="N13" s="233"/>
    </row>
    <row r="14" spans="1:115" ht="3.75" customHeight="1">
      <c r="A14" s="233"/>
      <c r="B14" s="233"/>
      <c r="C14" s="567"/>
      <c r="D14" s="1218"/>
      <c r="E14" s="567"/>
      <c r="F14" s="567"/>
      <c r="G14" s="567"/>
      <c r="H14" s="567"/>
      <c r="I14" s="567"/>
      <c r="J14" s="436"/>
      <c r="K14" s="436"/>
      <c r="L14" s="436"/>
      <c r="M14" s="436"/>
      <c r="N14" s="233"/>
    </row>
    <row r="15" spans="1:115" ht="17.25" customHeight="1">
      <c r="A15" s="233"/>
      <c r="B15" s="233"/>
      <c r="C15" s="1966"/>
      <c r="D15" s="1966"/>
      <c r="E15" s="1966"/>
      <c r="F15" s="1966"/>
      <c r="G15" s="1966"/>
      <c r="H15" s="1966"/>
      <c r="I15" s="278"/>
      <c r="J15" s="436"/>
      <c r="K15" s="436"/>
      <c r="L15" s="436"/>
      <c r="M15" s="436"/>
      <c r="N15" s="233"/>
    </row>
    <row r="16" spans="1:115" s="32" customFormat="1" ht="8.25" customHeight="1">
      <c r="A16" s="279"/>
      <c r="B16" s="279"/>
      <c r="C16" s="1967"/>
      <c r="D16" s="1967"/>
      <c r="E16" s="1967"/>
      <c r="F16" s="1967"/>
      <c r="G16" s="1967"/>
      <c r="H16" s="1967"/>
      <c r="I16" s="280"/>
      <c r="J16" s="444"/>
      <c r="K16" s="445"/>
      <c r="L16" s="445"/>
      <c r="M16" s="445"/>
      <c r="N16" s="279"/>
    </row>
    <row r="17" spans="1:18" s="32" customFormat="1">
      <c r="A17" s="279"/>
      <c r="B17" s="279"/>
      <c r="C17" s="1958"/>
      <c r="D17" s="1958"/>
      <c r="E17" s="1958"/>
      <c r="F17" s="1958"/>
      <c r="G17" s="1958"/>
      <c r="H17" s="1958"/>
      <c r="I17" s="281"/>
      <c r="J17" s="444"/>
      <c r="K17" s="445"/>
      <c r="L17" s="445"/>
      <c r="M17" s="445"/>
      <c r="N17" s="279"/>
    </row>
    <row r="18" spans="1:18" s="32" customFormat="1">
      <c r="A18" s="279"/>
      <c r="B18" s="279"/>
      <c r="C18" s="1958"/>
      <c r="D18" s="1958"/>
      <c r="E18" s="1958"/>
      <c r="F18" s="1958"/>
      <c r="G18" s="1958"/>
      <c r="H18" s="1958"/>
      <c r="I18" s="281"/>
      <c r="J18" s="444"/>
      <c r="K18" s="445"/>
      <c r="L18" s="445"/>
      <c r="M18" s="445"/>
      <c r="N18" s="279"/>
    </row>
    <row r="19" spans="1:18">
      <c r="A19" s="233"/>
      <c r="B19" s="233"/>
      <c r="C19" s="1958"/>
      <c r="D19" s="1958"/>
      <c r="E19" s="1958"/>
      <c r="F19" s="1958"/>
      <c r="G19" s="1958"/>
      <c r="H19" s="1958"/>
      <c r="I19" s="282"/>
      <c r="J19" s="445"/>
      <c r="K19" s="1219"/>
      <c r="L19" s="436"/>
      <c r="M19" s="436"/>
      <c r="N19" s="233"/>
    </row>
    <row r="20" spans="1:18" ht="19.5" customHeight="1">
      <c r="A20" s="233"/>
      <c r="B20" s="233"/>
      <c r="C20" s="1959"/>
      <c r="D20" s="1959"/>
      <c r="E20" s="1959"/>
      <c r="F20" s="1959"/>
      <c r="G20" s="1959"/>
      <c r="H20" s="1959"/>
      <c r="I20" s="278"/>
      <c r="J20" s="445"/>
      <c r="K20" s="1219"/>
      <c r="L20" s="436"/>
      <c r="M20" s="436"/>
      <c r="N20" s="233"/>
    </row>
    <row r="21" spans="1:18" ht="22.5" customHeight="1">
      <c r="A21" s="233"/>
      <c r="B21" s="233"/>
      <c r="C21" s="1958"/>
      <c r="D21" s="1958"/>
      <c r="E21" s="1958"/>
      <c r="F21" s="1958"/>
      <c r="G21" s="1958"/>
      <c r="H21" s="1958"/>
      <c r="I21" s="281"/>
      <c r="J21" s="446"/>
      <c r="K21" s="1219"/>
      <c r="L21" s="436"/>
      <c r="M21" s="436"/>
      <c r="N21" s="233"/>
    </row>
    <row r="22" spans="1:18" ht="22.5" customHeight="1">
      <c r="A22" s="233"/>
      <c r="B22" s="233"/>
      <c r="C22" s="1962"/>
      <c r="D22" s="1962"/>
      <c r="E22" s="1962"/>
      <c r="F22" s="1962"/>
      <c r="G22" s="1962"/>
      <c r="H22" s="1962"/>
      <c r="I22" s="281"/>
      <c r="J22" s="446"/>
      <c r="K22" s="1219"/>
      <c r="L22" s="436"/>
      <c r="M22" s="436"/>
      <c r="N22" s="233"/>
    </row>
    <row r="23" spans="1:18">
      <c r="A23" s="233"/>
      <c r="B23" s="233"/>
      <c r="C23" s="1958"/>
      <c r="D23" s="1958"/>
      <c r="E23" s="1958"/>
      <c r="F23" s="1958"/>
      <c r="G23" s="1958"/>
      <c r="H23" s="1958"/>
      <c r="I23" s="281"/>
      <c r="J23" s="445"/>
      <c r="K23" s="1219"/>
      <c r="L23" s="436"/>
      <c r="M23" s="436"/>
      <c r="N23" s="233"/>
    </row>
    <row r="24" spans="1:18">
      <c r="A24" s="233"/>
      <c r="B24" s="233"/>
      <c r="C24" s="1958"/>
      <c r="D24" s="1958"/>
      <c r="E24" s="1958"/>
      <c r="F24" s="1958"/>
      <c r="G24" s="1958"/>
      <c r="H24" s="1958"/>
      <c r="I24" s="283"/>
      <c r="J24" s="445"/>
      <c r="K24" s="1219"/>
      <c r="L24" s="1220"/>
      <c r="M24" s="1220"/>
      <c r="N24" s="1221"/>
      <c r="O24" s="1222"/>
      <c r="P24" s="1222"/>
      <c r="Q24" s="1222"/>
      <c r="R24" s="1222"/>
    </row>
    <row r="25" spans="1:18" ht="28.8">
      <c r="C25" s="123"/>
      <c r="D25" s="123"/>
      <c r="E25" s="123"/>
      <c r="F25" s="123"/>
      <c r="G25" s="123"/>
      <c r="H25" s="123"/>
      <c r="I25" s="124"/>
      <c r="J25" s="32"/>
      <c r="K25" s="1223"/>
      <c r="L25" s="1963"/>
      <c r="M25" s="1963"/>
      <c r="N25" s="1963"/>
      <c r="O25" s="1963"/>
      <c r="P25" s="1963"/>
      <c r="Q25" s="1964"/>
      <c r="R25" s="1964"/>
    </row>
    <row r="26" spans="1:18" ht="28.8">
      <c r="C26" s="123"/>
      <c r="D26" s="123"/>
      <c r="E26" s="123"/>
      <c r="F26" s="123"/>
      <c r="G26" s="123"/>
      <c r="H26" s="123"/>
      <c r="I26" s="124"/>
      <c r="J26" s="32"/>
      <c r="K26" s="1223"/>
      <c r="L26" s="125"/>
      <c r="M26" s="125"/>
      <c r="N26" s="125"/>
      <c r="O26" s="125"/>
      <c r="P26" s="125"/>
      <c r="Q26" s="126"/>
      <c r="R26" s="126"/>
    </row>
    <row r="27" spans="1:18">
      <c r="C27" s="127"/>
      <c r="D27" s="127"/>
      <c r="E27" s="127"/>
      <c r="F27" s="127"/>
      <c r="G27" s="127"/>
      <c r="H27" s="127"/>
      <c r="I27" s="32"/>
      <c r="J27" s="1223"/>
      <c r="K27" s="1223"/>
      <c r="L27" s="1961"/>
      <c r="M27" s="1961"/>
      <c r="N27" s="1961"/>
      <c r="O27" s="1961"/>
      <c r="P27" s="1961"/>
      <c r="Q27" s="1961"/>
      <c r="R27" s="1961"/>
    </row>
    <row r="28" spans="1:18" ht="20.25" customHeight="1">
      <c r="C28" s="1960"/>
      <c r="D28" s="1960"/>
      <c r="E28" s="1960"/>
      <c r="F28" s="1960"/>
      <c r="G28" s="1960"/>
      <c r="H28" s="1960"/>
      <c r="I28" s="1224"/>
      <c r="J28" s="1225"/>
      <c r="L28" s="1963"/>
      <c r="M28" s="1963"/>
      <c r="N28" s="1963"/>
      <c r="O28" s="1963"/>
      <c r="P28" s="1963"/>
      <c r="Q28" s="1964"/>
      <c r="R28" s="1964"/>
    </row>
    <row r="29" spans="1:18" ht="28.8">
      <c r="C29" s="1226"/>
      <c r="D29" s="1226"/>
      <c r="E29" s="1226"/>
      <c r="F29" s="1226"/>
      <c r="G29" s="1226"/>
      <c r="H29" s="1226"/>
      <c r="I29" s="1210"/>
      <c r="J29" s="1225"/>
      <c r="L29" s="125"/>
      <c r="M29" s="125"/>
      <c r="N29" s="125"/>
      <c r="O29" s="125"/>
      <c r="P29" s="125"/>
      <c r="Q29" s="126"/>
      <c r="R29" s="126"/>
    </row>
    <row r="30" spans="1:18" ht="28.8">
      <c r="C30" s="1226"/>
      <c r="D30" s="1226"/>
      <c r="E30" s="1226"/>
      <c r="F30" s="1226"/>
      <c r="G30" s="1226"/>
      <c r="H30" s="1226"/>
      <c r="I30" s="1210"/>
      <c r="J30" s="1225"/>
      <c r="L30" s="125"/>
      <c r="M30" s="125"/>
      <c r="N30" s="125"/>
      <c r="O30" s="125"/>
      <c r="P30" s="125"/>
      <c r="Q30" s="126"/>
      <c r="R30" s="126"/>
    </row>
    <row r="31" spans="1:18" ht="28.8">
      <c r="C31" s="1226"/>
      <c r="D31" s="1226"/>
      <c r="E31" s="1226"/>
      <c r="F31" s="1226"/>
      <c r="G31" s="1226"/>
      <c r="H31" s="1226"/>
      <c r="I31" s="1210"/>
      <c r="J31" s="1225"/>
      <c r="L31" s="125"/>
      <c r="M31" s="125"/>
      <c r="N31" s="125"/>
      <c r="O31" s="125"/>
      <c r="P31" s="125"/>
      <c r="Q31" s="126"/>
      <c r="R31" s="126"/>
    </row>
    <row r="32" spans="1:18" ht="28.8">
      <c r="C32" s="1226"/>
      <c r="D32" s="1226"/>
      <c r="E32" s="1226"/>
      <c r="F32" s="1226"/>
      <c r="G32" s="1226"/>
      <c r="H32" s="1226"/>
      <c r="I32" s="1210"/>
      <c r="J32" s="1225"/>
      <c r="L32" s="125"/>
      <c r="M32" s="125"/>
      <c r="N32" s="125"/>
      <c r="O32" s="125"/>
      <c r="P32" s="125"/>
      <c r="Q32" s="126"/>
      <c r="R32" s="126"/>
    </row>
    <row r="33" spans="3:18" ht="28.8">
      <c r="C33" s="1226"/>
      <c r="D33" s="1226"/>
      <c r="E33" s="1226"/>
      <c r="F33" s="1226"/>
      <c r="G33" s="1226"/>
      <c r="H33" s="1226"/>
      <c r="I33" s="1210"/>
      <c r="J33" s="1225"/>
      <c r="L33" s="125"/>
      <c r="M33" s="125"/>
      <c r="N33" s="125"/>
      <c r="O33" s="125"/>
      <c r="P33" s="125"/>
      <c r="Q33" s="126"/>
      <c r="R33" s="126"/>
    </row>
    <row r="34" spans="3:18" ht="28.8">
      <c r="C34" s="1226"/>
      <c r="D34" s="1226"/>
      <c r="E34" s="1226"/>
      <c r="F34" s="1226"/>
      <c r="G34" s="1226"/>
      <c r="H34" s="1226"/>
      <c r="I34" s="1210"/>
      <c r="J34" s="1225"/>
      <c r="L34" s="125"/>
      <c r="M34" s="125"/>
      <c r="N34" s="125"/>
      <c r="O34" s="125"/>
      <c r="P34" s="125"/>
      <c r="Q34" s="126"/>
      <c r="R34" s="126"/>
    </row>
    <row r="35" spans="3:18" ht="28.8">
      <c r="C35" s="1226"/>
      <c r="D35" s="1226"/>
      <c r="E35" s="1226"/>
      <c r="F35" s="1226"/>
      <c r="G35" s="1226"/>
      <c r="H35" s="1226"/>
      <c r="I35" s="1210"/>
      <c r="J35" s="1225"/>
      <c r="L35" s="125"/>
      <c r="M35" s="125"/>
      <c r="N35" s="125"/>
      <c r="O35" s="125"/>
      <c r="P35" s="125"/>
      <c r="Q35" s="126"/>
      <c r="R35" s="126"/>
    </row>
    <row r="36" spans="3:18" ht="28.8">
      <c r="C36" s="1226"/>
      <c r="D36" s="1226"/>
      <c r="E36" s="1226"/>
      <c r="F36" s="1226"/>
      <c r="G36" s="1226"/>
      <c r="H36" s="1226"/>
      <c r="I36" s="1210"/>
      <c r="J36" s="1225"/>
      <c r="L36" s="125"/>
      <c r="M36" s="125"/>
      <c r="N36" s="125"/>
      <c r="O36" s="125"/>
      <c r="P36" s="125"/>
      <c r="Q36" s="126"/>
      <c r="R36" s="126"/>
    </row>
    <row r="37" spans="3:18" ht="85.5" customHeight="1">
      <c r="C37" s="1223"/>
    </row>
  </sheetData>
  <sheetProtection sheet="1" formatColumns="0" formatRows="0"/>
  <mergeCells count="19">
    <mergeCell ref="D9:H9"/>
    <mergeCell ref="C15:H15"/>
    <mergeCell ref="C16:H16"/>
    <mergeCell ref="C17:H17"/>
    <mergeCell ref="C18:H18"/>
    <mergeCell ref="A10:C13"/>
    <mergeCell ref="P27:R27"/>
    <mergeCell ref="L27:O27"/>
    <mergeCell ref="C22:H22"/>
    <mergeCell ref="P28:R28"/>
    <mergeCell ref="P25:R25"/>
    <mergeCell ref="L28:O28"/>
    <mergeCell ref="L25:O25"/>
    <mergeCell ref="C19:H19"/>
    <mergeCell ref="C23:H23"/>
    <mergeCell ref="C20:H20"/>
    <mergeCell ref="C28:H28"/>
    <mergeCell ref="C24:H24"/>
    <mergeCell ref="C21:H21"/>
  </mergeCells>
  <conditionalFormatting sqref="B8">
    <cfRule type="cellIs" dxfId="393" priority="1" stopIfTrue="1" operator="greaterThan">
      <formula>1</formula>
    </cfRule>
  </conditionalFormatting>
  <dataValidations count="3">
    <dataValidation type="list" allowBlank="1" showInputMessage="1" showErrorMessage="1" sqref="B6:B7" xr:uid="{00000000-0002-0000-0800-000000000000}">
      <formula1>Pourcent</formula1>
    </dataValidation>
    <dataValidation type="list" allowBlank="1" showInputMessage="1" showErrorMessage="1" sqref="I15" xr:uid="{00000000-0002-0000-0800-000001000000}">
      <formula1>$A$1:$A$8</formula1>
    </dataValidation>
    <dataValidation type="list" allowBlank="1" showInputMessage="1" showErrorMessage="1" sqref="I20" xr:uid="{00000000-0002-0000-0800-000002000000}">
      <formula1>$A$1:$A$10</formula1>
    </dataValidation>
  </dataValidations>
  <pageMargins left="0.7" right="0.7" top="0.75" bottom="0.75" header="0.3" footer="0.3"/>
  <pageSetup paperSize="9" orientation="portrait" r:id="rId1"/>
  <rowBreaks count="1" manualBreakCount="1">
    <brk id="20" max="16383" man="1"/>
  </rowBreaks>
  <colBreaks count="2" manualBreakCount="2">
    <brk id="8" max="1048575" man="1"/>
    <brk id="10"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8">
    <tabColor theme="8" tint="-0.249977111117893"/>
    <pageSetUpPr fitToPage="1"/>
  </sheetPr>
  <dimension ref="A1:DF148"/>
  <sheetViews>
    <sheetView showGridLines="0" zoomScale="80" zoomScaleNormal="80" zoomScalePageLayoutView="85" workbookViewId="0">
      <pane ySplit="6" topLeftCell="A7" activePane="bottomLeft" state="frozen"/>
      <selection activeCell="D90" sqref="D90"/>
      <selection pane="bottomLeft" activeCell="A2" sqref="A2"/>
    </sheetView>
  </sheetViews>
  <sheetFormatPr baseColWidth="10" defaultColWidth="9.109375" defaultRowHeight="14.4" outlineLevelRow="1"/>
  <cols>
    <col min="1" max="1" width="3.44140625" style="1533" customWidth="1"/>
    <col min="2" max="2" width="22.5546875" style="1533" customWidth="1"/>
    <col min="3" max="3" width="21.44140625" style="1533" customWidth="1"/>
    <col min="4" max="4" width="9.5546875" style="1533" customWidth="1"/>
    <col min="5" max="5" width="16.5546875" style="1533" customWidth="1"/>
    <col min="6" max="6" width="12.88671875" style="1622" customWidth="1"/>
    <col min="7" max="7" width="14.5546875" style="1622" customWidth="1"/>
    <col min="8" max="8" width="18" style="1533" customWidth="1"/>
    <col min="9" max="9" width="22.33203125" style="1533" customWidth="1"/>
    <col min="10" max="10" width="12.88671875" style="1533" customWidth="1"/>
    <col min="11" max="11" width="9.6640625" style="79" customWidth="1"/>
    <col min="12" max="12" width="31.88671875" style="79" bestFit="1" customWidth="1"/>
    <col min="13" max="13" width="8.44140625" style="79" bestFit="1" customWidth="1"/>
    <col min="14" max="14" width="8.44140625" style="79" customWidth="1"/>
    <col min="15" max="15" width="8.44140625" style="79" bestFit="1" customWidth="1"/>
    <col min="16" max="16" width="7.44140625" style="79" bestFit="1" customWidth="1"/>
    <col min="17" max="17" width="11.5546875" style="42" customWidth="1"/>
    <col min="18" max="18" width="7.44140625" style="42" customWidth="1"/>
    <col min="19" max="19" width="11.44140625" style="42" customWidth="1"/>
    <col min="20" max="20" width="3" style="1621" customWidth="1"/>
    <col min="21" max="21" width="9.33203125" style="1621" bestFit="1" customWidth="1"/>
    <col min="22" max="22" width="11.44140625" style="1671" customWidth="1"/>
    <col min="23" max="41" width="9.109375" style="1558" customWidth="1"/>
    <col min="42" max="16384" width="9.109375" style="1533"/>
  </cols>
  <sheetData>
    <row r="1" spans="1:110" s="46" customFormat="1" ht="62.25" customHeight="1">
      <c r="A1" s="1504"/>
      <c r="B1" s="1504"/>
      <c r="C1" s="1505"/>
      <c r="D1" s="1505"/>
      <c r="E1" s="1505"/>
      <c r="F1" s="1505"/>
      <c r="G1" s="1505"/>
      <c r="H1" s="1505"/>
      <c r="I1" s="1506"/>
      <c r="J1" s="1506"/>
      <c r="K1" s="1506"/>
      <c r="L1" s="1506"/>
      <c r="M1" s="1506"/>
      <c r="N1" s="1506"/>
      <c r="O1" s="1506"/>
      <c r="P1" s="1506"/>
      <c r="Q1" s="1506"/>
      <c r="R1" s="1506"/>
      <c r="S1" s="1507"/>
      <c r="T1" s="45"/>
      <c r="U1" s="45"/>
      <c r="V1" s="1669"/>
      <c r="W1" s="1"/>
      <c r="X1" s="1"/>
      <c r="Y1" s="1"/>
      <c r="Z1" s="1"/>
      <c r="AA1" s="1"/>
      <c r="AB1" s="1"/>
      <c r="AC1" s="1"/>
      <c r="AD1" s="1"/>
      <c r="AE1" s="1"/>
      <c r="AF1" s="1"/>
      <c r="AG1" s="1"/>
      <c r="AH1" s="1"/>
      <c r="AI1" s="1"/>
      <c r="AJ1" s="1"/>
      <c r="AK1" s="1"/>
      <c r="AL1" s="1"/>
      <c r="AM1" s="1"/>
      <c r="AN1" s="1"/>
      <c r="AO1" s="1"/>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c r="BO1" s="1437"/>
      <c r="BP1" s="1437"/>
      <c r="BQ1" s="1437"/>
      <c r="BR1" s="1437"/>
      <c r="BS1" s="1437"/>
      <c r="BT1" s="1437"/>
      <c r="BU1" s="1437"/>
      <c r="BV1" s="1437"/>
      <c r="BW1" s="1437"/>
      <c r="BX1" s="1437"/>
      <c r="BY1" s="1437"/>
      <c r="BZ1" s="1437"/>
      <c r="CA1" s="1437"/>
      <c r="CB1" s="1437"/>
      <c r="CC1" s="1437"/>
      <c r="CD1" s="1437"/>
      <c r="CE1" s="1437"/>
      <c r="CF1" s="1437"/>
      <c r="CG1" s="1437"/>
      <c r="CH1" s="1437"/>
      <c r="CI1" s="1437"/>
      <c r="CJ1" s="1437"/>
      <c r="CK1" s="1437"/>
      <c r="CL1" s="1437"/>
      <c r="CM1" s="1437"/>
      <c r="CN1" s="1437"/>
      <c r="CO1" s="1437"/>
      <c r="CP1" s="1437"/>
      <c r="CQ1" s="1437"/>
      <c r="CR1" s="1437"/>
      <c r="CS1" s="1437"/>
      <c r="CT1" s="1437"/>
      <c r="CU1" s="1437"/>
      <c r="CV1" s="1437"/>
      <c r="CW1" s="1437"/>
      <c r="CX1" s="1437"/>
      <c r="CY1" s="1437"/>
      <c r="CZ1" s="1437"/>
      <c r="DA1" s="1437"/>
      <c r="DB1" s="1437"/>
      <c r="DC1" s="1437"/>
      <c r="DD1" s="1437"/>
      <c r="DE1" s="1437"/>
      <c r="DF1" s="1437"/>
    </row>
    <row r="2" spans="1:110" s="46" customFormat="1" ht="15.6" customHeight="1" thickBot="1">
      <c r="A2" s="1508"/>
      <c r="B2" s="1508"/>
      <c r="C2" s="1509"/>
      <c r="D2" s="1509"/>
      <c r="E2" s="1509"/>
      <c r="F2" s="1510"/>
      <c r="G2" s="1511"/>
      <c r="H2" s="1512"/>
      <c r="I2" s="1513"/>
      <c r="J2" s="1514"/>
      <c r="K2" s="1515"/>
      <c r="L2" s="1507"/>
      <c r="M2" s="1507"/>
      <c r="N2" s="1507"/>
      <c r="O2" s="1507"/>
      <c r="P2" s="1516"/>
      <c r="Q2" s="1516"/>
      <c r="R2" s="1516"/>
      <c r="S2" s="55"/>
      <c r="T2" s="45"/>
      <c r="U2" s="45"/>
      <c r="V2" s="1669"/>
      <c r="W2" s="1"/>
      <c r="X2" s="1"/>
      <c r="Y2" s="1"/>
      <c r="Z2" s="1"/>
      <c r="AA2" s="1"/>
      <c r="AB2" s="1"/>
      <c r="AC2" s="1"/>
      <c r="AD2" s="1"/>
      <c r="AE2" s="1"/>
      <c r="AF2" s="1"/>
      <c r="AG2" s="1"/>
      <c r="AH2" s="1"/>
      <c r="AI2" s="1"/>
      <c r="AJ2" s="1"/>
      <c r="AK2" s="1"/>
      <c r="AL2" s="1"/>
      <c r="AM2" s="1"/>
      <c r="AN2" s="1"/>
      <c r="AO2" s="1"/>
      <c r="AP2" s="1437"/>
      <c r="AQ2" s="1437"/>
      <c r="AR2" s="1437"/>
      <c r="AS2" s="1437"/>
      <c r="AT2" s="1437"/>
      <c r="AU2" s="1437"/>
      <c r="AV2" s="1437"/>
      <c r="AW2" s="1437"/>
      <c r="AX2" s="1437"/>
      <c r="AY2" s="1437"/>
      <c r="AZ2" s="1437"/>
      <c r="BA2" s="1437"/>
      <c r="BB2" s="1437"/>
      <c r="BC2" s="1437"/>
      <c r="BD2" s="1437"/>
      <c r="BE2" s="1437"/>
      <c r="BF2" s="1437"/>
      <c r="BG2" s="1437"/>
      <c r="BH2" s="1437"/>
      <c r="BI2" s="1437"/>
      <c r="BJ2" s="1437"/>
      <c r="BK2" s="1437"/>
      <c r="BL2" s="1437"/>
      <c r="BM2" s="1437"/>
      <c r="BN2" s="1437"/>
      <c r="BO2" s="1437"/>
      <c r="BP2" s="1437"/>
      <c r="BQ2" s="1437"/>
      <c r="BR2" s="1437"/>
      <c r="BS2" s="1437"/>
      <c r="BT2" s="1437"/>
      <c r="BU2" s="1437"/>
      <c r="BV2" s="1437"/>
      <c r="BW2" s="1437"/>
      <c r="BX2" s="1437"/>
      <c r="BY2" s="1437"/>
      <c r="BZ2" s="1437"/>
      <c r="CA2" s="1437"/>
      <c r="CB2" s="1437"/>
      <c r="CC2" s="1437"/>
      <c r="CD2" s="1437"/>
      <c r="CE2" s="1437"/>
      <c r="CF2" s="1437"/>
      <c r="CG2" s="1437"/>
      <c r="CH2" s="1437"/>
      <c r="CI2" s="1437"/>
      <c r="CJ2" s="1437"/>
      <c r="CK2" s="1437"/>
      <c r="CL2" s="1437"/>
      <c r="CM2" s="1437"/>
      <c r="CN2" s="1437"/>
      <c r="CO2" s="1437"/>
      <c r="CP2" s="1437"/>
      <c r="CQ2" s="1437"/>
      <c r="CR2" s="1437"/>
      <c r="CS2" s="1437"/>
      <c r="CT2" s="1437"/>
      <c r="CU2" s="1437"/>
      <c r="CV2" s="1437"/>
      <c r="CW2" s="1437"/>
      <c r="CX2" s="1437"/>
      <c r="CY2" s="1437"/>
      <c r="CZ2" s="1437"/>
      <c r="DA2" s="1437"/>
      <c r="DB2" s="1437"/>
      <c r="DC2" s="1437"/>
      <c r="DD2" s="1437"/>
      <c r="DE2" s="1437"/>
      <c r="DF2" s="1437"/>
    </row>
    <row r="3" spans="1:110" s="46" customFormat="1" ht="63" thickBot="1">
      <c r="A3" s="1508"/>
      <c r="B3" s="1517" t="s">
        <v>279</v>
      </c>
      <c r="C3" s="631" t="s">
        <v>2153</v>
      </c>
      <c r="D3" s="1987" t="s">
        <v>281</v>
      </c>
      <c r="E3" s="1988"/>
      <c r="F3" s="625" t="s">
        <v>282</v>
      </c>
      <c r="G3" s="625" t="s">
        <v>283</v>
      </c>
      <c r="H3" s="625" t="str">
        <f>"Atteint en "&amp;Accueil!E29</f>
        <v xml:space="preserve">Atteint en </v>
      </c>
      <c r="I3" s="778" t="str">
        <f>"Solde à réaliser entre "&amp;Accueil!E29&amp;" et 2030"</f>
        <v>Solde à réaliser entre  et 2030</v>
      </c>
      <c r="J3" s="778" t="s">
        <v>284</v>
      </c>
      <c r="K3" s="1518"/>
      <c r="L3" s="1519"/>
      <c r="M3" s="1519"/>
      <c r="N3" s="1519"/>
      <c r="O3" s="1519"/>
      <c r="P3" s="1520"/>
      <c r="Q3" s="1520" t="s">
        <v>285</v>
      </c>
      <c r="R3" s="1520"/>
      <c r="S3" s="55"/>
      <c r="T3" s="45"/>
      <c r="U3" s="45"/>
      <c r="V3" s="1669"/>
      <c r="W3" s="1"/>
      <c r="X3" s="1"/>
      <c r="Y3" s="1"/>
      <c r="Z3" s="1"/>
      <c r="AA3" s="1"/>
      <c r="AB3" s="1"/>
      <c r="AC3" s="1"/>
      <c r="AD3" s="1"/>
      <c r="AE3" s="1"/>
      <c r="AF3" s="1"/>
      <c r="AG3" s="1"/>
      <c r="AH3" s="1"/>
      <c r="AI3" s="1"/>
      <c r="AJ3" s="1"/>
      <c r="AK3" s="1"/>
      <c r="AL3" s="1"/>
      <c r="AM3" s="1"/>
      <c r="AN3" s="1"/>
      <c r="AO3" s="1"/>
      <c r="AP3" s="1437"/>
      <c r="AQ3" s="1437"/>
      <c r="AR3" s="1437"/>
      <c r="AS3" s="1437"/>
      <c r="AT3" s="1437"/>
      <c r="AU3" s="1437"/>
      <c r="AV3" s="1437"/>
      <c r="AW3" s="1437"/>
      <c r="AX3" s="1437"/>
      <c r="AY3" s="1437"/>
      <c r="AZ3" s="1437"/>
      <c r="BA3" s="1437"/>
      <c r="BB3" s="1437"/>
      <c r="BC3" s="1437"/>
      <c r="BD3" s="1437"/>
      <c r="BE3" s="1437"/>
      <c r="BF3" s="1437"/>
      <c r="BG3" s="1437"/>
      <c r="BH3" s="1437"/>
      <c r="BI3" s="1437"/>
      <c r="BJ3" s="1437"/>
      <c r="BK3" s="1437"/>
      <c r="BL3" s="1437"/>
      <c r="BM3" s="1437"/>
      <c r="BN3" s="1437"/>
      <c r="BO3" s="1437"/>
      <c r="BP3" s="1437"/>
      <c r="BQ3" s="1437"/>
      <c r="BR3" s="1437"/>
      <c r="BS3" s="1437"/>
      <c r="BT3" s="1437"/>
      <c r="BU3" s="1437"/>
      <c r="BV3" s="1437"/>
      <c r="BW3" s="1437"/>
      <c r="BX3" s="1437"/>
      <c r="BY3" s="1437"/>
      <c r="BZ3" s="1437"/>
      <c r="CA3" s="1437"/>
      <c r="CB3" s="1437"/>
      <c r="CC3" s="1437"/>
      <c r="CD3" s="1437"/>
      <c r="CE3" s="1437"/>
      <c r="CF3" s="1437"/>
      <c r="CG3" s="1437"/>
      <c r="CH3" s="1437"/>
      <c r="CI3" s="1437"/>
      <c r="CJ3" s="1437"/>
      <c r="CK3" s="1437"/>
      <c r="CL3" s="1437"/>
      <c r="CM3" s="1437"/>
      <c r="CN3" s="1437"/>
      <c r="CO3" s="1437"/>
      <c r="CP3" s="1437"/>
      <c r="CQ3" s="1437"/>
      <c r="CR3" s="1437"/>
      <c r="CS3" s="1437"/>
      <c r="CT3" s="1437"/>
      <c r="CU3" s="1437"/>
      <c r="CV3" s="1437"/>
      <c r="CW3" s="1437"/>
      <c r="CX3" s="1437"/>
      <c r="CY3" s="1437"/>
      <c r="CZ3" s="1437"/>
      <c r="DA3" s="1437"/>
      <c r="DB3" s="1437"/>
      <c r="DC3" s="1437"/>
      <c r="DD3" s="1437"/>
      <c r="DE3" s="1437"/>
      <c r="DF3" s="1437"/>
    </row>
    <row r="4" spans="1:110" s="46" customFormat="1" ht="33" customHeight="1" thickBot="1">
      <c r="A4" s="1508"/>
      <c r="B4" s="1521"/>
      <c r="C4" s="1522"/>
      <c r="D4" s="1991" t="s">
        <v>286</v>
      </c>
      <c r="E4" s="1992"/>
      <c r="F4" s="1313" t="e">
        <f ca="1">-IF(C3="Relatif",'Calcul obj relatif'!C5,'Bilan territorial'!F39*0.55)</f>
        <v>#DIV/0!</v>
      </c>
      <c r="G4" s="1523" t="e">
        <f ca="1">P21-M21</f>
        <v>#REF!</v>
      </c>
      <c r="H4" s="872" t="e">
        <f ca="1">-'Bilan territorial'!F39+'Bilan territorial'!M39</f>
        <v>#DIV/0!</v>
      </c>
      <c r="I4" s="872" t="e">
        <f ca="1">G4-H4</f>
        <v>#REF!</v>
      </c>
      <c r="J4" s="872" t="e">
        <f ca="1">I4*'Suivi objectifs'!M2</f>
        <v>#REF!</v>
      </c>
      <c r="K4" s="1518"/>
      <c r="L4" s="1524" t="e">
        <f ca="1">'Bilan territorial'!AQ86</f>
        <v>#REF!</v>
      </c>
      <c r="M4" s="1519"/>
      <c r="N4" s="1519"/>
      <c r="O4" s="1519"/>
      <c r="P4" s="1520"/>
      <c r="Q4" s="1520"/>
      <c r="R4" s="1520"/>
      <c r="S4" s="55"/>
      <c r="T4" s="45"/>
      <c r="U4" s="45"/>
      <c r="V4" s="1669"/>
      <c r="W4" s="1"/>
      <c r="X4" s="1"/>
      <c r="Y4" s="1"/>
      <c r="Z4" s="1"/>
      <c r="AA4" s="1"/>
      <c r="AB4" s="1"/>
      <c r="AC4" s="1"/>
      <c r="AD4" s="1"/>
      <c r="AE4" s="1"/>
      <c r="AF4" s="1"/>
      <c r="AG4" s="1"/>
      <c r="AH4" s="1"/>
      <c r="AI4" s="1"/>
      <c r="AJ4" s="1"/>
      <c r="AK4" s="1"/>
      <c r="AL4" s="1"/>
      <c r="AM4" s="1"/>
      <c r="AN4" s="1"/>
      <c r="AO4" s="1"/>
      <c r="AP4" s="1437"/>
      <c r="AQ4" s="1437"/>
      <c r="AR4" s="1437"/>
      <c r="AS4" s="1437"/>
      <c r="AT4" s="1437"/>
      <c r="AU4" s="1437"/>
      <c r="AV4" s="1437"/>
      <c r="AW4" s="1437"/>
      <c r="AX4" s="1437"/>
      <c r="AY4" s="1437"/>
      <c r="AZ4" s="1437"/>
      <c r="BA4" s="1437"/>
      <c r="BB4" s="1437"/>
      <c r="BC4" s="1437"/>
      <c r="BD4" s="1437"/>
      <c r="BE4" s="1437"/>
      <c r="BF4" s="1437"/>
      <c r="BG4" s="1437"/>
      <c r="BH4" s="1437"/>
      <c r="BI4" s="1437"/>
      <c r="BJ4" s="1437"/>
      <c r="BK4" s="1437"/>
      <c r="BL4" s="1437"/>
      <c r="BM4" s="1437"/>
      <c r="BN4" s="1437"/>
      <c r="BO4" s="1437"/>
      <c r="BP4" s="1437"/>
      <c r="BQ4" s="1437"/>
      <c r="BR4" s="1437"/>
      <c r="BS4" s="1437"/>
      <c r="BT4" s="1437"/>
      <c r="BU4" s="1437"/>
      <c r="BV4" s="1437"/>
      <c r="BW4" s="1437"/>
      <c r="BX4" s="1437"/>
      <c r="BY4" s="1437"/>
      <c r="BZ4" s="1437"/>
      <c r="CA4" s="1437"/>
      <c r="CB4" s="1437"/>
      <c r="CC4" s="1437"/>
      <c r="CD4" s="1437"/>
      <c r="CE4" s="1437"/>
      <c r="CF4" s="1437"/>
      <c r="CG4" s="1437"/>
      <c r="CH4" s="1437"/>
      <c r="CI4" s="1437"/>
      <c r="CJ4" s="1437"/>
      <c r="CK4" s="1437"/>
      <c r="CL4" s="1437"/>
      <c r="CM4" s="1437"/>
      <c r="CN4" s="1437"/>
      <c r="CO4" s="1437"/>
      <c r="CP4" s="1437"/>
      <c r="CQ4" s="1437"/>
      <c r="CR4" s="1437"/>
      <c r="CS4" s="1437"/>
      <c r="CT4" s="1437"/>
      <c r="CU4" s="1437"/>
      <c r="CV4" s="1437"/>
      <c r="CW4" s="1437"/>
      <c r="CX4" s="1437"/>
      <c r="CY4" s="1437"/>
      <c r="CZ4" s="1437"/>
      <c r="DA4" s="1437"/>
      <c r="DB4" s="1437"/>
      <c r="DC4" s="1437"/>
      <c r="DD4" s="1437"/>
      <c r="DE4" s="1437"/>
      <c r="DF4" s="1437"/>
    </row>
    <row r="5" spans="1:110" s="46" customFormat="1" ht="16.649999999999999" customHeight="1" thickBot="1">
      <c r="A5" s="1508"/>
      <c r="B5" s="1521"/>
      <c r="C5" s="1522"/>
      <c r="D5" s="1993"/>
      <c r="E5" s="1994"/>
      <c r="F5" s="632" t="e">
        <f ca="1">-'Calcul obj relatif'!C8</f>
        <v>#DIV/0!</v>
      </c>
      <c r="G5" s="632" t="e">
        <f ca="1">G4/'Bilan territorial'!$F$39</f>
        <v>#REF!</v>
      </c>
      <c r="H5" s="632" t="e">
        <f ca="1">H4/'Bilan territorial'!$F$39</f>
        <v>#DIV/0!</v>
      </c>
      <c r="I5" s="633" t="e">
        <f ca="1">I4/'Bilan territorial'!$F$39</f>
        <v>#REF!</v>
      </c>
      <c r="J5" s="633" t="e">
        <f ca="1">J4/'Bilan territorial'!$F$39*1.00000000001</f>
        <v>#REF!</v>
      </c>
      <c r="K5" s="1525"/>
      <c r="L5" s="1519"/>
      <c r="M5" s="1519"/>
      <c r="N5" s="1519"/>
      <c r="O5" s="1519"/>
      <c r="P5" s="1520"/>
      <c r="Q5" s="1520"/>
      <c r="R5" s="1520"/>
      <c r="S5" s="55"/>
      <c r="T5" s="45"/>
      <c r="U5" s="45"/>
      <c r="V5" s="1669"/>
      <c r="W5" s="1"/>
      <c r="X5" s="1"/>
      <c r="Y5" s="1"/>
      <c r="Z5" s="1"/>
      <c r="AA5" s="1"/>
      <c r="AB5" s="1"/>
      <c r="AC5" s="1"/>
      <c r="AD5" s="1"/>
      <c r="AE5" s="1"/>
      <c r="AF5" s="1"/>
      <c r="AG5" s="1"/>
      <c r="AH5" s="1"/>
      <c r="AI5" s="1"/>
      <c r="AJ5" s="1"/>
      <c r="AK5" s="1"/>
      <c r="AL5" s="1"/>
      <c r="AM5" s="1"/>
      <c r="AN5" s="1"/>
      <c r="AO5" s="1"/>
      <c r="AP5" s="1437"/>
      <c r="AQ5" s="1437"/>
      <c r="AR5" s="1437"/>
      <c r="AS5" s="1437"/>
      <c r="AT5" s="1437"/>
      <c r="AU5" s="1437"/>
      <c r="AV5" s="1437"/>
      <c r="AW5" s="1437"/>
      <c r="AX5" s="1437"/>
      <c r="AY5" s="1437"/>
      <c r="AZ5" s="1437"/>
      <c r="BA5" s="1437"/>
      <c r="BB5" s="1437"/>
      <c r="BC5" s="1437"/>
      <c r="BD5" s="1437"/>
      <c r="BE5" s="1437"/>
      <c r="BF5" s="1437"/>
      <c r="BG5" s="1437"/>
      <c r="BH5" s="1437"/>
      <c r="BI5" s="1437"/>
      <c r="BJ5" s="1437"/>
      <c r="BK5" s="1437"/>
      <c r="BL5" s="1437"/>
      <c r="BM5" s="1437"/>
      <c r="BN5" s="1437"/>
      <c r="BO5" s="1437"/>
      <c r="BP5" s="1437"/>
      <c r="BQ5" s="1437"/>
      <c r="BR5" s="1437"/>
      <c r="BS5" s="1437"/>
      <c r="BT5" s="1437"/>
      <c r="BU5" s="1437"/>
      <c r="BV5" s="1437"/>
      <c r="BW5" s="1437"/>
      <c r="BX5" s="1437"/>
      <c r="BY5" s="1437"/>
      <c r="BZ5" s="1437"/>
      <c r="CA5" s="1437"/>
      <c r="CB5" s="1437"/>
      <c r="CC5" s="1437"/>
      <c r="CD5" s="1437"/>
      <c r="CE5" s="1437"/>
      <c r="CF5" s="1437"/>
      <c r="CG5" s="1437"/>
      <c r="CH5" s="1437"/>
      <c r="CI5" s="1437"/>
      <c r="CJ5" s="1437"/>
      <c r="CK5" s="1437"/>
      <c r="CL5" s="1437"/>
      <c r="CM5" s="1437"/>
      <c r="CN5" s="1437"/>
      <c r="CO5" s="1437"/>
      <c r="CP5" s="1437"/>
      <c r="CQ5" s="1437"/>
      <c r="CR5" s="1437"/>
      <c r="CS5" s="1437"/>
      <c r="CT5" s="1437"/>
      <c r="CU5" s="1437"/>
      <c r="CV5" s="1437"/>
      <c r="CW5" s="1437"/>
      <c r="CX5" s="1437"/>
      <c r="CY5" s="1437"/>
      <c r="CZ5" s="1437"/>
      <c r="DA5" s="1437"/>
      <c r="DB5" s="1437"/>
      <c r="DC5" s="1437"/>
      <c r="DD5" s="1437"/>
      <c r="DE5" s="1437"/>
      <c r="DF5" s="1437"/>
    </row>
    <row r="6" spans="1:110" s="46" customFormat="1" ht="5.0999999999999996" customHeight="1" thickBot="1">
      <c r="A6" s="1508"/>
      <c r="B6" s="1521"/>
      <c r="C6" s="1522"/>
      <c r="D6" s="1526"/>
      <c r="E6" s="1526"/>
      <c r="F6" s="638"/>
      <c r="G6" s="638"/>
      <c r="H6" s="638"/>
      <c r="I6" s="638"/>
      <c r="J6" s="638"/>
      <c r="K6" s="1518"/>
      <c r="L6" s="1519"/>
      <c r="M6" s="1519"/>
      <c r="N6" s="1519"/>
      <c r="O6" s="1519"/>
      <c r="P6" s="1520"/>
      <c r="Q6" s="1520"/>
      <c r="R6" s="1520"/>
      <c r="S6" s="55"/>
      <c r="T6" s="45"/>
      <c r="U6" s="45"/>
      <c r="V6" s="1669"/>
      <c r="W6" s="1"/>
      <c r="X6" s="1"/>
      <c r="Y6" s="1"/>
      <c r="Z6" s="1"/>
      <c r="AA6" s="1"/>
      <c r="AB6" s="1"/>
      <c r="AC6" s="1"/>
      <c r="AD6" s="1"/>
      <c r="AE6" s="1"/>
      <c r="AF6" s="1"/>
      <c r="AG6" s="1"/>
      <c r="AH6" s="1"/>
      <c r="AI6" s="1"/>
      <c r="AJ6" s="1"/>
      <c r="AK6" s="1"/>
      <c r="AL6" s="1"/>
      <c r="AM6" s="1"/>
      <c r="AN6" s="1"/>
      <c r="AO6" s="1"/>
      <c r="AP6" s="1437"/>
      <c r="AQ6" s="1437"/>
      <c r="AR6" s="1437"/>
      <c r="AS6" s="1437"/>
      <c r="AT6" s="1437"/>
      <c r="AU6" s="1437"/>
      <c r="AV6" s="1437"/>
      <c r="AW6" s="1437"/>
      <c r="AX6" s="1437"/>
      <c r="AY6" s="1437"/>
      <c r="AZ6" s="1437"/>
      <c r="BA6" s="1437"/>
      <c r="BB6" s="1437"/>
      <c r="BC6" s="1437"/>
      <c r="BD6" s="1437"/>
      <c r="BE6" s="1437"/>
      <c r="BF6" s="1437"/>
      <c r="BG6" s="1437"/>
      <c r="BH6" s="1437"/>
      <c r="BI6" s="1437"/>
      <c r="BJ6" s="1437"/>
      <c r="BK6" s="1437"/>
      <c r="BL6" s="1437"/>
      <c r="BM6" s="1437"/>
      <c r="BN6" s="1437"/>
      <c r="BO6" s="1437"/>
      <c r="BP6" s="1437"/>
      <c r="BQ6" s="1437"/>
      <c r="BR6" s="1437"/>
      <c r="BS6" s="1437"/>
      <c r="BT6" s="1437"/>
      <c r="BU6" s="1437"/>
      <c r="BV6" s="1437"/>
      <c r="BW6" s="1437"/>
      <c r="BX6" s="1437"/>
      <c r="BY6" s="1437"/>
      <c r="BZ6" s="1437"/>
      <c r="CA6" s="1437"/>
      <c r="CB6" s="1437"/>
      <c r="CC6" s="1437"/>
      <c r="CD6" s="1437"/>
      <c r="CE6" s="1437"/>
      <c r="CF6" s="1437"/>
      <c r="CG6" s="1437"/>
      <c r="CH6" s="1437"/>
      <c r="CI6" s="1437"/>
      <c r="CJ6" s="1437"/>
      <c r="CK6" s="1437"/>
      <c r="CL6" s="1437"/>
      <c r="CM6" s="1437"/>
      <c r="CN6" s="1437"/>
      <c r="CO6" s="1437"/>
      <c r="CP6" s="1437"/>
      <c r="CQ6" s="1437"/>
      <c r="CR6" s="1437"/>
      <c r="CS6" s="1437"/>
      <c r="CT6" s="1437"/>
      <c r="CU6" s="1437"/>
      <c r="CV6" s="1437"/>
      <c r="CW6" s="1437"/>
      <c r="CX6" s="1437"/>
      <c r="CY6" s="1437"/>
      <c r="CZ6" s="1437"/>
      <c r="DA6" s="1437"/>
      <c r="DB6" s="1437"/>
      <c r="DC6" s="1437"/>
      <c r="DD6" s="1437"/>
      <c r="DE6" s="1437"/>
      <c r="DF6" s="1437"/>
    </row>
    <row r="7" spans="1:110" s="46" customFormat="1" ht="46.2" customHeight="1" thickBot="1">
      <c r="A7" s="1508"/>
      <c r="B7" s="1521"/>
      <c r="C7" s="1522"/>
      <c r="D7" s="1995" t="s">
        <v>287</v>
      </c>
      <c r="E7" s="1996"/>
      <c r="F7" s="1989"/>
      <c r="G7" s="636">
        <f ca="1">IF(R65&gt;0,"+"&amp;ROUND(R65*100,0)&amp;"%",R65)</f>
        <v>0</v>
      </c>
      <c r="H7" s="636">
        <f ca="1">IF(Q65&gt;0,"+"&amp;ROUND(Q65*100,0)&amp;"%",Q65)</f>
        <v>0</v>
      </c>
      <c r="I7" s="641" t="e">
        <f ca="1">-SUM(I11:I19)/M65</f>
        <v>#REF!</v>
      </c>
      <c r="J7" s="641" t="e">
        <f ca="1">IF(SUM(Actions!AG2:AG70)/1000/'Bilan territorial'!F20&lt;0,"+"&amp;ROUND(100*-SUM(Actions!AG2:AG70)/1000/'Bilan territorial'!F20,0)&amp;"%",-SUM(Actions!AG2:AG70)/1000/'Bilan territorial'!F20)</f>
        <v>#DIV/0!</v>
      </c>
      <c r="K7" s="1518"/>
      <c r="L7" s="1723"/>
      <c r="M7" s="1723"/>
      <c r="N7" s="1723"/>
      <c r="O7" s="1723"/>
      <c r="P7" s="1724"/>
      <c r="Q7" s="1724"/>
      <c r="R7" s="1724"/>
      <c r="S7" s="1725"/>
      <c r="T7" s="1726"/>
      <c r="U7" s="1726"/>
      <c r="V7" s="1669"/>
      <c r="W7" s="1"/>
      <c r="X7" s="1"/>
      <c r="Y7" s="1"/>
      <c r="Z7" s="1"/>
      <c r="AA7" s="1"/>
      <c r="AB7" s="1"/>
      <c r="AC7" s="1"/>
      <c r="AD7" s="1"/>
      <c r="AE7" s="1"/>
      <c r="AF7" s="1"/>
      <c r="AG7" s="1"/>
      <c r="AH7" s="1"/>
      <c r="AI7" s="1"/>
      <c r="AJ7" s="1"/>
      <c r="AK7" s="1"/>
      <c r="AL7" s="1"/>
      <c r="AM7" s="1"/>
      <c r="AN7" s="1"/>
      <c r="AO7" s="1"/>
      <c r="AP7" s="1437"/>
      <c r="AQ7" s="1437"/>
      <c r="AR7" s="1437"/>
      <c r="AS7" s="1437"/>
      <c r="AT7" s="1437"/>
      <c r="AU7" s="1437"/>
      <c r="AV7" s="1437"/>
      <c r="AW7" s="1437"/>
      <c r="AX7" s="1437"/>
      <c r="AY7" s="1437"/>
      <c r="AZ7" s="1437"/>
      <c r="BA7" s="1437"/>
      <c r="BB7" s="1437"/>
      <c r="BC7" s="1437"/>
      <c r="BD7" s="1437"/>
      <c r="BE7" s="1437"/>
      <c r="BF7" s="1437"/>
      <c r="BG7" s="1437"/>
      <c r="BH7" s="1437"/>
      <c r="BI7" s="1437"/>
      <c r="BJ7" s="1437"/>
      <c r="BK7" s="1437"/>
      <c r="BL7" s="1437"/>
      <c r="BM7" s="1437"/>
      <c r="BN7" s="1437"/>
      <c r="BO7" s="1437"/>
      <c r="BP7" s="1437"/>
      <c r="BQ7" s="1437"/>
      <c r="BR7" s="1437"/>
      <c r="BS7" s="1437"/>
      <c r="BT7" s="1437"/>
      <c r="BU7" s="1437"/>
      <c r="BV7" s="1437"/>
      <c r="BW7" s="1437"/>
      <c r="BX7" s="1437"/>
      <c r="BY7" s="1437"/>
      <c r="BZ7" s="1437"/>
      <c r="CA7" s="1437"/>
      <c r="CB7" s="1437"/>
      <c r="CC7" s="1437"/>
      <c r="CD7" s="1437"/>
      <c r="CE7" s="1437"/>
      <c r="CF7" s="1437"/>
      <c r="CG7" s="1437"/>
      <c r="CH7" s="1437"/>
      <c r="CI7" s="1437"/>
      <c r="CJ7" s="1437"/>
      <c r="CK7" s="1437"/>
      <c r="CL7" s="1437"/>
      <c r="CM7" s="1437"/>
      <c r="CN7" s="1437"/>
      <c r="CO7" s="1437"/>
      <c r="CP7" s="1437"/>
      <c r="CQ7" s="1437"/>
      <c r="CR7" s="1437"/>
      <c r="CS7" s="1437"/>
      <c r="CT7" s="1437"/>
      <c r="CU7" s="1437"/>
      <c r="CV7" s="1437"/>
      <c r="CW7" s="1437"/>
      <c r="CX7" s="1437"/>
      <c r="CY7" s="1437"/>
      <c r="CZ7" s="1437"/>
      <c r="DA7" s="1437"/>
      <c r="DB7" s="1437"/>
      <c r="DC7" s="1437"/>
      <c r="DD7" s="1437"/>
      <c r="DE7" s="1437"/>
      <c r="DF7" s="1437"/>
    </row>
    <row r="8" spans="1:110" s="46" customFormat="1" ht="47.4" customHeight="1" thickBot="1">
      <c r="A8" s="1508"/>
      <c r="B8" s="1521"/>
      <c r="C8" s="1522"/>
      <c r="D8" s="1995" t="s">
        <v>288</v>
      </c>
      <c r="E8" s="1996"/>
      <c r="F8" s="1990"/>
      <c r="G8" s="637" t="e">
        <f ca="1">"+ "&amp;ROUND(P60-M60,1)&amp;" GWh/an"</f>
        <v>#REF!</v>
      </c>
      <c r="H8" s="637" t="e">
        <f ca="1">"+ "&amp;ROUND(O60-M60,1)&amp;" GWh/an"</f>
        <v>#REF!</v>
      </c>
      <c r="I8" s="637" t="e">
        <f ca="1">"+ "&amp;ROUND(P60-O60,1)&amp;" GWh/an"</f>
        <v>#REF!</v>
      </c>
      <c r="J8" s="637" t="str">
        <f ca="1">"+ "&amp;ROUND(SUM(Actions!AI8:AI70)/1000,1)&amp;" GWh/an"</f>
        <v>+ 0 GWh/an</v>
      </c>
      <c r="K8" s="1518"/>
      <c r="L8" s="1723"/>
      <c r="M8" s="1723"/>
      <c r="N8" s="1723"/>
      <c r="O8" s="1723"/>
      <c r="P8" s="1724"/>
      <c r="Q8" s="1724"/>
      <c r="R8" s="1724"/>
      <c r="S8" s="1725"/>
      <c r="T8" s="1726"/>
      <c r="U8" s="1726"/>
      <c r="V8" s="1669"/>
      <c r="W8" s="1"/>
      <c r="X8" s="1"/>
      <c r="Y8" s="1"/>
      <c r="Z8" s="1"/>
      <c r="AA8" s="1"/>
      <c r="AB8" s="1"/>
      <c r="AC8" s="1"/>
      <c r="AD8" s="1"/>
      <c r="AE8" s="1"/>
      <c r="AF8" s="1"/>
      <c r="AG8" s="1"/>
      <c r="AH8" s="1"/>
      <c r="AI8" s="1"/>
      <c r="AJ8" s="1"/>
      <c r="AK8" s="1"/>
      <c r="AL8" s="1"/>
      <c r="AM8" s="1"/>
      <c r="AN8" s="1"/>
      <c r="AO8" s="1"/>
      <c r="AP8" s="1437"/>
      <c r="AQ8" s="1437"/>
      <c r="AR8" s="1437"/>
      <c r="AS8" s="1437"/>
      <c r="AT8" s="1437"/>
      <c r="AU8" s="1437"/>
      <c r="AV8" s="1437"/>
      <c r="AW8" s="1437"/>
      <c r="AX8" s="1437"/>
      <c r="AY8" s="1437"/>
      <c r="AZ8" s="1437"/>
      <c r="BA8" s="1437"/>
      <c r="BB8" s="1437"/>
      <c r="BC8" s="1437"/>
      <c r="BD8" s="1437"/>
      <c r="BE8" s="1437"/>
      <c r="BF8" s="1437"/>
      <c r="BG8" s="1437"/>
      <c r="BH8" s="1437"/>
      <c r="BI8" s="1437"/>
      <c r="BJ8" s="1437"/>
      <c r="BK8" s="1437"/>
      <c r="BL8" s="1437"/>
      <c r="BM8" s="1437"/>
      <c r="BN8" s="1437"/>
      <c r="BO8" s="1437"/>
      <c r="BP8" s="1437"/>
      <c r="BQ8" s="1437"/>
      <c r="BR8" s="1437"/>
      <c r="BS8" s="1437"/>
      <c r="BT8" s="1437"/>
      <c r="BU8" s="1437"/>
      <c r="BV8" s="1437"/>
      <c r="BW8" s="1437"/>
      <c r="BX8" s="1437"/>
      <c r="BY8" s="1437"/>
      <c r="BZ8" s="1437"/>
      <c r="CA8" s="1437"/>
      <c r="CB8" s="1437"/>
      <c r="CC8" s="1437"/>
      <c r="CD8" s="1437"/>
      <c r="CE8" s="1437"/>
      <c r="CF8" s="1437"/>
      <c r="CG8" s="1437"/>
      <c r="CH8" s="1437"/>
      <c r="CI8" s="1437"/>
      <c r="CJ8" s="1437"/>
      <c r="CK8" s="1437"/>
      <c r="CL8" s="1437"/>
      <c r="CM8" s="1437"/>
      <c r="CN8" s="1437"/>
      <c r="CO8" s="1437"/>
      <c r="CP8" s="1437"/>
      <c r="CQ8" s="1437"/>
      <c r="CR8" s="1437"/>
      <c r="CS8" s="1437"/>
      <c r="CT8" s="1437"/>
      <c r="CU8" s="1437"/>
      <c r="CV8" s="1437"/>
      <c r="CW8" s="1437"/>
      <c r="CX8" s="1437"/>
      <c r="CY8" s="1437"/>
      <c r="CZ8" s="1437"/>
      <c r="DA8" s="1437"/>
      <c r="DB8" s="1437"/>
      <c r="DC8" s="1437"/>
      <c r="DD8" s="1437"/>
      <c r="DE8" s="1437"/>
      <c r="DF8" s="1437"/>
    </row>
    <row r="9" spans="1:110" ht="37.35" customHeight="1" thickBot="1">
      <c r="A9" s="1527" t="s">
        <v>289</v>
      </c>
      <c r="B9" s="70"/>
      <c r="C9" s="70"/>
      <c r="D9" s="70"/>
      <c r="E9" s="70"/>
      <c r="F9" s="1528"/>
      <c r="G9" s="1528"/>
      <c r="H9" s="1529"/>
      <c r="I9" s="70"/>
      <c r="J9" s="70"/>
      <c r="K9" s="1530"/>
      <c r="Q9" s="1520"/>
      <c r="R9" s="1520"/>
      <c r="S9" s="79"/>
      <c r="T9" s="1728"/>
      <c r="U9" s="1728"/>
      <c r="V9" s="1670"/>
      <c r="W9" s="29"/>
      <c r="X9" s="29"/>
      <c r="Y9" s="29"/>
      <c r="Z9" s="29"/>
      <c r="AA9" s="29"/>
      <c r="AB9" s="29"/>
      <c r="AC9" s="29"/>
      <c r="AD9" s="29"/>
      <c r="AE9" s="29"/>
      <c r="AF9" s="29"/>
      <c r="AG9" s="29"/>
      <c r="AH9" s="29"/>
      <c r="AI9" s="29"/>
      <c r="AJ9" s="29"/>
      <c r="AK9" s="29"/>
      <c r="AL9" s="29"/>
      <c r="AM9" s="29"/>
      <c r="AN9" s="29"/>
      <c r="AO9" s="29"/>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row>
    <row r="10" spans="1:110" ht="67.650000000000006" customHeight="1" thickBot="1">
      <c r="A10" s="1969" t="s">
        <v>290</v>
      </c>
      <c r="B10" s="1534" t="s">
        <v>103</v>
      </c>
      <c r="C10" s="1983" t="s">
        <v>2069</v>
      </c>
      <c r="D10" s="1984"/>
      <c r="E10" s="1535" t="s">
        <v>291</v>
      </c>
      <c r="F10" s="1536" t="s">
        <v>292</v>
      </c>
      <c r="G10" s="2040" t="str">
        <f>"Evolution des consommations de 2006 à "&amp;Accueil!E29&amp;" (GWh/an)"</f>
        <v>Evolution des consommations de 2006 à  (GWh/an)</v>
      </c>
      <c r="H10" s="2041"/>
      <c r="I10" s="1537" t="str">
        <f>"Solde des économies à réaliser de "&amp;Accueil!E29&amp;" à 2030 (GWh/an)"</f>
        <v>Solde des économies à réaliser de  à 2030 (GWh/an)</v>
      </c>
      <c r="J10" s="1538"/>
      <c r="K10" s="1531"/>
      <c r="L10" s="1539" t="s">
        <v>184</v>
      </c>
      <c r="M10" s="1540">
        <v>2006</v>
      </c>
      <c r="N10" s="1540">
        <f>IF(Accueil!E30&gt;Accueil!E29,"",Accueil!E30)</f>
        <v>0</v>
      </c>
      <c r="O10" s="1540">
        <f>Accueil!E29</f>
        <v>0</v>
      </c>
      <c r="P10" s="1540">
        <v>2030</v>
      </c>
      <c r="Q10" s="1538" t="str">
        <f>"2006-"&amp;O10</f>
        <v>2006-0</v>
      </c>
      <c r="R10" s="1538" t="s">
        <v>293</v>
      </c>
      <c r="S10" s="79" t="str">
        <f>"2006-"&amp;N10</f>
        <v>2006-0</v>
      </c>
      <c r="T10" s="1728"/>
      <c r="U10" s="1728"/>
      <c r="V10" s="1670"/>
      <c r="W10" s="29"/>
      <c r="X10" s="29"/>
      <c r="Y10" s="29"/>
      <c r="Z10" s="29"/>
      <c r="AA10" s="29"/>
      <c r="AB10" s="29"/>
      <c r="AC10" s="29"/>
      <c r="AD10" s="29"/>
      <c r="AE10" s="29"/>
      <c r="AF10" s="29"/>
      <c r="AG10" s="29"/>
      <c r="AH10" s="29"/>
      <c r="AI10" s="29"/>
      <c r="AJ10" s="29"/>
      <c r="AK10" s="29"/>
      <c r="AL10" s="29"/>
      <c r="AM10" s="29"/>
      <c r="AN10" s="29"/>
      <c r="AO10" s="29"/>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row>
    <row r="11" spans="1:110" ht="23.1" customHeight="1">
      <c r="A11" s="1970"/>
      <c r="B11" s="2049" t="s">
        <v>294</v>
      </c>
      <c r="C11" s="1092">
        <f>-IF('Actions bâtiments communaux'!J28=0,0,'Actions bâtiments communaux'!J29)</f>
        <v>0</v>
      </c>
      <c r="D11" s="2004">
        <f>SUM(C11:C12)</f>
        <v>0</v>
      </c>
      <c r="E11" s="1542">
        <f ca="1">-SUM('Bilan patrimonial'!F8:F10)*Objectifs!C11/1000000</f>
        <v>0</v>
      </c>
      <c r="F11" s="1543">
        <f>'Actions bâtiments communaux'!N28</f>
        <v>0</v>
      </c>
      <c r="G11" s="1998" t="e">
        <f ca="1">(SUM('Bilan patrimonial'!M8:M10)-SUM('Bilan patrimonial'!F8:F10))/1000000</f>
        <v>#REF!</v>
      </c>
      <c r="H11" s="2010">
        <f ca="1">IF(SUM('Bilan patrimonial'!F8:F10)=0,0,(SUM('Bilan patrimonial'!M8:M10)-SUM('Bilan patrimonial'!F8:F10))/SUM('Bilan patrimonial'!F8:F10))</f>
        <v>0</v>
      </c>
      <c r="I11" s="1998" t="e">
        <f ca="1">IF(H11&lt;D11,0,SUM(E11:E12)+G11)</f>
        <v>#REF!</v>
      </c>
      <c r="J11" s="1997">
        <f ca="1">IF(SUM(C11:C12)=0,IF(-H11&gt;=0,-1,1),H11/SUM(C11:C12))</f>
        <v>-1</v>
      </c>
      <c r="K11" s="128" t="s">
        <v>295</v>
      </c>
      <c r="L11" s="1544" t="s">
        <v>198</v>
      </c>
      <c r="M11" s="861" t="e">
        <f ca="1">'Bilan territorial'!F29</f>
        <v>#DIV/0!</v>
      </c>
      <c r="N11" s="861" t="e">
        <f ca="1">IF($N$10="",,'Bilan territorial'!DF29)</f>
        <v>#REF!</v>
      </c>
      <c r="O11" s="626" t="e">
        <f ca="1">'Bilan territorial'!M29</f>
        <v>#REF!</v>
      </c>
      <c r="P11" s="627" t="e">
        <f ca="1">'Bilan territorial'!AQ29</f>
        <v>#REF!</v>
      </c>
      <c r="Q11" s="1545" t="e">
        <f ca="1">IF(M11=0,0,O11/M11-1)</f>
        <v>#DIV/0!</v>
      </c>
      <c r="R11" s="628" t="e">
        <f ca="1">IF(M11=0,,P11/M11-1)</f>
        <v>#DIV/0!</v>
      </c>
      <c r="S11" s="80" t="e">
        <f ca="1">IF($N$10="","",IF(M11=0,0,(N11-M11)/M11))</f>
        <v>#DIV/0!</v>
      </c>
      <c r="T11" s="1728"/>
      <c r="U11" s="1728"/>
      <c r="V11" s="1670"/>
      <c r="W11" s="29"/>
      <c r="X11" s="29"/>
      <c r="Y11" s="29"/>
      <c r="Z11" s="29"/>
      <c r="AA11" s="29"/>
      <c r="AB11" s="29"/>
      <c r="AC11" s="29"/>
      <c r="AD11" s="29"/>
      <c r="AE11" s="29"/>
      <c r="AF11" s="29"/>
      <c r="AG11" s="29"/>
      <c r="AH11" s="29"/>
      <c r="AI11" s="29"/>
      <c r="AJ11" s="29"/>
      <c r="AK11" s="29"/>
      <c r="AL11" s="29"/>
      <c r="AM11" s="29"/>
      <c r="AN11" s="29"/>
      <c r="AO11" s="29"/>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row>
    <row r="12" spans="1:110" ht="26.1" customHeight="1" thickBot="1">
      <c r="A12" s="1970"/>
      <c r="B12" s="2050"/>
      <c r="C12" s="1093"/>
      <c r="D12" s="2005"/>
      <c r="E12" s="1546">
        <f>IF(C12="",0,SUM('Bilan patrimonial'!F8:F10)*-C12)/1000000</f>
        <v>0</v>
      </c>
      <c r="F12" s="1547">
        <f ca="1">IF(SUM('Bilan patrimonial'!F8:F10)=0,0,E12*SUM('Bilan patrimonial'!F22:F24)/SUM('Bilan patrimonial'!F8:F10)*1000000)</f>
        <v>0</v>
      </c>
      <c r="G12" s="1999"/>
      <c r="H12" s="2011"/>
      <c r="I12" s="1999"/>
      <c r="J12" s="1997"/>
      <c r="K12" s="128" t="s">
        <v>296</v>
      </c>
      <c r="L12" s="1544" t="s">
        <v>199</v>
      </c>
      <c r="M12" s="861" t="e">
        <f ca="1">'Bilan territorial'!F30</f>
        <v>#DIV/0!</v>
      </c>
      <c r="N12" s="861" t="e">
        <f ca="1">IF($N$10="",,'Bilan territorial'!DF30)</f>
        <v>#REF!</v>
      </c>
      <c r="O12" s="626" t="e">
        <f ca="1">'Bilan territorial'!M30</f>
        <v>#REF!</v>
      </c>
      <c r="P12" s="627" t="e">
        <f ca="1">'Bilan territorial'!AQ30</f>
        <v>#REF!</v>
      </c>
      <c r="Q12" s="1545" t="e">
        <f t="shared" ref="Q12:Q13" ca="1" si="0">IF(M12=0,0,O12/M12-1)</f>
        <v>#DIV/0!</v>
      </c>
      <c r="R12" s="628" t="e">
        <f t="shared" ref="R12:R21" ca="1" si="1">IF(M12=0,,P12/M12-1)</f>
        <v>#DIV/0!</v>
      </c>
      <c r="S12" s="80" t="e">
        <f t="shared" ref="S12:S21" ca="1" si="2">IF($N$10="","",(N12-M12)/M12)</f>
        <v>#REF!</v>
      </c>
      <c r="T12" s="1728"/>
      <c r="U12" s="1728"/>
      <c r="V12" s="1670"/>
      <c r="W12" s="29"/>
      <c r="X12" s="29"/>
      <c r="Y12" s="29"/>
      <c r="Z12" s="29"/>
      <c r="AA12" s="29"/>
      <c r="AB12" s="29"/>
      <c r="AC12" s="29"/>
      <c r="AD12" s="29"/>
      <c r="AE12" s="29"/>
      <c r="AF12" s="29"/>
      <c r="AG12" s="29"/>
      <c r="AH12" s="29"/>
      <c r="AI12" s="29"/>
      <c r="AJ12" s="29"/>
      <c r="AK12" s="29"/>
      <c r="AL12" s="29"/>
      <c r="AM12" s="29"/>
      <c r="AN12" s="29"/>
      <c r="AO12" s="29"/>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row>
    <row r="13" spans="1:110" ht="15.6">
      <c r="A13" s="1970"/>
      <c r="B13" s="1548" t="s">
        <v>160</v>
      </c>
      <c r="C13" s="2000"/>
      <c r="D13" s="2001"/>
      <c r="E13" s="1549">
        <f>IF(C13="",0,'Bilan patrimonial'!F11*-C13)/1000000</f>
        <v>0</v>
      </c>
      <c r="F13" s="1550">
        <f>IF(C13=0,0,'Bilan patrimonial'!F25-'Bilan patrimonial'!AA25)</f>
        <v>0</v>
      </c>
      <c r="G13" s="1551" t="e">
        <f ca="1">('Bilan patrimonial'!M11-'Bilan patrimonial'!F11)/1000000</f>
        <v>#REF!</v>
      </c>
      <c r="H13" s="1227">
        <f ca="1">IF('Bilan patrimonial'!F11=0,0,('Bilan patrimonial'!M11-'Bilan patrimonial'!F11)/'Bilan patrimonial'!F11)</f>
        <v>0</v>
      </c>
      <c r="I13" s="1551">
        <f>IF(E13=0,0,E13+G13)</f>
        <v>0</v>
      </c>
      <c r="J13" s="79">
        <f t="shared" ref="J13:J19" si="3">IF(C13=0,-1,IF(C13&gt;H13,1,IF(H13/C13&lt;0,0.1,IF(H13&gt;0,C13/H13,H13/C13))))</f>
        <v>-1</v>
      </c>
      <c r="K13" s="128" t="s">
        <v>296</v>
      </c>
      <c r="L13" s="1552" t="s">
        <v>200</v>
      </c>
      <c r="M13" s="861" t="e">
        <f ca="1">'Bilan territorial'!F31</f>
        <v>#DIV/0!</v>
      </c>
      <c r="N13" s="861" t="e">
        <f ca="1">IF($N$10="",,'Bilan territorial'!DF31)</f>
        <v>#REF!</v>
      </c>
      <c r="O13" s="626" t="e">
        <f ca="1">'Bilan territorial'!M31</f>
        <v>#REF!</v>
      </c>
      <c r="P13" s="627" t="e">
        <f ca="1">'Bilan territorial'!AQ31</f>
        <v>#REF!</v>
      </c>
      <c r="Q13" s="1545" t="e">
        <f t="shared" ca="1" si="0"/>
        <v>#DIV/0!</v>
      </c>
      <c r="R13" s="628" t="e">
        <f t="shared" ca="1" si="1"/>
        <v>#DIV/0!</v>
      </c>
      <c r="S13" s="80" t="e">
        <f ca="1">IF($N$10="","",IF(M13=0,0,(N13-M13)/M13))</f>
        <v>#DIV/0!</v>
      </c>
      <c r="T13" s="1728"/>
      <c r="U13" s="1728"/>
      <c r="V13" s="1670"/>
      <c r="W13" s="29"/>
      <c r="X13" s="29"/>
      <c r="Y13" s="29"/>
      <c r="Z13" s="29"/>
      <c r="AA13" s="29"/>
      <c r="AB13" s="29"/>
      <c r="AC13" s="29"/>
      <c r="AD13" s="29"/>
      <c r="AE13" s="29"/>
      <c r="AF13" s="29"/>
      <c r="AG13" s="29"/>
      <c r="AH13" s="29"/>
      <c r="AI13" s="29"/>
      <c r="AJ13" s="29"/>
      <c r="AK13" s="29"/>
      <c r="AL13" s="29"/>
      <c r="AM13" s="29"/>
      <c r="AN13" s="29"/>
      <c r="AO13" s="29"/>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row>
    <row r="14" spans="1:110" ht="15.6">
      <c r="A14" s="1970"/>
      <c r="B14" s="1553" t="s">
        <v>297</v>
      </c>
      <c r="C14" s="2002"/>
      <c r="D14" s="2003"/>
      <c r="E14" s="1554">
        <f>IF(C14="",0,'Bilan patrimonial'!F12*-C14)/1000000</f>
        <v>0</v>
      </c>
      <c r="F14" s="1555">
        <f>IF(C14="",0,'Bilan patrimonial'!F26*-C14)</f>
        <v>0</v>
      </c>
      <c r="G14" s="1556" t="e">
        <f ca="1">('Bilan patrimonial'!M12-'Bilan patrimonial'!F12)/1000000</f>
        <v>#REF!</v>
      </c>
      <c r="H14" s="1228">
        <f ca="1">IF('Bilan patrimonial'!F12=0,0,('Bilan patrimonial'!M12-'Bilan patrimonial'!F12)/'Bilan patrimonial'!F12)</f>
        <v>0</v>
      </c>
      <c r="I14" s="1556">
        <f t="shared" ref="I14:I19" si="4">IF(E14=0,0,E14+G14)</f>
        <v>0</v>
      </c>
      <c r="J14" s="79">
        <f t="shared" si="3"/>
        <v>-1</v>
      </c>
      <c r="K14" s="128" t="s">
        <v>296</v>
      </c>
      <c r="L14" s="1552" t="s">
        <v>298</v>
      </c>
      <c r="M14" s="861" t="e">
        <f ca="1">'Bilan territorial'!F32</f>
        <v>#DIV/0!</v>
      </c>
      <c r="N14" s="861" t="e">
        <f ca="1">IF($N$10="",,'Bilan territorial'!DF32)</f>
        <v>#REF!</v>
      </c>
      <c r="O14" s="626" t="e">
        <f ca="1">'Bilan territorial'!M32</f>
        <v>#REF!</v>
      </c>
      <c r="P14" s="627" t="e">
        <f ca="1">'Bilan territorial'!AQ32</f>
        <v>#REF!</v>
      </c>
      <c r="Q14" s="1545" t="e">
        <f t="shared" ref="Q14:Q20" ca="1" si="5">IF(M14=0,0,O14/M14-1)</f>
        <v>#DIV/0!</v>
      </c>
      <c r="R14" s="628" t="e">
        <f t="shared" ca="1" si="1"/>
        <v>#DIV/0!</v>
      </c>
      <c r="S14" s="80" t="e">
        <f t="shared" ca="1" si="2"/>
        <v>#REF!</v>
      </c>
      <c r="T14" s="1728"/>
      <c r="U14" s="1728"/>
      <c r="V14" s="1670"/>
      <c r="W14" s="29"/>
      <c r="X14" s="29"/>
      <c r="Y14" s="29"/>
      <c r="Z14" s="29"/>
      <c r="AA14" s="29"/>
      <c r="AB14" s="29"/>
      <c r="AC14" s="29"/>
      <c r="AD14" s="29"/>
      <c r="AE14" s="29"/>
      <c r="AF14" s="29"/>
      <c r="AG14" s="29"/>
      <c r="AH14" s="29"/>
      <c r="AI14" s="29"/>
      <c r="AJ14" s="29"/>
      <c r="AK14" s="29"/>
      <c r="AL14" s="29"/>
      <c r="AM14" s="29"/>
      <c r="AN14" s="29"/>
      <c r="AO14" s="29"/>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row>
    <row r="15" spans="1:110" ht="15.6">
      <c r="A15" s="1970"/>
      <c r="B15" s="1553" t="s">
        <v>198</v>
      </c>
      <c r="C15" s="2002"/>
      <c r="D15" s="2003"/>
      <c r="E15" s="1554">
        <f>IF(C15="",0,VLOOKUP(B15,'Bilan territorial'!$A$11:$F$19,6,0)*-C15)</f>
        <v>0</v>
      </c>
      <c r="F15" s="1555">
        <f>IF(C15="",0,VLOOKUP(B15,'Bilan territorial'!$A$29:$F$38,6,0)*-C15)</f>
        <v>0</v>
      </c>
      <c r="G15" s="1556" t="e">
        <f ca="1">'Bilan territorial'!M11-'Bilan territorial'!F11</f>
        <v>#REF!</v>
      </c>
      <c r="H15" s="1228" t="e">
        <f ca="1">'Bilan territorial'!Q11</f>
        <v>#REF!</v>
      </c>
      <c r="I15" s="1556">
        <f t="shared" si="4"/>
        <v>0</v>
      </c>
      <c r="J15" s="79">
        <f t="shared" si="3"/>
        <v>-1</v>
      </c>
      <c r="K15" s="128" t="s">
        <v>296</v>
      </c>
      <c r="L15" s="1544" t="s">
        <v>201</v>
      </c>
      <c r="M15" s="861" t="e">
        <f ca="1">'Bilan territorial'!F33</f>
        <v>#DIV/0!</v>
      </c>
      <c r="N15" s="861" t="e">
        <f ca="1">IF($N$10="",,'Bilan territorial'!DF33)</f>
        <v>#REF!</v>
      </c>
      <c r="O15" s="626" t="e">
        <f ca="1">'Bilan territorial'!M33</f>
        <v>#REF!</v>
      </c>
      <c r="P15" s="627" t="e">
        <f ca="1">'Bilan territorial'!AQ33</f>
        <v>#REF!</v>
      </c>
      <c r="Q15" s="1545" t="e">
        <f t="shared" ca="1" si="5"/>
        <v>#DIV/0!</v>
      </c>
      <c r="R15" s="628" t="e">
        <f t="shared" ca="1" si="1"/>
        <v>#DIV/0!</v>
      </c>
      <c r="S15" s="80" t="e">
        <f t="shared" ca="1" si="2"/>
        <v>#REF!</v>
      </c>
      <c r="T15" s="1728"/>
      <c r="U15" s="1728"/>
      <c r="W15" s="29"/>
      <c r="X15" s="29"/>
      <c r="Y15" s="29"/>
      <c r="Z15" s="29"/>
      <c r="AA15" s="29"/>
      <c r="AB15" s="29"/>
      <c r="AC15" s="29"/>
      <c r="AD15" s="29"/>
      <c r="AE15" s="29"/>
      <c r="AF15" s="29"/>
      <c r="AG15" s="29"/>
      <c r="AH15" s="29"/>
      <c r="AI15" s="29"/>
      <c r="AJ15" s="29"/>
      <c r="AK15" s="29"/>
      <c r="AL15" s="29"/>
      <c r="AM15" s="29"/>
      <c r="AN15" s="29"/>
      <c r="AO15" s="29"/>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row>
    <row r="16" spans="1:110" ht="15.6">
      <c r="A16" s="1970"/>
      <c r="B16" s="1553" t="s">
        <v>299</v>
      </c>
      <c r="C16" s="2002"/>
      <c r="D16" s="2003"/>
      <c r="E16" s="1554">
        <f>IF(C16="",0,'Bilan territorial'!F14*-C16)</f>
        <v>0</v>
      </c>
      <c r="F16" s="1555">
        <f>IF(C16="",0,'Bilan territorial'!F32*-C16)</f>
        <v>0</v>
      </c>
      <c r="G16" s="1556" t="e">
        <f ca="1">'Bilan territorial'!M14-'Bilan territorial'!F14</f>
        <v>#REF!</v>
      </c>
      <c r="H16" s="1228" t="e">
        <f ca="1">'Bilan territorial'!Q14</f>
        <v>#REF!</v>
      </c>
      <c r="I16" s="1556">
        <f t="shared" si="4"/>
        <v>0</v>
      </c>
      <c r="J16" s="79">
        <f t="shared" si="3"/>
        <v>-1</v>
      </c>
      <c r="K16" s="128" t="s">
        <v>296</v>
      </c>
      <c r="L16" s="1544" t="s">
        <v>202</v>
      </c>
      <c r="M16" s="861" t="e">
        <f ca="1">'Bilan territorial'!F34</f>
        <v>#DIV/0!</v>
      </c>
      <c r="N16" s="861" t="e">
        <f ca="1">IF($N$10="",,'Bilan territorial'!DF34)</f>
        <v>#REF!</v>
      </c>
      <c r="O16" s="626" t="e">
        <f ca="1">'Bilan territorial'!M34</f>
        <v>#REF!</v>
      </c>
      <c r="P16" s="627" t="e">
        <f ca="1">'Bilan territorial'!AQ34</f>
        <v>#REF!</v>
      </c>
      <c r="Q16" s="1545" t="e">
        <f t="shared" ca="1" si="5"/>
        <v>#DIV/0!</v>
      </c>
      <c r="R16" s="628" t="e">
        <f t="shared" ca="1" si="1"/>
        <v>#DIV/0!</v>
      </c>
      <c r="S16" s="80" t="e">
        <f t="shared" ca="1" si="2"/>
        <v>#REF!</v>
      </c>
      <c r="T16" s="1728"/>
      <c r="U16" s="1728"/>
      <c r="W16" s="29"/>
      <c r="X16" s="29"/>
      <c r="Y16" s="29"/>
      <c r="Z16" s="29"/>
      <c r="AA16" s="29"/>
      <c r="AB16" s="29"/>
      <c r="AC16" s="29"/>
      <c r="AD16" s="29"/>
      <c r="AE16" s="29"/>
      <c r="AF16" s="29"/>
      <c r="AG16" s="29"/>
      <c r="AH16" s="29"/>
      <c r="AI16" s="29"/>
      <c r="AJ16" s="29"/>
      <c r="AK16" s="29"/>
      <c r="AL16" s="29"/>
      <c r="AM16" s="29"/>
      <c r="AN16" s="29"/>
      <c r="AO16" s="29"/>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row>
    <row r="17" spans="1:21" ht="15.6">
      <c r="A17" s="1970"/>
      <c r="B17" s="1553" t="s">
        <v>201</v>
      </c>
      <c r="C17" s="2002"/>
      <c r="D17" s="2003"/>
      <c r="E17" s="1554">
        <f>IF(C17="",0,VLOOKUP(B17,'Bilan territorial'!$A$11:$F$19,6,0)*-C17)</f>
        <v>0</v>
      </c>
      <c r="F17" s="1555">
        <f>IF(C17="",0,'Bilan territorial'!F33*-C17)</f>
        <v>0</v>
      </c>
      <c r="G17" s="1556" t="e">
        <f ca="1">'Bilan territorial'!M15-'Bilan territorial'!F15</f>
        <v>#REF!</v>
      </c>
      <c r="H17" s="1228" t="e">
        <f ca="1">'Bilan territorial'!Q15</f>
        <v>#REF!</v>
      </c>
      <c r="I17" s="1556">
        <f t="shared" si="4"/>
        <v>0</v>
      </c>
      <c r="J17" s="79">
        <f t="shared" si="3"/>
        <v>-1</v>
      </c>
      <c r="K17" s="128" t="s">
        <v>296</v>
      </c>
      <c r="L17" s="1544" t="s">
        <v>203</v>
      </c>
      <c r="M17" s="861" t="e">
        <f ca="1">'Bilan territorial'!F35</f>
        <v>#DIV/0!</v>
      </c>
      <c r="N17" s="861" t="e">
        <f ca="1">IF($N$10="",,'Bilan territorial'!DF35)</f>
        <v>#REF!</v>
      </c>
      <c r="O17" s="626" t="e">
        <f ca="1">'Bilan territorial'!M35</f>
        <v>#REF!</v>
      </c>
      <c r="P17" s="627" t="e">
        <f ca="1">'Bilan territorial'!AQ35</f>
        <v>#REF!</v>
      </c>
      <c r="Q17" s="1545" t="e">
        <f t="shared" ca="1" si="5"/>
        <v>#DIV/0!</v>
      </c>
      <c r="R17" s="628" t="e">
        <f t="shared" ca="1" si="1"/>
        <v>#DIV/0!</v>
      </c>
      <c r="S17" s="80" t="e">
        <f t="shared" ca="1" si="2"/>
        <v>#REF!</v>
      </c>
      <c r="T17" s="1728"/>
      <c r="U17" s="1728"/>
    </row>
    <row r="18" spans="1:21" ht="15.6">
      <c r="A18" s="1970"/>
      <c r="B18" s="1553" t="s">
        <v>202</v>
      </c>
      <c r="C18" s="2002"/>
      <c r="D18" s="2003"/>
      <c r="E18" s="1554">
        <f>IF(C18="",0,VLOOKUP(B18,'Bilan territorial'!$A$11:$F$19,6,0)*-C18)</f>
        <v>0</v>
      </c>
      <c r="F18" s="1555">
        <f>IF(C18="",0,VLOOKUP(B18,'Bilan territorial'!$A$29:$F$38,6,0)*-C18)</f>
        <v>0</v>
      </c>
      <c r="G18" s="1556" t="e">
        <f ca="1">'Bilan territorial'!M16-'Bilan territorial'!F16</f>
        <v>#REF!</v>
      </c>
      <c r="H18" s="1228" t="e">
        <f ca="1">'Bilan territorial'!Q16</f>
        <v>#REF!</v>
      </c>
      <c r="I18" s="1556">
        <f t="shared" si="4"/>
        <v>0</v>
      </c>
      <c r="J18" s="79">
        <f t="shared" si="3"/>
        <v>-1</v>
      </c>
      <c r="K18" s="128" t="s">
        <v>296</v>
      </c>
      <c r="L18" s="1552" t="s">
        <v>297</v>
      </c>
      <c r="M18" s="861" t="e">
        <f ca="1">'Bilan territorial'!F36</f>
        <v>#DIV/0!</v>
      </c>
      <c r="N18" s="861" t="e">
        <f ca="1">IF($N$10="",,'Bilan territorial'!DF36)</f>
        <v>#REF!</v>
      </c>
      <c r="O18" s="626" t="e">
        <f ca="1">'Bilan territorial'!M36</f>
        <v>#REF!</v>
      </c>
      <c r="P18" s="627" t="e">
        <f ca="1">'Bilan territorial'!AQ36</f>
        <v>#REF!</v>
      </c>
      <c r="Q18" s="1545" t="e">
        <f t="shared" ca="1" si="5"/>
        <v>#DIV/0!</v>
      </c>
      <c r="R18" s="628" t="e">
        <f t="shared" ca="1" si="1"/>
        <v>#DIV/0!</v>
      </c>
      <c r="S18" s="80" t="e">
        <f ca="1">IF($N$10="","",IF(M18=0,0,(N18-M18)/M18))</f>
        <v>#DIV/0!</v>
      </c>
      <c r="T18" s="1728"/>
      <c r="U18" s="1728"/>
    </row>
    <row r="19" spans="1:21" ht="16.2" thickBot="1">
      <c r="A19" s="1970"/>
      <c r="B19" s="1559" t="s">
        <v>300</v>
      </c>
      <c r="C19" s="2000"/>
      <c r="D19" s="2001"/>
      <c r="E19" s="1554">
        <f>IF(C19="",0,'Bilan territorial'!F19*-C19)</f>
        <v>0</v>
      </c>
      <c r="F19" s="1555">
        <f>IF(C19="",0,'Bilan territorial'!F37)*-C19</f>
        <v>0</v>
      </c>
      <c r="G19" s="1560" t="e">
        <f ca="1">'Bilan territorial'!M19-'Bilan territorial'!F19</f>
        <v>#REF!</v>
      </c>
      <c r="H19" s="1229" t="e">
        <f ca="1">'Bilan territorial'!Q19</f>
        <v>#DIV/0!</v>
      </c>
      <c r="I19" s="1560">
        <f t="shared" si="4"/>
        <v>0</v>
      </c>
      <c r="J19" s="79">
        <f t="shared" si="3"/>
        <v>-1</v>
      </c>
      <c r="K19" s="128" t="s">
        <v>296</v>
      </c>
      <c r="L19" s="1552" t="s">
        <v>298</v>
      </c>
      <c r="M19" s="861" t="e">
        <f ca="1">'Bilan territorial'!F37</f>
        <v>#DIV/0!</v>
      </c>
      <c r="N19" s="861" t="e">
        <f ca="1">IF($N$10="",,'Bilan territorial'!DF37)</f>
        <v>#REF!</v>
      </c>
      <c r="O19" s="626" t="e">
        <f ca="1">'Bilan territorial'!M37</f>
        <v>#REF!</v>
      </c>
      <c r="P19" s="627" t="e">
        <f ca="1">'Bilan territorial'!AQ37</f>
        <v>#REF!</v>
      </c>
      <c r="Q19" s="1545" t="e">
        <f t="shared" ca="1" si="5"/>
        <v>#DIV/0!</v>
      </c>
      <c r="R19" s="628" t="e">
        <f t="shared" ca="1" si="1"/>
        <v>#DIV/0!</v>
      </c>
      <c r="S19" s="80" t="e">
        <f t="shared" ca="1" si="2"/>
        <v>#REF!</v>
      </c>
      <c r="T19" s="1728"/>
      <c r="U19" s="1728"/>
    </row>
    <row r="20" spans="1:21" ht="16.2" thickBot="1">
      <c r="A20" s="1971"/>
      <c r="B20" s="2042" t="s">
        <v>107</v>
      </c>
      <c r="C20" s="2043"/>
      <c r="D20" s="2044"/>
      <c r="E20" s="1561">
        <f ca="1">SUM(E11:E19)</f>
        <v>0</v>
      </c>
      <c r="F20" s="1230">
        <f ca="1">SUM(F11:F19)</f>
        <v>0</v>
      </c>
      <c r="G20" s="1562"/>
      <c r="H20" s="1563"/>
      <c r="I20" s="1531"/>
      <c r="J20" s="1531"/>
      <c r="K20" s="1531"/>
      <c r="L20" s="1544" t="s">
        <v>100</v>
      </c>
      <c r="M20" s="861">
        <f>'Bilan territorial'!F38</f>
        <v>0</v>
      </c>
      <c r="N20" s="861" t="e">
        <f>'Bilan territorial'!DF38</f>
        <v>#N/A</v>
      </c>
      <c r="O20" s="626" t="e">
        <f>'Bilan territorial'!M38</f>
        <v>#N/A</v>
      </c>
      <c r="P20" s="627" t="e">
        <f>'Bilan territorial'!AJ38</f>
        <v>#N/A</v>
      </c>
      <c r="Q20" s="1545">
        <f t="shared" si="5"/>
        <v>0</v>
      </c>
      <c r="R20" s="628">
        <f t="shared" si="1"/>
        <v>0</v>
      </c>
      <c r="S20" s="80">
        <f>IF($N$10="","",IF(M20=0,0,(N20-M20)/M20))</f>
        <v>0</v>
      </c>
      <c r="T20" s="1728"/>
      <c r="U20" s="1728"/>
    </row>
    <row r="21" spans="1:21" ht="18">
      <c r="A21" s="1564"/>
      <c r="B21" s="1521"/>
      <c r="C21" s="1565"/>
      <c r="D21" s="1565"/>
      <c r="E21" s="1565"/>
      <c r="F21" s="1562"/>
      <c r="G21" s="1566"/>
      <c r="H21" s="1563"/>
      <c r="I21" s="1531"/>
      <c r="J21" s="1531"/>
      <c r="K21" s="1531"/>
      <c r="L21" s="56" t="s">
        <v>107</v>
      </c>
      <c r="M21" s="1567" t="e">
        <f ca="1">SUM(M11:M12,M15,M16,M17,M20)</f>
        <v>#DIV/0!</v>
      </c>
      <c r="N21" s="1567" t="e">
        <f ca="1">SUM(N11:N12,N15,N16,N17,N20)</f>
        <v>#REF!</v>
      </c>
      <c r="O21" s="1567" t="e">
        <f t="shared" ref="O21:P21" ca="1" si="6">SUM(O11:O12,O15,O16,O17,O20)</f>
        <v>#REF!</v>
      </c>
      <c r="P21" s="1567" t="e">
        <f t="shared" ca="1" si="6"/>
        <v>#REF!</v>
      </c>
      <c r="Q21" s="1545" t="e">
        <f t="shared" ref="Q21" ca="1" si="7">IF(M21=0,0,O21/M21-1)</f>
        <v>#DIV/0!</v>
      </c>
      <c r="R21" s="628" t="e">
        <f t="shared" ca="1" si="1"/>
        <v>#DIV/0!</v>
      </c>
      <c r="S21" s="80" t="e">
        <f t="shared" ca="1" si="2"/>
        <v>#REF!</v>
      </c>
      <c r="T21" s="1729"/>
      <c r="U21" s="1728"/>
    </row>
    <row r="22" spans="1:21" ht="18.600000000000001" thickBot="1">
      <c r="A22" s="1976" t="s">
        <v>301</v>
      </c>
      <c r="B22" s="1977"/>
      <c r="C22" s="1977"/>
      <c r="D22" s="1565"/>
      <c r="E22" s="1565"/>
      <c r="F22" s="1562"/>
      <c r="G22" s="1566"/>
      <c r="H22" s="1531"/>
      <c r="I22" s="1531"/>
      <c r="J22" s="1531"/>
      <c r="K22" s="1531"/>
      <c r="L22" s="56"/>
      <c r="M22" s="1567"/>
      <c r="N22" s="1567"/>
      <c r="O22" s="1567"/>
      <c r="P22" s="1567"/>
      <c r="Q22" s="1545"/>
      <c r="R22" s="628"/>
      <c r="S22" s="79"/>
      <c r="T22" s="1729"/>
      <c r="U22" s="1728"/>
    </row>
    <row r="23" spans="1:21" ht="144.6" customHeight="1" outlineLevel="1" thickBot="1">
      <c r="A23" s="1969" t="s">
        <v>302</v>
      </c>
      <c r="B23" s="1534" t="s">
        <v>103</v>
      </c>
      <c r="C23" s="1983" t="s">
        <v>2786</v>
      </c>
      <c r="D23" s="1984"/>
      <c r="E23" s="1535" t="s">
        <v>303</v>
      </c>
      <c r="F23" s="1536" t="s">
        <v>292</v>
      </c>
      <c r="G23" s="2029" t="s">
        <v>304</v>
      </c>
      <c r="H23" s="2030"/>
      <c r="I23" s="1531"/>
      <c r="J23" s="1531"/>
      <c r="K23" s="1531"/>
      <c r="L23" s="56"/>
      <c r="M23" s="1567"/>
      <c r="N23" s="1567"/>
      <c r="O23" s="1567"/>
      <c r="P23" s="1567"/>
      <c r="Q23" s="1545"/>
      <c r="R23" s="628"/>
      <c r="S23" s="79"/>
      <c r="T23" s="1729"/>
      <c r="U23" s="1728"/>
    </row>
    <row r="24" spans="1:21" ht="46.8" outlineLevel="1">
      <c r="A24" s="1970"/>
      <c r="B24" s="1541" t="s">
        <v>305</v>
      </c>
      <c r="C24" s="2034"/>
      <c r="D24" s="2035"/>
      <c r="E24" s="1542" t="e">
        <f ca="1">SUM('Bilan territorial'!BJ13:BK13)</f>
        <v>#REF!</v>
      </c>
      <c r="F24" s="1555">
        <f>-IF(C24=0,0,'Bilan territorial'!$CP$45/SUM(Objectifs!$E$24:$E$29)*Objectifs!E24)</f>
        <v>0</v>
      </c>
      <c r="G24" s="128" t="s">
        <v>296</v>
      </c>
      <c r="H24" s="1569" t="e">
        <f ca="1">'Bilan territorial'!AT13</f>
        <v>#REF!</v>
      </c>
      <c r="I24" s="70"/>
      <c r="J24" s="70"/>
      <c r="K24" s="1530"/>
      <c r="L24" s="56"/>
      <c r="M24" s="1567"/>
      <c r="N24" s="1567"/>
      <c r="O24" s="1567"/>
      <c r="P24" s="1567"/>
      <c r="Q24" s="1545"/>
      <c r="R24" s="628"/>
      <c r="S24" s="79"/>
      <c r="T24" s="1729"/>
      <c r="U24" s="1728"/>
    </row>
    <row r="25" spans="1:21" ht="18" outlineLevel="1">
      <c r="A25" s="1970"/>
      <c r="B25" s="1553" t="s">
        <v>297</v>
      </c>
      <c r="C25" s="2002"/>
      <c r="D25" s="2003"/>
      <c r="E25" s="1554" t="e">
        <f ca="1">SUM('Bilan territorial'!BJ18:BL18)</f>
        <v>#REF!</v>
      </c>
      <c r="F25" s="1555">
        <f>-IF(C25=0,0,'Bilan territorial'!$CP$45/SUM(Objectifs!$E$24:$E$29)*Objectifs!E25)</f>
        <v>0</v>
      </c>
      <c r="G25" s="128" t="s">
        <v>296</v>
      </c>
      <c r="H25" s="1569" t="e">
        <f ca="1">'Bilan territorial'!AT18</f>
        <v>#REF!</v>
      </c>
      <c r="I25" s="70"/>
      <c r="J25" s="70"/>
      <c r="K25" s="1530"/>
      <c r="L25" s="56"/>
      <c r="M25" s="1567"/>
      <c r="N25" s="1567"/>
      <c r="O25" s="1567"/>
      <c r="P25" s="1567"/>
      <c r="Q25" s="1545"/>
      <c r="R25" s="628"/>
      <c r="S25" s="79"/>
      <c r="T25" s="1729"/>
      <c r="U25" s="1728"/>
    </row>
    <row r="26" spans="1:21" ht="18" outlineLevel="1">
      <c r="A26" s="1970"/>
      <c r="B26" s="1553" t="s">
        <v>306</v>
      </c>
      <c r="C26" s="2002"/>
      <c r="D26" s="2003"/>
      <c r="E26" s="1554" t="e">
        <f ca="1">SUM('Bilan territorial'!BJ11:BL11)</f>
        <v>#REF!</v>
      </c>
      <c r="F26" s="1555">
        <f>-IF(C26=0,0,'Bilan territorial'!$CP$45/SUM(Objectifs!$E$24:$E$29)*Objectifs!E26)</f>
        <v>0</v>
      </c>
      <c r="G26" s="128" t="s">
        <v>296</v>
      </c>
      <c r="H26" s="1569" t="e">
        <f ca="1">'Bilan territorial'!AT11</f>
        <v>#REF!</v>
      </c>
      <c r="I26" s="70"/>
      <c r="J26" s="70"/>
      <c r="K26" s="1530"/>
      <c r="L26" s="56"/>
      <c r="M26" s="1567"/>
      <c r="N26" s="1567"/>
      <c r="O26" s="1567"/>
      <c r="P26" s="1567"/>
      <c r="Q26" s="1545"/>
      <c r="R26" s="628"/>
      <c r="S26" s="79"/>
      <c r="T26" s="1729"/>
      <c r="U26" s="1728"/>
    </row>
    <row r="27" spans="1:21" ht="31.2" outlineLevel="1">
      <c r="A27" s="1970"/>
      <c r="B27" s="1553" t="s">
        <v>307</v>
      </c>
      <c r="C27" s="2002"/>
      <c r="D27" s="2003"/>
      <c r="E27" s="1554" t="e">
        <f ca="1">SUM('Bilan territorial'!BJ14:BK14)</f>
        <v>#REF!</v>
      </c>
      <c r="F27" s="1555">
        <f>-IF(C27=0,0,'Bilan territorial'!$CP$45/SUM(Objectifs!$E$24:$E$29)*Objectifs!E27)</f>
        <v>0</v>
      </c>
      <c r="G27" s="128" t="s">
        <v>296</v>
      </c>
      <c r="H27" s="1569" t="e">
        <f ca="1">'Bilan territorial'!AT14</f>
        <v>#REF!</v>
      </c>
      <c r="I27" s="70"/>
      <c r="J27" s="70"/>
      <c r="K27" s="1530"/>
      <c r="L27" s="56"/>
      <c r="M27" s="1567"/>
      <c r="N27" s="1567"/>
      <c r="O27" s="1567"/>
      <c r="P27" s="1567"/>
      <c r="Q27" s="1545"/>
      <c r="R27" s="628"/>
      <c r="S27" s="79"/>
      <c r="T27" s="1729"/>
      <c r="U27" s="1728"/>
    </row>
    <row r="28" spans="1:21" ht="30.6" customHeight="1" outlineLevel="1">
      <c r="A28" s="1970"/>
      <c r="B28" s="1553" t="s">
        <v>308</v>
      </c>
      <c r="C28" s="2002"/>
      <c r="D28" s="2003"/>
      <c r="E28" s="1554" t="e">
        <f ca="1">SUM('Bilan territorial'!BJ15:BK15)</f>
        <v>#REF!</v>
      </c>
      <c r="F28" s="1555">
        <f>-IF(C28=0,0,'Bilan territorial'!$CP$45/SUM(Objectifs!$E$24:$E$29)*Objectifs!E28)</f>
        <v>0</v>
      </c>
      <c r="G28" s="128" t="s">
        <v>296</v>
      </c>
      <c r="H28" s="1569" t="e">
        <f ca="1">'Bilan territorial'!AT15</f>
        <v>#REF!</v>
      </c>
      <c r="I28" s="70"/>
      <c r="J28" s="70"/>
      <c r="K28" s="1530"/>
      <c r="L28" s="56"/>
      <c r="M28" s="1567"/>
      <c r="N28" s="1567"/>
      <c r="O28" s="1567"/>
      <c r="P28" s="1567"/>
      <c r="Q28" s="1545"/>
      <c r="R28" s="628"/>
      <c r="S28" s="79"/>
      <c r="T28" s="1729"/>
      <c r="U28" s="1728"/>
    </row>
    <row r="29" spans="1:21" ht="18.600000000000001" outlineLevel="1" thickBot="1">
      <c r="A29" s="1971"/>
      <c r="B29" s="1559" t="s">
        <v>300</v>
      </c>
      <c r="C29" s="2036"/>
      <c r="D29" s="2037"/>
      <c r="E29" s="1546" t="e">
        <f ca="1">SUM('Bilan territorial'!BJ19:BL19)</f>
        <v>#REF!</v>
      </c>
      <c r="F29" s="1555">
        <f>-IF(C29=0,0,'Bilan territorial'!$CP$45/SUM(Objectifs!$E$24:$E$29)*Objectifs!E29)</f>
        <v>0</v>
      </c>
      <c r="G29" s="128" t="s">
        <v>296</v>
      </c>
      <c r="H29" s="1569" t="e">
        <f ca="1">'Bilan territorial'!AT19</f>
        <v>#REF!</v>
      </c>
      <c r="I29" s="70"/>
      <c r="J29" s="70"/>
      <c r="K29" s="1530"/>
      <c r="L29" s="56"/>
      <c r="M29" s="1567"/>
      <c r="N29" s="1567"/>
      <c r="O29" s="1567"/>
      <c r="P29" s="1567"/>
      <c r="Q29" s="1545"/>
      <c r="R29" s="628"/>
      <c r="S29" s="79"/>
      <c r="T29" s="1729"/>
      <c r="U29" s="1728"/>
    </row>
    <row r="30" spans="1:21" ht="63" outlineLevel="1" thickBot="1">
      <c r="A30" s="1969" t="s">
        <v>189</v>
      </c>
      <c r="B30" s="1534" t="s">
        <v>103</v>
      </c>
      <c r="C30" s="1983" t="s">
        <v>2785</v>
      </c>
      <c r="D30" s="1984"/>
      <c r="E30" s="1535" t="s">
        <v>303</v>
      </c>
      <c r="F30" s="1536" t="s">
        <v>292</v>
      </c>
      <c r="G30" s="2029" t="s">
        <v>309</v>
      </c>
      <c r="H30" s="2030"/>
      <c r="I30" s="70"/>
      <c r="J30" s="70"/>
      <c r="K30" s="1530"/>
      <c r="L30" s="56"/>
      <c r="M30" s="1567"/>
      <c r="N30" s="1567"/>
      <c r="O30" s="1567"/>
      <c r="P30" s="1567"/>
      <c r="Q30" s="1545"/>
      <c r="R30" s="628"/>
      <c r="S30" s="79"/>
      <c r="T30" s="1729"/>
      <c r="U30" s="1728"/>
    </row>
    <row r="31" spans="1:21" ht="43.2" customHeight="1" outlineLevel="1">
      <c r="A31" s="1970"/>
      <c r="B31" s="1570" t="s">
        <v>305</v>
      </c>
      <c r="C31" s="1972"/>
      <c r="D31" s="1973"/>
      <c r="E31" s="1571" t="e">
        <f ca="1">SUM('Bilan territorial'!BM13:BN13)</f>
        <v>#REF!</v>
      </c>
      <c r="F31" s="1572" t="e">
        <f ca="1">SUM('Bilan territorial'!BW13:BX13)</f>
        <v>#REF!</v>
      </c>
      <c r="G31" s="1746" t="s">
        <v>296</v>
      </c>
      <c r="H31" s="1573" t="e">
        <f ca="1">H24</f>
        <v>#REF!</v>
      </c>
      <c r="I31" s="70"/>
      <c r="J31" s="70"/>
      <c r="K31" s="1530"/>
      <c r="L31" s="56"/>
      <c r="M31" s="1567"/>
      <c r="N31" s="1567"/>
      <c r="O31" s="1567"/>
      <c r="P31" s="1567"/>
      <c r="Q31" s="1545"/>
      <c r="R31" s="628"/>
      <c r="S31" s="79"/>
      <c r="T31" s="1729"/>
      <c r="U31" s="1728"/>
    </row>
    <row r="32" spans="1:21" ht="31.2" outlineLevel="1">
      <c r="A32" s="1970"/>
      <c r="B32" s="1553" t="s">
        <v>307</v>
      </c>
      <c r="C32" s="1981"/>
      <c r="D32" s="1982"/>
      <c r="E32" s="1574" t="e">
        <f ca="1">SUM('Bilan territorial'!BM14:BN14)</f>
        <v>#REF!</v>
      </c>
      <c r="F32" s="1555" t="e">
        <f ca="1">SUM('Bilan territorial'!BW14:BX14)</f>
        <v>#REF!</v>
      </c>
      <c r="G32" s="1746" t="s">
        <v>296</v>
      </c>
      <c r="H32" s="1573" t="e">
        <f ca="1">H27</f>
        <v>#REF!</v>
      </c>
      <c r="I32" s="70"/>
      <c r="J32" s="70"/>
      <c r="K32" s="1530"/>
      <c r="L32" s="56"/>
      <c r="M32" s="1567"/>
      <c r="N32" s="1567"/>
      <c r="O32" s="1567"/>
      <c r="P32" s="1567"/>
      <c r="Q32" s="1545"/>
      <c r="R32" s="628"/>
      <c r="S32" s="79"/>
      <c r="T32" s="1729"/>
      <c r="U32" s="1728"/>
    </row>
    <row r="33" spans="1:22" ht="31.8" outlineLevel="1" thickBot="1">
      <c r="A33" s="1971"/>
      <c r="B33" s="1559" t="s">
        <v>308</v>
      </c>
      <c r="C33" s="1974"/>
      <c r="D33" s="1975"/>
      <c r="E33" s="1575" t="e">
        <f ca="1">SUM('Bilan territorial'!BM15:BN15)</f>
        <v>#REF!</v>
      </c>
      <c r="F33" s="1576" t="e">
        <f ca="1">SUM('Bilan territorial'!BW15:BX15)</f>
        <v>#REF!</v>
      </c>
      <c r="G33" s="1746" t="s">
        <v>296</v>
      </c>
      <c r="H33" s="1573" t="e">
        <f ca="1">H28</f>
        <v>#REF!</v>
      </c>
      <c r="I33" s="70"/>
      <c r="J33" s="79"/>
      <c r="L33" s="56"/>
      <c r="M33" s="1567"/>
      <c r="N33" s="1567"/>
      <c r="O33" s="1567"/>
      <c r="P33" s="1567"/>
      <c r="Q33" s="1545"/>
      <c r="R33" s="628"/>
      <c r="S33" s="79"/>
      <c r="T33" s="1729"/>
      <c r="U33" s="1728"/>
    </row>
    <row r="34" spans="1:22" ht="80.400000000000006" customHeight="1" outlineLevel="1" thickBot="1">
      <c r="A34" s="1969" t="s">
        <v>2178</v>
      </c>
      <c r="B34" s="1534" t="s">
        <v>103</v>
      </c>
      <c r="C34" s="1983" t="s">
        <v>2784</v>
      </c>
      <c r="D34" s="1984"/>
      <c r="E34" s="1535" t="s">
        <v>303</v>
      </c>
      <c r="F34" s="1536" t="s">
        <v>292</v>
      </c>
      <c r="G34" s="2055" t="e">
        <f ca="1">IF(SUM(E35:E37)&gt;'Potentiel EnR'!G23,"Le potentiel de valorisation de chaleur fatale ne permet pas de combler l'ensemble des besoins fixés ci-contre!","")</f>
        <v>#REF!</v>
      </c>
      <c r="H34" s="2056"/>
      <c r="I34" s="1747"/>
      <c r="J34" s="79"/>
      <c r="L34" s="56"/>
      <c r="M34" s="1567"/>
      <c r="N34" s="1567"/>
      <c r="O34" s="1567"/>
      <c r="P34" s="1567"/>
      <c r="Q34" s="1545"/>
      <c r="R34" s="628"/>
      <c r="S34" s="79"/>
      <c r="T34" s="1729"/>
      <c r="U34" s="1728"/>
    </row>
    <row r="35" spans="1:22" ht="46.8" outlineLevel="1">
      <c r="A35" s="1970"/>
      <c r="B35" s="1731" t="s">
        <v>305</v>
      </c>
      <c r="C35" s="1985"/>
      <c r="D35" s="1986"/>
      <c r="E35" s="1734" t="e">
        <f ca="1">SUM('Bilan territorial'!BQ13:BR13)</f>
        <v>#REF!</v>
      </c>
      <c r="F35" s="1735" t="e">
        <f ca="1">SUM('Bilan territorial'!CA13:CB13)</f>
        <v>#REF!</v>
      </c>
      <c r="G35" s="2053" t="str">
        <f>"Potentiel : "&amp;ROUND('Potentiel EnR'!F23,1)&amp;" GWh/an"</f>
        <v>Potentiel : 0 GWh/an</v>
      </c>
      <c r="H35" s="2054"/>
      <c r="I35" s="70"/>
      <c r="J35" s="79"/>
      <c r="L35" s="56"/>
      <c r="M35" s="1567"/>
      <c r="N35" s="1567"/>
      <c r="O35" s="1567"/>
      <c r="P35" s="1567"/>
      <c r="Q35" s="1545"/>
      <c r="R35" s="628"/>
      <c r="S35" s="79"/>
      <c r="T35" s="1729"/>
      <c r="U35" s="1728"/>
    </row>
    <row r="36" spans="1:22" ht="31.2" outlineLevel="1">
      <c r="A36" s="1970"/>
      <c r="B36" s="1732" t="s">
        <v>307</v>
      </c>
      <c r="C36" s="1981"/>
      <c r="D36" s="1982"/>
      <c r="E36" s="1574" t="e">
        <f ca="1">SUM('Bilan territorial'!BQ14:BR14)</f>
        <v>#REF!</v>
      </c>
      <c r="F36" s="1555" t="e">
        <f ca="1">SUM('Bilan territorial'!CA14:CB14)</f>
        <v>#REF!</v>
      </c>
      <c r="G36" s="2053"/>
      <c r="H36" s="2054"/>
      <c r="I36" s="70"/>
      <c r="J36" s="79"/>
      <c r="L36" s="56"/>
      <c r="M36" s="1567"/>
      <c r="N36" s="1567"/>
      <c r="O36" s="1567"/>
      <c r="P36" s="1567"/>
      <c r="Q36" s="1545"/>
      <c r="R36" s="628"/>
      <c r="S36" s="79"/>
      <c r="T36" s="1729"/>
      <c r="U36" s="1728"/>
    </row>
    <row r="37" spans="1:22" ht="31.8" outlineLevel="1" thickBot="1">
      <c r="A37" s="1971"/>
      <c r="B37" s="1733" t="s">
        <v>308</v>
      </c>
      <c r="C37" s="1974"/>
      <c r="D37" s="1975"/>
      <c r="E37" s="1575" t="e">
        <f ca="1">SUM('Bilan territorial'!BQ15:BR15)</f>
        <v>#REF!</v>
      </c>
      <c r="F37" s="1735" t="e">
        <f ca="1">SUM('Bilan territorial'!CA15:CB15)</f>
        <v>#REF!</v>
      </c>
      <c r="G37" s="2053"/>
      <c r="H37" s="2054"/>
      <c r="I37" s="70"/>
      <c r="J37" s="79"/>
      <c r="L37" s="56"/>
      <c r="M37" s="1567"/>
      <c r="N37" s="1567"/>
      <c r="O37" s="1567"/>
      <c r="P37" s="1567"/>
      <c r="Q37" s="1545"/>
      <c r="R37" s="628"/>
      <c r="S37" s="79"/>
      <c r="T37" s="1729"/>
      <c r="U37" s="1728"/>
    </row>
    <row r="38" spans="1:22" ht="63" outlineLevel="1" thickBot="1">
      <c r="A38" s="1978" t="s">
        <v>310</v>
      </c>
      <c r="B38" s="1534" t="s">
        <v>103</v>
      </c>
      <c r="C38" s="1983" t="s">
        <v>2787</v>
      </c>
      <c r="D38" s="1984"/>
      <c r="E38" s="1535" t="s">
        <v>303</v>
      </c>
      <c r="F38" s="1536" t="s">
        <v>292</v>
      </c>
      <c r="G38" s="1568"/>
      <c r="H38" s="1568"/>
      <c r="I38" s="70"/>
      <c r="J38" s="79"/>
      <c r="L38" s="56"/>
      <c r="M38" s="1567"/>
      <c r="N38" s="1567"/>
      <c r="O38" s="1567"/>
      <c r="P38" s="1567"/>
      <c r="Q38" s="1545"/>
      <c r="R38" s="628"/>
      <c r="S38" s="79"/>
      <c r="T38" s="1729"/>
      <c r="U38" s="1728"/>
    </row>
    <row r="39" spans="1:22" ht="46.8" outlineLevel="1">
      <c r="A39" s="1979"/>
      <c r="B39" s="1541" t="s">
        <v>305</v>
      </c>
      <c r="C39" s="2038"/>
      <c r="D39" s="2039"/>
      <c r="E39" s="777" t="e">
        <f ca="1">'Bilan territorial'!BO13</f>
        <v>#REF!</v>
      </c>
      <c r="F39" s="865" t="e">
        <f ca="1">'Bilan territorial'!BY13</f>
        <v>#REF!</v>
      </c>
      <c r="G39" s="128" t="s">
        <v>296</v>
      </c>
      <c r="H39" s="1573" t="e">
        <f t="shared" ref="H39:H44" ca="1" si="8">H24</f>
        <v>#REF!</v>
      </c>
      <c r="I39" s="70"/>
      <c r="J39" s="79"/>
      <c r="L39" s="56"/>
      <c r="M39" s="1567"/>
      <c r="N39" s="1567"/>
      <c r="O39" s="1567"/>
      <c r="P39" s="1567"/>
      <c r="Q39" s="1545"/>
      <c r="R39" s="628"/>
      <c r="S39" s="79"/>
      <c r="T39" s="1729"/>
      <c r="U39" s="1728"/>
    </row>
    <row r="40" spans="1:22" ht="18" outlineLevel="1">
      <c r="A40" s="1979"/>
      <c r="B40" s="1577" t="s">
        <v>297</v>
      </c>
      <c r="C40" s="1981"/>
      <c r="D40" s="1982"/>
      <c r="E40" s="1338" t="e">
        <f ca="1">'Bilan territorial'!BO18+'Bilan territorial'!BP18</f>
        <v>#REF!</v>
      </c>
      <c r="F40" s="1339" t="e">
        <f ca="1">'Bilan territorial'!BY18+'Bilan territorial'!BZ18</f>
        <v>#REF!</v>
      </c>
      <c r="G40" s="128" t="s">
        <v>296</v>
      </c>
      <c r="H40" s="1573" t="e">
        <f t="shared" ca="1" si="8"/>
        <v>#REF!</v>
      </c>
      <c r="I40" s="70"/>
      <c r="J40" s="79"/>
      <c r="L40" s="56"/>
      <c r="M40" s="1567"/>
      <c r="N40" s="1567"/>
      <c r="O40" s="1567"/>
      <c r="P40" s="1567"/>
      <c r="Q40" s="1545"/>
      <c r="R40" s="628"/>
      <c r="S40" s="79"/>
      <c r="T40" s="1729"/>
      <c r="U40" s="1728"/>
    </row>
    <row r="41" spans="1:22" ht="18" outlineLevel="1">
      <c r="A41" s="1979"/>
      <c r="B41" s="1578" t="s">
        <v>306</v>
      </c>
      <c r="C41" s="2038"/>
      <c r="D41" s="2039"/>
      <c r="E41" s="1364" t="e">
        <f ca="1">'Bilan territorial'!BO11</f>
        <v>#REF!</v>
      </c>
      <c r="F41" s="866" t="e">
        <f ca="1">'Bilan territorial'!BY11</f>
        <v>#REF!</v>
      </c>
      <c r="G41" s="128" t="s">
        <v>296</v>
      </c>
      <c r="H41" s="1573" t="e">
        <f t="shared" ca="1" si="8"/>
        <v>#REF!</v>
      </c>
      <c r="I41" s="70"/>
      <c r="J41" s="79"/>
      <c r="L41" s="56"/>
      <c r="M41" s="1567"/>
      <c r="N41" s="1567"/>
      <c r="O41" s="1567"/>
      <c r="P41" s="1567"/>
      <c r="Q41" s="1545"/>
      <c r="R41" s="628"/>
      <c r="S41" s="79"/>
      <c r="T41" s="1729"/>
      <c r="U41" s="1728"/>
    </row>
    <row r="42" spans="1:22" ht="31.2" outlineLevel="1">
      <c r="A42" s="1979"/>
      <c r="B42" s="1578" t="s">
        <v>307</v>
      </c>
      <c r="C42" s="1981"/>
      <c r="D42" s="1982"/>
      <c r="E42" s="1364" t="e">
        <f ca="1">'Bilan territorial'!BO14</f>
        <v>#REF!</v>
      </c>
      <c r="F42" s="866" t="e">
        <f ca="1">'Bilan territorial'!BY14</f>
        <v>#REF!</v>
      </c>
      <c r="G42" s="128" t="s">
        <v>296</v>
      </c>
      <c r="H42" s="1573" t="e">
        <f t="shared" ca="1" si="8"/>
        <v>#REF!</v>
      </c>
      <c r="I42" s="70"/>
      <c r="J42" s="79"/>
      <c r="L42" s="56"/>
      <c r="M42" s="1567"/>
      <c r="N42" s="1567"/>
      <c r="O42" s="1567"/>
      <c r="P42" s="1567"/>
      <c r="Q42" s="1545"/>
      <c r="R42" s="628"/>
      <c r="S42" s="79"/>
      <c r="T42" s="1729"/>
      <c r="U42" s="1728"/>
    </row>
    <row r="43" spans="1:22" ht="31.2" outlineLevel="1">
      <c r="A43" s="1979"/>
      <c r="B43" s="1579" t="s">
        <v>308</v>
      </c>
      <c r="C43" s="2038"/>
      <c r="D43" s="2039"/>
      <c r="E43" s="1327" t="e">
        <f ca="1">'Bilan territorial'!BO15</f>
        <v>#REF!</v>
      </c>
      <c r="F43" s="867" t="e">
        <f ca="1">'Bilan territorial'!BY15</f>
        <v>#REF!</v>
      </c>
      <c r="G43" s="128" t="s">
        <v>296</v>
      </c>
      <c r="H43" s="1573" t="e">
        <f t="shared" ca="1" si="8"/>
        <v>#REF!</v>
      </c>
      <c r="I43" s="70"/>
      <c r="J43" s="79"/>
      <c r="L43" s="56"/>
      <c r="M43" s="1567"/>
      <c r="N43" s="1567"/>
      <c r="O43" s="1567"/>
      <c r="P43" s="1567"/>
      <c r="Q43" s="1545"/>
      <c r="R43" s="628"/>
      <c r="S43" s="79"/>
      <c r="T43" s="1729"/>
      <c r="U43" s="1728"/>
    </row>
    <row r="44" spans="1:22" ht="40.35" customHeight="1" outlineLevel="1" thickBot="1">
      <c r="A44" s="1980"/>
      <c r="B44" s="1580" t="s">
        <v>300</v>
      </c>
      <c r="C44" s="2051"/>
      <c r="D44" s="2052"/>
      <c r="E44" s="1581" t="e">
        <f ca="1">'Bilan territorial'!BO19+'Bilan territorial'!BP19</f>
        <v>#REF!</v>
      </c>
      <c r="F44" s="1576" t="e">
        <f ca="1">'Bilan territorial'!BY19+'Bilan territorial'!BZ19</f>
        <v>#REF!</v>
      </c>
      <c r="G44" s="128" t="s">
        <v>296</v>
      </c>
      <c r="H44" s="1573" t="e">
        <f t="shared" ca="1" si="8"/>
        <v>#REF!</v>
      </c>
      <c r="I44" s="70"/>
      <c r="J44" s="1531"/>
      <c r="K44" s="1531"/>
      <c r="L44" s="56"/>
      <c r="M44" s="1567"/>
      <c r="N44" s="1567"/>
      <c r="O44" s="1567"/>
      <c r="P44" s="1567"/>
      <c r="Q44" s="1545"/>
      <c r="R44" s="628"/>
      <c r="S44" s="79"/>
      <c r="T44" s="1729"/>
      <c r="U44" s="1728"/>
    </row>
    <row r="45" spans="1:22" ht="18.600000000000001" outlineLevel="1" thickBot="1">
      <c r="A45" s="2042" t="s">
        <v>107</v>
      </c>
      <c r="B45" s="2043"/>
      <c r="C45" s="2043"/>
      <c r="D45" s="2044"/>
      <c r="E45" s="1561" t="e">
        <f ca="1">SUM(E39:E44,E31:E33,E24:E29)</f>
        <v>#REF!</v>
      </c>
      <c r="F45" s="1230" t="e">
        <f ca="1">SUM(F39:F44,F31:F33,F24:F29)</f>
        <v>#REF!</v>
      </c>
      <c r="G45" s="1566"/>
      <c r="H45" s="70"/>
      <c r="I45" s="70"/>
      <c r="J45" s="1531"/>
      <c r="K45" s="1531"/>
      <c r="L45" s="56"/>
      <c r="M45" s="1567"/>
      <c r="N45" s="1567"/>
      <c r="O45" s="1567"/>
      <c r="P45" s="1567"/>
      <c r="Q45" s="1545"/>
      <c r="R45" s="628"/>
      <c r="S45" s="79"/>
      <c r="T45" s="1729"/>
      <c r="U45" s="1728"/>
    </row>
    <row r="46" spans="1:22" ht="18.600000000000001" thickBot="1">
      <c r="A46" s="1564"/>
      <c r="B46" s="1521"/>
      <c r="C46" s="1565"/>
      <c r="D46" s="1565"/>
      <c r="E46" s="1565"/>
      <c r="F46" s="1562"/>
      <c r="G46" s="1231"/>
      <c r="H46" s="70"/>
      <c r="I46" s="70"/>
      <c r="J46" s="1531"/>
      <c r="K46" s="1531"/>
      <c r="L46" s="56"/>
      <c r="M46" s="1567"/>
      <c r="N46" s="1567"/>
      <c r="O46" s="1567"/>
      <c r="P46" s="1567"/>
      <c r="Q46" s="1545"/>
      <c r="R46" s="628"/>
      <c r="S46" s="79"/>
      <c r="T46" s="1729"/>
      <c r="U46" s="1728"/>
    </row>
    <row r="47" spans="1:22" ht="97.95" customHeight="1" thickBot="1">
      <c r="A47" s="1969" t="s">
        <v>311</v>
      </c>
      <c r="B47" s="1582" t="s">
        <v>248</v>
      </c>
      <c r="C47" s="1583" t="s">
        <v>2075</v>
      </c>
      <c r="D47" s="1232" t="s">
        <v>312</v>
      </c>
      <c r="E47" s="129" t="s">
        <v>2076</v>
      </c>
      <c r="F47" s="130" t="s">
        <v>2077</v>
      </c>
      <c r="G47" s="1536" t="str">
        <f>"Installé de 2006 à "&amp;Accueil!E29</f>
        <v xml:space="preserve">Installé de 2006 à </v>
      </c>
      <c r="H47" s="1536" t="str">
        <f>"A installer de "&amp;Accueil!E29&amp;" à 2030"</f>
        <v>A installer de  à 2030</v>
      </c>
      <c r="I47" s="1584"/>
      <c r="J47" s="1585"/>
      <c r="K47" s="1531"/>
      <c r="Q47" s="56"/>
      <c r="R47" s="1737"/>
      <c r="S47" s="79"/>
      <c r="T47" s="1729"/>
      <c r="U47" s="1728"/>
    </row>
    <row r="48" spans="1:22" ht="63" customHeight="1" thickBot="1">
      <c r="A48" s="1970"/>
      <c r="B48" s="1586" t="s">
        <v>213</v>
      </c>
      <c r="C48" s="1587" t="s">
        <v>314</v>
      </c>
      <c r="D48" s="622"/>
      <c r="E48" s="1233">
        <f>IF(ISNA(VLOOKUP($C48,Mesures_eco!$A$1:$G$33,3,0)),0,VLOOKUP($C48,Mesures_eco!$A$1:$G$33,3,0)*D48)</f>
        <v>0</v>
      </c>
      <c r="F48" s="872">
        <f>IF(SUM($E$48:$E$49,$E$51,$E$54)=0,0,IF('Bilan territorial'!$AO$87&lt;0,'Bilan territorial'!$AM$20*'Bilan territorial'!$D$61*1000/SUM($E$48:$E$49,$E$51,$E$54)*E48,E48*'Bilan territorial'!$AO$62*1000))</f>
        <v>0</v>
      </c>
      <c r="G48" s="1234" t="e">
        <f ca="1">ROUND(('Potentiel EnR'!C48-'Potentiel EnR'!C60)/1000,1)&amp;" MW"</f>
        <v>#REF!</v>
      </c>
      <c r="H48" s="1305">
        <f>IF(J48="Objectif dépassé!","Objectif déjà dépassé!",IF(E48=0,0,IF(D48-('Potentiel EnR'!C48-'Potentiel EnR'!C60)/1000&lt;=0,"",ROUND(D48-('Potentiel EnR'!C48-'Potentiel EnR'!C60)/1000,1)&amp;" MW")))</f>
        <v>0</v>
      </c>
      <c r="I48" s="1588" t="str">
        <f ca="1">"Potentiel: "&amp;ROUND(('Potentiel EnR'!C16-'Potentiel EnR'!C60)/1000,0)&amp;" MW"</f>
        <v>Potentiel: 0 MW</v>
      </c>
      <c r="J48" s="1590" t="str">
        <f t="shared" ref="J48" si="9">IF(K48&gt;1.111,"Objectif dépassé!","")</f>
        <v/>
      </c>
      <c r="K48" s="79">
        <f>IF(D48=0,-1,('Potentiel EnR'!C48-'Potentiel EnR'!C60)/1000/D48)</f>
        <v>-1</v>
      </c>
      <c r="L48" s="1539" t="s">
        <v>315</v>
      </c>
      <c r="M48" s="1589">
        <v>2006</v>
      </c>
      <c r="N48" s="1589">
        <f>Accueil!E30</f>
        <v>0</v>
      </c>
      <c r="O48" s="1589">
        <f>Accueil!E29</f>
        <v>0</v>
      </c>
      <c r="P48" s="1589">
        <v>2030</v>
      </c>
      <c r="Q48" s="1538" t="str">
        <f>"2006-"&amp;O48</f>
        <v>2006-0</v>
      </c>
      <c r="R48" s="1538" t="s">
        <v>293</v>
      </c>
      <c r="S48" s="1590" t="str">
        <f>"2006-"&amp;N10</f>
        <v>2006-0</v>
      </c>
      <c r="T48" s="1730"/>
      <c r="U48" s="1728"/>
      <c r="V48" s="1672">
        <f>IF(J48="Objectif dépassé!",,IF(E48=0,0,IF(D48-('Potentiel EnR'!C48-'Potentiel EnR'!C60)/1000&lt;=0,"",D48-('Potentiel EnR'!C48-'Potentiel EnR'!C60)/1000)))</f>
        <v>0</v>
      </c>
    </row>
    <row r="49" spans="1:41" ht="78.599999999999994" thickBot="1">
      <c r="A49" s="1970"/>
      <c r="B49" s="1591" t="s">
        <v>316</v>
      </c>
      <c r="C49" s="1587" t="s">
        <v>317</v>
      </c>
      <c r="D49" s="622"/>
      <c r="E49" s="1233">
        <f>IF(ISNA(VLOOKUP($C49,Mesures_eco!$A$1:$G$33,3,0)),0,VLOOKUP($C49,Mesures_eco!$A$1:$G$33,3,0)*D49)</f>
        <v>0</v>
      </c>
      <c r="F49" s="872">
        <f>IF(SUM($E$48:$E$49,$E$51,$E$54)=0,0,IF('Bilan territorial'!$AO$87&lt;0,'Bilan territorial'!$AM$20*'Bilan territorial'!$D$61*1000/SUM($E$48:$E$49,$E$51,$E$54)*E49,E49*'Bilan territorial'!$AO$62*1000))</f>
        <v>0</v>
      </c>
      <c r="G49" s="1234" t="e">
        <f ca="1">ROUND('Potentiel EnR'!C54-'Potentiel EnR'!C66,0)&amp;" kWc"</f>
        <v>#REF!</v>
      </c>
      <c r="H49" s="1305">
        <f>IF(J49="Objectif dépassé!","Objectif déjà dépassé!",IF(E49=0,0,IF(D49-('Potentiel EnR'!C54-'Potentiel EnR'!C66)&lt;=0,"",ROUND(D49-('Potentiel EnR'!C54-'Potentiel EnR'!C66),0)&amp;" kWc")))</f>
        <v>0</v>
      </c>
      <c r="I49" s="1588" t="str">
        <f ca="1">"Potentiel: "&amp;ROUND('Potentiel EnR'!C22-'Potentiel EnR'!C66,0)&amp;" kWc"</f>
        <v>Potentiel: 0 kWc</v>
      </c>
      <c r="J49" s="1590" t="str">
        <f>IF(K49&gt;1.001,"Objectif dépassé!","")</f>
        <v/>
      </c>
      <c r="K49" s="79">
        <f>IF(D49=0,-1,('Potentiel EnR'!C54-'Potentiel EnR'!C66)/D49)</f>
        <v>-1</v>
      </c>
      <c r="L49" s="1592" t="s">
        <v>198</v>
      </c>
      <c r="M49" s="639">
        <f ca="1">'Bilan territorial'!F11</f>
        <v>0</v>
      </c>
      <c r="N49" s="639" t="e">
        <f ca="1">'Bilan territorial'!DF11</f>
        <v>#REF!</v>
      </c>
      <c r="O49" s="626" t="e">
        <f ca="1">'Bilan territorial'!M11</f>
        <v>#REF!</v>
      </c>
      <c r="P49" s="627" t="e">
        <f ca="1">'Bilan territorial'!AJ11</f>
        <v>#REF!</v>
      </c>
      <c r="Q49" s="1593">
        <f ca="1">IF(M49=0,0,O49/M49-1)</f>
        <v>0</v>
      </c>
      <c r="R49" s="628">
        <f ca="1">IF(M49=0,,P49/M49-1)</f>
        <v>0</v>
      </c>
      <c r="S49" s="80">
        <f ca="1">IF($N$10="","",IF(M49=0,0,(N49-M49)/M49))</f>
        <v>0</v>
      </c>
      <c r="T49" s="1728"/>
      <c r="U49" s="1728"/>
      <c r="V49" s="1671">
        <f>IF(J49="Objectif dépassé!",,IF(E49=0,0,IF(D49-('Potentiel EnR'!C54-'Potentiel EnR'!C66)&lt;=0,"",D49-('Potentiel EnR'!C54-'Potentiel EnR'!C66))))</f>
        <v>0</v>
      </c>
    </row>
    <row r="50" spans="1:41" ht="78.599999999999994" thickBot="1">
      <c r="A50" s="1970"/>
      <c r="B50" s="1591" t="s">
        <v>154</v>
      </c>
      <c r="C50" s="1587" t="s">
        <v>318</v>
      </c>
      <c r="D50" s="622"/>
      <c r="E50" s="1233">
        <f>IF(ISNA(VLOOKUP($C50,Mesures_eco!$A$1:$G$33,3,0)),0,VLOOKUP($C50,Mesures_eco!$A$1:$G$33,3,0)*D50)</f>
        <v>0</v>
      </c>
      <c r="F50" s="872">
        <f>IF(ISNA(VLOOKUP($C50,Mesures_eco!$A$1:$G$33,6,0)),0,VLOOKUP($C50,Mesures_eco!$A$1:$G$33,6,0)*D50)</f>
        <v>0</v>
      </c>
      <c r="G50" s="1234" t="e">
        <f ca="1">ROUND(('Potentiel EnR'!G53-'Potentiel EnR'!G65)/Mesures_eco!C31,0)&amp;" m²"</f>
        <v>#REF!</v>
      </c>
      <c r="H50" s="1305">
        <f>IF(J50="Objectif dépassé!","Objectif déjà dépassé!",IF(E50=0,0,IF(D50-(('Potentiel EnR'!G53-'Potentiel EnR'!G65)/Mesures_eco!C31)&lt;=0,"",ROUND(D50-(('Potentiel EnR'!G53-'Potentiel EnR'!G65)/Mesures_eco!C31),0)&amp;" m²")))</f>
        <v>0</v>
      </c>
      <c r="I50" s="1588" t="str">
        <f ca="1">"Potentiel: "&amp;ROUND(IF('Potentiel EnR'!G21&lt;'Potentiel EnR'!G65,0,('Potentiel EnR'!G21-'Potentiel EnR'!G65)/Mesures_eco!C31),0)&amp;" m²"</f>
        <v>Potentiel: 0 m²</v>
      </c>
      <c r="J50" s="1590" t="str">
        <f>IF(K50&gt;1.001,"Objectif dépassé!","")</f>
        <v/>
      </c>
      <c r="K50" s="79">
        <f>IF(D50=0,-1,(('Potentiel EnR'!G53-'Potentiel EnR'!G65)/Mesures_eco!C31)/D50)</f>
        <v>-1</v>
      </c>
      <c r="L50" s="1592" t="s">
        <v>199</v>
      </c>
      <c r="M50" s="639">
        <f ca="1">'Bilan territorial'!F12</f>
        <v>0</v>
      </c>
      <c r="N50" s="639" t="e">
        <f ca="1">'Bilan territorial'!DF12</f>
        <v>#REF!</v>
      </c>
      <c r="O50" s="626" t="e">
        <f ca="1">'Bilan territorial'!M12</f>
        <v>#REF!</v>
      </c>
      <c r="P50" s="627" t="e">
        <f ca="1">'Bilan territorial'!AJ12</f>
        <v>#REF!</v>
      </c>
      <c r="Q50" s="1593">
        <f t="shared" ref="Q50:Q65" ca="1" si="10">IF(M50=0,0,O50/M50-1)</f>
        <v>0</v>
      </c>
      <c r="R50" s="628">
        <f t="shared" ref="R50:R65" ca="1" si="11">IF(M50=0,,P50/M50-1)</f>
        <v>0</v>
      </c>
      <c r="S50" s="80" t="e">
        <f t="shared" ref="S50" ca="1" si="12">IF($N$10="","",(N50-M50)/M50)</f>
        <v>#REF!</v>
      </c>
      <c r="T50" s="1728"/>
      <c r="U50" s="1728"/>
      <c r="V50" s="1671">
        <f>IF(J50="Objectif dépassé!",,IF(E50=0,0,IF(D50-(('Potentiel EnR'!G53-'Potentiel EnR'!G65)/Mesures_eco!C31)&lt;=0,"",D50-(('Potentiel EnR'!G53-'Potentiel EnR'!G65)/Mesures_eco!C31))))</f>
        <v>0</v>
      </c>
      <c r="W50" s="1557"/>
    </row>
    <row r="51" spans="1:41" ht="78.599999999999994" thickBot="1">
      <c r="A51" s="1970"/>
      <c r="B51" s="2021" t="s">
        <v>319</v>
      </c>
      <c r="C51" s="1587" t="s">
        <v>320</v>
      </c>
      <c r="D51" s="622"/>
      <c r="E51" s="1233">
        <f>IF(ISNA(VLOOKUP($C51,Mesures_eco!$A$1:$G$33,3,0)),0,VLOOKUP($C51,Mesures_eco!$A$1:$G$33,3,0)*D51)</f>
        <v>0</v>
      </c>
      <c r="F51" s="872">
        <f>IF(SUM($E$48:$E$49,$E$51,$E$54)=0,0,IF('Bilan territorial'!$AO$87&lt;0,'Bilan territorial'!$AM$20*('Bilan territorial'!$D$61-Hypothèses!B19)*1000/SUM($E$48:$E$49,$E$51,$E$54)*E51,E51*'Bilan territorial'!$AO$62*1000))</f>
        <v>0</v>
      </c>
      <c r="G51" s="1234" t="e">
        <f ca="1">ROUND('Potentiel EnR'!C51-'Potentiel EnR'!C63,0)&amp;" kW"</f>
        <v>#REF!</v>
      </c>
      <c r="H51" s="1305">
        <f>IF(J51="Objectif dépassé!","Objectif déjà dépassé!",IF(E51=0,0,IF(D51-('Potentiel EnR'!C51-'Potentiel EnR'!C63)&lt;=0,"",ROUND(D51-('Potentiel EnR'!C51-'Potentiel EnR'!C63),0)&amp;" kW")))</f>
        <v>0</v>
      </c>
      <c r="I51" s="1588" t="str">
        <f ca="1">"Potentiel: "&amp;'Potentiel EnR'!F76</f>
        <v>Potentiel: 0 kW</v>
      </c>
      <c r="J51" s="1590" t="str">
        <f>IF(K51&gt;1.001,"Objectif dépassé!","")</f>
        <v/>
      </c>
      <c r="K51" s="79">
        <f>IF(D51=0,-1,('Potentiel EnR'!C51-'Potentiel EnR'!C63)/D51)</f>
        <v>-1</v>
      </c>
      <c r="L51" s="1594" t="s">
        <v>200</v>
      </c>
      <c r="M51" s="639">
        <f ca="1">'Bilan territorial'!F13</f>
        <v>0</v>
      </c>
      <c r="N51" s="639">
        <f>'Bilan territorial'!DF13</f>
        <v>0</v>
      </c>
      <c r="O51" s="626" t="e">
        <f ca="1">'Bilan territorial'!M13</f>
        <v>#REF!</v>
      </c>
      <c r="P51" s="627" t="e">
        <f ca="1">'Bilan territorial'!AJ13</f>
        <v>#REF!</v>
      </c>
      <c r="Q51" s="1593">
        <f t="shared" ca="1" si="10"/>
        <v>0</v>
      </c>
      <c r="R51" s="628">
        <f t="shared" ca="1" si="11"/>
        <v>0</v>
      </c>
      <c r="S51" s="80">
        <f ca="1">IF($N$10="","",IF(M51=0,0,(N51-M51)/M51))</f>
        <v>0</v>
      </c>
      <c r="T51" s="1728"/>
      <c r="U51" s="1728">
        <f>IF(J51="Objectif dépassé!","Objectif déjà dépassé!",IF(E51=0,0,IF(E51-G7&lt;=0,"",ROUND(D51-('Potentiel EnR'!C51-'Potentiel EnR'!C63),0))))</f>
        <v>0</v>
      </c>
      <c r="V51" s="1671">
        <f>IF(J51="Objectif dépassé!",,IF(E51=0,0,IF(D51-('Potentiel EnR'!C51-'Potentiel EnR'!C63)&lt;=0,"",D51-('Potentiel EnR'!C51-'Potentiel EnR'!C63))))</f>
        <v>0</v>
      </c>
      <c r="W51" s="1557"/>
    </row>
    <row r="52" spans="1:41" ht="109.8" thickBot="1">
      <c r="A52" s="1970"/>
      <c r="B52" s="2022"/>
      <c r="C52" s="1587" t="s">
        <v>2078</v>
      </c>
      <c r="D52" s="776"/>
      <c r="E52" s="1233">
        <f>D52</f>
        <v>0</v>
      </c>
      <c r="F52" s="1313">
        <f>E52*('Hypothèses &amp; Méthodo'!B10-'Hypothèses &amp; Méthodo'!B23)*1000</f>
        <v>0</v>
      </c>
      <c r="G52" s="1234" t="s">
        <v>2086</v>
      </c>
      <c r="H52" s="1305" t="str">
        <f>ROUND(E52,2)&amp;" GWh"</f>
        <v>0 GWh</v>
      </c>
      <c r="I52" s="1588" t="str">
        <f ca="1">"Potentiel: "&amp;'Potentiel EnR'!F77</f>
        <v>Potentiel: 0 GWh</v>
      </c>
      <c r="J52" s="1590"/>
      <c r="L52" s="1594"/>
      <c r="M52" s="639"/>
      <c r="N52" s="639"/>
      <c r="O52" s="626"/>
      <c r="P52" s="627"/>
      <c r="Q52" s="1593"/>
      <c r="R52" s="628"/>
      <c r="S52" s="80"/>
      <c r="T52" s="1728"/>
      <c r="U52" s="1728"/>
      <c r="W52" s="1557"/>
    </row>
    <row r="53" spans="1:41" ht="47.4" thickBot="1">
      <c r="A53" s="1970"/>
      <c r="B53" s="1595" t="s">
        <v>321</v>
      </c>
      <c r="C53" s="1587" t="s">
        <v>322</v>
      </c>
      <c r="D53" s="776"/>
      <c r="E53" s="1233">
        <f>D53*'Hypothèses &amp; Méthodo'!E16/1000000</f>
        <v>0</v>
      </c>
      <c r="F53" s="1481"/>
      <c r="G53" s="1482" t="e">
        <f ca="1">ROUND(('Potentiel EnR'!F50-'Potentiel EnR'!F62)/('Hypothèses &amp; Méthodo'!E16/1000000),0)&amp;" tonnes"</f>
        <v>#REF!</v>
      </c>
      <c r="H53" s="1305">
        <f>IF(J53="Objectif dépassé!","Objectif déjà dépassé!",IF(E53=0,0,IF(D53-('Potentiel EnR'!F50-'Potentiel EnR'!F62)/('Hypothèses &amp; Méthodo'!E16/1000000)&lt;=0,"",ROUND(D53-('Potentiel EnR'!F50-'Potentiel EnR'!F62)/('Hypothèses &amp; Méthodo'!E16/1000000),0)&amp;" kW")))</f>
        <v>0</v>
      </c>
      <c r="I53" s="1588" t="str">
        <f ca="1">"Potentiel: "&amp;ROUND(IF('Potentiel EnR'!F18&lt;'Potentiel EnR'!F62,0,('Potentiel EnR'!F18-'Potentiel EnR'!F62)/('Hypothèses &amp; Méthodo'!E16/1000000)),0)&amp;" tonnes"</f>
        <v>Potentiel: 0 tonnes</v>
      </c>
      <c r="J53" s="1590" t="str">
        <f>IF(K53&gt;1.001,"Objectif dépassé!","")</f>
        <v/>
      </c>
      <c r="K53" s="79">
        <f>IF(D53=0,-1,(('Potentiel EnR'!F50-'Potentiel EnR'!F62)/('Hypothèses &amp; Méthodo'!E16/1000000))/D53)</f>
        <v>-1</v>
      </c>
      <c r="L53" s="1594"/>
      <c r="M53" s="639"/>
      <c r="N53" s="639"/>
      <c r="O53" s="626"/>
      <c r="P53" s="627"/>
      <c r="Q53" s="1593"/>
      <c r="R53" s="628"/>
      <c r="S53" s="80"/>
      <c r="T53" s="1728"/>
      <c r="U53" s="1728"/>
      <c r="V53" s="1673">
        <f>E52</f>
        <v>0</v>
      </c>
      <c r="W53" s="1557"/>
    </row>
    <row r="54" spans="1:41" ht="63" thickBot="1">
      <c r="A54" s="1970"/>
      <c r="B54" s="1595" t="s">
        <v>323</v>
      </c>
      <c r="C54" s="1596" t="s">
        <v>324</v>
      </c>
      <c r="D54" s="781"/>
      <c r="E54" s="1233">
        <f>IF(ISNA(VLOOKUP($C54,Mesures_eco!$A$1:$G$33,3,0)),0,VLOOKUP($C54,Mesures_eco!$A$1:$G$33,3,0)*D54)</f>
        <v>0</v>
      </c>
      <c r="F54" s="872">
        <f>IF(SUM($E$48:$E$49,$E$51,$E$54)=0,0,IF('Bilan territorial'!$AO$87&lt;0,'Bilan territorial'!$AM$20*'Bilan territorial'!$D$61*1000/SUM($E$48:$E$49,$E$51,$E$54)*E54,E54*'Bilan territorial'!$AO$62*1000))</f>
        <v>0</v>
      </c>
      <c r="G54" s="1234" t="e">
        <f ca="1">ROUND('Potentiel EnR'!C49-'Potentiel EnR'!C61,0)&amp;" kW"</f>
        <v>#REF!</v>
      </c>
      <c r="H54" s="1305">
        <f>IF(J54="Objectif dépassé!","Objectif déjà dépassé!",IF(E54=0,0,IF(D54-('Potentiel EnR'!C49-'Potentiel EnR'!C61)&lt;=0,"",ROUND(D54-('Potentiel EnR'!C49-'Potentiel EnR'!C61),0)&amp;" kW")))</f>
        <v>0</v>
      </c>
      <c r="I54" s="1588" t="str">
        <f>"Potentiel: "&amp;ROUND('Potentiel EnR'!C17,0)&amp;" kW"</f>
        <v>Potentiel: 0 kW</v>
      </c>
      <c r="J54" s="1590" t="str">
        <f>IF(D54&lt;0,IF(D54&gt;'Potentiel EnR'!C49-'Potentiel EnR'!C61,"","Objectif dépassé!"),IF(K54&gt;1.001,"Objectif dépassé!",""))</f>
        <v/>
      </c>
      <c r="K54" s="79">
        <f>IF(D54=0,-1,('Potentiel EnR'!C49-'Potentiel EnR'!C61)/D54)</f>
        <v>-1</v>
      </c>
      <c r="L54" s="1594" t="s">
        <v>298</v>
      </c>
      <c r="M54" s="639">
        <f ca="1">'Bilan territorial'!F14</f>
        <v>0</v>
      </c>
      <c r="N54" s="639" t="e">
        <f ca="1">'Bilan territorial'!DF14</f>
        <v>#REF!</v>
      </c>
      <c r="O54" s="626" t="e">
        <f ca="1">'Bilan territorial'!M14</f>
        <v>#REF!</v>
      </c>
      <c r="P54" s="627" t="e">
        <f ca="1">'Bilan territorial'!AJ14</f>
        <v>#REF!</v>
      </c>
      <c r="Q54" s="1593">
        <f t="shared" ca="1" si="10"/>
        <v>0</v>
      </c>
      <c r="R54" s="628">
        <f t="shared" ca="1" si="11"/>
        <v>0</v>
      </c>
      <c r="S54" s="80" t="e">
        <f ca="1">IF($N$10="","",(N54-M54)/M54)</f>
        <v>#REF!</v>
      </c>
      <c r="T54" s="1728"/>
      <c r="U54" s="1728"/>
      <c r="V54" s="1671">
        <f>IF(J54="Objectif dépassé!",,IF(E54=0,0,IF(D54-('Potentiel EnR'!C49-'Potentiel EnR'!C61)&lt;=0,"",D54-('Potentiel EnR'!C49-'Potentiel EnR'!C61))))</f>
        <v>0</v>
      </c>
      <c r="W54" s="1557"/>
      <c r="X54" s="29"/>
      <c r="Y54" s="29"/>
      <c r="Z54" s="29"/>
      <c r="AA54" s="29"/>
      <c r="AB54" s="29"/>
      <c r="AC54" s="29"/>
      <c r="AD54" s="29"/>
      <c r="AE54" s="29"/>
      <c r="AF54" s="29"/>
      <c r="AG54" s="29"/>
      <c r="AH54" s="29"/>
      <c r="AI54" s="29"/>
      <c r="AJ54" s="29"/>
      <c r="AK54" s="29"/>
      <c r="AL54" s="29"/>
      <c r="AM54" s="29"/>
      <c r="AN54" s="29"/>
      <c r="AO54" s="29"/>
    </row>
    <row r="55" spans="1:41" ht="16.2" thickBot="1">
      <c r="A55" s="1971"/>
      <c r="B55" s="2008" t="s">
        <v>107</v>
      </c>
      <c r="C55" s="2008"/>
      <c r="D55" s="2008"/>
      <c r="E55" s="1597">
        <f>SUM(E48:E54)</f>
        <v>0</v>
      </c>
      <c r="F55" s="1235">
        <f>SUM(F48:F54)</f>
        <v>0</v>
      </c>
      <c r="G55" s="1236"/>
      <c r="H55" s="1598"/>
      <c r="I55" s="1598"/>
      <c r="J55" s="1531"/>
      <c r="K55" s="1590"/>
      <c r="L55" s="1592" t="s">
        <v>201</v>
      </c>
      <c r="M55" s="639">
        <f ca="1">'Bilan territorial'!F15</f>
        <v>0</v>
      </c>
      <c r="N55" s="639" t="e">
        <f ca="1">'Bilan territorial'!DF15</f>
        <v>#REF!</v>
      </c>
      <c r="O55" s="626" t="e">
        <f ca="1">'Bilan territorial'!M15</f>
        <v>#REF!</v>
      </c>
      <c r="P55" s="627" t="e">
        <f ca="1">'Bilan territorial'!AJ15</f>
        <v>#REF!</v>
      </c>
      <c r="Q55" s="1593">
        <f t="shared" ca="1" si="10"/>
        <v>0</v>
      </c>
      <c r="R55" s="628">
        <f t="shared" ca="1" si="11"/>
        <v>0</v>
      </c>
      <c r="S55" s="80" t="e">
        <f t="shared" ref="S55:S59" ca="1" si="13">IF($N$10="","",(N55-M55)/M55)</f>
        <v>#REF!</v>
      </c>
      <c r="T55" s="1728"/>
      <c r="U55" s="1728"/>
      <c r="W55" s="29"/>
      <c r="X55" s="29"/>
      <c r="Y55" s="29"/>
      <c r="Z55" s="29"/>
      <c r="AA55" s="29"/>
      <c r="AB55" s="29"/>
      <c r="AC55" s="29"/>
      <c r="AD55" s="29"/>
      <c r="AE55" s="29"/>
      <c r="AF55" s="29"/>
      <c r="AG55" s="29"/>
      <c r="AH55" s="29"/>
      <c r="AI55" s="29"/>
      <c r="AJ55" s="29"/>
      <c r="AK55" s="29"/>
      <c r="AL55" s="29"/>
      <c r="AM55" s="29"/>
      <c r="AN55" s="29"/>
      <c r="AO55" s="29"/>
    </row>
    <row r="56" spans="1:41" ht="16.2" thickBot="1">
      <c r="A56" s="1599"/>
      <c r="B56" s="1600"/>
      <c r="C56" s="1600"/>
      <c r="D56" s="1600"/>
      <c r="E56" s="1601"/>
      <c r="F56" s="1237"/>
      <c r="G56" s="1238"/>
      <c r="H56" s="1598"/>
      <c r="I56" s="1598"/>
      <c r="J56" s="1531"/>
      <c r="K56" s="1590"/>
      <c r="L56" s="1592" t="s">
        <v>202</v>
      </c>
      <c r="M56" s="639">
        <f ca="1">'Bilan territorial'!F16</f>
        <v>0</v>
      </c>
      <c r="N56" s="639" t="e">
        <f ca="1">'Bilan territorial'!DF16</f>
        <v>#REF!</v>
      </c>
      <c r="O56" s="626" t="e">
        <f ca="1">'Bilan territorial'!M16</f>
        <v>#REF!</v>
      </c>
      <c r="P56" s="627" t="e">
        <f ca="1">'Bilan territorial'!AJ16</f>
        <v>#REF!</v>
      </c>
      <c r="Q56" s="1593">
        <f t="shared" ca="1" si="10"/>
        <v>0</v>
      </c>
      <c r="R56" s="628">
        <f t="shared" ca="1" si="11"/>
        <v>0</v>
      </c>
      <c r="S56" s="80" t="e">
        <f t="shared" ca="1" si="13"/>
        <v>#REF!</v>
      </c>
      <c r="T56" s="1728"/>
      <c r="U56" s="1728"/>
      <c r="W56" s="29"/>
      <c r="X56" s="29"/>
      <c r="Y56" s="29"/>
      <c r="Z56" s="29"/>
      <c r="AA56" s="29"/>
      <c r="AB56" s="29"/>
      <c r="AC56" s="29"/>
      <c r="AD56" s="29"/>
      <c r="AE56" s="29"/>
      <c r="AF56" s="29"/>
      <c r="AG56" s="29"/>
      <c r="AH56" s="29"/>
      <c r="AI56" s="29"/>
      <c r="AJ56" s="29"/>
      <c r="AK56" s="29"/>
      <c r="AL56" s="29"/>
      <c r="AM56" s="29"/>
      <c r="AN56" s="29"/>
      <c r="AO56" s="29"/>
    </row>
    <row r="57" spans="1:41" ht="71.099999999999994" customHeight="1" thickBot="1">
      <c r="A57" s="2018" t="s">
        <v>100</v>
      </c>
      <c r="B57" s="1534" t="s">
        <v>103</v>
      </c>
      <c r="C57" s="2012" t="s">
        <v>325</v>
      </c>
      <c r="D57" s="2008"/>
      <c r="E57" s="2008"/>
      <c r="F57" s="131" t="s">
        <v>313</v>
      </c>
      <c r="G57" s="1602" t="str">
        <f>"Evolution des émissions 2006-"&amp;Accueil!E29</f>
        <v>Evolution des émissions 2006-</v>
      </c>
      <c r="H57" s="1598"/>
      <c r="I57" s="1598"/>
      <c r="J57" s="1531"/>
      <c r="K57" s="1590"/>
      <c r="L57" s="1592" t="s">
        <v>203</v>
      </c>
      <c r="M57" s="639">
        <f ca="1">'Bilan territorial'!F17</f>
        <v>0</v>
      </c>
      <c r="N57" s="639" t="e">
        <f ca="1">'Bilan territorial'!DF17</f>
        <v>#REF!</v>
      </c>
      <c r="O57" s="626" t="e">
        <f ca="1">'Bilan territorial'!M17</f>
        <v>#REF!</v>
      </c>
      <c r="P57" s="627" t="e">
        <f ca="1">'Bilan territorial'!AJ17</f>
        <v>#REF!</v>
      </c>
      <c r="Q57" s="1593">
        <f t="shared" ca="1" si="10"/>
        <v>0</v>
      </c>
      <c r="R57" s="628">
        <f t="shared" ca="1" si="11"/>
        <v>0</v>
      </c>
      <c r="S57" s="80" t="e">
        <f t="shared" ca="1" si="13"/>
        <v>#REF!</v>
      </c>
      <c r="T57" s="1728"/>
      <c r="U57" s="1728"/>
      <c r="W57" s="29"/>
      <c r="X57" s="29"/>
      <c r="Y57" s="29"/>
      <c r="Z57" s="29"/>
      <c r="AA57" s="29"/>
      <c r="AB57" s="29"/>
      <c r="AC57" s="29"/>
      <c r="AD57" s="29"/>
      <c r="AE57" s="29"/>
      <c r="AF57" s="29"/>
      <c r="AG57" s="29"/>
      <c r="AH57" s="29"/>
      <c r="AI57" s="29"/>
      <c r="AJ57" s="29"/>
      <c r="AK57" s="29"/>
      <c r="AL57" s="29"/>
      <c r="AM57" s="29"/>
      <c r="AN57" s="29"/>
      <c r="AO57" s="29"/>
    </row>
    <row r="58" spans="1:41" ht="15.6">
      <c r="A58" s="2019"/>
      <c r="B58" s="1603" t="s">
        <v>104</v>
      </c>
      <c r="C58" s="2013"/>
      <c r="D58" s="2014"/>
      <c r="E58" s="2015"/>
      <c r="F58" s="1604">
        <f>'Données territoriales'!K6*-Objectifs!C58</f>
        <v>0</v>
      </c>
      <c r="G58" s="2009">
        <f>IF('Bilan territorial'!F38=0,,('Bilan territorial'!M38-'Bilan territorial'!F38)/'Bilan territorial'!F38)</f>
        <v>0</v>
      </c>
      <c r="H58" s="128" t="s">
        <v>296</v>
      </c>
      <c r="I58" s="2006" t="str">
        <f>IF(J58&gt;1.111,"Objectif dépassé!",IF(J58=-2,"Chiffrez les émissions des secteurs non-énergétiques dans la feuille - Données territoriales",""))</f>
        <v/>
      </c>
      <c r="J58" s="2007">
        <f>IF(SUM(C58:C60)=0,-1,IF('Bilan territorial'!F38=0,-2,-G58/(SUM(F58:F60)/'Bilan territorial'!F38)))</f>
        <v>-1</v>
      </c>
      <c r="K58" s="1590"/>
      <c r="L58" s="1594" t="s">
        <v>297</v>
      </c>
      <c r="M58" s="639" t="e">
        <f ca="1">'Bilan territorial'!F18</f>
        <v>#DIV/0!</v>
      </c>
      <c r="N58" s="639">
        <f>'Bilan territorial'!DF18</f>
        <v>0</v>
      </c>
      <c r="O58" s="626" t="e">
        <f ca="1">'Bilan territorial'!M18</f>
        <v>#REF!</v>
      </c>
      <c r="P58" s="627" t="e">
        <f ca="1">'Bilan territorial'!AJ18</f>
        <v>#REF!</v>
      </c>
      <c r="Q58" s="1593" t="e">
        <f t="shared" ca="1" si="10"/>
        <v>#DIV/0!</v>
      </c>
      <c r="R58" s="628" t="e">
        <f t="shared" ca="1" si="11"/>
        <v>#DIV/0!</v>
      </c>
      <c r="S58" s="80" t="e">
        <f ca="1">IF($N$10="","",IF(M58=0,0,(N58-M58)/M58))</f>
        <v>#DIV/0!</v>
      </c>
      <c r="T58" s="1728"/>
      <c r="U58" s="1728"/>
      <c r="W58" s="29"/>
      <c r="X58" s="29"/>
      <c r="Y58" s="29"/>
      <c r="Z58" s="29"/>
      <c r="AA58" s="29"/>
      <c r="AB58" s="29"/>
      <c r="AC58" s="29"/>
      <c r="AD58" s="29"/>
      <c r="AE58" s="29"/>
      <c r="AF58" s="29"/>
      <c r="AG58" s="29"/>
      <c r="AH58" s="29"/>
      <c r="AI58" s="29"/>
      <c r="AJ58" s="29"/>
      <c r="AK58" s="29"/>
      <c r="AL58" s="29"/>
      <c r="AM58" s="29"/>
      <c r="AN58" s="29"/>
      <c r="AO58" s="29"/>
    </row>
    <row r="59" spans="1:41" ht="31.2">
      <c r="A59" s="2019"/>
      <c r="B59" s="1606" t="s">
        <v>105</v>
      </c>
      <c r="C59" s="2026"/>
      <c r="D59" s="2027"/>
      <c r="E59" s="2028"/>
      <c r="F59" s="1607">
        <f>'Données territoriales'!K7*-Objectifs!C59</f>
        <v>0</v>
      </c>
      <c r="G59" s="2010"/>
      <c r="H59" s="1608" t="s">
        <v>296</v>
      </c>
      <c r="I59" s="2006" t="str">
        <f t="shared" ref="I59:I60" si="14">IF(J59&gt;1.111,"Objectif dépassé!","")</f>
        <v/>
      </c>
      <c r="J59" s="2007">
        <f t="shared" ref="J59:J60" si="15">IF(C59=0,-1,G59/C59)</f>
        <v>-1</v>
      </c>
      <c r="K59" s="1590"/>
      <c r="L59" s="1594" t="s">
        <v>298</v>
      </c>
      <c r="M59" s="639" t="e">
        <f ca="1">'Bilan territorial'!F19</f>
        <v>#DIV/0!</v>
      </c>
      <c r="N59" s="639" t="e">
        <f ca="1">'Bilan territorial'!DF19</f>
        <v>#REF!</v>
      </c>
      <c r="O59" s="626" t="e">
        <f ca="1">'Bilan territorial'!M19</f>
        <v>#REF!</v>
      </c>
      <c r="P59" s="627" t="e">
        <f ca="1">'Bilan territorial'!AJ19</f>
        <v>#REF!</v>
      </c>
      <c r="Q59" s="1593" t="e">
        <f t="shared" ca="1" si="10"/>
        <v>#DIV/0!</v>
      </c>
      <c r="R59" s="628" t="e">
        <f t="shared" ca="1" si="11"/>
        <v>#DIV/0!</v>
      </c>
      <c r="S59" s="80" t="e">
        <f t="shared" ca="1" si="13"/>
        <v>#REF!</v>
      </c>
      <c r="T59" s="1728"/>
      <c r="U59" s="1728"/>
      <c r="W59" s="29"/>
      <c r="X59" s="29"/>
      <c r="Y59" s="29"/>
      <c r="Z59" s="29"/>
      <c r="AA59" s="29"/>
      <c r="AB59" s="29"/>
      <c r="AC59" s="29"/>
      <c r="AD59" s="29"/>
      <c r="AE59" s="29"/>
      <c r="AF59" s="29"/>
      <c r="AG59" s="29"/>
      <c r="AH59" s="29"/>
      <c r="AI59" s="29"/>
      <c r="AJ59" s="29"/>
      <c r="AK59" s="29"/>
      <c r="AL59" s="29"/>
      <c r="AM59" s="29"/>
      <c r="AN59" s="29"/>
      <c r="AO59" s="29"/>
    </row>
    <row r="60" spans="1:41" ht="31.8" thickBot="1">
      <c r="A60" s="2020"/>
      <c r="B60" s="1609" t="s">
        <v>106</v>
      </c>
      <c r="C60" s="2016"/>
      <c r="D60" s="2017"/>
      <c r="E60" s="2017"/>
      <c r="F60" s="1610">
        <f>'Données territoriales'!K8*-Objectifs!C60</f>
        <v>0</v>
      </c>
      <c r="G60" s="2011"/>
      <c r="H60" s="1608" t="s">
        <v>296</v>
      </c>
      <c r="I60" s="2006" t="str">
        <f t="shared" si="14"/>
        <v/>
      </c>
      <c r="J60" s="2007">
        <f t="shared" si="15"/>
        <v>-1</v>
      </c>
      <c r="K60" s="1590"/>
      <c r="L60" s="1592" t="s">
        <v>326</v>
      </c>
      <c r="M60" s="639">
        <f ca="1">'Bilan territorial'!D59</f>
        <v>0</v>
      </c>
      <c r="N60" s="639" t="e">
        <f ca="1">IF(N10="",M60+(O60-M60)/2,'Bilan territorial'!DD59)</f>
        <v>#REF!</v>
      </c>
      <c r="O60" s="626" t="e">
        <f ca="1">'Bilan territorial'!K59</f>
        <v>#REF!</v>
      </c>
      <c r="P60" s="627" t="e">
        <f ca="1">'Bilan territorial'!AH59+IF('Bilan territorial'!AN20=0,0,IF('Bilan territorial'!AF83&gt;'Bilan territorial'!AN39,'Bilan territorial'!AN39,'Bilan territorial'!AF83))+SUM('Bilan territorial'!BQ13:BR15)</f>
        <v>#REF!</v>
      </c>
      <c r="Q60" s="1611" t="str">
        <f ca="1">"X "&amp;ROUND(IF(M60=0,0,O60/M60),1)</f>
        <v>X 0</v>
      </c>
      <c r="R60" s="629" t="str">
        <f ca="1">"X "&amp;ROUND(IF(M60=0,,P60/M60),1)</f>
        <v>X 0</v>
      </c>
      <c r="S60" s="1590" t="e">
        <f ca="1">IF(N60=0,Q60,"X "&amp;ROUND(IF(M60=0,,N60/M60),1))</f>
        <v>#REF!</v>
      </c>
      <c r="T60" s="1728"/>
      <c r="U60" s="1728"/>
      <c r="W60" s="29"/>
      <c r="X60" s="29"/>
      <c r="Y60" s="29"/>
      <c r="Z60" s="29"/>
      <c r="AA60" s="29"/>
      <c r="AB60" s="29"/>
      <c r="AC60" s="29"/>
      <c r="AD60" s="29"/>
      <c r="AE60" s="29"/>
      <c r="AF60" s="29"/>
      <c r="AG60" s="29"/>
      <c r="AH60" s="29"/>
      <c r="AI60" s="29"/>
      <c r="AJ60" s="29"/>
      <c r="AK60" s="29"/>
      <c r="AL60" s="29"/>
      <c r="AM60" s="29"/>
      <c r="AN60" s="29"/>
      <c r="AO60" s="29"/>
    </row>
    <row r="61" spans="1:41" ht="15.6">
      <c r="A61" s="1612"/>
      <c r="B61" s="1613"/>
      <c r="C61" s="1614"/>
      <c r="D61" s="1614"/>
      <c r="E61" s="1614"/>
      <c r="F61" s="1615">
        <f>SUM(F59:F60)</f>
        <v>0</v>
      </c>
      <c r="G61" s="1239"/>
      <c r="H61"/>
      <c r="I61" s="1605"/>
      <c r="J61" s="1616"/>
      <c r="K61" s="1590"/>
      <c r="L61" s="1592"/>
      <c r="M61" s="1497"/>
      <c r="N61" s="1497"/>
      <c r="O61" s="1498"/>
      <c r="P61" s="1499"/>
      <c r="Q61" s="1624"/>
      <c r="R61" s="1500"/>
      <c r="S61" s="1590"/>
      <c r="T61" s="1728"/>
      <c r="U61" s="1728"/>
      <c r="V61" s="1674"/>
      <c r="W61" s="600"/>
      <c r="X61" s="600"/>
      <c r="Y61" s="600"/>
      <c r="Z61" s="600"/>
      <c r="AA61" s="600"/>
      <c r="AB61" s="600"/>
      <c r="AC61" s="600"/>
      <c r="AD61" s="600"/>
      <c r="AE61" s="600"/>
      <c r="AF61" s="600"/>
      <c r="AG61" s="600"/>
      <c r="AH61" s="600"/>
      <c r="AI61" s="600"/>
      <c r="AJ61" s="600"/>
      <c r="AK61" s="600"/>
      <c r="AL61" s="600"/>
      <c r="AM61" s="600"/>
      <c r="AN61" s="600"/>
      <c r="AO61" s="600"/>
    </row>
    <row r="62" spans="1:41" ht="15.6">
      <c r="A62" s="1612"/>
      <c r="B62" s="1613"/>
      <c r="C62" s="1614"/>
      <c r="D62" s="1614"/>
      <c r="E62" s="1614"/>
      <c r="F62" s="1617"/>
      <c r="G62" s="1239"/>
      <c r="H62"/>
      <c r="I62" s="1605"/>
      <c r="J62" s="1616"/>
      <c r="K62" s="1590"/>
      <c r="L62" s="1592"/>
      <c r="M62" s="1497"/>
      <c r="N62" s="1497"/>
      <c r="O62" s="1498"/>
      <c r="P62" s="1499"/>
      <c r="Q62" s="1624"/>
      <c r="R62" s="1500"/>
      <c r="S62" s="1590"/>
      <c r="T62" s="1728"/>
      <c r="U62" s="1728"/>
      <c r="V62" s="1674"/>
      <c r="W62" s="600"/>
      <c r="X62" s="600"/>
      <c r="Y62" s="600"/>
      <c r="Z62" s="600"/>
      <c r="AA62" s="600"/>
      <c r="AB62" s="600"/>
      <c r="AC62" s="600"/>
      <c r="AD62" s="600"/>
      <c r="AE62" s="600"/>
      <c r="AF62" s="600"/>
      <c r="AG62" s="600"/>
      <c r="AH62" s="600"/>
      <c r="AI62" s="600"/>
      <c r="AJ62" s="600"/>
      <c r="AK62" s="600"/>
      <c r="AL62" s="600"/>
      <c r="AM62" s="600"/>
      <c r="AN62" s="600"/>
      <c r="AO62" s="600"/>
    </row>
    <row r="63" spans="1:41" ht="16.2" thickBot="1">
      <c r="A63" s="1612"/>
      <c r="B63" s="1613"/>
      <c r="C63" s="1614"/>
      <c r="D63" s="1614"/>
      <c r="E63" s="1614"/>
      <c r="F63" s="1617"/>
      <c r="G63" s="1239"/>
      <c r="H63"/>
      <c r="I63" s="1605"/>
      <c r="J63" s="1616"/>
      <c r="K63" s="1590"/>
      <c r="L63" s="1592"/>
      <c r="M63" s="1497"/>
      <c r="N63" s="1497"/>
      <c r="O63" s="1498"/>
      <c r="P63" s="1499"/>
      <c r="Q63" s="1624"/>
      <c r="R63" s="1500"/>
      <c r="S63" s="1590"/>
      <c r="T63" s="1728"/>
      <c r="U63" s="1728"/>
      <c r="V63" s="1674"/>
      <c r="W63" s="600"/>
      <c r="X63" s="600"/>
      <c r="Y63" s="600"/>
      <c r="Z63" s="600"/>
      <c r="AA63" s="600"/>
      <c r="AB63" s="600"/>
      <c r="AC63" s="600"/>
      <c r="AD63" s="600"/>
      <c r="AE63" s="600"/>
      <c r="AF63" s="600"/>
      <c r="AG63" s="600"/>
      <c r="AH63" s="600"/>
      <c r="AI63" s="600"/>
      <c r="AJ63" s="600"/>
      <c r="AK63" s="600"/>
      <c r="AL63" s="600"/>
      <c r="AM63" s="600"/>
      <c r="AN63" s="600"/>
      <c r="AO63" s="600"/>
    </row>
    <row r="64" spans="1:41" ht="56.4" customHeight="1" thickBot="1">
      <c r="A64" s="2018" t="s">
        <v>327</v>
      </c>
      <c r="B64" s="1534" t="s">
        <v>103</v>
      </c>
      <c r="C64" s="2012" t="s">
        <v>325</v>
      </c>
      <c r="D64" s="2008"/>
      <c r="E64" s="2048"/>
      <c r="F64" s="1617"/>
      <c r="G64" s="1239"/>
      <c r="H64"/>
      <c r="I64" s="1605"/>
      <c r="J64" s="1616"/>
      <c r="K64" s="1590"/>
      <c r="L64" s="1592"/>
      <c r="M64" s="1497"/>
      <c r="N64" s="1497"/>
      <c r="O64" s="1498"/>
      <c r="P64" s="1499"/>
      <c r="Q64" s="1624"/>
      <c r="R64" s="1500"/>
      <c r="S64" s="1590"/>
      <c r="T64" s="1728"/>
      <c r="U64" s="1728"/>
      <c r="V64" s="1674"/>
      <c r="W64" s="600"/>
      <c r="X64" s="600"/>
      <c r="Y64" s="600"/>
      <c r="Z64" s="600"/>
      <c r="AA64" s="600"/>
      <c r="AB64" s="600"/>
      <c r="AC64" s="600"/>
      <c r="AD64" s="600"/>
      <c r="AE64" s="600"/>
      <c r="AF64" s="600"/>
      <c r="AG64" s="600"/>
      <c r="AH64" s="600"/>
      <c r="AI64" s="600"/>
      <c r="AJ64" s="600"/>
      <c r="AK64" s="600"/>
      <c r="AL64" s="600"/>
      <c r="AM64" s="600"/>
      <c r="AN64" s="600"/>
      <c r="AO64" s="600"/>
    </row>
    <row r="65" spans="1:41" ht="15.6">
      <c r="A65" s="2019"/>
      <c r="B65" s="844"/>
      <c r="C65" s="2045"/>
      <c r="D65" s="2046"/>
      <c r="E65" s="2047"/>
      <c r="F65" s="1618"/>
      <c r="G65" s="1619"/>
      <c r="H65"/>
      <c r="I65" s="1598"/>
      <c r="J65" s="1620"/>
      <c r="K65" s="1590"/>
      <c r="L65" s="1625" t="s">
        <v>107</v>
      </c>
      <c r="M65" s="1626">
        <f ca="1">SUM(M49:M50,M55,M56,M57)</f>
        <v>0</v>
      </c>
      <c r="N65" s="1626"/>
      <c r="O65" s="1626" t="e">
        <f ca="1">SUM(O49:O50,O55,O56,O57)</f>
        <v>#REF!</v>
      </c>
      <c r="P65" s="1626" t="e">
        <f ca="1">SUM(P49:P50,P55,P56,P57)</f>
        <v>#REF!</v>
      </c>
      <c r="Q65" s="1593">
        <f t="shared" ca="1" si="10"/>
        <v>0</v>
      </c>
      <c r="R65" s="628">
        <f t="shared" ca="1" si="11"/>
        <v>0</v>
      </c>
      <c r="S65" s="1590"/>
      <c r="T65" s="1728"/>
      <c r="U65" s="1728"/>
      <c r="W65" s="29"/>
      <c r="X65" s="29"/>
      <c r="Y65" s="29"/>
      <c r="Z65" s="29"/>
      <c r="AA65" s="29"/>
      <c r="AB65" s="29"/>
      <c r="AC65" s="29"/>
      <c r="AD65" s="29"/>
      <c r="AE65" s="29"/>
      <c r="AF65" s="29"/>
      <c r="AG65" s="29"/>
      <c r="AH65" s="29"/>
      <c r="AI65" s="29"/>
      <c r="AJ65" s="29"/>
      <c r="AK65" s="29"/>
      <c r="AL65" s="29"/>
      <c r="AM65" s="29"/>
      <c r="AN65" s="29"/>
      <c r="AO65" s="29"/>
    </row>
    <row r="66" spans="1:41" ht="15.6">
      <c r="A66" s="2019"/>
      <c r="B66" s="845"/>
      <c r="C66" s="2031"/>
      <c r="D66" s="2032"/>
      <c r="E66" s="2033"/>
      <c r="F66" s="1618"/>
      <c r="G66" s="1619"/>
      <c r="H66"/>
      <c r="I66" s="1598"/>
      <c r="J66" s="1531"/>
      <c r="K66" s="1531"/>
      <c r="Q66" s="1738"/>
      <c r="R66" s="1738"/>
      <c r="S66" s="79"/>
      <c r="T66" s="1728"/>
      <c r="U66" s="1728"/>
      <c r="W66" s="29"/>
      <c r="X66" s="29"/>
      <c r="Y66" s="29"/>
      <c r="Z66" s="29"/>
      <c r="AA66" s="29"/>
      <c r="AB66" s="29"/>
      <c r="AC66" s="29"/>
      <c r="AD66" s="29"/>
      <c r="AE66" s="29"/>
      <c r="AF66" s="29"/>
      <c r="AG66" s="29"/>
      <c r="AH66" s="29"/>
      <c r="AI66" s="29"/>
      <c r="AJ66" s="29"/>
      <c r="AK66" s="29"/>
      <c r="AL66" s="29"/>
      <c r="AM66" s="29"/>
      <c r="AN66" s="29"/>
      <c r="AO66" s="29"/>
    </row>
    <row r="67" spans="1:41" ht="38.4" customHeight="1">
      <c r="A67" s="2019"/>
      <c r="B67" s="846"/>
      <c r="C67" s="2057"/>
      <c r="D67" s="2058"/>
      <c r="E67" s="2059"/>
      <c r="F67" s="1618"/>
      <c r="G67" s="1619"/>
      <c r="H67"/>
      <c r="I67" s="1598"/>
      <c r="J67" s="1531"/>
      <c r="K67" s="1531"/>
      <c r="Q67" s="1738"/>
      <c r="R67" s="1738"/>
      <c r="S67" s="79"/>
      <c r="T67" s="1728"/>
      <c r="U67" s="1728"/>
      <c r="W67" s="29"/>
      <c r="X67" s="29"/>
      <c r="Y67" s="29"/>
      <c r="Z67" s="29"/>
      <c r="AA67" s="29"/>
      <c r="AB67" s="29"/>
      <c r="AC67" s="29"/>
      <c r="AD67" s="29"/>
      <c r="AE67" s="29"/>
      <c r="AF67" s="29"/>
      <c r="AG67" s="29"/>
      <c r="AH67" s="29"/>
      <c r="AI67" s="29"/>
      <c r="AJ67" s="29"/>
      <c r="AK67" s="29"/>
      <c r="AL67" s="29"/>
      <c r="AM67" s="29"/>
      <c r="AN67" s="29"/>
      <c r="AO67" s="29"/>
    </row>
    <row r="68" spans="1:41" ht="15.6">
      <c r="A68" s="2019"/>
      <c r="B68" s="846"/>
      <c r="C68" s="2057"/>
      <c r="D68" s="2058"/>
      <c r="E68" s="2059"/>
      <c r="F68" s="1618"/>
      <c r="G68" s="1619"/>
      <c r="H68"/>
      <c r="I68" s="1598"/>
      <c r="J68" s="1531"/>
      <c r="K68" s="1531"/>
      <c r="Q68" s="1738"/>
      <c r="R68" s="1738"/>
      <c r="S68" s="79"/>
      <c r="T68" s="1728"/>
      <c r="U68" s="1728"/>
      <c r="W68" s="29"/>
      <c r="X68" s="29"/>
      <c r="Y68" s="29"/>
      <c r="Z68" s="29"/>
      <c r="AA68" s="29"/>
      <c r="AB68" s="29"/>
      <c r="AC68" s="29"/>
      <c r="AD68" s="29"/>
      <c r="AE68" s="29"/>
      <c r="AF68" s="29"/>
      <c r="AG68" s="29"/>
      <c r="AH68" s="29"/>
      <c r="AI68" s="29"/>
      <c r="AJ68" s="29"/>
      <c r="AK68" s="29"/>
      <c r="AL68" s="29"/>
      <c r="AM68" s="29"/>
      <c r="AN68" s="29"/>
      <c r="AO68" s="29"/>
    </row>
    <row r="69" spans="1:41" ht="15.6">
      <c r="A69" s="2019"/>
      <c r="B69" s="846"/>
      <c r="C69" s="2057"/>
      <c r="D69" s="2058"/>
      <c r="E69" s="2059"/>
      <c r="F69" s="1618"/>
      <c r="G69" s="1619"/>
      <c r="H69"/>
      <c r="I69" s="1598"/>
      <c r="J69" s="1531"/>
      <c r="K69" s="1531"/>
      <c r="Q69" s="1738"/>
      <c r="R69" s="1738"/>
      <c r="S69" s="79"/>
      <c r="T69" s="1728"/>
      <c r="U69" s="1728"/>
      <c r="W69" s="29"/>
      <c r="X69" s="29"/>
      <c r="Y69" s="29"/>
      <c r="Z69" s="29"/>
      <c r="AA69" s="29"/>
      <c r="AB69" s="29"/>
      <c r="AC69" s="29"/>
      <c r="AD69" s="29"/>
      <c r="AE69" s="29"/>
      <c r="AF69" s="29"/>
      <c r="AG69" s="29"/>
      <c r="AH69" s="29"/>
      <c r="AI69" s="29"/>
      <c r="AJ69" s="29"/>
      <c r="AK69" s="29"/>
      <c r="AL69" s="29"/>
      <c r="AM69" s="29"/>
      <c r="AN69" s="29"/>
      <c r="AO69" s="29"/>
    </row>
    <row r="70" spans="1:41" ht="15.6">
      <c r="A70" s="2019"/>
      <c r="B70" s="846"/>
      <c r="C70" s="2057"/>
      <c r="D70" s="2058"/>
      <c r="E70" s="2059"/>
      <c r="F70" s="1618"/>
      <c r="G70" s="1619"/>
      <c r="H70"/>
      <c r="I70" s="1598"/>
      <c r="J70" s="1531"/>
      <c r="K70" s="1531"/>
      <c r="Q70" s="1738"/>
      <c r="R70" s="1738"/>
      <c r="S70" s="79"/>
      <c r="T70" s="1728"/>
      <c r="U70" s="1728"/>
      <c r="W70" s="29"/>
      <c r="X70" s="29"/>
      <c r="Y70" s="29"/>
      <c r="Z70" s="29"/>
      <c r="AA70" s="29"/>
      <c r="AB70" s="29"/>
      <c r="AC70" s="29"/>
      <c r="AD70" s="29"/>
      <c r="AE70" s="29"/>
      <c r="AF70" s="29"/>
      <c r="AG70" s="29"/>
      <c r="AH70" s="29"/>
      <c r="AI70" s="29"/>
      <c r="AJ70" s="29"/>
      <c r="AK70" s="29"/>
      <c r="AL70" s="29"/>
      <c r="AM70" s="29"/>
      <c r="AN70" s="29"/>
      <c r="AO70" s="29"/>
    </row>
    <row r="71" spans="1:41" ht="15.6">
      <c r="A71" s="2019"/>
      <c r="B71" s="846"/>
      <c r="C71" s="2057"/>
      <c r="D71" s="2058"/>
      <c r="E71" s="2059"/>
      <c r="F71" s="1618"/>
      <c r="G71" s="1619"/>
      <c r="H71"/>
      <c r="I71" s="1598"/>
      <c r="J71" s="1531"/>
      <c r="K71" s="1531"/>
      <c r="Q71" s="1738"/>
      <c r="R71" s="1738"/>
      <c r="S71" s="79"/>
      <c r="T71" s="1728"/>
      <c r="U71" s="1728"/>
      <c r="W71" s="29"/>
      <c r="X71" s="29"/>
      <c r="Y71" s="29"/>
      <c r="Z71" s="29"/>
      <c r="AA71" s="29"/>
      <c r="AB71" s="29"/>
      <c r="AC71" s="29"/>
      <c r="AD71" s="29"/>
      <c r="AE71" s="29"/>
      <c r="AF71" s="29"/>
      <c r="AG71" s="29"/>
      <c r="AH71" s="29"/>
      <c r="AI71" s="29"/>
      <c r="AJ71" s="29"/>
      <c r="AK71" s="29"/>
      <c r="AL71" s="29"/>
      <c r="AM71" s="29"/>
      <c r="AN71" s="29"/>
      <c r="AO71" s="29"/>
    </row>
    <row r="72" spans="1:41" ht="15.6">
      <c r="A72" s="2019"/>
      <c r="B72" s="846"/>
      <c r="C72" s="2057"/>
      <c r="D72" s="2058"/>
      <c r="E72" s="2059"/>
      <c r="F72" s="1618"/>
      <c r="G72" s="1619"/>
      <c r="H72"/>
      <c r="I72" s="1598"/>
      <c r="J72" s="1531"/>
      <c r="K72" s="1531"/>
      <c r="Q72" s="1738"/>
      <c r="R72" s="1738"/>
      <c r="S72" s="79"/>
      <c r="T72" s="1728"/>
      <c r="U72" s="1728"/>
      <c r="W72" s="29"/>
      <c r="X72" s="29"/>
      <c r="Y72" s="29"/>
      <c r="Z72" s="29"/>
      <c r="AA72" s="29"/>
      <c r="AB72" s="29"/>
      <c r="AC72" s="29"/>
      <c r="AD72" s="29"/>
      <c r="AE72" s="29"/>
      <c r="AF72" s="29"/>
      <c r="AG72" s="29"/>
      <c r="AH72" s="29"/>
      <c r="AI72" s="29"/>
      <c r="AJ72" s="29"/>
      <c r="AK72" s="29"/>
      <c r="AL72" s="29"/>
      <c r="AM72" s="29"/>
      <c r="AN72" s="29"/>
      <c r="AO72" s="29"/>
    </row>
    <row r="73" spans="1:41" ht="15.6">
      <c r="A73" s="2019"/>
      <c r="B73" s="846"/>
      <c r="C73" s="2031"/>
      <c r="D73" s="2032"/>
      <c r="E73" s="2033"/>
      <c r="F73" s="1618"/>
      <c r="G73" s="1619"/>
      <c r="H73"/>
      <c r="I73" s="1598"/>
      <c r="J73" s="1531"/>
      <c r="K73" s="1531"/>
      <c r="Q73" s="1738"/>
      <c r="R73" s="1738"/>
      <c r="S73" s="79"/>
      <c r="T73" s="1728"/>
      <c r="U73" s="1728"/>
      <c r="W73" s="29"/>
      <c r="X73" s="29"/>
      <c r="Y73" s="29"/>
      <c r="Z73" s="29"/>
      <c r="AA73" s="29"/>
      <c r="AB73" s="29"/>
      <c r="AC73" s="29"/>
      <c r="AD73" s="29"/>
      <c r="AE73" s="29"/>
      <c r="AF73" s="29"/>
      <c r="AG73" s="29"/>
      <c r="AH73" s="29"/>
      <c r="AI73" s="29"/>
      <c r="AJ73" s="29"/>
      <c r="AK73" s="29"/>
      <c r="AL73" s="29"/>
      <c r="AM73" s="29"/>
      <c r="AN73" s="29"/>
      <c r="AO73" s="29"/>
    </row>
    <row r="74" spans="1:41" ht="16.2" thickBot="1">
      <c r="A74" s="2020"/>
      <c r="B74" s="847"/>
      <c r="C74" s="2023"/>
      <c r="D74" s="2024"/>
      <c r="E74" s="2025"/>
      <c r="F74" s="1618"/>
      <c r="G74" s="1619"/>
      <c r="H74"/>
      <c r="I74" s="1598"/>
      <c r="J74" s="1531"/>
      <c r="K74" s="1531"/>
      <c r="Q74" s="474"/>
      <c r="R74" s="474"/>
      <c r="S74" s="474"/>
      <c r="T74" s="1728"/>
      <c r="U74" s="1728"/>
      <c r="W74" s="29"/>
      <c r="X74" s="29"/>
      <c r="Y74" s="29"/>
      <c r="Z74" s="29"/>
      <c r="AA74" s="29"/>
      <c r="AB74" s="29"/>
      <c r="AC74" s="29"/>
      <c r="AD74" s="29"/>
      <c r="AE74" s="29"/>
      <c r="AF74" s="29"/>
      <c r="AG74" s="29"/>
      <c r="AH74" s="29"/>
      <c r="AI74" s="29"/>
      <c r="AJ74" s="29"/>
      <c r="AK74" s="29"/>
      <c r="AL74" s="29"/>
      <c r="AM74" s="29"/>
      <c r="AN74" s="29"/>
      <c r="AO74" s="29"/>
    </row>
    <row r="75" spans="1:41" ht="15.6">
      <c r="A75" s="1599"/>
      <c r="B75" s="1600"/>
      <c r="C75" s="1600"/>
      <c r="D75" s="1600"/>
      <c r="E75" s="1601"/>
      <c r="F75" s="1240"/>
      <c r="G75" s="1619"/>
      <c r="H75" s="1598"/>
      <c r="I75" s="1598"/>
      <c r="J75" s="1531"/>
      <c r="K75" s="1531"/>
      <c r="Q75" s="474"/>
      <c r="R75" s="474"/>
      <c r="S75" s="474"/>
      <c r="T75" s="1728"/>
      <c r="U75" s="1728"/>
      <c r="W75" s="29"/>
      <c r="X75" s="29"/>
      <c r="Y75" s="29"/>
      <c r="Z75" s="29"/>
      <c r="AA75" s="29"/>
      <c r="AB75" s="29"/>
      <c r="AC75" s="29"/>
      <c r="AD75" s="29"/>
      <c r="AE75" s="29"/>
      <c r="AF75" s="29"/>
      <c r="AG75" s="29"/>
      <c r="AH75" s="29"/>
      <c r="AI75" s="29"/>
      <c r="AJ75" s="29"/>
      <c r="AK75" s="29"/>
      <c r="AL75" s="29"/>
      <c r="AM75" s="29"/>
      <c r="AN75" s="29"/>
      <c r="AO75" s="29"/>
    </row>
    <row r="76" spans="1:41">
      <c r="A76" s="70"/>
      <c r="B76" s="70"/>
      <c r="C76" s="70"/>
      <c r="D76" s="70"/>
      <c r="E76" s="70"/>
      <c r="F76" s="1528"/>
      <c r="G76" s="1528"/>
      <c r="H76" s="70"/>
      <c r="I76" s="70"/>
      <c r="J76" s="1531"/>
      <c r="K76" s="1531"/>
      <c r="L76" s="1727"/>
      <c r="M76" s="1727"/>
      <c r="N76" s="1727"/>
      <c r="O76" s="1727"/>
      <c r="P76" s="1727"/>
      <c r="Q76" s="1728"/>
      <c r="R76" s="1728"/>
      <c r="S76" s="1728"/>
      <c r="T76" s="1728"/>
      <c r="U76" s="1728"/>
      <c r="W76" s="29"/>
      <c r="X76" s="29"/>
      <c r="Y76" s="29"/>
      <c r="Z76" s="29"/>
      <c r="AA76" s="29"/>
      <c r="AB76" s="29"/>
      <c r="AC76" s="29"/>
      <c r="AD76" s="29"/>
      <c r="AE76" s="29"/>
      <c r="AF76" s="29"/>
      <c r="AG76" s="29"/>
      <c r="AH76" s="29"/>
      <c r="AI76" s="29"/>
      <c r="AJ76" s="29"/>
      <c r="AK76" s="29"/>
      <c r="AL76" s="29"/>
      <c r="AM76" s="29"/>
      <c r="AN76" s="29"/>
      <c r="AO76" s="29"/>
    </row>
    <row r="77" spans="1:41">
      <c r="A77" s="70"/>
      <c r="B77" s="70"/>
      <c r="C77" s="70"/>
      <c r="D77" s="70"/>
      <c r="E77" s="70"/>
      <c r="F77" s="1528"/>
      <c r="G77" s="1528"/>
      <c r="H77" s="70"/>
      <c r="I77" s="70"/>
      <c r="J77" s="1531"/>
      <c r="K77" s="1531"/>
      <c r="L77" s="1727"/>
      <c r="M77" s="1727"/>
      <c r="N77" s="1727"/>
      <c r="O77" s="1727"/>
      <c r="P77" s="1727"/>
      <c r="Q77" s="1728"/>
      <c r="R77" s="1728"/>
      <c r="S77" s="1728"/>
      <c r="T77" s="1728"/>
      <c r="U77" s="1728"/>
      <c r="W77" s="29"/>
      <c r="X77" s="29"/>
      <c r="Y77" s="29"/>
      <c r="Z77" s="29"/>
      <c r="AA77" s="29"/>
      <c r="AB77" s="29"/>
      <c r="AC77" s="29"/>
      <c r="AD77" s="29"/>
      <c r="AE77" s="29"/>
      <c r="AF77" s="29"/>
      <c r="AG77" s="29"/>
      <c r="AH77" s="29"/>
      <c r="AI77" s="29"/>
      <c r="AJ77" s="29"/>
      <c r="AK77" s="29"/>
      <c r="AL77" s="29"/>
      <c r="AM77" s="29"/>
      <c r="AN77" s="29"/>
      <c r="AO77" s="29"/>
    </row>
    <row r="78" spans="1:41">
      <c r="A78" s="70"/>
      <c r="B78" s="70"/>
      <c r="C78" s="70"/>
      <c r="D78" s="70"/>
      <c r="E78" s="70"/>
      <c r="F78" s="1528"/>
      <c r="G78" s="1528"/>
      <c r="H78" s="70"/>
      <c r="I78" s="70"/>
      <c r="J78" s="1531"/>
      <c r="K78" s="1531"/>
      <c r="L78" s="1531"/>
      <c r="M78" s="1531"/>
      <c r="N78" s="1531"/>
      <c r="O78" s="1531"/>
      <c r="P78" s="1531"/>
      <c r="Q78" s="1532"/>
      <c r="R78" s="1532"/>
      <c r="S78" s="1532"/>
      <c r="T78" s="1532"/>
      <c r="U78" s="474"/>
      <c r="W78" s="29"/>
      <c r="X78" s="29"/>
      <c r="Y78" s="29"/>
      <c r="Z78" s="29"/>
      <c r="AA78" s="29"/>
      <c r="AB78" s="29"/>
      <c r="AC78" s="29"/>
      <c r="AD78" s="29"/>
      <c r="AE78" s="29"/>
      <c r="AF78" s="29"/>
      <c r="AG78" s="29"/>
      <c r="AH78" s="29"/>
      <c r="AI78" s="29"/>
      <c r="AJ78" s="29"/>
      <c r="AK78" s="29"/>
      <c r="AL78" s="29"/>
      <c r="AM78" s="29"/>
      <c r="AN78" s="29"/>
      <c r="AO78" s="29"/>
    </row>
    <row r="79" spans="1:41">
      <c r="A79" s="70"/>
      <c r="B79" s="70"/>
      <c r="C79" s="70"/>
      <c r="D79" s="70"/>
      <c r="E79" s="70"/>
      <c r="F79" s="1528"/>
      <c r="G79" s="1528"/>
      <c r="H79" s="70"/>
      <c r="I79" s="70"/>
      <c r="J79" s="1531"/>
      <c r="K79" s="1531"/>
      <c r="L79" s="1531"/>
      <c r="M79" s="1531"/>
      <c r="N79" s="1531"/>
      <c r="O79" s="1531"/>
      <c r="P79" s="1531"/>
      <c r="Q79" s="1532"/>
      <c r="R79" s="1532"/>
      <c r="S79" s="1532"/>
      <c r="T79" s="1532"/>
      <c r="U79" s="474"/>
      <c r="W79" s="29"/>
      <c r="X79" s="29"/>
      <c r="Y79" s="29"/>
      <c r="Z79" s="29"/>
      <c r="AA79" s="29"/>
      <c r="AB79" s="29"/>
      <c r="AC79" s="29"/>
      <c r="AD79" s="29"/>
      <c r="AE79" s="29"/>
      <c r="AF79" s="29"/>
      <c r="AG79" s="29"/>
      <c r="AH79" s="29"/>
      <c r="AI79" s="29"/>
      <c r="AJ79" s="29"/>
      <c r="AK79" s="29"/>
      <c r="AL79" s="29"/>
      <c r="AM79" s="29"/>
      <c r="AN79" s="29"/>
      <c r="AO79" s="29"/>
    </row>
    <row r="80" spans="1:41">
      <c r="A80" s="70"/>
      <c r="B80" s="70"/>
      <c r="C80" s="70"/>
      <c r="D80" s="70"/>
      <c r="E80" s="70"/>
      <c r="F80" s="1528"/>
      <c r="G80" s="1528"/>
      <c r="H80" s="70"/>
      <c r="I80" s="70"/>
      <c r="J80" s="1531"/>
      <c r="K80" s="1531"/>
      <c r="L80" s="1531"/>
      <c r="M80" s="1531"/>
      <c r="N80" s="1531"/>
      <c r="O80" s="1531"/>
      <c r="P80" s="1531"/>
      <c r="Q80" s="1532"/>
      <c r="R80" s="1532"/>
      <c r="S80" s="1532"/>
      <c r="T80" s="1532"/>
      <c r="U80" s="474"/>
      <c r="W80" s="29"/>
      <c r="X80" s="29"/>
      <c r="Y80" s="29"/>
      <c r="Z80" s="29"/>
      <c r="AA80" s="29"/>
      <c r="AB80" s="29"/>
      <c r="AC80" s="29"/>
      <c r="AD80" s="29"/>
      <c r="AE80" s="29"/>
      <c r="AF80" s="29"/>
      <c r="AG80" s="29"/>
      <c r="AH80" s="29"/>
      <c r="AI80" s="29"/>
      <c r="AJ80" s="29"/>
      <c r="AK80" s="29"/>
      <c r="AL80" s="29"/>
      <c r="AM80" s="29"/>
      <c r="AN80" s="29"/>
      <c r="AO80" s="29"/>
    </row>
    <row r="81" spans="1:41">
      <c r="A81" s="70"/>
      <c r="B81" s="70"/>
      <c r="C81" s="70"/>
      <c r="D81" s="70"/>
      <c r="E81" s="70"/>
      <c r="F81" s="1528"/>
      <c r="G81" s="1528"/>
      <c r="H81" s="70"/>
      <c r="I81" s="70"/>
      <c r="J81" s="1531"/>
      <c r="K81" s="1531"/>
      <c r="L81" s="1531"/>
      <c r="M81" s="1531"/>
      <c r="N81" s="1531"/>
      <c r="O81" s="1531"/>
      <c r="P81" s="1531"/>
      <c r="Q81" s="1532"/>
      <c r="R81" s="1532"/>
      <c r="S81" s="1532"/>
      <c r="T81" s="1532"/>
      <c r="U81" s="474"/>
      <c r="W81" s="29"/>
      <c r="X81" s="29"/>
      <c r="Y81" s="29"/>
      <c r="Z81" s="29"/>
      <c r="AA81" s="29"/>
      <c r="AB81" s="29"/>
      <c r="AC81" s="29"/>
      <c r="AD81" s="29"/>
      <c r="AE81" s="29"/>
      <c r="AF81" s="29"/>
      <c r="AG81" s="29"/>
      <c r="AH81" s="29"/>
      <c r="AI81" s="29"/>
      <c r="AJ81" s="29"/>
      <c r="AK81" s="29"/>
      <c r="AL81" s="29"/>
      <c r="AM81" s="29"/>
      <c r="AN81" s="29"/>
      <c r="AO81" s="29"/>
    </row>
    <row r="82" spans="1:41">
      <c r="A82" s="70"/>
      <c r="B82" s="70"/>
      <c r="C82" s="70"/>
      <c r="D82" s="70"/>
      <c r="E82" s="70"/>
      <c r="F82" s="1528"/>
      <c r="G82" s="1528"/>
      <c r="H82" s="70"/>
      <c r="I82" s="70"/>
      <c r="J82" s="1531"/>
      <c r="K82" s="1531"/>
      <c r="L82" s="1531"/>
      <c r="M82" s="1531"/>
      <c r="N82" s="1531"/>
      <c r="O82" s="1531"/>
      <c r="P82" s="1531"/>
      <c r="Q82" s="1532"/>
      <c r="R82" s="1532"/>
      <c r="S82" s="1532"/>
      <c r="T82" s="1532"/>
      <c r="U82" s="474"/>
      <c r="W82" s="29"/>
      <c r="X82" s="29"/>
      <c r="Y82" s="29"/>
      <c r="Z82" s="29"/>
      <c r="AA82" s="29"/>
      <c r="AB82" s="29"/>
      <c r="AC82" s="29"/>
      <c r="AD82" s="29"/>
      <c r="AE82" s="29"/>
      <c r="AF82" s="29"/>
      <c r="AG82" s="29"/>
      <c r="AH82" s="29"/>
      <c r="AI82" s="29"/>
      <c r="AJ82" s="29"/>
      <c r="AK82" s="29"/>
      <c r="AL82" s="29"/>
      <c r="AM82" s="29"/>
      <c r="AN82" s="29"/>
      <c r="AO82" s="29"/>
    </row>
    <row r="83" spans="1:41">
      <c r="A83" s="70"/>
      <c r="B83" s="70"/>
      <c r="C83" s="70"/>
      <c r="D83" s="70"/>
      <c r="E83" s="70"/>
      <c r="F83" s="1528"/>
      <c r="G83" s="1528"/>
      <c r="H83" s="70"/>
      <c r="I83" s="70"/>
      <c r="J83" s="1531"/>
      <c r="K83" s="1531"/>
      <c r="L83" s="1531"/>
      <c r="M83" s="1531"/>
      <c r="N83" s="1531"/>
      <c r="O83" s="1531"/>
      <c r="P83" s="1531"/>
      <c r="Q83" s="1532"/>
      <c r="R83" s="1532"/>
      <c r="S83" s="1532"/>
      <c r="T83" s="1532"/>
      <c r="U83" s="474"/>
      <c r="W83" s="29"/>
      <c r="X83" s="29"/>
      <c r="Y83" s="29"/>
      <c r="Z83" s="29"/>
      <c r="AA83" s="29"/>
      <c r="AB83" s="29"/>
      <c r="AC83" s="29"/>
      <c r="AD83" s="29"/>
      <c r="AE83" s="29"/>
      <c r="AF83" s="29"/>
      <c r="AG83" s="29"/>
      <c r="AH83" s="29"/>
      <c r="AI83" s="29"/>
      <c r="AJ83" s="29"/>
      <c r="AK83" s="29"/>
      <c r="AL83" s="29"/>
      <c r="AM83" s="29"/>
      <c r="AN83" s="29"/>
      <c r="AO83" s="29"/>
    </row>
    <row r="84" spans="1:41">
      <c r="A84" s="70"/>
      <c r="B84" s="70"/>
      <c r="C84" s="70"/>
      <c r="D84" s="70"/>
      <c r="E84" s="70"/>
      <c r="F84" s="1528"/>
      <c r="G84" s="1528"/>
      <c r="H84" s="70"/>
      <c r="I84" s="70"/>
      <c r="J84" s="1531"/>
      <c r="K84" s="1531"/>
      <c r="L84" s="1531"/>
      <c r="M84" s="1531"/>
      <c r="N84" s="1531"/>
      <c r="O84" s="1531"/>
      <c r="P84" s="1531"/>
      <c r="Q84" s="1532"/>
      <c r="R84" s="1532"/>
      <c r="S84" s="1532"/>
      <c r="T84" s="1532"/>
      <c r="U84" s="474"/>
      <c r="W84" s="29"/>
      <c r="X84" s="29"/>
      <c r="Y84" s="29"/>
      <c r="Z84" s="29"/>
      <c r="AA84" s="29"/>
      <c r="AB84" s="29"/>
      <c r="AC84" s="29"/>
      <c r="AD84" s="29"/>
      <c r="AE84" s="29"/>
      <c r="AF84" s="29"/>
      <c r="AG84" s="29"/>
      <c r="AH84" s="29"/>
      <c r="AI84" s="29"/>
      <c r="AJ84" s="29"/>
      <c r="AK84" s="29"/>
      <c r="AL84" s="29"/>
      <c r="AM84" s="29"/>
      <c r="AN84" s="29"/>
      <c r="AO84" s="29"/>
    </row>
    <row r="85" spans="1:41">
      <c r="A85" s="70"/>
      <c r="B85" s="70"/>
      <c r="C85" s="70"/>
      <c r="D85" s="70"/>
      <c r="E85" s="70"/>
      <c r="F85" s="1528"/>
      <c r="G85" s="1528"/>
      <c r="H85" s="70"/>
      <c r="I85" s="70"/>
      <c r="J85" s="1531"/>
      <c r="K85" s="1531"/>
      <c r="L85" s="1531"/>
      <c r="M85" s="1531"/>
      <c r="N85" s="1531"/>
      <c r="O85" s="1531"/>
      <c r="P85" s="1531"/>
      <c r="Q85" s="1532"/>
      <c r="R85" s="1532"/>
      <c r="S85" s="1532"/>
      <c r="T85" s="1532"/>
      <c r="U85" s="474"/>
      <c r="W85" s="29"/>
      <c r="X85" s="29"/>
      <c r="Y85" s="29"/>
      <c r="Z85" s="29"/>
      <c r="AA85" s="29"/>
      <c r="AB85" s="29"/>
      <c r="AC85" s="29"/>
      <c r="AD85" s="29"/>
      <c r="AE85" s="29"/>
      <c r="AF85" s="29"/>
      <c r="AG85" s="29"/>
      <c r="AH85" s="29"/>
      <c r="AI85" s="29"/>
      <c r="AJ85" s="29"/>
      <c r="AK85" s="29"/>
      <c r="AL85" s="29"/>
      <c r="AM85" s="29"/>
      <c r="AN85" s="29"/>
      <c r="AO85" s="29"/>
    </row>
    <row r="86" spans="1:41">
      <c r="J86" s="1531"/>
      <c r="K86" s="1531"/>
      <c r="L86" s="1531"/>
      <c r="M86" s="1531"/>
      <c r="N86" s="1531"/>
      <c r="O86" s="1531"/>
      <c r="P86" s="1531"/>
      <c r="Q86" s="1532"/>
      <c r="R86" s="1532"/>
      <c r="S86" s="1532"/>
      <c r="T86" s="1532"/>
      <c r="U86" s="474"/>
    </row>
    <row r="87" spans="1:41">
      <c r="J87" s="1531"/>
      <c r="K87" s="1531"/>
      <c r="L87" s="1531"/>
      <c r="M87" s="1531"/>
      <c r="N87" s="1531"/>
      <c r="O87" s="1531"/>
      <c r="P87" s="1531"/>
      <c r="Q87" s="1532"/>
      <c r="R87" s="1532"/>
      <c r="S87" s="1532"/>
      <c r="T87" s="1532"/>
      <c r="U87" s="474"/>
    </row>
    <row r="88" spans="1:41">
      <c r="J88" s="1531"/>
      <c r="K88" s="1531"/>
      <c r="L88" s="1531"/>
      <c r="M88" s="1531"/>
      <c r="N88" s="1531"/>
      <c r="O88" s="1531"/>
      <c r="P88" s="1531"/>
      <c r="Q88" s="1532"/>
      <c r="R88" s="1532"/>
      <c r="S88" s="1532"/>
      <c r="T88" s="1532"/>
      <c r="U88" s="474"/>
    </row>
    <row r="89" spans="1:41">
      <c r="J89" s="1531"/>
      <c r="K89" s="1531"/>
      <c r="L89" s="1531"/>
      <c r="M89" s="1531"/>
      <c r="N89" s="1531"/>
      <c r="O89" s="1531"/>
      <c r="P89" s="1531"/>
      <c r="Q89" s="1532"/>
      <c r="R89" s="1532"/>
      <c r="S89" s="1532"/>
      <c r="T89" s="1532"/>
      <c r="U89" s="474"/>
    </row>
    <row r="90" spans="1:41">
      <c r="J90" s="1531"/>
      <c r="K90" s="1531"/>
      <c r="L90" s="1531"/>
      <c r="M90" s="1531"/>
      <c r="N90" s="1531"/>
      <c r="O90" s="1531"/>
      <c r="P90" s="1531"/>
      <c r="Q90" s="1532"/>
      <c r="R90" s="1532"/>
      <c r="S90" s="1532"/>
      <c r="T90" s="1532"/>
      <c r="U90" s="474"/>
    </row>
    <row r="91" spans="1:41">
      <c r="J91" s="1531"/>
      <c r="K91" s="1531"/>
      <c r="L91" s="1531"/>
      <c r="M91" s="1531"/>
      <c r="N91" s="1531"/>
      <c r="O91" s="1531"/>
      <c r="P91" s="1531"/>
      <c r="Q91" s="1532"/>
      <c r="R91" s="1532"/>
      <c r="S91" s="1532"/>
      <c r="T91" s="1532"/>
      <c r="U91" s="474"/>
    </row>
    <row r="92" spans="1:41">
      <c r="J92" s="1531"/>
      <c r="K92" s="1531"/>
      <c r="L92" s="1531"/>
      <c r="M92" s="1531"/>
      <c r="N92" s="1531"/>
      <c r="O92" s="1531"/>
      <c r="P92" s="1531"/>
      <c r="Q92" s="1532"/>
      <c r="R92" s="1532"/>
      <c r="S92" s="1532"/>
      <c r="T92" s="1532"/>
      <c r="U92" s="474"/>
    </row>
    <row r="93" spans="1:41">
      <c r="J93" s="1531"/>
      <c r="K93" s="1531"/>
      <c r="L93" s="1531"/>
      <c r="M93" s="1531"/>
      <c r="N93" s="1531"/>
      <c r="O93" s="1531"/>
      <c r="P93" s="1531"/>
      <c r="Q93" s="1532"/>
      <c r="R93" s="1532"/>
      <c r="S93" s="1532"/>
      <c r="T93" s="1532"/>
      <c r="U93" s="474"/>
    </row>
    <row r="94" spans="1:41">
      <c r="J94" s="1531"/>
      <c r="K94" s="1531"/>
      <c r="L94" s="1531"/>
      <c r="M94" s="1531"/>
      <c r="N94" s="1531"/>
      <c r="O94" s="1531"/>
      <c r="P94" s="1531"/>
      <c r="Q94" s="1532"/>
      <c r="R94" s="1532"/>
      <c r="S94" s="1532"/>
      <c r="T94" s="1532"/>
      <c r="U94" s="474"/>
    </row>
    <row r="95" spans="1:41">
      <c r="J95" s="1531"/>
      <c r="K95" s="1531"/>
      <c r="L95" s="1531"/>
      <c r="M95" s="1531"/>
      <c r="N95" s="1531"/>
      <c r="O95" s="1531"/>
      <c r="P95" s="1531"/>
      <c r="Q95" s="1532"/>
      <c r="R95" s="1532"/>
      <c r="S95" s="1532"/>
      <c r="T95" s="1532"/>
      <c r="U95" s="474"/>
    </row>
    <row r="96" spans="1:41">
      <c r="J96" s="1531"/>
      <c r="K96" s="1531"/>
      <c r="L96" s="1531"/>
      <c r="M96" s="1531"/>
      <c r="N96" s="1531"/>
      <c r="O96" s="1531"/>
      <c r="P96" s="1531"/>
      <c r="Q96" s="1532"/>
      <c r="R96" s="1532"/>
      <c r="S96" s="1532"/>
      <c r="T96" s="1532"/>
      <c r="U96" s="474"/>
    </row>
    <row r="97" spans="10:21">
      <c r="J97" s="1531"/>
      <c r="K97" s="1531"/>
      <c r="L97" s="1531"/>
      <c r="M97" s="1531"/>
      <c r="N97" s="1531"/>
      <c r="O97" s="1531"/>
      <c r="P97" s="1531"/>
      <c r="Q97" s="1532"/>
      <c r="R97" s="1532"/>
      <c r="S97" s="1532"/>
      <c r="T97" s="1532"/>
      <c r="U97" s="474"/>
    </row>
    <row r="98" spans="10:21">
      <c r="J98" s="1531"/>
      <c r="K98" s="1531"/>
      <c r="L98" s="1531"/>
      <c r="M98" s="1531"/>
      <c r="N98" s="1531"/>
      <c r="O98" s="1531"/>
      <c r="P98" s="1531"/>
      <c r="Q98" s="1532"/>
      <c r="R98" s="1532"/>
      <c r="S98" s="1532"/>
      <c r="T98" s="1532"/>
      <c r="U98" s="474"/>
    </row>
    <row r="99" spans="10:21">
      <c r="J99" s="1531"/>
      <c r="K99" s="1531"/>
      <c r="L99" s="1531"/>
      <c r="M99" s="1531"/>
      <c r="N99" s="1531"/>
      <c r="O99" s="1531"/>
      <c r="P99" s="1531"/>
      <c r="Q99" s="1532"/>
      <c r="R99" s="1532"/>
      <c r="S99" s="1532"/>
      <c r="T99" s="1532"/>
      <c r="U99" s="474"/>
    </row>
    <row r="100" spans="10:21">
      <c r="J100" s="1531"/>
      <c r="K100" s="1531"/>
      <c r="L100" s="1531"/>
      <c r="M100" s="1531"/>
      <c r="N100" s="1531"/>
      <c r="O100" s="1531"/>
      <c r="P100" s="1531"/>
      <c r="Q100" s="1532"/>
      <c r="R100" s="1532"/>
      <c r="S100" s="1532"/>
      <c r="T100" s="1532"/>
      <c r="U100" s="474"/>
    </row>
    <row r="101" spans="10:21">
      <c r="J101" s="1531"/>
      <c r="K101" s="1531"/>
      <c r="L101" s="1531"/>
      <c r="M101" s="1531"/>
      <c r="N101" s="1531"/>
      <c r="O101" s="1531"/>
      <c r="P101" s="1531"/>
      <c r="Q101" s="1532"/>
      <c r="R101" s="1532"/>
      <c r="S101" s="1532"/>
      <c r="T101" s="1532"/>
      <c r="U101" s="474"/>
    </row>
    <row r="102" spans="10:21">
      <c r="J102" s="1531"/>
      <c r="K102" s="1531"/>
      <c r="L102" s="1531"/>
      <c r="M102" s="1531"/>
      <c r="N102" s="1531"/>
      <c r="O102" s="1531"/>
      <c r="P102" s="1531"/>
      <c r="Q102" s="1532"/>
      <c r="R102" s="1532"/>
      <c r="S102" s="1532"/>
      <c r="T102" s="1532"/>
      <c r="U102" s="474"/>
    </row>
    <row r="103" spans="10:21">
      <c r="J103" s="1531"/>
      <c r="K103" s="1531"/>
      <c r="L103" s="1531"/>
      <c r="M103" s="1531"/>
      <c r="N103" s="1531"/>
      <c r="O103" s="1531"/>
      <c r="P103" s="1531"/>
      <c r="Q103" s="1532"/>
      <c r="R103" s="1532"/>
      <c r="S103" s="1532"/>
      <c r="T103" s="1532"/>
      <c r="U103" s="474"/>
    </row>
    <row r="104" spans="10:21">
      <c r="J104" s="1531"/>
      <c r="K104" s="1531"/>
      <c r="L104" s="1531"/>
      <c r="M104" s="1531"/>
      <c r="N104" s="1531"/>
      <c r="O104" s="1531"/>
      <c r="P104" s="1531"/>
      <c r="Q104" s="1532"/>
      <c r="R104" s="1532"/>
      <c r="S104" s="1532"/>
      <c r="T104" s="1532"/>
      <c r="U104" s="474"/>
    </row>
    <row r="105" spans="10:21">
      <c r="J105" s="1531"/>
      <c r="K105" s="1531"/>
      <c r="L105" s="1531"/>
      <c r="M105" s="1531"/>
      <c r="N105" s="1531"/>
      <c r="O105" s="1531"/>
      <c r="P105" s="1531"/>
      <c r="Q105" s="1532"/>
      <c r="R105" s="1532"/>
      <c r="S105" s="1532"/>
      <c r="T105" s="1532"/>
      <c r="U105" s="474"/>
    </row>
    <row r="106" spans="10:21">
      <c r="J106" s="1531"/>
      <c r="K106" s="1531"/>
      <c r="L106" s="1531"/>
      <c r="M106" s="1531"/>
      <c r="N106" s="1531"/>
      <c r="O106" s="1531"/>
      <c r="P106" s="1531"/>
      <c r="Q106" s="1532"/>
      <c r="R106" s="1532"/>
      <c r="S106" s="1532"/>
      <c r="T106" s="1532"/>
      <c r="U106" s="474"/>
    </row>
    <row r="107" spans="10:21">
      <c r="J107" s="1531"/>
      <c r="K107" s="1531"/>
      <c r="L107" s="1531"/>
      <c r="M107" s="1531"/>
      <c r="N107" s="1531"/>
      <c r="O107" s="1531"/>
      <c r="P107" s="1531"/>
      <c r="Q107" s="1532"/>
      <c r="R107" s="1532"/>
      <c r="S107" s="1532"/>
      <c r="T107" s="1532"/>
      <c r="U107" s="474"/>
    </row>
    <row r="108" spans="10:21">
      <c r="J108" s="1531"/>
      <c r="K108" s="1531"/>
      <c r="L108" s="1531"/>
      <c r="M108" s="1531"/>
      <c r="N108" s="1531"/>
      <c r="O108" s="1531"/>
      <c r="P108" s="1531"/>
      <c r="Q108" s="1532"/>
      <c r="R108" s="1532"/>
      <c r="S108" s="1532"/>
      <c r="T108" s="1532"/>
      <c r="U108" s="474"/>
    </row>
    <row r="109" spans="10:21">
      <c r="J109" s="1531"/>
      <c r="K109" s="1531"/>
      <c r="L109" s="1531"/>
      <c r="M109" s="1531"/>
      <c r="N109" s="1531"/>
      <c r="O109" s="1531"/>
      <c r="P109" s="1531"/>
      <c r="Q109" s="1532"/>
      <c r="R109" s="1532"/>
      <c r="S109" s="1532"/>
      <c r="T109" s="1532"/>
      <c r="U109" s="474"/>
    </row>
    <row r="110" spans="10:21">
      <c r="J110" s="1531"/>
      <c r="K110" s="1531"/>
      <c r="L110" s="1531"/>
      <c r="M110" s="1531"/>
      <c r="N110" s="1531"/>
      <c r="O110" s="1531"/>
      <c r="P110" s="1531"/>
      <c r="Q110" s="1532"/>
      <c r="R110" s="1532"/>
      <c r="S110" s="1532"/>
      <c r="T110" s="1532"/>
      <c r="U110" s="474"/>
    </row>
    <row r="111" spans="10:21">
      <c r="J111" s="1531"/>
      <c r="K111" s="1531"/>
      <c r="L111" s="1531"/>
      <c r="M111" s="1531"/>
      <c r="N111" s="1531"/>
      <c r="O111" s="1531"/>
      <c r="P111" s="1531"/>
      <c r="Q111" s="1532"/>
      <c r="R111" s="1532"/>
      <c r="S111" s="1532"/>
      <c r="T111" s="1532"/>
      <c r="U111" s="474"/>
    </row>
    <row r="112" spans="10:21">
      <c r="J112" s="1531"/>
      <c r="K112" s="1531"/>
      <c r="L112" s="1531"/>
      <c r="M112" s="1531"/>
      <c r="N112" s="1531"/>
      <c r="O112" s="1531"/>
      <c r="P112" s="1531"/>
      <c r="Q112" s="1532"/>
      <c r="R112" s="1532"/>
      <c r="S112" s="1532"/>
      <c r="T112" s="1532"/>
      <c r="U112" s="474"/>
    </row>
    <row r="113" spans="10:21">
      <c r="J113" s="1531"/>
      <c r="K113" s="1531"/>
      <c r="L113" s="1531"/>
      <c r="M113" s="1531"/>
      <c r="N113" s="1531"/>
      <c r="O113" s="1531"/>
      <c r="P113" s="1531"/>
      <c r="Q113" s="1532"/>
      <c r="R113" s="1532"/>
      <c r="S113" s="1532"/>
      <c r="T113" s="1532"/>
      <c r="U113" s="474"/>
    </row>
    <row r="114" spans="10:21">
      <c r="J114" s="1531"/>
      <c r="K114" s="1531"/>
      <c r="L114" s="1531"/>
      <c r="M114" s="1531"/>
      <c r="N114" s="1531"/>
      <c r="O114" s="1531"/>
      <c r="P114" s="1531"/>
      <c r="Q114" s="1532"/>
      <c r="R114" s="1532"/>
      <c r="S114" s="1532"/>
      <c r="T114" s="1532"/>
      <c r="U114" s="474"/>
    </row>
    <row r="115" spans="10:21">
      <c r="J115" s="1531"/>
      <c r="K115" s="1531"/>
      <c r="L115" s="1531"/>
      <c r="M115" s="1531"/>
      <c r="N115" s="1531"/>
      <c r="O115" s="1531"/>
      <c r="P115" s="1531"/>
      <c r="Q115" s="1532"/>
      <c r="R115" s="1532"/>
      <c r="S115" s="1532"/>
      <c r="T115" s="1532"/>
      <c r="U115" s="474"/>
    </row>
    <row r="116" spans="10:21">
      <c r="J116" s="1531"/>
      <c r="K116" s="1531"/>
      <c r="L116" s="1531"/>
      <c r="M116" s="1531"/>
      <c r="N116" s="1531"/>
      <c r="O116" s="1531"/>
      <c r="P116" s="1531"/>
      <c r="Q116" s="1532"/>
      <c r="R116" s="1532"/>
      <c r="S116" s="1532"/>
      <c r="T116" s="1532"/>
      <c r="U116" s="474"/>
    </row>
    <row r="117" spans="10:21">
      <c r="J117" s="1531"/>
      <c r="K117" s="1531"/>
      <c r="L117" s="1531"/>
      <c r="M117" s="1531"/>
      <c r="N117" s="1531"/>
      <c r="O117" s="1531"/>
      <c r="P117" s="1531"/>
      <c r="Q117" s="1532"/>
      <c r="R117" s="1532"/>
      <c r="S117" s="1532"/>
      <c r="T117" s="1532"/>
      <c r="U117" s="474"/>
    </row>
    <row r="118" spans="10:21">
      <c r="J118" s="1531"/>
      <c r="K118" s="1531"/>
      <c r="L118" s="1531"/>
      <c r="M118" s="1531"/>
      <c r="N118" s="1531"/>
      <c r="O118" s="1531"/>
      <c r="P118" s="1531"/>
      <c r="Q118" s="1532"/>
      <c r="R118" s="1532"/>
      <c r="S118" s="1532"/>
      <c r="T118" s="1532"/>
      <c r="U118" s="474"/>
    </row>
    <row r="119" spans="10:21">
      <c r="J119" s="1531"/>
      <c r="K119" s="1531"/>
      <c r="L119" s="1531"/>
      <c r="M119" s="1531"/>
      <c r="N119" s="1531"/>
      <c r="O119" s="1531"/>
      <c r="P119" s="1531"/>
      <c r="Q119" s="1532"/>
      <c r="R119" s="1532"/>
      <c r="S119" s="1532"/>
      <c r="T119" s="1532"/>
      <c r="U119" s="474"/>
    </row>
    <row r="120" spans="10:21">
      <c r="J120" s="1531"/>
      <c r="K120" s="1531"/>
      <c r="L120" s="1531"/>
      <c r="M120" s="1531"/>
      <c r="N120" s="1531"/>
      <c r="O120" s="1531"/>
      <c r="P120" s="1531"/>
      <c r="Q120" s="1532"/>
      <c r="R120" s="1532"/>
      <c r="S120" s="1532"/>
      <c r="T120" s="1532"/>
      <c r="U120" s="474"/>
    </row>
    <row r="121" spans="10:21">
      <c r="J121" s="1531"/>
      <c r="K121" s="1531"/>
      <c r="L121" s="1531"/>
      <c r="M121" s="1531"/>
      <c r="N121" s="1531"/>
      <c r="O121" s="1531"/>
      <c r="P121" s="1531"/>
      <c r="Q121" s="1532"/>
      <c r="R121" s="1532"/>
      <c r="S121" s="1532"/>
      <c r="T121" s="1532"/>
      <c r="U121" s="474"/>
    </row>
    <row r="122" spans="10:21">
      <c r="J122" s="1531"/>
      <c r="K122" s="1531"/>
      <c r="L122" s="1531"/>
      <c r="M122" s="1531"/>
      <c r="N122" s="1531"/>
      <c r="O122" s="1531"/>
      <c r="P122" s="1531"/>
      <c r="Q122" s="1532"/>
      <c r="R122" s="1532"/>
      <c r="S122" s="1532"/>
      <c r="T122" s="1532"/>
      <c r="U122" s="474"/>
    </row>
    <row r="123" spans="10:21">
      <c r="J123" s="1531"/>
      <c r="K123" s="1531"/>
      <c r="L123" s="1531"/>
      <c r="M123" s="1531"/>
      <c r="N123" s="1531"/>
      <c r="O123" s="1531"/>
      <c r="P123" s="1531"/>
      <c r="Q123" s="1532"/>
      <c r="R123" s="1532"/>
      <c r="S123" s="1532"/>
      <c r="T123" s="1532"/>
      <c r="U123" s="474"/>
    </row>
    <row r="124" spans="10:21">
      <c r="J124" s="1531"/>
      <c r="K124" s="1531"/>
      <c r="L124" s="1531"/>
      <c r="M124" s="1531"/>
      <c r="N124" s="1531"/>
      <c r="O124" s="1531"/>
      <c r="P124" s="1531"/>
      <c r="Q124" s="1532"/>
      <c r="R124" s="1532"/>
      <c r="S124" s="1532"/>
      <c r="T124" s="1532"/>
      <c r="U124" s="474"/>
    </row>
    <row r="125" spans="10:21">
      <c r="J125" s="1531"/>
      <c r="K125" s="1531"/>
      <c r="L125" s="1531"/>
      <c r="M125" s="1531"/>
      <c r="N125" s="1531"/>
      <c r="O125" s="1531"/>
      <c r="P125" s="1531"/>
      <c r="Q125" s="1532"/>
      <c r="R125" s="1532"/>
      <c r="S125" s="1532"/>
      <c r="T125" s="1532"/>
      <c r="U125" s="474"/>
    </row>
    <row r="126" spans="10:21">
      <c r="J126" s="1531"/>
      <c r="K126" s="1531"/>
      <c r="L126" s="1531"/>
      <c r="M126" s="1531"/>
      <c r="N126" s="1531"/>
      <c r="O126" s="1531"/>
      <c r="P126" s="1531"/>
      <c r="Q126" s="1532"/>
      <c r="R126" s="1532"/>
      <c r="S126" s="1532"/>
      <c r="T126" s="1532"/>
      <c r="U126" s="474"/>
    </row>
    <row r="127" spans="10:21">
      <c r="J127" s="1531"/>
      <c r="K127" s="1531"/>
      <c r="L127" s="1531"/>
      <c r="M127" s="1531"/>
      <c r="N127" s="1531"/>
      <c r="O127" s="1531"/>
      <c r="P127" s="1531"/>
      <c r="Q127" s="1532"/>
      <c r="R127" s="1532"/>
      <c r="S127" s="1532"/>
      <c r="T127" s="1532"/>
      <c r="U127" s="474"/>
    </row>
    <row r="128" spans="10:21">
      <c r="J128" s="1531"/>
      <c r="K128" s="1531"/>
      <c r="L128" s="1531"/>
      <c r="M128" s="1531"/>
      <c r="N128" s="1531"/>
      <c r="O128" s="1531"/>
      <c r="P128" s="1531"/>
      <c r="Q128" s="1532"/>
      <c r="R128" s="1532"/>
      <c r="S128" s="1532"/>
      <c r="T128" s="1532"/>
      <c r="U128" s="1623"/>
    </row>
    <row r="129" spans="10:21">
      <c r="J129" s="1531"/>
      <c r="K129" s="1531"/>
      <c r="L129" s="1531"/>
      <c r="M129" s="1531"/>
      <c r="N129" s="1531"/>
      <c r="O129" s="1531"/>
      <c r="P129" s="1531"/>
      <c r="Q129" s="1532"/>
      <c r="R129" s="1532"/>
      <c r="S129" s="1532"/>
      <c r="T129" s="1532"/>
      <c r="U129" s="1623"/>
    </row>
    <row r="130" spans="10:21">
      <c r="J130" s="1531"/>
      <c r="K130" s="1531"/>
      <c r="L130" s="1531"/>
      <c r="M130" s="1531"/>
      <c r="N130" s="1531"/>
      <c r="O130" s="1531"/>
      <c r="P130" s="1531"/>
      <c r="Q130" s="1532"/>
      <c r="R130" s="1532"/>
      <c r="S130" s="1532"/>
      <c r="T130" s="1532"/>
      <c r="U130" s="1623"/>
    </row>
    <row r="131" spans="10:21">
      <c r="J131" s="1531"/>
      <c r="K131" s="1531"/>
      <c r="L131" s="1531"/>
      <c r="M131" s="1531"/>
      <c r="N131" s="1531"/>
      <c r="O131" s="1531"/>
      <c r="P131" s="1531"/>
      <c r="Q131" s="1532"/>
      <c r="R131" s="1532"/>
      <c r="S131" s="1532"/>
      <c r="T131" s="1532"/>
      <c r="U131" s="1623"/>
    </row>
    <row r="132" spans="10:21">
      <c r="J132" s="1531"/>
      <c r="K132" s="1531"/>
      <c r="L132" s="1531"/>
      <c r="M132" s="1531"/>
      <c r="N132" s="1531"/>
      <c r="O132" s="1531"/>
      <c r="P132" s="1531"/>
      <c r="Q132" s="1532"/>
      <c r="R132" s="1532"/>
      <c r="S132" s="1532"/>
      <c r="T132" s="1532"/>
      <c r="U132" s="1623"/>
    </row>
    <row r="133" spans="10:21">
      <c r="J133" s="1531"/>
      <c r="K133" s="1531"/>
      <c r="L133" s="1531"/>
      <c r="M133" s="1531"/>
      <c r="N133" s="1531"/>
      <c r="O133" s="1531"/>
      <c r="P133" s="1531"/>
      <c r="Q133" s="1532"/>
      <c r="R133" s="1532"/>
      <c r="S133" s="1532"/>
      <c r="T133" s="1532"/>
      <c r="U133" s="1623"/>
    </row>
    <row r="134" spans="10:21">
      <c r="J134" s="1531"/>
      <c r="K134" s="1531"/>
      <c r="L134" s="1531"/>
      <c r="M134" s="1531"/>
      <c r="N134" s="1531"/>
      <c r="O134" s="1531"/>
      <c r="P134" s="1531"/>
      <c r="Q134" s="1532"/>
      <c r="R134" s="1532"/>
      <c r="S134" s="1532"/>
      <c r="T134" s="1532"/>
      <c r="U134" s="1623"/>
    </row>
    <row r="135" spans="10:21">
      <c r="J135" s="1531"/>
      <c r="K135" s="1531"/>
      <c r="L135" s="1531"/>
      <c r="M135" s="1531"/>
      <c r="N135" s="1531"/>
      <c r="O135" s="1531"/>
      <c r="P135" s="1531"/>
      <c r="Q135" s="1532"/>
      <c r="R135" s="1532"/>
      <c r="S135" s="1532"/>
      <c r="T135" s="1532"/>
      <c r="U135" s="1623"/>
    </row>
    <row r="136" spans="10:21">
      <c r="J136" s="1531"/>
      <c r="K136" s="1531"/>
      <c r="L136" s="1531"/>
      <c r="M136" s="1531"/>
      <c r="N136" s="1531"/>
      <c r="O136" s="1531"/>
      <c r="P136" s="1531"/>
      <c r="Q136" s="1532"/>
      <c r="R136" s="1532"/>
      <c r="S136" s="1532"/>
      <c r="T136" s="1532"/>
      <c r="U136" s="1623"/>
    </row>
    <row r="137" spans="10:21">
      <c r="J137" s="1531"/>
      <c r="K137" s="1531"/>
      <c r="L137" s="1531"/>
      <c r="M137" s="1531"/>
      <c r="N137" s="1531"/>
      <c r="O137" s="1531"/>
      <c r="P137" s="1531"/>
      <c r="Q137" s="1532"/>
      <c r="R137" s="1532"/>
      <c r="S137" s="1532"/>
      <c r="T137" s="1532"/>
      <c r="U137" s="1623"/>
    </row>
    <row r="138" spans="10:21">
      <c r="J138" s="1531"/>
      <c r="K138" s="1531"/>
      <c r="L138" s="1531"/>
      <c r="M138" s="1531"/>
      <c r="N138" s="1531"/>
      <c r="O138" s="1531"/>
      <c r="P138" s="1531"/>
      <c r="Q138" s="1532"/>
      <c r="R138" s="1532"/>
      <c r="S138" s="1532"/>
      <c r="T138" s="1532"/>
      <c r="U138" s="1623"/>
    </row>
    <row r="139" spans="10:21">
      <c r="J139" s="1531"/>
      <c r="K139" s="1531"/>
      <c r="L139" s="1531"/>
      <c r="M139" s="1531"/>
      <c r="N139" s="1531"/>
      <c r="O139" s="1531"/>
      <c r="P139" s="1531"/>
      <c r="Q139" s="1532"/>
      <c r="R139" s="1532"/>
      <c r="S139" s="1532"/>
      <c r="T139" s="1532"/>
      <c r="U139" s="1623"/>
    </row>
    <row r="140" spans="10:21">
      <c r="J140" s="1531"/>
      <c r="K140" s="1531"/>
      <c r="L140" s="1531"/>
      <c r="M140" s="1531"/>
      <c r="N140" s="1531"/>
      <c r="O140" s="1531"/>
      <c r="P140" s="1531"/>
      <c r="Q140" s="1532"/>
      <c r="R140" s="1532"/>
      <c r="S140" s="1532"/>
      <c r="T140" s="1532"/>
      <c r="U140" s="1623"/>
    </row>
    <row r="141" spans="10:21">
      <c r="J141" s="1531"/>
      <c r="K141" s="1531"/>
      <c r="L141" s="1531"/>
      <c r="M141" s="1531"/>
      <c r="N141" s="1531"/>
      <c r="O141" s="1531"/>
      <c r="P141" s="1531"/>
      <c r="Q141" s="1532"/>
      <c r="R141" s="1532"/>
      <c r="S141" s="1532"/>
      <c r="T141" s="1532"/>
      <c r="U141" s="1623"/>
    </row>
    <row r="142" spans="10:21">
      <c r="J142" s="1531"/>
      <c r="K142" s="1531"/>
      <c r="L142" s="1531"/>
      <c r="M142" s="1531"/>
      <c r="N142" s="1531"/>
      <c r="O142" s="1531"/>
      <c r="P142" s="1531"/>
      <c r="Q142" s="1532"/>
      <c r="R142" s="1532"/>
      <c r="S142" s="1532"/>
      <c r="T142" s="1532"/>
      <c r="U142" s="1623"/>
    </row>
    <row r="143" spans="10:21">
      <c r="J143" s="1531"/>
      <c r="K143" s="1531"/>
      <c r="L143" s="1531"/>
      <c r="M143" s="1531"/>
      <c r="N143" s="1531"/>
      <c r="O143" s="1531"/>
      <c r="P143" s="1531"/>
      <c r="Q143" s="1532"/>
      <c r="R143" s="1532"/>
      <c r="S143" s="1532"/>
      <c r="T143" s="1532"/>
      <c r="U143" s="1623"/>
    </row>
    <row r="144" spans="10:21">
      <c r="J144" s="1531"/>
      <c r="K144" s="1531"/>
      <c r="L144" s="1531"/>
      <c r="M144" s="1531"/>
      <c r="N144" s="1531"/>
      <c r="O144" s="1531"/>
      <c r="P144" s="1531"/>
      <c r="Q144" s="1532"/>
      <c r="R144" s="1532"/>
      <c r="S144" s="1532"/>
      <c r="T144" s="1532"/>
      <c r="U144" s="1623"/>
    </row>
    <row r="145" spans="10:21">
      <c r="J145" s="1531"/>
      <c r="K145" s="1531"/>
      <c r="L145" s="1531"/>
      <c r="M145" s="1531"/>
      <c r="N145" s="1531"/>
      <c r="O145" s="1531"/>
      <c r="P145" s="1531"/>
      <c r="Q145" s="1532"/>
      <c r="R145" s="1532"/>
      <c r="S145" s="1532"/>
      <c r="T145" s="1532"/>
      <c r="U145" s="1623"/>
    </row>
    <row r="146" spans="10:21">
      <c r="Q146" s="474"/>
      <c r="R146" s="474"/>
      <c r="S146" s="474"/>
      <c r="T146" s="1623"/>
      <c r="U146" s="1623"/>
    </row>
    <row r="147" spans="10:21">
      <c r="Q147" s="474"/>
      <c r="R147" s="474"/>
      <c r="S147" s="474"/>
      <c r="T147" s="1623"/>
      <c r="U147" s="1623"/>
    </row>
    <row r="148" spans="10:21">
      <c r="Q148" s="474"/>
      <c r="R148" s="474"/>
      <c r="S148" s="474"/>
      <c r="T148" s="1623"/>
      <c r="U148" s="1623"/>
    </row>
  </sheetData>
  <sheetProtection algorithmName="SHA-512" hashValue="VYtJDGkN4J3M0QMQXAzfAvbaodaJjEpIK613Gae8SuxVgQT9XKhtk/5yZSDsbMEMFchrS8DQdvyDnSuVvVB4QA==" saltValue="3XkX0mlO+oYMiky6OqcsCQ==" spinCount="100000" sheet="1" formatColumns="0" formatRows="0"/>
  <mergeCells count="77">
    <mergeCell ref="G35:H37"/>
    <mergeCell ref="G34:H34"/>
    <mergeCell ref="C72:E72"/>
    <mergeCell ref="C67:E67"/>
    <mergeCell ref="C68:E68"/>
    <mergeCell ref="C69:E69"/>
    <mergeCell ref="C70:E70"/>
    <mergeCell ref="C71:E71"/>
    <mergeCell ref="G10:H10"/>
    <mergeCell ref="G11:G12"/>
    <mergeCell ref="A45:D45"/>
    <mergeCell ref="C32:D32"/>
    <mergeCell ref="C65:E65"/>
    <mergeCell ref="C41:D41"/>
    <mergeCell ref="C30:D30"/>
    <mergeCell ref="C64:E64"/>
    <mergeCell ref="H11:H12"/>
    <mergeCell ref="A10:A20"/>
    <mergeCell ref="B11:B12"/>
    <mergeCell ref="C10:D10"/>
    <mergeCell ref="B20:D20"/>
    <mergeCell ref="C44:D44"/>
    <mergeCell ref="C43:D43"/>
    <mergeCell ref="A23:A29"/>
    <mergeCell ref="C74:E74"/>
    <mergeCell ref="C59:E59"/>
    <mergeCell ref="A64:A74"/>
    <mergeCell ref="G30:H30"/>
    <mergeCell ref="G23:H23"/>
    <mergeCell ref="C66:E66"/>
    <mergeCell ref="C73:E73"/>
    <mergeCell ref="C23:D23"/>
    <mergeCell ref="C24:D24"/>
    <mergeCell ref="C25:D25"/>
    <mergeCell ref="C26:D26"/>
    <mergeCell ref="C27:D27"/>
    <mergeCell ref="C28:D28"/>
    <mergeCell ref="C29:D29"/>
    <mergeCell ref="C38:D38"/>
    <mergeCell ref="C39:D39"/>
    <mergeCell ref="I58:I60"/>
    <mergeCell ref="J58:J60"/>
    <mergeCell ref="A47:A55"/>
    <mergeCell ref="B55:D55"/>
    <mergeCell ref="G58:G60"/>
    <mergeCell ref="C57:E57"/>
    <mergeCell ref="C58:E58"/>
    <mergeCell ref="C60:E60"/>
    <mergeCell ref="A57:A60"/>
    <mergeCell ref="B51:B52"/>
    <mergeCell ref="J11:J12"/>
    <mergeCell ref="I11:I12"/>
    <mergeCell ref="C19:D19"/>
    <mergeCell ref="C18:D18"/>
    <mergeCell ref="C17:D17"/>
    <mergeCell ref="C15:D15"/>
    <mergeCell ref="C14:D14"/>
    <mergeCell ref="C13:D13"/>
    <mergeCell ref="C16:D16"/>
    <mergeCell ref="D11:D12"/>
    <mergeCell ref="D3:E3"/>
    <mergeCell ref="F7:F8"/>
    <mergeCell ref="D4:E5"/>
    <mergeCell ref="D7:E7"/>
    <mergeCell ref="D8:E8"/>
    <mergeCell ref="A30:A33"/>
    <mergeCell ref="C31:D31"/>
    <mergeCell ref="C33:D33"/>
    <mergeCell ref="A22:C22"/>
    <mergeCell ref="A38:A44"/>
    <mergeCell ref="C42:D42"/>
    <mergeCell ref="C40:D40"/>
    <mergeCell ref="C34:D34"/>
    <mergeCell ref="A34:A37"/>
    <mergeCell ref="C35:D35"/>
    <mergeCell ref="C36:D36"/>
    <mergeCell ref="C37:D37"/>
  </mergeCells>
  <conditionalFormatting sqref="C48:C51 C53:C54">
    <cfRule type="expression" dxfId="392" priority="104">
      <formula>C48=""</formula>
    </cfRule>
  </conditionalFormatting>
  <conditionalFormatting sqref="T48">
    <cfRule type="cellIs" dxfId="391" priority="103" operator="greaterThanOrEqual">
      <formula>0.2</formula>
    </cfRule>
  </conditionalFormatting>
  <conditionalFormatting sqref="G6">
    <cfRule type="cellIs" dxfId="390" priority="47" stopIfTrue="1" operator="lessThanOrEqual">
      <formula>$F$5</formula>
    </cfRule>
  </conditionalFormatting>
  <conditionalFormatting sqref="H11:H19">
    <cfRule type="expression" dxfId="389" priority="31">
      <formula>J11&gt;=0.988</formula>
    </cfRule>
    <cfRule type="expression" dxfId="388" priority="32">
      <formula>J11&gt;0.75</formula>
    </cfRule>
    <cfRule type="expression" dxfId="387" priority="33">
      <formula>J11&gt;0.25</formula>
    </cfRule>
    <cfRule type="expression" dxfId="386" priority="34">
      <formula>J11&gt;0</formula>
    </cfRule>
  </conditionalFormatting>
  <conditionalFormatting sqref="H11:H12">
    <cfRule type="expression" dxfId="385" priority="35">
      <formula>J11&gt;=0</formula>
    </cfRule>
  </conditionalFormatting>
  <conditionalFormatting sqref="G58">
    <cfRule type="expression" dxfId="384" priority="20">
      <formula>J58&gt;=0.988</formula>
    </cfRule>
    <cfRule type="expression" dxfId="383" priority="21">
      <formula>J58&gt;0.75</formula>
    </cfRule>
    <cfRule type="expression" dxfId="382" priority="22">
      <formula>J58&gt;0.25</formula>
    </cfRule>
    <cfRule type="expression" dxfId="381" priority="23">
      <formula>J58&gt;0</formula>
    </cfRule>
  </conditionalFormatting>
  <conditionalFormatting sqref="G30:H30">
    <cfRule type="expression" dxfId="380" priority="17">
      <formula>SUM($E$31:$E$33)&gt;$E$53</formula>
    </cfRule>
  </conditionalFormatting>
  <conditionalFormatting sqref="J5:J6">
    <cfRule type="cellIs" dxfId="379" priority="7" stopIfTrue="1" operator="lessThan">
      <formula>$I$5</formula>
    </cfRule>
  </conditionalFormatting>
  <conditionalFormatting sqref="G5:H5">
    <cfRule type="cellIs" dxfId="378" priority="5" operator="greaterThan">
      <formula>$F$5</formula>
    </cfRule>
    <cfRule type="cellIs" dxfId="377" priority="6" stopIfTrue="1" operator="lessThan">
      <formula>$F$5</formula>
    </cfRule>
  </conditionalFormatting>
  <conditionalFormatting sqref="J5">
    <cfRule type="cellIs" dxfId="376" priority="4" operator="greaterThan">
      <formula>$I$5</formula>
    </cfRule>
  </conditionalFormatting>
  <conditionalFormatting sqref="G48:G54">
    <cfRule type="expression" dxfId="375" priority="106">
      <formula>K48&gt;=0.988</formula>
    </cfRule>
    <cfRule type="expression" dxfId="374" priority="107">
      <formula>K48&gt;0.75</formula>
    </cfRule>
    <cfRule type="expression" dxfId="373" priority="108">
      <formula>K48&gt;0.25</formula>
    </cfRule>
    <cfRule type="expression" dxfId="372" priority="109">
      <formula>K48&gt;=0</formula>
    </cfRule>
  </conditionalFormatting>
  <conditionalFormatting sqref="G54">
    <cfRule type="expression" dxfId="371" priority="2" stopIfTrue="1">
      <formula>$K$54&lt;0</formula>
    </cfRule>
    <cfRule type="expression" priority="3" stopIfTrue="1">
      <formula>$D$54&lt;0</formula>
    </cfRule>
  </conditionalFormatting>
  <conditionalFormatting sqref="C52">
    <cfRule type="expression" dxfId="370" priority="1">
      <formula>C52=""</formula>
    </cfRule>
  </conditionalFormatting>
  <dataValidations xWindow="331" yWindow="720" count="9">
    <dataValidation type="list" allowBlank="1" showInputMessage="1" showErrorMessage="1" sqref="B58:B63" xr:uid="{00000000-0002-0000-0900-000002000000}">
      <formula1>Non_énerg</formula1>
    </dataValidation>
    <dataValidation type="list" showInputMessage="1" showErrorMessage="1" sqref="C3" xr:uid="{00000000-0002-0000-0900-000004000000}">
      <formula1>Type_objectif</formula1>
    </dataValidation>
    <dataValidation type="list" showInputMessage="1" showErrorMessage="1" sqref="C58:E63" xr:uid="{C09C7497-69DC-4F19-A8B1-DAEB78268D6A}">
      <formula1>Pourcent_neg</formula1>
    </dataValidation>
    <dataValidation type="list" allowBlank="1" showInputMessage="1" showErrorMessage="1" sqref="C39:C44 C24:D29 C31:C33 C35:C37" xr:uid="{965C5B7A-24E2-4435-A928-F73B2A408306}">
      <formula1>Pourcent</formula1>
    </dataValidation>
    <dataValidation type="decimal" allowBlank="1" showInputMessage="1" showErrorMessage="1" sqref="D48:D54" xr:uid="{DC90A181-A71C-44FC-A7F9-A8924269B37C}">
      <formula1>-100000</formula1>
      <formula2>100000</formula2>
    </dataValidation>
    <dataValidation type="list" allowBlank="1" showInputMessage="1" showErrorMessage="1" sqref="B65:B74" xr:uid="{4EC97E9D-555F-4E47-870D-7B57663F38B9}">
      <formula1>Secteurs_adaptation</formula1>
    </dataValidation>
    <dataValidation allowBlank="1" showInputMessage="1" showErrorMessage="1" prompt="Ce pourcentage correspond au total des économies d'énergie des actions listées dans la feuille &quot;Actions bâtiments communaux&quot; dont l'échéance est ultérieure ou égale à l'année de contrôle" sqref="C11" xr:uid="{B7D0E9FE-1DC0-4245-8265-9593689E673D}"/>
    <dataValidation allowBlank="1" showInputMessage="1" showErrorMessage="1" prompt="Ce pourcentage correspond à la somme des deux cellules de gauche" sqref="D11:D12" xr:uid="{06A5B6C6-FFAF-4D53-A2EC-D68D043083C2}"/>
    <dataValidation type="decimal" showInputMessage="1" showErrorMessage="1" sqref="C12 C13:D19" xr:uid="{2F4C21B1-DE91-4D17-9416-84B3788E21A9}">
      <formula1>-1</formula1>
      <formula2>5</formula2>
    </dataValidation>
  </dataValidations>
  <hyperlinks>
    <hyperlink ref="K11" location="'Actions bâtiments communaux'!A1" display="Détails" xr:uid="{00000000-0004-0000-0900-000000000000}"/>
    <hyperlink ref="K12" location="Scénarios!A3" display="Scénario" xr:uid="{00000000-0004-0000-0900-000001000000}"/>
    <hyperlink ref="K13" location="Scénarios!H28" display="Scénario" xr:uid="{00000000-0004-0000-0900-000002000000}"/>
    <hyperlink ref="K14" location="Scénarios!H54" display="Scénario" xr:uid="{00000000-0004-0000-0900-000003000000}"/>
    <hyperlink ref="K15:K19" location="Détails_objectif_3" display="Détails" xr:uid="{00000000-0004-0000-0900-000004000000}"/>
    <hyperlink ref="K15" location="Scénarios!H80" display="Scénario" xr:uid="{00000000-0004-0000-0900-000005000000}"/>
    <hyperlink ref="K16" location="Scénarios!H106" display="Scénario" xr:uid="{00000000-0004-0000-0900-000006000000}"/>
    <hyperlink ref="K17" location="Scénarios!J132" display="Scénario" xr:uid="{00000000-0004-0000-0900-000007000000}"/>
    <hyperlink ref="K18" location="Scénarios!H158" display="Scénario" xr:uid="{00000000-0004-0000-0900-000008000000}"/>
    <hyperlink ref="K19" location="Scénarios!J184" display="Scénario" xr:uid="{00000000-0004-0000-0900-000009000000}"/>
    <hyperlink ref="H58" location="Scénarios!H2011" display="Scénario" xr:uid="{03F4FA91-871E-4D95-ABEE-4B9BFD497D1F}"/>
    <hyperlink ref="H59" location="Scénarios!H236" display="Scénario" xr:uid="{0B94B6A4-BC31-41D0-BFE3-44D798FBFFB6}"/>
    <hyperlink ref="H60" location="Scénarios!H260" display="Scénario" xr:uid="{6EDB7CD4-CA36-4E7E-AF7B-EB10843F1EC6}"/>
    <hyperlink ref="G24" location="Scénarios!I285" display="Scénario" xr:uid="{B09DDF7D-F3B8-4B0D-AF58-EFE1421102C1}"/>
    <hyperlink ref="G25" location="Scénarios!I295" display="Scénario" xr:uid="{B709AC35-015C-44CA-8B2A-B6949598D436}"/>
    <hyperlink ref="G26:G28" location="Détails_objectif_3" display="Détails" xr:uid="{795FB026-BED5-4C74-976F-B7DA68BA5063}"/>
    <hyperlink ref="G26" location="Scénarios!K305" display="Scénario" xr:uid="{6F516D13-7743-452A-92D0-1FB9FAC4589D}"/>
    <hyperlink ref="G27" location="Scénarios!I315" display="Scénario" xr:uid="{D461A4B5-0805-4EF4-9B63-832A6620C81A}"/>
    <hyperlink ref="G28" location="Scénarios!L325" display="Scénario" xr:uid="{20078985-E855-49EE-927F-F17B7DF65FAC}"/>
    <hyperlink ref="G29" location="Scénarios!L335" display="Scénario" xr:uid="{DCA49E98-609E-4F2D-91B8-3074A3AF37EC}"/>
    <hyperlink ref="G31:G33" location="Scénarios!L335" display="Scénario" xr:uid="{92238629-1C5C-4F0F-820A-0D9889F8C5C3}"/>
    <hyperlink ref="G31" location="Scénarios!K345" display="Scénario" xr:uid="{8A90BCC5-5411-45F3-9118-9734123F2C3D}"/>
    <hyperlink ref="G32" location="Scénarios!K355" display="Scénario" xr:uid="{7466CBBF-2A78-4828-B851-EBD92809F29D}"/>
    <hyperlink ref="G33" location="Scénarios!K365" display="Scénario" xr:uid="{067752A3-B388-4A7E-8D79-E28EE0075721}"/>
    <hyperlink ref="G39:G44" location="Scénarios!L335" display="Scénario" xr:uid="{CDA99788-3296-4DAF-B605-02BA2962C386}"/>
    <hyperlink ref="G39" location="Scénarios!K375" display="Scénario" xr:uid="{5E3ECA47-A5AE-4754-BAA3-24FE6B1A8B61}"/>
    <hyperlink ref="G40" location="Scénarios!K385" display="Scénario" xr:uid="{7C041A95-7A24-4FAA-8197-58B406E9967E}"/>
    <hyperlink ref="G41" location="Scénarios!K395" display="Scénario" xr:uid="{2677255B-B920-4CC7-B08E-882BC178B8B4}"/>
    <hyperlink ref="G42" location="Scénarios!K405" display="Scénario" xr:uid="{D9D3D40E-00FC-4459-9537-41520DDB7260}"/>
    <hyperlink ref="G43" location="Scénarios!K415" display="Scénario" xr:uid="{5482576E-34FE-426B-A298-BD7FC307E261}"/>
    <hyperlink ref="G44" location="Scénarios!K425" display="Scénario" xr:uid="{1DEE197A-0850-4639-81E0-3CD142CE02D0}"/>
  </hyperlinks>
  <pageMargins left="0.7" right="0.7" top="0.75" bottom="0.75" header="0.3" footer="0.3"/>
  <pageSetup paperSize="9" scale="19" fitToHeight="0" orientation="landscape" r:id="rId1"/>
  <ignoredErrors>
    <ignoredError sqref="E20:F20"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5" id="{00000000-000E-0000-0800-000059000000}">
            <xm:f>'Bilan territorial'!$AM$59&lt;'Bilan territorial'!$AM$20</xm:f>
            <x14:dxf>
              <font>
                <color theme="9" tint="-0.499984740745262"/>
              </font>
            </x14:dxf>
          </x14:cfRule>
          <xm:sqref>G23</xm:sqref>
        </x14:conditionalFormatting>
        <x14:conditionalFormatting xmlns:xm="http://schemas.microsoft.com/office/excel/2006/main">
          <x14:cfRule type="expression" priority="18" id="{18E6EDF6-3FC7-42CD-9D2F-C0BBE35B4651}">
            <xm:f>'Bilan territorial'!$B$5="NON"</xm:f>
            <x14:dxf>
              <fill>
                <patternFill>
                  <bgColor theme="1"/>
                </patternFill>
              </fill>
            </x14:dxf>
          </x14:cfRule>
          <xm:sqref>E15:I15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euil44"/>
  <dimension ref="A1:E274"/>
  <sheetViews>
    <sheetView workbookViewId="0">
      <selection activeCell="E4" sqref="E4"/>
    </sheetView>
  </sheetViews>
  <sheetFormatPr baseColWidth="10" defaultColWidth="9.109375" defaultRowHeight="14.4"/>
  <cols>
    <col min="1" max="1" width="28.5546875" bestFit="1" customWidth="1"/>
    <col min="2" max="2" width="36.88671875" bestFit="1" customWidth="1"/>
    <col min="3" max="3" width="16.109375" bestFit="1" customWidth="1"/>
    <col min="4" max="4" width="15" bestFit="1" customWidth="1"/>
    <col min="5" max="5" width="58.109375" bestFit="1" customWidth="1"/>
  </cols>
  <sheetData>
    <row r="1" spans="1:5">
      <c r="B1" s="1241">
        <v>2006</v>
      </c>
      <c r="C1" s="1241" t="s">
        <v>328</v>
      </c>
    </row>
    <row r="2" spans="1:5">
      <c r="A2" s="1242" t="s">
        <v>329</v>
      </c>
      <c r="B2" s="1243">
        <f ca="1">SUMIFS(INDIRECT("TabINPUT["&amp;B1&amp;"]"),TabINPUT[SECTEUR1],"Population")</f>
        <v>0</v>
      </c>
      <c r="C2" s="1243" t="e">
        <f>VLOOKUP(Accueil!E27,'Calcul obj relatif'!A13:E274,5,0)</f>
        <v>#N/A</v>
      </c>
    </row>
    <row r="3" spans="1:5">
      <c r="A3" s="1242" t="s">
        <v>330</v>
      </c>
      <c r="B3" s="1243" t="e">
        <f ca="1">'Bilan territorial'!F39</f>
        <v>#DIV/0!</v>
      </c>
      <c r="C3" s="145" t="e">
        <f ca="1">C2*C4</f>
        <v>#N/A</v>
      </c>
      <c r="E3" s="146" t="e">
        <f ca="1">((B3-Objectifs!#REF!)/C2)/('Calcul obj relatif'!B3/B2)-1</f>
        <v>#DIV/0!</v>
      </c>
    </row>
    <row r="4" spans="1:5">
      <c r="A4" s="1242" t="s">
        <v>331</v>
      </c>
      <c r="B4" s="1244" t="e">
        <f ca="1">B3/B2</f>
        <v>#DIV/0!</v>
      </c>
      <c r="C4" s="147" t="e">
        <f ca="1">B4*0.45</f>
        <v>#DIV/0!</v>
      </c>
    </row>
    <row r="5" spans="1:5">
      <c r="B5" s="372" t="s">
        <v>332</v>
      </c>
      <c r="C5" s="145" t="e">
        <f ca="1">B3-C3</f>
        <v>#DIV/0!</v>
      </c>
    </row>
    <row r="6" spans="1:5">
      <c r="B6" s="372" t="s">
        <v>333</v>
      </c>
      <c r="C6" s="1245" t="e">
        <f ca="1">C5/B3</f>
        <v>#DIV/0!</v>
      </c>
      <c r="D6" s="148"/>
    </row>
    <row r="7" spans="1:5">
      <c r="B7" s="372" t="s">
        <v>334</v>
      </c>
      <c r="C7" s="1245" t="e">
        <f ca="1">(B4-C4)/B4</f>
        <v>#DIV/0!</v>
      </c>
    </row>
    <row r="8" spans="1:5">
      <c r="B8" s="149" t="s">
        <v>335</v>
      </c>
      <c r="C8" t="e">
        <f ca="1">IF(Objectifs!C3="Absolu",'Calcul obj relatif'!C7,'Calcul obj relatif'!C6)</f>
        <v>#DIV/0!</v>
      </c>
    </row>
    <row r="10" spans="1:5">
      <c r="A10" s="2060" t="s">
        <v>336</v>
      </c>
      <c r="B10" s="2060"/>
      <c r="C10" s="2060"/>
      <c r="D10" s="2060"/>
      <c r="E10" s="2060"/>
    </row>
    <row r="11" spans="1:5">
      <c r="A11" s="150" t="s">
        <v>337</v>
      </c>
      <c r="B11" s="151"/>
      <c r="C11" s="151"/>
      <c r="D11" s="151"/>
      <c r="E11" s="151"/>
    </row>
    <row r="12" spans="1:5">
      <c r="A12" s="152" t="s">
        <v>338</v>
      </c>
      <c r="B12" s="152" t="s">
        <v>339</v>
      </c>
      <c r="C12" s="152" t="s">
        <v>340</v>
      </c>
      <c r="D12" s="152" t="s">
        <v>341</v>
      </c>
      <c r="E12" s="153" t="s">
        <v>342</v>
      </c>
    </row>
    <row r="13" spans="1:5">
      <c r="A13" s="154" t="s">
        <v>343</v>
      </c>
      <c r="B13" s="155">
        <v>25005</v>
      </c>
      <c r="C13" s="155">
        <v>25</v>
      </c>
      <c r="D13" s="155" t="s">
        <v>344</v>
      </c>
      <c r="E13" s="156">
        <v>8218.6756053923673</v>
      </c>
    </row>
    <row r="14" spans="1:5">
      <c r="A14" s="154" t="s">
        <v>345</v>
      </c>
      <c r="B14" s="155">
        <v>25014</v>
      </c>
      <c r="C14" s="155">
        <v>25</v>
      </c>
      <c r="D14" s="155" t="s">
        <v>344</v>
      </c>
      <c r="E14" s="156">
        <v>40208.114357459759</v>
      </c>
    </row>
    <row r="15" spans="1:5">
      <c r="A15" s="154" t="s">
        <v>346</v>
      </c>
      <c r="B15" s="155">
        <v>25015</v>
      </c>
      <c r="C15" s="155">
        <v>25</v>
      </c>
      <c r="D15" s="155" t="s">
        <v>344</v>
      </c>
      <c r="E15" s="156">
        <v>11562.646686611024</v>
      </c>
    </row>
    <row r="16" spans="1:5">
      <c r="A16" s="154" t="s">
        <v>347</v>
      </c>
      <c r="B16" s="155">
        <v>25018</v>
      </c>
      <c r="C16" s="155">
        <v>25</v>
      </c>
      <c r="D16" s="155" t="s">
        <v>344</v>
      </c>
      <c r="E16" s="156">
        <v>11628.210550638363</v>
      </c>
    </row>
    <row r="17" spans="1:5">
      <c r="A17" s="154" t="s">
        <v>348</v>
      </c>
      <c r="B17" s="155">
        <v>25023</v>
      </c>
      <c r="C17" s="155">
        <v>25</v>
      </c>
      <c r="D17" s="155" t="s">
        <v>344</v>
      </c>
      <c r="E17" s="156">
        <v>11376.056905068595</v>
      </c>
    </row>
    <row r="18" spans="1:5">
      <c r="A18" s="154" t="s">
        <v>349</v>
      </c>
      <c r="B18" s="155">
        <v>25031</v>
      </c>
      <c r="C18" s="155">
        <v>25</v>
      </c>
      <c r="D18" s="155" t="s">
        <v>344</v>
      </c>
      <c r="E18" s="156">
        <v>15608.481937378101</v>
      </c>
    </row>
    <row r="19" spans="1:5">
      <c r="A19" s="154" t="s">
        <v>350</v>
      </c>
      <c r="B19" s="155">
        <v>25037</v>
      </c>
      <c r="C19" s="155">
        <v>25</v>
      </c>
      <c r="D19" s="155" t="s">
        <v>344</v>
      </c>
      <c r="E19" s="156">
        <v>14414.548447909296</v>
      </c>
    </row>
    <row r="20" spans="1:5">
      <c r="A20" s="154" t="s">
        <v>351</v>
      </c>
      <c r="B20" s="155">
        <v>25043</v>
      </c>
      <c r="C20" s="155">
        <v>25</v>
      </c>
      <c r="D20" s="155" t="s">
        <v>344</v>
      </c>
      <c r="E20" s="156">
        <v>6614.9723798452678</v>
      </c>
    </row>
    <row r="21" spans="1:5">
      <c r="A21" s="154" t="s">
        <v>352</v>
      </c>
      <c r="B21" s="155">
        <v>25044</v>
      </c>
      <c r="C21" s="155">
        <v>25</v>
      </c>
      <c r="D21" s="155" t="s">
        <v>344</v>
      </c>
      <c r="E21" s="156">
        <v>7603.5765366986798</v>
      </c>
    </row>
    <row r="22" spans="1:5">
      <c r="A22" s="154" t="s">
        <v>353</v>
      </c>
      <c r="B22" s="155">
        <v>25048</v>
      </c>
      <c r="C22" s="155">
        <v>25</v>
      </c>
      <c r="D22" s="155" t="s">
        <v>344</v>
      </c>
      <c r="E22" s="156">
        <v>15211.455774767117</v>
      </c>
    </row>
    <row r="23" spans="1:5">
      <c r="A23" s="154" t="s">
        <v>354</v>
      </c>
      <c r="B23" s="155">
        <v>25050</v>
      </c>
      <c r="C23" s="155">
        <v>25</v>
      </c>
      <c r="D23" s="155" t="s">
        <v>344</v>
      </c>
      <c r="E23" s="156">
        <v>6867.0680331223202</v>
      </c>
    </row>
    <row r="24" spans="1:5">
      <c r="A24" s="154" t="s">
        <v>355</v>
      </c>
      <c r="B24" s="155">
        <v>25068</v>
      </c>
      <c r="C24" s="155">
        <v>25</v>
      </c>
      <c r="D24" s="155" t="s">
        <v>344</v>
      </c>
      <c r="E24" s="156">
        <v>8871.35137965373</v>
      </c>
    </row>
    <row r="25" spans="1:5">
      <c r="A25" s="154" t="s">
        <v>356</v>
      </c>
      <c r="B25" s="155">
        <v>25072</v>
      </c>
      <c r="C25" s="155">
        <v>25</v>
      </c>
      <c r="D25" s="155" t="s">
        <v>344</v>
      </c>
      <c r="E25" s="156">
        <v>31586.603795002698</v>
      </c>
    </row>
    <row r="26" spans="1:5">
      <c r="A26" s="154" t="s">
        <v>357</v>
      </c>
      <c r="B26" s="155">
        <v>25084</v>
      </c>
      <c r="C26" s="155">
        <v>25</v>
      </c>
      <c r="D26" s="155" t="s">
        <v>344</v>
      </c>
      <c r="E26" s="156">
        <v>11792.612856191508</v>
      </c>
    </row>
    <row r="27" spans="1:5">
      <c r="A27" s="154" t="s">
        <v>358</v>
      </c>
      <c r="B27" s="155">
        <v>25091</v>
      </c>
      <c r="C27" s="155">
        <v>25</v>
      </c>
      <c r="D27" s="155" t="s">
        <v>344</v>
      </c>
      <c r="E27" s="156">
        <v>23405.755366424506</v>
      </c>
    </row>
    <row r="28" spans="1:5">
      <c r="A28" s="154" t="s">
        <v>359</v>
      </c>
      <c r="B28" s="155">
        <v>25105</v>
      </c>
      <c r="C28" s="155">
        <v>25</v>
      </c>
      <c r="D28" s="155" t="s">
        <v>344</v>
      </c>
      <c r="E28" s="156">
        <v>29188.000813884224</v>
      </c>
    </row>
    <row r="29" spans="1:5">
      <c r="A29" s="154" t="s">
        <v>360</v>
      </c>
      <c r="B29" s="155">
        <v>25107</v>
      </c>
      <c r="C29" s="155">
        <v>25</v>
      </c>
      <c r="D29" s="155" t="s">
        <v>344</v>
      </c>
      <c r="E29" s="156">
        <v>11711.919678139353</v>
      </c>
    </row>
    <row r="30" spans="1:5">
      <c r="A30" s="154" t="s">
        <v>361</v>
      </c>
      <c r="B30" s="155">
        <v>25110</v>
      </c>
      <c r="C30" s="155">
        <v>25</v>
      </c>
      <c r="D30" s="155" t="s">
        <v>344</v>
      </c>
      <c r="E30" s="156">
        <v>31486.51122566991</v>
      </c>
    </row>
    <row r="31" spans="1:5">
      <c r="A31" s="154" t="s">
        <v>362</v>
      </c>
      <c r="B31" s="155">
        <v>25112</v>
      </c>
      <c r="C31" s="155">
        <v>25</v>
      </c>
      <c r="D31" s="155" t="s">
        <v>344</v>
      </c>
      <c r="E31" s="156">
        <v>36153.426685382517</v>
      </c>
    </row>
    <row r="32" spans="1:5">
      <c r="A32" s="154" t="s">
        <v>363</v>
      </c>
      <c r="B32" s="155">
        <v>25117</v>
      </c>
      <c r="C32" s="155">
        <v>25</v>
      </c>
      <c r="D32" s="155" t="s">
        <v>344</v>
      </c>
      <c r="E32" s="156">
        <v>8349.6499752130057</v>
      </c>
    </row>
    <row r="33" spans="1:5">
      <c r="A33" s="154" t="s">
        <v>364</v>
      </c>
      <c r="B33" s="155">
        <v>25118</v>
      </c>
      <c r="C33" s="155">
        <v>25</v>
      </c>
      <c r="D33" s="155" t="s">
        <v>344</v>
      </c>
      <c r="E33" s="156">
        <v>4096.2630502916727</v>
      </c>
    </row>
    <row r="34" spans="1:5">
      <c r="A34" s="154" t="s">
        <v>365</v>
      </c>
      <c r="B34" s="155">
        <v>25119</v>
      </c>
      <c r="C34" s="155">
        <v>25</v>
      </c>
      <c r="D34" s="155" t="s">
        <v>344</v>
      </c>
      <c r="E34" s="156">
        <v>13858.975528632065</v>
      </c>
    </row>
    <row r="35" spans="1:5">
      <c r="A35" s="154" t="s">
        <v>366</v>
      </c>
      <c r="B35" s="155">
        <v>25120</v>
      </c>
      <c r="C35" s="155">
        <v>25</v>
      </c>
      <c r="D35" s="155" t="s">
        <v>344</v>
      </c>
      <c r="E35" s="156">
        <v>9925.340502125784</v>
      </c>
    </row>
    <row r="36" spans="1:5">
      <c r="A36" s="154" t="s">
        <v>367</v>
      </c>
      <c r="B36" s="155">
        <v>25121</v>
      </c>
      <c r="C36" s="155">
        <v>25</v>
      </c>
      <c r="D36" s="155" t="s">
        <v>344</v>
      </c>
      <c r="E36" s="156">
        <v>30307.942699924602</v>
      </c>
    </row>
    <row r="37" spans="1:5">
      <c r="A37" s="154" t="s">
        <v>368</v>
      </c>
      <c r="B37" s="155">
        <v>25122</v>
      </c>
      <c r="C37" s="155">
        <v>25</v>
      </c>
      <c r="D37" s="155" t="s">
        <v>344</v>
      </c>
      <c r="E37" s="156">
        <v>7158.3991494643833</v>
      </c>
    </row>
    <row r="38" spans="1:5">
      <c r="A38" s="154" t="s">
        <v>369</v>
      </c>
      <c r="B38" s="155">
        <v>25123</v>
      </c>
      <c r="C38" s="155">
        <v>25</v>
      </c>
      <c r="D38" s="155" t="s">
        <v>344</v>
      </c>
      <c r="E38" s="156">
        <v>11450.162014584139</v>
      </c>
    </row>
    <row r="39" spans="1:5">
      <c r="A39" s="154" t="s">
        <v>370</v>
      </c>
      <c r="B39" s="155">
        <v>25124</v>
      </c>
      <c r="C39" s="155">
        <v>25</v>
      </c>
      <c r="D39" s="155" t="s">
        <v>344</v>
      </c>
      <c r="E39" s="156">
        <v>8824.2780645250314</v>
      </c>
    </row>
    <row r="40" spans="1:5">
      <c r="A40" s="154" t="s">
        <v>371</v>
      </c>
      <c r="B40" s="155">
        <v>51004</v>
      </c>
      <c r="C40" s="155">
        <v>51</v>
      </c>
      <c r="D40" s="155" t="s">
        <v>372</v>
      </c>
      <c r="E40" s="156">
        <v>30816.49635421305</v>
      </c>
    </row>
    <row r="41" spans="1:5">
      <c r="A41" s="154" t="s">
        <v>373</v>
      </c>
      <c r="B41" s="155">
        <v>51008</v>
      </c>
      <c r="C41" s="155">
        <v>51</v>
      </c>
      <c r="D41" s="155" t="s">
        <v>372</v>
      </c>
      <c r="E41" s="156">
        <v>14853.296237402121</v>
      </c>
    </row>
    <row r="42" spans="1:5">
      <c r="A42" s="154" t="s">
        <v>374</v>
      </c>
      <c r="B42" s="155">
        <v>51009</v>
      </c>
      <c r="C42" s="155">
        <v>51</v>
      </c>
      <c r="D42" s="155" t="s">
        <v>372</v>
      </c>
      <c r="E42" s="156">
        <v>12040.389428570641</v>
      </c>
    </row>
    <row r="43" spans="1:5">
      <c r="A43" s="154" t="s">
        <v>375</v>
      </c>
      <c r="B43" s="155">
        <v>51012</v>
      </c>
      <c r="C43" s="155">
        <v>51</v>
      </c>
      <c r="D43" s="155" t="s">
        <v>372</v>
      </c>
      <c r="E43" s="156">
        <v>3992.2093209085015</v>
      </c>
    </row>
    <row r="44" spans="1:5">
      <c r="A44" s="154" t="s">
        <v>376</v>
      </c>
      <c r="B44" s="155">
        <v>51014</v>
      </c>
      <c r="C44" s="155">
        <v>51</v>
      </c>
      <c r="D44" s="155" t="s">
        <v>372</v>
      </c>
      <c r="E44" s="156">
        <v>7112.6223203920053</v>
      </c>
    </row>
    <row r="45" spans="1:5">
      <c r="A45" s="154" t="s">
        <v>377</v>
      </c>
      <c r="B45" s="155">
        <v>51017</v>
      </c>
      <c r="C45" s="155">
        <v>51</v>
      </c>
      <c r="D45" s="155" t="s">
        <v>372</v>
      </c>
      <c r="E45" s="156">
        <v>6252.949434548279</v>
      </c>
    </row>
    <row r="46" spans="1:5">
      <c r="A46" s="154" t="s">
        <v>378</v>
      </c>
      <c r="B46" s="155">
        <v>51019</v>
      </c>
      <c r="C46" s="155">
        <v>51</v>
      </c>
      <c r="D46" s="155" t="s">
        <v>372</v>
      </c>
      <c r="E46" s="156">
        <v>3370.8859012385155</v>
      </c>
    </row>
    <row r="47" spans="1:5">
      <c r="A47" s="154" t="s">
        <v>379</v>
      </c>
      <c r="B47" s="155">
        <v>51065</v>
      </c>
      <c r="C47" s="155">
        <v>51</v>
      </c>
      <c r="D47" s="155" t="s">
        <v>372</v>
      </c>
      <c r="E47" s="156">
        <v>12265.751002726885</v>
      </c>
    </row>
    <row r="48" spans="1:5">
      <c r="A48" s="154" t="s">
        <v>380</v>
      </c>
      <c r="B48" s="155">
        <v>52010</v>
      </c>
      <c r="C48" s="155">
        <v>52</v>
      </c>
      <c r="D48" s="155" t="s">
        <v>372</v>
      </c>
      <c r="E48" s="156">
        <v>15482.409802980943</v>
      </c>
    </row>
    <row r="49" spans="1:5">
      <c r="A49" s="154" t="s">
        <v>381</v>
      </c>
      <c r="B49" s="155">
        <v>52011</v>
      </c>
      <c r="C49" s="155">
        <v>52</v>
      </c>
      <c r="D49" s="155" t="s">
        <v>372</v>
      </c>
      <c r="E49" s="156">
        <v>198609.41179676066</v>
      </c>
    </row>
    <row r="50" spans="1:5">
      <c r="A50" s="154" t="s">
        <v>382</v>
      </c>
      <c r="B50" s="155">
        <v>52012</v>
      </c>
      <c r="C50" s="155">
        <v>52</v>
      </c>
      <c r="D50" s="155" t="s">
        <v>372</v>
      </c>
      <c r="E50" s="156">
        <v>35487.71230483464</v>
      </c>
    </row>
    <row r="51" spans="1:5">
      <c r="A51" s="154" t="s">
        <v>383</v>
      </c>
      <c r="B51" s="155">
        <v>52015</v>
      </c>
      <c r="C51" s="155">
        <v>52</v>
      </c>
      <c r="D51" s="155" t="s">
        <v>372</v>
      </c>
      <c r="E51" s="156">
        <v>33361.821984359223</v>
      </c>
    </row>
    <row r="52" spans="1:5">
      <c r="A52" s="154" t="s">
        <v>384</v>
      </c>
      <c r="B52" s="155">
        <v>52018</v>
      </c>
      <c r="C52" s="155">
        <v>52</v>
      </c>
      <c r="D52" s="155" t="s">
        <v>372</v>
      </c>
      <c r="E52" s="156">
        <v>11215.738781052434</v>
      </c>
    </row>
    <row r="53" spans="1:5">
      <c r="A53" s="154" t="s">
        <v>385</v>
      </c>
      <c r="B53" s="155">
        <v>52021</v>
      </c>
      <c r="C53" s="155">
        <v>52</v>
      </c>
      <c r="D53" s="155" t="s">
        <v>372</v>
      </c>
      <c r="E53" s="156">
        <v>22878.035062554893</v>
      </c>
    </row>
    <row r="54" spans="1:5">
      <c r="A54" s="154" t="s">
        <v>386</v>
      </c>
      <c r="B54" s="155">
        <v>52022</v>
      </c>
      <c r="C54" s="155">
        <v>52</v>
      </c>
      <c r="D54" s="155" t="s">
        <v>372</v>
      </c>
      <c r="E54" s="156">
        <v>19122.195618352867</v>
      </c>
    </row>
    <row r="55" spans="1:5">
      <c r="A55" s="154" t="s">
        <v>387</v>
      </c>
      <c r="B55" s="155">
        <v>52025</v>
      </c>
      <c r="C55" s="155">
        <v>52</v>
      </c>
      <c r="D55" s="155" t="s">
        <v>372</v>
      </c>
      <c r="E55" s="156">
        <v>13210.114993137093</v>
      </c>
    </row>
    <row r="56" spans="1:5">
      <c r="A56" s="154" t="s">
        <v>388</v>
      </c>
      <c r="B56" s="155">
        <v>52043</v>
      </c>
      <c r="C56" s="155">
        <v>52</v>
      </c>
      <c r="D56" s="155" t="s">
        <v>372</v>
      </c>
      <c r="E56" s="156">
        <v>23948.408903589348</v>
      </c>
    </row>
    <row r="57" spans="1:5">
      <c r="A57" s="154" t="s">
        <v>389</v>
      </c>
      <c r="B57" s="155">
        <v>52048</v>
      </c>
      <c r="C57" s="155">
        <v>52</v>
      </c>
      <c r="D57" s="155" t="s">
        <v>372</v>
      </c>
      <c r="E57" s="156">
        <v>10203.062192205218</v>
      </c>
    </row>
    <row r="58" spans="1:5">
      <c r="A58" s="154" t="s">
        <v>390</v>
      </c>
      <c r="B58" s="155">
        <v>52055</v>
      </c>
      <c r="C58" s="155">
        <v>52</v>
      </c>
      <c r="D58" s="155" t="s">
        <v>372</v>
      </c>
      <c r="E58" s="156">
        <v>18359.568675487681</v>
      </c>
    </row>
    <row r="59" spans="1:5">
      <c r="A59" s="154" t="s">
        <v>391</v>
      </c>
      <c r="B59" s="155">
        <v>52063</v>
      </c>
      <c r="C59" s="155">
        <v>52</v>
      </c>
      <c r="D59" s="155" t="s">
        <v>372</v>
      </c>
      <c r="E59" s="156">
        <v>11953.361422183971</v>
      </c>
    </row>
    <row r="60" spans="1:5">
      <c r="A60" s="154" t="s">
        <v>392</v>
      </c>
      <c r="B60" s="155">
        <v>52074</v>
      </c>
      <c r="C60" s="155">
        <v>52</v>
      </c>
      <c r="D60" s="155" t="s">
        <v>372</v>
      </c>
      <c r="E60" s="156">
        <v>10907.198841889642</v>
      </c>
    </row>
    <row r="61" spans="1:5">
      <c r="A61" s="154" t="s">
        <v>393</v>
      </c>
      <c r="B61" s="155">
        <v>52075</v>
      </c>
      <c r="C61" s="155">
        <v>52</v>
      </c>
      <c r="D61" s="155" t="s">
        <v>372</v>
      </c>
      <c r="E61" s="156">
        <v>10187.959620611438</v>
      </c>
    </row>
    <row r="62" spans="1:5">
      <c r="A62" s="154" t="s">
        <v>394</v>
      </c>
      <c r="B62" s="155">
        <v>53014</v>
      </c>
      <c r="C62" s="155">
        <v>53</v>
      </c>
      <c r="D62" s="155" t="s">
        <v>372</v>
      </c>
      <c r="E62" s="156">
        <v>20061.139821523211</v>
      </c>
    </row>
    <row r="63" spans="1:5">
      <c r="A63" s="154" t="s">
        <v>395</v>
      </c>
      <c r="B63" s="155">
        <v>53020</v>
      </c>
      <c r="C63" s="155">
        <v>53</v>
      </c>
      <c r="D63" s="155" t="s">
        <v>372</v>
      </c>
      <c r="E63" s="156">
        <v>16103.378647610301</v>
      </c>
    </row>
    <row r="64" spans="1:5">
      <c r="A64" s="154" t="s">
        <v>396</v>
      </c>
      <c r="B64" s="155">
        <v>53028</v>
      </c>
      <c r="C64" s="155">
        <v>53</v>
      </c>
      <c r="D64" s="155" t="s">
        <v>372</v>
      </c>
      <c r="E64" s="156">
        <v>22581.274462906953</v>
      </c>
    </row>
    <row r="65" spans="1:5">
      <c r="A65" s="154" t="s">
        <v>397</v>
      </c>
      <c r="B65" s="155">
        <v>53039</v>
      </c>
      <c r="C65" s="155">
        <v>53</v>
      </c>
      <c r="D65" s="155" t="s">
        <v>372</v>
      </c>
      <c r="E65" s="156">
        <v>6802.9603022526162</v>
      </c>
    </row>
    <row r="66" spans="1:5">
      <c r="A66" s="154" t="s">
        <v>398</v>
      </c>
      <c r="B66" s="155">
        <v>53044</v>
      </c>
      <c r="C66" s="155">
        <v>53</v>
      </c>
      <c r="D66" s="155" t="s">
        <v>372</v>
      </c>
      <c r="E66" s="156">
        <v>10881.976193966982</v>
      </c>
    </row>
    <row r="67" spans="1:5">
      <c r="A67" s="154" t="s">
        <v>399</v>
      </c>
      <c r="B67" s="155">
        <v>53046</v>
      </c>
      <c r="C67" s="155">
        <v>53</v>
      </c>
      <c r="D67" s="155" t="s">
        <v>372</v>
      </c>
      <c r="E67" s="156">
        <v>5183.3043803000583</v>
      </c>
    </row>
    <row r="68" spans="1:5">
      <c r="A68" s="154" t="s">
        <v>400</v>
      </c>
      <c r="B68" s="155">
        <v>53053</v>
      </c>
      <c r="C68" s="155">
        <v>53</v>
      </c>
      <c r="D68" s="155" t="s">
        <v>372</v>
      </c>
      <c r="E68" s="156">
        <v>97924.292546244309</v>
      </c>
    </row>
    <row r="69" spans="1:5">
      <c r="A69" s="154" t="s">
        <v>401</v>
      </c>
      <c r="B69" s="155">
        <v>53065</v>
      </c>
      <c r="C69" s="155">
        <v>53</v>
      </c>
      <c r="D69" s="155" t="s">
        <v>372</v>
      </c>
      <c r="E69" s="156">
        <v>19669.603531081793</v>
      </c>
    </row>
    <row r="70" spans="1:5">
      <c r="A70" s="154" t="s">
        <v>402</v>
      </c>
      <c r="B70" s="155">
        <v>53068</v>
      </c>
      <c r="C70" s="155">
        <v>53</v>
      </c>
      <c r="D70" s="155" t="s">
        <v>372</v>
      </c>
      <c r="E70" s="156">
        <v>6766.3164998211105</v>
      </c>
    </row>
    <row r="71" spans="1:5">
      <c r="A71" s="154" t="s">
        <v>403</v>
      </c>
      <c r="B71" s="155">
        <v>53070</v>
      </c>
      <c r="C71" s="155">
        <v>53</v>
      </c>
      <c r="D71" s="155" t="s">
        <v>372</v>
      </c>
      <c r="E71" s="156">
        <v>23964.644983184258</v>
      </c>
    </row>
    <row r="72" spans="1:5">
      <c r="A72" s="154" t="s">
        <v>404</v>
      </c>
      <c r="B72" s="155">
        <v>53082</v>
      </c>
      <c r="C72" s="155">
        <v>53</v>
      </c>
      <c r="D72" s="155" t="s">
        <v>372</v>
      </c>
      <c r="E72" s="156">
        <v>21424.091904635745</v>
      </c>
    </row>
    <row r="73" spans="1:5">
      <c r="A73" s="154" t="s">
        <v>405</v>
      </c>
      <c r="B73" s="155">
        <v>53083</v>
      </c>
      <c r="C73" s="155">
        <v>53</v>
      </c>
      <c r="D73" s="155" t="s">
        <v>372</v>
      </c>
      <c r="E73" s="156">
        <v>5112.304281810294</v>
      </c>
    </row>
    <row r="74" spans="1:5">
      <c r="A74" s="154" t="s">
        <v>406</v>
      </c>
      <c r="B74" s="155">
        <v>53084</v>
      </c>
      <c r="C74" s="155">
        <v>53</v>
      </c>
      <c r="D74" s="155" t="s">
        <v>372</v>
      </c>
      <c r="E74" s="156">
        <v>8458.9124446623791</v>
      </c>
    </row>
    <row r="75" spans="1:5">
      <c r="A75" s="154" t="s">
        <v>407</v>
      </c>
      <c r="B75" s="155">
        <v>54007</v>
      </c>
      <c r="C75" s="155">
        <v>54</v>
      </c>
      <c r="D75" s="155" t="s">
        <v>372</v>
      </c>
      <c r="E75" s="156">
        <v>60878.772564425599</v>
      </c>
    </row>
    <row r="76" spans="1:5">
      <c r="A76" s="154" t="s">
        <v>408</v>
      </c>
      <c r="B76" s="155">
        <v>54010</v>
      </c>
      <c r="C76" s="155">
        <v>54</v>
      </c>
      <c r="D76" s="155" t="s">
        <v>372</v>
      </c>
      <c r="E76" s="156">
        <v>17469.027435574397</v>
      </c>
    </row>
    <row r="77" spans="1:5">
      <c r="A77" s="154" t="s">
        <v>409</v>
      </c>
      <c r="B77" s="155">
        <v>55004</v>
      </c>
      <c r="C77" s="155">
        <v>55</v>
      </c>
      <c r="D77" s="155" t="s">
        <v>372</v>
      </c>
      <c r="E77" s="156">
        <v>21933.152092247732</v>
      </c>
    </row>
    <row r="78" spans="1:5">
      <c r="A78" s="154" t="s">
        <v>410</v>
      </c>
      <c r="B78" s="155">
        <v>55010</v>
      </c>
      <c r="C78" s="155">
        <v>55</v>
      </c>
      <c r="D78" s="155" t="s">
        <v>372</v>
      </c>
      <c r="E78" s="156">
        <v>14865.994660374963</v>
      </c>
    </row>
    <row r="79" spans="1:5">
      <c r="A79" s="154" t="s">
        <v>411</v>
      </c>
      <c r="B79" s="155">
        <v>55022</v>
      </c>
      <c r="C79" s="155">
        <v>55</v>
      </c>
      <c r="D79" s="155" t="s">
        <v>372</v>
      </c>
      <c r="E79" s="156">
        <v>82885.375146247825</v>
      </c>
    </row>
    <row r="80" spans="1:5">
      <c r="A80" s="154" t="s">
        <v>412</v>
      </c>
      <c r="B80" s="155">
        <v>55023</v>
      </c>
      <c r="C80" s="155">
        <v>55</v>
      </c>
      <c r="D80" s="155" t="s">
        <v>372</v>
      </c>
      <c r="E80" s="156">
        <v>18605.856533510381</v>
      </c>
    </row>
    <row r="81" spans="1:5">
      <c r="A81" s="154" t="s">
        <v>413</v>
      </c>
      <c r="B81" s="155">
        <v>55035</v>
      </c>
      <c r="C81" s="155">
        <v>55</v>
      </c>
      <c r="D81" s="155" t="s">
        <v>372</v>
      </c>
      <c r="E81" s="156">
        <v>9666.5331629114298</v>
      </c>
    </row>
    <row r="82" spans="1:5">
      <c r="A82" s="154" t="s">
        <v>414</v>
      </c>
      <c r="B82" s="155">
        <v>55039</v>
      </c>
      <c r="C82" s="155">
        <v>55</v>
      </c>
      <c r="D82" s="155" t="s">
        <v>372</v>
      </c>
      <c r="E82" s="156">
        <v>8728.8779018695495</v>
      </c>
    </row>
    <row r="83" spans="1:5">
      <c r="A83" s="154" t="s">
        <v>415</v>
      </c>
      <c r="B83" s="155">
        <v>55040</v>
      </c>
      <c r="C83" s="155">
        <v>55</v>
      </c>
      <c r="D83" s="155" t="s">
        <v>372</v>
      </c>
      <c r="E83" s="156">
        <v>29465.696037238966</v>
      </c>
    </row>
    <row r="84" spans="1:5">
      <c r="A84" s="154" t="s">
        <v>416</v>
      </c>
      <c r="B84" s="155">
        <v>55050</v>
      </c>
      <c r="C84" s="155">
        <v>55</v>
      </c>
      <c r="D84" s="155" t="s">
        <v>372</v>
      </c>
      <c r="E84" s="156">
        <v>12325.714465599147</v>
      </c>
    </row>
    <row r="85" spans="1:5">
      <c r="A85" s="154" t="s">
        <v>417</v>
      </c>
      <c r="B85" s="155">
        <v>56001</v>
      </c>
      <c r="C85" s="155">
        <v>56</v>
      </c>
      <c r="D85" s="155" t="s">
        <v>372</v>
      </c>
      <c r="E85" s="156">
        <v>13245.398357408621</v>
      </c>
    </row>
    <row r="86" spans="1:5">
      <c r="A86" s="154" t="s">
        <v>418</v>
      </c>
      <c r="B86" s="155">
        <v>56005</v>
      </c>
      <c r="C86" s="155">
        <v>56</v>
      </c>
      <c r="D86" s="155" t="s">
        <v>372</v>
      </c>
      <c r="E86" s="156">
        <v>7398.2628203716331</v>
      </c>
    </row>
    <row r="87" spans="1:5">
      <c r="A87" s="154" t="s">
        <v>419</v>
      </c>
      <c r="B87" s="155">
        <v>56011</v>
      </c>
      <c r="C87" s="155">
        <v>56</v>
      </c>
      <c r="D87" s="155" t="s">
        <v>372</v>
      </c>
      <c r="E87" s="156">
        <v>35126.648164729108</v>
      </c>
    </row>
    <row r="88" spans="1:5">
      <c r="A88" s="154" t="s">
        <v>420</v>
      </c>
      <c r="B88" s="155">
        <v>56016</v>
      </c>
      <c r="C88" s="155">
        <v>56</v>
      </c>
      <c r="D88" s="155" t="s">
        <v>372</v>
      </c>
      <c r="E88" s="156">
        <v>9847.3509507787003</v>
      </c>
    </row>
    <row r="89" spans="1:5">
      <c r="A89" s="154" t="s">
        <v>421</v>
      </c>
      <c r="B89" s="155">
        <v>56022</v>
      </c>
      <c r="C89" s="155">
        <v>56</v>
      </c>
      <c r="D89" s="155" t="s">
        <v>372</v>
      </c>
      <c r="E89" s="156">
        <v>10454.015099733762</v>
      </c>
    </row>
    <row r="90" spans="1:5">
      <c r="A90" s="154" t="s">
        <v>422</v>
      </c>
      <c r="B90" s="155">
        <v>56029</v>
      </c>
      <c r="C90" s="155">
        <v>56</v>
      </c>
      <c r="D90" s="155" t="s">
        <v>372</v>
      </c>
      <c r="E90" s="156">
        <v>4071.8601439187319</v>
      </c>
    </row>
    <row r="91" spans="1:5">
      <c r="A91" s="154" t="s">
        <v>423</v>
      </c>
      <c r="B91" s="155">
        <v>56044</v>
      </c>
      <c r="C91" s="155">
        <v>56</v>
      </c>
      <c r="D91" s="155" t="s">
        <v>372</v>
      </c>
      <c r="E91" s="156">
        <v>6335.1040798953736</v>
      </c>
    </row>
    <row r="92" spans="1:5">
      <c r="A92" s="154" t="s">
        <v>424</v>
      </c>
      <c r="B92" s="155">
        <v>56049</v>
      </c>
      <c r="C92" s="155">
        <v>56</v>
      </c>
      <c r="D92" s="155" t="s">
        <v>372</v>
      </c>
      <c r="E92" s="156">
        <v>4339.9247866778924</v>
      </c>
    </row>
    <row r="93" spans="1:5">
      <c r="A93" s="154" t="s">
        <v>425</v>
      </c>
      <c r="B93" s="155">
        <v>56051</v>
      </c>
      <c r="C93" s="155">
        <v>56</v>
      </c>
      <c r="D93" s="155" t="s">
        <v>372</v>
      </c>
      <c r="E93" s="156">
        <v>5282.269877410039</v>
      </c>
    </row>
    <row r="94" spans="1:5">
      <c r="A94" s="154" t="s">
        <v>426</v>
      </c>
      <c r="B94" s="155">
        <v>56078</v>
      </c>
      <c r="C94" s="155">
        <v>56</v>
      </c>
      <c r="D94" s="155" t="s">
        <v>372</v>
      </c>
      <c r="E94" s="156">
        <v>14618.848627510055</v>
      </c>
    </row>
    <row r="95" spans="1:5">
      <c r="A95" s="154" t="s">
        <v>427</v>
      </c>
      <c r="B95" s="155">
        <v>56085</v>
      </c>
      <c r="C95" s="155">
        <v>56</v>
      </c>
      <c r="D95" s="155" t="s">
        <v>372</v>
      </c>
      <c r="E95" s="156">
        <v>7702.0195672505115</v>
      </c>
    </row>
    <row r="96" spans="1:5">
      <c r="A96" s="154" t="s">
        <v>428</v>
      </c>
      <c r="B96" s="155">
        <v>56086</v>
      </c>
      <c r="C96" s="155">
        <v>56</v>
      </c>
      <c r="D96" s="155" t="s">
        <v>372</v>
      </c>
      <c r="E96" s="156">
        <v>13486.220840481556</v>
      </c>
    </row>
    <row r="97" spans="1:5">
      <c r="A97" s="154" t="s">
        <v>429</v>
      </c>
      <c r="B97" s="155">
        <v>56087</v>
      </c>
      <c r="C97" s="155">
        <v>56</v>
      </c>
      <c r="D97" s="155" t="s">
        <v>372</v>
      </c>
      <c r="E97" s="156">
        <v>19257.808649213592</v>
      </c>
    </row>
    <row r="98" spans="1:5">
      <c r="A98" s="154" t="s">
        <v>430</v>
      </c>
      <c r="B98" s="155">
        <v>56088</v>
      </c>
      <c r="C98" s="155">
        <v>56</v>
      </c>
      <c r="D98" s="155" t="s">
        <v>372</v>
      </c>
      <c r="E98" s="156">
        <v>4668.068034620429</v>
      </c>
    </row>
    <row r="99" spans="1:5">
      <c r="A99" s="154" t="s">
        <v>431</v>
      </c>
      <c r="B99" s="155">
        <v>57003</v>
      </c>
      <c r="C99" s="155">
        <v>57</v>
      </c>
      <c r="D99" s="155" t="s">
        <v>372</v>
      </c>
      <c r="E99" s="156">
        <v>7954.9319119194533</v>
      </c>
    </row>
    <row r="100" spans="1:5">
      <c r="A100" s="154" t="s">
        <v>432</v>
      </c>
      <c r="B100" s="155">
        <v>57018</v>
      </c>
      <c r="C100" s="155">
        <v>57</v>
      </c>
      <c r="D100" s="155" t="s">
        <v>372</v>
      </c>
      <c r="E100" s="156">
        <v>5934.859441649397</v>
      </c>
    </row>
    <row r="101" spans="1:5">
      <c r="A101" s="154" t="s">
        <v>433</v>
      </c>
      <c r="B101" s="155">
        <v>57027</v>
      </c>
      <c r="C101" s="155">
        <v>57</v>
      </c>
      <c r="D101" s="155" t="s">
        <v>372</v>
      </c>
      <c r="E101" s="156">
        <v>11507.781156332328</v>
      </c>
    </row>
    <row r="102" spans="1:5">
      <c r="A102" s="154" t="s">
        <v>434</v>
      </c>
      <c r="B102" s="155">
        <v>57062</v>
      </c>
      <c r="C102" s="155">
        <v>57</v>
      </c>
      <c r="D102" s="155" t="s">
        <v>372</v>
      </c>
      <c r="E102" s="156">
        <v>5583.324611576807</v>
      </c>
    </row>
    <row r="103" spans="1:5">
      <c r="A103" s="154" t="s">
        <v>435</v>
      </c>
      <c r="B103" s="155">
        <v>57064</v>
      </c>
      <c r="C103" s="155">
        <v>57</v>
      </c>
      <c r="D103" s="155" t="s">
        <v>372</v>
      </c>
      <c r="E103" s="156">
        <v>16619.57378464712</v>
      </c>
    </row>
    <row r="104" spans="1:5">
      <c r="A104" s="154" t="s">
        <v>436</v>
      </c>
      <c r="B104" s="155">
        <v>57072</v>
      </c>
      <c r="C104" s="155">
        <v>57</v>
      </c>
      <c r="D104" s="155" t="s">
        <v>372</v>
      </c>
      <c r="E104" s="156">
        <v>5016.4526562484461</v>
      </c>
    </row>
    <row r="105" spans="1:5">
      <c r="A105" s="154" t="s">
        <v>437</v>
      </c>
      <c r="B105" s="155">
        <v>57081</v>
      </c>
      <c r="C105" s="155">
        <v>57</v>
      </c>
      <c r="D105" s="155" t="s">
        <v>372</v>
      </c>
      <c r="E105" s="156">
        <v>69256.600594397809</v>
      </c>
    </row>
    <row r="106" spans="1:5">
      <c r="A106" s="154" t="s">
        <v>438</v>
      </c>
      <c r="B106" s="155">
        <v>57093</v>
      </c>
      <c r="C106" s="155">
        <v>57</v>
      </c>
      <c r="D106" s="155" t="s">
        <v>372</v>
      </c>
      <c r="E106" s="156">
        <v>8477.2201042802426</v>
      </c>
    </row>
    <row r="107" spans="1:5">
      <c r="A107" s="154" t="s">
        <v>439</v>
      </c>
      <c r="B107" s="155">
        <v>57094</v>
      </c>
      <c r="C107" s="155">
        <v>57</v>
      </c>
      <c r="D107" s="155" t="s">
        <v>372</v>
      </c>
      <c r="E107" s="156">
        <v>14788.530685673637</v>
      </c>
    </row>
    <row r="108" spans="1:5">
      <c r="A108" s="154" t="s">
        <v>440</v>
      </c>
      <c r="B108" s="155">
        <v>57095</v>
      </c>
      <c r="C108" s="155">
        <v>57</v>
      </c>
      <c r="D108" s="155" t="s">
        <v>372</v>
      </c>
      <c r="E108" s="156">
        <v>4209.1250532747772</v>
      </c>
    </row>
    <row r="109" spans="1:5">
      <c r="A109" s="154" t="s">
        <v>441</v>
      </c>
      <c r="B109" s="155">
        <v>61003</v>
      </c>
      <c r="C109" s="155">
        <v>61</v>
      </c>
      <c r="D109" s="155" t="s">
        <v>442</v>
      </c>
      <c r="E109" s="156">
        <v>15144.948423369429</v>
      </c>
    </row>
    <row r="110" spans="1:5">
      <c r="A110" s="154" t="s">
        <v>443</v>
      </c>
      <c r="B110" s="155">
        <v>61010</v>
      </c>
      <c r="C110" s="155">
        <v>61</v>
      </c>
      <c r="D110" s="155" t="s">
        <v>442</v>
      </c>
      <c r="E110" s="156">
        <v>3928.0139406343283</v>
      </c>
    </row>
    <row r="111" spans="1:5">
      <c r="A111" s="154" t="s">
        <v>444</v>
      </c>
      <c r="B111" s="155">
        <v>61012</v>
      </c>
      <c r="C111" s="155">
        <v>61</v>
      </c>
      <c r="D111" s="155" t="s">
        <v>442</v>
      </c>
      <c r="E111" s="156">
        <v>4946.9183600357328</v>
      </c>
    </row>
    <row r="112" spans="1:5">
      <c r="A112" s="154" t="s">
        <v>445</v>
      </c>
      <c r="B112" s="155">
        <v>61019</v>
      </c>
      <c r="C112" s="155">
        <v>61</v>
      </c>
      <c r="D112" s="155" t="s">
        <v>442</v>
      </c>
      <c r="E112" s="156">
        <v>5281.8917322835405</v>
      </c>
    </row>
    <row r="113" spans="1:5">
      <c r="A113" s="154" t="s">
        <v>446</v>
      </c>
      <c r="B113" s="155">
        <v>61024</v>
      </c>
      <c r="C113" s="155">
        <v>61</v>
      </c>
      <c r="D113" s="155" t="s">
        <v>442</v>
      </c>
      <c r="E113" s="156">
        <v>3880.6401183287835</v>
      </c>
    </row>
    <row r="114" spans="1:5">
      <c r="A114" s="154" t="s">
        <v>447</v>
      </c>
      <c r="B114" s="155">
        <v>61028</v>
      </c>
      <c r="C114" s="155">
        <v>61</v>
      </c>
      <c r="D114" s="155" t="s">
        <v>442</v>
      </c>
      <c r="E114" s="156">
        <v>5801.4339742079474</v>
      </c>
    </row>
    <row r="115" spans="1:5">
      <c r="A115" s="154" t="s">
        <v>448</v>
      </c>
      <c r="B115" s="155">
        <v>61031</v>
      </c>
      <c r="C115" s="155">
        <v>61</v>
      </c>
      <c r="D115" s="155" t="s">
        <v>442</v>
      </c>
      <c r="E115" s="156">
        <v>21037.300239567699</v>
      </c>
    </row>
    <row r="116" spans="1:5">
      <c r="A116" s="154" t="s">
        <v>449</v>
      </c>
      <c r="B116" s="155">
        <v>61039</v>
      </c>
      <c r="C116" s="155">
        <v>61</v>
      </c>
      <c r="D116" s="155" t="s">
        <v>442</v>
      </c>
      <c r="E116" s="156">
        <v>5648.4685890346191</v>
      </c>
    </row>
    <row r="117" spans="1:5">
      <c r="A117" s="154" t="s">
        <v>450</v>
      </c>
      <c r="B117" s="155">
        <v>61041</v>
      </c>
      <c r="C117" s="155">
        <v>61</v>
      </c>
      <c r="D117" s="155" t="s">
        <v>442</v>
      </c>
      <c r="E117" s="156">
        <v>4493.1869684292387</v>
      </c>
    </row>
    <row r="118" spans="1:5">
      <c r="A118" s="154" t="s">
        <v>451</v>
      </c>
      <c r="B118" s="155">
        <v>61043</v>
      </c>
      <c r="C118" s="155">
        <v>61</v>
      </c>
      <c r="D118" s="155" t="s">
        <v>442</v>
      </c>
      <c r="E118" s="156">
        <v>5837.0498790366182</v>
      </c>
    </row>
    <row r="119" spans="1:5">
      <c r="A119" s="154" t="s">
        <v>452</v>
      </c>
      <c r="B119" s="155">
        <v>61048</v>
      </c>
      <c r="C119" s="155">
        <v>61</v>
      </c>
      <c r="D119" s="155" t="s">
        <v>442</v>
      </c>
      <c r="E119" s="156">
        <v>2850.3944226454901</v>
      </c>
    </row>
    <row r="120" spans="1:5">
      <c r="A120" s="154" t="s">
        <v>453</v>
      </c>
      <c r="B120" s="155">
        <v>61063</v>
      </c>
      <c r="C120" s="155">
        <v>61</v>
      </c>
      <c r="D120" s="155" t="s">
        <v>442</v>
      </c>
      <c r="E120" s="156">
        <v>4639.8636990781633</v>
      </c>
    </row>
    <row r="121" spans="1:5">
      <c r="A121" s="154" t="s">
        <v>454</v>
      </c>
      <c r="B121" s="155">
        <v>61068</v>
      </c>
      <c r="C121" s="155">
        <v>61</v>
      </c>
      <c r="D121" s="155" t="s">
        <v>442</v>
      </c>
      <c r="E121" s="156">
        <v>6675.5604955506451</v>
      </c>
    </row>
    <row r="122" spans="1:5">
      <c r="A122" s="154" t="s">
        <v>455</v>
      </c>
      <c r="B122" s="155">
        <v>61072</v>
      </c>
      <c r="C122" s="155">
        <v>61</v>
      </c>
      <c r="D122" s="155" t="s">
        <v>442</v>
      </c>
      <c r="E122" s="156">
        <v>13851.487113608771</v>
      </c>
    </row>
    <row r="123" spans="1:5">
      <c r="A123" s="154" t="s">
        <v>456</v>
      </c>
      <c r="B123" s="155">
        <v>61079</v>
      </c>
      <c r="C123" s="155">
        <v>61</v>
      </c>
      <c r="D123" s="155" t="s">
        <v>442</v>
      </c>
      <c r="E123" s="156">
        <v>4400.9882518324775</v>
      </c>
    </row>
    <row r="124" spans="1:5">
      <c r="A124" s="154" t="s">
        <v>457</v>
      </c>
      <c r="B124" s="155">
        <v>61080</v>
      </c>
      <c r="C124" s="155">
        <v>61</v>
      </c>
      <c r="D124" s="155" t="s">
        <v>442</v>
      </c>
      <c r="E124" s="156">
        <v>6929.974042370488</v>
      </c>
    </row>
    <row r="125" spans="1:5">
      <c r="A125" s="154" t="s">
        <v>458</v>
      </c>
      <c r="B125" s="155">
        <v>61081</v>
      </c>
      <c r="C125" s="155">
        <v>61</v>
      </c>
      <c r="D125" s="155" t="s">
        <v>442</v>
      </c>
      <c r="E125" s="156">
        <v>3080.8797499860211</v>
      </c>
    </row>
    <row r="126" spans="1:5">
      <c r="A126" s="154" t="s">
        <v>459</v>
      </c>
      <c r="B126" s="155">
        <v>62003</v>
      </c>
      <c r="C126" s="155">
        <v>62</v>
      </c>
      <c r="D126" s="155" t="s">
        <v>442</v>
      </c>
      <c r="E126" s="156">
        <v>28541.18966207355</v>
      </c>
    </row>
    <row r="127" spans="1:5">
      <c r="A127" s="154" t="s">
        <v>460</v>
      </c>
      <c r="B127" s="155">
        <v>62006</v>
      </c>
      <c r="C127" s="155">
        <v>62</v>
      </c>
      <c r="D127" s="155" t="s">
        <v>442</v>
      </c>
      <c r="E127" s="156">
        <v>10013.405365541101</v>
      </c>
    </row>
    <row r="128" spans="1:5">
      <c r="A128" s="154" t="s">
        <v>461</v>
      </c>
      <c r="B128" s="155">
        <v>62009</v>
      </c>
      <c r="C128" s="155">
        <v>62</v>
      </c>
      <c r="D128" s="155" t="s">
        <v>442</v>
      </c>
      <c r="E128" s="156">
        <v>13645.947764049572</v>
      </c>
    </row>
    <row r="129" spans="1:5">
      <c r="A129" s="154" t="s">
        <v>462</v>
      </c>
      <c r="B129" s="155">
        <v>62011</v>
      </c>
      <c r="C129" s="155">
        <v>62</v>
      </c>
      <c r="D129" s="155" t="s">
        <v>442</v>
      </c>
      <c r="E129" s="156">
        <v>9203.8344771068623</v>
      </c>
    </row>
    <row r="130" spans="1:5">
      <c r="A130" s="154" t="s">
        <v>463</v>
      </c>
      <c r="B130" s="155">
        <v>62015</v>
      </c>
      <c r="C130" s="155">
        <v>62</v>
      </c>
      <c r="D130" s="155" t="s">
        <v>442</v>
      </c>
      <c r="E130" s="156">
        <v>11947.214159955656</v>
      </c>
    </row>
    <row r="131" spans="1:5">
      <c r="A131" s="154" t="s">
        <v>464</v>
      </c>
      <c r="B131" s="155">
        <v>62022</v>
      </c>
      <c r="C131" s="155">
        <v>62</v>
      </c>
      <c r="D131" s="155" t="s">
        <v>442</v>
      </c>
      <c r="E131" s="156">
        <v>20695.902151569353</v>
      </c>
    </row>
    <row r="132" spans="1:5">
      <c r="A132" s="154" t="s">
        <v>465</v>
      </c>
      <c r="B132" s="155">
        <v>62026</v>
      </c>
      <c r="C132" s="155">
        <v>62</v>
      </c>
      <c r="D132" s="155" t="s">
        <v>442</v>
      </c>
      <c r="E132" s="156">
        <v>5558.8431648749038</v>
      </c>
    </row>
    <row r="133" spans="1:5">
      <c r="A133" s="154" t="s">
        <v>466</v>
      </c>
      <c r="B133" s="155">
        <v>62027</v>
      </c>
      <c r="C133" s="155">
        <v>62</v>
      </c>
      <c r="D133" s="155" t="s">
        <v>442</v>
      </c>
      <c r="E133" s="156">
        <v>8244.7757492336332</v>
      </c>
    </row>
    <row r="134" spans="1:5">
      <c r="A134" s="154" t="s">
        <v>467</v>
      </c>
      <c r="B134" s="155">
        <v>62032</v>
      </c>
      <c r="C134" s="155">
        <v>62</v>
      </c>
      <c r="D134" s="155" t="s">
        <v>442</v>
      </c>
      <c r="E134" s="156">
        <v>11915.737846814782</v>
      </c>
    </row>
    <row r="135" spans="1:5">
      <c r="A135" s="154" t="s">
        <v>468</v>
      </c>
      <c r="B135" s="155">
        <v>62038</v>
      </c>
      <c r="C135" s="155">
        <v>62</v>
      </c>
      <c r="D135" s="155" t="s">
        <v>442</v>
      </c>
      <c r="E135" s="156">
        <v>16536.141552085461</v>
      </c>
    </row>
    <row r="136" spans="1:5">
      <c r="A136" s="154" t="s">
        <v>469</v>
      </c>
      <c r="B136" s="155">
        <v>62051</v>
      </c>
      <c r="C136" s="155">
        <v>62</v>
      </c>
      <c r="D136" s="155" t="s">
        <v>442</v>
      </c>
      <c r="E136" s="156">
        <v>42465.22650460968</v>
      </c>
    </row>
    <row r="137" spans="1:5">
      <c r="A137" s="154" t="s">
        <v>470</v>
      </c>
      <c r="B137" s="155">
        <v>62060</v>
      </c>
      <c r="C137" s="155">
        <v>62</v>
      </c>
      <c r="D137" s="155" t="s">
        <v>442</v>
      </c>
      <c r="E137" s="156">
        <v>9740.7743441718721</v>
      </c>
    </row>
    <row r="138" spans="1:5">
      <c r="A138" s="154" t="s">
        <v>471</v>
      </c>
      <c r="B138" s="155">
        <v>62063</v>
      </c>
      <c r="C138" s="155">
        <v>62</v>
      </c>
      <c r="D138" s="155" t="s">
        <v>442</v>
      </c>
      <c r="E138" s="156">
        <v>199939.02874886556</v>
      </c>
    </row>
    <row r="139" spans="1:5">
      <c r="A139" s="154" t="s">
        <v>472</v>
      </c>
      <c r="B139" s="155">
        <v>62079</v>
      </c>
      <c r="C139" s="155">
        <v>62</v>
      </c>
      <c r="D139" s="155" t="s">
        <v>442</v>
      </c>
      <c r="E139" s="156">
        <v>27160.42069728053</v>
      </c>
    </row>
    <row r="140" spans="1:5">
      <c r="A140" s="154" t="s">
        <v>473</v>
      </c>
      <c r="B140" s="155">
        <v>62093</v>
      </c>
      <c r="C140" s="155">
        <v>62</v>
      </c>
      <c r="D140" s="155" t="s">
        <v>442</v>
      </c>
      <c r="E140" s="156">
        <v>25836.696326608911</v>
      </c>
    </row>
    <row r="141" spans="1:5">
      <c r="A141" s="154" t="s">
        <v>474</v>
      </c>
      <c r="B141" s="155">
        <v>62096</v>
      </c>
      <c r="C141" s="155">
        <v>62</v>
      </c>
      <c r="D141" s="155" t="s">
        <v>442</v>
      </c>
      <c r="E141" s="156">
        <v>65527.549223521077</v>
      </c>
    </row>
    <row r="142" spans="1:5">
      <c r="A142" s="154" t="s">
        <v>475</v>
      </c>
      <c r="B142" s="155">
        <v>62099</v>
      </c>
      <c r="C142" s="155">
        <v>62</v>
      </c>
      <c r="D142" s="155" t="s">
        <v>442</v>
      </c>
      <c r="E142" s="156">
        <v>17888.591450248914</v>
      </c>
    </row>
    <row r="143" spans="1:5">
      <c r="A143" s="154" t="s">
        <v>476</v>
      </c>
      <c r="B143" s="155">
        <v>62100</v>
      </c>
      <c r="C143" s="155">
        <v>62</v>
      </c>
      <c r="D143" s="155" t="s">
        <v>442</v>
      </c>
      <c r="E143" s="156">
        <v>15903.563867598814</v>
      </c>
    </row>
    <row r="144" spans="1:5">
      <c r="A144" s="154" t="s">
        <v>477</v>
      </c>
      <c r="B144" s="155">
        <v>62108</v>
      </c>
      <c r="C144" s="155">
        <v>62</v>
      </c>
      <c r="D144" s="155" t="s">
        <v>442</v>
      </c>
      <c r="E144" s="156">
        <v>18455.064865693461</v>
      </c>
    </row>
    <row r="145" spans="1:5">
      <c r="A145" s="154" t="s">
        <v>478</v>
      </c>
      <c r="B145" s="155">
        <v>62118</v>
      </c>
      <c r="C145" s="155">
        <v>62</v>
      </c>
      <c r="D145" s="155" t="s">
        <v>442</v>
      </c>
      <c r="E145" s="156">
        <v>24136.575847923359</v>
      </c>
    </row>
    <row r="146" spans="1:5">
      <c r="A146" s="154" t="s">
        <v>479</v>
      </c>
      <c r="B146" s="155">
        <v>62119</v>
      </c>
      <c r="C146" s="155">
        <v>62</v>
      </c>
      <c r="D146" s="155" t="s">
        <v>442</v>
      </c>
      <c r="E146" s="156">
        <v>13559.507582083888</v>
      </c>
    </row>
    <row r="147" spans="1:5">
      <c r="A147" s="154" t="s">
        <v>480</v>
      </c>
      <c r="B147" s="155">
        <v>62120</v>
      </c>
      <c r="C147" s="155">
        <v>62</v>
      </c>
      <c r="D147" s="155" t="s">
        <v>442</v>
      </c>
      <c r="E147" s="156">
        <v>27262.620374904727</v>
      </c>
    </row>
    <row r="148" spans="1:5">
      <c r="A148" s="154" t="s">
        <v>481</v>
      </c>
      <c r="B148" s="155">
        <v>62121</v>
      </c>
      <c r="C148" s="155">
        <v>62</v>
      </c>
      <c r="D148" s="155" t="s">
        <v>442</v>
      </c>
      <c r="E148" s="156">
        <v>10356.635272067428</v>
      </c>
    </row>
    <row r="149" spans="1:5">
      <c r="A149" s="154" t="s">
        <v>482</v>
      </c>
      <c r="B149" s="155">
        <v>62122</v>
      </c>
      <c r="C149" s="155">
        <v>62</v>
      </c>
      <c r="D149" s="155" t="s">
        <v>442</v>
      </c>
      <c r="E149" s="156">
        <v>8192.7530011169074</v>
      </c>
    </row>
    <row r="150" spans="1:5">
      <c r="A150" s="154" t="s">
        <v>483</v>
      </c>
      <c r="B150" s="155">
        <v>63001</v>
      </c>
      <c r="C150" s="155">
        <v>63</v>
      </c>
      <c r="D150" s="155" t="s">
        <v>442</v>
      </c>
      <c r="E150" s="156">
        <v>5385.3114932471244</v>
      </c>
    </row>
    <row r="151" spans="1:5">
      <c r="A151" s="154" t="s">
        <v>484</v>
      </c>
      <c r="B151" s="155">
        <v>63003</v>
      </c>
      <c r="C151" s="155">
        <v>63</v>
      </c>
      <c r="D151" s="155" t="s">
        <v>442</v>
      </c>
      <c r="E151" s="156">
        <v>4302.7440152002109</v>
      </c>
    </row>
    <row r="152" spans="1:5">
      <c r="A152" s="154" t="s">
        <v>485</v>
      </c>
      <c r="B152" s="155">
        <v>63004</v>
      </c>
      <c r="C152" s="155">
        <v>63</v>
      </c>
      <c r="D152" s="155" t="s">
        <v>442</v>
      </c>
      <c r="E152" s="156">
        <v>4825.2449043443794</v>
      </c>
    </row>
    <row r="153" spans="1:5">
      <c r="A153" s="154" t="s">
        <v>486</v>
      </c>
      <c r="B153" s="155">
        <v>63012</v>
      </c>
      <c r="C153" s="155">
        <v>63</v>
      </c>
      <c r="D153" s="155" t="s">
        <v>442</v>
      </c>
      <c r="E153" s="156">
        <v>5261.0901245413725</v>
      </c>
    </row>
    <row r="154" spans="1:5">
      <c r="A154" s="154" t="s">
        <v>487</v>
      </c>
      <c r="B154" s="155">
        <v>63013</v>
      </c>
      <c r="C154" s="155">
        <v>63</v>
      </c>
      <c r="D154" s="155" t="s">
        <v>442</v>
      </c>
      <c r="E154" s="156">
        <v>5241.8380832512184</v>
      </c>
    </row>
    <row r="155" spans="1:5">
      <c r="A155" s="154" t="s">
        <v>488</v>
      </c>
      <c r="B155" s="155">
        <v>63020</v>
      </c>
      <c r="C155" s="155">
        <v>63</v>
      </c>
      <c r="D155" s="155" t="s">
        <v>442</v>
      </c>
      <c r="E155" s="156">
        <v>16710.744531978602</v>
      </c>
    </row>
    <row r="156" spans="1:5">
      <c r="A156" s="154" t="s">
        <v>489</v>
      </c>
      <c r="B156" s="155">
        <v>63023</v>
      </c>
      <c r="C156" s="155">
        <v>63</v>
      </c>
      <c r="D156" s="155" t="s">
        <v>442</v>
      </c>
      <c r="E156" s="156">
        <v>20478.570698416359</v>
      </c>
    </row>
    <row r="157" spans="1:5">
      <c r="A157" s="154" t="s">
        <v>490</v>
      </c>
      <c r="B157" s="155">
        <v>63035</v>
      </c>
      <c r="C157" s="155">
        <v>63</v>
      </c>
      <c r="D157" s="155" t="s">
        <v>442</v>
      </c>
      <c r="E157" s="156">
        <v>18300.511218198306</v>
      </c>
    </row>
    <row r="158" spans="1:5">
      <c r="A158" s="154" t="s">
        <v>491</v>
      </c>
      <c r="B158" s="155">
        <v>63038</v>
      </c>
      <c r="C158" s="155">
        <v>63</v>
      </c>
      <c r="D158" s="155" t="s">
        <v>442</v>
      </c>
      <c r="E158" s="156">
        <v>8817.2640432237713</v>
      </c>
    </row>
    <row r="159" spans="1:5">
      <c r="A159" s="154" t="s">
        <v>492</v>
      </c>
      <c r="B159" s="155">
        <v>63040</v>
      </c>
      <c r="C159" s="155">
        <v>63</v>
      </c>
      <c r="D159" s="155" t="s">
        <v>442</v>
      </c>
      <c r="E159" s="156">
        <v>11296.785716167606</v>
      </c>
    </row>
    <row r="160" spans="1:5">
      <c r="A160" s="154" t="s">
        <v>493</v>
      </c>
      <c r="B160" s="155">
        <v>63045</v>
      </c>
      <c r="C160" s="155">
        <v>63</v>
      </c>
      <c r="D160" s="155" t="s">
        <v>442</v>
      </c>
      <c r="E160" s="156">
        <v>3880.397990847734</v>
      </c>
    </row>
    <row r="161" spans="1:5">
      <c r="A161" s="154" t="s">
        <v>494</v>
      </c>
      <c r="B161" s="155">
        <v>63046</v>
      </c>
      <c r="C161" s="155">
        <v>63</v>
      </c>
      <c r="D161" s="155" t="s">
        <v>442</v>
      </c>
      <c r="E161" s="156">
        <v>6290.9213360105605</v>
      </c>
    </row>
    <row r="162" spans="1:5">
      <c r="A162" s="154" t="s">
        <v>495</v>
      </c>
      <c r="B162" s="155">
        <v>63048</v>
      </c>
      <c r="C162" s="155">
        <v>63</v>
      </c>
      <c r="D162" s="155" t="s">
        <v>442</v>
      </c>
      <c r="E162" s="156">
        <v>5810.2923698835993</v>
      </c>
    </row>
    <row r="163" spans="1:5">
      <c r="A163" s="154" t="s">
        <v>496</v>
      </c>
      <c r="B163" s="155">
        <v>63049</v>
      </c>
      <c r="C163" s="155">
        <v>63</v>
      </c>
      <c r="D163" s="155" t="s">
        <v>442</v>
      </c>
      <c r="E163" s="156">
        <v>13401.504657112453</v>
      </c>
    </row>
    <row r="164" spans="1:5">
      <c r="A164" s="154" t="s">
        <v>497</v>
      </c>
      <c r="B164" s="155">
        <v>63057</v>
      </c>
      <c r="C164" s="155">
        <v>63</v>
      </c>
      <c r="D164" s="155" t="s">
        <v>442</v>
      </c>
      <c r="E164" s="156">
        <v>4724.281672678906</v>
      </c>
    </row>
    <row r="165" spans="1:5">
      <c r="A165" s="154" t="s">
        <v>498</v>
      </c>
      <c r="B165" s="155">
        <v>63058</v>
      </c>
      <c r="C165" s="155">
        <v>63</v>
      </c>
      <c r="D165" s="155" t="s">
        <v>442</v>
      </c>
      <c r="E165" s="156">
        <v>9825.5804360832808</v>
      </c>
    </row>
    <row r="166" spans="1:5">
      <c r="A166" s="154" t="s">
        <v>499</v>
      </c>
      <c r="B166" s="155">
        <v>63061</v>
      </c>
      <c r="C166" s="155">
        <v>63</v>
      </c>
      <c r="D166" s="155" t="s">
        <v>442</v>
      </c>
      <c r="E166" s="156">
        <v>10879.431739394689</v>
      </c>
    </row>
    <row r="167" spans="1:5">
      <c r="A167" s="154" t="s">
        <v>500</v>
      </c>
      <c r="B167" s="155">
        <v>63067</v>
      </c>
      <c r="C167" s="155">
        <v>63</v>
      </c>
      <c r="D167" s="155" t="s">
        <v>442</v>
      </c>
      <c r="E167" s="156">
        <v>9974.1944279056261</v>
      </c>
    </row>
    <row r="168" spans="1:5">
      <c r="A168" s="154" t="s">
        <v>501</v>
      </c>
      <c r="B168" s="155">
        <v>63072</v>
      </c>
      <c r="C168" s="155">
        <v>63</v>
      </c>
      <c r="D168" s="155" t="s">
        <v>442</v>
      </c>
      <c r="E168" s="156">
        <v>10140.270636314997</v>
      </c>
    </row>
    <row r="169" spans="1:5">
      <c r="A169" s="154" t="s">
        <v>502</v>
      </c>
      <c r="B169" s="155">
        <v>63073</v>
      </c>
      <c r="C169" s="155">
        <v>63</v>
      </c>
      <c r="D169" s="155" t="s">
        <v>442</v>
      </c>
      <c r="E169" s="156">
        <v>7324.8316787929507</v>
      </c>
    </row>
    <row r="170" spans="1:5">
      <c r="A170" s="154" t="s">
        <v>503</v>
      </c>
      <c r="B170" s="155">
        <v>63075</v>
      </c>
      <c r="C170" s="155">
        <v>63</v>
      </c>
      <c r="D170" s="155" t="s">
        <v>442</v>
      </c>
      <c r="E170" s="156">
        <v>3106.1583483173072</v>
      </c>
    </row>
    <row r="171" spans="1:5">
      <c r="A171" s="154" t="s">
        <v>504</v>
      </c>
      <c r="B171" s="155">
        <v>63076</v>
      </c>
      <c r="C171" s="155">
        <v>63</v>
      </c>
      <c r="D171" s="155" t="s">
        <v>442</v>
      </c>
      <c r="E171" s="156">
        <v>11793.063642439078</v>
      </c>
    </row>
    <row r="172" spans="1:5">
      <c r="A172" s="154" t="s">
        <v>505</v>
      </c>
      <c r="B172" s="155">
        <v>63079</v>
      </c>
      <c r="C172" s="155">
        <v>63</v>
      </c>
      <c r="D172" s="155" t="s">
        <v>442</v>
      </c>
      <c r="E172" s="156">
        <v>53818.365391789543</v>
      </c>
    </row>
    <row r="173" spans="1:5">
      <c r="A173" s="154" t="s">
        <v>506</v>
      </c>
      <c r="B173" s="155">
        <v>63080</v>
      </c>
      <c r="C173" s="155">
        <v>63</v>
      </c>
      <c r="D173" s="155" t="s">
        <v>442</v>
      </c>
      <c r="E173" s="156">
        <v>7906.5086066303102</v>
      </c>
    </row>
    <row r="174" spans="1:5">
      <c r="A174" s="154" t="s">
        <v>507</v>
      </c>
      <c r="B174" s="155">
        <v>63084</v>
      </c>
      <c r="C174" s="155">
        <v>63</v>
      </c>
      <c r="D174" s="155" t="s">
        <v>442</v>
      </c>
      <c r="E174" s="156">
        <v>10074.350137637874</v>
      </c>
    </row>
    <row r="175" spans="1:5">
      <c r="A175" s="154" t="s">
        <v>508</v>
      </c>
      <c r="B175" s="155">
        <v>63086</v>
      </c>
      <c r="C175" s="155">
        <v>63</v>
      </c>
      <c r="D175" s="155" t="s">
        <v>442</v>
      </c>
      <c r="E175" s="156">
        <v>2771.5223097114872</v>
      </c>
    </row>
    <row r="176" spans="1:5">
      <c r="A176" s="154" t="s">
        <v>509</v>
      </c>
      <c r="B176" s="155">
        <v>63087</v>
      </c>
      <c r="C176" s="155">
        <v>63</v>
      </c>
      <c r="D176" s="155" t="s">
        <v>442</v>
      </c>
      <c r="E176" s="156">
        <v>3731.6853471924082</v>
      </c>
    </row>
    <row r="177" spans="1:5">
      <c r="A177" s="154" t="s">
        <v>510</v>
      </c>
      <c r="B177" s="155">
        <v>63088</v>
      </c>
      <c r="C177" s="155">
        <v>63</v>
      </c>
      <c r="D177" s="155" t="s">
        <v>442</v>
      </c>
      <c r="E177" s="156">
        <v>11486.37102117902</v>
      </c>
    </row>
    <row r="178" spans="1:5">
      <c r="A178" s="154" t="s">
        <v>511</v>
      </c>
      <c r="B178" s="155">
        <v>63089</v>
      </c>
      <c r="C178" s="155">
        <v>63</v>
      </c>
      <c r="D178" s="155" t="s">
        <v>442</v>
      </c>
      <c r="E178" s="156">
        <v>5985.9634215092356</v>
      </c>
    </row>
    <row r="179" spans="1:5">
      <c r="A179" s="154" t="s">
        <v>512</v>
      </c>
      <c r="B179" s="155">
        <v>64008</v>
      </c>
      <c r="C179" s="155">
        <v>64</v>
      </c>
      <c r="D179" s="155" t="s">
        <v>442</v>
      </c>
      <c r="E179" s="156">
        <v>3227.0723707487823</v>
      </c>
    </row>
    <row r="180" spans="1:5">
      <c r="A180" s="154" t="s">
        <v>513</v>
      </c>
      <c r="B180" s="155">
        <v>64015</v>
      </c>
      <c r="C180" s="155">
        <v>64</v>
      </c>
      <c r="D180" s="155" t="s">
        <v>442</v>
      </c>
      <c r="E180" s="156">
        <v>7106.8685980361388</v>
      </c>
    </row>
    <row r="181" spans="1:5">
      <c r="A181" s="154" t="s">
        <v>514</v>
      </c>
      <c r="B181" s="155">
        <v>64021</v>
      </c>
      <c r="C181" s="155">
        <v>64</v>
      </c>
      <c r="D181" s="155" t="s">
        <v>442</v>
      </c>
      <c r="E181" s="156">
        <v>4080.3219748633469</v>
      </c>
    </row>
    <row r="182" spans="1:5">
      <c r="A182" s="154" t="s">
        <v>515</v>
      </c>
      <c r="B182" s="155">
        <v>64023</v>
      </c>
      <c r="C182" s="155">
        <v>64</v>
      </c>
      <c r="D182" s="155" t="s">
        <v>442</v>
      </c>
      <c r="E182" s="156">
        <v>3270.7474758237086</v>
      </c>
    </row>
    <row r="183" spans="1:5">
      <c r="A183" s="154" t="s">
        <v>516</v>
      </c>
      <c r="B183" s="155">
        <v>64025</v>
      </c>
      <c r="C183" s="155">
        <v>64</v>
      </c>
      <c r="D183" s="155" t="s">
        <v>442</v>
      </c>
      <c r="E183" s="156">
        <v>3174.9824461209078</v>
      </c>
    </row>
    <row r="184" spans="1:5">
      <c r="A184" s="154" t="s">
        <v>517</v>
      </c>
      <c r="B184" s="155">
        <v>64029</v>
      </c>
      <c r="C184" s="155">
        <v>64</v>
      </c>
      <c r="D184" s="155" t="s">
        <v>442</v>
      </c>
      <c r="E184" s="156">
        <v>4016.1578234470344</v>
      </c>
    </row>
    <row r="185" spans="1:5">
      <c r="A185" s="154" t="s">
        <v>518</v>
      </c>
      <c r="B185" s="155">
        <v>64034</v>
      </c>
      <c r="C185" s="155">
        <v>64</v>
      </c>
      <c r="D185" s="155" t="s">
        <v>442</v>
      </c>
      <c r="E185" s="156">
        <v>18072.410173952838</v>
      </c>
    </row>
    <row r="186" spans="1:5">
      <c r="A186" s="154" t="s">
        <v>519</v>
      </c>
      <c r="B186" s="155">
        <v>64047</v>
      </c>
      <c r="C186" s="155">
        <v>64</v>
      </c>
      <c r="D186" s="155" t="s">
        <v>442</v>
      </c>
      <c r="E186" s="156">
        <v>3383.3629716138103</v>
      </c>
    </row>
    <row r="187" spans="1:5">
      <c r="A187" s="154" t="s">
        <v>520</v>
      </c>
      <c r="B187" s="155">
        <v>64056</v>
      </c>
      <c r="C187" s="155">
        <v>64</v>
      </c>
      <c r="D187" s="155" t="s">
        <v>442</v>
      </c>
      <c r="E187" s="156">
        <v>4511.8474927269945</v>
      </c>
    </row>
    <row r="188" spans="1:5">
      <c r="A188" s="154" t="s">
        <v>521</v>
      </c>
      <c r="B188" s="155">
        <v>64063</v>
      </c>
      <c r="C188" s="155">
        <v>64</v>
      </c>
      <c r="D188" s="155" t="s">
        <v>442</v>
      </c>
      <c r="E188" s="156">
        <v>6267.9110280277246</v>
      </c>
    </row>
    <row r="189" spans="1:5">
      <c r="A189" s="154" t="s">
        <v>522</v>
      </c>
      <c r="B189" s="155">
        <v>64065</v>
      </c>
      <c r="C189" s="155">
        <v>64</v>
      </c>
      <c r="D189" s="155" t="s">
        <v>442</v>
      </c>
      <c r="E189" s="156">
        <v>7354.6332585610016</v>
      </c>
    </row>
    <row r="190" spans="1:5">
      <c r="A190" s="154" t="s">
        <v>523</v>
      </c>
      <c r="B190" s="155">
        <v>64074</v>
      </c>
      <c r="C190" s="155">
        <v>64</v>
      </c>
      <c r="D190" s="155" t="s">
        <v>442</v>
      </c>
      <c r="E190" s="156">
        <v>16265.291633216788</v>
      </c>
    </row>
    <row r="191" spans="1:5">
      <c r="A191" s="154" t="s">
        <v>524</v>
      </c>
      <c r="B191" s="155">
        <v>64075</v>
      </c>
      <c r="C191" s="155">
        <v>64</v>
      </c>
      <c r="D191" s="155" t="s">
        <v>442</v>
      </c>
      <c r="E191" s="156">
        <v>3550.2189678426635</v>
      </c>
    </row>
    <row r="192" spans="1:5">
      <c r="A192" s="154" t="s">
        <v>525</v>
      </c>
      <c r="B192" s="155">
        <v>64076</v>
      </c>
      <c r="C192" s="155">
        <v>64</v>
      </c>
      <c r="D192" s="155" t="s">
        <v>442</v>
      </c>
      <c r="E192" s="156">
        <v>4353.1737850182635</v>
      </c>
    </row>
    <row r="193" spans="1:5">
      <c r="A193" s="154" t="s">
        <v>526</v>
      </c>
      <c r="B193" s="155">
        <v>81001</v>
      </c>
      <c r="C193" s="155">
        <v>81</v>
      </c>
      <c r="D193" s="155" t="s">
        <v>527</v>
      </c>
      <c r="E193" s="156">
        <v>30859.39280457914</v>
      </c>
    </row>
    <row r="194" spans="1:5">
      <c r="A194" s="154" t="s">
        <v>528</v>
      </c>
      <c r="B194" s="155">
        <v>81003</v>
      </c>
      <c r="C194" s="155">
        <v>81</v>
      </c>
      <c r="D194" s="155" t="s">
        <v>527</v>
      </c>
      <c r="E194" s="156">
        <v>6158.2099407927226</v>
      </c>
    </row>
    <row r="195" spans="1:5">
      <c r="A195" s="154" t="s">
        <v>529</v>
      </c>
      <c r="B195" s="155">
        <v>81004</v>
      </c>
      <c r="C195" s="155">
        <v>81</v>
      </c>
      <c r="D195" s="155" t="s">
        <v>527</v>
      </c>
      <c r="E195" s="156">
        <v>17653.569092931219</v>
      </c>
    </row>
    <row r="196" spans="1:5">
      <c r="A196" s="154" t="s">
        <v>530</v>
      </c>
      <c r="B196" s="155">
        <v>81013</v>
      </c>
      <c r="C196" s="155">
        <v>81</v>
      </c>
      <c r="D196" s="155" t="s">
        <v>527</v>
      </c>
      <c r="E196" s="156">
        <v>1925.5602806560535</v>
      </c>
    </row>
    <row r="197" spans="1:5">
      <c r="A197" s="154" t="s">
        <v>531</v>
      </c>
      <c r="B197" s="155">
        <v>81015</v>
      </c>
      <c r="C197" s="155">
        <v>81</v>
      </c>
      <c r="D197" s="155" t="s">
        <v>527</v>
      </c>
      <c r="E197" s="156">
        <v>7810.0678810408663</v>
      </c>
    </row>
    <row r="198" spans="1:5">
      <c r="A198" s="154" t="s">
        <v>532</v>
      </c>
      <c r="B198" s="155">
        <v>82003</v>
      </c>
      <c r="C198" s="155">
        <v>82</v>
      </c>
      <c r="D198" s="155" t="s">
        <v>527</v>
      </c>
      <c r="E198" s="156">
        <v>17292.679992547295</v>
      </c>
    </row>
    <row r="199" spans="1:5">
      <c r="A199" s="154" t="s">
        <v>533</v>
      </c>
      <c r="B199" s="155">
        <v>82005</v>
      </c>
      <c r="C199" s="155">
        <v>82</v>
      </c>
      <c r="D199" s="155" t="s">
        <v>527</v>
      </c>
      <c r="E199" s="156">
        <v>4358.0007902473526</v>
      </c>
    </row>
    <row r="200" spans="1:5">
      <c r="A200" s="154" t="s">
        <v>534</v>
      </c>
      <c r="B200" s="155">
        <v>82009</v>
      </c>
      <c r="C200" s="155">
        <v>82</v>
      </c>
      <c r="D200" s="155" t="s">
        <v>527</v>
      </c>
      <c r="E200" s="156">
        <v>2370.6482954505454</v>
      </c>
    </row>
    <row r="201" spans="1:5">
      <c r="A201" s="154" t="s">
        <v>535</v>
      </c>
      <c r="B201" s="155">
        <v>82014</v>
      </c>
      <c r="C201" s="155">
        <v>82</v>
      </c>
      <c r="D201" s="155" t="s">
        <v>527</v>
      </c>
      <c r="E201" s="156">
        <v>5443.3364808434571</v>
      </c>
    </row>
    <row r="202" spans="1:5">
      <c r="A202" s="154" t="s">
        <v>536</v>
      </c>
      <c r="B202" s="155">
        <v>82032</v>
      </c>
      <c r="C202" s="155">
        <v>82</v>
      </c>
      <c r="D202" s="155" t="s">
        <v>527</v>
      </c>
      <c r="E202" s="156">
        <v>8251.17579528848</v>
      </c>
    </row>
    <row r="203" spans="1:5">
      <c r="A203" s="154" t="s">
        <v>537</v>
      </c>
      <c r="B203" s="155">
        <v>82036</v>
      </c>
      <c r="C203" s="155">
        <v>82</v>
      </c>
      <c r="D203" s="155" t="s">
        <v>527</v>
      </c>
      <c r="E203" s="156">
        <v>6656.0881299524772</v>
      </c>
    </row>
    <row r="204" spans="1:5">
      <c r="A204" s="154" t="s">
        <v>538</v>
      </c>
      <c r="B204" s="155">
        <v>82037</v>
      </c>
      <c r="C204" s="155">
        <v>82</v>
      </c>
      <c r="D204" s="155" t="s">
        <v>527</v>
      </c>
      <c r="E204" s="156">
        <v>5611.2091085654411</v>
      </c>
    </row>
    <row r="205" spans="1:5">
      <c r="A205" s="154" t="s">
        <v>539</v>
      </c>
      <c r="B205" s="155">
        <v>82038</v>
      </c>
      <c r="C205" s="155">
        <v>82</v>
      </c>
      <c r="D205" s="155" t="s">
        <v>527</v>
      </c>
      <c r="E205" s="156">
        <v>2767.4614071049477</v>
      </c>
    </row>
    <row r="206" spans="1:5">
      <c r="A206" s="154" t="s">
        <v>540</v>
      </c>
      <c r="B206" s="155">
        <v>83012</v>
      </c>
      <c r="C206" s="155">
        <v>83</v>
      </c>
      <c r="D206" s="155" t="s">
        <v>527</v>
      </c>
      <c r="E206" s="156">
        <v>11523.883146636224</v>
      </c>
    </row>
    <row r="207" spans="1:5">
      <c r="A207" s="154" t="s">
        <v>541</v>
      </c>
      <c r="B207" s="155">
        <v>83013</v>
      </c>
      <c r="C207" s="155">
        <v>83</v>
      </c>
      <c r="D207" s="155" t="s">
        <v>527</v>
      </c>
      <c r="E207" s="156">
        <v>3331.9428802000939</v>
      </c>
    </row>
    <row r="208" spans="1:5">
      <c r="A208" s="154" t="s">
        <v>542</v>
      </c>
      <c r="B208" s="155">
        <v>83028</v>
      </c>
      <c r="C208" s="155">
        <v>83</v>
      </c>
      <c r="D208" s="155" t="s">
        <v>527</v>
      </c>
      <c r="E208" s="156">
        <v>5591.2114853687717</v>
      </c>
    </row>
    <row r="209" spans="1:5">
      <c r="A209" s="154" t="s">
        <v>543</v>
      </c>
      <c r="B209" s="155">
        <v>83031</v>
      </c>
      <c r="C209" s="155">
        <v>83</v>
      </c>
      <c r="D209" s="155" t="s">
        <v>527</v>
      </c>
      <c r="E209" s="156">
        <v>4228.6744194906332</v>
      </c>
    </row>
    <row r="210" spans="1:5">
      <c r="A210" s="154" t="s">
        <v>544</v>
      </c>
      <c r="B210" s="155">
        <v>83034</v>
      </c>
      <c r="C210" s="155">
        <v>83</v>
      </c>
      <c r="D210" s="155" t="s">
        <v>527</v>
      </c>
      <c r="E210" s="156">
        <v>17039.610011688794</v>
      </c>
    </row>
    <row r="211" spans="1:5">
      <c r="A211" s="154" t="s">
        <v>545</v>
      </c>
      <c r="B211" s="155">
        <v>83040</v>
      </c>
      <c r="C211" s="155">
        <v>83</v>
      </c>
      <c r="D211" s="155" t="s">
        <v>527</v>
      </c>
      <c r="E211" s="156">
        <v>5579.2258977286174</v>
      </c>
    </row>
    <row r="212" spans="1:5">
      <c r="A212" s="154" t="s">
        <v>546</v>
      </c>
      <c r="B212" s="155">
        <v>83044</v>
      </c>
      <c r="C212" s="155">
        <v>83</v>
      </c>
      <c r="D212" s="155" t="s">
        <v>527</v>
      </c>
      <c r="E212" s="156">
        <v>2702.8090550279276</v>
      </c>
    </row>
    <row r="213" spans="1:5">
      <c r="A213" s="154" t="s">
        <v>547</v>
      </c>
      <c r="B213" s="155">
        <v>83049</v>
      </c>
      <c r="C213" s="155">
        <v>83</v>
      </c>
      <c r="D213" s="155" t="s">
        <v>527</v>
      </c>
      <c r="E213" s="156">
        <v>2943.3236037297984</v>
      </c>
    </row>
    <row r="214" spans="1:5">
      <c r="A214" s="154" t="s">
        <v>548</v>
      </c>
      <c r="B214" s="155">
        <v>83055</v>
      </c>
      <c r="C214" s="155">
        <v>83</v>
      </c>
      <c r="D214" s="155" t="s">
        <v>527</v>
      </c>
      <c r="E214" s="156">
        <v>4101.5195001291404</v>
      </c>
    </row>
    <row r="215" spans="1:5">
      <c r="A215" s="154" t="s">
        <v>549</v>
      </c>
      <c r="B215" s="155">
        <v>84009</v>
      </c>
      <c r="C215" s="155">
        <v>84</v>
      </c>
      <c r="D215" s="155" t="s">
        <v>527</v>
      </c>
      <c r="E215" s="156">
        <v>9176.3310461784768</v>
      </c>
    </row>
    <row r="216" spans="1:5">
      <c r="A216" s="154" t="s">
        <v>550</v>
      </c>
      <c r="B216" s="155">
        <v>84010</v>
      </c>
      <c r="C216" s="155">
        <v>84</v>
      </c>
      <c r="D216" s="155" t="s">
        <v>527</v>
      </c>
      <c r="E216" s="156">
        <v>5109.6033028883512</v>
      </c>
    </row>
    <row r="217" spans="1:5">
      <c r="A217" s="154" t="s">
        <v>551</v>
      </c>
      <c r="B217" s="155">
        <v>84016</v>
      </c>
      <c r="C217" s="155">
        <v>84</v>
      </c>
      <c r="D217" s="155" t="s">
        <v>527</v>
      </c>
      <c r="E217" s="156">
        <v>1342.5436159724593</v>
      </c>
    </row>
    <row r="218" spans="1:5">
      <c r="A218" s="154" t="s">
        <v>552</v>
      </c>
      <c r="B218" s="155">
        <v>84029</v>
      </c>
      <c r="C218" s="155">
        <v>84</v>
      </c>
      <c r="D218" s="155" t="s">
        <v>527</v>
      </c>
      <c r="E218" s="156">
        <v>1823.4367648805448</v>
      </c>
    </row>
    <row r="219" spans="1:5">
      <c r="A219" s="154" t="s">
        <v>553</v>
      </c>
      <c r="B219" s="155">
        <v>84033</v>
      </c>
      <c r="C219" s="155">
        <v>84</v>
      </c>
      <c r="D219" s="155" t="s">
        <v>527</v>
      </c>
      <c r="E219" s="156">
        <v>6703.1545255211622</v>
      </c>
    </row>
    <row r="220" spans="1:5">
      <c r="A220" s="154" t="s">
        <v>554</v>
      </c>
      <c r="B220" s="155">
        <v>84035</v>
      </c>
      <c r="C220" s="155">
        <v>84</v>
      </c>
      <c r="D220" s="155" t="s">
        <v>527</v>
      </c>
      <c r="E220" s="156">
        <v>5744.5925396960174</v>
      </c>
    </row>
    <row r="221" spans="1:5">
      <c r="A221" s="154" t="s">
        <v>555</v>
      </c>
      <c r="B221" s="155">
        <v>84043</v>
      </c>
      <c r="C221" s="155">
        <v>84</v>
      </c>
      <c r="D221" s="155" t="s">
        <v>527</v>
      </c>
      <c r="E221" s="156">
        <v>8539.8249774297637</v>
      </c>
    </row>
    <row r="222" spans="1:5">
      <c r="A222" s="154" t="s">
        <v>556</v>
      </c>
      <c r="B222" s="155">
        <v>84050</v>
      </c>
      <c r="C222" s="155">
        <v>84</v>
      </c>
      <c r="D222" s="155" t="s">
        <v>527</v>
      </c>
      <c r="E222" s="156">
        <v>5576.4326614730062</v>
      </c>
    </row>
    <row r="223" spans="1:5">
      <c r="A223" s="154" t="s">
        <v>557</v>
      </c>
      <c r="B223" s="155">
        <v>84059</v>
      </c>
      <c r="C223" s="155">
        <v>84</v>
      </c>
      <c r="D223" s="155" t="s">
        <v>527</v>
      </c>
      <c r="E223" s="156">
        <v>5301.6843595809023</v>
      </c>
    </row>
    <row r="224" spans="1:5">
      <c r="A224" s="154" t="s">
        <v>558</v>
      </c>
      <c r="B224" s="155">
        <v>84068</v>
      </c>
      <c r="C224" s="155">
        <v>84</v>
      </c>
      <c r="D224" s="155" t="s">
        <v>527</v>
      </c>
      <c r="E224" s="156">
        <v>2428.2952867225827</v>
      </c>
    </row>
    <row r="225" spans="1:5">
      <c r="A225" s="154" t="s">
        <v>559</v>
      </c>
      <c r="B225" s="155">
        <v>84075</v>
      </c>
      <c r="C225" s="155">
        <v>84</v>
      </c>
      <c r="D225" s="155" t="s">
        <v>527</v>
      </c>
      <c r="E225" s="156">
        <v>3215.9401313547232</v>
      </c>
    </row>
    <row r="226" spans="1:5">
      <c r="A226" s="154" t="s">
        <v>560</v>
      </c>
      <c r="B226" s="155">
        <v>84077</v>
      </c>
      <c r="C226" s="155">
        <v>84</v>
      </c>
      <c r="D226" s="155" t="s">
        <v>527</v>
      </c>
      <c r="E226" s="156">
        <v>11775.36078830201</v>
      </c>
    </row>
    <row r="227" spans="1:5">
      <c r="A227" s="154" t="s">
        <v>561</v>
      </c>
      <c r="B227" s="155">
        <v>85007</v>
      </c>
      <c r="C227" s="155">
        <v>85</v>
      </c>
      <c r="D227" s="155" t="s">
        <v>527</v>
      </c>
      <c r="E227" s="156">
        <v>5157.4958080782826</v>
      </c>
    </row>
    <row r="228" spans="1:5">
      <c r="A228" s="154" t="s">
        <v>562</v>
      </c>
      <c r="B228" s="155">
        <v>85009</v>
      </c>
      <c r="C228" s="155">
        <v>85</v>
      </c>
      <c r="D228" s="155" t="s">
        <v>527</v>
      </c>
      <c r="E228" s="156">
        <v>6207.2181193337774</v>
      </c>
    </row>
    <row r="229" spans="1:5">
      <c r="A229" s="154" t="s">
        <v>563</v>
      </c>
      <c r="B229" s="155">
        <v>85011</v>
      </c>
      <c r="C229" s="155">
        <v>85</v>
      </c>
      <c r="D229" s="155" t="s">
        <v>527</v>
      </c>
      <c r="E229" s="156">
        <v>5886.3501695105888</v>
      </c>
    </row>
    <row r="230" spans="1:5">
      <c r="A230" s="154" t="s">
        <v>564</v>
      </c>
      <c r="B230" s="155">
        <v>85024</v>
      </c>
      <c r="C230" s="155">
        <v>85</v>
      </c>
      <c r="D230" s="155" t="s">
        <v>527</v>
      </c>
      <c r="E230" s="156">
        <v>2912.1970678797425</v>
      </c>
    </row>
    <row r="231" spans="1:5">
      <c r="A231" s="154" t="s">
        <v>565</v>
      </c>
      <c r="B231" s="155">
        <v>85026</v>
      </c>
      <c r="C231" s="155">
        <v>85</v>
      </c>
      <c r="D231" s="155" t="s">
        <v>527</v>
      </c>
      <c r="E231" s="156">
        <v>4518.0377741682123</v>
      </c>
    </row>
    <row r="232" spans="1:5">
      <c r="A232" s="154" t="s">
        <v>566</v>
      </c>
      <c r="B232" s="155">
        <v>85034</v>
      </c>
      <c r="C232" s="155">
        <v>85</v>
      </c>
      <c r="D232" s="155" t="s">
        <v>527</v>
      </c>
      <c r="E232" s="156">
        <v>4049.0990940664137</v>
      </c>
    </row>
    <row r="233" spans="1:5">
      <c r="A233" s="154" t="s">
        <v>567</v>
      </c>
      <c r="B233" s="155">
        <v>85039</v>
      </c>
      <c r="C233" s="155">
        <v>85</v>
      </c>
      <c r="D233" s="155" t="s">
        <v>527</v>
      </c>
      <c r="E233" s="156">
        <v>5078.5322885708865</v>
      </c>
    </row>
    <row r="234" spans="1:5">
      <c r="A234" s="154" t="s">
        <v>568</v>
      </c>
      <c r="B234" s="155">
        <v>85045</v>
      </c>
      <c r="C234" s="155">
        <v>85</v>
      </c>
      <c r="D234" s="155" t="s">
        <v>527</v>
      </c>
      <c r="E234" s="156">
        <v>10687.479747250291</v>
      </c>
    </row>
    <row r="235" spans="1:5">
      <c r="A235" s="154" t="s">
        <v>569</v>
      </c>
      <c r="B235" s="155">
        <v>85046</v>
      </c>
      <c r="C235" s="155">
        <v>85</v>
      </c>
      <c r="D235" s="155" t="s">
        <v>527</v>
      </c>
      <c r="E235" s="156">
        <v>8690.7782518789936</v>
      </c>
    </row>
    <row r="236" spans="1:5">
      <c r="A236" s="154" t="s">
        <v>570</v>
      </c>
      <c r="B236" s="155">
        <v>85047</v>
      </c>
      <c r="C236" s="155">
        <v>85</v>
      </c>
      <c r="D236" s="155" t="s">
        <v>527</v>
      </c>
      <c r="E236" s="156">
        <v>2147.8116792628098</v>
      </c>
    </row>
    <row r="237" spans="1:5">
      <c r="A237" s="154" t="s">
        <v>571</v>
      </c>
      <c r="B237" s="155">
        <v>91005</v>
      </c>
      <c r="C237" s="155">
        <v>91</v>
      </c>
      <c r="D237" s="155" t="s">
        <v>572</v>
      </c>
      <c r="E237" s="156">
        <v>7141.1896017822555</v>
      </c>
    </row>
    <row r="238" spans="1:5">
      <c r="A238" s="154" t="s">
        <v>573</v>
      </c>
      <c r="B238" s="155">
        <v>91013</v>
      </c>
      <c r="C238" s="155">
        <v>91</v>
      </c>
      <c r="D238" s="155" t="s">
        <v>572</v>
      </c>
      <c r="E238" s="156">
        <v>9787.795282838737</v>
      </c>
    </row>
    <row r="239" spans="1:5">
      <c r="A239" s="154" t="s">
        <v>574</v>
      </c>
      <c r="B239" s="155">
        <v>91015</v>
      </c>
      <c r="C239" s="155">
        <v>91</v>
      </c>
      <c r="D239" s="155" t="s">
        <v>572</v>
      </c>
      <c r="E239" s="156">
        <v>3586.8673880555712</v>
      </c>
    </row>
    <row r="240" spans="1:5">
      <c r="A240" s="154" t="s">
        <v>575</v>
      </c>
      <c r="B240" s="155">
        <v>91030</v>
      </c>
      <c r="C240" s="155">
        <v>91</v>
      </c>
      <c r="D240" s="155" t="s">
        <v>572</v>
      </c>
      <c r="E240" s="156">
        <v>17834.768267789685</v>
      </c>
    </row>
    <row r="241" spans="1:5">
      <c r="A241" s="154" t="s">
        <v>576</v>
      </c>
      <c r="B241" s="155">
        <v>91034</v>
      </c>
      <c r="C241" s="155">
        <v>91</v>
      </c>
      <c r="D241" s="155" t="s">
        <v>572</v>
      </c>
      <c r="E241" s="156">
        <v>12934.253503619639</v>
      </c>
    </row>
    <row r="242" spans="1:5">
      <c r="A242" s="154" t="s">
        <v>577</v>
      </c>
      <c r="B242" s="155">
        <v>91054</v>
      </c>
      <c r="C242" s="155">
        <v>91</v>
      </c>
      <c r="D242" s="155" t="s">
        <v>572</v>
      </c>
      <c r="E242" s="156">
        <v>4703.8989651131315</v>
      </c>
    </row>
    <row r="243" spans="1:5">
      <c r="A243" s="154" t="s">
        <v>578</v>
      </c>
      <c r="B243" s="155">
        <v>91059</v>
      </c>
      <c r="C243" s="155">
        <v>91</v>
      </c>
      <c r="D243" s="155" t="s">
        <v>572</v>
      </c>
      <c r="E243" s="156">
        <v>7918.2406972523058</v>
      </c>
    </row>
    <row r="244" spans="1:5">
      <c r="A244" s="154" t="s">
        <v>579</v>
      </c>
      <c r="B244" s="155">
        <v>91064</v>
      </c>
      <c r="C244" s="155">
        <v>91</v>
      </c>
      <c r="D244" s="155" t="s">
        <v>572</v>
      </c>
      <c r="E244" s="156">
        <v>5369.6354207401291</v>
      </c>
    </row>
    <row r="245" spans="1:5">
      <c r="A245" s="154" t="s">
        <v>580</v>
      </c>
      <c r="B245" s="155">
        <v>91072</v>
      </c>
      <c r="C245" s="155">
        <v>91</v>
      </c>
      <c r="D245" s="155" t="s">
        <v>572</v>
      </c>
      <c r="E245" s="156">
        <v>5385.8941783383561</v>
      </c>
    </row>
    <row r="246" spans="1:5">
      <c r="A246" s="154" t="s">
        <v>581</v>
      </c>
      <c r="B246" s="155">
        <v>91103</v>
      </c>
      <c r="C246" s="155">
        <v>91</v>
      </c>
      <c r="D246" s="155" t="s">
        <v>572</v>
      </c>
      <c r="E246" s="156">
        <v>3323.3378285914459</v>
      </c>
    </row>
    <row r="247" spans="1:5">
      <c r="A247" s="154" t="s">
        <v>582</v>
      </c>
      <c r="B247" s="155">
        <v>91114</v>
      </c>
      <c r="C247" s="155">
        <v>91</v>
      </c>
      <c r="D247" s="155" t="s">
        <v>572</v>
      </c>
      <c r="E247" s="156">
        <v>12598.554167920702</v>
      </c>
    </row>
    <row r="248" spans="1:5">
      <c r="A248" s="154" t="s">
        <v>583</v>
      </c>
      <c r="B248" s="155">
        <v>91120</v>
      </c>
      <c r="C248" s="155">
        <v>91</v>
      </c>
      <c r="D248" s="155" t="s">
        <v>572</v>
      </c>
      <c r="E248" s="156">
        <v>6744.5313204816784</v>
      </c>
    </row>
    <row r="249" spans="1:5">
      <c r="A249" s="154" t="s">
        <v>584</v>
      </c>
      <c r="B249" s="155">
        <v>91141</v>
      </c>
      <c r="C249" s="155">
        <v>91</v>
      </c>
      <c r="D249" s="155" t="s">
        <v>572</v>
      </c>
      <c r="E249" s="156">
        <v>9648.5919228690436</v>
      </c>
    </row>
    <row r="250" spans="1:5">
      <c r="A250" s="154" t="s">
        <v>585</v>
      </c>
      <c r="B250" s="155">
        <v>91142</v>
      </c>
      <c r="C250" s="155">
        <v>91</v>
      </c>
      <c r="D250" s="155" t="s">
        <v>572</v>
      </c>
      <c r="E250" s="156">
        <v>6161.5703941195115</v>
      </c>
    </row>
    <row r="251" spans="1:5">
      <c r="A251" s="154" t="s">
        <v>586</v>
      </c>
      <c r="B251" s="155">
        <v>91143</v>
      </c>
      <c r="C251" s="155">
        <v>91</v>
      </c>
      <c r="D251" s="155" t="s">
        <v>572</v>
      </c>
      <c r="E251" s="156">
        <v>2498.4710604878069</v>
      </c>
    </row>
    <row r="252" spans="1:5">
      <c r="A252" s="154" t="s">
        <v>587</v>
      </c>
      <c r="B252" s="155">
        <v>92003</v>
      </c>
      <c r="C252" s="155">
        <v>92</v>
      </c>
      <c r="D252" s="155" t="s">
        <v>572</v>
      </c>
      <c r="E252" s="156">
        <v>30585.64902958741</v>
      </c>
    </row>
    <row r="253" spans="1:5">
      <c r="A253" s="154" t="s">
        <v>588</v>
      </c>
      <c r="B253" s="155">
        <v>92006</v>
      </c>
      <c r="C253" s="155">
        <v>92</v>
      </c>
      <c r="D253" s="155" t="s">
        <v>572</v>
      </c>
      <c r="E253" s="156">
        <v>7313.3261276801904</v>
      </c>
    </row>
    <row r="254" spans="1:5">
      <c r="A254" s="154" t="s">
        <v>589</v>
      </c>
      <c r="B254" s="155">
        <v>92035</v>
      </c>
      <c r="C254" s="155">
        <v>92</v>
      </c>
      <c r="D254" s="155" t="s">
        <v>572</v>
      </c>
      <c r="E254" s="156">
        <v>18175.821114389779</v>
      </c>
    </row>
    <row r="255" spans="1:5">
      <c r="A255" s="154" t="s">
        <v>590</v>
      </c>
      <c r="B255" s="155">
        <v>92045</v>
      </c>
      <c r="C255" s="155">
        <v>92</v>
      </c>
      <c r="D255" s="155" t="s">
        <v>572</v>
      </c>
      <c r="E255" s="156">
        <v>8674.8262386763763</v>
      </c>
    </row>
    <row r="256" spans="1:5">
      <c r="A256" s="154" t="s">
        <v>591</v>
      </c>
      <c r="B256" s="155">
        <v>92048</v>
      </c>
      <c r="C256" s="155">
        <v>92</v>
      </c>
      <c r="D256" s="155" t="s">
        <v>572</v>
      </c>
      <c r="E256" s="156">
        <v>11230.114175056495</v>
      </c>
    </row>
    <row r="257" spans="1:5">
      <c r="A257" s="154" t="s">
        <v>592</v>
      </c>
      <c r="B257" s="155">
        <v>92054</v>
      </c>
      <c r="C257" s="155">
        <v>92</v>
      </c>
      <c r="D257" s="155" t="s">
        <v>572</v>
      </c>
      <c r="E257" s="156">
        <v>7589.4395138960981</v>
      </c>
    </row>
    <row r="258" spans="1:5">
      <c r="A258" s="154" t="s">
        <v>593</v>
      </c>
      <c r="B258" s="155">
        <v>92087</v>
      </c>
      <c r="C258" s="155">
        <v>92</v>
      </c>
      <c r="D258" s="155" t="s">
        <v>572</v>
      </c>
      <c r="E258" s="156">
        <v>13315.164986935952</v>
      </c>
    </row>
    <row r="259" spans="1:5">
      <c r="A259" s="154" t="s">
        <v>594</v>
      </c>
      <c r="B259" s="155">
        <v>92094</v>
      </c>
      <c r="C259" s="155">
        <v>92</v>
      </c>
      <c r="D259" s="155" t="s">
        <v>572</v>
      </c>
      <c r="E259" s="156">
        <v>110978.32389588714</v>
      </c>
    </row>
    <row r="260" spans="1:5">
      <c r="A260" s="154" t="s">
        <v>595</v>
      </c>
      <c r="B260" s="155">
        <v>92097</v>
      </c>
      <c r="C260" s="155">
        <v>92</v>
      </c>
      <c r="D260" s="155" t="s">
        <v>572</v>
      </c>
      <c r="E260" s="156">
        <v>5620.4950675582159</v>
      </c>
    </row>
    <row r="261" spans="1:5">
      <c r="A261" s="154" t="s">
        <v>596</v>
      </c>
      <c r="B261" s="155">
        <v>92101</v>
      </c>
      <c r="C261" s="155">
        <v>92</v>
      </c>
      <c r="D261" s="155" t="s">
        <v>572</v>
      </c>
      <c r="E261" s="156">
        <v>13143.253109440526</v>
      </c>
    </row>
    <row r="262" spans="1:5">
      <c r="A262" s="154" t="s">
        <v>597</v>
      </c>
      <c r="B262" s="155">
        <v>92114</v>
      </c>
      <c r="C262" s="155">
        <v>92</v>
      </c>
      <c r="D262" s="155" t="s">
        <v>572</v>
      </c>
      <c r="E262" s="156">
        <v>9106.2010158362227</v>
      </c>
    </row>
    <row r="263" spans="1:5">
      <c r="A263" s="154" t="s">
        <v>598</v>
      </c>
      <c r="B263" s="155">
        <v>92137</v>
      </c>
      <c r="C263" s="155">
        <v>92</v>
      </c>
      <c r="D263" s="155" t="s">
        <v>572</v>
      </c>
      <c r="E263" s="156">
        <v>29934.699390521568</v>
      </c>
    </row>
    <row r="264" spans="1:5">
      <c r="A264" s="154" t="s">
        <v>599</v>
      </c>
      <c r="B264" s="155">
        <v>92138</v>
      </c>
      <c r="C264" s="155">
        <v>92</v>
      </c>
      <c r="D264" s="155" t="s">
        <v>572</v>
      </c>
      <c r="E264" s="156">
        <v>9321.5831844104505</v>
      </c>
    </row>
    <row r="265" spans="1:5">
      <c r="A265" s="154" t="s">
        <v>600</v>
      </c>
      <c r="B265" s="155">
        <v>92140</v>
      </c>
      <c r="C265" s="155">
        <v>92</v>
      </c>
      <c r="D265" s="155" t="s">
        <v>572</v>
      </c>
      <c r="E265" s="156">
        <v>19935.495277227456</v>
      </c>
    </row>
    <row r="266" spans="1:5">
      <c r="A266" s="154" t="s">
        <v>601</v>
      </c>
      <c r="B266" s="155">
        <v>92141</v>
      </c>
      <c r="C266" s="155">
        <v>92</v>
      </c>
      <c r="D266" s="155" t="s">
        <v>572</v>
      </c>
      <c r="E266" s="156">
        <v>9707.3712329140944</v>
      </c>
    </row>
    <row r="267" spans="1:5">
      <c r="A267" s="154" t="s">
        <v>602</v>
      </c>
      <c r="B267" s="155">
        <v>92142</v>
      </c>
      <c r="C267" s="155">
        <v>92</v>
      </c>
      <c r="D267" s="155" t="s">
        <v>572</v>
      </c>
      <c r="E267" s="156">
        <v>29477.436639982032</v>
      </c>
    </row>
    <row r="268" spans="1:5">
      <c r="A268" s="154" t="s">
        <v>603</v>
      </c>
      <c r="B268" s="155">
        <v>93010</v>
      </c>
      <c r="C268" s="155">
        <v>93</v>
      </c>
      <c r="D268" s="155" t="s">
        <v>572</v>
      </c>
      <c r="E268" s="156">
        <v>5007.4507574610234</v>
      </c>
    </row>
    <row r="269" spans="1:5">
      <c r="A269" s="154" t="s">
        <v>604</v>
      </c>
      <c r="B269" s="155">
        <v>93014</v>
      </c>
      <c r="C269" s="155">
        <v>93</v>
      </c>
      <c r="D269" s="155" t="s">
        <v>572</v>
      </c>
      <c r="E269" s="156">
        <v>13005.006124281113</v>
      </c>
    </row>
    <row r="270" spans="1:5">
      <c r="A270" s="154" t="s">
        <v>605</v>
      </c>
      <c r="B270" s="155">
        <v>93018</v>
      </c>
      <c r="C270" s="155">
        <v>93</v>
      </c>
      <c r="D270" s="155" t="s">
        <v>572</v>
      </c>
      <c r="E270" s="156">
        <v>3067.0726416236025</v>
      </c>
    </row>
    <row r="271" spans="1:5">
      <c r="A271" s="154" t="s">
        <v>606</v>
      </c>
      <c r="B271" s="155">
        <v>93022</v>
      </c>
      <c r="C271" s="155">
        <v>93</v>
      </c>
      <c r="D271" s="155" t="s">
        <v>572</v>
      </c>
      <c r="E271" s="156">
        <v>11750.231196312809</v>
      </c>
    </row>
    <row r="272" spans="1:5">
      <c r="A272" s="154" t="s">
        <v>607</v>
      </c>
      <c r="B272" s="155">
        <v>93056</v>
      </c>
      <c r="C272" s="155">
        <v>93</v>
      </c>
      <c r="D272" s="155" t="s">
        <v>572</v>
      </c>
      <c r="E272" s="156">
        <v>9270.3160560920096</v>
      </c>
    </row>
    <row r="273" spans="1:5">
      <c r="A273" s="154" t="s">
        <v>608</v>
      </c>
      <c r="B273" s="155">
        <v>93088</v>
      </c>
      <c r="C273" s="155">
        <v>93</v>
      </c>
      <c r="D273" s="155" t="s">
        <v>572</v>
      </c>
      <c r="E273" s="156">
        <v>18126.985379243008</v>
      </c>
    </row>
    <row r="274" spans="1:5">
      <c r="A274" s="154" t="s">
        <v>609</v>
      </c>
      <c r="B274" s="155">
        <v>93090</v>
      </c>
      <c r="C274" s="155">
        <v>93</v>
      </c>
      <c r="D274" s="155" t="s">
        <v>572</v>
      </c>
      <c r="E274" s="156">
        <v>5509.1378449864314</v>
      </c>
    </row>
  </sheetData>
  <sheetProtection formatRows="0"/>
  <mergeCells count="1">
    <mergeCell ref="A10:E1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4"/>
  <dimension ref="A1:H34"/>
  <sheetViews>
    <sheetView zoomScale="60" zoomScaleNormal="60" workbookViewId="0">
      <pane xSplit="1" ySplit="1" topLeftCell="B21" activePane="bottomRight" state="frozen"/>
      <selection pane="topRight" activeCell="O22" sqref="O22"/>
      <selection pane="bottomLeft" activeCell="O22" sqref="O22"/>
      <selection pane="bottomRight" activeCell="B30" sqref="B30"/>
    </sheetView>
  </sheetViews>
  <sheetFormatPr baseColWidth="10" defaultColWidth="9.109375" defaultRowHeight="14.4"/>
  <cols>
    <col min="1" max="1" width="71.44140625" bestFit="1" customWidth="1"/>
    <col min="2" max="2" width="40.109375" bestFit="1" customWidth="1"/>
    <col min="3" max="3" width="24.44140625" bestFit="1" customWidth="1"/>
    <col min="4" max="4" width="9.109375" customWidth="1"/>
    <col min="5" max="5" width="37.5546875" customWidth="1"/>
    <col min="6" max="6" width="32.44140625" bestFit="1" customWidth="1"/>
    <col min="7" max="7" width="33.44140625" bestFit="1" customWidth="1"/>
  </cols>
  <sheetData>
    <row r="1" spans="1:8">
      <c r="A1" s="372" t="s">
        <v>325</v>
      </c>
      <c r="B1" s="372" t="s">
        <v>79</v>
      </c>
      <c r="C1" s="372" t="s">
        <v>611</v>
      </c>
      <c r="D1" s="372"/>
      <c r="E1" s="1301" t="s">
        <v>615</v>
      </c>
      <c r="F1" s="372" t="s">
        <v>616</v>
      </c>
      <c r="G1" s="1302" t="s">
        <v>617</v>
      </c>
      <c r="H1" s="1302" t="s">
        <v>618</v>
      </c>
    </row>
    <row r="2" spans="1:8">
      <c r="A2" s="372" t="s">
        <v>619</v>
      </c>
      <c r="B2" s="372"/>
      <c r="C2" s="372"/>
      <c r="D2" s="372"/>
      <c r="E2" s="1301"/>
      <c r="F2" s="372"/>
      <c r="G2" s="1302"/>
      <c r="H2" s="1302"/>
    </row>
    <row r="3" spans="1:8" ht="230.4">
      <c r="A3" s="59" t="s">
        <v>620</v>
      </c>
      <c r="B3" s="372" t="s">
        <v>621</v>
      </c>
      <c r="C3" s="133">
        <v>8.8847999999999983E-3</v>
      </c>
      <c r="D3" s="60"/>
      <c r="E3" s="134" t="s">
        <v>622</v>
      </c>
      <c r="F3" s="135">
        <f t="shared" ref="F3:F33" si="0">C3*1000*G3</f>
        <v>2.1296865599999997</v>
      </c>
      <c r="G3" s="136">
        <v>0.2397</v>
      </c>
      <c r="H3" s="137" t="s">
        <v>623</v>
      </c>
    </row>
    <row r="4" spans="1:8" ht="57.6">
      <c r="A4" s="59" t="s">
        <v>624</v>
      </c>
      <c r="B4" s="372" t="s">
        <v>621</v>
      </c>
      <c r="C4" s="133">
        <v>1.2621039999999998E-2</v>
      </c>
      <c r="D4" s="60"/>
      <c r="E4" s="134" t="s">
        <v>625</v>
      </c>
      <c r="F4" s="135">
        <f t="shared" si="0"/>
        <v>3.0252632879999997</v>
      </c>
      <c r="G4" s="136">
        <v>0.2397</v>
      </c>
      <c r="H4" s="136"/>
    </row>
    <row r="5" spans="1:8">
      <c r="A5" s="59" t="s">
        <v>626</v>
      </c>
      <c r="B5" s="372" t="s">
        <v>621</v>
      </c>
      <c r="C5" s="133">
        <v>2.2458000000000001E-3</v>
      </c>
      <c r="D5" s="60"/>
      <c r="E5" s="138"/>
      <c r="F5" s="135">
        <f t="shared" si="0"/>
        <v>0.53831826000000005</v>
      </c>
      <c r="G5" s="136">
        <v>0.2397</v>
      </c>
      <c r="H5" s="136"/>
    </row>
    <row r="6" spans="1:8" ht="57.6">
      <c r="A6" s="59" t="s">
        <v>627</v>
      </c>
      <c r="B6" s="372" t="s">
        <v>621</v>
      </c>
      <c r="C6" s="133">
        <v>5.8731199999999999E-3</v>
      </c>
      <c r="D6" s="60"/>
      <c r="E6" s="134" t="s">
        <v>628</v>
      </c>
      <c r="F6" s="135">
        <f t="shared" si="0"/>
        <v>1.407786864</v>
      </c>
      <c r="G6" s="136">
        <v>0.2397</v>
      </c>
      <c r="H6" s="136"/>
    </row>
    <row r="7" spans="1:8">
      <c r="A7" s="59" t="s">
        <v>629</v>
      </c>
      <c r="B7" s="372"/>
      <c r="C7" s="133">
        <f>18.20688375/1000</f>
        <v>1.820688375E-2</v>
      </c>
      <c r="D7" s="60"/>
      <c r="E7" s="134"/>
      <c r="F7" s="135" t="e">
        <f ca="1">C7*'Bilan territorial'!$M$33/'Bilan territorial'!$M$15</f>
        <v>#REF!</v>
      </c>
      <c r="G7" s="136"/>
      <c r="H7" s="136"/>
    </row>
    <row r="8" spans="1:8" ht="86.4">
      <c r="A8" s="59" t="s">
        <v>630</v>
      </c>
      <c r="B8" s="372" t="s">
        <v>621</v>
      </c>
      <c r="C8" s="133">
        <v>2E-3</v>
      </c>
      <c r="D8" s="60"/>
      <c r="E8" s="134" t="s">
        <v>631</v>
      </c>
      <c r="F8" s="135">
        <f t="shared" si="0"/>
        <v>0.47939999999999999</v>
      </c>
      <c r="G8" s="136">
        <v>0.2397</v>
      </c>
      <c r="H8" s="136"/>
    </row>
    <row r="9" spans="1:8" ht="72">
      <c r="A9" s="59" t="s">
        <v>632</v>
      </c>
      <c r="B9" s="372" t="s">
        <v>98</v>
      </c>
      <c r="C9" s="133">
        <v>1.0528000000000001E-2</v>
      </c>
      <c r="D9" s="60"/>
      <c r="E9" s="134" t="s">
        <v>633</v>
      </c>
      <c r="F9" s="135">
        <f t="shared" si="0"/>
        <v>2.13192</v>
      </c>
      <c r="G9" s="136">
        <v>0.20250000000000001</v>
      </c>
      <c r="H9" s="136"/>
    </row>
    <row r="10" spans="1:8">
      <c r="A10" t="s">
        <v>634</v>
      </c>
      <c r="B10" s="372" t="s">
        <v>621</v>
      </c>
      <c r="C10" s="133">
        <f>Mesures_conversion!C3</f>
        <v>8.3333333333333332E-3</v>
      </c>
      <c r="D10" s="60"/>
      <c r="E10" s="134"/>
      <c r="F10" s="135" t="e">
        <f t="shared" ca="1" si="0"/>
        <v>#REF!</v>
      </c>
      <c r="G10" s="136" t="e">
        <f ca="1">'Bilan territorial'!AO61</f>
        <v>#REF!</v>
      </c>
      <c r="H10" s="136"/>
    </row>
    <row r="11" spans="1:8" ht="57.6">
      <c r="A11" s="59" t="s">
        <v>635</v>
      </c>
      <c r="B11" s="372" t="s">
        <v>636</v>
      </c>
      <c r="C11" s="133">
        <v>0.25</v>
      </c>
      <c r="D11" s="60"/>
      <c r="E11" s="138" t="s">
        <v>637</v>
      </c>
      <c r="F11" s="135">
        <f t="shared" si="0"/>
        <v>59.924999999999997</v>
      </c>
      <c r="G11" s="136">
        <v>0.2397</v>
      </c>
      <c r="H11" s="136"/>
    </row>
    <row r="12" spans="1:8">
      <c r="A12" s="59" t="s">
        <v>638</v>
      </c>
      <c r="B12" s="372" t="s">
        <v>636</v>
      </c>
      <c r="C12" s="133">
        <f>3.717/1000</f>
        <v>3.7170000000000003E-3</v>
      </c>
      <c r="D12" s="60"/>
      <c r="E12" s="59" t="s">
        <v>639</v>
      </c>
      <c r="F12" s="135">
        <f t="shared" si="0"/>
        <v>0.89096490000000006</v>
      </c>
      <c r="G12" s="136">
        <v>0.2397</v>
      </c>
      <c r="H12" s="136"/>
    </row>
    <row r="13" spans="1:8" ht="28.8">
      <c r="A13" s="59" t="s">
        <v>640</v>
      </c>
      <c r="B13" s="372" t="s">
        <v>93</v>
      </c>
      <c r="C13" s="133">
        <v>3.5E-4</v>
      </c>
      <c r="D13" s="60"/>
      <c r="E13" s="134" t="s">
        <v>641</v>
      </c>
      <c r="F13" s="135" t="e">
        <f t="shared" si="0"/>
        <v>#N/A</v>
      </c>
      <c r="G13" s="136" t="e">
        <f>'Bilan territorial'!K62</f>
        <v>#N/A</v>
      </c>
      <c r="H13" s="136"/>
    </row>
    <row r="14" spans="1:8">
      <c r="A14" s="59" t="s">
        <v>642</v>
      </c>
      <c r="B14" s="372"/>
      <c r="C14" s="139">
        <v>3.7230000000000001E-5</v>
      </c>
      <c r="D14" s="60"/>
      <c r="E14" s="134"/>
      <c r="F14" s="140" t="e">
        <f t="shared" si="0"/>
        <v>#N/A</v>
      </c>
      <c r="G14" s="136" t="e">
        <f>G13</f>
        <v>#N/A</v>
      </c>
      <c r="H14" s="136"/>
    </row>
    <row r="15" spans="1:8" ht="72">
      <c r="A15" s="59" t="s">
        <v>643</v>
      </c>
      <c r="B15" s="372" t="s">
        <v>93</v>
      </c>
      <c r="C15" s="133">
        <v>8.0399999999999989E-5</v>
      </c>
      <c r="D15" s="60"/>
      <c r="E15" s="134" t="s">
        <v>644</v>
      </c>
      <c r="F15" s="140" t="e">
        <f t="shared" si="0"/>
        <v>#N/A</v>
      </c>
      <c r="G15" s="136" t="e">
        <f>G14</f>
        <v>#N/A</v>
      </c>
      <c r="H15" s="136"/>
    </row>
    <row r="16" spans="1:8">
      <c r="A16" s="59" t="s">
        <v>645</v>
      </c>
      <c r="B16" s="372"/>
      <c r="C16" s="133">
        <v>6.2399999999999999E-5</v>
      </c>
      <c r="D16" s="60"/>
      <c r="E16" s="134"/>
      <c r="F16" s="140" t="e">
        <f t="shared" si="0"/>
        <v>#N/A</v>
      </c>
      <c r="G16" s="136" t="e">
        <f>G15</f>
        <v>#N/A</v>
      </c>
      <c r="H16" s="136"/>
    </row>
    <row r="17" spans="1:8" ht="115.2">
      <c r="A17" s="59" t="s">
        <v>646</v>
      </c>
      <c r="B17" s="372" t="s">
        <v>93</v>
      </c>
      <c r="C17" s="139">
        <v>1.2899999999999999E-4</v>
      </c>
      <c r="D17" s="60"/>
      <c r="E17" s="141" t="s">
        <v>647</v>
      </c>
      <c r="F17" s="140" t="e">
        <f t="shared" si="0"/>
        <v>#N/A</v>
      </c>
      <c r="G17" s="136" t="e">
        <f>G16</f>
        <v>#N/A</v>
      </c>
      <c r="H17" s="136"/>
    </row>
    <row r="18" spans="1:8">
      <c r="A18" s="372" t="s">
        <v>619</v>
      </c>
      <c r="B18" s="372"/>
      <c r="C18" s="139"/>
      <c r="D18" s="60"/>
      <c r="E18" s="141"/>
      <c r="F18" s="140"/>
      <c r="G18" s="136"/>
      <c r="H18" s="136"/>
    </row>
    <row r="19" spans="1:8" ht="57.6">
      <c r="A19" s="59" t="s">
        <v>648</v>
      </c>
      <c r="B19" s="372" t="s">
        <v>649</v>
      </c>
      <c r="C19" s="133">
        <f>0.75*200*30*0.5/1000000</f>
        <v>2.2499999999999998E-3</v>
      </c>
      <c r="D19" s="60"/>
      <c r="E19" s="142" t="s">
        <v>650</v>
      </c>
      <c r="F19" s="135">
        <f t="shared" si="0"/>
        <v>0.58972500000000005</v>
      </c>
      <c r="G19" s="136">
        <v>0.2621</v>
      </c>
      <c r="H19" s="136"/>
    </row>
    <row r="20" spans="1:8" ht="115.2">
      <c r="A20" s="59" t="s">
        <v>651</v>
      </c>
      <c r="B20" s="372" t="s">
        <v>649</v>
      </c>
      <c r="C20" s="133">
        <f>200*0.75*10*(0.5*0.5+0.5*0.225)/1000000</f>
        <v>5.4374999999999996E-4</v>
      </c>
      <c r="D20" s="60"/>
      <c r="E20" s="143" t="s">
        <v>652</v>
      </c>
      <c r="F20" s="135">
        <f t="shared" si="0"/>
        <v>0.14251687499999999</v>
      </c>
      <c r="G20" s="136">
        <v>0.2621</v>
      </c>
      <c r="H20" s="136"/>
    </row>
    <row r="21" spans="1:8" ht="158.4">
      <c r="A21" s="59" t="s">
        <v>653</v>
      </c>
      <c r="B21" s="372" t="s">
        <v>649</v>
      </c>
      <c r="C21" s="133">
        <f>200/5*(0.8*0.5*30+0.2*0.137*80)/1000000</f>
        <v>5.6768000000000009E-4</v>
      </c>
      <c r="D21" s="60"/>
      <c r="E21" s="143" t="s">
        <v>654</v>
      </c>
      <c r="F21" s="135">
        <f t="shared" si="0"/>
        <v>0.14878892800000001</v>
      </c>
      <c r="G21" s="136">
        <v>0.2621</v>
      </c>
      <c r="H21" s="136"/>
    </row>
    <row r="22" spans="1:8">
      <c r="A22" s="59" t="s">
        <v>655</v>
      </c>
      <c r="B22" s="372" t="s">
        <v>649</v>
      </c>
      <c r="C22" s="133">
        <v>3.3165E-3</v>
      </c>
      <c r="D22" s="60"/>
      <c r="E22" s="59" t="s">
        <v>656</v>
      </c>
      <c r="F22" s="135">
        <f t="shared" si="0"/>
        <v>0.86925465000000002</v>
      </c>
      <c r="G22" s="136">
        <v>0.2621</v>
      </c>
      <c r="H22" s="136"/>
    </row>
    <row r="23" spans="1:8">
      <c r="A23" s="59" t="s">
        <v>657</v>
      </c>
      <c r="B23" s="372" t="s">
        <v>649</v>
      </c>
      <c r="C23" s="133">
        <v>8.9999999999999998E-4</v>
      </c>
      <c r="D23" s="60"/>
      <c r="E23" s="59" t="s">
        <v>658</v>
      </c>
      <c r="F23" s="135">
        <f t="shared" si="0"/>
        <v>0.23589000000000002</v>
      </c>
      <c r="G23" s="136">
        <v>0.2621</v>
      </c>
      <c r="H23" s="136"/>
    </row>
    <row r="24" spans="1:8">
      <c r="A24" s="59" t="s">
        <v>659</v>
      </c>
      <c r="B24" s="372"/>
      <c r="C24" s="133">
        <f>200*30*(0.5-0.17)/1000000</f>
        <v>1.98E-3</v>
      </c>
      <c r="D24" s="60"/>
      <c r="E24" s="59"/>
      <c r="F24" s="135" t="e">
        <f ca="1">200*30*(0.5*Hypothèses!B6-0.17*'Bilan territorial'!$K$61)/1000</f>
        <v>#REF!</v>
      </c>
      <c r="G24" s="136"/>
      <c r="H24" s="136"/>
    </row>
    <row r="25" spans="1:8">
      <c r="A25" s="59" t="s">
        <v>660</v>
      </c>
      <c r="B25" s="372"/>
      <c r="C25" s="133"/>
      <c r="D25" s="60"/>
      <c r="E25" s="59"/>
      <c r="F25" s="135">
        <f>200*30*(Hypothèses!B5-Hypothèses!B9)/1000</f>
        <v>0.35207971833622542</v>
      </c>
      <c r="G25" s="136"/>
      <c r="H25" s="136"/>
    </row>
    <row r="26" spans="1:8">
      <c r="A26" s="59" t="s">
        <v>320</v>
      </c>
      <c r="B26" s="372" t="s">
        <v>93</v>
      </c>
      <c r="C26" s="133">
        <f>0.65/100</f>
        <v>6.5000000000000006E-3</v>
      </c>
      <c r="D26" s="60"/>
      <c r="E26" s="138"/>
      <c r="F26" s="135" t="e">
        <f t="shared" si="0"/>
        <v>#N/A</v>
      </c>
      <c r="G26" s="136" t="e">
        <f>G27</f>
        <v>#N/A</v>
      </c>
      <c r="H26" s="136"/>
    </row>
    <row r="27" spans="1:8" ht="100.8">
      <c r="A27" s="59" t="s">
        <v>314</v>
      </c>
      <c r="B27" s="372" t="s">
        <v>93</v>
      </c>
      <c r="C27" s="133">
        <f>2190/1000</f>
        <v>2.19</v>
      </c>
      <c r="D27" s="60"/>
      <c r="E27" s="144" t="s">
        <v>662</v>
      </c>
      <c r="F27" s="135" t="e">
        <f t="shared" si="0"/>
        <v>#N/A</v>
      </c>
      <c r="G27" s="136" t="e">
        <f>'Bilan territorial'!K62</f>
        <v>#N/A</v>
      </c>
      <c r="H27" s="136"/>
    </row>
    <row r="28" spans="1:8">
      <c r="A28" s="59" t="s">
        <v>663</v>
      </c>
      <c r="B28" s="372"/>
      <c r="C28" s="133">
        <f>950*3/1000000</f>
        <v>2.8500000000000001E-3</v>
      </c>
      <c r="D28" s="60"/>
      <c r="E28" s="144"/>
      <c r="F28" s="135" t="e">
        <f t="shared" si="0"/>
        <v>#N/A</v>
      </c>
      <c r="G28" s="136" t="e">
        <f>G27</f>
        <v>#N/A</v>
      </c>
      <c r="H28" s="136"/>
    </row>
    <row r="29" spans="1:8">
      <c r="A29" s="59" t="s">
        <v>664</v>
      </c>
      <c r="B29" s="372" t="s">
        <v>93</v>
      </c>
      <c r="C29" s="133">
        <f>950*5/1000000</f>
        <v>4.7499999999999999E-3</v>
      </c>
      <c r="D29" s="60"/>
      <c r="E29" s="138"/>
      <c r="F29" s="135" t="e">
        <f t="shared" si="0"/>
        <v>#N/A</v>
      </c>
      <c r="G29" s="136" t="e">
        <f>G28</f>
        <v>#N/A</v>
      </c>
      <c r="H29" s="136"/>
    </row>
    <row r="30" spans="1:8" ht="100.8">
      <c r="A30" s="59" t="s">
        <v>317</v>
      </c>
      <c r="B30" s="372" t="s">
        <v>93</v>
      </c>
      <c r="C30" s="133">
        <f>950/1000000</f>
        <v>9.5E-4</v>
      </c>
      <c r="D30" s="60"/>
      <c r="E30" s="138" t="s">
        <v>665</v>
      </c>
      <c r="F30" s="135" t="e">
        <f t="shared" si="0"/>
        <v>#N/A</v>
      </c>
      <c r="G30" s="136" t="e">
        <f>G29</f>
        <v>#N/A</v>
      </c>
      <c r="H30" s="136"/>
    </row>
    <row r="31" spans="1:8" ht="28.8">
      <c r="A31" s="59" t="s">
        <v>318</v>
      </c>
      <c r="B31" s="372" t="s">
        <v>661</v>
      </c>
      <c r="C31" s="133">
        <f>0.00234/6</f>
        <v>3.8999999999999999E-4</v>
      </c>
      <c r="D31" s="60"/>
      <c r="E31" s="144" t="s">
        <v>666</v>
      </c>
      <c r="F31" s="135">
        <f t="shared" si="0"/>
        <v>8.814000000000001E-2</v>
      </c>
      <c r="G31" s="136">
        <v>0.22600000000000001</v>
      </c>
      <c r="H31" s="136" t="s">
        <v>667</v>
      </c>
    </row>
    <row r="32" spans="1:8" ht="129.6">
      <c r="A32" s="59" t="s">
        <v>668</v>
      </c>
      <c r="B32" s="372" t="s">
        <v>636</v>
      </c>
      <c r="C32" s="133">
        <f>40.824/1000</f>
        <v>4.0823999999999999E-2</v>
      </c>
      <c r="D32" s="60"/>
      <c r="E32" s="141" t="s">
        <v>669</v>
      </c>
      <c r="F32" s="135">
        <f t="shared" si="0"/>
        <v>9.3895199999999992</v>
      </c>
      <c r="G32" s="136">
        <v>0.23</v>
      </c>
      <c r="H32" s="136" t="s">
        <v>670</v>
      </c>
    </row>
    <row r="33" spans="1:8">
      <c r="A33" s="1378" t="s">
        <v>324</v>
      </c>
      <c r="B33" s="1381" t="s">
        <v>93</v>
      </c>
      <c r="C33" s="1382">
        <f>0.0165/5</f>
        <v>3.3E-3</v>
      </c>
      <c r="D33" s="1383"/>
      <c r="E33" s="1384"/>
      <c r="F33" s="1385" t="e">
        <f t="shared" si="0"/>
        <v>#N/A</v>
      </c>
      <c r="G33" s="1386" t="e">
        <f>G30</f>
        <v>#N/A</v>
      </c>
      <c r="H33" s="1386"/>
    </row>
    <row r="34" spans="1:8">
      <c r="A34" s="59"/>
    </row>
  </sheetData>
  <sheetProtection formatRows="0"/>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13"/>
  <dimension ref="A1:O48"/>
  <sheetViews>
    <sheetView topLeftCell="D1" workbookViewId="0">
      <pane ySplit="1" topLeftCell="A2" activePane="bottomLeft" state="frozen"/>
      <selection activeCell="O22" sqref="O22"/>
      <selection pane="bottomLeft" activeCell="M2" sqref="M2"/>
    </sheetView>
  </sheetViews>
  <sheetFormatPr baseColWidth="10" defaultColWidth="9.109375" defaultRowHeight="14.4"/>
  <cols>
    <col min="1" max="1" width="33.109375" style="1" bestFit="1" customWidth="1"/>
    <col min="2" max="2" width="33.109375" style="1" customWidth="1"/>
    <col min="3" max="3" width="33.109375" style="1" bestFit="1" customWidth="1"/>
    <col min="4" max="4" width="76.88671875" style="1" customWidth="1"/>
    <col min="5" max="5" width="35.44140625" style="1" bestFit="1" customWidth="1"/>
    <col min="6" max="7" width="9.109375" style="1"/>
    <col min="8" max="8" width="12" style="1" bestFit="1" customWidth="1"/>
    <col min="9" max="16384" width="9.109375" style="1"/>
  </cols>
  <sheetData>
    <row r="1" spans="1:15">
      <c r="A1" s="1" t="s">
        <v>610</v>
      </c>
      <c r="C1" s="1246" t="s">
        <v>103</v>
      </c>
      <c r="D1" s="1090" t="s">
        <v>325</v>
      </c>
      <c r="F1" s="1" t="s">
        <v>611</v>
      </c>
      <c r="G1" s="1" t="s">
        <v>612</v>
      </c>
      <c r="H1" s="1" t="s">
        <v>184</v>
      </c>
      <c r="J1" s="1" t="s">
        <v>2156</v>
      </c>
      <c r="K1" s="1" t="s">
        <v>2157</v>
      </c>
      <c r="L1" s="1" t="s">
        <v>2154</v>
      </c>
      <c r="M1" s="1" t="s">
        <v>2155</v>
      </c>
    </row>
    <row r="2" spans="1:15">
      <c r="A2" s="1" t="str">
        <f>C2</f>
        <v>Bâtiments et équipements communaux</v>
      </c>
      <c r="B2" s="1" t="str">
        <f>A2</f>
        <v>Bâtiments et équipements communaux</v>
      </c>
      <c r="C2" s="59" t="str">
        <f>Objectifs!B11</f>
        <v>Bâtiments et équipements communaux</v>
      </c>
      <c r="D2" s="621">
        <f>IF(Objectifs!C11=0,,ROUND(Objectifs!C11*100,0)&amp;"% de consommation d'énergie par rapport à 2006 dans le secteur '"&amp;'Suivi objectifs'!A2&amp;"'")</f>
        <v>0</v>
      </c>
      <c r="E2" s="1" t="str">
        <f>A2</f>
        <v>Bâtiments et équipements communaux</v>
      </c>
      <c r="F2" s="1">
        <f ca="1">Objectifs!E11</f>
        <v>0</v>
      </c>
      <c r="H2" s="1">
        <f>Objectifs!F11</f>
        <v>0</v>
      </c>
      <c r="I2" s="1">
        <f>H2</f>
        <v>0</v>
      </c>
      <c r="J2" s="1">
        <f ca="1">F2</f>
        <v>0</v>
      </c>
      <c r="K2" s="1">
        <f ca="1">IF(F2=0,0,H2*J2/F2)</f>
        <v>0</v>
      </c>
      <c r="L2" s="1667">
        <v>1</v>
      </c>
      <c r="M2" s="1668" t="e">
        <f ca="1">IF(SUM(K2:K48)=0,,SUMPRODUCT(K2:K48,L2:L48)/SUM(K2:K48))</f>
        <v>#REF!</v>
      </c>
      <c r="N2" s="1" t="s">
        <v>613</v>
      </c>
      <c r="O2" s="1" t="s">
        <v>157</v>
      </c>
    </row>
    <row r="3" spans="1:15">
      <c r="A3" s="1" t="str">
        <f>C3</f>
        <v>Bâtiments et équipements communaux</v>
      </c>
      <c r="B3" s="1" t="s">
        <v>200</v>
      </c>
      <c r="C3" s="59" t="str">
        <f>C2</f>
        <v>Bâtiments et équipements communaux</v>
      </c>
      <c r="D3" s="621">
        <f>IF(Objectifs!C12=0,,ROUND(Objectifs!C12*100,0)&amp;"% de consommation d'énergie par rapport à 2006 dans le secteur '"&amp;'Suivi objectifs'!A3&amp;"'")</f>
        <v>0</v>
      </c>
      <c r="E3" s="1" t="str">
        <f t="shared" ref="E3:E39" si="0">A3</f>
        <v>Bâtiments et équipements communaux</v>
      </c>
      <c r="F3" s="1" t="e">
        <f ca="1">Objectifs!E12-(SUM('Bilan patrimonial'!F8:F10)-SUM('Bilan patrimonial'!M8:M10))/1000000</f>
        <v>#REF!</v>
      </c>
      <c r="H3" s="1" t="e">
        <f ca="1">IF('Bilan territorial'!$Y$38=0,,IF(Objectifs!C12&gt;Objectifs!H12,0,'Bilan territorial'!$CW$45*'Bilan territorial'!Y31/'Bilan territorial'!$Y$38)-H2-H4)</f>
        <v>#REF!</v>
      </c>
      <c r="I3" s="1" t="e">
        <f t="shared" ref="I3:I15" ca="1" si="1">H3</f>
        <v>#REF!</v>
      </c>
      <c r="J3" s="1" t="e">
        <f ca="1">F3</f>
        <v>#REF!</v>
      </c>
      <c r="K3" s="1" t="e">
        <f t="shared" ref="K3:K14" ca="1" si="2">IF(F3=0,0,H3*J3/F3)</f>
        <v>#REF!</v>
      </c>
      <c r="L3" s="1668">
        <f ca="1">SUMIF(Actions!$I$2:$I$46,'Suivi objectifs'!D3,Actions!$J$2:$J$46)+SUMIF(Actions!$K$2:$K$46,'Suivi objectifs'!D3,Actions!$L$2:$L$46)+SUMIF(Actions!$M$2:$M$46,'Suivi objectifs'!D3,Actions!$N$2:$N$46)</f>
        <v>0</v>
      </c>
      <c r="N3" s="1" t="e">
        <f ca="1">IF(SUM('Bilan patrimonial'!M8:M10)=0,,F3*SUM('Bilan patrimonial'!I8:I10)/SUM('Bilan patrimonial'!M8:M10))</f>
        <v>#REF!</v>
      </c>
      <c r="O3" s="1" t="e">
        <f ca="1">IF(SUM('Bilan patrimonial'!M8:M10)=0,,F3*SUM('Bilan patrimonial'!J8:L10)/SUM('Bilan patrimonial'!M8:M10))</f>
        <v>#REF!</v>
      </c>
    </row>
    <row r="4" spans="1:15">
      <c r="A4" s="1" t="str">
        <f t="shared" ref="A4:A12" si="3">C4</f>
        <v>Eclairage public</v>
      </c>
      <c r="B4" s="1">
        <f>IF(Objectifs!C13=0,,'Suivi objectifs'!A4)</f>
        <v>0</v>
      </c>
      <c r="C4" s="59" t="str">
        <f>Objectifs!B13</f>
        <v>Eclairage public</v>
      </c>
      <c r="D4" s="621">
        <f>IF(Objectifs!C13=0,,ROUND(Objectifs!C13*100,0)&amp;"% de consommation d'énergie par rapport à 2006 dans le secteur '"&amp;'Suivi objectifs'!A4&amp;"'")</f>
        <v>0</v>
      </c>
      <c r="E4" s="1" t="str">
        <f t="shared" si="0"/>
        <v>Eclairage public</v>
      </c>
      <c r="F4" s="1">
        <f>IF(Objectifs!E13=0,0,Objectifs!E13-('Bilan patrimonial'!F11-'Bilan patrimonial'!M11)/1000000)</f>
        <v>0</v>
      </c>
      <c r="H4" s="1" t="e">
        <f>F4*'Bilan territorial'!K62*1000</f>
        <v>#N/A</v>
      </c>
      <c r="I4" s="1" t="e">
        <f t="shared" si="1"/>
        <v>#N/A</v>
      </c>
      <c r="J4" s="1">
        <f>Objectifs!I13</f>
        <v>0</v>
      </c>
      <c r="K4" s="1">
        <f t="shared" si="2"/>
        <v>0</v>
      </c>
      <c r="L4" s="1668">
        <f ca="1">SUMIF(Actions!$I$2:$I$46,'Suivi objectifs'!D4,Actions!$J$2:$J$46)+SUMIF(Actions!$K$2:$K$46,'Suivi objectifs'!D4,Actions!$L$2:$L$46)+SUMIF(Actions!$M$2:$M$46,'Suivi objectifs'!D4,Actions!$N$2:$N$46)</f>
        <v>0</v>
      </c>
    </row>
    <row r="5" spans="1:15">
      <c r="A5" s="1" t="str">
        <f t="shared" si="3"/>
        <v>Véhicules communaux</v>
      </c>
      <c r="B5" s="1">
        <f>IF(Objectifs!C14=0,,'Suivi objectifs'!A5)</f>
        <v>0</v>
      </c>
      <c r="C5" s="59" t="str">
        <f>Objectifs!B14</f>
        <v>Véhicules communaux</v>
      </c>
      <c r="D5" s="621">
        <f>IF(Objectifs!C14=0,,ROUND(Objectifs!C14*100,0)&amp;"% de consommation d'énergie par rapport à 2006 dans le secteur '"&amp;'Suivi objectifs'!A5&amp;"'")</f>
        <v>0</v>
      </c>
      <c r="E5" s="1" t="str">
        <f t="shared" si="0"/>
        <v>Véhicules communaux</v>
      </c>
      <c r="F5" s="1">
        <f>IF(Objectifs!E14=0,0,Objectifs!E14-('Bilan patrimonial'!F12-'Bilan patrimonial'!M12)/1000000)</f>
        <v>0</v>
      </c>
      <c r="H5" s="1" t="e">
        <f ca="1">IF('Bilan territorial'!$Y$38=0,,IF(Objectifs!C14&gt;Objectifs!H14,0,'Bilan territorial'!$CW$45*'Bilan territorial'!Y36/'Bilan territorial'!$Y$38))</f>
        <v>#REF!</v>
      </c>
      <c r="I5" s="1" t="e">
        <f t="shared" ca="1" si="1"/>
        <v>#REF!</v>
      </c>
      <c r="J5" s="1">
        <f>Objectifs!I14</f>
        <v>0</v>
      </c>
      <c r="K5" s="1">
        <f t="shared" si="2"/>
        <v>0</v>
      </c>
      <c r="L5" s="1668">
        <f ca="1">SUMIF(Actions!$I$2:$I$46,'Suivi objectifs'!D5,Actions!$J$2:$J$46)+SUMIF(Actions!$K$2:$K$46,'Suivi objectifs'!D5,Actions!$L$2:$L$46)+SUMIF(Actions!$M$2:$M$46,'Suivi objectifs'!D5,Actions!$N$2:$N$46)</f>
        <v>0</v>
      </c>
      <c r="N5" s="1" t="e">
        <f ca="1">IF('Bilan patrimonial'!M12=0,,F5*'Bilan patrimonial'!I12/'Bilan patrimonial'!M12)</f>
        <v>#REF!</v>
      </c>
      <c r="O5" s="1" t="e">
        <f ca="1">IF('Bilan patrimonial'!M12=0,,F5*SUM('Bilan patrimonial'!J12:L12)/'Bilan patrimonial'!M12)</f>
        <v>#REF!</v>
      </c>
    </row>
    <row r="6" spans="1:15">
      <c r="A6" s="1" t="str">
        <f t="shared" si="3"/>
        <v>Industrie non-ETS</v>
      </c>
      <c r="B6" s="1">
        <f>IF(Objectifs!C15=0,,'Suivi objectifs'!A6)</f>
        <v>0</v>
      </c>
      <c r="C6" s="59" t="str">
        <f>Objectifs!B15</f>
        <v>Industrie non-ETS</v>
      </c>
      <c r="D6" s="621">
        <f>IF(Objectifs!C15=0,,ROUND(Objectifs!C15*100,0)&amp;"% de consommation d'énergie par rapport à 2006 dans le secteur '"&amp;'Suivi objectifs'!A6&amp;"'")</f>
        <v>0</v>
      </c>
      <c r="E6" s="1" t="str">
        <f t="shared" si="0"/>
        <v>Industrie non-ETS</v>
      </c>
      <c r="F6" s="1">
        <f>IF(Objectifs!C15=0,0,Objectifs!E15-('Bilan territorial'!F11-'Bilan territorial'!M11))</f>
        <v>0</v>
      </c>
      <c r="H6" s="1" t="e">
        <f ca="1">IF(Objectifs!C15&gt;Objectifs!H15,0,'Bilan territorial'!$CW$45*'Bilan territorial'!Y29/'Bilan territorial'!$Y$38)</f>
        <v>#REF!</v>
      </c>
      <c r="I6" s="1" t="e">
        <f t="shared" ca="1" si="1"/>
        <v>#REF!</v>
      </c>
      <c r="J6" s="1">
        <f>Objectifs!I15</f>
        <v>0</v>
      </c>
      <c r="K6" s="1">
        <f t="shared" si="2"/>
        <v>0</v>
      </c>
      <c r="L6" s="1668">
        <f ca="1">SUMIF(Actions!$I$2:$I$46,'Suivi objectifs'!D6,Actions!$J$2:$J$46)+SUMIF(Actions!$K$2:$K$46,'Suivi objectifs'!D6,Actions!$L$2:$L$46)+SUMIF(Actions!$M$2:$M$46,'Suivi objectifs'!D6,Actions!$N$2:$N$46)</f>
        <v>0</v>
      </c>
    </row>
    <row r="7" spans="1:15">
      <c r="A7" s="1" t="s">
        <v>199</v>
      </c>
      <c r="B7" s="1">
        <f>IF(Objectifs!C16=0,,'Suivi objectifs'!A7)</f>
        <v>0</v>
      </c>
      <c r="C7" s="59" t="str">
        <f>Objectifs!B16</f>
        <v>Tertiaire hors AC</v>
      </c>
      <c r="D7" s="621">
        <f>IF(Objectifs!C16=0,,ROUND(Objectifs!C16*100,0)&amp;"% de consommation d'énergie par rapport à 2006 dans le secteur '"&amp;'Suivi objectifs'!A7&amp;"'")</f>
        <v>0</v>
      </c>
      <c r="E7" s="1" t="str">
        <f t="shared" si="0"/>
        <v>Tertiaire</v>
      </c>
      <c r="F7" s="1">
        <f>IF(Objectifs!E16=0,0,Objectifs!E16-('Bilan territorial'!F14-'Bilan territorial'!M14))</f>
        <v>0</v>
      </c>
      <c r="H7" s="1" t="e">
        <f ca="1">IF(Objectifs!C16&gt;Objectifs!H16,0,'Bilan territorial'!$CW$45*'Bilan territorial'!Y32/'Bilan territorial'!$Y$38)</f>
        <v>#REF!</v>
      </c>
      <c r="I7" s="1" t="e">
        <f t="shared" ca="1" si="1"/>
        <v>#REF!</v>
      </c>
      <c r="J7" s="1">
        <f>Objectifs!I16</f>
        <v>0</v>
      </c>
      <c r="K7" s="1">
        <f t="shared" si="2"/>
        <v>0</v>
      </c>
      <c r="L7" s="1668">
        <f ca="1">SUMIF(Actions!$I$2:$I$46,'Suivi objectifs'!D7,Actions!$J$2:$J$46)+SUMIF(Actions!$K$2:$K$46,'Suivi objectifs'!D7,Actions!$L$2:$L$46)+SUMIF(Actions!$M$2:$M$46,'Suivi objectifs'!D7,Actions!$N$2:$N$46)</f>
        <v>0</v>
      </c>
    </row>
    <row r="8" spans="1:15">
      <c r="A8" s="1" t="str">
        <f t="shared" si="3"/>
        <v>Logement</v>
      </c>
      <c r="B8" s="1">
        <f>IF(Objectifs!C17=0,,'Suivi objectifs'!A8)</f>
        <v>0</v>
      </c>
      <c r="C8" s="59" t="str">
        <f>Objectifs!B17</f>
        <v>Logement</v>
      </c>
      <c r="D8" s="621">
        <f>IF(Objectifs!C17=0,,ROUND(Objectifs!C17*100,0)&amp;"% de consommation d'énergie par rapport à 2006 dans le secteur '"&amp;'Suivi objectifs'!A8&amp;"'")</f>
        <v>0</v>
      </c>
      <c r="E8" s="1" t="str">
        <f t="shared" si="0"/>
        <v>Logement</v>
      </c>
      <c r="F8" s="1">
        <f>IF(Objectifs!E17=0,0,Objectifs!E17-('Bilan territorial'!F15-'Bilan territorial'!M15))</f>
        <v>0</v>
      </c>
      <c r="H8" s="1" t="e">
        <f ca="1">IF(Objectifs!C17&gt;Objectifs!H17,0,'Bilan territorial'!$CW$45*'Bilan territorial'!Y33/'Bilan territorial'!$Y$38)</f>
        <v>#REF!</v>
      </c>
      <c r="I8" s="1" t="e">
        <f t="shared" ca="1" si="1"/>
        <v>#REF!</v>
      </c>
      <c r="J8" s="1">
        <f>Objectifs!I17</f>
        <v>0</v>
      </c>
      <c r="K8" s="1">
        <f t="shared" si="2"/>
        <v>0</v>
      </c>
      <c r="L8" s="1668">
        <f ca="1">SUMIF(Actions!$I$2:$I$46,'Suivi objectifs'!D8,Actions!$J$2:$J$46)+SUMIF(Actions!$K$2:$K$46,'Suivi objectifs'!D8,Actions!$L$2:$L$46)+SUMIF(Actions!$M$2:$M$46,'Suivi objectifs'!D8,Actions!$N$2:$N$46)</f>
        <v>0</v>
      </c>
    </row>
    <row r="9" spans="1:15">
      <c r="A9" s="1" t="str">
        <f t="shared" si="3"/>
        <v>Agriculture</v>
      </c>
      <c r="B9" s="1">
        <f>IF(Objectifs!C18=0,,'Suivi objectifs'!A9)</f>
        <v>0</v>
      </c>
      <c r="C9" s="59" t="str">
        <f>Objectifs!B18</f>
        <v>Agriculture</v>
      </c>
      <c r="D9" s="621">
        <f>IF(Objectifs!C18=0,,ROUND(Objectifs!C18*100,0)&amp;"% de consommation d'énergie par rapport à 2006 dans le secteur '"&amp;'Suivi objectifs'!A9&amp;"'")</f>
        <v>0</v>
      </c>
      <c r="E9" s="1" t="str">
        <f t="shared" si="0"/>
        <v>Agriculture</v>
      </c>
      <c r="F9" s="1">
        <f>Objectifs!E18</f>
        <v>0</v>
      </c>
      <c r="H9" s="1" t="e">
        <f ca="1">IF('Bilan territorial'!$Y$38=0,,IF(Objectifs!C18&gt;Objectifs!H18,0,'Bilan territorial'!$CW$45*'Bilan territorial'!Y34/'Bilan territorial'!$Y$38))</f>
        <v>#REF!</v>
      </c>
      <c r="I9" s="1" t="e">
        <f t="shared" ca="1" si="1"/>
        <v>#REF!</v>
      </c>
      <c r="J9" s="1">
        <f>Objectifs!I18</f>
        <v>0</v>
      </c>
      <c r="K9" s="1">
        <f t="shared" si="2"/>
        <v>0</v>
      </c>
      <c r="L9" s="1668">
        <f ca="1">SUMIF(Actions!$I$2:$I$46,'Suivi objectifs'!D9,Actions!$J$2:$J$46)+SUMIF(Actions!$K$2:$K$46,'Suivi objectifs'!D9,Actions!$L$2:$L$46)+SUMIF(Actions!$M$2:$M$46,'Suivi objectifs'!D9,Actions!$N$2:$N$46)</f>
        <v>0</v>
      </c>
    </row>
    <row r="10" spans="1:15">
      <c r="A10" s="1" t="s">
        <v>203</v>
      </c>
      <c r="B10" s="1">
        <f>IF(Objectifs!C19=0,,'Suivi objectifs'!A10)</f>
        <v>0</v>
      </c>
      <c r="C10" s="59" t="str">
        <f>Objectifs!B19</f>
        <v>Transport hors AC</v>
      </c>
      <c r="D10" s="621">
        <f>IF(Objectifs!C19=0,,ROUND(Objectifs!C19*100,0)&amp;"% de consommation d'énergie par rapport à 2006 dans le secteur '"&amp;'Suivi objectifs'!A10&amp;"'")</f>
        <v>0</v>
      </c>
      <c r="E10" s="1" t="str">
        <f t="shared" si="0"/>
        <v>Transport</v>
      </c>
      <c r="F10" s="1">
        <f>Objectifs!E19</f>
        <v>0</v>
      </c>
      <c r="H10" s="1" t="e">
        <f ca="1">IF(Objectifs!C19&gt;Objectifs!H19,0,'Bilan territorial'!$CW$45*'Bilan territorial'!Y37/'Bilan territorial'!$Y$38)</f>
        <v>#DIV/0!</v>
      </c>
      <c r="I10" s="1" t="e">
        <f t="shared" ca="1" si="1"/>
        <v>#DIV/0!</v>
      </c>
      <c r="J10" s="1">
        <f>Objectifs!I19</f>
        <v>0</v>
      </c>
      <c r="K10" s="1">
        <f t="shared" si="2"/>
        <v>0</v>
      </c>
      <c r="L10" s="1668">
        <f ca="1">SUMIF(Actions!$I$2:$I$46,'Suivi objectifs'!D10,Actions!$J$2:$J$46)+SUMIF(Actions!$K$2:$K$46,'Suivi objectifs'!D10,Actions!$L$2:$L$46)+SUMIF(Actions!$M$2:$M$46,'Suivi objectifs'!D10,Actions!$N$2:$N$46)</f>
        <v>0</v>
      </c>
    </row>
    <row r="11" spans="1:15">
      <c r="A11" s="1" t="s">
        <v>200</v>
      </c>
      <c r="B11" s="1">
        <f>IF(Objectifs!C24=0,,'Suivi objectifs'!A11)</f>
        <v>0</v>
      </c>
      <c r="C11" s="59" t="str">
        <f>Objectifs!B24</f>
        <v>Chauffage des bâtiments communaux</v>
      </c>
      <c r="D11" s="621">
        <f>IF(Objectifs!C24=0,,ROUND(Objectifs!C24*100,0)&amp;"% de la consommation de '"&amp;C11&amp;"' électrifiés")</f>
        <v>0</v>
      </c>
      <c r="H11" s="1">
        <f>Objectifs!F24</f>
        <v>0</v>
      </c>
      <c r="I11" s="1">
        <f t="shared" si="1"/>
        <v>0</v>
      </c>
      <c r="J11" s="1">
        <f>Objectifs!I20</f>
        <v>0</v>
      </c>
      <c r="K11" s="1">
        <f t="shared" si="2"/>
        <v>0</v>
      </c>
      <c r="L11" s="1668">
        <f ca="1">SUMIF(Actions!$I$2:$I$46,'Suivi objectifs'!D11,Actions!$J$2:$J$46)+SUMIF(Actions!$K$2:$K$46,'Suivi objectifs'!D11,Actions!$L$2:$L$46)+SUMIF(Actions!$M$2:$M$46,'Suivi objectifs'!D11,Actions!$N$2:$N$46)</f>
        <v>0</v>
      </c>
    </row>
    <row r="12" spans="1:15">
      <c r="A12" s="1" t="str">
        <f t="shared" si="3"/>
        <v>Véhicules communaux</v>
      </c>
      <c r="B12" s="1">
        <f>IF(Objectifs!C25=0,,'Suivi objectifs'!A12)</f>
        <v>0</v>
      </c>
      <c r="C12" s="59" t="str">
        <f>Objectifs!B25</f>
        <v>Véhicules communaux</v>
      </c>
      <c r="D12" s="621">
        <f>IF(Objectifs!C25=0,,ROUND(Objectifs!C25*100,0)&amp;"% de la consommation de '"&amp;C12&amp;"' électrifiés")</f>
        <v>0</v>
      </c>
      <c r="H12" s="1">
        <f>Objectifs!F25</f>
        <v>0</v>
      </c>
      <c r="I12" s="1">
        <f t="shared" si="1"/>
        <v>0</v>
      </c>
      <c r="J12" s="1">
        <f>Objectifs!I21</f>
        <v>0</v>
      </c>
      <c r="K12" s="1">
        <f t="shared" si="2"/>
        <v>0</v>
      </c>
      <c r="L12" s="1668">
        <f ca="1">SUMIF(Actions!$I$2:$I$46,'Suivi objectifs'!D12,Actions!$J$2:$J$46)+SUMIF(Actions!$K$2:$K$46,'Suivi objectifs'!D12,Actions!$L$2:$L$46)+SUMIF(Actions!$M$2:$M$46,'Suivi objectifs'!D12,Actions!$N$2:$N$46)</f>
        <v>0</v>
      </c>
    </row>
    <row r="13" spans="1:15">
      <c r="A13" s="1" t="str">
        <f>A6</f>
        <v>Industrie non-ETS</v>
      </c>
      <c r="B13" s="1">
        <f>IF(Objectifs!C26=0,,'Suivi objectifs'!A13)</f>
        <v>0</v>
      </c>
      <c r="C13" s="59" t="str">
        <f>Objectifs!B26</f>
        <v>Processus industriels</v>
      </c>
      <c r="D13" s="621">
        <f>IF(Objectifs!C26=0,,ROUND(Objectifs!C26*100,0)&amp;"% de la consommation de '"&amp;C13&amp;"' électrifiés")</f>
        <v>0</v>
      </c>
      <c r="H13" s="1">
        <f>Objectifs!F26</f>
        <v>0</v>
      </c>
      <c r="I13" s="1">
        <f t="shared" si="1"/>
        <v>0</v>
      </c>
      <c r="J13" s="1">
        <f>Objectifs!I22</f>
        <v>0</v>
      </c>
      <c r="K13" s="1">
        <f t="shared" si="2"/>
        <v>0</v>
      </c>
      <c r="L13" s="1668">
        <f ca="1">SUMIF(Actions!$I$2:$I$46,'Suivi objectifs'!D13,Actions!$J$2:$J$46)+SUMIF(Actions!$K$2:$K$46,'Suivi objectifs'!D13,Actions!$L$2:$L$46)+SUMIF(Actions!$M$2:$M$46,'Suivi objectifs'!D13,Actions!$N$2:$N$46)</f>
        <v>0</v>
      </c>
    </row>
    <row r="14" spans="1:15">
      <c r="A14" s="1" t="str">
        <f>A7</f>
        <v>Tertiaire</v>
      </c>
      <c r="B14" s="1">
        <f>IF(Objectifs!C27=0,,'Suivi objectifs'!A14)</f>
        <v>0</v>
      </c>
      <c r="C14" s="59" t="str">
        <f>Objectifs!B27</f>
        <v>Chauffage des bâtiments du tertiaire</v>
      </c>
      <c r="D14" s="621">
        <f>IF(Objectifs!C27=0,,ROUND(Objectifs!C27*100,0)&amp;"% de la consommation de '"&amp;C14&amp;"' électrifiés")</f>
        <v>0</v>
      </c>
      <c r="H14" s="1">
        <f>Objectifs!F27</f>
        <v>0</v>
      </c>
      <c r="I14" s="1">
        <f t="shared" si="1"/>
        <v>0</v>
      </c>
      <c r="J14" s="1">
        <f>Objectifs!I23</f>
        <v>0</v>
      </c>
      <c r="K14" s="1">
        <f t="shared" si="2"/>
        <v>0</v>
      </c>
      <c r="L14" s="1668">
        <f ca="1">SUMIF(Actions!$I$2:$I$46,'Suivi objectifs'!D14,Actions!$J$2:$J$46)+SUMIF(Actions!$K$2:$K$46,'Suivi objectifs'!D14,Actions!$L$2:$L$46)+SUMIF(Actions!$M$2:$M$46,'Suivi objectifs'!D14,Actions!$N$2:$N$46)</f>
        <v>0</v>
      </c>
    </row>
    <row r="15" spans="1:15">
      <c r="A15" s="1" t="str">
        <f>A8</f>
        <v>Logement</v>
      </c>
      <c r="B15" s="1">
        <f>IF(Objectifs!C28=0,,'Suivi objectifs'!A15)</f>
        <v>0</v>
      </c>
      <c r="C15" s="59" t="str">
        <f>Objectifs!B28</f>
        <v>Chauffage des logements</v>
      </c>
      <c r="D15" s="621">
        <f>IF(Objectifs!C28=0,,ROUND(Objectifs!C28*100,0)&amp;"% de la consommation de '"&amp;C15&amp;"' électrifiés")</f>
        <v>0</v>
      </c>
      <c r="H15" s="1">
        <f>Objectifs!F28</f>
        <v>0</v>
      </c>
      <c r="I15" s="1">
        <f t="shared" si="1"/>
        <v>0</v>
      </c>
      <c r="K15" s="1">
        <f>I15</f>
        <v>0</v>
      </c>
      <c r="L15" s="1668">
        <f ca="1">SUMIF(Actions!$I$2:$I$46,'Suivi objectifs'!D15,Actions!$J$2:$J$46)+SUMIF(Actions!$K$2:$K$46,'Suivi objectifs'!D15,Actions!$L$2:$L$46)+SUMIF(Actions!$M$2:$M$46,'Suivi objectifs'!D15,Actions!$N$2:$N$46)</f>
        <v>0</v>
      </c>
    </row>
    <row r="16" spans="1:15">
      <c r="A16" s="1" t="str">
        <f>A10</f>
        <v>Transport</v>
      </c>
      <c r="B16" s="1">
        <f>IF(Objectifs!C29=0,,'Suivi objectifs'!A16)</f>
        <v>0</v>
      </c>
      <c r="C16" s="59" t="str">
        <f>Objectifs!B29</f>
        <v>Transport hors AC</v>
      </c>
      <c r="D16" s="621">
        <f>IF(Objectifs!C29=0,,ROUND(Objectifs!C29*100,0)&amp;"% de la consommation de '"&amp;C16&amp;"' électrifiés")</f>
        <v>0</v>
      </c>
      <c r="H16" s="1">
        <f>Objectifs!F29</f>
        <v>0</v>
      </c>
      <c r="I16" s="1">
        <f>H16</f>
        <v>0</v>
      </c>
      <c r="K16" s="1">
        <f t="shared" ref="K16:K28" si="4">I16</f>
        <v>0</v>
      </c>
      <c r="L16" s="1668">
        <f ca="1">SUMIF(Actions!$I$2:$I$46,'Suivi objectifs'!D16,Actions!$J$2:$J$46)+SUMIF(Actions!$K$2:$K$46,'Suivi objectifs'!D16,Actions!$L$2:$L$46)+SUMIF(Actions!$M$2:$M$46,'Suivi objectifs'!D16,Actions!$N$2:$N$46)</f>
        <v>0</v>
      </c>
    </row>
    <row r="17" spans="1:12">
      <c r="A17" s="1" t="s">
        <v>200</v>
      </c>
      <c r="B17" s="1">
        <f>IF(Objectifs!C31=0,,'Suivi objectifs'!A17)</f>
        <v>0</v>
      </c>
      <c r="C17" s="59" t="str">
        <f>Objectifs!B31</f>
        <v>Chauffage des bâtiments communaux</v>
      </c>
      <c r="D17" s="621">
        <f>IF(Objectifs!C31=0,,ROUND(Objectifs!C31*100,0)&amp;"% de la consommation de '"&amp;C17&amp;"' convertis au bois")</f>
        <v>0</v>
      </c>
      <c r="H17" s="1" t="e">
        <f ca="1">Objectifs!F31</f>
        <v>#REF!</v>
      </c>
      <c r="I17" s="1" t="e">
        <f t="shared" ref="I17:I28" ca="1" si="5">H17</f>
        <v>#REF!</v>
      </c>
      <c r="K17" s="1" t="e">
        <f t="shared" ca="1" si="4"/>
        <v>#REF!</v>
      </c>
      <c r="L17" s="1668">
        <f ca="1">SUMIF(Actions!$I$2:$I$46,'Suivi objectifs'!D17,Actions!$J$2:$J$46)+SUMIF(Actions!$K$2:$K$46,'Suivi objectifs'!D17,Actions!$L$2:$L$46)+SUMIF(Actions!$M$2:$M$46,'Suivi objectifs'!D17,Actions!$N$2:$N$46)</f>
        <v>0</v>
      </c>
    </row>
    <row r="18" spans="1:12">
      <c r="A18" s="1" t="str">
        <f>A7</f>
        <v>Tertiaire</v>
      </c>
      <c r="B18" s="1">
        <f>IF(Objectifs!C32=0,,'Suivi objectifs'!A18)</f>
        <v>0</v>
      </c>
      <c r="C18" s="59" t="str">
        <f>Objectifs!B32</f>
        <v>Chauffage des bâtiments du tertiaire</v>
      </c>
      <c r="D18" s="621">
        <f>IF(Objectifs!C32=0,,ROUND(Objectifs!C32*100,0)&amp;"% de la consommation de '"&amp;C18&amp;"' convertis au bois")</f>
        <v>0</v>
      </c>
      <c r="H18" s="1" t="e">
        <f ca="1">Objectifs!F32</f>
        <v>#REF!</v>
      </c>
      <c r="I18" s="1" t="e">
        <f t="shared" ca="1" si="5"/>
        <v>#REF!</v>
      </c>
      <c r="K18" s="1" t="e">
        <f t="shared" ca="1" si="4"/>
        <v>#REF!</v>
      </c>
      <c r="L18" s="1668">
        <f ca="1">SUMIF(Actions!$I$2:$I$46,'Suivi objectifs'!D18,Actions!$J$2:$J$46)+SUMIF(Actions!$K$2:$K$46,'Suivi objectifs'!D18,Actions!$L$2:$L$46)+SUMIF(Actions!$M$2:$M$46,'Suivi objectifs'!D18,Actions!$N$2:$N$46)</f>
        <v>0</v>
      </c>
    </row>
    <row r="19" spans="1:12">
      <c r="A19" s="1" t="str">
        <f>A8</f>
        <v>Logement</v>
      </c>
      <c r="B19" s="1">
        <f>IF(Objectifs!C33=0,,'Suivi objectifs'!A19)</f>
        <v>0</v>
      </c>
      <c r="C19" s="59" t="str">
        <f>Objectifs!B33</f>
        <v>Chauffage des logements</v>
      </c>
      <c r="D19" s="621">
        <f>IF(Objectifs!C33=0,,ROUND(Objectifs!C33*100,0)&amp;"% de la consommation de '"&amp;C19&amp;"' convertis au bois")</f>
        <v>0</v>
      </c>
      <c r="H19" s="1" t="e">
        <f ca="1">Objectifs!F33</f>
        <v>#REF!</v>
      </c>
      <c r="I19" s="1" t="e">
        <f t="shared" ca="1" si="5"/>
        <v>#REF!</v>
      </c>
      <c r="K19" s="1" t="e">
        <f t="shared" ca="1" si="4"/>
        <v>#REF!</v>
      </c>
      <c r="L19" s="1668">
        <f ca="1">SUMIF(Actions!$I$2:$I$46,'Suivi objectifs'!D19,Actions!$J$2:$J$46)+SUMIF(Actions!$K$2:$K$46,'Suivi objectifs'!D19,Actions!$L$2:$L$46)+SUMIF(Actions!$M$2:$M$46,'Suivi objectifs'!D19,Actions!$N$2:$N$46)</f>
        <v>0</v>
      </c>
    </row>
    <row r="20" spans="1:12">
      <c r="A20" s="1" t="str">
        <f>A17</f>
        <v>Administration communale</v>
      </c>
      <c r="B20" s="1">
        <f>IF(Objectifs!C35=0,,'Suivi objectifs'!A20)</f>
        <v>0</v>
      </c>
      <c r="C20" s="59" t="str">
        <f>Objectifs!B35</f>
        <v>Chauffage des bâtiments communaux</v>
      </c>
      <c r="D20" s="621">
        <f>IF(Objectifs!C35=0,,ROUND(Objectifs!C35*100,0)&amp;"% de la consommation de '"&amp;C20&amp;"' remplacée par une consommation de chaleur fatale")</f>
        <v>0</v>
      </c>
      <c r="H20" s="1" t="e">
        <f ca="1">Objectifs!F35</f>
        <v>#REF!</v>
      </c>
      <c r="I20" s="1" t="e">
        <f t="shared" ca="1" si="5"/>
        <v>#REF!</v>
      </c>
      <c r="K20" s="1" t="e">
        <f t="shared" ca="1" si="4"/>
        <v>#REF!</v>
      </c>
      <c r="L20" s="1668">
        <f ca="1">SUMIF(Actions!$I$2:$I$46,'Suivi objectifs'!D20,Actions!$J$2:$J$46)+SUMIF(Actions!$K$2:$K$46,'Suivi objectifs'!D20,Actions!$L$2:$L$46)+SUMIF(Actions!$M$2:$M$46,'Suivi objectifs'!D20,Actions!$N$2:$N$46)</f>
        <v>0</v>
      </c>
    </row>
    <row r="21" spans="1:12">
      <c r="A21" s="1" t="str">
        <f t="shared" ref="A21:A22" si="6">A18</f>
        <v>Tertiaire</v>
      </c>
      <c r="B21" s="1">
        <f>IF(Objectifs!C36=0,,'Suivi objectifs'!A21)</f>
        <v>0</v>
      </c>
      <c r="C21" s="59" t="str">
        <f>Objectifs!B36</f>
        <v>Chauffage des bâtiments du tertiaire</v>
      </c>
      <c r="D21" s="621">
        <f>IF(Objectifs!C36=0,,ROUND(Objectifs!C36*100,0)&amp;"% de la consommation de '"&amp;C21&amp;"' remplacée par une consommation de chaleur fatale")</f>
        <v>0</v>
      </c>
      <c r="H21" s="1" t="e">
        <f ca="1">Objectifs!F36</f>
        <v>#REF!</v>
      </c>
      <c r="I21" s="1" t="e">
        <f t="shared" ca="1" si="5"/>
        <v>#REF!</v>
      </c>
      <c r="K21" s="1" t="e">
        <f t="shared" ca="1" si="4"/>
        <v>#REF!</v>
      </c>
      <c r="L21" s="1668">
        <f ca="1">SUMIF(Actions!$I$2:$I$46,'Suivi objectifs'!D21,Actions!$J$2:$J$46)+SUMIF(Actions!$K$2:$K$46,'Suivi objectifs'!D21,Actions!$L$2:$L$46)+SUMIF(Actions!$M$2:$M$46,'Suivi objectifs'!D21,Actions!$N$2:$N$46)</f>
        <v>0</v>
      </c>
    </row>
    <row r="22" spans="1:12">
      <c r="A22" s="1" t="str">
        <f t="shared" si="6"/>
        <v>Logement</v>
      </c>
      <c r="B22" s="1">
        <f>IF(Objectifs!C37=0,,'Suivi objectifs'!A22)</f>
        <v>0</v>
      </c>
      <c r="C22" s="59" t="str">
        <f>Objectifs!B37</f>
        <v>Chauffage des logements</v>
      </c>
      <c r="D22" s="621">
        <f>IF(Objectifs!C37=0,,ROUND(Objectifs!C37*100,0)&amp;"% de la consommation de '"&amp;C22&amp;"' remplacée par une consommation de chaleur fatale")</f>
        <v>0</v>
      </c>
      <c r="H22" s="1" t="e">
        <f ca="1">Objectifs!F37</f>
        <v>#REF!</v>
      </c>
      <c r="I22" s="1" t="e">
        <f t="shared" ca="1" si="5"/>
        <v>#REF!</v>
      </c>
      <c r="L22" s="1668">
        <f ca="1">SUMIF(Actions!$I$2:$I$46,'Suivi objectifs'!D22,Actions!$J$2:$J$46)+SUMIF(Actions!$K$2:$K$46,'Suivi objectifs'!D22,Actions!$L$2:$L$46)+SUMIF(Actions!$M$2:$M$46,'Suivi objectifs'!D22,Actions!$N$2:$N$46)</f>
        <v>0</v>
      </c>
    </row>
    <row r="23" spans="1:12">
      <c r="A23" s="1" t="str">
        <f t="shared" ref="A23:A28" si="7">A11</f>
        <v>Administration communale</v>
      </c>
      <c r="B23" s="1">
        <f>IF(Objectifs!C39=0,,'Suivi objectifs'!A23)</f>
        <v>0</v>
      </c>
      <c r="C23" s="59" t="str">
        <f>Objectifs!B39</f>
        <v>Chauffage des bâtiments communaux</v>
      </c>
      <c r="D23" s="621">
        <f>IF(Objectifs!C39=0,,ROUND(Objectifs!C39*100,0)&amp;"% de la consommation de produits pétroliers de '"&amp;C23&amp;"' convertis au gaz naturel")</f>
        <v>0</v>
      </c>
      <c r="H23" s="1" t="e">
        <f ca="1">Objectifs!F39</f>
        <v>#REF!</v>
      </c>
      <c r="I23" s="1" t="e">
        <f t="shared" ca="1" si="5"/>
        <v>#REF!</v>
      </c>
      <c r="K23" s="1" t="e">
        <f t="shared" ca="1" si="4"/>
        <v>#REF!</v>
      </c>
      <c r="L23" s="1668">
        <f ca="1">SUMIF(Actions!$I$2:$I$46,'Suivi objectifs'!D23,Actions!$J$2:$J$46)+SUMIF(Actions!$K$2:$K$46,'Suivi objectifs'!D23,Actions!$L$2:$L$46)+SUMIF(Actions!$M$2:$M$46,'Suivi objectifs'!D23,Actions!$N$2:$N$46)</f>
        <v>0</v>
      </c>
    </row>
    <row r="24" spans="1:12">
      <c r="A24" s="1" t="str">
        <f t="shared" si="7"/>
        <v>Véhicules communaux</v>
      </c>
      <c r="B24" s="1">
        <f>IF(Objectifs!C40=0,,'Suivi objectifs'!A24)</f>
        <v>0</v>
      </c>
      <c r="C24" s="59" t="str">
        <f>Objectifs!B40</f>
        <v>Véhicules communaux</v>
      </c>
      <c r="D24" s="621">
        <f>IF(Objectifs!C40=0,,ROUND(Objectifs!C40*100,0)&amp;"% de la consommation de produits pétroliers de '"&amp;C24&amp;"' convertis au gaz naturel")</f>
        <v>0</v>
      </c>
      <c r="H24" s="1" t="e">
        <f ca="1">Objectifs!F40</f>
        <v>#REF!</v>
      </c>
      <c r="I24" s="1" t="e">
        <f t="shared" ca="1" si="5"/>
        <v>#REF!</v>
      </c>
      <c r="K24" s="1" t="e">
        <f t="shared" ca="1" si="4"/>
        <v>#REF!</v>
      </c>
      <c r="L24" s="1668">
        <f ca="1">SUMIF(Actions!$I$2:$I$46,'Suivi objectifs'!D24,Actions!$J$2:$J$46)+SUMIF(Actions!$K$2:$K$46,'Suivi objectifs'!D24,Actions!$L$2:$L$46)+SUMIF(Actions!$M$2:$M$46,'Suivi objectifs'!D24,Actions!$N$2:$N$46)</f>
        <v>0</v>
      </c>
    </row>
    <row r="25" spans="1:12">
      <c r="A25" s="1" t="str">
        <f t="shared" si="7"/>
        <v>Industrie non-ETS</v>
      </c>
      <c r="B25" s="1">
        <f>IF(Objectifs!C41=0,,'Suivi objectifs'!A25)</f>
        <v>0</v>
      </c>
      <c r="C25" s="59" t="str">
        <f>Objectifs!B41</f>
        <v>Processus industriels</v>
      </c>
      <c r="D25" s="621">
        <f>IF(Objectifs!C41=0,,ROUND(Objectifs!C41*100,0)&amp;"% de la consommation de produits pétroliers de '"&amp;C25&amp;"' convertis au gaz naturel")</f>
        <v>0</v>
      </c>
      <c r="H25" s="1" t="e">
        <f ca="1">Objectifs!F41</f>
        <v>#REF!</v>
      </c>
      <c r="I25" s="1" t="e">
        <f t="shared" ca="1" si="5"/>
        <v>#REF!</v>
      </c>
      <c r="K25" s="1" t="e">
        <f t="shared" ca="1" si="4"/>
        <v>#REF!</v>
      </c>
      <c r="L25" s="1668">
        <f ca="1">SUMIF(Actions!$I$2:$I$46,'Suivi objectifs'!D25,Actions!$J$2:$J$46)+SUMIF(Actions!$K$2:$K$46,'Suivi objectifs'!D25,Actions!$L$2:$L$46)+SUMIF(Actions!$M$2:$M$46,'Suivi objectifs'!D25,Actions!$N$2:$N$46)</f>
        <v>0</v>
      </c>
    </row>
    <row r="26" spans="1:12">
      <c r="A26" s="1" t="str">
        <f t="shared" si="7"/>
        <v>Tertiaire</v>
      </c>
      <c r="B26" s="1">
        <f>IF(Objectifs!C42=0,,'Suivi objectifs'!A26)</f>
        <v>0</v>
      </c>
      <c r="C26" s="59" t="str">
        <f>Objectifs!B42</f>
        <v>Chauffage des bâtiments du tertiaire</v>
      </c>
      <c r="D26" s="621">
        <f>IF(Objectifs!C42=0,,ROUND(Objectifs!C42*100,0)&amp;"% de la consommation de produits pétroliers de '"&amp;C26&amp;"' convertis au gaz naturel")</f>
        <v>0</v>
      </c>
      <c r="H26" s="1" t="e">
        <f ca="1">Objectifs!F42</f>
        <v>#REF!</v>
      </c>
      <c r="I26" s="1" t="e">
        <f t="shared" ca="1" si="5"/>
        <v>#REF!</v>
      </c>
      <c r="K26" s="1" t="e">
        <f t="shared" ca="1" si="4"/>
        <v>#REF!</v>
      </c>
      <c r="L26" s="1668">
        <f ca="1">SUMIF(Actions!$I$2:$I$46,'Suivi objectifs'!D26,Actions!$J$2:$J$46)+SUMIF(Actions!$K$2:$K$46,'Suivi objectifs'!D26,Actions!$L$2:$L$46)+SUMIF(Actions!$M$2:$M$46,'Suivi objectifs'!D26,Actions!$N$2:$N$46)</f>
        <v>0</v>
      </c>
    </row>
    <row r="27" spans="1:12">
      <c r="A27" s="1" t="str">
        <f t="shared" si="7"/>
        <v>Logement</v>
      </c>
      <c r="B27" s="1">
        <f>IF(Objectifs!C43=0,,'Suivi objectifs'!A27)</f>
        <v>0</v>
      </c>
      <c r="C27" s="59" t="str">
        <f>Objectifs!B43</f>
        <v>Chauffage des logements</v>
      </c>
      <c r="D27" s="621">
        <f>IF(Objectifs!C43=0,,ROUND(Objectifs!C43*100,0)&amp;"% de la consommation de produits pétroliers de '"&amp;C27&amp;"' convertis au gaz naturel")</f>
        <v>0</v>
      </c>
      <c r="H27" s="1" t="e">
        <f ca="1">Objectifs!F43</f>
        <v>#REF!</v>
      </c>
      <c r="I27" s="1" t="e">
        <f t="shared" ca="1" si="5"/>
        <v>#REF!</v>
      </c>
      <c r="K27" s="1" t="e">
        <f t="shared" ca="1" si="4"/>
        <v>#REF!</v>
      </c>
      <c r="L27" s="1668">
        <f ca="1">SUMIF(Actions!$I$2:$I$46,'Suivi objectifs'!D27,Actions!$J$2:$J$46)+SUMIF(Actions!$K$2:$K$46,'Suivi objectifs'!D27,Actions!$L$2:$L$46)+SUMIF(Actions!$M$2:$M$46,'Suivi objectifs'!D27,Actions!$N$2:$N$46)</f>
        <v>0</v>
      </c>
    </row>
    <row r="28" spans="1:12">
      <c r="A28" s="1" t="str">
        <f t="shared" si="7"/>
        <v>Transport</v>
      </c>
      <c r="B28" s="1">
        <f>IF(Objectifs!C44=0,,'Suivi objectifs'!A28)</f>
        <v>0</v>
      </c>
      <c r="C28" s="59" t="str">
        <f>Objectifs!B44</f>
        <v>Transport hors AC</v>
      </c>
      <c r="D28" s="621">
        <f>IF(Objectifs!C44=0,,ROUND(Objectifs!C44*100,0)&amp;"% de la consommation de produits pétroliers de '"&amp;C28&amp;"' convertis au gaz naturel")</f>
        <v>0</v>
      </c>
      <c r="H28" s="1" t="e">
        <f ca="1">Objectifs!F44</f>
        <v>#REF!</v>
      </c>
      <c r="I28" s="1" t="e">
        <f t="shared" ca="1" si="5"/>
        <v>#REF!</v>
      </c>
      <c r="K28" s="1" t="e">
        <f t="shared" ca="1" si="4"/>
        <v>#REF!</v>
      </c>
      <c r="L28" s="1668">
        <f ca="1">SUMIF(Actions!$I$2:$I$46,'Suivi objectifs'!D28,Actions!$J$2:$J$46)+SUMIF(Actions!$K$2:$K$46,'Suivi objectifs'!D28,Actions!$L$2:$L$46)+SUMIF(Actions!$M$2:$M$46,'Suivi objectifs'!D28,Actions!$N$2:$N$46)</f>
        <v>0</v>
      </c>
    </row>
    <row r="29" spans="1:12">
      <c r="A29" s="1" t="str">
        <f>IF(ISNA(VLOOKUP(C29,Categories!$X$20:$Y$25,2,0)),0,VLOOKUP(C29,Categories!$X$20:$Y$25,2,0))</f>
        <v>Production d'électricité</v>
      </c>
      <c r="B29" s="1" t="str">
        <f>A29</f>
        <v>Production d'électricité</v>
      </c>
      <c r="C29" s="59" t="str">
        <f>Objectifs!B48</f>
        <v>Eolien</v>
      </c>
      <c r="D29" s="59">
        <f>IF(Objectifs!E48=0,0,SUBSTITUTE(Objectifs!C48,"x",ROUND(Objectifs!D48,1)))</f>
        <v>0</v>
      </c>
      <c r="E29" s="1" t="str">
        <f t="shared" si="0"/>
        <v>Production d'électricité</v>
      </c>
      <c r="G29" s="1">
        <f>IF(Objectifs!E48=0,0,IF('Bilan territorial'!$AO$87&lt;0,('Bilan territorial'!$AM$20-'Bilan territorial'!$I$59)*Objectifs!E48/SUM(Objectifs!$E$48:$E$49,Objectifs!$E$51,Objectifs!$E$54),Objectifs!E48-('Potentiel EnR'!$G$48-'Potentiel EnR'!$G$60)))</f>
        <v>0</v>
      </c>
      <c r="H29" s="1">
        <f>IF(Objectifs!E48=0,0,'Suivi objectifs'!G29*'Bilan territorial'!$K$62)*1000</f>
        <v>0</v>
      </c>
      <c r="I29" s="1">
        <f>H29</f>
        <v>0</v>
      </c>
      <c r="J29" s="1">
        <f>IF(Objectifs!D48=0,0,Objectifs!V48/Objectifs!D48*Objectifs!E48)</f>
        <v>0</v>
      </c>
      <c r="K29" s="1">
        <f>IF(Objectifs!E48=0,,J29/Objectifs!E48*Objectifs!F48)</f>
        <v>0</v>
      </c>
      <c r="L29" s="1668">
        <f ca="1">SUMIF(Actions!$I$2:$I$46,'Suivi objectifs'!D29,Actions!$J$2:$J$46)+SUMIF(Actions!$K$2:$K$46,'Suivi objectifs'!D29,Actions!$L$2:$L$46)+SUMIF(Actions!$M$2:$M$46,'Suivi objectifs'!D29,Actions!$N$2:$N$46)</f>
        <v>0</v>
      </c>
    </row>
    <row r="30" spans="1:12">
      <c r="A30" s="1" t="str">
        <f>IF(ISNA(VLOOKUP(C30,Categories!$X$20:$Y$25,2,0)),0,VLOOKUP(C30,Categories!$X$20:$Y$25,2,0))</f>
        <v>Production d'électricité</v>
      </c>
      <c r="B30" s="1" t="str">
        <f t="shared" ref="B30:B40" si="8">A30</f>
        <v>Production d'électricité</v>
      </c>
      <c r="C30" s="59" t="str">
        <f>Objectifs!B49</f>
        <v>Solaire PV</v>
      </c>
      <c r="D30" s="59">
        <f>IF(Objectifs!E49=0,0,SUBSTITUTE(Objectifs!C49,"x",ROUND(Objectifs!D49,0)))</f>
        <v>0</v>
      </c>
      <c r="E30" s="1" t="str">
        <f t="shared" si="0"/>
        <v>Production d'électricité</v>
      </c>
      <c r="G30" s="1">
        <f>IF(Objectifs!E49=0,0,IF('Bilan territorial'!$AO$87&lt;0,('Bilan territorial'!$AM$20-'Bilan territorial'!$I$59)*Objectifs!E49/SUM(Objectifs!$E$48:$E$49,Objectifs!$E$51,Objectifs!$E$54),Objectifs!E49-('Potentiel EnR'!$G$54-'Potentiel EnR'!$G$66)))</f>
        <v>0</v>
      </c>
      <c r="H30" s="1">
        <f>IF(Objectifs!E49=0,0,'Suivi objectifs'!G30*'Bilan territorial'!$K$62)*1000</f>
        <v>0</v>
      </c>
      <c r="I30" s="1">
        <f>H30</f>
        <v>0</v>
      </c>
      <c r="J30" s="1">
        <f>IF(Objectifs!D49=0,0,Objectifs!V49/Objectifs!D49*Objectifs!E49)</f>
        <v>0</v>
      </c>
      <c r="K30" s="1">
        <f>IF(Objectifs!E49=0,,J30/Objectifs!E49*Objectifs!F49)</f>
        <v>0</v>
      </c>
      <c r="L30" s="1668">
        <f ca="1">SUMIF(Actions!$I$2:$I$46,'Suivi objectifs'!D30,Actions!$J$2:$J$46)+SUMIF(Actions!$K$2:$K$46,'Suivi objectifs'!D30,Actions!$L$2:$L$46)+SUMIF(Actions!$M$2:$M$46,'Suivi objectifs'!D30,Actions!$N$2:$N$46)</f>
        <v>0</v>
      </c>
    </row>
    <row r="31" spans="1:12">
      <c r="A31" s="1" t="str">
        <f>IF(ISNA(VLOOKUP(C31,Categories!$X$20:$Y$25,2,0)),0,VLOOKUP(C31,Categories!$X$20:$Y$25,2,0))</f>
        <v>Production de chaleur</v>
      </c>
      <c r="B31" s="1" t="str">
        <f t="shared" si="8"/>
        <v>Production de chaleur</v>
      </c>
      <c r="C31" s="59" t="str">
        <f>Objectifs!B50</f>
        <v>Solaire thermique</v>
      </c>
      <c r="D31" s="59">
        <f>IF(Objectifs!E50=0,0,SUBSTITUTE(Objectifs!C50,"x",ROUND(Objectifs!D50,0)))</f>
        <v>0</v>
      </c>
      <c r="E31" s="1" t="str">
        <f t="shared" si="0"/>
        <v>Production de chaleur</v>
      </c>
      <c r="G31" s="1" t="e">
        <f ca="1">IF(Objectifs!E50,0,Objectifs!E50-('Bilan territorial'!J52-'Bilan territorial'!C52))</f>
        <v>#REF!</v>
      </c>
      <c r="H31" s="1">
        <f>IF(Objectifs!E50=0,0,Objectifs!F50/Objectifs!E50*'Suivi objectifs'!G31)</f>
        <v>0</v>
      </c>
      <c r="I31" s="1">
        <f>H31</f>
        <v>0</v>
      </c>
      <c r="J31" s="1">
        <f>IF(Objectifs!D50=0,0,Objectifs!V50/Objectifs!D50*Objectifs!E50)</f>
        <v>0</v>
      </c>
      <c r="K31" s="1">
        <f>IF(Objectifs!E50=0,,J31/Objectifs!E50*Objectifs!F50)</f>
        <v>0</v>
      </c>
      <c r="L31" s="1668">
        <f ca="1">SUMIF(Actions!$I$2:$I$46,'Suivi objectifs'!D31,Actions!$J$2:$J$46)+SUMIF(Actions!$K$2:$K$46,'Suivi objectifs'!D31,Actions!$L$2:$L$46)+SUMIF(Actions!$M$2:$M$46,'Suivi objectifs'!D31,Actions!$N$2:$N$46)</f>
        <v>0</v>
      </c>
    </row>
    <row r="32" spans="1:12">
      <c r="A32" s="1" t="str">
        <f>IF(ISNA(VLOOKUP(C32,Categories!$X$20:$Y$25,2,0)),0,VLOOKUP(C32,Categories!$X$20:$Y$25,2,0))</f>
        <v>Cogénération</v>
      </c>
      <c r="B32" s="1" t="str">
        <f t="shared" si="8"/>
        <v>Cogénération</v>
      </c>
      <c r="C32" s="59" t="str">
        <f>Objectifs!B51</f>
        <v>Biométhanisation</v>
      </c>
      <c r="D32" s="59">
        <f>IF(Objectifs!E51=0,0,SUBSTITUTE(Objectifs!C51,"x",ROUND(Objectifs!D51,0)))</f>
        <v>0</v>
      </c>
      <c r="E32" s="1" t="str">
        <f t="shared" si="0"/>
        <v>Cogénération</v>
      </c>
      <c r="G32" s="1">
        <f>IF(Objectifs!E51=0,0,IF('Bilan territorial'!$AO$87&lt;0,('Bilan territorial'!$AM$20-'Bilan territorial'!$I$59)*Objectifs!E51/SUM(Objectifs!$E$48:$E$49,Objectifs!$E$51,Objectifs!$E$54),Objectifs!E51-('Potentiel EnR'!$E$51-'Potentiel EnR'!$E$63)))</f>
        <v>0</v>
      </c>
      <c r="H32" s="1">
        <f>IF(Objectifs!E51=0,0,'Suivi objectifs'!G32*('Bilan territorial'!$K$62-Hypothèses!$B$19)*1000)</f>
        <v>0</v>
      </c>
      <c r="I32" s="1">
        <f t="shared" ref="I32:I35" si="9">H32</f>
        <v>0</v>
      </c>
      <c r="J32" s="1">
        <f>IF(Objectifs!D51=0,0,Objectifs!V51/Objectifs!D51*Objectifs!E51)</f>
        <v>0</v>
      </c>
      <c r="K32" s="1">
        <f>IF(Objectifs!E51=0,,J32/Objectifs!E51*Objectifs!F51)</f>
        <v>0</v>
      </c>
      <c r="L32" s="1668">
        <f ca="1">SUMIF(Actions!$I$2:$I$46,'Suivi objectifs'!D32,Actions!$J$2:$J$46)+SUMIF(Actions!$K$2:$K$46,'Suivi objectifs'!D32,Actions!$L$2:$L$46)+SUMIF(Actions!$M$2:$M$46,'Suivi objectifs'!D32,Actions!$N$2:$N$46)</f>
        <v>0</v>
      </c>
    </row>
    <row r="33" spans="1:12">
      <c r="A33" s="1" t="str">
        <f>A31</f>
        <v>Production de chaleur</v>
      </c>
      <c r="B33" s="1" t="str">
        <f t="shared" ref="B33" si="10">A33</f>
        <v>Production de chaleur</v>
      </c>
      <c r="C33" s="59" t="s">
        <v>319</v>
      </c>
      <c r="D33" s="59">
        <f>IF(Objectifs!E52=0,0,SUBSTITUTE(Objectifs!C52,"x",ROUND(Objectifs!D52,0)))</f>
        <v>0</v>
      </c>
      <c r="E33" s="1" t="str">
        <f t="shared" si="0"/>
        <v>Production de chaleur</v>
      </c>
      <c r="G33" s="1">
        <f>Objectifs!E52</f>
        <v>0</v>
      </c>
      <c r="H33" s="1">
        <f>Objectifs!F52</f>
        <v>0</v>
      </c>
      <c r="I33" s="1">
        <f t="shared" si="9"/>
        <v>0</v>
      </c>
      <c r="J33" s="1">
        <f>IF(Objectifs!D52=0,0,Objectifs!V52/Objectifs!D52*Objectifs!E52)</f>
        <v>0</v>
      </c>
      <c r="K33" s="1">
        <f>IF(Objectifs!E52=0,,J33/Objectifs!E52*Objectifs!F52)</f>
        <v>0</v>
      </c>
      <c r="L33" s="1668">
        <f ca="1">SUMIF(Actions!$I$2:$I$46,'Suivi objectifs'!D33,Actions!$J$2:$J$46)+SUMIF(Actions!$K$2:$K$46,'Suivi objectifs'!D33,Actions!$L$2:$L$46)+SUMIF(Actions!$M$2:$M$46,'Suivi objectifs'!D33,Actions!$N$2:$N$46)</f>
        <v>0</v>
      </c>
    </row>
    <row r="34" spans="1:12">
      <c r="A34" s="1" t="str">
        <f>IF(ISNA(VLOOKUP(C34,Categories!$X$20:$Y$25,2,0)),0,VLOOKUP(C34,Categories!$X$20:$Y$25,2,0))</f>
        <v>Production de chaleur</v>
      </c>
      <c r="B34" s="1" t="str">
        <f t="shared" ref="B34" si="11">A34</f>
        <v>Production de chaleur</v>
      </c>
      <c r="C34" s="59" t="str">
        <f>Objectifs!B53</f>
        <v>Bois énergie</v>
      </c>
      <c r="D34" s="59">
        <f>IF(Objectifs!E53=0,0,SUBSTITUTE(Objectifs!C53,"x",Objectifs!D53))</f>
        <v>0</v>
      </c>
      <c r="E34" s="1" t="str">
        <f t="shared" ref="E34" si="12">A34</f>
        <v>Production de chaleur</v>
      </c>
      <c r="G34" s="1">
        <f>IF(Objectifs!E53=0,0,IF('Bilan territorial'!$AO$87&lt;0,('Bilan territorial'!$AM$20-'Bilan territorial'!$I$59)*Objectifs!E53/SUM(Objectifs!$E$48:$E$49,Objectifs!$E$51,Objectifs!$E$54),Objectifs!E53-('Potentiel EnR'!$G$50-'Potentiel EnR'!$G$62)))</f>
        <v>0</v>
      </c>
      <c r="H34" s="1">
        <f>IF(Objectifs!E53=0,0,'Suivi objectifs'!G34*('Bilan territorial'!$K$62-Hypothèses!$B$19)*1000)</f>
        <v>0</v>
      </c>
      <c r="I34" s="1">
        <f t="shared" ref="I34" si="13">H34</f>
        <v>0</v>
      </c>
      <c r="J34" s="1">
        <f>IF(Objectifs!D53=0,0,Objectifs!V53/Objectifs!D53*Objectifs!E53)</f>
        <v>0</v>
      </c>
      <c r="K34" s="1">
        <f>IF(Objectifs!E53=0,,J34/Objectifs!E53*Objectifs!F53)</f>
        <v>0</v>
      </c>
      <c r="L34" s="1668">
        <f ca="1">SUMIF(Actions!$I$2:$I$46,'Suivi objectifs'!D34,Actions!$J$2:$J$46)+SUMIF(Actions!$K$2:$K$46,'Suivi objectifs'!D34,Actions!$L$2:$L$46)+SUMIF(Actions!$M$2:$M$46,'Suivi objectifs'!D34,Actions!$N$2:$N$46)</f>
        <v>0</v>
      </c>
    </row>
    <row r="35" spans="1:12">
      <c r="A35" s="1" t="str">
        <f>IF(ISNA(VLOOKUP(C35,Categories!$X$20:$Y$25,2,0)),0,VLOOKUP(C35,Categories!$X$20:$Y$25,2,0))</f>
        <v>Production d'électricité</v>
      </c>
      <c r="B35" s="1" t="str">
        <f t="shared" si="8"/>
        <v>Production d'électricité</v>
      </c>
      <c r="C35" s="59" t="str">
        <f>Objectifs!B54</f>
        <v>Hydroénergie</v>
      </c>
      <c r="D35" s="59">
        <f>IF(Objectifs!E54=0,0,SUBSTITUTE(Objectifs!C54,"x",Objectifs!D54))</f>
        <v>0</v>
      </c>
      <c r="E35" s="1" t="str">
        <f t="shared" si="0"/>
        <v>Production d'électricité</v>
      </c>
      <c r="G35" s="1">
        <f>IF(Objectifs!E54=0,0,IF('Bilan territorial'!$AO$87&lt;0,('Bilan territorial'!$AM$20-'Bilan territorial'!$I$59)*Objectifs!E54/SUM(Objectifs!$E$48:$E$49,Objectifs!$E$51,Objectifs!$E$54),Objectifs!E54-('Potentiel EnR'!$G$49-'Potentiel EnR'!$G$61)))</f>
        <v>0</v>
      </c>
      <c r="H35" s="1">
        <f>IF(Objectifs!E54=0,0,'Suivi objectifs'!G35*'Bilan territorial'!$K$62)*1000</f>
        <v>0</v>
      </c>
      <c r="I35" s="1">
        <f t="shared" si="9"/>
        <v>0</v>
      </c>
      <c r="J35" s="1">
        <f>IF(Objectifs!D54=0,0,Objectifs!V54/Objectifs!D54*Objectifs!E54)</f>
        <v>0</v>
      </c>
      <c r="K35" s="1">
        <f>IF(Objectifs!E54=0,,J35/Objectifs!E54*Objectifs!F54)</f>
        <v>0</v>
      </c>
      <c r="L35" s="1668">
        <f ca="1">SUMIF(Actions!$I$2:$I$46,'Suivi objectifs'!D35,Actions!$J$2:$J$46)+SUMIF(Actions!$K$2:$K$46,'Suivi objectifs'!D35,Actions!$L$2:$L$46)+SUMIF(Actions!$M$2:$M$46,'Suivi objectifs'!D35,Actions!$N$2:$N$46)</f>
        <v>0</v>
      </c>
    </row>
    <row r="36" spans="1:12">
      <c r="A36" s="1" t="str">
        <f>C36</f>
        <v>Gestion des déchets</v>
      </c>
      <c r="B36" s="1" t="str">
        <f t="shared" si="8"/>
        <v>Gestion des déchets</v>
      </c>
      <c r="C36" s="59" t="str">
        <f>Objectifs!B58</f>
        <v>Gestion des déchets</v>
      </c>
      <c r="D36" s="59">
        <f>IF(Objectifs!C58=0,,"Réduction de "&amp;ROUND(-Objectifs!C58*100,0)&amp;"% dans le secteur '"&amp;B36&amp;"'")</f>
        <v>0</v>
      </c>
      <c r="E36" s="1" t="str">
        <f t="shared" si="0"/>
        <v>Gestion des déchets</v>
      </c>
      <c r="H36" s="1">
        <f>IF(Objectifs!C58=0,0,Objectifs!F58-('Bilan territorial'!F38-'Bilan territorial'!M38))</f>
        <v>0</v>
      </c>
      <c r="I36" s="1">
        <f>H36</f>
        <v>0</v>
      </c>
      <c r="L36" s="1668">
        <f ca="1">SUMIF(Actions!$I$2:$I$46,'Suivi objectifs'!D36,Actions!$J$2:$J$46)+SUMIF(Actions!$K$2:$K$46,'Suivi objectifs'!D36,Actions!$L$2:$L$46)+SUMIF(Actions!$M$2:$M$46,'Suivi objectifs'!D36,Actions!$N$2:$N$46)</f>
        <v>0</v>
      </c>
    </row>
    <row r="37" spans="1:12">
      <c r="A37" s="1" t="str">
        <f>C37</f>
        <v>Traitement des eaux usées</v>
      </c>
      <c r="B37" s="1" t="str">
        <f t="shared" si="8"/>
        <v>Traitement des eaux usées</v>
      </c>
      <c r="C37" s="59" t="str">
        <f>Objectifs!B59</f>
        <v>Traitement des eaux usées</v>
      </c>
      <c r="D37" s="59">
        <f>IF(Objectifs!C59=0,,"Réduction de "&amp;ROUND(-Objectifs!C59*100,0)&amp;"% dans le secteur '"&amp;B37&amp;"'")</f>
        <v>0</v>
      </c>
      <c r="E37" s="1" t="str">
        <f t="shared" si="0"/>
        <v>Traitement des eaux usées</v>
      </c>
      <c r="H37" s="1">
        <f>Objectifs!F59</f>
        <v>0</v>
      </c>
      <c r="I37" s="1">
        <f t="shared" ref="I37:I38" si="14">H37</f>
        <v>0</v>
      </c>
      <c r="L37" s="1668">
        <f ca="1">SUMIF(Actions!$I$2:$I$46,'Suivi objectifs'!D37,Actions!$J$2:$J$46)+SUMIF(Actions!$K$2:$K$46,'Suivi objectifs'!D37,Actions!$L$2:$L$46)+SUMIF(Actions!$M$2:$M$46,'Suivi objectifs'!D37,Actions!$N$2:$N$46)</f>
        <v>0</v>
      </c>
    </row>
    <row r="38" spans="1:12">
      <c r="A38" s="1" t="str">
        <f>C38</f>
        <v>Autres non-énergétiques</v>
      </c>
      <c r="B38" s="1" t="str">
        <f t="shared" si="8"/>
        <v>Autres non-énergétiques</v>
      </c>
      <c r="C38" s="59" t="str">
        <f>Objectifs!B60</f>
        <v>Autres non-énergétiques</v>
      </c>
      <c r="D38" s="59">
        <f>IF(Objectifs!C60=0,,"Réduction de "&amp;ROUND(-Objectifs!C60*100,0)&amp;"% dans le secteur '"&amp;B38&amp;"'")</f>
        <v>0</v>
      </c>
      <c r="E38" s="1" t="str">
        <f t="shared" si="0"/>
        <v>Autres non-énergétiques</v>
      </c>
      <c r="H38" s="1">
        <f>Objectifs!F60</f>
        <v>0</v>
      </c>
      <c r="I38" s="1">
        <f t="shared" si="14"/>
        <v>0</v>
      </c>
      <c r="L38" s="1668">
        <f ca="1">SUMIF(Actions!$I$2:$I$46,'Suivi objectifs'!D38,Actions!$J$2:$J$46)+SUMIF(Actions!$K$2:$K$46,'Suivi objectifs'!D38,Actions!$L$2:$L$46)+SUMIF(Actions!$M$2:$M$46,'Suivi objectifs'!D38,Actions!$N$2:$N$46)</f>
        <v>0</v>
      </c>
    </row>
    <row r="39" spans="1:12">
      <c r="A39" s="1">
        <f t="shared" ref="A39:A40" si="15">C39</f>
        <v>0</v>
      </c>
      <c r="B39" s="1">
        <f t="shared" si="8"/>
        <v>0</v>
      </c>
      <c r="C39" s="59">
        <f>Objectifs!B65</f>
        <v>0</v>
      </c>
      <c r="D39" s="59">
        <f>Objectifs!C65</f>
        <v>0</v>
      </c>
      <c r="E39" s="1">
        <f t="shared" si="0"/>
        <v>0</v>
      </c>
      <c r="L39" s="1668">
        <f ca="1">SUMIF(Actions!$I$2:$I$46,'Suivi objectifs'!D39,Actions!$J$2:$J$46)+SUMIF(Actions!$K$2:$K$46,'Suivi objectifs'!D39,Actions!$L$2:$L$46)+SUMIF(Actions!$M$2:$M$46,'Suivi objectifs'!D39,Actions!$N$2:$N$46)</f>
        <v>0</v>
      </c>
    </row>
    <row r="40" spans="1:12">
      <c r="A40" s="1">
        <f t="shared" si="15"/>
        <v>0</v>
      </c>
      <c r="B40" s="1">
        <f t="shared" si="8"/>
        <v>0</v>
      </c>
      <c r="C40" s="59">
        <f>Objectifs!B66</f>
        <v>0</v>
      </c>
      <c r="D40" s="59">
        <f>Objectifs!C66</f>
        <v>0</v>
      </c>
      <c r="E40" s="1">
        <f t="shared" ref="E40:E41" si="16">A40</f>
        <v>0</v>
      </c>
      <c r="L40" s="1668">
        <f ca="1">SUMIF(Actions!$I$2:$I$46,'Suivi objectifs'!D40,Actions!$J$2:$J$46)+SUMIF(Actions!$K$2:$K$46,'Suivi objectifs'!D40,Actions!$L$2:$L$46)+SUMIF(Actions!$M$2:$M$46,'Suivi objectifs'!D40,Actions!$N$2:$N$46)</f>
        <v>0</v>
      </c>
    </row>
    <row r="41" spans="1:12">
      <c r="A41" s="1">
        <f t="shared" ref="A41:A47" si="17">C41</f>
        <v>0</v>
      </c>
      <c r="B41" s="1">
        <f t="shared" ref="B41:B47" si="18">A41</f>
        <v>0</v>
      </c>
      <c r="C41" s="59">
        <f>Objectifs!B67</f>
        <v>0</v>
      </c>
      <c r="D41" s="59">
        <f>Objectifs!C67</f>
        <v>0</v>
      </c>
      <c r="E41" s="1">
        <f t="shared" si="16"/>
        <v>0</v>
      </c>
      <c r="L41" s="1668">
        <f ca="1">SUMIF(Actions!$I$2:$I$46,'Suivi objectifs'!D41,Actions!$J$2:$J$46)+SUMIF(Actions!$K$2:$K$46,'Suivi objectifs'!D41,Actions!$L$2:$L$46)+SUMIF(Actions!$M$2:$M$46,'Suivi objectifs'!D41,Actions!$N$2:$N$46)</f>
        <v>0</v>
      </c>
    </row>
    <row r="42" spans="1:12">
      <c r="A42" s="1">
        <f t="shared" si="17"/>
        <v>0</v>
      </c>
      <c r="B42" s="1">
        <f t="shared" si="18"/>
        <v>0</v>
      </c>
      <c r="C42" s="59">
        <f>Objectifs!B68</f>
        <v>0</v>
      </c>
      <c r="D42" s="59">
        <f>Objectifs!C68</f>
        <v>0</v>
      </c>
      <c r="E42" s="1">
        <f t="shared" ref="E42:E47" si="19">A42</f>
        <v>0</v>
      </c>
      <c r="L42" s="1668">
        <f ca="1">SUMIF(Actions!$I$2:$I$46,'Suivi objectifs'!D42,Actions!$J$2:$J$46)+SUMIF(Actions!$K$2:$K$46,'Suivi objectifs'!D42,Actions!$L$2:$L$46)+SUMIF(Actions!$M$2:$M$46,'Suivi objectifs'!D42,Actions!$N$2:$N$46)</f>
        <v>0</v>
      </c>
    </row>
    <row r="43" spans="1:12">
      <c r="A43" s="1">
        <f t="shared" si="17"/>
        <v>0</v>
      </c>
      <c r="B43" s="1">
        <f t="shared" si="18"/>
        <v>0</v>
      </c>
      <c r="C43" s="59">
        <f>Objectifs!B69</f>
        <v>0</v>
      </c>
      <c r="D43" s="59">
        <f>Objectifs!C69</f>
        <v>0</v>
      </c>
      <c r="E43" s="1">
        <f t="shared" si="19"/>
        <v>0</v>
      </c>
      <c r="L43" s="1668">
        <f ca="1">SUMIF(Actions!$I$2:$I$46,'Suivi objectifs'!D43,Actions!$J$2:$J$46)+SUMIF(Actions!$K$2:$K$46,'Suivi objectifs'!D43,Actions!$L$2:$L$46)+SUMIF(Actions!$M$2:$M$46,'Suivi objectifs'!D43,Actions!$N$2:$N$46)</f>
        <v>0</v>
      </c>
    </row>
    <row r="44" spans="1:12">
      <c r="A44" s="1">
        <f t="shared" si="17"/>
        <v>0</v>
      </c>
      <c r="B44" s="1">
        <f t="shared" si="18"/>
        <v>0</v>
      </c>
      <c r="C44" s="59">
        <f>Objectifs!B70</f>
        <v>0</v>
      </c>
      <c r="D44" s="59">
        <f>Objectifs!C70</f>
        <v>0</v>
      </c>
      <c r="E44" s="1">
        <f t="shared" si="19"/>
        <v>0</v>
      </c>
      <c r="L44" s="1668">
        <f ca="1">SUMIF(Actions!$I$2:$I$46,'Suivi objectifs'!D44,Actions!$J$2:$J$46)+SUMIF(Actions!$K$2:$K$46,'Suivi objectifs'!D44,Actions!$L$2:$L$46)+SUMIF(Actions!$M$2:$M$46,'Suivi objectifs'!D44,Actions!$N$2:$N$46)</f>
        <v>0</v>
      </c>
    </row>
    <row r="45" spans="1:12">
      <c r="A45" s="1">
        <f t="shared" si="17"/>
        <v>0</v>
      </c>
      <c r="B45" s="1">
        <f t="shared" si="18"/>
        <v>0</v>
      </c>
      <c r="C45" s="59">
        <f>Objectifs!B71</f>
        <v>0</v>
      </c>
      <c r="D45" s="59">
        <f>Objectifs!C71</f>
        <v>0</v>
      </c>
      <c r="E45" s="1">
        <f t="shared" si="19"/>
        <v>0</v>
      </c>
      <c r="L45" s="1668">
        <f ca="1">SUMIF(Actions!$I$2:$I$46,'Suivi objectifs'!D45,Actions!$J$2:$J$46)+SUMIF(Actions!$K$2:$K$46,'Suivi objectifs'!D45,Actions!$L$2:$L$46)+SUMIF(Actions!$M$2:$M$46,'Suivi objectifs'!D45,Actions!$N$2:$N$46)</f>
        <v>0</v>
      </c>
    </row>
    <row r="46" spans="1:12">
      <c r="A46" s="1">
        <f t="shared" si="17"/>
        <v>0</v>
      </c>
      <c r="B46" s="1">
        <f t="shared" si="18"/>
        <v>0</v>
      </c>
      <c r="C46" s="59">
        <f>Objectifs!B72</f>
        <v>0</v>
      </c>
      <c r="D46" s="59">
        <f>Objectifs!C72</f>
        <v>0</v>
      </c>
      <c r="E46" s="1">
        <f t="shared" si="19"/>
        <v>0</v>
      </c>
      <c r="L46" s="1668">
        <f ca="1">SUMIF(Actions!$I$2:$I$46,'Suivi objectifs'!D46,Actions!$J$2:$J$46)+SUMIF(Actions!$K$2:$K$46,'Suivi objectifs'!D46,Actions!$L$2:$L$46)+SUMIF(Actions!$M$2:$M$46,'Suivi objectifs'!D46,Actions!$N$2:$N$46)</f>
        <v>0</v>
      </c>
    </row>
    <row r="47" spans="1:12">
      <c r="A47" s="1">
        <f t="shared" si="17"/>
        <v>0</v>
      </c>
      <c r="B47" s="1">
        <f t="shared" si="18"/>
        <v>0</v>
      </c>
      <c r="C47" s="59">
        <f>Objectifs!B73</f>
        <v>0</v>
      </c>
      <c r="D47" s="59">
        <f>Objectifs!C73</f>
        <v>0</v>
      </c>
      <c r="E47" s="1">
        <f t="shared" si="19"/>
        <v>0</v>
      </c>
      <c r="L47" s="1668">
        <f ca="1">SUMIF(Actions!$I$2:$I$46,'Suivi objectifs'!D47,Actions!$J$2:$J$46)+SUMIF(Actions!$K$2:$K$46,'Suivi objectifs'!D47,Actions!$L$2:$L$46)+SUMIF(Actions!$M$2:$M$46,'Suivi objectifs'!D47,Actions!$N$2:$N$46)</f>
        <v>0</v>
      </c>
    </row>
    <row r="48" spans="1:12">
      <c r="B48" s="1">
        <f t="shared" ref="B48" si="20">A48</f>
        <v>0</v>
      </c>
      <c r="C48" s="59">
        <f>Objectifs!B74</f>
        <v>0</v>
      </c>
      <c r="D48" s="59">
        <f>Objectifs!C74</f>
        <v>0</v>
      </c>
      <c r="E48" s="1">
        <f t="shared" ref="E48" si="21">A48</f>
        <v>0</v>
      </c>
      <c r="L48" s="1668">
        <f ca="1">SUMIF(Actions!$I$2:$I$46,'Suivi objectifs'!D48,Actions!$J$2:$J$46)+SUMIF(Actions!$K$2:$K$46,'Suivi objectifs'!D48,Actions!$L$2:$L$46)+SUMIF(Actions!$M$2:$M$46,'Suivi objectifs'!D48,Actions!$N$2:$N$46)</f>
        <v>0</v>
      </c>
    </row>
  </sheetData>
  <sheetProtection formatRows="0"/>
  <autoFilter ref="C1:D38" xr:uid="{00000000-0009-0000-0000-000020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9">
    <tabColor theme="8" tint="-0.249977111117893"/>
  </sheetPr>
  <dimension ref="A1:L651"/>
  <sheetViews>
    <sheetView showGridLines="0" zoomScale="90" zoomScaleNormal="90" workbookViewId="0">
      <pane ySplit="1" topLeftCell="A2" activePane="bottomLeft" state="frozen"/>
      <selection activeCell="D90" sqref="D90"/>
      <selection pane="bottomLeft" activeCell="B139" sqref="B139:C139"/>
    </sheetView>
  </sheetViews>
  <sheetFormatPr baseColWidth="10" defaultColWidth="9.109375" defaultRowHeight="14.4"/>
  <cols>
    <col min="1" max="1" width="4.5546875" style="843" customWidth="1"/>
    <col min="2" max="2" width="63.44140625" style="43" customWidth="1"/>
    <col min="3" max="3" width="21.44140625" customWidth="1"/>
    <col min="4" max="4" width="16.88671875" customWidth="1"/>
    <col min="5" max="5" width="13.88671875" customWidth="1"/>
    <col min="6" max="6" width="14" customWidth="1"/>
    <col min="7" max="7" width="17.44140625" customWidth="1"/>
    <col min="10" max="10" width="21.109375" customWidth="1"/>
  </cols>
  <sheetData>
    <row r="1" spans="1:6" ht="63.75" customHeight="1"/>
    <row r="3" spans="1:6">
      <c r="B3" s="214" t="s">
        <v>671</v>
      </c>
      <c r="C3" s="619">
        <f>Objectifs!C12</f>
        <v>0</v>
      </c>
      <c r="D3" t="s">
        <v>672</v>
      </c>
    </row>
    <row r="4" spans="1:6">
      <c r="B4" s="214" t="s">
        <v>673</v>
      </c>
      <c r="C4" t="s">
        <v>294</v>
      </c>
    </row>
    <row r="5" spans="1:6">
      <c r="B5" s="214" t="s">
        <v>674</v>
      </c>
      <c r="C5" s="215">
        <f ca="1">SUM('Bilan patrimonial'!F8:F10)*Scénarios!C3/1000000</f>
        <v>0</v>
      </c>
    </row>
    <row r="6" spans="1:6">
      <c r="B6" s="214" t="str">
        <f>"Evolution des consommations 2006-"&amp;Accueil!$E$29</f>
        <v>Evolution des consommations 2006-</v>
      </c>
      <c r="C6" s="634" t="e">
        <f ca="1">(SUM('Bilan patrimonial'!M8:M10)-SUM('Bilan patrimonial'!F8:F10))/1000000</f>
        <v>#REF!</v>
      </c>
    </row>
    <row r="7" spans="1:6">
      <c r="B7" s="214" t="s">
        <v>675</v>
      </c>
      <c r="C7" s="635" t="e">
        <f ca="1">C5-C6</f>
        <v>#REF!</v>
      </c>
    </row>
    <row r="9" spans="1:6" ht="43.2">
      <c r="B9" s="216" t="s">
        <v>676</v>
      </c>
      <c r="C9" s="217" t="s">
        <v>677</v>
      </c>
      <c r="D9" s="218" t="s">
        <v>291</v>
      </c>
      <c r="E9" s="218" t="s">
        <v>678</v>
      </c>
    </row>
    <row r="10" spans="1:6">
      <c r="A10" s="843" t="str">
        <f>ROUND(C$3*100,0)&amp;"% "&amp;D$3&amp;" dans le secteur '"&amp;C$4&amp;"'_"&amp;F10</f>
        <v>0% de consommation d'énergie par rapport à 2006 dans le secteur 'Bâtiments et équipements communaux'_1</v>
      </c>
      <c r="B10" s="382"/>
      <c r="C10" s="383"/>
      <c r="D10" s="644"/>
      <c r="E10" s="132" t="e">
        <f ca="1">IF($C$7=0,0,D10/$C$7)</f>
        <v>#REF!</v>
      </c>
      <c r="F10" s="55">
        <v>1</v>
      </c>
    </row>
    <row r="11" spans="1:6">
      <c r="A11" s="843" t="str">
        <f t="shared" ref="A11:A19" si="0">ROUND(C$3*100,0)&amp;"% "&amp;D$3&amp;" dans le secteur '"&amp;C$4&amp;"'_"&amp;F11</f>
        <v>0% de consommation d'énergie par rapport à 2006 dans le secteur 'Bâtiments et équipements communaux'_2</v>
      </c>
      <c r="B11" s="382"/>
      <c r="C11" s="383"/>
      <c r="D11" s="644"/>
      <c r="E11" s="132" t="e">
        <f t="shared" ref="E11:E19" ca="1" si="1">IF($C$7=0,0,D11/$C$7)</f>
        <v>#REF!</v>
      </c>
      <c r="F11" s="55">
        <v>2</v>
      </c>
    </row>
    <row r="12" spans="1:6">
      <c r="A12" s="843" t="str">
        <f t="shared" si="0"/>
        <v>0% de consommation d'énergie par rapport à 2006 dans le secteur 'Bâtiments et équipements communaux'_3</v>
      </c>
      <c r="B12" s="382"/>
      <c r="C12" s="383"/>
      <c r="D12" s="383"/>
      <c r="E12" s="132" t="e">
        <f t="shared" ca="1" si="1"/>
        <v>#REF!</v>
      </c>
      <c r="F12" s="55">
        <v>3</v>
      </c>
    </row>
    <row r="13" spans="1:6">
      <c r="A13" s="843" t="str">
        <f t="shared" si="0"/>
        <v>0% de consommation d'énergie par rapport à 2006 dans le secteur 'Bâtiments et équipements communaux'_4</v>
      </c>
      <c r="B13" s="382"/>
      <c r="C13" s="383"/>
      <c r="D13" s="383"/>
      <c r="E13" s="132" t="e">
        <f t="shared" ca="1" si="1"/>
        <v>#REF!</v>
      </c>
      <c r="F13" s="55">
        <v>4</v>
      </c>
    </row>
    <row r="14" spans="1:6">
      <c r="A14" s="843" t="str">
        <f t="shared" si="0"/>
        <v>0% de consommation d'énergie par rapport à 2006 dans le secteur 'Bâtiments et équipements communaux'_5</v>
      </c>
      <c r="B14" s="382"/>
      <c r="C14" s="383"/>
      <c r="D14" s="383"/>
      <c r="E14" s="132" t="e">
        <f t="shared" ca="1" si="1"/>
        <v>#REF!</v>
      </c>
      <c r="F14" s="55">
        <v>5</v>
      </c>
    </row>
    <row r="15" spans="1:6">
      <c r="A15" s="843" t="str">
        <f t="shared" si="0"/>
        <v>0% de consommation d'énergie par rapport à 2006 dans le secteur 'Bâtiments et équipements communaux'_6</v>
      </c>
      <c r="B15" s="382"/>
      <c r="C15" s="383"/>
      <c r="D15" s="383"/>
      <c r="E15" s="132" t="e">
        <f t="shared" ca="1" si="1"/>
        <v>#REF!</v>
      </c>
      <c r="F15" s="55">
        <v>6</v>
      </c>
    </row>
    <row r="16" spans="1:6">
      <c r="A16" s="843" t="str">
        <f t="shared" si="0"/>
        <v>0% de consommation d'énergie par rapport à 2006 dans le secteur 'Bâtiments et équipements communaux'_7</v>
      </c>
      <c r="B16" s="382"/>
      <c r="C16" s="383"/>
      <c r="D16" s="383"/>
      <c r="E16" s="132" t="e">
        <f t="shared" ca="1" si="1"/>
        <v>#REF!</v>
      </c>
      <c r="F16" s="55">
        <v>7</v>
      </c>
    </row>
    <row r="17" spans="1:8">
      <c r="A17" s="843" t="str">
        <f t="shared" si="0"/>
        <v>0% de consommation d'énergie par rapport à 2006 dans le secteur 'Bâtiments et équipements communaux'_8</v>
      </c>
      <c r="B17" s="382"/>
      <c r="C17" s="383"/>
      <c r="D17" s="383"/>
      <c r="E17" s="132" t="e">
        <f t="shared" ca="1" si="1"/>
        <v>#REF!</v>
      </c>
      <c r="F17" s="55">
        <v>8</v>
      </c>
    </row>
    <row r="18" spans="1:8">
      <c r="A18" s="843" t="str">
        <f t="shared" si="0"/>
        <v>0% de consommation d'énergie par rapport à 2006 dans le secteur 'Bâtiments et équipements communaux'_9</v>
      </c>
      <c r="B18" s="382"/>
      <c r="C18" s="383"/>
      <c r="D18" s="383"/>
      <c r="E18" s="132" t="e">
        <f t="shared" ca="1" si="1"/>
        <v>#REF!</v>
      </c>
      <c r="F18" s="55">
        <v>9</v>
      </c>
    </row>
    <row r="19" spans="1:8">
      <c r="A19" s="843" t="str">
        <f t="shared" si="0"/>
        <v>0% de consommation d'énergie par rapport à 2006 dans le secteur 'Bâtiments et équipements communaux'_10</v>
      </c>
      <c r="B19" s="382"/>
      <c r="C19" s="383"/>
      <c r="D19" s="383"/>
      <c r="E19" s="132" t="e">
        <f t="shared" ca="1" si="1"/>
        <v>#REF!</v>
      </c>
      <c r="F19" s="55">
        <v>10</v>
      </c>
    </row>
    <row r="20" spans="1:8">
      <c r="C20" s="209" t="s">
        <v>107</v>
      </c>
      <c r="D20" s="219">
        <f>SUM(D10:D19)</f>
        <v>0</v>
      </c>
      <c r="E20" s="132" t="e">
        <f ca="1">SUM(E10:E19)</f>
        <v>#REF!</v>
      </c>
    </row>
    <row r="28" spans="1:8">
      <c r="B28" s="214" t="s">
        <v>671</v>
      </c>
      <c r="C28" s="619">
        <f>Objectifs!C13</f>
        <v>0</v>
      </c>
      <c r="D28" t="s">
        <v>672</v>
      </c>
      <c r="H28" s="2061"/>
    </row>
    <row r="29" spans="1:8">
      <c r="B29" s="214" t="s">
        <v>673</v>
      </c>
      <c r="C29" t="str">
        <f>Objectifs!B13</f>
        <v>Eclairage public</v>
      </c>
      <c r="H29" s="2061"/>
    </row>
    <row r="30" spans="1:8">
      <c r="B30" s="214" t="s">
        <v>674</v>
      </c>
      <c r="C30" s="215">
        <f ca="1">C28*'Bilan patrimonial'!F11/1000000</f>
        <v>0</v>
      </c>
      <c r="H30" s="2061"/>
    </row>
    <row r="31" spans="1:8">
      <c r="B31" s="214" t="str">
        <f>"Evolution des consommations 2006-"&amp;Accueil!$E$29&amp;" (GWh/an):"</f>
        <v>Evolution des consommations 2006- (GWh/an):</v>
      </c>
      <c r="C31" s="215" t="e">
        <f ca="1">('Bilan patrimonial'!M11-'Bilan patrimonial'!F11)/1000000</f>
        <v>#REF!</v>
      </c>
      <c r="H31" s="2061"/>
    </row>
    <row r="32" spans="1:8">
      <c r="B32" s="214" t="s">
        <v>679</v>
      </c>
      <c r="C32" s="642">
        <f ca="1">IF(C30=0,0,IF(C30-C31&gt;0,0,C30-C31))</f>
        <v>0</v>
      </c>
      <c r="H32" s="2061"/>
    </row>
    <row r="33" spans="1:8">
      <c r="H33" s="2061"/>
    </row>
    <row r="34" spans="1:8" ht="45" customHeight="1">
      <c r="B34" s="216" t="s">
        <v>676</v>
      </c>
      <c r="C34" s="217" t="s">
        <v>677</v>
      </c>
      <c r="D34" s="218" t="s">
        <v>291</v>
      </c>
      <c r="E34" s="218" t="s">
        <v>678</v>
      </c>
      <c r="H34" s="2061"/>
    </row>
    <row r="35" spans="1:8">
      <c r="A35" s="843" t="str">
        <f>ROUND(C$28*100,0)&amp;"% "&amp;D$28&amp;" dans le secteur '"&amp;C$29&amp;"'_"&amp;F35</f>
        <v>0% de consommation d'énergie par rapport à 2006 dans le secteur 'Eclairage public'_1</v>
      </c>
      <c r="B35" s="382"/>
      <c r="C35" s="392"/>
      <c r="D35" s="392"/>
      <c r="E35" s="132" t="e">
        <f ca="1">IF($C$7=0,0,D35/$C$32)</f>
        <v>#REF!</v>
      </c>
      <c r="F35" s="55">
        <v>1</v>
      </c>
      <c r="H35" s="2061"/>
    </row>
    <row r="36" spans="1:8">
      <c r="A36" s="843" t="str">
        <f t="shared" ref="A36:A44" si="2">ROUND(C$28*100,0)&amp;"% "&amp;D$28&amp;" dans le secteur '"&amp;C$29&amp;"'_"&amp;F36</f>
        <v>0% de consommation d'énergie par rapport à 2006 dans le secteur 'Eclairage public'_2</v>
      </c>
      <c r="B36" s="382"/>
      <c r="C36" s="383"/>
      <c r="D36" s="383"/>
      <c r="E36" s="132" t="e">
        <f t="shared" ref="E36:E44" ca="1" si="3">IF($C$7=0,0,D36/$C$32)</f>
        <v>#REF!</v>
      </c>
      <c r="F36" s="55">
        <v>2</v>
      </c>
      <c r="H36" s="2061"/>
    </row>
    <row r="37" spans="1:8">
      <c r="A37" s="843" t="str">
        <f t="shared" si="2"/>
        <v>0% de consommation d'énergie par rapport à 2006 dans le secteur 'Eclairage public'_3</v>
      </c>
      <c r="B37" s="382"/>
      <c r="C37" s="383"/>
      <c r="D37" s="383"/>
      <c r="E37" s="132" t="e">
        <f t="shared" ca="1" si="3"/>
        <v>#REF!</v>
      </c>
      <c r="F37" s="55">
        <v>3</v>
      </c>
      <c r="H37" s="2061"/>
    </row>
    <row r="38" spans="1:8">
      <c r="A38" s="843" t="str">
        <f t="shared" si="2"/>
        <v>0% de consommation d'énergie par rapport à 2006 dans le secteur 'Eclairage public'_4</v>
      </c>
      <c r="B38" s="382"/>
      <c r="C38" s="383"/>
      <c r="D38" s="383"/>
      <c r="E38" s="132" t="e">
        <f t="shared" ca="1" si="3"/>
        <v>#REF!</v>
      </c>
      <c r="F38" s="55">
        <v>4</v>
      </c>
      <c r="H38" s="2061"/>
    </row>
    <row r="39" spans="1:8">
      <c r="A39" s="843" t="str">
        <f t="shared" si="2"/>
        <v>0% de consommation d'énergie par rapport à 2006 dans le secteur 'Eclairage public'_5</v>
      </c>
      <c r="B39" s="382"/>
      <c r="C39" s="383"/>
      <c r="D39" s="383"/>
      <c r="E39" s="132" t="e">
        <f t="shared" ca="1" si="3"/>
        <v>#REF!</v>
      </c>
      <c r="F39" s="55">
        <v>5</v>
      </c>
      <c r="H39" s="2061"/>
    </row>
    <row r="40" spans="1:8">
      <c r="A40" s="843" t="str">
        <f t="shared" si="2"/>
        <v>0% de consommation d'énergie par rapport à 2006 dans le secteur 'Eclairage public'_6</v>
      </c>
      <c r="B40" s="382"/>
      <c r="C40" s="383"/>
      <c r="D40" s="383"/>
      <c r="E40" s="132" t="e">
        <f t="shared" ca="1" si="3"/>
        <v>#REF!</v>
      </c>
      <c r="F40" s="55">
        <v>6</v>
      </c>
      <c r="H40" s="2061"/>
    </row>
    <row r="41" spans="1:8">
      <c r="A41" s="843" t="str">
        <f t="shared" si="2"/>
        <v>0% de consommation d'énergie par rapport à 2006 dans le secteur 'Eclairage public'_7</v>
      </c>
      <c r="B41" s="382"/>
      <c r="C41" s="383"/>
      <c r="D41" s="383"/>
      <c r="E41" s="132" t="e">
        <f t="shared" ca="1" si="3"/>
        <v>#REF!</v>
      </c>
      <c r="F41" s="55">
        <v>7</v>
      </c>
      <c r="H41" s="2061"/>
    </row>
    <row r="42" spans="1:8">
      <c r="A42" s="843" t="str">
        <f t="shared" si="2"/>
        <v>0% de consommation d'énergie par rapport à 2006 dans le secteur 'Eclairage public'_8</v>
      </c>
      <c r="B42" s="382"/>
      <c r="C42" s="383"/>
      <c r="D42" s="383"/>
      <c r="E42" s="132" t="e">
        <f t="shared" ca="1" si="3"/>
        <v>#REF!</v>
      </c>
      <c r="F42" s="55">
        <v>8</v>
      </c>
      <c r="H42" s="2061"/>
    </row>
    <row r="43" spans="1:8">
      <c r="A43" s="843" t="str">
        <f t="shared" si="2"/>
        <v>0% de consommation d'énergie par rapport à 2006 dans le secteur 'Eclairage public'_9</v>
      </c>
      <c r="B43" s="382"/>
      <c r="C43" s="383"/>
      <c r="D43" s="383"/>
      <c r="E43" s="132" t="e">
        <f t="shared" ca="1" si="3"/>
        <v>#REF!</v>
      </c>
      <c r="F43" s="55">
        <v>9</v>
      </c>
      <c r="H43" s="2061"/>
    </row>
    <row r="44" spans="1:8">
      <c r="A44" s="843" t="str">
        <f t="shared" si="2"/>
        <v>0% de consommation d'énergie par rapport à 2006 dans le secteur 'Eclairage public'_10</v>
      </c>
      <c r="B44" s="382"/>
      <c r="C44" s="383"/>
      <c r="D44" s="383"/>
      <c r="E44" s="132" t="e">
        <f t="shared" ca="1" si="3"/>
        <v>#REF!</v>
      </c>
      <c r="F44" s="55">
        <v>10</v>
      </c>
      <c r="H44" s="2061"/>
    </row>
    <row r="45" spans="1:8">
      <c r="C45" s="209" t="s">
        <v>107</v>
      </c>
      <c r="D45" s="219">
        <f>SUM(D35:D44)</f>
        <v>0</v>
      </c>
      <c r="E45" s="132">
        <f t="shared" ref="E45" ca="1" si="4">IF(C$32=0,0,D45/C$32)</f>
        <v>0</v>
      </c>
      <c r="H45" s="2061"/>
    </row>
    <row r="54" spans="1:12">
      <c r="B54" s="214" t="s">
        <v>671</v>
      </c>
      <c r="C54" s="619">
        <f>Objectifs!C14</f>
        <v>0</v>
      </c>
      <c r="D54" t="s">
        <v>672</v>
      </c>
      <c r="H54" s="2061"/>
    </row>
    <row r="55" spans="1:12">
      <c r="B55" s="214" t="s">
        <v>673</v>
      </c>
      <c r="C55" t="str">
        <f>Objectifs!B14</f>
        <v>Véhicules communaux</v>
      </c>
      <c r="H55" s="2061"/>
    </row>
    <row r="56" spans="1:12">
      <c r="B56" s="214" t="s">
        <v>674</v>
      </c>
      <c r="C56" s="215">
        <f>-Objectifs!E14</f>
        <v>0</v>
      </c>
      <c r="H56" s="2061"/>
    </row>
    <row r="57" spans="1:12">
      <c r="B57" s="214" t="str">
        <f>"Evolution des consommations 2006-"&amp;Accueil!$E$29&amp;" (GWh/an):"</f>
        <v>Evolution des consommations 2006- (GWh/an):</v>
      </c>
      <c r="C57" s="215" t="e">
        <f ca="1">'Bilan territorial'!M18-'Bilan territorial'!F18</f>
        <v>#REF!</v>
      </c>
      <c r="H57" s="2061"/>
    </row>
    <row r="58" spans="1:12">
      <c r="B58" s="214" t="s">
        <v>679</v>
      </c>
      <c r="C58" s="642">
        <f>IF(C56=0,0,IF(C56-C57&gt;0,0,C56-C57))</f>
        <v>0</v>
      </c>
      <c r="H58" s="2061"/>
    </row>
    <row r="59" spans="1:12">
      <c r="H59" s="2061"/>
    </row>
    <row r="60" spans="1:12" ht="45.75" customHeight="1">
      <c r="B60" s="216" t="s">
        <v>676</v>
      </c>
      <c r="C60" s="1387" t="s">
        <v>677</v>
      </c>
      <c r="D60" s="218" t="s">
        <v>291</v>
      </c>
      <c r="E60" s="218" t="s">
        <v>678</v>
      </c>
      <c r="G60" s="214"/>
      <c r="H60" s="2061"/>
      <c r="I60" s="2070"/>
      <c r="J60" s="2070"/>
      <c r="K60" s="2070"/>
      <c r="L60" s="2070"/>
    </row>
    <row r="61" spans="1:12">
      <c r="A61" s="843" t="str">
        <f>ROUND(C$54*100,0)&amp;"% "&amp;D$54&amp;" dans le secteur '"&amp;C$55&amp;"'_"&amp;F61</f>
        <v>0% de consommation d'énergie par rapport à 2006 dans le secteur 'Véhicules communaux'_1</v>
      </c>
      <c r="B61" s="382"/>
      <c r="C61" s="383"/>
      <c r="D61" s="643"/>
      <c r="E61" s="224">
        <f>IF(C$58=0,0,D61/C$58)</f>
        <v>0</v>
      </c>
      <c r="F61" s="55">
        <v>1</v>
      </c>
      <c r="H61" s="2061"/>
    </row>
    <row r="62" spans="1:12">
      <c r="A62" s="843" t="str">
        <f t="shared" ref="A62:A70" si="5">ROUND(C$54*100,0)&amp;"% "&amp;D$54&amp;" dans le secteur '"&amp;C$55&amp;"'_"&amp;F62</f>
        <v>0% de consommation d'énergie par rapport à 2006 dans le secteur 'Véhicules communaux'_2</v>
      </c>
      <c r="B62" s="382"/>
      <c r="C62" s="383"/>
      <c r="D62" s="643"/>
      <c r="E62" s="224">
        <f t="shared" ref="E62:E70" si="6">IF(C$58=0,0,D62/C$58)</f>
        <v>0</v>
      </c>
      <c r="F62" s="55">
        <v>2</v>
      </c>
      <c r="H62" s="2061"/>
    </row>
    <row r="63" spans="1:12">
      <c r="A63" s="843" t="str">
        <f t="shared" si="5"/>
        <v>0% de consommation d'énergie par rapport à 2006 dans le secteur 'Véhicules communaux'_3</v>
      </c>
      <c r="B63" s="382"/>
      <c r="C63" s="383"/>
      <c r="D63" s="643"/>
      <c r="E63" s="224">
        <f t="shared" si="6"/>
        <v>0</v>
      </c>
      <c r="F63" s="55">
        <v>3</v>
      </c>
      <c r="H63" s="2061"/>
    </row>
    <row r="64" spans="1:12">
      <c r="A64" s="843" t="str">
        <f t="shared" si="5"/>
        <v>0% de consommation d'énergie par rapport à 2006 dans le secteur 'Véhicules communaux'_4</v>
      </c>
      <c r="B64" s="382"/>
      <c r="C64" s="383"/>
      <c r="D64" s="643"/>
      <c r="E64" s="224">
        <f t="shared" si="6"/>
        <v>0</v>
      </c>
      <c r="F64" s="55">
        <v>4</v>
      </c>
      <c r="H64" s="2061"/>
    </row>
    <row r="65" spans="1:8">
      <c r="A65" s="843" t="str">
        <f t="shared" si="5"/>
        <v>0% de consommation d'énergie par rapport à 2006 dans le secteur 'Véhicules communaux'_5</v>
      </c>
      <c r="B65" s="382"/>
      <c r="C65" s="383"/>
      <c r="D65" s="643"/>
      <c r="E65" s="224">
        <f t="shared" si="6"/>
        <v>0</v>
      </c>
      <c r="F65" s="55">
        <v>5</v>
      </c>
      <c r="H65" s="2061"/>
    </row>
    <row r="66" spans="1:8">
      <c r="A66" s="843" t="str">
        <f t="shared" si="5"/>
        <v>0% de consommation d'énergie par rapport à 2006 dans le secteur 'Véhicules communaux'_6</v>
      </c>
      <c r="B66" s="382"/>
      <c r="C66" s="383"/>
      <c r="D66" s="643"/>
      <c r="E66" s="224">
        <f t="shared" si="6"/>
        <v>0</v>
      </c>
      <c r="F66" s="55">
        <v>6</v>
      </c>
      <c r="H66" s="2061"/>
    </row>
    <row r="67" spans="1:8">
      <c r="A67" s="843" t="str">
        <f t="shared" si="5"/>
        <v>0% de consommation d'énergie par rapport à 2006 dans le secteur 'Véhicules communaux'_7</v>
      </c>
      <c r="B67" s="384"/>
      <c r="C67" s="385"/>
      <c r="D67" s="643"/>
      <c r="E67" s="224">
        <f t="shared" si="6"/>
        <v>0</v>
      </c>
      <c r="F67" s="55">
        <v>7</v>
      </c>
      <c r="H67" s="2061"/>
    </row>
    <row r="68" spans="1:8">
      <c r="A68" s="843" t="str">
        <f t="shared" si="5"/>
        <v>0% de consommation d'énergie par rapport à 2006 dans le secteur 'Véhicules communaux'_8</v>
      </c>
      <c r="B68" s="382"/>
      <c r="C68" s="383"/>
      <c r="D68" s="644"/>
      <c r="E68" s="224">
        <f t="shared" si="6"/>
        <v>0</v>
      </c>
      <c r="F68" s="55">
        <v>8</v>
      </c>
      <c r="H68" s="2061"/>
    </row>
    <row r="69" spans="1:8">
      <c r="A69" s="843" t="str">
        <f t="shared" si="5"/>
        <v>0% de consommation d'énergie par rapport à 2006 dans le secteur 'Véhicules communaux'_9</v>
      </c>
      <c r="B69" s="382"/>
      <c r="C69" s="383"/>
      <c r="D69" s="644"/>
      <c r="E69" s="224">
        <f t="shared" si="6"/>
        <v>0</v>
      </c>
      <c r="F69" s="55">
        <v>9</v>
      </c>
      <c r="H69" s="2061"/>
    </row>
    <row r="70" spans="1:8">
      <c r="A70" s="843" t="str">
        <f t="shared" si="5"/>
        <v>0% de consommation d'énergie par rapport à 2006 dans le secteur 'Véhicules communaux'_10</v>
      </c>
      <c r="B70" s="382"/>
      <c r="C70" s="383"/>
      <c r="D70" s="644"/>
      <c r="E70" s="224">
        <f t="shared" si="6"/>
        <v>0</v>
      </c>
      <c r="F70" s="55">
        <v>10</v>
      </c>
      <c r="H70" s="2061"/>
    </row>
    <row r="71" spans="1:8">
      <c r="C71" s="209" t="s">
        <v>107</v>
      </c>
      <c r="D71" s="219">
        <f>SUM(D61:D70)</f>
        <v>0</v>
      </c>
      <c r="E71" s="224">
        <f>IF(C$58=0,0,D71/C$58)</f>
        <v>0</v>
      </c>
      <c r="H71" s="2061"/>
    </row>
    <row r="80" spans="1:8">
      <c r="B80" s="214" t="s">
        <v>671</v>
      </c>
      <c r="C80" s="619">
        <f>Objectifs!C15</f>
        <v>0</v>
      </c>
      <c r="D80" t="s">
        <v>672</v>
      </c>
      <c r="H80" s="2061"/>
    </row>
    <row r="81" spans="1:8">
      <c r="B81" s="214" t="s">
        <v>673</v>
      </c>
      <c r="C81" t="str">
        <f>Objectifs!B15</f>
        <v>Industrie non-ETS</v>
      </c>
      <c r="H81" s="2061"/>
    </row>
    <row r="82" spans="1:8">
      <c r="B82" s="214" t="s">
        <v>674</v>
      </c>
      <c r="C82" s="215">
        <f>-Objectifs!E15</f>
        <v>0</v>
      </c>
      <c r="H82" s="2061"/>
    </row>
    <row r="83" spans="1:8">
      <c r="B83" s="214" t="str">
        <f>"Evolution des consommations 2006-"&amp;Accueil!$E$29&amp;" (GWh/an):"</f>
        <v>Evolution des consommations 2006- (GWh/an):</v>
      </c>
      <c r="C83" s="215" t="e">
        <f ca="1">'Bilan territorial'!M11-'Bilan territorial'!F11</f>
        <v>#REF!</v>
      </c>
      <c r="H83" s="2061"/>
    </row>
    <row r="84" spans="1:8">
      <c r="B84" s="214" t="s">
        <v>679</v>
      </c>
      <c r="C84" s="642">
        <f>IF(C82=0,0,IF(C82-C83&gt;0,0,C82-C83))</f>
        <v>0</v>
      </c>
      <c r="H84" s="2061"/>
    </row>
    <row r="85" spans="1:8">
      <c r="H85" s="2061"/>
    </row>
    <row r="86" spans="1:8" ht="45" customHeight="1">
      <c r="B86" s="216" t="s">
        <v>676</v>
      </c>
      <c r="C86" s="217" t="s">
        <v>677</v>
      </c>
      <c r="D86" s="218" t="s">
        <v>291</v>
      </c>
      <c r="E86" s="218" t="s">
        <v>678</v>
      </c>
      <c r="H86" s="2061"/>
    </row>
    <row r="87" spans="1:8">
      <c r="A87" s="843" t="str">
        <f>ROUND(C$80*100,0)&amp;"% "&amp;D$80&amp;" dans le secteur '"&amp;C$81&amp;"'_"&amp;F87</f>
        <v>0% de consommation d'énergie par rapport à 2006 dans le secteur 'Industrie non-ETS'_1</v>
      </c>
      <c r="B87" s="382"/>
      <c r="C87" s="383"/>
      <c r="D87" s="644"/>
      <c r="E87" s="132">
        <f>IF(C$84=0,0,D87/C$84)</f>
        <v>0</v>
      </c>
      <c r="F87" s="55">
        <v>1</v>
      </c>
      <c r="H87" s="2061"/>
    </row>
    <row r="88" spans="1:8">
      <c r="A88" s="843" t="str">
        <f t="shared" ref="A88:A96" si="7">ROUND(C$80*100,0)&amp;"% "&amp;D$80&amp;" dans le secteur '"&amp;C$81&amp;"'_"&amp;F88</f>
        <v>0% de consommation d'énergie par rapport à 2006 dans le secteur 'Industrie non-ETS'_2</v>
      </c>
      <c r="B88" s="382"/>
      <c r="C88" s="383"/>
      <c r="D88" s="644"/>
      <c r="E88" s="132">
        <f t="shared" ref="E88:E97" si="8">IF(C$84=0,0,D88/C$84)</f>
        <v>0</v>
      </c>
      <c r="F88" s="55">
        <v>2</v>
      </c>
      <c r="H88" s="2061"/>
    </row>
    <row r="89" spans="1:8">
      <c r="A89" s="843" t="str">
        <f t="shared" si="7"/>
        <v>0% de consommation d'énergie par rapport à 2006 dans le secteur 'Industrie non-ETS'_3</v>
      </c>
      <c r="B89" s="382"/>
      <c r="C89" s="383"/>
      <c r="D89" s="644"/>
      <c r="E89" s="132">
        <f t="shared" si="8"/>
        <v>0</v>
      </c>
      <c r="F89" s="55">
        <v>3</v>
      </c>
      <c r="H89" s="2061"/>
    </row>
    <row r="90" spans="1:8">
      <c r="A90" s="843" t="str">
        <f t="shared" si="7"/>
        <v>0% de consommation d'énergie par rapport à 2006 dans le secteur 'Industrie non-ETS'_4</v>
      </c>
      <c r="B90" s="382"/>
      <c r="C90" s="383"/>
      <c r="D90" s="644"/>
      <c r="E90" s="132">
        <f t="shared" si="8"/>
        <v>0</v>
      </c>
      <c r="F90" s="55">
        <v>4</v>
      </c>
      <c r="H90" s="2061"/>
    </row>
    <row r="91" spans="1:8">
      <c r="A91" s="843" t="str">
        <f t="shared" si="7"/>
        <v>0% de consommation d'énergie par rapport à 2006 dans le secteur 'Industrie non-ETS'_5</v>
      </c>
      <c r="B91" s="382"/>
      <c r="C91" s="383"/>
      <c r="D91" s="644"/>
      <c r="E91" s="132">
        <f t="shared" si="8"/>
        <v>0</v>
      </c>
      <c r="F91" s="55">
        <v>5</v>
      </c>
      <c r="H91" s="2061"/>
    </row>
    <row r="92" spans="1:8">
      <c r="A92" s="843" t="str">
        <f t="shared" si="7"/>
        <v>0% de consommation d'énergie par rapport à 2006 dans le secteur 'Industrie non-ETS'_6</v>
      </c>
      <c r="B92" s="382"/>
      <c r="C92" s="383"/>
      <c r="D92" s="644"/>
      <c r="E92" s="132">
        <f t="shared" si="8"/>
        <v>0</v>
      </c>
      <c r="F92" s="55">
        <v>6</v>
      </c>
      <c r="H92" s="2061"/>
    </row>
    <row r="93" spans="1:8">
      <c r="A93" s="843" t="str">
        <f t="shared" si="7"/>
        <v>0% de consommation d'énergie par rapport à 2006 dans le secteur 'Industrie non-ETS'_7</v>
      </c>
      <c r="B93" s="382"/>
      <c r="C93" s="383"/>
      <c r="D93" s="644"/>
      <c r="E93" s="132">
        <f t="shared" si="8"/>
        <v>0</v>
      </c>
      <c r="F93" s="55">
        <v>7</v>
      </c>
      <c r="H93" s="2061"/>
    </row>
    <row r="94" spans="1:8">
      <c r="A94" s="843" t="str">
        <f t="shared" si="7"/>
        <v>0% de consommation d'énergie par rapport à 2006 dans le secteur 'Industrie non-ETS'_8</v>
      </c>
      <c r="B94" s="382"/>
      <c r="C94" s="383"/>
      <c r="D94" s="644"/>
      <c r="E94" s="132">
        <f t="shared" si="8"/>
        <v>0</v>
      </c>
      <c r="F94" s="55">
        <v>8</v>
      </c>
      <c r="H94" s="2061"/>
    </row>
    <row r="95" spans="1:8">
      <c r="A95" s="843" t="str">
        <f t="shared" si="7"/>
        <v>0% de consommation d'énergie par rapport à 2006 dans le secteur 'Industrie non-ETS'_9</v>
      </c>
      <c r="B95" s="382"/>
      <c r="C95" s="383"/>
      <c r="D95" s="644"/>
      <c r="E95" s="132">
        <f t="shared" si="8"/>
        <v>0</v>
      </c>
      <c r="F95" s="55">
        <v>9</v>
      </c>
      <c r="H95" s="2061"/>
    </row>
    <row r="96" spans="1:8">
      <c r="A96" s="843" t="str">
        <f t="shared" si="7"/>
        <v>0% de consommation d'énergie par rapport à 2006 dans le secteur 'Industrie non-ETS'_10</v>
      </c>
      <c r="B96" s="382"/>
      <c r="C96" s="383"/>
      <c r="D96" s="644"/>
      <c r="E96" s="132">
        <f t="shared" si="8"/>
        <v>0</v>
      </c>
      <c r="F96" s="55">
        <v>10</v>
      </c>
      <c r="H96" s="2061"/>
    </row>
    <row r="97" spans="2:8">
      <c r="C97" s="209" t="s">
        <v>107</v>
      </c>
      <c r="D97" s="219">
        <f>SUM(D87:D96)</f>
        <v>0</v>
      </c>
      <c r="E97" s="132">
        <f t="shared" si="8"/>
        <v>0</v>
      </c>
      <c r="H97" s="2061"/>
    </row>
    <row r="106" spans="2:8">
      <c r="B106" s="214" t="s">
        <v>671</v>
      </c>
      <c r="C106" s="619">
        <f>Objectifs!C16</f>
        <v>0</v>
      </c>
      <c r="D106" t="s">
        <v>672</v>
      </c>
      <c r="H106" s="2061"/>
    </row>
    <row r="107" spans="2:8">
      <c r="B107" s="214" t="s">
        <v>673</v>
      </c>
      <c r="C107" t="str">
        <f>Objectifs!B16</f>
        <v>Tertiaire hors AC</v>
      </c>
      <c r="H107" s="2061"/>
    </row>
    <row r="108" spans="2:8">
      <c r="B108" s="214" t="s">
        <v>674</v>
      </c>
      <c r="C108" s="215">
        <f>-Objectifs!E16</f>
        <v>0</v>
      </c>
      <c r="H108" s="2061"/>
    </row>
    <row r="109" spans="2:8">
      <c r="B109" s="214" t="str">
        <f>"Evolution des consommations 2006-"&amp;Accueil!$E$29&amp;" (GWh/an):"</f>
        <v>Evolution des consommations 2006- (GWh/an):</v>
      </c>
      <c r="C109" s="215" t="e">
        <f ca="1">'Bilan territorial'!M14-'Bilan territorial'!F14</f>
        <v>#REF!</v>
      </c>
      <c r="H109" s="2061"/>
    </row>
    <row r="110" spans="2:8">
      <c r="B110" s="214" t="s">
        <v>679</v>
      </c>
      <c r="C110" s="642">
        <f>IF(C108=0,0,IF(C108-C109&gt;0,0,C108-C109))</f>
        <v>0</v>
      </c>
      <c r="H110" s="2061"/>
    </row>
    <row r="111" spans="2:8">
      <c r="H111" s="2061"/>
    </row>
    <row r="112" spans="2:8" ht="45.75" customHeight="1">
      <c r="B112" s="216" t="s">
        <v>676</v>
      </c>
      <c r="C112" s="1387" t="s">
        <v>677</v>
      </c>
      <c r="D112" s="1388" t="s">
        <v>291</v>
      </c>
      <c r="E112" s="1388" t="s">
        <v>678</v>
      </c>
      <c r="H112" s="2061"/>
    </row>
    <row r="113" spans="1:8">
      <c r="A113" s="843" t="str">
        <f>ROUND(C$106*100,0)&amp;"% "&amp;D$106&amp;" dans le secteur 'Tertiaire'"&amp;"_"&amp;F113</f>
        <v>0% de consommation d'énergie par rapport à 2006 dans le secteur 'Tertiaire'_1</v>
      </c>
      <c r="B113" s="382"/>
      <c r="C113" s="383"/>
      <c r="D113" s="644"/>
      <c r="E113" s="132">
        <f>IF(C$110=0,0,D113/C$110)</f>
        <v>0</v>
      </c>
      <c r="F113" s="55">
        <v>1</v>
      </c>
      <c r="H113" s="2061"/>
    </row>
    <row r="114" spans="1:8">
      <c r="A114" s="843" t="str">
        <f t="shared" ref="A114:A122" si="9">ROUND(C$106*100,0)&amp;"% "&amp;D$106&amp;" dans le secteur 'Tertiaire'"&amp;"_"&amp;F114</f>
        <v>0% de consommation d'énergie par rapport à 2006 dans le secteur 'Tertiaire'_2</v>
      </c>
      <c r="B114" s="382"/>
      <c r="C114" s="383"/>
      <c r="D114" s="643"/>
      <c r="E114" s="132">
        <f t="shared" ref="E114:E123" si="10">IF(C$110=0,0,D114/C$110)</f>
        <v>0</v>
      </c>
      <c r="F114" s="55">
        <v>2</v>
      </c>
      <c r="H114" s="2061"/>
    </row>
    <row r="115" spans="1:8">
      <c r="A115" s="843" t="str">
        <f t="shared" si="9"/>
        <v>0% de consommation d'énergie par rapport à 2006 dans le secteur 'Tertiaire'_3</v>
      </c>
      <c r="B115" s="382"/>
      <c r="C115" s="383"/>
      <c r="D115" s="643"/>
      <c r="E115" s="132">
        <f t="shared" si="10"/>
        <v>0</v>
      </c>
      <c r="F115" s="55">
        <v>3</v>
      </c>
      <c r="H115" s="2061"/>
    </row>
    <row r="116" spans="1:8">
      <c r="A116" s="843" t="str">
        <f t="shared" si="9"/>
        <v>0% de consommation d'énergie par rapport à 2006 dans le secteur 'Tertiaire'_4</v>
      </c>
      <c r="B116" s="382"/>
      <c r="C116" s="383"/>
      <c r="D116" s="643"/>
      <c r="E116" s="132">
        <f t="shared" si="10"/>
        <v>0</v>
      </c>
      <c r="F116" s="55">
        <v>4</v>
      </c>
      <c r="H116" s="2061"/>
    </row>
    <row r="117" spans="1:8">
      <c r="A117" s="843" t="str">
        <f t="shared" si="9"/>
        <v>0% de consommation d'énergie par rapport à 2006 dans le secteur 'Tertiaire'_5</v>
      </c>
      <c r="B117" s="382"/>
      <c r="C117" s="383"/>
      <c r="D117" s="643"/>
      <c r="E117" s="132">
        <f t="shared" si="10"/>
        <v>0</v>
      </c>
      <c r="F117" s="55">
        <v>5</v>
      </c>
      <c r="H117" s="2061"/>
    </row>
    <row r="118" spans="1:8">
      <c r="A118" s="843" t="str">
        <f t="shared" si="9"/>
        <v>0% de consommation d'énergie par rapport à 2006 dans le secteur 'Tertiaire'_6</v>
      </c>
      <c r="B118" s="382"/>
      <c r="C118" s="383"/>
      <c r="D118" s="643"/>
      <c r="E118" s="132">
        <f t="shared" si="10"/>
        <v>0</v>
      </c>
      <c r="F118" s="55">
        <v>6</v>
      </c>
      <c r="H118" s="2061"/>
    </row>
    <row r="119" spans="1:8">
      <c r="A119" s="843" t="str">
        <f t="shared" si="9"/>
        <v>0% de consommation d'énergie par rapport à 2006 dans le secteur 'Tertiaire'_7</v>
      </c>
      <c r="B119" s="382"/>
      <c r="C119" s="383"/>
      <c r="D119" s="643"/>
      <c r="E119" s="132">
        <f t="shared" si="10"/>
        <v>0</v>
      </c>
      <c r="F119" s="55">
        <v>7</v>
      </c>
      <c r="H119" s="2061"/>
    </row>
    <row r="120" spans="1:8">
      <c r="A120" s="843" t="str">
        <f t="shared" si="9"/>
        <v>0% de consommation d'énergie par rapport à 2006 dans le secteur 'Tertiaire'_8</v>
      </c>
      <c r="B120" s="384"/>
      <c r="C120" s="385"/>
      <c r="D120" s="643"/>
      <c r="E120" s="132">
        <f t="shared" si="10"/>
        <v>0</v>
      </c>
      <c r="F120" s="55">
        <v>8</v>
      </c>
      <c r="H120" s="2061"/>
    </row>
    <row r="121" spans="1:8">
      <c r="A121" s="843" t="str">
        <f t="shared" si="9"/>
        <v>0% de consommation d'énergie par rapport à 2006 dans le secteur 'Tertiaire'_9</v>
      </c>
      <c r="B121" s="382"/>
      <c r="C121" s="383"/>
      <c r="D121" s="644"/>
      <c r="E121" s="132">
        <f t="shared" si="10"/>
        <v>0</v>
      </c>
      <c r="F121" s="55">
        <v>9</v>
      </c>
      <c r="H121" s="2061"/>
    </row>
    <row r="122" spans="1:8">
      <c r="A122" s="843" t="str">
        <f t="shared" si="9"/>
        <v>0% de consommation d'énergie par rapport à 2006 dans le secteur 'Tertiaire'_10</v>
      </c>
      <c r="B122" s="382"/>
      <c r="C122" s="383"/>
      <c r="D122" s="644"/>
      <c r="E122" s="132">
        <f t="shared" si="10"/>
        <v>0</v>
      </c>
      <c r="F122" s="55">
        <v>10</v>
      </c>
      <c r="H122" s="2061"/>
    </row>
    <row r="123" spans="1:8">
      <c r="C123" s="209" t="s">
        <v>107</v>
      </c>
      <c r="D123" s="219">
        <f>SUM(D113:D122)</f>
        <v>0</v>
      </c>
      <c r="E123" s="132">
        <f t="shared" si="10"/>
        <v>0</v>
      </c>
      <c r="H123" s="2061"/>
    </row>
    <row r="132" spans="1:10" ht="43.2">
      <c r="B132" s="645" t="s">
        <v>671</v>
      </c>
      <c r="C132" s="646">
        <f>Objectifs!C17</f>
        <v>0</v>
      </c>
      <c r="D132" s="43" t="s">
        <v>672</v>
      </c>
      <c r="E132" s="373" t="s">
        <v>680</v>
      </c>
      <c r="H132">
        <v>2006</v>
      </c>
      <c r="I132">
        <f>Accueil!E29</f>
        <v>0</v>
      </c>
      <c r="J132" s="2061"/>
    </row>
    <row r="133" spans="1:10">
      <c r="B133" s="214" t="s">
        <v>673</v>
      </c>
      <c r="C133" t="str">
        <f>Objectifs!B17</f>
        <v>Logement</v>
      </c>
      <c r="E133" s="221" t="str">
        <f>"Nombre de logements (Source: CAPRU) :"</f>
        <v>Nombre de logements (Source: CAPRU) :</v>
      </c>
      <c r="F133" s="221"/>
      <c r="H133" s="620" t="e">
        <f>VLOOKUP(Accueil!E27,Logements!$A$3:$J$264,HLOOKUP(Scénarios!H132,Logements!$C$1:$J$2,2,0),0)</f>
        <v>#N/A</v>
      </c>
      <c r="I133" s="620" t="e">
        <f>VLOOKUP(Accueil!E27,Logements!$A$3:$K$264,HLOOKUP(Scénarios!I132,Logements!$D$1:$K$2,2,0),0)</f>
        <v>#N/A</v>
      </c>
      <c r="J133" s="2061"/>
    </row>
    <row r="134" spans="1:10">
      <c r="B134" s="214" t="s">
        <v>674</v>
      </c>
      <c r="C134" s="215">
        <f>-Objectifs!E17</f>
        <v>0</v>
      </c>
      <c r="H134" s="2061"/>
      <c r="J134" s="2061"/>
    </row>
    <row r="135" spans="1:10">
      <c r="B135" s="214" t="str">
        <f>"Evolution des consommations 2006-"&amp;Accueil!$E$29&amp;" (GWh/an):"</f>
        <v>Evolution des consommations 2006- (GWh/an):</v>
      </c>
      <c r="C135" s="215" t="e">
        <f ca="1">'Bilan territorial'!M15-'Bilan territorial'!F15</f>
        <v>#REF!</v>
      </c>
      <c r="H135" s="2061"/>
      <c r="J135" s="2061"/>
    </row>
    <row r="136" spans="1:10">
      <c r="B136" s="214" t="s">
        <v>679</v>
      </c>
      <c r="C136" s="642">
        <f>IF(C134=0,0,IF(C134-C135&gt;0,0,C134-C135))</f>
        <v>0</v>
      </c>
      <c r="H136" s="2061"/>
      <c r="J136" s="2061"/>
    </row>
    <row r="137" spans="1:10">
      <c r="H137" s="2061"/>
      <c r="J137" s="2061"/>
    </row>
    <row r="138" spans="1:10" ht="45" customHeight="1" thickBot="1">
      <c r="B138" s="216" t="s">
        <v>676</v>
      </c>
      <c r="C138" s="217" t="s">
        <v>677</v>
      </c>
      <c r="D138" s="218" t="s">
        <v>291</v>
      </c>
      <c r="E138" s="218" t="s">
        <v>678</v>
      </c>
      <c r="H138" s="2061"/>
      <c r="J138" s="2061"/>
    </row>
    <row r="139" spans="1:10">
      <c r="A139" s="843" t="str">
        <f>ROUND(C$132*100,0)&amp;"% "&amp;D$132&amp;" dans le secteur '"&amp;C$133&amp;"'_"&amp;F139</f>
        <v>0% de consommation d'énergie par rapport à 2006 dans le secteur 'Logement'_1</v>
      </c>
      <c r="B139" s="1096"/>
      <c r="C139" s="1097"/>
      <c r="D139" s="222">
        <f>-IF(ISNA(VLOOKUP($B139,Mesures_eco!$A$1:$G$34,3,0)),0,VLOOKUP($B139,Mesures_eco!$A$1:$G$34,3,0)*C139)</f>
        <v>0</v>
      </c>
      <c r="E139" s="647">
        <f>IF(C$136=0,0,D139/C$136)</f>
        <v>0</v>
      </c>
      <c r="F139" s="55">
        <v>1</v>
      </c>
      <c r="H139" s="2061"/>
      <c r="J139" s="2061"/>
    </row>
    <row r="140" spans="1:10">
      <c r="A140" s="843" t="str">
        <f t="shared" ref="A140:A153" si="11">ROUND(C$132*100,0)&amp;"% "&amp;D$132&amp;" dans le secteur '"&amp;C$133&amp;"'_"&amp;F140</f>
        <v>0% de consommation d'énergie par rapport à 2006 dans le secteur 'Logement'_2</v>
      </c>
      <c r="B140" s="1098"/>
      <c r="C140" s="383"/>
      <c r="D140" s="219">
        <f>-IF(ISNA(VLOOKUP($B140,Mesures_eco!$A$1:$G$34,3,0)),0,VLOOKUP($B140,Mesures_eco!$A$1:$G$34,3,0)*C140)</f>
        <v>0</v>
      </c>
      <c r="E140" s="648">
        <f t="shared" ref="E140:E153" si="12">IF(C$136=0,0,D140/C$136)</f>
        <v>0</v>
      </c>
      <c r="F140" s="55">
        <v>2</v>
      </c>
      <c r="H140" s="2061"/>
      <c r="J140" s="2061"/>
    </row>
    <row r="141" spans="1:10">
      <c r="A141" s="843" t="str">
        <f t="shared" si="11"/>
        <v>0% de consommation d'énergie par rapport à 2006 dans le secteur 'Logement'_3</v>
      </c>
      <c r="B141" s="1098"/>
      <c r="C141" s="383"/>
      <c r="D141" s="219">
        <f>-IF(ISNA(VLOOKUP($B141,Mesures_eco!$A$1:$G$34,3,0)),0,VLOOKUP($B141,Mesures_eco!$A$1:$G$34,3,0)*C141)</f>
        <v>0</v>
      </c>
      <c r="E141" s="648">
        <f t="shared" si="12"/>
        <v>0</v>
      </c>
      <c r="F141" s="55">
        <v>3</v>
      </c>
      <c r="H141" s="2061"/>
      <c r="J141" s="2061"/>
    </row>
    <row r="142" spans="1:10">
      <c r="A142" s="843" t="str">
        <f t="shared" si="11"/>
        <v>0% de consommation d'énergie par rapport à 2006 dans le secteur 'Logement'_4</v>
      </c>
      <c r="B142" s="1098"/>
      <c r="C142" s="383"/>
      <c r="D142" s="219">
        <f>-IF(ISNA(VLOOKUP($B142,Mesures_eco!$A$1:$G$34,3,0)),0,VLOOKUP($B142,Mesures_eco!$A$1:$G$34,3,0)*C142)</f>
        <v>0</v>
      </c>
      <c r="E142" s="648">
        <f t="shared" si="12"/>
        <v>0</v>
      </c>
      <c r="F142" s="55">
        <v>4</v>
      </c>
      <c r="H142" s="2061"/>
      <c r="J142" s="2061"/>
    </row>
    <row r="143" spans="1:10">
      <c r="A143" s="843" t="str">
        <f t="shared" si="11"/>
        <v>0% de consommation d'énergie par rapport à 2006 dans le secteur 'Logement'_5</v>
      </c>
      <c r="B143" s="1098"/>
      <c r="C143" s="383"/>
      <c r="D143" s="219">
        <f>-IF(ISNA(VLOOKUP($B143,Mesures_eco!$A$1:$G$34,3,0)),0,VLOOKUP($B143,Mesures_eco!$A$1:$G$34,3,0)*C143)</f>
        <v>0</v>
      </c>
      <c r="E143" s="648">
        <f t="shared" si="12"/>
        <v>0</v>
      </c>
      <c r="F143" s="55">
        <v>5</v>
      </c>
      <c r="H143" s="2061"/>
      <c r="J143" s="2061"/>
    </row>
    <row r="144" spans="1:10">
      <c r="A144" s="843" t="str">
        <f t="shared" si="11"/>
        <v>0% de consommation d'énergie par rapport à 2006 dans le secteur 'Logement'_6</v>
      </c>
      <c r="B144" s="1098"/>
      <c r="C144" s="383"/>
      <c r="D144" s="219">
        <f>-IF(ISNA(VLOOKUP($B144,Mesures_eco!$A$1:$G$34,3,0)),0,VLOOKUP($B144,Mesures_eco!$A$1:$G$34,3,0)*C144)</f>
        <v>0</v>
      </c>
      <c r="E144" s="648">
        <f t="shared" si="12"/>
        <v>0</v>
      </c>
      <c r="F144" s="55">
        <v>6</v>
      </c>
      <c r="H144" s="2061"/>
      <c r="J144" s="2061"/>
    </row>
    <row r="145" spans="1:10">
      <c r="A145" s="843" t="str">
        <f t="shared" si="11"/>
        <v>0% de consommation d'énergie par rapport à 2006 dans le secteur 'Logement'_7</v>
      </c>
      <c r="B145" s="1098"/>
      <c r="C145" s="383"/>
      <c r="D145" s="219">
        <f>-IF(ISNA(VLOOKUP($B145,Mesures_eco!$A$1:$G$34,3,0)),0,VLOOKUP($B145,Mesures_eco!$A$1:$G$34,3,0)*C145)</f>
        <v>0</v>
      </c>
      <c r="E145" s="648">
        <f t="shared" si="12"/>
        <v>0</v>
      </c>
      <c r="F145" s="55">
        <v>7</v>
      </c>
      <c r="H145" s="2061"/>
      <c r="J145" s="2061"/>
    </row>
    <row r="146" spans="1:10" ht="15" thickBot="1">
      <c r="A146" s="843" t="str">
        <f t="shared" si="11"/>
        <v>0% de consommation d'énergie par rapport à 2006 dans le secteur 'Logement'_8</v>
      </c>
      <c r="B146" s="1099"/>
      <c r="C146" s="1100"/>
      <c r="D146" s="223">
        <f>-IF(ISNA(VLOOKUP($B146,Mesures_eco!$A$1:$G$34,3,0)),0,VLOOKUP($B146,Mesures_eco!$A$1:$G$34,3,0)*C146)</f>
        <v>0</v>
      </c>
      <c r="E146" s="649">
        <f t="shared" si="12"/>
        <v>0</v>
      </c>
      <c r="F146" s="55">
        <v>8</v>
      </c>
      <c r="H146" s="2061"/>
      <c r="J146" s="2061"/>
    </row>
    <row r="147" spans="1:10">
      <c r="A147" s="843" t="str">
        <f t="shared" si="11"/>
        <v>0% de consommation d'énergie par rapport à 2006 dans le secteur 'Logement'_9</v>
      </c>
      <c r="B147" s="382"/>
      <c r="C147" s="383"/>
      <c r="D147" s="383"/>
      <c r="E147" s="132">
        <f t="shared" si="12"/>
        <v>0</v>
      </c>
      <c r="F147" s="55">
        <v>9</v>
      </c>
      <c r="H147" s="2061"/>
      <c r="J147" s="2061"/>
    </row>
    <row r="148" spans="1:10">
      <c r="A148" s="843" t="str">
        <f t="shared" si="11"/>
        <v>0% de consommation d'énergie par rapport à 2006 dans le secteur 'Logement'_10</v>
      </c>
      <c r="B148" s="382"/>
      <c r="C148" s="383"/>
      <c r="D148" s="383"/>
      <c r="E148" s="132">
        <f t="shared" si="12"/>
        <v>0</v>
      </c>
      <c r="F148" s="55">
        <v>10</v>
      </c>
      <c r="H148" s="2061"/>
      <c r="J148" s="2061"/>
    </row>
    <row r="149" spans="1:10">
      <c r="A149" s="843" t="str">
        <f t="shared" si="11"/>
        <v>0% de consommation d'énergie par rapport à 2006 dans le secteur 'Logement'_11</v>
      </c>
      <c r="B149" s="382"/>
      <c r="C149" s="383"/>
      <c r="D149" s="383"/>
      <c r="E149" s="132">
        <f t="shared" si="12"/>
        <v>0</v>
      </c>
      <c r="F149" s="55">
        <v>11</v>
      </c>
      <c r="H149" s="2061"/>
      <c r="J149" s="2061"/>
    </row>
    <row r="150" spans="1:10">
      <c r="A150" s="843" t="str">
        <f t="shared" si="11"/>
        <v>0% de consommation d'énergie par rapport à 2006 dans le secteur 'Logement'_12</v>
      </c>
      <c r="B150" s="382"/>
      <c r="C150" s="383"/>
      <c r="D150" s="383"/>
      <c r="E150" s="132">
        <f t="shared" si="12"/>
        <v>0</v>
      </c>
      <c r="F150" s="55">
        <v>12</v>
      </c>
      <c r="H150" s="2061"/>
      <c r="J150" s="2061"/>
    </row>
    <row r="151" spans="1:10">
      <c r="A151" s="843" t="str">
        <f t="shared" si="11"/>
        <v>0% de consommation d'énergie par rapport à 2006 dans le secteur 'Logement'_13</v>
      </c>
      <c r="B151" s="382"/>
      <c r="C151" s="383"/>
      <c r="D151" s="383"/>
      <c r="E151" s="132">
        <f t="shared" si="12"/>
        <v>0</v>
      </c>
      <c r="F151" s="55">
        <v>13</v>
      </c>
      <c r="H151" s="2061"/>
      <c r="J151" s="2061"/>
    </row>
    <row r="152" spans="1:10">
      <c r="A152" s="843" t="str">
        <f t="shared" si="11"/>
        <v>0% de consommation d'énergie par rapport à 2006 dans le secteur 'Logement'_14</v>
      </c>
      <c r="B152" s="382"/>
      <c r="C152" s="383"/>
      <c r="D152" s="383"/>
      <c r="E152" s="132">
        <f t="shared" si="12"/>
        <v>0</v>
      </c>
      <c r="F152" s="55">
        <v>14</v>
      </c>
      <c r="H152" s="2061"/>
      <c r="J152" s="2061"/>
    </row>
    <row r="153" spans="1:10">
      <c r="A153" s="843" t="str">
        <f t="shared" si="11"/>
        <v>0% de consommation d'énergie par rapport à 2006 dans le secteur 'Logement'_15</v>
      </c>
      <c r="B153" s="382"/>
      <c r="C153" s="383"/>
      <c r="D153" s="383"/>
      <c r="E153" s="132">
        <f t="shared" si="12"/>
        <v>0</v>
      </c>
      <c r="F153" s="55">
        <v>15</v>
      </c>
      <c r="H153" s="2061"/>
      <c r="J153" s="2061"/>
    </row>
    <row r="154" spans="1:10">
      <c r="C154" s="209" t="s">
        <v>107</v>
      </c>
      <c r="D154" s="219">
        <f>SUM(D139:D153)</f>
        <v>0</v>
      </c>
      <c r="E154" s="132">
        <f>IF(C$136=0,0,D154/C$136)</f>
        <v>0</v>
      </c>
      <c r="H154" s="2061"/>
      <c r="J154" s="2061"/>
    </row>
    <row r="155" spans="1:10">
      <c r="J155" s="2061"/>
    </row>
    <row r="163" spans="1:8">
      <c r="B163" s="214" t="s">
        <v>671</v>
      </c>
      <c r="C163" s="619">
        <f>Objectifs!C18</f>
        <v>0</v>
      </c>
      <c r="D163" t="s">
        <v>672</v>
      </c>
      <c r="H163" s="2061"/>
    </row>
    <row r="164" spans="1:8">
      <c r="B164" s="214" t="s">
        <v>673</v>
      </c>
      <c r="C164" t="str">
        <f>Objectifs!B18</f>
        <v>Agriculture</v>
      </c>
      <c r="H164" s="2061"/>
    </row>
    <row r="165" spans="1:8">
      <c r="B165" s="214" t="s">
        <v>674</v>
      </c>
      <c r="C165" s="215">
        <f>-Objectifs!E18</f>
        <v>0</v>
      </c>
      <c r="H165" s="2061"/>
    </row>
    <row r="166" spans="1:8">
      <c r="B166" s="214" t="str">
        <f>"Evolution des consommations 2006-"&amp;Accueil!$E$29&amp;" (GWh/an):"</f>
        <v>Evolution des consommations 2006- (GWh/an):</v>
      </c>
      <c r="C166" s="215" t="e">
        <f ca="1">'Bilan territorial'!M16-'Bilan territorial'!F16</f>
        <v>#REF!</v>
      </c>
      <c r="H166" s="2061"/>
    </row>
    <row r="167" spans="1:8">
      <c r="B167" s="214" t="s">
        <v>679</v>
      </c>
      <c r="C167" s="642">
        <f>IF(C165=0,0,IF(C165-C166&gt;0,0,C165-C166))</f>
        <v>0</v>
      </c>
      <c r="H167" s="2061"/>
    </row>
    <row r="168" spans="1:8">
      <c r="H168" s="2061"/>
    </row>
    <row r="169" spans="1:8" ht="45" customHeight="1">
      <c r="B169" s="216" t="s">
        <v>676</v>
      </c>
      <c r="C169" s="217" t="s">
        <v>677</v>
      </c>
      <c r="D169" s="218" t="s">
        <v>291</v>
      </c>
      <c r="E169" s="218" t="s">
        <v>678</v>
      </c>
      <c r="H169" s="2061"/>
    </row>
    <row r="170" spans="1:8">
      <c r="A170" s="843" t="str">
        <f>ROUND(C$163*100,0)&amp;"% "&amp;D$163&amp;" dans le secteur '"&amp;C$164&amp;"'_"&amp;F170</f>
        <v>0% de consommation d'énergie par rapport à 2006 dans le secteur 'Agriculture'_1</v>
      </c>
      <c r="B170" s="382"/>
      <c r="C170" s="383"/>
      <c r="D170" s="392"/>
      <c r="E170" s="132">
        <f>IF(C$167=0,0,D170/C$167)</f>
        <v>0</v>
      </c>
      <c r="F170" s="55">
        <v>1</v>
      </c>
      <c r="H170" s="2061"/>
    </row>
    <row r="171" spans="1:8">
      <c r="A171" s="843" t="str">
        <f t="shared" ref="A171:A179" si="13">ROUND(C$163*100,0)&amp;"% "&amp;D$163&amp;" dans le secteur '"&amp;C$164&amp;"'_"&amp;F171</f>
        <v>0% de consommation d'énergie par rapport à 2006 dans le secteur 'Agriculture'_2</v>
      </c>
      <c r="B171" s="382"/>
      <c r="C171" s="383"/>
      <c r="D171" s="383"/>
      <c r="E171" s="132">
        <f t="shared" ref="E171:E180" si="14">IF(C$167=0,0,D171/C$167)</f>
        <v>0</v>
      </c>
      <c r="F171" s="55">
        <v>2</v>
      </c>
      <c r="H171" s="2061"/>
    </row>
    <row r="172" spans="1:8">
      <c r="A172" s="843" t="str">
        <f t="shared" si="13"/>
        <v>0% de consommation d'énergie par rapport à 2006 dans le secteur 'Agriculture'_3</v>
      </c>
      <c r="B172" s="382"/>
      <c r="C172" s="383"/>
      <c r="D172" s="383"/>
      <c r="E172" s="132">
        <f t="shared" si="14"/>
        <v>0</v>
      </c>
      <c r="F172" s="55">
        <v>3</v>
      </c>
      <c r="H172" s="2061"/>
    </row>
    <row r="173" spans="1:8">
      <c r="A173" s="843" t="str">
        <f t="shared" si="13"/>
        <v>0% de consommation d'énergie par rapport à 2006 dans le secteur 'Agriculture'_4</v>
      </c>
      <c r="B173" s="382"/>
      <c r="C173" s="383"/>
      <c r="D173" s="383"/>
      <c r="E173" s="132">
        <f t="shared" si="14"/>
        <v>0</v>
      </c>
      <c r="F173" s="55">
        <v>4</v>
      </c>
      <c r="H173" s="2061"/>
    </row>
    <row r="174" spans="1:8">
      <c r="A174" s="843" t="str">
        <f t="shared" si="13"/>
        <v>0% de consommation d'énergie par rapport à 2006 dans le secteur 'Agriculture'_5</v>
      </c>
      <c r="B174" s="382"/>
      <c r="C174" s="383"/>
      <c r="D174" s="383"/>
      <c r="E174" s="132">
        <f t="shared" si="14"/>
        <v>0</v>
      </c>
      <c r="F174" s="55">
        <v>5</v>
      </c>
      <c r="H174" s="2061"/>
    </row>
    <row r="175" spans="1:8">
      <c r="A175" s="843" t="str">
        <f t="shared" si="13"/>
        <v>0% de consommation d'énergie par rapport à 2006 dans le secteur 'Agriculture'_6</v>
      </c>
      <c r="B175" s="382"/>
      <c r="C175" s="383"/>
      <c r="D175" s="383"/>
      <c r="E175" s="132">
        <f t="shared" si="14"/>
        <v>0</v>
      </c>
      <c r="F175" s="55">
        <v>6</v>
      </c>
      <c r="H175" s="2061"/>
    </row>
    <row r="176" spans="1:8">
      <c r="A176" s="843" t="str">
        <f t="shared" si="13"/>
        <v>0% de consommation d'énergie par rapport à 2006 dans le secteur 'Agriculture'_7</v>
      </c>
      <c r="B176" s="382"/>
      <c r="C176" s="383"/>
      <c r="D176" s="383"/>
      <c r="E176" s="132">
        <f t="shared" si="14"/>
        <v>0</v>
      </c>
      <c r="F176" s="55">
        <v>7</v>
      </c>
      <c r="H176" s="2061"/>
    </row>
    <row r="177" spans="1:10">
      <c r="A177" s="843" t="str">
        <f t="shared" si="13"/>
        <v>0% de consommation d'énergie par rapport à 2006 dans le secteur 'Agriculture'_8</v>
      </c>
      <c r="B177" s="382"/>
      <c r="C177" s="383"/>
      <c r="D177" s="383"/>
      <c r="E177" s="132">
        <f t="shared" si="14"/>
        <v>0</v>
      </c>
      <c r="F177" s="55">
        <v>8</v>
      </c>
      <c r="H177" s="2061"/>
    </row>
    <row r="178" spans="1:10">
      <c r="A178" s="843" t="str">
        <f t="shared" si="13"/>
        <v>0% de consommation d'énergie par rapport à 2006 dans le secteur 'Agriculture'_9</v>
      </c>
      <c r="B178" s="382"/>
      <c r="C178" s="383"/>
      <c r="D178" s="383"/>
      <c r="E178" s="132">
        <f t="shared" si="14"/>
        <v>0</v>
      </c>
      <c r="F178" s="55">
        <v>9</v>
      </c>
      <c r="H178" s="2061"/>
    </row>
    <row r="179" spans="1:10">
      <c r="A179" s="843" t="str">
        <f t="shared" si="13"/>
        <v>0% de consommation d'énergie par rapport à 2006 dans le secteur 'Agriculture'_10</v>
      </c>
      <c r="B179" s="382"/>
      <c r="C179" s="383"/>
      <c r="D179" s="383"/>
      <c r="E179" s="132">
        <f t="shared" si="14"/>
        <v>0</v>
      </c>
      <c r="F179" s="55">
        <v>10</v>
      </c>
      <c r="H179" s="2061"/>
    </row>
    <row r="180" spans="1:10">
      <c r="C180" s="209" t="s">
        <v>107</v>
      </c>
      <c r="D180" s="219">
        <f>SUM(D170:D179)</f>
        <v>0</v>
      </c>
      <c r="E180" s="132">
        <f t="shared" si="14"/>
        <v>0</v>
      </c>
      <c r="H180" s="2061"/>
    </row>
    <row r="189" spans="1:10" ht="43.2">
      <c r="B189" s="645" t="s">
        <v>671</v>
      </c>
      <c r="C189" s="646">
        <f>Objectifs!C19</f>
        <v>0</v>
      </c>
      <c r="D189" s="43" t="s">
        <v>672</v>
      </c>
      <c r="E189" s="373" t="s">
        <v>680</v>
      </c>
      <c r="H189">
        <v>2006</v>
      </c>
      <c r="I189">
        <f>Accueil!E29</f>
        <v>0</v>
      </c>
      <c r="J189" s="2061"/>
    </row>
    <row r="190" spans="1:10">
      <c r="B190" s="214" t="s">
        <v>673</v>
      </c>
      <c r="C190" t="s">
        <v>203</v>
      </c>
      <c r="E190" s="221" t="str">
        <f>"Nombre de voitures (Source: SPF Economie - Statbel) :"</f>
        <v>Nombre de voitures (Source: SPF Economie - Statbel) :</v>
      </c>
      <c r="F190" s="221"/>
      <c r="H190" s="620" t="e">
        <f>VLOOKUP(Accueil!$E27,Voitures!$A$4:$J$265,HLOOKUP(Scénarios!$H189,Voitures!$C$2:$J$3,2,0),0)</f>
        <v>#N/A</v>
      </c>
      <c r="I190" s="620" t="e">
        <f>VLOOKUP(Accueil!$E27,Voitures!$A$4:$N$265,HLOOKUP(Scénarios!I189,Voitures!$C$2:$N$3,2,0),0)</f>
        <v>#N/A</v>
      </c>
      <c r="J190" s="2061"/>
    </row>
    <row r="191" spans="1:10">
      <c r="B191" s="214" t="s">
        <v>674</v>
      </c>
      <c r="C191" s="215">
        <f>-Objectifs!E19</f>
        <v>0</v>
      </c>
      <c r="J191" s="2061"/>
    </row>
    <row r="192" spans="1:10">
      <c r="B192" s="214" t="str">
        <f>"Evolution des consommations 2006-"&amp;Accueil!$E$29&amp;" (GWh/an):"</f>
        <v>Evolution des consommations 2006- (GWh/an):</v>
      </c>
      <c r="C192" s="215" t="e">
        <f ca="1">'Bilan territorial'!M19-'Bilan territorial'!F19</f>
        <v>#REF!</v>
      </c>
      <c r="J192" s="2061"/>
    </row>
    <row r="193" spans="1:10">
      <c r="B193" s="214" t="s">
        <v>679</v>
      </c>
      <c r="C193" s="642">
        <f>IF(C191=0,0,IF(C191-C192&gt;0,0,C191-C192))</f>
        <v>0</v>
      </c>
      <c r="J193" s="2061"/>
    </row>
    <row r="194" spans="1:10">
      <c r="J194" s="2061"/>
    </row>
    <row r="195" spans="1:10" ht="45" customHeight="1" thickBot="1">
      <c r="B195" s="216" t="s">
        <v>676</v>
      </c>
      <c r="C195" s="1387" t="s">
        <v>677</v>
      </c>
      <c r="D195" s="1388" t="s">
        <v>291</v>
      </c>
      <c r="E195" s="1388" t="s">
        <v>678</v>
      </c>
      <c r="J195" s="2061"/>
    </row>
    <row r="196" spans="1:10">
      <c r="A196" s="843" t="str">
        <f>ROUND(C$189*100,0)&amp;"% "&amp;D$189&amp;" dans le secteur '"&amp;C$190&amp;"'_"&amp;F196</f>
        <v>0% de consommation d'énergie par rapport à 2006 dans le secteur 'Transport'_1</v>
      </c>
      <c r="B196" s="1096"/>
      <c r="C196" s="1097"/>
      <c r="D196" s="222">
        <f>-IF(ISNA(VLOOKUP($B196,Mesures_eco!$A$1:$G$34,3,0)),0,VLOOKUP($B196,Mesures_eco!$A$1:$G$34,3,0)*C196)</f>
        <v>0</v>
      </c>
      <c r="E196" s="647">
        <f>IF(C$193=0,0,D196/C$193)</f>
        <v>0</v>
      </c>
      <c r="F196" s="55">
        <v>1</v>
      </c>
      <c r="J196" s="2061"/>
    </row>
    <row r="197" spans="1:10">
      <c r="A197" s="843" t="str">
        <f t="shared" ref="A197:A210" si="15">ROUND(C$189*100,0)&amp;"% "&amp;D$189&amp;" dans le secteur '"&amp;C$190&amp;"'_"&amp;F197</f>
        <v>0% de consommation d'énergie par rapport à 2006 dans le secteur 'Transport'_2</v>
      </c>
      <c r="B197" s="1098"/>
      <c r="C197" s="383"/>
      <c r="D197" s="219">
        <f>-IF(ISNA(VLOOKUP($B197,Mesures_eco!$A$1:$G$34,3,0)),0,VLOOKUP($B197,Mesures_eco!$A$1:$G$34,3,0)*C197)</f>
        <v>0</v>
      </c>
      <c r="E197" s="648">
        <f t="shared" ref="E197:E211" si="16">IF(C$193=0,0,D197/C$193)</f>
        <v>0</v>
      </c>
      <c r="F197" s="55">
        <v>2</v>
      </c>
      <c r="J197" s="2061"/>
    </row>
    <row r="198" spans="1:10">
      <c r="A198" s="843" t="str">
        <f t="shared" si="15"/>
        <v>0% de consommation d'énergie par rapport à 2006 dans le secteur 'Transport'_3</v>
      </c>
      <c r="B198" s="1098"/>
      <c r="C198" s="383"/>
      <c r="D198" s="219">
        <f>-IF(ISNA(VLOOKUP($B198,Mesures_eco!$A$1:$G$34,3,0)),0,VLOOKUP($B198,Mesures_eco!$A$1:$G$34,3,0)*C198)</f>
        <v>0</v>
      </c>
      <c r="E198" s="648">
        <f t="shared" si="16"/>
        <v>0</v>
      </c>
      <c r="F198" s="55">
        <v>3</v>
      </c>
      <c r="J198" s="2061"/>
    </row>
    <row r="199" spans="1:10">
      <c r="A199" s="843" t="str">
        <f t="shared" si="15"/>
        <v>0% de consommation d'énergie par rapport à 2006 dans le secteur 'Transport'_4</v>
      </c>
      <c r="B199" s="1098"/>
      <c r="C199" s="383"/>
      <c r="D199" s="219">
        <f>-IF(ISNA(VLOOKUP($B199,Mesures_eco!$A$1:$G$34,3,0)),0,VLOOKUP($B199,Mesures_eco!$A$1:$G$34,3,0)*C199)</f>
        <v>0</v>
      </c>
      <c r="E199" s="648">
        <f t="shared" ref="E199:E200" si="17">IF(C$193=0,0,D199/C$193)</f>
        <v>0</v>
      </c>
      <c r="F199" s="55">
        <v>4</v>
      </c>
      <c r="J199" s="2061"/>
    </row>
    <row r="200" spans="1:10">
      <c r="A200" s="843" t="str">
        <f t="shared" si="15"/>
        <v>0% de consommation d'énergie par rapport à 2006 dans le secteur 'Transport'_5</v>
      </c>
      <c r="B200" s="1098"/>
      <c r="C200" s="383"/>
      <c r="D200" s="219">
        <f>-IF(ISNA(VLOOKUP($B200,Mesures_eco!$A$1:$G$34,3,0)),0,VLOOKUP($B200,Mesures_eco!$A$1:$G$34,3,0)*C200)</f>
        <v>0</v>
      </c>
      <c r="E200" s="648">
        <f t="shared" si="17"/>
        <v>0</v>
      </c>
      <c r="F200" s="55">
        <v>5</v>
      </c>
      <c r="J200" s="2061"/>
    </row>
    <row r="201" spans="1:10">
      <c r="A201" s="843" t="str">
        <f t="shared" si="15"/>
        <v>0% de consommation d'énergie par rapport à 2006 dans le secteur 'Transport'_6</v>
      </c>
      <c r="B201" s="1098"/>
      <c r="C201" s="383"/>
      <c r="D201" s="219">
        <f>-IF(ISNA(VLOOKUP($B201,Mesures_eco!$A$1:$G$34,3,0)),0,VLOOKUP($B201,Mesures_eco!$A$1:$G$34,3,0)*C201)</f>
        <v>0</v>
      </c>
      <c r="E201" s="648">
        <f t="shared" si="16"/>
        <v>0</v>
      </c>
      <c r="F201" s="55">
        <v>6</v>
      </c>
      <c r="J201" s="2061"/>
    </row>
    <row r="202" spans="1:10">
      <c r="A202" s="843" t="str">
        <f t="shared" si="15"/>
        <v>0% de consommation d'énergie par rapport à 2006 dans le secteur 'Transport'_7</v>
      </c>
      <c r="B202" s="1098"/>
      <c r="C202" s="383"/>
      <c r="D202" s="219">
        <f>-IF(ISNA(VLOOKUP($B202,Mesures_eco!$A$1:$G$34,3,0)),0,VLOOKUP($B202,Mesures_eco!$A$1:$G$34,3,0)*C202)</f>
        <v>0</v>
      </c>
      <c r="E202" s="648">
        <f t="shared" si="16"/>
        <v>0</v>
      </c>
      <c r="F202" s="55">
        <v>7</v>
      </c>
      <c r="J202" s="2061"/>
    </row>
    <row r="203" spans="1:10" ht="15" thickBot="1">
      <c r="A203" s="843" t="str">
        <f t="shared" si="15"/>
        <v>0% de consommation d'énergie par rapport à 2006 dans le secteur 'Transport'_8</v>
      </c>
      <c r="B203" s="1099"/>
      <c r="C203" s="1100"/>
      <c r="D203" s="223">
        <f>-IF(ISNA(VLOOKUP($B203,Mesures_eco!$A$1:$G$34,3,0)),0,VLOOKUP($B203,Mesures_eco!$A$1:$G$34,3,0)*C203)</f>
        <v>0</v>
      </c>
      <c r="E203" s="649">
        <f t="shared" si="16"/>
        <v>0</v>
      </c>
      <c r="F203" s="55">
        <v>8</v>
      </c>
      <c r="J203" s="2061"/>
    </row>
    <row r="204" spans="1:10">
      <c r="A204" s="843" t="str">
        <f t="shared" si="15"/>
        <v>0% de consommation d'énergie par rapport à 2006 dans le secteur 'Transport'_9</v>
      </c>
      <c r="B204" s="382"/>
      <c r="C204" s="383"/>
      <c r="D204" s="383"/>
      <c r="E204" s="132">
        <f t="shared" si="16"/>
        <v>0</v>
      </c>
      <c r="F204" s="55">
        <v>9</v>
      </c>
      <c r="J204" s="2061"/>
    </row>
    <row r="205" spans="1:10">
      <c r="A205" s="843" t="str">
        <f t="shared" si="15"/>
        <v>0% de consommation d'énergie par rapport à 2006 dans le secteur 'Transport'_10</v>
      </c>
      <c r="B205" s="382"/>
      <c r="C205" s="383"/>
      <c r="D205" s="383"/>
      <c r="E205" s="132">
        <f t="shared" si="16"/>
        <v>0</v>
      </c>
      <c r="F205" s="55">
        <v>10</v>
      </c>
      <c r="J205" s="2061"/>
    </row>
    <row r="206" spans="1:10">
      <c r="A206" s="843" t="str">
        <f t="shared" si="15"/>
        <v>0% de consommation d'énergie par rapport à 2006 dans le secteur 'Transport'_11</v>
      </c>
      <c r="B206" s="382"/>
      <c r="C206" s="383"/>
      <c r="D206" s="383"/>
      <c r="E206" s="132">
        <f t="shared" si="16"/>
        <v>0</v>
      </c>
      <c r="F206" s="55">
        <v>11</v>
      </c>
      <c r="J206" s="2061"/>
    </row>
    <row r="207" spans="1:10">
      <c r="A207" s="843" t="str">
        <f t="shared" si="15"/>
        <v>0% de consommation d'énergie par rapport à 2006 dans le secteur 'Transport'_12</v>
      </c>
      <c r="B207" s="382"/>
      <c r="C207" s="383"/>
      <c r="D207" s="383"/>
      <c r="E207" s="132">
        <f t="shared" si="16"/>
        <v>0</v>
      </c>
      <c r="F207" s="55">
        <v>12</v>
      </c>
      <c r="J207" s="2061"/>
    </row>
    <row r="208" spans="1:10">
      <c r="A208" s="843" t="str">
        <f t="shared" si="15"/>
        <v>0% de consommation d'énergie par rapport à 2006 dans le secteur 'Transport'_13</v>
      </c>
      <c r="B208" s="382"/>
      <c r="C208" s="383"/>
      <c r="D208" s="383"/>
      <c r="E208" s="132">
        <f t="shared" si="16"/>
        <v>0</v>
      </c>
      <c r="F208" s="55">
        <v>13</v>
      </c>
      <c r="J208" s="2061"/>
    </row>
    <row r="209" spans="1:10">
      <c r="A209" s="843" t="str">
        <f t="shared" si="15"/>
        <v>0% de consommation d'énergie par rapport à 2006 dans le secteur 'Transport'_14</v>
      </c>
      <c r="B209" s="382"/>
      <c r="C209" s="383"/>
      <c r="D209" s="383"/>
      <c r="E209" s="132">
        <f t="shared" si="16"/>
        <v>0</v>
      </c>
      <c r="F209" s="55">
        <v>14</v>
      </c>
      <c r="J209" s="2061"/>
    </row>
    <row r="210" spans="1:10">
      <c r="A210" s="843" t="str">
        <f t="shared" si="15"/>
        <v>0% de consommation d'énergie par rapport à 2006 dans le secteur 'Transport'_15</v>
      </c>
      <c r="B210" s="382"/>
      <c r="C210" s="383"/>
      <c r="D210" s="383"/>
      <c r="E210" s="132">
        <f t="shared" si="16"/>
        <v>0</v>
      </c>
      <c r="F210" s="55">
        <v>15</v>
      </c>
      <c r="J210" s="2061"/>
    </row>
    <row r="211" spans="1:10">
      <c r="C211" s="209" t="s">
        <v>107</v>
      </c>
      <c r="D211" s="219">
        <f>SUM(D196:D210)</f>
        <v>0</v>
      </c>
      <c r="E211" s="132">
        <f t="shared" si="16"/>
        <v>0</v>
      </c>
      <c r="J211" s="2061"/>
    </row>
    <row r="221" spans="1:10">
      <c r="B221" s="214" t="s">
        <v>671</v>
      </c>
      <c r="C221" s="619">
        <f>Objectifs!C58</f>
        <v>0</v>
      </c>
      <c r="D221" t="s">
        <v>681</v>
      </c>
      <c r="H221" s="2061"/>
    </row>
    <row r="222" spans="1:10">
      <c r="B222" s="214" t="s">
        <v>673</v>
      </c>
      <c r="C222" t="str">
        <f>Objectifs!B58</f>
        <v>Gestion des déchets</v>
      </c>
      <c r="H222" s="2061"/>
    </row>
    <row r="223" spans="1:10">
      <c r="B223" s="214" t="s">
        <v>682</v>
      </c>
      <c r="C223" s="220">
        <f>Objectifs!F58</f>
        <v>0</v>
      </c>
      <c r="H223" s="2061"/>
    </row>
    <row r="224" spans="1:10">
      <c r="B224" s="214" t="str">
        <f>"Evolution des émissions 2006-"&amp;Accueil!$E$29</f>
        <v>Evolution des émissions 2006-</v>
      </c>
      <c r="C224" s="220" t="e">
        <f>HLOOKUP(Accueil!$E$29,'Données territoriales'!$K$5:$AF$8,2,0)-'Données territoriales'!K$6</f>
        <v>#N/A</v>
      </c>
      <c r="H224" s="2061"/>
    </row>
    <row r="225" spans="1:8">
      <c r="B225" s="214" t="s">
        <v>675</v>
      </c>
      <c r="C225" s="624" t="e">
        <f>C223+C224</f>
        <v>#N/A</v>
      </c>
      <c r="H225" s="2061"/>
    </row>
    <row r="226" spans="1:8" ht="45" customHeight="1">
      <c r="B226" s="216" t="s">
        <v>676</v>
      </c>
      <c r="C226" s="217" t="s">
        <v>677</v>
      </c>
      <c r="D226" s="2068" t="s">
        <v>683</v>
      </c>
      <c r="E226" s="2069"/>
      <c r="F226" s="218" t="s">
        <v>678</v>
      </c>
      <c r="H226" s="2061"/>
    </row>
    <row r="227" spans="1:8">
      <c r="A227" s="843" t="str">
        <f>ROUND(C$221*100,0)&amp;"% "&amp;D$221&amp;" dans le secteur '"&amp;C$222&amp;"'_"&amp;G227</f>
        <v>0% de réduction des émissions du secteur dans le secteur 'Gestion des déchets'_1</v>
      </c>
      <c r="B227" s="384"/>
      <c r="C227" s="383"/>
      <c r="D227" s="2066"/>
      <c r="E227" s="2067"/>
      <c r="F227" s="132" t="e">
        <f>IF($C$225=0,0,D227/$C$225)</f>
        <v>#N/A</v>
      </c>
      <c r="G227" s="55">
        <v>1</v>
      </c>
      <c r="H227" s="2061"/>
    </row>
    <row r="228" spans="1:8">
      <c r="A228" s="843" t="str">
        <f t="shared" ref="A228:A235" si="18">ROUND(C$221*100,0)&amp;"% "&amp;D$221&amp;" dans le secteur '"&amp;C$222&amp;"'_"&amp;G228</f>
        <v>0% de réduction des émissions du secteur dans le secteur 'Gestion des déchets'_2</v>
      </c>
      <c r="B228" s="384"/>
      <c r="C228" s="383"/>
      <c r="D228" s="2066"/>
      <c r="E228" s="2067"/>
      <c r="F228" s="132" t="e">
        <f t="shared" ref="F228:F236" si="19">IF($C$225=0,0,D228/$C$225)</f>
        <v>#N/A</v>
      </c>
      <c r="G228" s="55">
        <v>2</v>
      </c>
      <c r="H228" s="2061"/>
    </row>
    <row r="229" spans="1:8">
      <c r="A229" s="843" t="str">
        <f t="shared" si="18"/>
        <v>0% de réduction des émissions du secteur dans le secteur 'Gestion des déchets'_3</v>
      </c>
      <c r="B229" s="384"/>
      <c r="C229" s="383"/>
      <c r="D229" s="2066"/>
      <c r="E229" s="2067"/>
      <c r="F229" s="132" t="e">
        <f t="shared" si="19"/>
        <v>#N/A</v>
      </c>
      <c r="G229" s="55">
        <v>3</v>
      </c>
      <c r="H229" s="2061"/>
    </row>
    <row r="230" spans="1:8">
      <c r="A230" s="843" t="str">
        <f t="shared" si="18"/>
        <v>0% de réduction des émissions du secteur dans le secteur 'Gestion des déchets'_4</v>
      </c>
      <c r="B230" s="384"/>
      <c r="C230" s="383"/>
      <c r="D230" s="2066"/>
      <c r="E230" s="2067"/>
      <c r="F230" s="132" t="e">
        <f t="shared" si="19"/>
        <v>#N/A</v>
      </c>
      <c r="G230" s="55">
        <v>4</v>
      </c>
      <c r="H230" s="2061"/>
    </row>
    <row r="231" spans="1:8">
      <c r="A231" s="843" t="str">
        <f t="shared" si="18"/>
        <v>0% de réduction des émissions du secteur dans le secteur 'Gestion des déchets'_5</v>
      </c>
      <c r="B231" s="384"/>
      <c r="C231" s="383"/>
      <c r="D231" s="2066"/>
      <c r="E231" s="2067"/>
      <c r="F231" s="132" t="e">
        <f t="shared" si="19"/>
        <v>#N/A</v>
      </c>
      <c r="G231" s="55">
        <v>5</v>
      </c>
      <c r="H231" s="2061"/>
    </row>
    <row r="232" spans="1:8">
      <c r="A232" s="843" t="str">
        <f t="shared" si="18"/>
        <v>0% de réduction des émissions du secteur dans le secteur 'Gestion des déchets'_6</v>
      </c>
      <c r="B232" s="384"/>
      <c r="C232" s="383"/>
      <c r="D232" s="2066"/>
      <c r="E232" s="2067"/>
      <c r="F232" s="132" t="e">
        <f t="shared" si="19"/>
        <v>#N/A</v>
      </c>
      <c r="G232" s="55">
        <v>6</v>
      </c>
      <c r="H232" s="2061"/>
    </row>
    <row r="233" spans="1:8">
      <c r="A233" s="843" t="str">
        <f t="shared" si="18"/>
        <v>0% de réduction des émissions du secteur dans le secteur 'Gestion des déchets'_7</v>
      </c>
      <c r="B233" s="382"/>
      <c r="C233" s="383"/>
      <c r="D233" s="2066"/>
      <c r="E233" s="2067"/>
      <c r="F233" s="132" t="e">
        <f t="shared" si="19"/>
        <v>#N/A</v>
      </c>
      <c r="G233" s="55">
        <v>7</v>
      </c>
      <c r="H233" s="2061"/>
    </row>
    <row r="234" spans="1:8">
      <c r="A234" s="843" t="str">
        <f t="shared" si="18"/>
        <v>0% de réduction des émissions du secteur dans le secteur 'Gestion des déchets'_8</v>
      </c>
      <c r="B234" s="382"/>
      <c r="C234" s="383"/>
      <c r="D234" s="2066"/>
      <c r="E234" s="2067"/>
      <c r="F234" s="132" t="e">
        <f t="shared" si="19"/>
        <v>#N/A</v>
      </c>
      <c r="G234" s="55">
        <v>8</v>
      </c>
      <c r="H234" s="2061"/>
    </row>
    <row r="235" spans="1:8">
      <c r="A235" s="843" t="str">
        <f t="shared" si="18"/>
        <v>0% de réduction des émissions du secteur dans le secteur 'Gestion des déchets'_9</v>
      </c>
      <c r="B235" s="382"/>
      <c r="C235" s="383"/>
      <c r="D235" s="2066"/>
      <c r="E235" s="2067"/>
      <c r="F235" s="132" t="e">
        <f t="shared" si="19"/>
        <v>#N/A</v>
      </c>
      <c r="G235" s="55">
        <v>9</v>
      </c>
      <c r="H235" s="2061"/>
    </row>
    <row r="236" spans="1:8">
      <c r="A236" s="843" t="str">
        <f>ROUND(C$221*100,0)&amp;"% "&amp;D$221&amp;" dans le secteur '"&amp;C$222&amp;"'_"&amp;G236</f>
        <v>0% de réduction des émissions du secteur dans le secteur 'Gestion des déchets'_10</v>
      </c>
      <c r="B236" s="382"/>
      <c r="C236" s="383"/>
      <c r="D236" s="2066"/>
      <c r="E236" s="2067"/>
      <c r="F236" s="132" t="e">
        <f t="shared" si="19"/>
        <v>#N/A</v>
      </c>
      <c r="G236" s="55">
        <v>10</v>
      </c>
      <c r="H236" s="2061"/>
    </row>
    <row r="237" spans="1:8">
      <c r="C237" s="209" t="s">
        <v>107</v>
      </c>
      <c r="D237" s="2064">
        <f>SUM(D227:E236)</f>
        <v>0</v>
      </c>
      <c r="E237" s="2065"/>
      <c r="F237" s="132" t="e">
        <f>IF($C$225=0,0,D237/$C$225)</f>
        <v>#N/A</v>
      </c>
      <c r="H237" s="2061"/>
    </row>
    <row r="246" spans="1:8">
      <c r="B246" s="214" t="s">
        <v>671</v>
      </c>
      <c r="C246" s="619">
        <f>Objectifs!C59</f>
        <v>0</v>
      </c>
      <c r="D246" t="s">
        <v>681</v>
      </c>
      <c r="H246" s="2061"/>
    </row>
    <row r="247" spans="1:8">
      <c r="B247" s="214" t="s">
        <v>673</v>
      </c>
      <c r="C247" t="str">
        <f>Objectifs!B59</f>
        <v>Traitement des eaux usées</v>
      </c>
      <c r="H247" s="2061"/>
    </row>
    <row r="248" spans="1:8">
      <c r="B248" s="214" t="s">
        <v>682</v>
      </c>
      <c r="C248" s="220">
        <f>Objectifs!F59</f>
        <v>0</v>
      </c>
      <c r="H248" s="2061"/>
    </row>
    <row r="249" spans="1:8">
      <c r="B249" s="214" t="str">
        <f>"Evolution des émissions 2006-"&amp;Accueil!$E$29</f>
        <v>Evolution des émissions 2006-</v>
      </c>
      <c r="C249" s="220" t="e">
        <f>HLOOKUP(Accueil!$E$29,'Données territoriales'!$K$5:$AF$8,3,0)-'Données territoriales'!K$7</f>
        <v>#N/A</v>
      </c>
      <c r="H249" s="2061"/>
    </row>
    <row r="250" spans="1:8">
      <c r="B250" s="214" t="s">
        <v>675</v>
      </c>
      <c r="C250" s="624" t="e">
        <f>C248+C249</f>
        <v>#N/A</v>
      </c>
      <c r="H250" s="2061"/>
    </row>
    <row r="251" spans="1:8" ht="45" customHeight="1">
      <c r="B251" s="216" t="s">
        <v>676</v>
      </c>
      <c r="C251" s="217" t="s">
        <v>677</v>
      </c>
      <c r="D251" s="2068" t="s">
        <v>683</v>
      </c>
      <c r="E251" s="2069"/>
      <c r="F251" s="218" t="s">
        <v>678</v>
      </c>
      <c r="H251" s="2061"/>
    </row>
    <row r="252" spans="1:8">
      <c r="A252" s="843" t="str">
        <f>ROUND(C$246*100,0)&amp;"% "&amp;D$246&amp;" dans le secteur '"&amp;C$247&amp;"'_"&amp;G252</f>
        <v>0% de réduction des émissions du secteur dans le secteur 'Traitement des eaux usées'_1</v>
      </c>
      <c r="B252" s="384"/>
      <c r="C252" s="383"/>
      <c r="D252" s="2066"/>
      <c r="E252" s="2067"/>
      <c r="F252" s="132" t="e">
        <f>IF($C$250=0,0,D252/$C$250)</f>
        <v>#N/A</v>
      </c>
      <c r="G252" s="55">
        <v>1</v>
      </c>
      <c r="H252" s="2061"/>
    </row>
    <row r="253" spans="1:8">
      <c r="A253" s="843" t="str">
        <f t="shared" ref="A253:A261" si="20">ROUND(C$246*100,0)&amp;"% "&amp;D$246&amp;" dans le secteur '"&amp;C$247&amp;"'_"&amp;G253</f>
        <v>0% de réduction des émissions du secteur dans le secteur 'Traitement des eaux usées'_2</v>
      </c>
      <c r="B253" s="384"/>
      <c r="C253" s="383"/>
      <c r="D253" s="2066"/>
      <c r="E253" s="2067"/>
      <c r="F253" s="132" t="e">
        <f t="shared" ref="F253:F262" si="21">IF($C$250=0,0,D253/$C$250)</f>
        <v>#N/A</v>
      </c>
      <c r="G253" s="55">
        <v>2</v>
      </c>
      <c r="H253" s="2061"/>
    </row>
    <row r="254" spans="1:8">
      <c r="A254" s="843" t="str">
        <f t="shared" si="20"/>
        <v>0% de réduction des émissions du secteur dans le secteur 'Traitement des eaux usées'_3</v>
      </c>
      <c r="B254" s="384"/>
      <c r="C254" s="383"/>
      <c r="D254" s="2066"/>
      <c r="E254" s="2067"/>
      <c r="F254" s="132" t="e">
        <f t="shared" si="21"/>
        <v>#N/A</v>
      </c>
      <c r="G254" s="55">
        <v>3</v>
      </c>
      <c r="H254" s="2061"/>
    </row>
    <row r="255" spans="1:8">
      <c r="A255" s="843" t="str">
        <f t="shared" si="20"/>
        <v>0% de réduction des émissions du secteur dans le secteur 'Traitement des eaux usées'_4</v>
      </c>
      <c r="B255" s="384"/>
      <c r="C255" s="383"/>
      <c r="D255" s="2066"/>
      <c r="E255" s="2067"/>
      <c r="F255" s="132" t="e">
        <f t="shared" si="21"/>
        <v>#N/A</v>
      </c>
      <c r="G255" s="55">
        <v>4</v>
      </c>
      <c r="H255" s="2061"/>
    </row>
    <row r="256" spans="1:8">
      <c r="A256" s="843" t="str">
        <f t="shared" si="20"/>
        <v>0% de réduction des émissions du secteur dans le secteur 'Traitement des eaux usées'_5</v>
      </c>
      <c r="B256" s="384"/>
      <c r="C256" s="383"/>
      <c r="D256" s="2066"/>
      <c r="E256" s="2067"/>
      <c r="F256" s="132" t="e">
        <f t="shared" si="21"/>
        <v>#N/A</v>
      </c>
      <c r="G256" s="55">
        <v>5</v>
      </c>
      <c r="H256" s="2061"/>
    </row>
    <row r="257" spans="1:8">
      <c r="A257" s="843" t="str">
        <f t="shared" si="20"/>
        <v>0% de réduction des émissions du secteur dans le secteur 'Traitement des eaux usées'_6</v>
      </c>
      <c r="B257" s="384"/>
      <c r="C257" s="383"/>
      <c r="D257" s="2066"/>
      <c r="E257" s="2067"/>
      <c r="F257" s="132" t="e">
        <f t="shared" si="21"/>
        <v>#N/A</v>
      </c>
      <c r="G257" s="55">
        <v>6</v>
      </c>
      <c r="H257" s="2061"/>
    </row>
    <row r="258" spans="1:8">
      <c r="A258" s="843" t="str">
        <f t="shared" si="20"/>
        <v>0% de réduction des émissions du secteur dans le secteur 'Traitement des eaux usées'_7</v>
      </c>
      <c r="B258" s="382"/>
      <c r="C258" s="383"/>
      <c r="D258" s="2066"/>
      <c r="E258" s="2067"/>
      <c r="F258" s="132" t="e">
        <f t="shared" si="21"/>
        <v>#N/A</v>
      </c>
      <c r="G258" s="55">
        <v>7</v>
      </c>
      <c r="H258" s="2061"/>
    </row>
    <row r="259" spans="1:8">
      <c r="A259" s="843" t="str">
        <f t="shared" si="20"/>
        <v>0% de réduction des émissions du secteur dans le secteur 'Traitement des eaux usées'_8</v>
      </c>
      <c r="B259" s="382"/>
      <c r="C259" s="383"/>
      <c r="D259" s="2066"/>
      <c r="E259" s="2067"/>
      <c r="F259" s="132" t="e">
        <f t="shared" si="21"/>
        <v>#N/A</v>
      </c>
      <c r="G259" s="55">
        <v>8</v>
      </c>
      <c r="H259" s="2061"/>
    </row>
    <row r="260" spans="1:8">
      <c r="A260" s="843" t="str">
        <f t="shared" si="20"/>
        <v>0% de réduction des émissions du secteur dans le secteur 'Traitement des eaux usées'_9</v>
      </c>
      <c r="B260" s="382"/>
      <c r="C260" s="383"/>
      <c r="D260" s="2066"/>
      <c r="E260" s="2067"/>
      <c r="F260" s="132" t="e">
        <f t="shared" si="21"/>
        <v>#N/A</v>
      </c>
      <c r="G260" s="55">
        <v>9</v>
      </c>
      <c r="H260" s="2061"/>
    </row>
    <row r="261" spans="1:8">
      <c r="A261" s="843" t="str">
        <f t="shared" si="20"/>
        <v>0% de réduction des émissions du secteur dans le secteur 'Traitement des eaux usées'_10</v>
      </c>
      <c r="B261" s="382"/>
      <c r="C261" s="383"/>
      <c r="D261" s="2066"/>
      <c r="E261" s="2067"/>
      <c r="F261" s="132" t="e">
        <f t="shared" si="21"/>
        <v>#N/A</v>
      </c>
      <c r="G261" s="55">
        <v>10</v>
      </c>
      <c r="H261" s="2061"/>
    </row>
    <row r="262" spans="1:8">
      <c r="C262" s="209" t="s">
        <v>107</v>
      </c>
      <c r="D262" s="2064">
        <f>SUM(D252:E261)</f>
        <v>0</v>
      </c>
      <c r="E262" s="2065"/>
      <c r="F262" s="132" t="e">
        <f t="shared" si="21"/>
        <v>#N/A</v>
      </c>
      <c r="H262" s="2061"/>
    </row>
    <row r="270" spans="1:8">
      <c r="H270" s="2061"/>
    </row>
    <row r="271" spans="1:8">
      <c r="B271" s="214" t="s">
        <v>671</v>
      </c>
      <c r="C271" s="619">
        <f>Objectifs!C60</f>
        <v>0</v>
      </c>
      <c r="D271" t="s">
        <v>681</v>
      </c>
      <c r="H271" s="2061"/>
    </row>
    <row r="272" spans="1:8">
      <c r="B272" s="214" t="s">
        <v>673</v>
      </c>
      <c r="C272" t="str">
        <f>Objectifs!B60</f>
        <v>Autres non-énergétiques</v>
      </c>
      <c r="H272" s="2061"/>
    </row>
    <row r="273" spans="1:8">
      <c r="B273" s="214" t="s">
        <v>674</v>
      </c>
      <c r="C273" s="215">
        <f>Objectifs!E60</f>
        <v>0</v>
      </c>
      <c r="H273" s="2061"/>
    </row>
    <row r="274" spans="1:8">
      <c r="B274" s="214" t="s">
        <v>682</v>
      </c>
      <c r="C274" s="220">
        <f>Objectifs!F60</f>
        <v>0</v>
      </c>
      <c r="H274" s="2061"/>
    </row>
    <row r="275" spans="1:8">
      <c r="B275" s="214" t="str">
        <f>"Evolution des émissions 2006-"&amp;Accueil!$E$29</f>
        <v>Evolution des émissions 2006-</v>
      </c>
      <c r="C275" s="220" t="e">
        <f>HLOOKUP(Accueil!$E$29,'Données territoriales'!$K$5:$AF$8,4,0)-'Données territoriales'!K$8</f>
        <v>#N/A</v>
      </c>
      <c r="H275" s="2061"/>
    </row>
    <row r="276" spans="1:8">
      <c r="B276" s="214" t="s">
        <v>675</v>
      </c>
      <c r="C276" s="624" t="e">
        <f>C274+C275</f>
        <v>#N/A</v>
      </c>
      <c r="H276" s="2061"/>
    </row>
    <row r="277" spans="1:8" ht="45" customHeight="1">
      <c r="B277" s="216" t="s">
        <v>676</v>
      </c>
      <c r="C277" s="217" t="s">
        <v>677</v>
      </c>
      <c r="D277" s="2068" t="s">
        <v>683</v>
      </c>
      <c r="E277" s="2069"/>
      <c r="F277" s="218" t="s">
        <v>678</v>
      </c>
      <c r="H277" s="2061"/>
    </row>
    <row r="278" spans="1:8">
      <c r="A278" s="843" t="str">
        <f>ROUND(C$271*100,0)&amp;"% "&amp;D$271&amp;" dans le secteur '"&amp;C$272&amp;"'_"&amp;G278</f>
        <v>0% de réduction des émissions du secteur dans le secteur 'Autres non-énergétiques'_1</v>
      </c>
      <c r="B278" s="382"/>
      <c r="C278" s="383"/>
      <c r="D278" s="2066"/>
      <c r="E278" s="2067"/>
      <c r="F278" s="132">
        <f>IF(C274=0,0,D278/C274)</f>
        <v>0</v>
      </c>
      <c r="G278" s="55">
        <v>1</v>
      </c>
      <c r="H278" s="2061"/>
    </row>
    <row r="279" spans="1:8">
      <c r="A279" s="843" t="str">
        <f t="shared" ref="A279:A287" si="22">ROUND(C$271*100,0)&amp;"% "&amp;D$271&amp;" dans le secteur '"&amp;C$272&amp;"'_"&amp;G279</f>
        <v>0% de réduction des émissions du secteur dans le secteur 'Autres non-énergétiques'_2</v>
      </c>
      <c r="B279" s="384"/>
      <c r="C279" s="383"/>
      <c r="D279" s="2066"/>
      <c r="E279" s="2067"/>
      <c r="F279" s="132">
        <f>IF(C274=0,0,E279/C274)</f>
        <v>0</v>
      </c>
      <c r="G279" s="55">
        <v>2</v>
      </c>
      <c r="H279" s="2061"/>
    </row>
    <row r="280" spans="1:8">
      <c r="A280" s="843" t="str">
        <f t="shared" si="22"/>
        <v>0% de réduction des émissions du secteur dans le secteur 'Autres non-énergétiques'_3</v>
      </c>
      <c r="B280" s="384"/>
      <c r="C280" s="383"/>
      <c r="D280" s="2066"/>
      <c r="E280" s="2067"/>
      <c r="F280" s="132">
        <f>IF(C274=0,0,E280/C274)</f>
        <v>0</v>
      </c>
      <c r="G280" s="55">
        <v>3</v>
      </c>
      <c r="H280" s="2061"/>
    </row>
    <row r="281" spans="1:8">
      <c r="A281" s="843" t="str">
        <f t="shared" si="22"/>
        <v>0% de réduction des émissions du secteur dans le secteur 'Autres non-énergétiques'_4</v>
      </c>
      <c r="B281" s="384"/>
      <c r="C281" s="383"/>
      <c r="D281" s="2066"/>
      <c r="E281" s="2067"/>
      <c r="F281" s="132">
        <f>IF(C274=0,0,E281/C274)</f>
        <v>0</v>
      </c>
      <c r="G281" s="55">
        <v>4</v>
      </c>
      <c r="H281" s="2061"/>
    </row>
    <row r="282" spans="1:8">
      <c r="A282" s="843" t="str">
        <f t="shared" si="22"/>
        <v>0% de réduction des émissions du secteur dans le secteur 'Autres non-énergétiques'_5</v>
      </c>
      <c r="B282" s="384"/>
      <c r="C282" s="383"/>
      <c r="D282" s="2066"/>
      <c r="E282" s="2067"/>
      <c r="F282" s="132">
        <f>IF(C274=0,0,E282/C274)</f>
        <v>0</v>
      </c>
      <c r="G282" s="55">
        <v>5</v>
      </c>
      <c r="H282" s="2061"/>
    </row>
    <row r="283" spans="1:8">
      <c r="A283" s="843" t="str">
        <f t="shared" si="22"/>
        <v>0% de réduction des émissions du secteur dans le secteur 'Autres non-énergétiques'_6</v>
      </c>
      <c r="B283" s="384"/>
      <c r="C283" s="383"/>
      <c r="D283" s="2066"/>
      <c r="E283" s="2067"/>
      <c r="F283" s="132">
        <f>IF(C274=0,0,E283/C274)</f>
        <v>0</v>
      </c>
      <c r="G283" s="55">
        <v>6</v>
      </c>
      <c r="H283" s="2061"/>
    </row>
    <row r="284" spans="1:8">
      <c r="A284" s="843" t="str">
        <f t="shared" si="22"/>
        <v>0% de réduction des émissions du secteur dans le secteur 'Autres non-énergétiques'_7</v>
      </c>
      <c r="B284" s="382"/>
      <c r="C284" s="383"/>
      <c r="D284" s="2066"/>
      <c r="E284" s="2067"/>
      <c r="F284" s="132">
        <f>IF(C274=0,0,E284/C274)</f>
        <v>0</v>
      </c>
      <c r="G284" s="55">
        <v>7</v>
      </c>
      <c r="H284" s="2061"/>
    </row>
    <row r="285" spans="1:8">
      <c r="A285" s="843" t="str">
        <f t="shared" si="22"/>
        <v>0% de réduction des émissions du secteur dans le secteur 'Autres non-énergétiques'_8</v>
      </c>
      <c r="B285" s="382"/>
      <c r="C285" s="383"/>
      <c r="D285" s="2066"/>
      <c r="E285" s="2067"/>
      <c r="F285" s="132">
        <f>IF(C274=0,0,E285/C274)</f>
        <v>0</v>
      </c>
      <c r="G285" s="55">
        <v>8</v>
      </c>
      <c r="H285" s="2061"/>
    </row>
    <row r="286" spans="1:8">
      <c r="A286" s="843" t="str">
        <f t="shared" si="22"/>
        <v>0% de réduction des émissions du secteur dans le secteur 'Autres non-énergétiques'_9</v>
      </c>
      <c r="B286" s="382"/>
      <c r="C286" s="383"/>
      <c r="D286" s="2066"/>
      <c r="E286" s="2067"/>
      <c r="F286" s="132">
        <f>IF(C274=0,0,E286/C274)</f>
        <v>0</v>
      </c>
      <c r="G286" s="55">
        <v>9</v>
      </c>
      <c r="H286" s="2061"/>
    </row>
    <row r="287" spans="1:8">
      <c r="A287" s="843" t="str">
        <f t="shared" si="22"/>
        <v>0% de réduction des émissions du secteur dans le secteur 'Autres non-énergétiques'_10</v>
      </c>
      <c r="B287" s="382"/>
      <c r="C287" s="383"/>
      <c r="D287" s="2066"/>
      <c r="E287" s="2067"/>
      <c r="F287" s="132">
        <f>IF(C274=0,0,E287/C274)</f>
        <v>0</v>
      </c>
      <c r="G287" s="55">
        <v>10</v>
      </c>
      <c r="H287" s="2061"/>
    </row>
    <row r="288" spans="1:8">
      <c r="C288" s="209" t="s">
        <v>107</v>
      </c>
      <c r="D288" s="2064">
        <f>SUM(D278:E287)</f>
        <v>0</v>
      </c>
      <c r="E288" s="2065"/>
      <c r="F288" s="132">
        <f>IF(C274=0,0,E288/C274)</f>
        <v>0</v>
      </c>
      <c r="H288" s="2061"/>
    </row>
    <row r="295" spans="1:9">
      <c r="B295" s="214" t="s">
        <v>671</v>
      </c>
      <c r="C295" s="619">
        <f>Objectifs!C24</f>
        <v>0</v>
      </c>
      <c r="D295" t="str">
        <f>"de la consommation de '"&amp;C296&amp;"' électrifiés"</f>
        <v>de la consommation de 'Chauffage des bâtiments communaux' électrifiés</v>
      </c>
      <c r="I295" s="2061"/>
    </row>
    <row r="296" spans="1:9">
      <c r="B296" s="214" t="s">
        <v>673</v>
      </c>
      <c r="C296" t="str">
        <f>Objectifs!B24</f>
        <v>Chauffage des bâtiments communaux</v>
      </c>
      <c r="I296" s="2061"/>
    </row>
    <row r="297" spans="1:9">
      <c r="B297" s="214" t="s">
        <v>684</v>
      </c>
      <c r="C297" s="215" t="e">
        <f ca="1">Objectifs!E24</f>
        <v>#REF!</v>
      </c>
      <c r="I297" s="2061"/>
    </row>
    <row r="298" spans="1:9">
      <c r="I298" s="2061"/>
    </row>
    <row r="299" spans="1:9" ht="28.8">
      <c r="B299" s="216" t="s">
        <v>676</v>
      </c>
      <c r="C299" s="217" t="s">
        <v>677</v>
      </c>
      <c r="D299" s="218" t="s">
        <v>685</v>
      </c>
      <c r="E299" s="218" t="s">
        <v>678</v>
      </c>
      <c r="G299" s="2061"/>
      <c r="I299" s="2061"/>
    </row>
    <row r="300" spans="1:9">
      <c r="A300" s="843" t="str">
        <f>ROUND(C$295*100,0)&amp;"% "&amp;D$295&amp;"_"&amp;F300</f>
        <v>0% de la consommation de 'Chauffage des bâtiments communaux' électrifiés_1</v>
      </c>
      <c r="B300" s="786" t="s">
        <v>686</v>
      </c>
      <c r="C300" s="383"/>
      <c r="D300" s="787" t="e">
        <f ca="1">C300*Mesures_conversion!D9</f>
        <v>#REF!</v>
      </c>
      <c r="E300" s="132" t="e">
        <f ca="1">IF($C$297=0,0,D300/$C$297)</f>
        <v>#REF!</v>
      </c>
      <c r="F300" s="55">
        <v>1</v>
      </c>
      <c r="G300" s="2061"/>
      <c r="I300" s="2061"/>
    </row>
    <row r="301" spans="1:9">
      <c r="A301" s="843" t="str">
        <f t="shared" ref="A301:A302" si="23">ROUND(C$295*100,0)&amp;"% "&amp;D$295&amp;"_"&amp;F301</f>
        <v>0% de la consommation de 'Chauffage des bâtiments communaux' électrifiés_2</v>
      </c>
      <c r="B301" s="382"/>
      <c r="C301" s="383"/>
      <c r="D301" s="644"/>
      <c r="E301" s="132" t="e">
        <f t="shared" ref="E301:E303" ca="1" si="24">IF($C$297=0,0,D301/$C$297)</f>
        <v>#REF!</v>
      </c>
      <c r="F301" s="55">
        <v>2</v>
      </c>
      <c r="G301" s="2061"/>
      <c r="I301" s="2061"/>
    </row>
    <row r="302" spans="1:9">
      <c r="A302" s="843" t="str">
        <f t="shared" si="23"/>
        <v>0% de la consommation de 'Chauffage des bâtiments communaux' électrifiés_3</v>
      </c>
      <c r="B302" s="382"/>
      <c r="C302" s="383"/>
      <c r="D302" s="644"/>
      <c r="E302" s="132" t="e">
        <f t="shared" ca="1" si="24"/>
        <v>#REF!</v>
      </c>
      <c r="F302" s="55">
        <v>3</v>
      </c>
      <c r="G302" s="2061"/>
      <c r="I302" s="2061"/>
    </row>
    <row r="303" spans="1:9">
      <c r="B303" s="2062" t="s">
        <v>107</v>
      </c>
      <c r="C303" s="2063"/>
      <c r="D303" s="788" t="e">
        <f ca="1">SUM(D300:D302)</f>
        <v>#REF!</v>
      </c>
      <c r="E303" s="783" t="e">
        <f t="shared" ca="1" si="24"/>
        <v>#REF!</v>
      </c>
      <c r="G303" s="2061"/>
      <c r="I303" s="2061"/>
    </row>
    <row r="305" spans="1:9">
      <c r="B305" s="214" t="s">
        <v>671</v>
      </c>
      <c r="C305" s="619">
        <f>Objectifs!C25</f>
        <v>0</v>
      </c>
      <c r="D305" t="str">
        <f>"de la consommation de '"&amp;C306&amp;"' électrifiés"</f>
        <v>de la consommation de 'Véhicules communaux' électrifiés</v>
      </c>
      <c r="I305" s="2061"/>
    </row>
    <row r="306" spans="1:9">
      <c r="B306" s="214" t="s">
        <v>673</v>
      </c>
      <c r="C306" t="str">
        <f>Objectifs!B25</f>
        <v>Véhicules communaux</v>
      </c>
      <c r="I306" s="2061"/>
    </row>
    <row r="307" spans="1:9">
      <c r="B307" s="214" t="s">
        <v>684</v>
      </c>
      <c r="C307" s="215" t="e">
        <f ca="1">Objectifs!E25</f>
        <v>#REF!</v>
      </c>
      <c r="I307" s="2061"/>
    </row>
    <row r="308" spans="1:9">
      <c r="I308" s="2061"/>
    </row>
    <row r="309" spans="1:9" ht="28.8">
      <c r="B309" s="216" t="s">
        <v>676</v>
      </c>
      <c r="C309" s="217" t="s">
        <v>677</v>
      </c>
      <c r="D309" s="218" t="s">
        <v>685</v>
      </c>
      <c r="E309" s="218" t="s">
        <v>678</v>
      </c>
      <c r="I309" s="2061"/>
    </row>
    <row r="310" spans="1:9">
      <c r="A310" s="843" t="str">
        <f>ROUND(C$305*100,0)&amp;"% "&amp;D$305&amp;"_"&amp;F310</f>
        <v>0% de la consommation de 'Véhicules communaux' électrifiés_1</v>
      </c>
      <c r="B310" s="786" t="s">
        <v>687</v>
      </c>
      <c r="C310" s="383"/>
      <c r="D310" s="787" t="e">
        <f ca="1">C310*Mesures_conversion!D8</f>
        <v>#REF!</v>
      </c>
      <c r="E310" s="132" t="e">
        <f ca="1">IF($C$307=0,0,D310/$C$307)</f>
        <v>#REF!</v>
      </c>
      <c r="F310" s="55">
        <v>1</v>
      </c>
      <c r="I310" s="2061"/>
    </row>
    <row r="311" spans="1:9">
      <c r="A311" s="843" t="str">
        <f t="shared" ref="A311:A312" si="25">ROUND(C$305*100,0)&amp;"% "&amp;D$305&amp;"_"&amp;F311</f>
        <v>0% de la consommation de 'Véhicules communaux' électrifiés_2</v>
      </c>
      <c r="B311" s="382"/>
      <c r="C311" s="383"/>
      <c r="D311" s="644"/>
      <c r="E311" s="132" t="e">
        <f t="shared" ref="E311:E313" ca="1" si="26">IF($C$307=0,0,D311/$C$307)</f>
        <v>#REF!</v>
      </c>
      <c r="F311" s="55">
        <v>2</v>
      </c>
      <c r="I311" s="2061"/>
    </row>
    <row r="312" spans="1:9">
      <c r="A312" s="843" t="str">
        <f t="shared" si="25"/>
        <v>0% de la consommation de 'Véhicules communaux' électrifiés_3</v>
      </c>
      <c r="B312" s="382"/>
      <c r="C312" s="383"/>
      <c r="D312" s="644"/>
      <c r="E312" s="132" t="e">
        <f t="shared" ca="1" si="26"/>
        <v>#REF!</v>
      </c>
      <c r="F312" s="55">
        <v>3</v>
      </c>
      <c r="I312" s="2061"/>
    </row>
    <row r="313" spans="1:9">
      <c r="B313" s="2062" t="s">
        <v>107</v>
      </c>
      <c r="C313" s="2063"/>
      <c r="D313" s="788" t="e">
        <f ca="1">SUM(D310:D312)</f>
        <v>#REF!</v>
      </c>
      <c r="E313" s="784" t="e">
        <f t="shared" ca="1" si="26"/>
        <v>#REF!</v>
      </c>
      <c r="I313" s="2061"/>
    </row>
    <row r="315" spans="1:9">
      <c r="B315" s="214" t="s">
        <v>671</v>
      </c>
      <c r="C315" s="619">
        <f>Objectifs!C26</f>
        <v>0</v>
      </c>
      <c r="D315" t="str">
        <f>"de la consommation de '"&amp;C316&amp;"' électrifiés"</f>
        <v>de la consommation de 'Processus industriels' électrifiés</v>
      </c>
      <c r="I315" s="2061"/>
    </row>
    <row r="316" spans="1:9">
      <c r="B316" s="214" t="s">
        <v>673</v>
      </c>
      <c r="C316" t="str">
        <f>Objectifs!B26</f>
        <v>Processus industriels</v>
      </c>
      <c r="I316" s="2061"/>
    </row>
    <row r="317" spans="1:9">
      <c r="B317" s="214" t="s">
        <v>684</v>
      </c>
      <c r="C317" s="215" t="e">
        <f ca="1">Objectifs!E26</f>
        <v>#REF!</v>
      </c>
      <c r="I317" s="2061"/>
    </row>
    <row r="318" spans="1:9">
      <c r="I318" s="2061"/>
    </row>
    <row r="319" spans="1:9" ht="28.8">
      <c r="B319" s="216" t="s">
        <v>676</v>
      </c>
      <c r="C319" s="217" t="s">
        <v>677</v>
      </c>
      <c r="D319" s="218" t="s">
        <v>685</v>
      </c>
      <c r="E319" s="218" t="s">
        <v>678</v>
      </c>
      <c r="I319" s="2061"/>
    </row>
    <row r="320" spans="1:9">
      <c r="A320" s="843" t="str">
        <f>ROUND(C$315*100,0)&amp;"% "&amp;D$315&amp;"_"&amp;F320</f>
        <v>0% de la consommation de 'Processus industriels' électrifiés_1</v>
      </c>
      <c r="B320" s="382"/>
      <c r="C320" s="383"/>
      <c r="D320" s="644"/>
      <c r="E320" s="132" t="e">
        <f ca="1">IF($C$307=0,0,D320/$C$307)</f>
        <v>#REF!</v>
      </c>
      <c r="F320" s="55">
        <v>1</v>
      </c>
      <c r="I320" s="2061"/>
    </row>
    <row r="321" spans="1:12">
      <c r="A321" s="843" t="str">
        <f t="shared" ref="A321:A322" si="27">ROUND(C$315*100,0)&amp;"% "&amp;D$315&amp;"_"&amp;F321</f>
        <v>0% de la consommation de 'Processus industriels' électrifiés_2</v>
      </c>
      <c r="B321" s="382"/>
      <c r="C321" s="383"/>
      <c r="D321" s="644"/>
      <c r="E321" s="132" t="e">
        <f t="shared" ref="E321:E323" ca="1" si="28">IF($C$307=0,0,D321/$C$307)</f>
        <v>#REF!</v>
      </c>
      <c r="F321" s="55">
        <v>2</v>
      </c>
      <c r="I321" s="2061"/>
    </row>
    <row r="322" spans="1:12">
      <c r="A322" s="843" t="str">
        <f t="shared" si="27"/>
        <v>0% de la consommation de 'Processus industriels' électrifiés_3</v>
      </c>
      <c r="B322" s="382"/>
      <c r="C322" s="383"/>
      <c r="D322" s="644"/>
      <c r="E322" s="132" t="e">
        <f t="shared" ca="1" si="28"/>
        <v>#REF!</v>
      </c>
      <c r="F322" s="55">
        <v>3</v>
      </c>
      <c r="I322" s="2061"/>
    </row>
    <row r="323" spans="1:12">
      <c r="B323" s="2062" t="s">
        <v>107</v>
      </c>
      <c r="C323" s="2063"/>
      <c r="D323" s="788">
        <f>SUM(D320:D322)</f>
        <v>0</v>
      </c>
      <c r="E323" s="784" t="e">
        <f t="shared" ca="1" si="28"/>
        <v>#REF!</v>
      </c>
      <c r="I323" s="2061"/>
    </row>
    <row r="325" spans="1:12">
      <c r="B325" s="214" t="s">
        <v>671</v>
      </c>
      <c r="C325" s="619">
        <f>Objectifs!C27</f>
        <v>0</v>
      </c>
      <c r="D325" t="str">
        <f>"de la consommation de '"&amp;C326&amp;"' électrifiés"</f>
        <v>de la consommation de 'Chauffage des bâtiments du tertiaire' électrifiés</v>
      </c>
      <c r="I325" s="2061"/>
    </row>
    <row r="326" spans="1:12">
      <c r="B326" s="214" t="s">
        <v>673</v>
      </c>
      <c r="C326" t="str">
        <f>Objectifs!B27</f>
        <v>Chauffage des bâtiments du tertiaire</v>
      </c>
      <c r="I326" s="2061"/>
    </row>
    <row r="327" spans="1:12">
      <c r="B327" s="214" t="s">
        <v>684</v>
      </c>
      <c r="C327" s="215" t="e">
        <f ca="1">Objectifs!E27</f>
        <v>#REF!</v>
      </c>
      <c r="I327" s="2061"/>
    </row>
    <row r="328" spans="1:12">
      <c r="I328" s="2061"/>
    </row>
    <row r="329" spans="1:12" ht="28.8">
      <c r="B329" s="216" t="s">
        <v>676</v>
      </c>
      <c r="C329" s="217" t="s">
        <v>677</v>
      </c>
      <c r="D329" s="218" t="s">
        <v>685</v>
      </c>
      <c r="E329" s="218" t="s">
        <v>678</v>
      </c>
      <c r="I329" s="2061"/>
    </row>
    <row r="330" spans="1:12">
      <c r="A330" s="843" t="str">
        <f>ROUND(C$325*100,0)&amp;"% "&amp;D$325&amp;"_"&amp;F330</f>
        <v>0% de la consommation de 'Chauffage des bâtiments du tertiaire' électrifiés_1</v>
      </c>
      <c r="B330" s="786" t="s">
        <v>668</v>
      </c>
      <c r="C330" s="383"/>
      <c r="D330" s="787">
        <f>C330*Mesures_conversion!D7</f>
        <v>0</v>
      </c>
      <c r="E330" s="132" t="e">
        <f ca="1">IF($C$327=0,0,D330/$C$327)</f>
        <v>#REF!</v>
      </c>
      <c r="F330" s="55">
        <v>1</v>
      </c>
      <c r="I330" s="2061"/>
    </row>
    <row r="331" spans="1:12">
      <c r="A331" s="843" t="str">
        <f t="shared" ref="A331:A332" si="29">ROUND(C$325*100,0)&amp;"% "&amp;D$325&amp;"_"&amp;F331</f>
        <v>0% de la consommation de 'Chauffage des bâtiments du tertiaire' électrifiés_2</v>
      </c>
      <c r="B331" s="382"/>
      <c r="C331" s="383"/>
      <c r="D331" s="644"/>
      <c r="E331" s="132" t="e">
        <f t="shared" ref="E331:E332" ca="1" si="30">IF($C$327=0,0,D331/$C$327)</f>
        <v>#REF!</v>
      </c>
      <c r="F331" s="55">
        <v>2</v>
      </c>
      <c r="I331" s="2061"/>
    </row>
    <row r="332" spans="1:12">
      <c r="A332" s="843" t="str">
        <f t="shared" si="29"/>
        <v>0% de la consommation de 'Chauffage des bâtiments du tertiaire' électrifiés_3</v>
      </c>
      <c r="B332" s="382"/>
      <c r="C332" s="383"/>
      <c r="D332" s="644"/>
      <c r="E332" s="132" t="e">
        <f t="shared" ca="1" si="30"/>
        <v>#REF!</v>
      </c>
      <c r="F332" s="55">
        <v>3</v>
      </c>
      <c r="I332" s="2061"/>
    </row>
    <row r="333" spans="1:12">
      <c r="B333" s="2062" t="s">
        <v>107</v>
      </c>
      <c r="C333" s="2063"/>
      <c r="D333" s="788">
        <f>SUM(D330:D332)</f>
        <v>0</v>
      </c>
      <c r="E333" s="784" t="e">
        <f ca="1">IF($C$327=0,0,D333/$C$327)</f>
        <v>#REF!</v>
      </c>
      <c r="I333" s="2061"/>
    </row>
    <row r="334" spans="1:12">
      <c r="I334" s="2061"/>
    </row>
    <row r="335" spans="1:12">
      <c r="B335" s="214" t="s">
        <v>671</v>
      </c>
      <c r="C335" s="619">
        <f>Objectifs!C28</f>
        <v>0</v>
      </c>
      <c r="D335" t="str">
        <f>"de la consommation de '"&amp;C336&amp;"' électrifiés"</f>
        <v>de la consommation de 'Chauffage des logements' électrifiés</v>
      </c>
      <c r="L335" s="2061"/>
    </row>
    <row r="336" spans="1:12">
      <c r="B336" s="214" t="s">
        <v>673</v>
      </c>
      <c r="C336" t="str">
        <f>Objectifs!B28</f>
        <v>Chauffage des logements</v>
      </c>
      <c r="L336" s="2061"/>
    </row>
    <row r="337" spans="1:12">
      <c r="B337" s="214" t="s">
        <v>684</v>
      </c>
      <c r="C337" s="215" t="e">
        <f ca="1">Objectifs!E28</f>
        <v>#REF!</v>
      </c>
      <c r="G337" s="373" t="s">
        <v>680</v>
      </c>
      <c r="J337">
        <v>2006</v>
      </c>
      <c r="K337">
        <f>Accueil!E29</f>
        <v>0</v>
      </c>
      <c r="L337" s="2061"/>
    </row>
    <row r="338" spans="1:12">
      <c r="G338" s="221" t="str">
        <f>"Nombre de logements (Source: CAPRU) :"</f>
        <v>Nombre de logements (Source: CAPRU) :</v>
      </c>
      <c r="H338" s="221"/>
      <c r="J338" s="620" t="e">
        <f>H133</f>
        <v>#N/A</v>
      </c>
      <c r="K338" s="620" t="e">
        <f>I133</f>
        <v>#N/A</v>
      </c>
      <c r="L338" s="2061"/>
    </row>
    <row r="339" spans="1:12" ht="28.8">
      <c r="B339" s="216" t="s">
        <v>676</v>
      </c>
      <c r="C339" s="217" t="s">
        <v>677</v>
      </c>
      <c r="D339" s="218" t="s">
        <v>685</v>
      </c>
      <c r="E339" s="218" t="s">
        <v>678</v>
      </c>
      <c r="L339" s="2061"/>
    </row>
    <row r="340" spans="1:12">
      <c r="A340" s="843" t="str">
        <f>ROUND(C$335*100,0)&amp;"% "&amp;D$335&amp;"_"&amp;F340</f>
        <v>0% de la consommation de 'Chauffage des logements' électrifiés_1</v>
      </c>
      <c r="B340" s="786" t="s">
        <v>634</v>
      </c>
      <c r="C340" s="383"/>
      <c r="D340" s="787">
        <f>C340*Mesures_conversion!D3</f>
        <v>0</v>
      </c>
      <c r="E340" s="132" t="e">
        <f ca="1">IF($C$337=0,0,D340/$C$337)</f>
        <v>#REF!</v>
      </c>
      <c r="F340" s="55">
        <v>1</v>
      </c>
      <c r="L340" s="2061"/>
    </row>
    <row r="341" spans="1:12">
      <c r="A341" s="843" t="str">
        <f t="shared" ref="A341:A342" si="31">ROUND(C$335*100,0)&amp;"% "&amp;D$335&amp;"_"&amp;F341</f>
        <v>0% de la consommation de 'Chauffage des logements' électrifiés_2</v>
      </c>
      <c r="B341" s="382"/>
      <c r="C341" s="383"/>
      <c r="D341" s="644"/>
      <c r="E341" s="132" t="e">
        <f t="shared" ref="E341:E343" ca="1" si="32">IF($C$337=0,0,D341/$C$337)</f>
        <v>#REF!</v>
      </c>
      <c r="F341" s="55">
        <v>2</v>
      </c>
      <c r="L341" s="2061"/>
    </row>
    <row r="342" spans="1:12">
      <c r="A342" s="843" t="str">
        <f t="shared" si="31"/>
        <v>0% de la consommation de 'Chauffage des logements' électrifiés_3</v>
      </c>
      <c r="B342" s="382"/>
      <c r="C342" s="383"/>
      <c r="D342" s="644"/>
      <c r="E342" s="132" t="e">
        <f t="shared" ca="1" si="32"/>
        <v>#REF!</v>
      </c>
      <c r="F342" s="55">
        <v>3</v>
      </c>
      <c r="L342" s="2061"/>
    </row>
    <row r="343" spans="1:12">
      <c r="B343" s="2062" t="s">
        <v>107</v>
      </c>
      <c r="C343" s="2063"/>
      <c r="D343" s="788">
        <f>SUM(D340:D342)</f>
        <v>0</v>
      </c>
      <c r="E343" s="784" t="e">
        <f t="shared" ca="1" si="32"/>
        <v>#REF!</v>
      </c>
      <c r="L343" s="2061"/>
    </row>
    <row r="345" spans="1:12">
      <c r="B345" s="214" t="s">
        <v>671</v>
      </c>
      <c r="C345" s="619">
        <f>Objectifs!C29</f>
        <v>0</v>
      </c>
      <c r="D345" t="str">
        <f>"de la consommation de '"&amp;C346&amp;"' électrifiés"</f>
        <v>de la consommation de 'Transport hors AC' électrifiés</v>
      </c>
      <c r="L345" s="2061"/>
    </row>
    <row r="346" spans="1:12">
      <c r="B346" s="214" t="s">
        <v>673</v>
      </c>
      <c r="C346" t="str">
        <f>Objectifs!B29</f>
        <v>Transport hors AC</v>
      </c>
      <c r="L346" s="2061"/>
    </row>
    <row r="347" spans="1:12">
      <c r="B347" s="214" t="s">
        <v>684</v>
      </c>
      <c r="C347" s="215" t="e">
        <f ca="1">Objectifs!E29</f>
        <v>#REF!</v>
      </c>
      <c r="L347" s="2061"/>
    </row>
    <row r="348" spans="1:12">
      <c r="G348" s="373" t="s">
        <v>680</v>
      </c>
      <c r="J348">
        <v>2006</v>
      </c>
      <c r="K348">
        <f>I189</f>
        <v>0</v>
      </c>
      <c r="L348" s="2061"/>
    </row>
    <row r="349" spans="1:12" ht="28.8">
      <c r="B349" s="216" t="s">
        <v>676</v>
      </c>
      <c r="C349" s="217" t="s">
        <v>677</v>
      </c>
      <c r="D349" s="218" t="s">
        <v>685</v>
      </c>
      <c r="E349" s="218" t="s">
        <v>678</v>
      </c>
      <c r="G349" s="221" t="str">
        <f>"Nombre de voitures (Source: SPF Economie - Statbel) :"</f>
        <v>Nombre de voitures (Source: SPF Economie - Statbel) :</v>
      </c>
      <c r="H349" s="221"/>
      <c r="J349" s="620" t="e">
        <f>H190</f>
        <v>#N/A</v>
      </c>
      <c r="K349" s="620" t="e">
        <f>I190</f>
        <v>#N/A</v>
      </c>
      <c r="L349" s="2061"/>
    </row>
    <row r="350" spans="1:12">
      <c r="A350" s="843" t="str">
        <f>ROUND(C$345*100,0)&amp;"% "&amp;D$345&amp;"_"&amp;F350</f>
        <v>0% de la consommation de 'Transport hors AC' électrifiés_1</v>
      </c>
      <c r="B350" s="786" t="s">
        <v>688</v>
      </c>
      <c r="C350" s="383"/>
      <c r="D350" s="789">
        <f>C350*Mesures_conversion!D6</f>
        <v>0</v>
      </c>
      <c r="E350" s="132" t="e">
        <f ca="1">IF($C$347=0,0,D350/$C$347)</f>
        <v>#REF!</v>
      </c>
      <c r="F350" s="55">
        <v>1</v>
      </c>
      <c r="L350" s="2061"/>
    </row>
    <row r="351" spans="1:12">
      <c r="A351" s="843" t="str">
        <f t="shared" ref="A351:A352" si="33">ROUND(C$345*100,0)&amp;"% "&amp;D$345&amp;"_"&amp;F351</f>
        <v>0% de la consommation de 'Transport hors AC' électrifiés_2</v>
      </c>
      <c r="B351" s="382"/>
      <c r="C351" s="383"/>
      <c r="D351" s="790"/>
      <c r="E351" s="132" t="e">
        <f t="shared" ref="E351:E353" ca="1" si="34">IF($C$347=0,0,D351/$C$347)</f>
        <v>#REF!</v>
      </c>
      <c r="F351" s="55">
        <v>2</v>
      </c>
      <c r="L351" s="2061"/>
    </row>
    <row r="352" spans="1:12">
      <c r="A352" s="843" t="str">
        <f t="shared" si="33"/>
        <v>0% de la consommation de 'Transport hors AC' électrifiés_3</v>
      </c>
      <c r="B352" s="382"/>
      <c r="C352" s="383"/>
      <c r="D352" s="790"/>
      <c r="E352" s="132" t="e">
        <f t="shared" ca="1" si="34"/>
        <v>#REF!</v>
      </c>
      <c r="F352" s="55">
        <v>3</v>
      </c>
      <c r="L352" s="2061"/>
    </row>
    <row r="353" spans="1:12">
      <c r="B353" s="2062" t="s">
        <v>107</v>
      </c>
      <c r="C353" s="2063"/>
      <c r="D353" s="791">
        <f>SUM(D350:D352)</f>
        <v>0</v>
      </c>
      <c r="E353" s="784" t="e">
        <f t="shared" ca="1" si="34"/>
        <v>#REF!</v>
      </c>
      <c r="L353" s="2061"/>
    </row>
    <row r="355" spans="1:12">
      <c r="B355" s="214" t="s">
        <v>671</v>
      </c>
      <c r="C355" s="619">
        <f>Objectifs!C31</f>
        <v>0</v>
      </c>
      <c r="D355" t="str">
        <f>"de la consommation de '"&amp;C356&amp;"' convertis au bois"</f>
        <v>de la consommation de 'Chauffage des bâtiments communaux' convertis au bois</v>
      </c>
      <c r="K355" s="2061"/>
    </row>
    <row r="356" spans="1:12">
      <c r="B356" s="214" t="s">
        <v>673</v>
      </c>
      <c r="C356" t="str">
        <f>Objectifs!B31</f>
        <v>Chauffage des bâtiments communaux</v>
      </c>
      <c r="K356" s="2061"/>
    </row>
    <row r="357" spans="1:12">
      <c r="B357" s="214" t="s">
        <v>684</v>
      </c>
      <c r="C357" s="215" t="e">
        <f ca="1">Objectifs!E31</f>
        <v>#REF!</v>
      </c>
      <c r="K357" s="2061"/>
    </row>
    <row r="358" spans="1:12">
      <c r="K358" s="2061"/>
    </row>
    <row r="359" spans="1:12" ht="28.8">
      <c r="B359" s="216" t="s">
        <v>676</v>
      </c>
      <c r="C359" s="217" t="s">
        <v>677</v>
      </c>
      <c r="D359" s="218" t="s">
        <v>685</v>
      </c>
      <c r="E359" s="218" t="s">
        <v>678</v>
      </c>
      <c r="K359" s="2061"/>
    </row>
    <row r="360" spans="1:12">
      <c r="A360" s="843" t="str">
        <f>ROUND(C$355*100,0)&amp;"% "&amp;D$355&amp;"_"&amp;F360</f>
        <v>0% de la consommation de 'Chauffage des bâtiments communaux' convertis au bois_1</v>
      </c>
      <c r="B360" s="786" t="s">
        <v>689</v>
      </c>
      <c r="C360" s="383"/>
      <c r="D360" s="787" t="e">
        <f ca="1">C360*SUM('Bilan territorial'!AG13:AH13)/100</f>
        <v>#REF!</v>
      </c>
      <c r="E360" s="132" t="e">
        <f ca="1">IF($C$357=0,0,D360/$C$357)</f>
        <v>#REF!</v>
      </c>
      <c r="F360" s="55">
        <v>1</v>
      </c>
      <c r="K360" s="2061"/>
    </row>
    <row r="361" spans="1:12">
      <c r="A361" s="843" t="str">
        <f t="shared" ref="A361:A362" si="35">ROUND(C$355*100,0)&amp;"% "&amp;D$355&amp;"_"&amp;F361</f>
        <v>0% de la consommation de 'Chauffage des bâtiments communaux' convertis au bois_2</v>
      </c>
      <c r="B361" s="382"/>
      <c r="C361" s="383"/>
      <c r="D361" s="644"/>
      <c r="E361" s="132" t="e">
        <f t="shared" ref="E361:E363" ca="1" si="36">IF($C$357=0,0,D361/$C$357)</f>
        <v>#REF!</v>
      </c>
      <c r="F361" s="55">
        <v>2</v>
      </c>
      <c r="K361" s="2061"/>
    </row>
    <row r="362" spans="1:12">
      <c r="A362" s="843" t="str">
        <f t="shared" si="35"/>
        <v>0% de la consommation de 'Chauffage des bâtiments communaux' convertis au bois_3</v>
      </c>
      <c r="B362" s="382"/>
      <c r="C362" s="383"/>
      <c r="D362" s="644"/>
      <c r="E362" s="132" t="e">
        <f t="shared" ca="1" si="36"/>
        <v>#REF!</v>
      </c>
      <c r="F362" s="55">
        <v>3</v>
      </c>
      <c r="K362" s="2061"/>
    </row>
    <row r="363" spans="1:12">
      <c r="B363" s="2062" t="s">
        <v>107</v>
      </c>
      <c r="C363" s="2063"/>
      <c r="D363" s="788" t="e">
        <f ca="1">SUM(D360:D362)</f>
        <v>#REF!</v>
      </c>
      <c r="E363" s="784" t="e">
        <f t="shared" ca="1" si="36"/>
        <v>#REF!</v>
      </c>
      <c r="K363" s="2061"/>
    </row>
    <row r="365" spans="1:12">
      <c r="B365" s="214" t="s">
        <v>671</v>
      </c>
      <c r="C365" s="619">
        <f>Objectifs!C32</f>
        <v>0</v>
      </c>
      <c r="D365" t="str">
        <f>"de la consommation de '"&amp;C366&amp;"' convertis au bois"</f>
        <v>de la consommation de 'Chauffage des bâtiments du tertiaire' convertis au bois</v>
      </c>
      <c r="K365" s="2061"/>
    </row>
    <row r="366" spans="1:12">
      <c r="B366" s="214" t="s">
        <v>673</v>
      </c>
      <c r="C366" t="str">
        <f>Objectifs!B32</f>
        <v>Chauffage des bâtiments du tertiaire</v>
      </c>
      <c r="K366" s="2061"/>
    </row>
    <row r="367" spans="1:12">
      <c r="B367" s="214" t="s">
        <v>684</v>
      </c>
      <c r="C367" s="215" t="e">
        <f ca="1">Objectifs!E32</f>
        <v>#REF!</v>
      </c>
      <c r="K367" s="2061"/>
    </row>
    <row r="368" spans="1:12">
      <c r="K368" s="2061"/>
    </row>
    <row r="369" spans="1:11" ht="28.8">
      <c r="B369" s="216" t="s">
        <v>676</v>
      </c>
      <c r="C369" s="217" t="s">
        <v>677</v>
      </c>
      <c r="D369" s="218" t="s">
        <v>685</v>
      </c>
      <c r="E369" s="218" t="s">
        <v>678</v>
      </c>
      <c r="K369" s="2061"/>
    </row>
    <row r="370" spans="1:11">
      <c r="A370" s="843" t="str">
        <f>ROUND(C$365*100,0)&amp;"% "&amp;D$365&amp;"_"&amp;F370</f>
        <v>0% de la consommation de 'Chauffage des bâtiments du tertiaire' convertis au bois_1</v>
      </c>
      <c r="B370" s="786" t="s">
        <v>690</v>
      </c>
      <c r="C370" s="383"/>
      <c r="D370" s="787" t="e">
        <f ca="1">C370*SUM('Bilan territorial'!AG14:AH14)/100</f>
        <v>#REF!</v>
      </c>
      <c r="E370" s="132" t="e">
        <f ca="1">IF($C$367=0,0,D370/$C$367)</f>
        <v>#REF!</v>
      </c>
      <c r="F370" s="55">
        <v>1</v>
      </c>
      <c r="K370" s="2061"/>
    </row>
    <row r="371" spans="1:11">
      <c r="A371" s="843" t="str">
        <f t="shared" ref="A371:A372" si="37">ROUND(C$365*100,0)&amp;"% "&amp;D$365&amp;"_"&amp;F371</f>
        <v>0% de la consommation de 'Chauffage des bâtiments du tertiaire' convertis au bois_2</v>
      </c>
      <c r="B371" s="382"/>
      <c r="C371" s="383"/>
      <c r="D371" s="644"/>
      <c r="E371" s="132" t="e">
        <f t="shared" ref="E371:E373" ca="1" si="38">IF($C$367=0,0,D371/$C$367)</f>
        <v>#REF!</v>
      </c>
      <c r="F371" s="55">
        <v>2</v>
      </c>
      <c r="K371" s="2061"/>
    </row>
    <row r="372" spans="1:11">
      <c r="A372" s="843" t="str">
        <f t="shared" si="37"/>
        <v>0% de la consommation de 'Chauffage des bâtiments du tertiaire' convertis au bois_3</v>
      </c>
      <c r="B372" s="382"/>
      <c r="C372" s="383"/>
      <c r="D372" s="644"/>
      <c r="E372" s="132" t="e">
        <f t="shared" ca="1" si="38"/>
        <v>#REF!</v>
      </c>
      <c r="F372" s="55">
        <v>3</v>
      </c>
      <c r="K372" s="2061"/>
    </row>
    <row r="373" spans="1:11">
      <c r="B373" s="2062" t="s">
        <v>107</v>
      </c>
      <c r="C373" s="2063"/>
      <c r="D373" s="788" t="e">
        <f ca="1">SUM(D370:D372)</f>
        <v>#REF!</v>
      </c>
      <c r="E373" s="784" t="e">
        <f t="shared" ca="1" si="38"/>
        <v>#REF!</v>
      </c>
      <c r="K373" s="2061"/>
    </row>
    <row r="375" spans="1:11">
      <c r="B375" s="214" t="s">
        <v>671</v>
      </c>
      <c r="C375" s="792">
        <f>Objectifs!C33</f>
        <v>0</v>
      </c>
      <c r="D375" t="str">
        <f>"de la consommation de '"&amp;C376&amp;"' convertis au bois"</f>
        <v>de la consommation de 'Chauffage des logements' convertis au bois</v>
      </c>
      <c r="K375" s="2061"/>
    </row>
    <row r="376" spans="1:11">
      <c r="B376" s="214" t="s">
        <v>673</v>
      </c>
      <c r="C376" t="str">
        <f>Objectifs!B33</f>
        <v>Chauffage des logements</v>
      </c>
      <c r="K376" s="2061"/>
    </row>
    <row r="377" spans="1:11">
      <c r="B377" s="214" t="s">
        <v>684</v>
      </c>
      <c r="C377" s="215" t="e">
        <f ca="1">Objectifs!E33</f>
        <v>#REF!</v>
      </c>
      <c r="F377" s="373" t="s">
        <v>680</v>
      </c>
      <c r="I377">
        <f>J337</f>
        <v>2006</v>
      </c>
      <c r="J377">
        <f t="shared" ref="J377:J378" si="39">K337</f>
        <v>0</v>
      </c>
      <c r="K377" s="2061"/>
    </row>
    <row r="378" spans="1:11">
      <c r="F378" s="221" t="str">
        <f>"Nombre de logements (Source: CAPRU) :"</f>
        <v>Nombre de logements (Source: CAPRU) :</v>
      </c>
      <c r="G378" s="221"/>
      <c r="I378" s="620" t="e">
        <f t="shared" ref="I378" si="40">J338</f>
        <v>#N/A</v>
      </c>
      <c r="J378" s="620" t="e">
        <f t="shared" si="39"/>
        <v>#N/A</v>
      </c>
      <c r="K378" s="2061"/>
    </row>
    <row r="379" spans="1:11" ht="28.8">
      <c r="B379" s="216" t="s">
        <v>676</v>
      </c>
      <c r="C379" s="217" t="s">
        <v>677</v>
      </c>
      <c r="D379" s="218" t="s">
        <v>685</v>
      </c>
      <c r="E379" s="218" t="s">
        <v>678</v>
      </c>
      <c r="K379" s="2061"/>
    </row>
    <row r="380" spans="1:11">
      <c r="A380" s="843" t="str">
        <f>ROUND(C$375*100,0)&amp;"% "&amp;D$375&amp;"_"&amp;F380</f>
        <v>0% de la consommation de 'Chauffage des logements' convertis au bois_1</v>
      </c>
      <c r="B380" s="786" t="s">
        <v>691</v>
      </c>
      <c r="C380" s="833"/>
      <c r="D380" s="787" t="e">
        <f ca="1">C380/J378*SUM('Bilan territorial'!AG15:AH15)</f>
        <v>#N/A</v>
      </c>
      <c r="E380" s="132" t="e">
        <f ca="1">IF($C$377=0,0,D380/$C$377)</f>
        <v>#REF!</v>
      </c>
      <c r="F380" s="55">
        <v>1</v>
      </c>
      <c r="K380" s="2061"/>
    </row>
    <row r="381" spans="1:11">
      <c r="A381" s="843" t="str">
        <f t="shared" ref="A381:A382" si="41">ROUND(C$375*100,0)&amp;"% "&amp;D$375&amp;"_"&amp;F381</f>
        <v>0% de la consommation de 'Chauffage des logements' convertis au bois_2</v>
      </c>
      <c r="B381" s="382"/>
      <c r="C381" s="383"/>
      <c r="D381" s="644"/>
      <c r="E381" s="132" t="e">
        <f t="shared" ref="E381:E383" ca="1" si="42">IF($C$377=0,0,D381/$C$377)</f>
        <v>#REF!</v>
      </c>
      <c r="F381" s="55">
        <v>2</v>
      </c>
      <c r="K381" s="2061"/>
    </row>
    <row r="382" spans="1:11">
      <c r="A382" s="843" t="str">
        <f t="shared" si="41"/>
        <v>0% de la consommation de 'Chauffage des logements' convertis au bois_3</v>
      </c>
      <c r="B382" s="382"/>
      <c r="C382" s="383"/>
      <c r="D382" s="644"/>
      <c r="E382" s="132" t="e">
        <f t="shared" ca="1" si="42"/>
        <v>#REF!</v>
      </c>
      <c r="F382" s="55">
        <v>3</v>
      </c>
      <c r="K382" s="2061"/>
    </row>
    <row r="383" spans="1:11">
      <c r="B383" s="2062" t="s">
        <v>107</v>
      </c>
      <c r="C383" s="2063"/>
      <c r="D383" s="788" t="e">
        <f ca="1">SUM(D380:D382)</f>
        <v>#N/A</v>
      </c>
      <c r="E383" s="784" t="e">
        <f t="shared" ca="1" si="42"/>
        <v>#REF!</v>
      </c>
      <c r="K383" s="2061"/>
    </row>
    <row r="385" spans="1:11">
      <c r="B385" s="214" t="s">
        <v>671</v>
      </c>
      <c r="C385" s="619">
        <f>Objectifs!C35</f>
        <v>0</v>
      </c>
      <c r="D385" t="str">
        <f>"de la consommation de '"&amp;C386&amp;"' remplacée par une consommation de chaleur fatale"</f>
        <v>de la consommation de 'Chauffage des bâtiments communaux' remplacée par une consommation de chaleur fatale</v>
      </c>
      <c r="K385" s="2061"/>
    </row>
    <row r="386" spans="1:11">
      <c r="B386" s="214" t="s">
        <v>673</v>
      </c>
      <c r="C386" t="str">
        <f>Objectifs!B35</f>
        <v>Chauffage des bâtiments communaux</v>
      </c>
      <c r="K386" s="2061"/>
    </row>
    <row r="387" spans="1:11">
      <c r="B387" s="214" t="s">
        <v>684</v>
      </c>
      <c r="C387" s="215" t="e">
        <f ca="1">Objectifs!E35</f>
        <v>#REF!</v>
      </c>
      <c r="K387" s="2061"/>
    </row>
    <row r="388" spans="1:11">
      <c r="K388" s="2061"/>
    </row>
    <row r="389" spans="1:11" ht="28.8">
      <c r="B389" s="216" t="s">
        <v>676</v>
      </c>
      <c r="C389" s="217" t="s">
        <v>677</v>
      </c>
      <c r="D389" s="218" t="s">
        <v>685</v>
      </c>
      <c r="E389" s="218" t="s">
        <v>678</v>
      </c>
      <c r="K389" s="2061"/>
    </row>
    <row r="390" spans="1:11" ht="28.8">
      <c r="A390" s="843" t="str">
        <f>ROUND(C$385*100,0)&amp;"% "&amp;D$385&amp;"_"&amp;F390</f>
        <v>0% de la consommation de 'Chauffage des bâtiments communaux' remplacée par une consommation de chaleur fatale_1</v>
      </c>
      <c r="B390" s="786" t="s">
        <v>2788</v>
      </c>
      <c r="C390" s="383"/>
      <c r="D390" s="787" t="e">
        <f ca="1">C390*SUM('Bilan territorial'!AG13:AH13)/100</f>
        <v>#REF!</v>
      </c>
      <c r="E390" s="132" t="e">
        <f ca="1">IF($C$387=0,0,D390/$C$387)</f>
        <v>#REF!</v>
      </c>
      <c r="F390" s="55">
        <v>1</v>
      </c>
      <c r="K390" s="2061"/>
    </row>
    <row r="391" spans="1:11">
      <c r="A391" s="843" t="str">
        <f t="shared" ref="A391:A392" si="43">ROUND(C$385*100,0)&amp;"% "&amp;D$385&amp;"_"&amp;F391</f>
        <v>0% de la consommation de 'Chauffage des bâtiments communaux' remplacée par une consommation de chaleur fatale_2</v>
      </c>
      <c r="B391" s="382"/>
      <c r="C391" s="383"/>
      <c r="D391" s="644"/>
      <c r="E391" s="132" t="e">
        <f t="shared" ref="E391:E393" ca="1" si="44">IF($C$387=0,0,D391/$C$387)</f>
        <v>#REF!</v>
      </c>
      <c r="F391" s="55">
        <v>2</v>
      </c>
      <c r="K391" s="2061"/>
    </row>
    <row r="392" spans="1:11">
      <c r="A392" s="843" t="str">
        <f t="shared" si="43"/>
        <v>0% de la consommation de 'Chauffage des bâtiments communaux' remplacée par une consommation de chaleur fatale_3</v>
      </c>
      <c r="B392" s="382"/>
      <c r="C392" s="383"/>
      <c r="D392" s="644"/>
      <c r="E392" s="132" t="e">
        <f t="shared" ca="1" si="44"/>
        <v>#REF!</v>
      </c>
      <c r="F392" s="55">
        <v>3</v>
      </c>
      <c r="K392" s="2061"/>
    </row>
    <row r="393" spans="1:11">
      <c r="B393" s="2062" t="s">
        <v>107</v>
      </c>
      <c r="C393" s="2063"/>
      <c r="D393" s="788" t="e">
        <f ca="1">SUM(D390:D392)</f>
        <v>#REF!</v>
      </c>
      <c r="E393" s="784" t="e">
        <f t="shared" ca="1" si="44"/>
        <v>#REF!</v>
      </c>
      <c r="K393" s="2061"/>
    </row>
    <row r="395" spans="1:11">
      <c r="B395" s="214" t="s">
        <v>671</v>
      </c>
      <c r="C395" s="619">
        <f>Objectifs!C36</f>
        <v>0</v>
      </c>
      <c r="D395" t="str">
        <f>"de la consommation de '"&amp;C396&amp;"' remplacée par une consommation de chaleur fatale"</f>
        <v>de la consommation de 'Chauffage des bâtiments du tertiaire' remplacée par une consommation de chaleur fatale</v>
      </c>
      <c r="K395" s="2061"/>
    </row>
    <row r="396" spans="1:11">
      <c r="B396" s="214" t="s">
        <v>673</v>
      </c>
      <c r="C396" t="str">
        <f>Objectifs!B36</f>
        <v>Chauffage des bâtiments du tertiaire</v>
      </c>
      <c r="K396" s="2061"/>
    </row>
    <row r="397" spans="1:11">
      <c r="B397" s="214" t="s">
        <v>684</v>
      </c>
      <c r="C397" s="215" t="e">
        <f ca="1">Objectifs!E36</f>
        <v>#REF!</v>
      </c>
      <c r="K397" s="2061"/>
    </row>
    <row r="398" spans="1:11">
      <c r="K398" s="2061"/>
    </row>
    <row r="399" spans="1:11" ht="28.8">
      <c r="B399" s="216" t="s">
        <v>676</v>
      </c>
      <c r="C399" s="217" t="s">
        <v>677</v>
      </c>
      <c r="D399" s="218" t="s">
        <v>685</v>
      </c>
      <c r="E399" s="218" t="s">
        <v>678</v>
      </c>
      <c r="K399" s="2061"/>
    </row>
    <row r="400" spans="1:11" ht="28.8">
      <c r="A400" s="843" t="str">
        <f>ROUND(C$395*100,0)&amp;"% "&amp;D$395&amp;"_"&amp;F400</f>
        <v>0% de la consommation de 'Chauffage des bâtiments du tertiaire' remplacée par une consommation de chaleur fatale_1</v>
      </c>
      <c r="B400" s="786" t="s">
        <v>2789</v>
      </c>
      <c r="C400" s="383">
        <v>15</v>
      </c>
      <c r="D400" s="787" t="e">
        <f ca="1">C400*SUM('Bilan territorial'!AG14:AH14)/100</f>
        <v>#REF!</v>
      </c>
      <c r="E400" s="132" t="e">
        <f ca="1">IF($C$397=0,0,D400/$C$397)</f>
        <v>#REF!</v>
      </c>
      <c r="F400" s="55">
        <v>1</v>
      </c>
      <c r="K400" s="2061"/>
    </row>
    <row r="401" spans="1:11">
      <c r="A401" s="843" t="str">
        <f t="shared" ref="A401:A402" si="45">ROUND(C$395*100,0)&amp;"% "&amp;D$395&amp;"_"&amp;F401</f>
        <v>0% de la consommation de 'Chauffage des bâtiments du tertiaire' remplacée par une consommation de chaleur fatale_2</v>
      </c>
      <c r="B401" s="382" t="s">
        <v>2792</v>
      </c>
      <c r="C401" s="383"/>
      <c r="D401" s="644"/>
      <c r="E401" s="132" t="e">
        <f t="shared" ref="E401:E403" ca="1" si="46">IF($C$397=0,0,D401/$C$397)</f>
        <v>#REF!</v>
      </c>
      <c r="F401" s="55">
        <v>2</v>
      </c>
      <c r="K401" s="2061"/>
    </row>
    <row r="402" spans="1:11">
      <c r="A402" s="843" t="str">
        <f t="shared" si="45"/>
        <v>0% de la consommation de 'Chauffage des bâtiments du tertiaire' remplacée par une consommation de chaleur fatale_3</v>
      </c>
      <c r="B402" s="382"/>
      <c r="C402" s="383"/>
      <c r="D402" s="644"/>
      <c r="E402" s="132" t="e">
        <f t="shared" ca="1" si="46"/>
        <v>#REF!</v>
      </c>
      <c r="F402" s="55">
        <v>3</v>
      </c>
      <c r="K402" s="2061"/>
    </row>
    <row r="403" spans="1:11">
      <c r="B403" s="2062" t="s">
        <v>107</v>
      </c>
      <c r="C403" s="2063"/>
      <c r="D403" s="788" t="e">
        <f ca="1">SUM(D400:D402)</f>
        <v>#REF!</v>
      </c>
      <c r="E403" s="784" t="e">
        <f t="shared" ca="1" si="46"/>
        <v>#REF!</v>
      </c>
      <c r="K403" s="2061"/>
    </row>
    <row r="405" spans="1:11">
      <c r="B405" s="214" t="s">
        <v>671</v>
      </c>
      <c r="C405" s="792">
        <f>Objectifs!C37</f>
        <v>0</v>
      </c>
      <c r="D405" t="str">
        <f>"de la consommation de '"&amp;C406&amp;"' remplacée par une consommation de chaleur fatale"</f>
        <v>de la consommation de 'Chauffage des logements' remplacée par une consommation de chaleur fatale</v>
      </c>
      <c r="K405" s="2061"/>
    </row>
    <row r="406" spans="1:11">
      <c r="B406" s="214" t="s">
        <v>673</v>
      </c>
      <c r="C406" t="str">
        <f>Objectifs!B37</f>
        <v>Chauffage des logements</v>
      </c>
      <c r="K406" s="2061"/>
    </row>
    <row r="407" spans="1:11">
      <c r="B407" s="214" t="s">
        <v>684</v>
      </c>
      <c r="C407" s="215" t="e">
        <f ca="1">Objectifs!E37</f>
        <v>#REF!</v>
      </c>
      <c r="F407" s="373" t="s">
        <v>680</v>
      </c>
      <c r="I407">
        <f>I377</f>
        <v>2006</v>
      </c>
      <c r="J407">
        <f>J377</f>
        <v>0</v>
      </c>
      <c r="K407" s="2061"/>
    </row>
    <row r="408" spans="1:11">
      <c r="F408" s="221" t="str">
        <f>"Nombre de logements (Source: CAPRU) :"</f>
        <v>Nombre de logements (Source: CAPRU) :</v>
      </c>
      <c r="G408" s="221"/>
      <c r="I408" s="620" t="e">
        <f>I378</f>
        <v>#N/A</v>
      </c>
      <c r="J408" s="620" t="e">
        <f>J378</f>
        <v>#N/A</v>
      </c>
      <c r="K408" s="2061"/>
    </row>
    <row r="409" spans="1:11" ht="28.8">
      <c r="B409" s="216" t="s">
        <v>676</v>
      </c>
      <c r="C409" s="217" t="s">
        <v>677</v>
      </c>
      <c r="D409" s="218" t="s">
        <v>685</v>
      </c>
      <c r="E409" s="218" t="s">
        <v>678</v>
      </c>
      <c r="K409" s="2061"/>
    </row>
    <row r="410" spans="1:11" ht="28.8">
      <c r="A410" s="843" t="str">
        <f>ROUND(C$405*100,0)&amp;"% "&amp;D$405&amp;"_"&amp;F410</f>
        <v>0% de la consommation de 'Chauffage des logements' remplacée par une consommation de chaleur fatale_1</v>
      </c>
      <c r="B410" s="786" t="s">
        <v>2790</v>
      </c>
      <c r="C410" s="833"/>
      <c r="D410" s="787" t="e">
        <f ca="1">C410/J408*SUM('Bilan territorial'!AG15:AH15)</f>
        <v>#N/A</v>
      </c>
      <c r="E410" s="132" t="e">
        <f ca="1">IF($C$407=0,0,D410/$C$407)</f>
        <v>#REF!</v>
      </c>
      <c r="F410" s="55">
        <v>1</v>
      </c>
      <c r="K410" s="2061"/>
    </row>
    <row r="411" spans="1:11">
      <c r="A411" s="843" t="str">
        <f t="shared" ref="A411:A412" si="47">ROUND(C$405*100,0)&amp;"% "&amp;D$405&amp;"_"&amp;F411</f>
        <v>0% de la consommation de 'Chauffage des logements' remplacée par une consommation de chaleur fatale_2</v>
      </c>
      <c r="B411" s="382"/>
      <c r="C411" s="383"/>
      <c r="D411" s="644"/>
      <c r="E411" s="132" t="e">
        <f t="shared" ref="E411:E413" ca="1" si="48">IF($C$407=0,0,D411/$C$407)</f>
        <v>#REF!</v>
      </c>
      <c r="F411" s="55">
        <v>2</v>
      </c>
      <c r="K411" s="2061"/>
    </row>
    <row r="412" spans="1:11">
      <c r="A412" s="843" t="str">
        <f t="shared" si="47"/>
        <v>0% de la consommation de 'Chauffage des logements' remplacée par une consommation de chaleur fatale_3</v>
      </c>
      <c r="B412" s="382"/>
      <c r="C412" s="383"/>
      <c r="D412" s="644"/>
      <c r="E412" s="132" t="e">
        <f t="shared" ca="1" si="48"/>
        <v>#REF!</v>
      </c>
      <c r="F412" s="55">
        <v>3</v>
      </c>
      <c r="K412" s="2061"/>
    </row>
    <row r="413" spans="1:11">
      <c r="B413" s="2062" t="s">
        <v>107</v>
      </c>
      <c r="C413" s="2063"/>
      <c r="D413" s="788" t="e">
        <f ca="1">SUM(D410:D412)</f>
        <v>#N/A</v>
      </c>
      <c r="E413" s="784" t="e">
        <f t="shared" ca="1" si="48"/>
        <v>#REF!</v>
      </c>
      <c r="K413" s="2061"/>
    </row>
    <row r="414" spans="1:11">
      <c r="B414" s="1739"/>
      <c r="C414" s="1739"/>
      <c r="D414" s="1740"/>
      <c r="E414" s="1741"/>
      <c r="K414" s="148"/>
    </row>
    <row r="415" spans="1:11">
      <c r="B415" s="214" t="s">
        <v>671</v>
      </c>
      <c r="C415" s="619">
        <f>Objectifs!C39</f>
        <v>0</v>
      </c>
      <c r="D415" t="str">
        <f>"de la consommation produits pétroliers de '"&amp;C416&amp;"' convertis au gaz naturel"</f>
        <v>de la consommation produits pétroliers de 'Chauffage des bâtiments communaux' convertis au gaz naturel</v>
      </c>
      <c r="K415" s="2061"/>
    </row>
    <row r="416" spans="1:11">
      <c r="B416" s="214" t="s">
        <v>673</v>
      </c>
      <c r="C416" t="str">
        <f>Objectifs!B39</f>
        <v>Chauffage des bâtiments communaux</v>
      </c>
      <c r="K416" s="2061"/>
    </row>
    <row r="417" spans="1:11">
      <c r="B417" s="214" t="s">
        <v>684</v>
      </c>
      <c r="C417" s="215" t="e">
        <f ca="1">Objectifs!E39</f>
        <v>#REF!</v>
      </c>
      <c r="K417" s="2061"/>
    </row>
    <row r="418" spans="1:11">
      <c r="K418" s="2061"/>
    </row>
    <row r="419" spans="1:11" ht="28.8">
      <c r="B419" s="216" t="s">
        <v>692</v>
      </c>
      <c r="C419" s="217" t="s">
        <v>677</v>
      </c>
      <c r="D419" s="218" t="s">
        <v>685</v>
      </c>
      <c r="E419" s="218" t="s">
        <v>678</v>
      </c>
      <c r="K419" s="2061"/>
    </row>
    <row r="420" spans="1:11">
      <c r="A420" s="843" t="str">
        <f>ROUND(C$415*100,0)&amp;"% "&amp;D$415&amp;"_"&amp;F420</f>
        <v>0% de la consommation produits pétroliers de 'Chauffage des bâtiments communaux' convertis au gaz naturel_1</v>
      </c>
      <c r="B420" s="786" t="s">
        <v>693</v>
      </c>
      <c r="C420" s="383"/>
      <c r="D420" s="787" t="e">
        <f ca="1">C420*'Bilan territorial'!AH13/100</f>
        <v>#REF!</v>
      </c>
      <c r="E420" s="132" t="e">
        <f ca="1">IF($C$417=0,0,D420/$C$417)</f>
        <v>#REF!</v>
      </c>
      <c r="F420" s="55">
        <v>1</v>
      </c>
      <c r="K420" s="2061"/>
    </row>
    <row r="421" spans="1:11">
      <c r="A421" s="843" t="str">
        <f t="shared" ref="A421:A422" si="49">ROUND(C$415*100,0)&amp;"% "&amp;D$415&amp;"_"&amp;F421</f>
        <v>0% de la consommation produits pétroliers de 'Chauffage des bâtiments communaux' convertis au gaz naturel_2</v>
      </c>
      <c r="B421" s="382"/>
      <c r="C421" s="383"/>
      <c r="D421" s="644"/>
      <c r="E421" s="132" t="e">
        <f t="shared" ref="E421:E423" ca="1" si="50">IF($C$417=0,0,D421/$C$417)</f>
        <v>#REF!</v>
      </c>
      <c r="F421" s="55">
        <v>2</v>
      </c>
      <c r="K421" s="2061"/>
    </row>
    <row r="422" spans="1:11">
      <c r="A422" s="843" t="str">
        <f t="shared" si="49"/>
        <v>0% de la consommation produits pétroliers de 'Chauffage des bâtiments communaux' convertis au gaz naturel_3</v>
      </c>
      <c r="B422" s="382"/>
      <c r="C422" s="383"/>
      <c r="D422" s="644"/>
      <c r="E422" s="132" t="e">
        <f t="shared" ca="1" si="50"/>
        <v>#REF!</v>
      </c>
      <c r="F422" s="55">
        <v>3</v>
      </c>
      <c r="K422" s="2061"/>
    </row>
    <row r="423" spans="1:11">
      <c r="B423" s="2062" t="s">
        <v>107</v>
      </c>
      <c r="C423" s="2063"/>
      <c r="D423" s="788" t="e">
        <f ca="1">SUM(D420:D422)</f>
        <v>#REF!</v>
      </c>
      <c r="E423" s="784" t="e">
        <f t="shared" ca="1" si="50"/>
        <v>#REF!</v>
      </c>
      <c r="K423" s="2061"/>
    </row>
    <row r="425" spans="1:11">
      <c r="B425" s="214" t="s">
        <v>671</v>
      </c>
      <c r="C425" s="619">
        <f>Objectifs!C40</f>
        <v>0</v>
      </c>
      <c r="D425" t="str">
        <f>"de la consommation produits pétroliers de '"&amp;C426&amp;"' convertis au gaz naturel"</f>
        <v>de la consommation produits pétroliers de 'Véhicules communaux' convertis au gaz naturel</v>
      </c>
      <c r="K425" s="2061"/>
    </row>
    <row r="426" spans="1:11">
      <c r="B426" s="214" t="s">
        <v>673</v>
      </c>
      <c r="C426" t="str">
        <f>Objectifs!B40</f>
        <v>Véhicules communaux</v>
      </c>
      <c r="K426" s="2061"/>
    </row>
    <row r="427" spans="1:11">
      <c r="B427" s="214" t="s">
        <v>684</v>
      </c>
      <c r="C427" s="215" t="e">
        <f ca="1">Objectifs!E40</f>
        <v>#REF!</v>
      </c>
      <c r="K427" s="2061"/>
    </row>
    <row r="428" spans="1:11">
      <c r="K428" s="2061"/>
    </row>
    <row r="429" spans="1:11" ht="28.8">
      <c r="B429" s="216" t="s">
        <v>692</v>
      </c>
      <c r="C429" s="217" t="s">
        <v>677</v>
      </c>
      <c r="D429" s="218" t="s">
        <v>685</v>
      </c>
      <c r="E429" s="218" t="s">
        <v>678</v>
      </c>
      <c r="K429" s="2061"/>
    </row>
    <row r="430" spans="1:11" ht="28.8">
      <c r="A430" s="843" t="str">
        <f>ROUND(C$425*100,0)&amp;"% "&amp;D$425&amp;"_"&amp;F430</f>
        <v>0% de la consommation produits pétroliers de 'Véhicules communaux' convertis au gaz naturel_1</v>
      </c>
      <c r="B430" s="786" t="s">
        <v>694</v>
      </c>
      <c r="C430" s="383"/>
      <c r="D430" s="787" t="e">
        <f ca="1">C430*'Bilan territorial'!AH18/100</f>
        <v>#REF!</v>
      </c>
      <c r="E430" s="132" t="e">
        <f ca="1">IF($C$427=0,0,D430/$C$427)</f>
        <v>#REF!</v>
      </c>
      <c r="F430" s="55">
        <v>1</v>
      </c>
      <c r="K430" s="2061"/>
    </row>
    <row r="431" spans="1:11">
      <c r="A431" s="843" t="str">
        <f t="shared" ref="A431:A432" si="51">ROUND(C$425*100,0)&amp;"% "&amp;D$425&amp;"_"&amp;F431</f>
        <v>0% de la consommation produits pétroliers de 'Véhicules communaux' convertis au gaz naturel_2</v>
      </c>
      <c r="B431" s="382"/>
      <c r="C431" s="383"/>
      <c r="D431" s="644"/>
      <c r="E431" s="132" t="e">
        <f t="shared" ref="E431:E433" ca="1" si="52">IF($C$427=0,0,D431/$C$427)</f>
        <v>#REF!</v>
      </c>
      <c r="F431" s="55">
        <v>2</v>
      </c>
      <c r="K431" s="2061"/>
    </row>
    <row r="432" spans="1:11">
      <c r="A432" s="843" t="str">
        <f t="shared" si="51"/>
        <v>0% de la consommation produits pétroliers de 'Véhicules communaux' convertis au gaz naturel_3</v>
      </c>
      <c r="B432" s="382"/>
      <c r="C432" s="383"/>
      <c r="D432" s="644"/>
      <c r="E432" s="132" t="e">
        <f t="shared" ca="1" si="52"/>
        <v>#REF!</v>
      </c>
      <c r="F432" s="55">
        <v>3</v>
      </c>
      <c r="K432" s="2061"/>
    </row>
    <row r="433" spans="1:11">
      <c r="B433" s="2062" t="s">
        <v>107</v>
      </c>
      <c r="C433" s="2063"/>
      <c r="D433" s="788" t="e">
        <f ca="1">SUM(D430:D432)</f>
        <v>#REF!</v>
      </c>
      <c r="E433" s="784" t="e">
        <f t="shared" ca="1" si="52"/>
        <v>#REF!</v>
      </c>
      <c r="K433" s="2061"/>
    </row>
    <row r="435" spans="1:11">
      <c r="B435" s="214" t="s">
        <v>671</v>
      </c>
      <c r="C435" s="619">
        <f>Objectifs!C41</f>
        <v>0</v>
      </c>
      <c r="D435" t="str">
        <f>"de la consommation produits pétroliers de '"&amp;C436&amp;"' convertis au gaz naturel"</f>
        <v>de la consommation produits pétroliers de 'Processus industriels' convertis au gaz naturel</v>
      </c>
      <c r="K435" s="2061"/>
    </row>
    <row r="436" spans="1:11">
      <c r="B436" s="214" t="s">
        <v>673</v>
      </c>
      <c r="C436" t="str">
        <f>Objectifs!B41</f>
        <v>Processus industriels</v>
      </c>
      <c r="K436" s="2061"/>
    </row>
    <row r="437" spans="1:11">
      <c r="B437" s="214" t="s">
        <v>684</v>
      </c>
      <c r="C437" s="215" t="e">
        <f ca="1">Objectifs!E41</f>
        <v>#REF!</v>
      </c>
      <c r="K437" s="2061"/>
    </row>
    <row r="438" spans="1:11">
      <c r="K438" s="2061"/>
    </row>
    <row r="439" spans="1:11" ht="28.8">
      <c r="B439" s="216" t="s">
        <v>692</v>
      </c>
      <c r="C439" s="217" t="s">
        <v>677</v>
      </c>
      <c r="D439" s="218" t="s">
        <v>685</v>
      </c>
      <c r="E439" s="218" t="s">
        <v>678</v>
      </c>
      <c r="K439" s="2061"/>
    </row>
    <row r="440" spans="1:11">
      <c r="A440" s="843" t="str">
        <f>ROUND(C$435*100,0)&amp;"% "&amp;D$435&amp;"_"&amp;F440</f>
        <v>0% de la consommation produits pétroliers de 'Processus industriels' convertis au gaz naturel_1</v>
      </c>
      <c r="B440" s="382"/>
      <c r="C440" s="383"/>
      <c r="D440" s="644"/>
      <c r="E440" s="132" t="e">
        <f ca="1">IF($C$437=0,0,D440/$C$437)</f>
        <v>#REF!</v>
      </c>
      <c r="F440" s="55">
        <v>1</v>
      </c>
      <c r="K440" s="2061"/>
    </row>
    <row r="441" spans="1:11">
      <c r="A441" s="843" t="str">
        <f t="shared" ref="A441:A442" si="53">ROUND(C$435*100,0)&amp;"% "&amp;D$435&amp;"_"&amp;F441</f>
        <v>0% de la consommation produits pétroliers de 'Processus industriels' convertis au gaz naturel_2</v>
      </c>
      <c r="B441" s="382"/>
      <c r="C441" s="383"/>
      <c r="D441" s="644"/>
      <c r="E441" s="132" t="e">
        <f t="shared" ref="E441:E443" ca="1" si="54">IF($C$437=0,0,D441/$C$437)</f>
        <v>#REF!</v>
      </c>
      <c r="F441" s="55">
        <v>2</v>
      </c>
      <c r="K441" s="2061"/>
    </row>
    <row r="442" spans="1:11">
      <c r="A442" s="843" t="str">
        <f t="shared" si="53"/>
        <v>0% de la consommation produits pétroliers de 'Processus industriels' convertis au gaz naturel_3</v>
      </c>
      <c r="B442" s="382"/>
      <c r="C442" s="383"/>
      <c r="D442" s="644"/>
      <c r="E442" s="132" t="e">
        <f t="shared" ca="1" si="54"/>
        <v>#REF!</v>
      </c>
      <c r="F442" s="55">
        <v>3</v>
      </c>
      <c r="K442" s="2061"/>
    </row>
    <row r="443" spans="1:11">
      <c r="B443" s="2062" t="s">
        <v>107</v>
      </c>
      <c r="C443" s="2063"/>
      <c r="D443" s="788">
        <f>SUM(D440:D442)</f>
        <v>0</v>
      </c>
      <c r="E443" s="784" t="e">
        <f t="shared" ca="1" si="54"/>
        <v>#REF!</v>
      </c>
      <c r="K443" s="2061"/>
    </row>
    <row r="445" spans="1:11">
      <c r="B445" s="214" t="s">
        <v>671</v>
      </c>
      <c r="C445" s="619">
        <f>Objectifs!C42</f>
        <v>0</v>
      </c>
      <c r="D445" t="str">
        <f>"de la consommation produits pétroliers de '"&amp;C446&amp;"' convertis au gaz naturel"</f>
        <v>de la consommation produits pétroliers de 'Chauffage des bâtiments du tertiaire' convertis au gaz naturel</v>
      </c>
      <c r="K445" s="2061"/>
    </row>
    <row r="446" spans="1:11">
      <c r="B446" s="214" t="s">
        <v>673</v>
      </c>
      <c r="C446" t="str">
        <f>Objectifs!B42</f>
        <v>Chauffage des bâtiments du tertiaire</v>
      </c>
      <c r="K446" s="2061"/>
    </row>
    <row r="447" spans="1:11">
      <c r="B447" s="214" t="s">
        <v>684</v>
      </c>
      <c r="C447" s="215" t="e">
        <f ca="1">Objectifs!E42</f>
        <v>#REF!</v>
      </c>
      <c r="K447" s="2061"/>
    </row>
    <row r="448" spans="1:11">
      <c r="K448" s="2061"/>
    </row>
    <row r="449" spans="1:11" ht="28.8">
      <c r="B449" s="216" t="s">
        <v>692</v>
      </c>
      <c r="C449" s="217" t="s">
        <v>677</v>
      </c>
      <c r="D449" s="218" t="s">
        <v>685</v>
      </c>
      <c r="E449" s="218" t="s">
        <v>678</v>
      </c>
      <c r="K449" s="2061"/>
    </row>
    <row r="450" spans="1:11">
      <c r="A450" s="843" t="str">
        <f>ROUND(C$445*100,0)&amp;"% "&amp;D$445&amp;"_"&amp;F450</f>
        <v>0% de la consommation produits pétroliers de 'Chauffage des bâtiments du tertiaire' convertis au gaz naturel_1</v>
      </c>
      <c r="B450" s="382"/>
      <c r="C450" s="383"/>
      <c r="D450" s="383"/>
      <c r="E450" s="132" t="e">
        <f ca="1">IF($C$447=0,0,D450/$C$447)</f>
        <v>#REF!</v>
      </c>
      <c r="F450" s="55">
        <v>1</v>
      </c>
      <c r="K450" s="2061"/>
    </row>
    <row r="451" spans="1:11">
      <c r="A451" s="843" t="str">
        <f t="shared" ref="A451:A452" si="55">ROUND(C$445*100,0)&amp;"% "&amp;D$445&amp;"_"&amp;F451</f>
        <v>0% de la consommation produits pétroliers de 'Chauffage des bâtiments du tertiaire' convertis au gaz naturel_2</v>
      </c>
      <c r="B451" s="382"/>
      <c r="C451" s="383"/>
      <c r="D451" s="383"/>
      <c r="E451" s="132" t="e">
        <f t="shared" ref="E451:E453" ca="1" si="56">IF($C$447=0,0,D451/$C$447)</f>
        <v>#REF!</v>
      </c>
      <c r="F451" s="55">
        <v>2</v>
      </c>
      <c r="K451" s="2061"/>
    </row>
    <row r="452" spans="1:11">
      <c r="A452" s="843" t="str">
        <f t="shared" si="55"/>
        <v>0% de la consommation produits pétroliers de 'Chauffage des bâtiments du tertiaire' convertis au gaz naturel_3</v>
      </c>
      <c r="B452" s="382"/>
      <c r="C452" s="383"/>
      <c r="D452" s="383"/>
      <c r="E452" s="132" t="e">
        <f t="shared" ca="1" si="56"/>
        <v>#REF!</v>
      </c>
      <c r="F452" s="55">
        <v>3</v>
      </c>
      <c r="K452" s="2061"/>
    </row>
    <row r="453" spans="1:11">
      <c r="B453" s="2062" t="s">
        <v>107</v>
      </c>
      <c r="C453" s="2063"/>
      <c r="D453" s="782">
        <f>SUM(D450:D452)</f>
        <v>0</v>
      </c>
      <c r="E453" s="784" t="e">
        <f t="shared" ca="1" si="56"/>
        <v>#REF!</v>
      </c>
      <c r="K453" s="2061"/>
    </row>
    <row r="455" spans="1:11">
      <c r="B455" s="214" t="s">
        <v>671</v>
      </c>
      <c r="C455" s="619">
        <f>Objectifs!C43</f>
        <v>0</v>
      </c>
      <c r="D455" t="str">
        <f>"de la consommation produits pétroliers de '"&amp;C456&amp;"' convertis au gaz naturel"</f>
        <v>de la consommation produits pétroliers de 'Chauffage des logements' convertis au gaz naturel</v>
      </c>
      <c r="K455" s="2061"/>
    </row>
    <row r="456" spans="1:11">
      <c r="B456" s="214" t="s">
        <v>673</v>
      </c>
      <c r="C456" t="str">
        <f>Objectifs!B43</f>
        <v>Chauffage des logements</v>
      </c>
      <c r="K456" s="2061"/>
    </row>
    <row r="457" spans="1:11">
      <c r="B457" s="214" t="s">
        <v>684</v>
      </c>
      <c r="C457" s="215" t="e">
        <f ca="1">Objectifs!E43</f>
        <v>#REF!</v>
      </c>
      <c r="K457" s="2061"/>
    </row>
    <row r="458" spans="1:11">
      <c r="K458" s="2061"/>
    </row>
    <row r="459" spans="1:11" ht="28.8">
      <c r="B459" s="216" t="s">
        <v>692</v>
      </c>
      <c r="C459" s="217" t="s">
        <v>677</v>
      </c>
      <c r="D459" s="218" t="s">
        <v>685</v>
      </c>
      <c r="E459" s="218" t="s">
        <v>678</v>
      </c>
      <c r="K459" s="2061"/>
    </row>
    <row r="460" spans="1:11">
      <c r="A460" s="843" t="str">
        <f>ROUND(C$455*100,0)&amp;"% "&amp;D$455&amp;"_"&amp;F460</f>
        <v>0% de la consommation produits pétroliers de 'Chauffage des logements' convertis au gaz naturel_1</v>
      </c>
      <c r="B460" s="382"/>
      <c r="C460" s="383"/>
      <c r="D460" s="383"/>
      <c r="E460" s="132" t="e">
        <f ca="1">IF($C$457=0,0,D460/$C$457)</f>
        <v>#REF!</v>
      </c>
      <c r="F460" s="55">
        <v>1</v>
      </c>
      <c r="K460" s="2061"/>
    </row>
    <row r="461" spans="1:11">
      <c r="A461" s="843" t="str">
        <f t="shared" ref="A461:A462" si="57">ROUND(C$455*100,0)&amp;"% "&amp;D$455&amp;"_"&amp;F461</f>
        <v>0% de la consommation produits pétroliers de 'Chauffage des logements' convertis au gaz naturel_2</v>
      </c>
      <c r="B461" s="382"/>
      <c r="C461" s="383"/>
      <c r="D461" s="383"/>
      <c r="E461" s="132" t="e">
        <f t="shared" ref="E461:E463" ca="1" si="58">IF($C$457=0,0,D461/$C$457)</f>
        <v>#REF!</v>
      </c>
      <c r="F461" s="55">
        <v>2</v>
      </c>
      <c r="K461" s="2061"/>
    </row>
    <row r="462" spans="1:11">
      <c r="A462" s="843" t="str">
        <f t="shared" si="57"/>
        <v>0% de la consommation produits pétroliers de 'Chauffage des logements' convertis au gaz naturel_3</v>
      </c>
      <c r="B462" s="382"/>
      <c r="C462" s="383"/>
      <c r="D462" s="383"/>
      <c r="E462" s="132" t="e">
        <f t="shared" ca="1" si="58"/>
        <v>#REF!</v>
      </c>
      <c r="F462" s="55">
        <v>3</v>
      </c>
      <c r="K462" s="2061"/>
    </row>
    <row r="463" spans="1:11">
      <c r="B463" s="2062" t="s">
        <v>107</v>
      </c>
      <c r="C463" s="2063"/>
      <c r="D463" s="782">
        <f>SUM(D460:D462)</f>
        <v>0</v>
      </c>
      <c r="E463" s="784" t="e">
        <f t="shared" ca="1" si="58"/>
        <v>#REF!</v>
      </c>
      <c r="K463" s="2061"/>
    </row>
    <row r="465" spans="1:11">
      <c r="B465" s="214" t="s">
        <v>671</v>
      </c>
      <c r="C465" s="619">
        <f>Objectifs!C44</f>
        <v>0</v>
      </c>
      <c r="D465" t="str">
        <f>"de la consommation produits pétroliers de '"&amp;C466&amp;"' convertis au gaz naturel"</f>
        <v>de la consommation produits pétroliers de 'Transport hors AC' convertis au gaz naturel</v>
      </c>
      <c r="K465" s="2061"/>
    </row>
    <row r="466" spans="1:11">
      <c r="B466" s="214" t="s">
        <v>673</v>
      </c>
      <c r="C466" t="str">
        <f>Objectifs!B44</f>
        <v>Transport hors AC</v>
      </c>
      <c r="K466" s="2061"/>
    </row>
    <row r="467" spans="1:11">
      <c r="B467" s="214" t="s">
        <v>684</v>
      </c>
      <c r="C467" s="215" t="e">
        <f ca="1">Objectifs!E44</f>
        <v>#REF!</v>
      </c>
      <c r="K467" s="2061"/>
    </row>
    <row r="468" spans="1:11">
      <c r="K468" s="2061"/>
    </row>
    <row r="469" spans="1:11" ht="28.8">
      <c r="B469" s="216" t="s">
        <v>692</v>
      </c>
      <c r="C469" s="217" t="s">
        <v>677</v>
      </c>
      <c r="D469" s="218" t="s">
        <v>685</v>
      </c>
      <c r="E469" s="218" t="s">
        <v>678</v>
      </c>
      <c r="K469" s="2061"/>
    </row>
    <row r="470" spans="1:11">
      <c r="A470" s="843" t="str">
        <f>ROUND(C$465*100,0)&amp;"% "&amp;D$465&amp;"_"&amp;F470</f>
        <v>0% de la consommation produits pétroliers de 'Transport hors AC' convertis au gaz naturel_1</v>
      </c>
      <c r="B470" s="786" t="s">
        <v>695</v>
      </c>
      <c r="C470" s="383"/>
      <c r="D470" s="787">
        <f>Mesures_conversion!D6*C470</f>
        <v>0</v>
      </c>
      <c r="E470" s="132" t="e">
        <f ca="1">IF($C$467=0,0,D470/$C$467)</f>
        <v>#REF!</v>
      </c>
      <c r="F470" s="55">
        <v>1</v>
      </c>
      <c r="K470" s="2061"/>
    </row>
    <row r="471" spans="1:11">
      <c r="A471" s="843" t="str">
        <f t="shared" ref="A471:A472" si="59">ROUND(C$465*100,0)&amp;"% "&amp;D$465&amp;"_"&amp;F471</f>
        <v>0% de la consommation produits pétroliers de 'Transport hors AC' convertis au gaz naturel_2</v>
      </c>
      <c r="B471" s="382"/>
      <c r="C471" s="383"/>
      <c r="D471" s="644"/>
      <c r="E471" s="132" t="e">
        <f t="shared" ref="E471:E473" ca="1" si="60">IF($C$467=0,0,D471/$C$467)</f>
        <v>#REF!</v>
      </c>
      <c r="F471" s="55">
        <v>2</v>
      </c>
      <c r="K471" s="2061"/>
    </row>
    <row r="472" spans="1:11">
      <c r="A472" s="843" t="str">
        <f t="shared" si="59"/>
        <v>0% de la consommation produits pétroliers de 'Transport hors AC' convertis au gaz naturel_3</v>
      </c>
      <c r="B472" s="382"/>
      <c r="C472" s="383"/>
      <c r="D472" s="644"/>
      <c r="E472" s="132" t="e">
        <f t="shared" ca="1" si="60"/>
        <v>#REF!</v>
      </c>
      <c r="F472" s="55">
        <v>3</v>
      </c>
      <c r="K472" s="2061"/>
    </row>
    <row r="473" spans="1:11">
      <c r="B473" s="2062" t="s">
        <v>107</v>
      </c>
      <c r="C473" s="2063"/>
      <c r="D473" s="788">
        <f>SUM(D470:D472)</f>
        <v>0</v>
      </c>
      <c r="E473" s="784" t="e">
        <f t="shared" ca="1" si="60"/>
        <v>#REF!</v>
      </c>
      <c r="K473" s="2061"/>
    </row>
    <row r="477" spans="1:11" hidden="1">
      <c r="A477" s="843" t="str">
        <f>'Suivi objectifs'!D29&amp;"_1"</f>
        <v>0_1</v>
      </c>
      <c r="B477" s="187" t="str">
        <f>Objectifs!C48</f>
        <v>Installation de nouvelles éoliennes pour une puissance totale de x MW</v>
      </c>
      <c r="C477" s="59">
        <f>Objectifs!D48</f>
        <v>0</v>
      </c>
      <c r="E477">
        <v>1</v>
      </c>
      <c r="F477">
        <v>1</v>
      </c>
    </row>
    <row r="478" spans="1:11" ht="28.8" hidden="1">
      <c r="A478" s="843" t="str">
        <f>'Suivi objectifs'!D30&amp;"_1"</f>
        <v>0_1</v>
      </c>
      <c r="B478" s="187" t="str">
        <f>Objectifs!C49</f>
        <v>Nouvelles installations solaires photovoltaïques pour une puissance totale de x kWc</v>
      </c>
      <c r="C478" s="59">
        <f>Objectifs!D49</f>
        <v>0</v>
      </c>
      <c r="E478">
        <v>1</v>
      </c>
      <c r="F478">
        <v>1</v>
      </c>
    </row>
    <row r="479" spans="1:11" hidden="1">
      <c r="A479" s="843" t="str">
        <f>'Suivi objectifs'!D31&amp;"_1"</f>
        <v>0_1</v>
      </c>
      <c r="B479" s="187" t="str">
        <f>Objectifs!C50</f>
        <v>Nouvelles installations solaires thermiques pour une surface totale de x m²</v>
      </c>
      <c r="C479" s="59">
        <f>Objectifs!D50</f>
        <v>0</v>
      </c>
      <c r="E479">
        <v>1</v>
      </c>
      <c r="F479">
        <v>1</v>
      </c>
    </row>
    <row r="480" spans="1:11" ht="28.8" hidden="1">
      <c r="A480" s="843" t="str">
        <f>'Suivi objectifs'!D32&amp;"_1"</f>
        <v>0_1</v>
      </c>
      <c r="B480" s="187" t="str">
        <f>Objectifs!C51</f>
        <v>Nouvelles unités de biométhanisation pour une puissance électrique totale de x kW</v>
      </c>
      <c r="C480" s="59">
        <f>Objectifs!D51</f>
        <v>0</v>
      </c>
      <c r="E480">
        <v>1</v>
      </c>
      <c r="F480">
        <v>1</v>
      </c>
    </row>
    <row r="481" spans="1:6" hidden="1">
      <c r="A481" s="843" t="str">
        <f>'Suivi objectifs'!D34&amp;"_1"</f>
        <v>0_1</v>
      </c>
      <c r="B481" s="187" t="str">
        <f>Objectifs!C53</f>
        <v>Production locale de biomasse-chaleur (tonnes/an)</v>
      </c>
      <c r="C481" s="59">
        <f>Objectifs!D53</f>
        <v>0</v>
      </c>
      <c r="E481">
        <v>1</v>
      </c>
      <c r="F481">
        <v>1</v>
      </c>
    </row>
    <row r="482" spans="1:6" hidden="1">
      <c r="A482" s="843" t="str">
        <f>'Suivi objectifs'!D35&amp;"_1"</f>
        <v>0_1</v>
      </c>
      <c r="B482" s="187" t="str">
        <f>Objectifs!C54</f>
        <v>Nouvelles centrales hydroélectriques pour une puissance totale de x kW</v>
      </c>
      <c r="C482" s="59">
        <f>Objectifs!D54</f>
        <v>0</v>
      </c>
      <c r="E482">
        <v>1</v>
      </c>
      <c r="F482">
        <v>1</v>
      </c>
    </row>
    <row r="483" spans="1:6">
      <c r="B483" s="214" t="s">
        <v>671</v>
      </c>
      <c r="C483" s="619">
        <f>Objectifs!C65</f>
        <v>0</v>
      </c>
    </row>
    <row r="484" spans="1:6">
      <c r="B484" s="214" t="s">
        <v>673</v>
      </c>
      <c r="C484">
        <f>Objectifs!B65</f>
        <v>0</v>
      </c>
    </row>
    <row r="485" spans="1:6">
      <c r="B485" s="214"/>
    </row>
    <row r="486" spans="1:6">
      <c r="B486" s="216" t="s">
        <v>676</v>
      </c>
      <c r="C486" s="217" t="s">
        <v>677</v>
      </c>
      <c r="D486" s="2068" t="s">
        <v>696</v>
      </c>
      <c r="E486" s="2069"/>
    </row>
    <row r="487" spans="1:6">
      <c r="A487" s="843" t="str">
        <f>C$483&amp;"_"&amp;F487</f>
        <v>0_1</v>
      </c>
      <c r="B487" s="382"/>
      <c r="C487" s="899"/>
      <c r="D487" s="2071"/>
      <c r="E487" s="2072"/>
      <c r="F487" s="55">
        <v>1</v>
      </c>
    </row>
    <row r="488" spans="1:6">
      <c r="A488" s="843" t="str">
        <f t="shared" ref="A488:A496" si="61">C$483&amp;"_"&amp;F488</f>
        <v>0_2</v>
      </c>
      <c r="B488" s="384"/>
      <c r="C488" s="899"/>
      <c r="D488" s="2071"/>
      <c r="E488" s="2072"/>
      <c r="F488" s="55">
        <v>2</v>
      </c>
    </row>
    <row r="489" spans="1:6">
      <c r="A489" s="843" t="str">
        <f t="shared" si="61"/>
        <v>0_3</v>
      </c>
      <c r="B489" s="384"/>
      <c r="C489" s="899"/>
      <c r="D489" s="2071"/>
      <c r="E489" s="2072"/>
      <c r="F489" s="55">
        <v>3</v>
      </c>
    </row>
    <row r="490" spans="1:6">
      <c r="A490" s="843" t="str">
        <f t="shared" si="61"/>
        <v>0_4</v>
      </c>
      <c r="B490" s="384"/>
      <c r="C490" s="899"/>
      <c r="D490" s="2071"/>
      <c r="E490" s="2072"/>
      <c r="F490" s="55">
        <v>4</v>
      </c>
    </row>
    <row r="491" spans="1:6">
      <c r="A491" s="843" t="str">
        <f t="shared" si="61"/>
        <v>0_5</v>
      </c>
      <c r="B491" s="384"/>
      <c r="C491" s="899"/>
      <c r="D491" s="2071"/>
      <c r="E491" s="2072"/>
      <c r="F491" s="55">
        <v>5</v>
      </c>
    </row>
    <row r="492" spans="1:6">
      <c r="A492" s="843" t="str">
        <f t="shared" si="61"/>
        <v>0_6</v>
      </c>
      <c r="B492" s="384"/>
      <c r="C492" s="899"/>
      <c r="D492" s="2071"/>
      <c r="E492" s="2072"/>
      <c r="F492" s="55">
        <v>6</v>
      </c>
    </row>
    <row r="493" spans="1:6">
      <c r="A493" s="843" t="str">
        <f t="shared" si="61"/>
        <v>0_7</v>
      </c>
      <c r="B493" s="382"/>
      <c r="C493" s="899"/>
      <c r="D493" s="2071"/>
      <c r="E493" s="2072"/>
      <c r="F493" s="55">
        <v>7</v>
      </c>
    </row>
    <row r="494" spans="1:6">
      <c r="A494" s="843" t="str">
        <f t="shared" si="61"/>
        <v>0_8</v>
      </c>
      <c r="B494" s="382"/>
      <c r="C494" s="899"/>
      <c r="D494" s="2071"/>
      <c r="E494" s="2072"/>
      <c r="F494" s="55">
        <v>8</v>
      </c>
    </row>
    <row r="495" spans="1:6">
      <c r="A495" s="843" t="str">
        <f t="shared" si="61"/>
        <v>0_9</v>
      </c>
      <c r="B495" s="382"/>
      <c r="C495" s="899"/>
      <c r="D495" s="2071"/>
      <c r="E495" s="2072"/>
      <c r="F495" s="55">
        <v>9</v>
      </c>
    </row>
    <row r="496" spans="1:6">
      <c r="A496" s="843" t="str">
        <f t="shared" si="61"/>
        <v>0_10</v>
      </c>
      <c r="B496" s="382"/>
      <c r="C496" s="899"/>
      <c r="D496" s="2071"/>
      <c r="E496" s="2072"/>
      <c r="F496" s="55">
        <v>10</v>
      </c>
    </row>
    <row r="497" spans="1:6">
      <c r="C497" s="209" t="s">
        <v>107</v>
      </c>
      <c r="D497" s="2073">
        <f>SUM(D487:E496)</f>
        <v>0</v>
      </c>
      <c r="E497" s="2074"/>
    </row>
    <row r="501" spans="1:6">
      <c r="B501" s="214" t="s">
        <v>671</v>
      </c>
      <c r="C501" s="619">
        <f>Objectifs!C66</f>
        <v>0</v>
      </c>
    </row>
    <row r="502" spans="1:6">
      <c r="B502" s="214" t="s">
        <v>673</v>
      </c>
      <c r="C502">
        <f>Objectifs!B66</f>
        <v>0</v>
      </c>
    </row>
    <row r="503" spans="1:6">
      <c r="B503" s="214"/>
    </row>
    <row r="504" spans="1:6">
      <c r="B504" s="216" t="s">
        <v>676</v>
      </c>
      <c r="C504" s="217" t="s">
        <v>677</v>
      </c>
      <c r="D504" s="2068" t="s">
        <v>696</v>
      </c>
      <c r="E504" s="2069"/>
    </row>
    <row r="505" spans="1:6">
      <c r="A505" s="843" t="str">
        <f>C$501&amp;"_"&amp;F505</f>
        <v>0_1</v>
      </c>
      <c r="B505" s="382"/>
      <c r="C505" s="899"/>
      <c r="D505" s="2071"/>
      <c r="E505" s="2072"/>
      <c r="F505" s="55">
        <v>1</v>
      </c>
    </row>
    <row r="506" spans="1:6">
      <c r="A506" s="843" t="str">
        <f t="shared" ref="A506:A514" si="62">C$501&amp;"_"&amp;F506</f>
        <v>0_2</v>
      </c>
      <c r="B506" s="384"/>
      <c r="C506" s="899"/>
      <c r="D506" s="2071"/>
      <c r="E506" s="2072"/>
      <c r="F506" s="55">
        <v>2</v>
      </c>
    </row>
    <row r="507" spans="1:6">
      <c r="A507" s="843" t="str">
        <f t="shared" si="62"/>
        <v>0_3</v>
      </c>
      <c r="B507" s="384"/>
      <c r="C507" s="899"/>
      <c r="D507" s="2071"/>
      <c r="E507" s="2072"/>
      <c r="F507" s="55">
        <v>3</v>
      </c>
    </row>
    <row r="508" spans="1:6">
      <c r="A508" s="843" t="str">
        <f t="shared" si="62"/>
        <v>0_4</v>
      </c>
      <c r="B508" s="384"/>
      <c r="C508" s="899"/>
      <c r="D508" s="2071"/>
      <c r="E508" s="2072"/>
      <c r="F508" s="55">
        <v>4</v>
      </c>
    </row>
    <row r="509" spans="1:6">
      <c r="A509" s="843" t="str">
        <f t="shared" si="62"/>
        <v>0_5</v>
      </c>
      <c r="B509" s="384"/>
      <c r="C509" s="899"/>
      <c r="D509" s="2071"/>
      <c r="E509" s="2072"/>
      <c r="F509" s="55">
        <v>5</v>
      </c>
    </row>
    <row r="510" spans="1:6">
      <c r="A510" s="843" t="str">
        <f t="shared" si="62"/>
        <v>0_6</v>
      </c>
      <c r="B510" s="384"/>
      <c r="C510" s="899"/>
      <c r="D510" s="2071"/>
      <c r="E510" s="2072"/>
      <c r="F510" s="55">
        <v>6</v>
      </c>
    </row>
    <row r="511" spans="1:6">
      <c r="A511" s="843" t="str">
        <f t="shared" si="62"/>
        <v>0_7</v>
      </c>
      <c r="B511" s="382"/>
      <c r="C511" s="899"/>
      <c r="D511" s="2071"/>
      <c r="E511" s="2072"/>
      <c r="F511" s="55">
        <v>7</v>
      </c>
    </row>
    <row r="512" spans="1:6">
      <c r="A512" s="843" t="str">
        <f t="shared" si="62"/>
        <v>0_8</v>
      </c>
      <c r="B512" s="382"/>
      <c r="C512" s="899"/>
      <c r="D512" s="2071"/>
      <c r="E512" s="2072"/>
      <c r="F512" s="55">
        <v>8</v>
      </c>
    </row>
    <row r="513" spans="1:6">
      <c r="A513" s="843" t="str">
        <f t="shared" si="62"/>
        <v>0_9</v>
      </c>
      <c r="B513" s="382"/>
      <c r="C513" s="899"/>
      <c r="D513" s="2071"/>
      <c r="E513" s="2072"/>
      <c r="F513" s="55">
        <v>9</v>
      </c>
    </row>
    <row r="514" spans="1:6">
      <c r="A514" s="843" t="str">
        <f t="shared" si="62"/>
        <v>0_10</v>
      </c>
      <c r="B514" s="382"/>
      <c r="C514" s="899"/>
      <c r="D514" s="2071"/>
      <c r="E514" s="2072"/>
      <c r="F514" s="55">
        <v>10</v>
      </c>
    </row>
    <row r="515" spans="1:6">
      <c r="C515" s="209" t="s">
        <v>107</v>
      </c>
      <c r="D515" s="2073">
        <f>SUM(D505:E514)</f>
        <v>0</v>
      </c>
      <c r="E515" s="2074"/>
    </row>
    <row r="518" spans="1:6">
      <c r="B518" s="214" t="s">
        <v>671</v>
      </c>
      <c r="C518" s="619">
        <f>Objectifs!C67</f>
        <v>0</v>
      </c>
    </row>
    <row r="519" spans="1:6">
      <c r="B519" s="214" t="s">
        <v>673</v>
      </c>
      <c r="C519">
        <f>Objectifs!B67</f>
        <v>0</v>
      </c>
    </row>
    <row r="520" spans="1:6">
      <c r="B520" s="214"/>
    </row>
    <row r="521" spans="1:6">
      <c r="B521" s="216" t="s">
        <v>676</v>
      </c>
      <c r="C521" s="217" t="s">
        <v>677</v>
      </c>
      <c r="D521" s="2068" t="s">
        <v>696</v>
      </c>
      <c r="E521" s="2069"/>
    </row>
    <row r="522" spans="1:6">
      <c r="A522" s="843" t="str">
        <f>C$518&amp;"_"&amp;F522</f>
        <v>0_1</v>
      </c>
      <c r="B522" s="382"/>
      <c r="C522" s="899"/>
      <c r="D522" s="2071"/>
      <c r="E522" s="2072"/>
      <c r="F522" s="55">
        <v>1</v>
      </c>
    </row>
    <row r="523" spans="1:6">
      <c r="A523" s="843" t="str">
        <f t="shared" ref="A523:A531" si="63">C$518&amp;"_"&amp;F523</f>
        <v>0_2</v>
      </c>
      <c r="B523" s="384"/>
      <c r="C523" s="899"/>
      <c r="D523" s="2071"/>
      <c r="E523" s="2072"/>
      <c r="F523" s="55">
        <v>2</v>
      </c>
    </row>
    <row r="524" spans="1:6">
      <c r="A524" s="843" t="str">
        <f t="shared" si="63"/>
        <v>0_3</v>
      </c>
      <c r="B524" s="384"/>
      <c r="C524" s="899"/>
      <c r="D524" s="2071"/>
      <c r="E524" s="2072"/>
      <c r="F524" s="55">
        <v>3</v>
      </c>
    </row>
    <row r="525" spans="1:6">
      <c r="A525" s="843" t="str">
        <f t="shared" si="63"/>
        <v>0_4</v>
      </c>
      <c r="B525" s="384"/>
      <c r="C525" s="899"/>
      <c r="D525" s="2071"/>
      <c r="E525" s="2072"/>
      <c r="F525" s="55">
        <v>4</v>
      </c>
    </row>
    <row r="526" spans="1:6">
      <c r="A526" s="843" t="str">
        <f t="shared" si="63"/>
        <v>0_5</v>
      </c>
      <c r="B526" s="384"/>
      <c r="C526" s="899"/>
      <c r="D526" s="2071"/>
      <c r="E526" s="2072"/>
      <c r="F526" s="55">
        <v>5</v>
      </c>
    </row>
    <row r="527" spans="1:6">
      <c r="A527" s="843" t="str">
        <f t="shared" si="63"/>
        <v>0_6</v>
      </c>
      <c r="B527" s="384"/>
      <c r="C527" s="899"/>
      <c r="D527" s="2071"/>
      <c r="E527" s="2072"/>
      <c r="F527" s="55">
        <v>6</v>
      </c>
    </row>
    <row r="528" spans="1:6">
      <c r="A528" s="843" t="str">
        <f t="shared" si="63"/>
        <v>0_7</v>
      </c>
      <c r="B528" s="382"/>
      <c r="C528" s="899"/>
      <c r="D528" s="2071"/>
      <c r="E528" s="2072"/>
      <c r="F528" s="55">
        <v>7</v>
      </c>
    </row>
    <row r="529" spans="1:6">
      <c r="A529" s="843" t="str">
        <f t="shared" si="63"/>
        <v>0_8</v>
      </c>
      <c r="B529" s="382"/>
      <c r="C529" s="899"/>
      <c r="D529" s="2071"/>
      <c r="E529" s="2072"/>
      <c r="F529" s="55">
        <v>8</v>
      </c>
    </row>
    <row r="530" spans="1:6">
      <c r="A530" s="843" t="str">
        <f t="shared" si="63"/>
        <v>0_9</v>
      </c>
      <c r="B530" s="382"/>
      <c r="C530" s="899"/>
      <c r="D530" s="2071"/>
      <c r="E530" s="2072"/>
      <c r="F530" s="55">
        <v>9</v>
      </c>
    </row>
    <row r="531" spans="1:6">
      <c r="A531" s="843" t="str">
        <f t="shared" si="63"/>
        <v>0_10</v>
      </c>
      <c r="B531" s="382"/>
      <c r="C531" s="899"/>
      <c r="D531" s="2071"/>
      <c r="E531" s="2072"/>
      <c r="F531" s="55">
        <v>10</v>
      </c>
    </row>
    <row r="532" spans="1:6">
      <c r="C532" s="209" t="s">
        <v>107</v>
      </c>
      <c r="D532" s="2073">
        <f>SUM(D522:E531)</f>
        <v>0</v>
      </c>
      <c r="E532" s="2074"/>
    </row>
    <row r="535" spans="1:6">
      <c r="B535" s="214" t="s">
        <v>671</v>
      </c>
      <c r="C535" s="897">
        <f>Objectifs!C68</f>
        <v>0</v>
      </c>
    </row>
    <row r="536" spans="1:6">
      <c r="B536" s="214" t="s">
        <v>673</v>
      </c>
      <c r="C536" s="898">
        <f>Objectifs!B68</f>
        <v>0</v>
      </c>
    </row>
    <row r="537" spans="1:6">
      <c r="B537" s="214"/>
    </row>
    <row r="538" spans="1:6">
      <c r="B538" s="216" t="s">
        <v>676</v>
      </c>
      <c r="C538" s="217" t="s">
        <v>677</v>
      </c>
      <c r="D538" s="2068" t="s">
        <v>696</v>
      </c>
      <c r="E538" s="2069"/>
    </row>
    <row r="539" spans="1:6">
      <c r="A539" s="843" t="str">
        <f>C$535&amp;"_"&amp;F539</f>
        <v>0_1</v>
      </c>
      <c r="B539" s="382"/>
      <c r="C539" s="899"/>
      <c r="D539" s="2071"/>
      <c r="E539" s="2072"/>
      <c r="F539" s="55">
        <v>1</v>
      </c>
    </row>
    <row r="540" spans="1:6">
      <c r="A540" s="843" t="str">
        <f t="shared" ref="A540:A548" si="64">C$535&amp;"_"&amp;F540</f>
        <v>0_2</v>
      </c>
      <c r="B540" s="384"/>
      <c r="C540" s="899"/>
      <c r="D540" s="2071"/>
      <c r="E540" s="2072"/>
      <c r="F540" s="55">
        <v>2</v>
      </c>
    </row>
    <row r="541" spans="1:6">
      <c r="A541" s="843" t="str">
        <f t="shared" si="64"/>
        <v>0_3</v>
      </c>
      <c r="B541" s="384"/>
      <c r="C541" s="899"/>
      <c r="D541" s="2071"/>
      <c r="E541" s="2072"/>
      <c r="F541" s="55">
        <v>3</v>
      </c>
    </row>
    <row r="542" spans="1:6">
      <c r="A542" s="843" t="str">
        <f t="shared" si="64"/>
        <v>0_4</v>
      </c>
      <c r="B542" s="384"/>
      <c r="C542" s="899"/>
      <c r="D542" s="2071"/>
      <c r="E542" s="2072"/>
      <c r="F542" s="55">
        <v>4</v>
      </c>
    </row>
    <row r="543" spans="1:6">
      <c r="A543" s="843" t="str">
        <f t="shared" si="64"/>
        <v>0_5</v>
      </c>
      <c r="B543" s="384"/>
      <c r="C543" s="899"/>
      <c r="D543" s="2071"/>
      <c r="E543" s="2072"/>
      <c r="F543" s="55">
        <v>5</v>
      </c>
    </row>
    <row r="544" spans="1:6">
      <c r="A544" s="843" t="str">
        <f t="shared" si="64"/>
        <v>0_6</v>
      </c>
      <c r="B544" s="384"/>
      <c r="C544" s="899"/>
      <c r="D544" s="2071"/>
      <c r="E544" s="2072"/>
      <c r="F544" s="55">
        <v>6</v>
      </c>
    </row>
    <row r="545" spans="1:6">
      <c r="A545" s="843" t="str">
        <f t="shared" si="64"/>
        <v>0_7</v>
      </c>
      <c r="B545" s="382"/>
      <c r="C545" s="899"/>
      <c r="D545" s="2071"/>
      <c r="E545" s="2072"/>
      <c r="F545" s="55">
        <v>7</v>
      </c>
    </row>
    <row r="546" spans="1:6">
      <c r="A546" s="843" t="str">
        <f t="shared" si="64"/>
        <v>0_8</v>
      </c>
      <c r="B546" s="382"/>
      <c r="C546" s="899"/>
      <c r="D546" s="2071"/>
      <c r="E546" s="2072"/>
      <c r="F546" s="55">
        <v>8</v>
      </c>
    </row>
    <row r="547" spans="1:6">
      <c r="A547" s="843" t="str">
        <f t="shared" si="64"/>
        <v>0_9</v>
      </c>
      <c r="B547" s="382"/>
      <c r="C547" s="899"/>
      <c r="D547" s="2071"/>
      <c r="E547" s="2072"/>
      <c r="F547" s="55">
        <v>9</v>
      </c>
    </row>
    <row r="548" spans="1:6">
      <c r="A548" s="843" t="str">
        <f t="shared" si="64"/>
        <v>0_10</v>
      </c>
      <c r="B548" s="382"/>
      <c r="C548" s="899"/>
      <c r="D548" s="2071"/>
      <c r="E548" s="2072"/>
      <c r="F548" s="55">
        <v>10</v>
      </c>
    </row>
    <row r="549" spans="1:6">
      <c r="C549" s="209" t="s">
        <v>107</v>
      </c>
      <c r="D549" s="2073">
        <f>SUM(D539:E548)</f>
        <v>0</v>
      </c>
      <c r="E549" s="2074"/>
    </row>
    <row r="552" spans="1:6">
      <c r="B552" s="214" t="s">
        <v>671</v>
      </c>
      <c r="C552" s="897">
        <f>Objectifs!C69</f>
        <v>0</v>
      </c>
    </row>
    <row r="553" spans="1:6">
      <c r="B553" s="214" t="s">
        <v>673</v>
      </c>
      <c r="C553" s="898">
        <f>Objectifs!B69</f>
        <v>0</v>
      </c>
    </row>
    <row r="554" spans="1:6">
      <c r="B554" s="214"/>
    </row>
    <row r="555" spans="1:6">
      <c r="B555" s="216" t="s">
        <v>676</v>
      </c>
      <c r="C555" s="217" t="s">
        <v>677</v>
      </c>
      <c r="D555" s="2068" t="s">
        <v>696</v>
      </c>
      <c r="E555" s="2069"/>
    </row>
    <row r="556" spans="1:6">
      <c r="A556" s="843" t="str">
        <f>C$552&amp;"_"&amp;F556</f>
        <v>0_1</v>
      </c>
      <c r="B556" s="382"/>
      <c r="C556" s="899"/>
      <c r="D556" s="2071"/>
      <c r="E556" s="2072"/>
      <c r="F556" s="55">
        <v>1</v>
      </c>
    </row>
    <row r="557" spans="1:6">
      <c r="A557" s="843" t="str">
        <f t="shared" ref="A557:A565" si="65">C$552&amp;"_"&amp;F557</f>
        <v>0_2</v>
      </c>
      <c r="B557" s="384"/>
      <c r="C557" s="899"/>
      <c r="D557" s="2071"/>
      <c r="E557" s="2072"/>
      <c r="F557" s="55">
        <v>2</v>
      </c>
    </row>
    <row r="558" spans="1:6">
      <c r="A558" s="843" t="str">
        <f t="shared" si="65"/>
        <v>0_3</v>
      </c>
      <c r="B558" s="384"/>
      <c r="C558" s="899"/>
      <c r="D558" s="2071"/>
      <c r="E558" s="2072"/>
      <c r="F558" s="55">
        <v>3</v>
      </c>
    </row>
    <row r="559" spans="1:6">
      <c r="A559" s="843" t="str">
        <f t="shared" si="65"/>
        <v>0_4</v>
      </c>
      <c r="B559" s="384"/>
      <c r="C559" s="899"/>
      <c r="D559" s="2071"/>
      <c r="E559" s="2072"/>
      <c r="F559" s="55">
        <v>4</v>
      </c>
    </row>
    <row r="560" spans="1:6">
      <c r="A560" s="843" t="str">
        <f t="shared" si="65"/>
        <v>0_5</v>
      </c>
      <c r="B560" s="384"/>
      <c r="C560" s="899"/>
      <c r="D560" s="2071"/>
      <c r="E560" s="2072"/>
      <c r="F560" s="55">
        <v>5</v>
      </c>
    </row>
    <row r="561" spans="1:6">
      <c r="A561" s="843" t="str">
        <f t="shared" si="65"/>
        <v>0_6</v>
      </c>
      <c r="B561" s="384"/>
      <c r="C561" s="899"/>
      <c r="D561" s="2071"/>
      <c r="E561" s="2072"/>
      <c r="F561" s="55">
        <v>6</v>
      </c>
    </row>
    <row r="562" spans="1:6">
      <c r="A562" s="843" t="str">
        <f t="shared" si="65"/>
        <v>0_7</v>
      </c>
      <c r="B562" s="382"/>
      <c r="C562" s="899"/>
      <c r="D562" s="2071"/>
      <c r="E562" s="2072"/>
      <c r="F562" s="55">
        <v>7</v>
      </c>
    </row>
    <row r="563" spans="1:6">
      <c r="A563" s="843" t="str">
        <f t="shared" si="65"/>
        <v>0_8</v>
      </c>
      <c r="B563" s="382"/>
      <c r="C563" s="899"/>
      <c r="D563" s="2071"/>
      <c r="E563" s="2072"/>
      <c r="F563" s="55">
        <v>8</v>
      </c>
    </row>
    <row r="564" spans="1:6">
      <c r="A564" s="843" t="str">
        <f t="shared" si="65"/>
        <v>0_9</v>
      </c>
      <c r="B564" s="382"/>
      <c r="C564" s="899"/>
      <c r="D564" s="2071"/>
      <c r="E564" s="2072"/>
      <c r="F564" s="55">
        <v>9</v>
      </c>
    </row>
    <row r="565" spans="1:6">
      <c r="A565" s="843" t="str">
        <f t="shared" si="65"/>
        <v>0_10</v>
      </c>
      <c r="B565" s="382"/>
      <c r="C565" s="899"/>
      <c r="D565" s="2071"/>
      <c r="E565" s="2072"/>
      <c r="F565" s="55">
        <v>10</v>
      </c>
    </row>
    <row r="566" spans="1:6">
      <c r="C566" s="209" t="s">
        <v>107</v>
      </c>
      <c r="D566" s="2073">
        <f>SUM(D556:E565)</f>
        <v>0</v>
      </c>
      <c r="E566" s="2074"/>
    </row>
    <row r="569" spans="1:6">
      <c r="B569" s="214" t="s">
        <v>671</v>
      </c>
      <c r="C569" s="897">
        <f>Objectifs!C70</f>
        <v>0</v>
      </c>
    </row>
    <row r="570" spans="1:6">
      <c r="B570" s="214" t="s">
        <v>673</v>
      </c>
      <c r="C570" s="898">
        <f>Objectifs!B70</f>
        <v>0</v>
      </c>
    </row>
    <row r="571" spans="1:6">
      <c r="B571" s="214"/>
    </row>
    <row r="572" spans="1:6">
      <c r="B572" s="216" t="s">
        <v>676</v>
      </c>
      <c r="C572" s="217" t="s">
        <v>677</v>
      </c>
      <c r="D572" s="2068" t="s">
        <v>696</v>
      </c>
      <c r="E572" s="2069"/>
    </row>
    <row r="573" spans="1:6">
      <c r="A573" s="843" t="str">
        <f>C$569&amp;"_"&amp;F573</f>
        <v>0_1</v>
      </c>
      <c r="B573" s="382"/>
      <c r="C573" s="899"/>
      <c r="D573" s="2071"/>
      <c r="E573" s="2072"/>
      <c r="F573" s="55">
        <v>1</v>
      </c>
    </row>
    <row r="574" spans="1:6">
      <c r="A574" s="843" t="str">
        <f t="shared" ref="A574:A582" si="66">C$569&amp;"_"&amp;F574</f>
        <v>0_2</v>
      </c>
      <c r="B574" s="384"/>
      <c r="C574" s="899"/>
      <c r="D574" s="2071"/>
      <c r="E574" s="2072"/>
      <c r="F574" s="55">
        <v>2</v>
      </c>
    </row>
    <row r="575" spans="1:6">
      <c r="A575" s="843" t="str">
        <f t="shared" si="66"/>
        <v>0_3</v>
      </c>
      <c r="B575" s="384"/>
      <c r="C575" s="899"/>
      <c r="D575" s="2071"/>
      <c r="E575" s="2072"/>
      <c r="F575" s="55">
        <v>3</v>
      </c>
    </row>
    <row r="576" spans="1:6">
      <c r="A576" s="843" t="str">
        <f t="shared" si="66"/>
        <v>0_4</v>
      </c>
      <c r="B576" s="384"/>
      <c r="C576" s="899"/>
      <c r="D576" s="2071"/>
      <c r="E576" s="2072"/>
      <c r="F576" s="55">
        <v>4</v>
      </c>
    </row>
    <row r="577" spans="1:6">
      <c r="A577" s="843" t="str">
        <f t="shared" si="66"/>
        <v>0_5</v>
      </c>
      <c r="B577" s="384"/>
      <c r="C577" s="899"/>
      <c r="D577" s="2071"/>
      <c r="E577" s="2072"/>
      <c r="F577" s="55">
        <v>5</v>
      </c>
    </row>
    <row r="578" spans="1:6">
      <c r="A578" s="843" t="str">
        <f t="shared" si="66"/>
        <v>0_6</v>
      </c>
      <c r="B578" s="384"/>
      <c r="C578" s="899"/>
      <c r="D578" s="2071"/>
      <c r="E578" s="2072"/>
      <c r="F578" s="55">
        <v>6</v>
      </c>
    </row>
    <row r="579" spans="1:6">
      <c r="A579" s="843" t="str">
        <f t="shared" si="66"/>
        <v>0_7</v>
      </c>
      <c r="B579" s="382"/>
      <c r="C579" s="899"/>
      <c r="D579" s="2071"/>
      <c r="E579" s="2072"/>
      <c r="F579" s="55">
        <v>7</v>
      </c>
    </row>
    <row r="580" spans="1:6">
      <c r="A580" s="843" t="str">
        <f t="shared" si="66"/>
        <v>0_8</v>
      </c>
      <c r="B580" s="382"/>
      <c r="C580" s="899"/>
      <c r="D580" s="2071"/>
      <c r="E580" s="2072"/>
      <c r="F580" s="55">
        <v>8</v>
      </c>
    </row>
    <row r="581" spans="1:6">
      <c r="A581" s="843" t="str">
        <f t="shared" si="66"/>
        <v>0_9</v>
      </c>
      <c r="B581" s="382"/>
      <c r="C581" s="899"/>
      <c r="D581" s="2071"/>
      <c r="E581" s="2072"/>
      <c r="F581" s="55">
        <v>9</v>
      </c>
    </row>
    <row r="582" spans="1:6">
      <c r="A582" s="843" t="str">
        <f t="shared" si="66"/>
        <v>0_10</v>
      </c>
      <c r="B582" s="382"/>
      <c r="C582" s="899"/>
      <c r="D582" s="2071"/>
      <c r="E582" s="2072"/>
      <c r="F582" s="55">
        <v>10</v>
      </c>
    </row>
    <row r="583" spans="1:6">
      <c r="C583" s="209" t="s">
        <v>107</v>
      </c>
      <c r="D583" s="2073">
        <f>SUM(D573:E582)</f>
        <v>0</v>
      </c>
      <c r="E583" s="2074"/>
    </row>
    <row r="586" spans="1:6">
      <c r="B586" s="214" t="s">
        <v>671</v>
      </c>
      <c r="C586" s="897">
        <f>Objectifs!C71</f>
        <v>0</v>
      </c>
    </row>
    <row r="587" spans="1:6">
      <c r="B587" s="214" t="s">
        <v>673</v>
      </c>
      <c r="C587" s="898">
        <f>Objectifs!B71</f>
        <v>0</v>
      </c>
    </row>
    <row r="588" spans="1:6">
      <c r="B588" s="214"/>
    </row>
    <row r="589" spans="1:6">
      <c r="B589" s="216" t="s">
        <v>676</v>
      </c>
      <c r="C589" s="217" t="s">
        <v>677</v>
      </c>
      <c r="D589" s="2068" t="s">
        <v>696</v>
      </c>
      <c r="E589" s="2069"/>
    </row>
    <row r="590" spans="1:6">
      <c r="A590" s="843" t="str">
        <f>C$586&amp;"_"&amp;F590</f>
        <v>0_1</v>
      </c>
      <c r="B590" s="382"/>
      <c r="C590" s="899"/>
      <c r="D590" s="2071"/>
      <c r="E590" s="2072"/>
      <c r="F590" s="55">
        <v>1</v>
      </c>
    </row>
    <row r="591" spans="1:6">
      <c r="A591" s="843" t="str">
        <f t="shared" ref="A591:A599" si="67">C$586&amp;"_"&amp;F591</f>
        <v>0_2</v>
      </c>
      <c r="B591" s="384"/>
      <c r="C591" s="899"/>
      <c r="D591" s="2071"/>
      <c r="E591" s="2072"/>
      <c r="F591" s="55">
        <v>2</v>
      </c>
    </row>
    <row r="592" spans="1:6">
      <c r="A592" s="843" t="str">
        <f t="shared" si="67"/>
        <v>0_3</v>
      </c>
      <c r="B592" s="384"/>
      <c r="C592" s="899"/>
      <c r="D592" s="2071"/>
      <c r="E592" s="2072"/>
      <c r="F592" s="55">
        <v>3</v>
      </c>
    </row>
    <row r="593" spans="1:6">
      <c r="A593" s="843" t="str">
        <f t="shared" si="67"/>
        <v>0_4</v>
      </c>
      <c r="B593" s="384"/>
      <c r="C593" s="899"/>
      <c r="D593" s="2071"/>
      <c r="E593" s="2072"/>
      <c r="F593" s="55">
        <v>4</v>
      </c>
    </row>
    <row r="594" spans="1:6">
      <c r="A594" s="843" t="str">
        <f t="shared" si="67"/>
        <v>0_5</v>
      </c>
      <c r="B594" s="384"/>
      <c r="C594" s="899"/>
      <c r="D594" s="2071"/>
      <c r="E594" s="2072"/>
      <c r="F594" s="55">
        <v>5</v>
      </c>
    </row>
    <row r="595" spans="1:6">
      <c r="A595" s="843" t="str">
        <f t="shared" si="67"/>
        <v>0_6</v>
      </c>
      <c r="B595" s="384"/>
      <c r="C595" s="899"/>
      <c r="D595" s="2071"/>
      <c r="E595" s="2072"/>
      <c r="F595" s="55">
        <v>6</v>
      </c>
    </row>
    <row r="596" spans="1:6">
      <c r="A596" s="843" t="str">
        <f t="shared" si="67"/>
        <v>0_7</v>
      </c>
      <c r="B596" s="382"/>
      <c r="C596" s="899"/>
      <c r="D596" s="2071"/>
      <c r="E596" s="2072"/>
      <c r="F596" s="55">
        <v>7</v>
      </c>
    </row>
    <row r="597" spans="1:6">
      <c r="A597" s="843" t="str">
        <f t="shared" si="67"/>
        <v>0_8</v>
      </c>
      <c r="B597" s="382"/>
      <c r="C597" s="899"/>
      <c r="D597" s="2071"/>
      <c r="E597" s="2072"/>
      <c r="F597" s="55">
        <v>8</v>
      </c>
    </row>
    <row r="598" spans="1:6">
      <c r="A598" s="843" t="str">
        <f t="shared" si="67"/>
        <v>0_9</v>
      </c>
      <c r="B598" s="382"/>
      <c r="C598" s="899"/>
      <c r="D598" s="2071"/>
      <c r="E598" s="2072"/>
      <c r="F598" s="55">
        <v>9</v>
      </c>
    </row>
    <row r="599" spans="1:6">
      <c r="A599" s="843" t="str">
        <f t="shared" si="67"/>
        <v>0_10</v>
      </c>
      <c r="B599" s="382"/>
      <c r="C599" s="899"/>
      <c r="D599" s="2071"/>
      <c r="E599" s="2072"/>
      <c r="F599" s="55">
        <v>10</v>
      </c>
    </row>
    <row r="600" spans="1:6">
      <c r="C600" s="209" t="s">
        <v>107</v>
      </c>
      <c r="D600" s="2073">
        <f>SUM(D590:E599)</f>
        <v>0</v>
      </c>
      <c r="E600" s="2074"/>
    </row>
    <row r="602" spans="1:6">
      <c r="B602" s="214"/>
      <c r="C602" s="897"/>
    </row>
    <row r="603" spans="1:6">
      <c r="B603" s="214" t="s">
        <v>671</v>
      </c>
      <c r="C603" s="897">
        <f>Objectifs!C72</f>
        <v>0</v>
      </c>
    </row>
    <row r="604" spans="1:6">
      <c r="B604" s="214" t="s">
        <v>673</v>
      </c>
      <c r="C604" s="898">
        <f>Objectifs!B72</f>
        <v>0</v>
      </c>
    </row>
    <row r="605" spans="1:6" ht="14.4" customHeight="1">
      <c r="B605" s="214"/>
    </row>
    <row r="606" spans="1:6">
      <c r="B606" s="216" t="s">
        <v>676</v>
      </c>
      <c r="C606" s="217" t="s">
        <v>677</v>
      </c>
      <c r="D606" s="2068" t="s">
        <v>696</v>
      </c>
      <c r="E606" s="2069"/>
    </row>
    <row r="607" spans="1:6">
      <c r="A607" s="843" t="str">
        <f>C$603&amp;"_"&amp;F607</f>
        <v>0_1</v>
      </c>
      <c r="B607" s="382"/>
      <c r="C607" s="899"/>
      <c r="D607" s="2071"/>
      <c r="E607" s="2072"/>
      <c r="F607" s="55">
        <v>1</v>
      </c>
    </row>
    <row r="608" spans="1:6">
      <c r="A608" s="843" t="str">
        <f t="shared" ref="A608:A616" si="68">C$603&amp;"_"&amp;F608</f>
        <v>0_2</v>
      </c>
      <c r="B608" s="384"/>
      <c r="C608" s="899"/>
      <c r="D608" s="2071"/>
      <c r="E608" s="2072"/>
      <c r="F608" s="55">
        <v>2</v>
      </c>
    </row>
    <row r="609" spans="1:6">
      <c r="A609" s="843" t="str">
        <f t="shared" si="68"/>
        <v>0_3</v>
      </c>
      <c r="B609" s="384"/>
      <c r="C609" s="899"/>
      <c r="D609" s="2071"/>
      <c r="E609" s="2072"/>
      <c r="F609" s="55">
        <v>3</v>
      </c>
    </row>
    <row r="610" spans="1:6">
      <c r="A610" s="843" t="str">
        <f t="shared" si="68"/>
        <v>0_4</v>
      </c>
      <c r="B610" s="384"/>
      <c r="C610" s="899"/>
      <c r="D610" s="2071"/>
      <c r="E610" s="2072"/>
      <c r="F610" s="55">
        <v>4</v>
      </c>
    </row>
    <row r="611" spans="1:6">
      <c r="A611" s="843" t="str">
        <f t="shared" si="68"/>
        <v>0_5</v>
      </c>
      <c r="B611" s="384"/>
      <c r="C611" s="899"/>
      <c r="D611" s="2071"/>
      <c r="E611" s="2072"/>
      <c r="F611" s="55">
        <v>5</v>
      </c>
    </row>
    <row r="612" spans="1:6">
      <c r="A612" s="843" t="str">
        <f t="shared" si="68"/>
        <v>0_6</v>
      </c>
      <c r="B612" s="384"/>
      <c r="C612" s="899"/>
      <c r="D612" s="2071"/>
      <c r="E612" s="2072"/>
      <c r="F612" s="55">
        <v>6</v>
      </c>
    </row>
    <row r="613" spans="1:6">
      <c r="A613" s="843" t="str">
        <f t="shared" si="68"/>
        <v>0_7</v>
      </c>
      <c r="B613" s="382"/>
      <c r="C613" s="899"/>
      <c r="D613" s="2071"/>
      <c r="E613" s="2072"/>
      <c r="F613" s="55">
        <v>7</v>
      </c>
    </row>
    <row r="614" spans="1:6">
      <c r="A614" s="843" t="str">
        <f t="shared" si="68"/>
        <v>0_8</v>
      </c>
      <c r="B614" s="382"/>
      <c r="C614" s="899"/>
      <c r="D614" s="2071"/>
      <c r="E614" s="2072"/>
      <c r="F614" s="55">
        <v>8</v>
      </c>
    </row>
    <row r="615" spans="1:6">
      <c r="A615" s="843" t="str">
        <f t="shared" si="68"/>
        <v>0_9</v>
      </c>
      <c r="B615" s="382"/>
      <c r="C615" s="899"/>
      <c r="D615" s="2071"/>
      <c r="E615" s="2072"/>
      <c r="F615" s="55">
        <v>9</v>
      </c>
    </row>
    <row r="616" spans="1:6">
      <c r="A616" s="843" t="str">
        <f t="shared" si="68"/>
        <v>0_10</v>
      </c>
      <c r="B616" s="382"/>
      <c r="C616" s="899"/>
      <c r="D616" s="2071"/>
      <c r="E616" s="2072"/>
      <c r="F616" s="55">
        <v>10</v>
      </c>
    </row>
    <row r="617" spans="1:6">
      <c r="C617" s="209" t="s">
        <v>107</v>
      </c>
      <c r="D617" s="2073">
        <f>SUM(D607:E616)</f>
        <v>0</v>
      </c>
      <c r="E617" s="2074"/>
    </row>
    <row r="620" spans="1:6">
      <c r="B620" s="214" t="s">
        <v>671</v>
      </c>
      <c r="C620" s="897">
        <f>Objectifs!C73</f>
        <v>0</v>
      </c>
    </row>
    <row r="621" spans="1:6">
      <c r="B621" s="214" t="s">
        <v>673</v>
      </c>
      <c r="C621" s="898">
        <f>Objectifs!B73</f>
        <v>0</v>
      </c>
    </row>
    <row r="622" spans="1:6">
      <c r="B622" s="214"/>
    </row>
    <row r="623" spans="1:6">
      <c r="B623" s="216" t="s">
        <v>676</v>
      </c>
      <c r="C623" s="217" t="s">
        <v>677</v>
      </c>
      <c r="D623" s="2068" t="s">
        <v>696</v>
      </c>
      <c r="E623" s="2069"/>
    </row>
    <row r="624" spans="1:6">
      <c r="A624" s="843" t="str">
        <f>C$620&amp;"_"&amp;F624</f>
        <v>0_1</v>
      </c>
      <c r="B624" s="382"/>
      <c r="C624" s="899"/>
      <c r="D624" s="2071"/>
      <c r="E624" s="2072"/>
      <c r="F624" s="55">
        <v>1</v>
      </c>
    </row>
    <row r="625" spans="1:7">
      <c r="A625" s="843" t="str">
        <f t="shared" ref="A625:A633" si="69">C$620&amp;"_"&amp;F625</f>
        <v>0_2</v>
      </c>
      <c r="B625" s="384"/>
      <c r="C625" s="899"/>
      <c r="D625" s="2071"/>
      <c r="E625" s="2072"/>
      <c r="F625" s="55">
        <v>2</v>
      </c>
    </row>
    <row r="626" spans="1:7">
      <c r="A626" s="843" t="str">
        <f t="shared" si="69"/>
        <v>0_3</v>
      </c>
      <c r="B626" s="384"/>
      <c r="C626" s="899"/>
      <c r="D626" s="2071"/>
      <c r="E626" s="2072"/>
      <c r="F626" s="55">
        <v>3</v>
      </c>
    </row>
    <row r="627" spans="1:7">
      <c r="A627" s="843" t="str">
        <f t="shared" si="69"/>
        <v>0_4</v>
      </c>
      <c r="B627" s="384"/>
      <c r="C627" s="899"/>
      <c r="D627" s="2071"/>
      <c r="E627" s="2072"/>
      <c r="F627" s="55">
        <v>4</v>
      </c>
    </row>
    <row r="628" spans="1:7">
      <c r="A628" s="843" t="str">
        <f t="shared" si="69"/>
        <v>0_5</v>
      </c>
      <c r="B628" s="384"/>
      <c r="C628" s="899"/>
      <c r="D628" s="2071"/>
      <c r="E628" s="2072"/>
      <c r="F628" s="55">
        <v>5</v>
      </c>
    </row>
    <row r="629" spans="1:7">
      <c r="A629" s="843" t="str">
        <f t="shared" si="69"/>
        <v>0_6</v>
      </c>
      <c r="B629" s="384"/>
      <c r="C629" s="899"/>
      <c r="D629" s="2071"/>
      <c r="E629" s="2072"/>
      <c r="F629" s="55">
        <v>6</v>
      </c>
    </row>
    <row r="630" spans="1:7">
      <c r="A630" s="843" t="str">
        <f t="shared" si="69"/>
        <v>0_7</v>
      </c>
      <c r="B630" s="382"/>
      <c r="C630" s="899"/>
      <c r="D630" s="2071"/>
      <c r="E630" s="2072"/>
      <c r="F630" s="55">
        <v>7</v>
      </c>
    </row>
    <row r="631" spans="1:7">
      <c r="A631" s="843" t="str">
        <f t="shared" si="69"/>
        <v>0_8</v>
      </c>
      <c r="B631" s="382"/>
      <c r="C631" s="899"/>
      <c r="D631" s="2071"/>
      <c r="E631" s="2072"/>
      <c r="F631" s="55">
        <v>8</v>
      </c>
    </row>
    <row r="632" spans="1:7">
      <c r="A632" s="843" t="str">
        <f t="shared" si="69"/>
        <v>0_9</v>
      </c>
      <c r="B632" s="382"/>
      <c r="C632" s="899"/>
      <c r="D632" s="2071"/>
      <c r="E632" s="2072"/>
      <c r="F632" s="55">
        <v>9</v>
      </c>
    </row>
    <row r="633" spans="1:7">
      <c r="A633" s="843" t="str">
        <f t="shared" si="69"/>
        <v>0_10</v>
      </c>
      <c r="B633" s="382"/>
      <c r="C633" s="899"/>
      <c r="D633" s="2071"/>
      <c r="E633" s="2072"/>
      <c r="F633" s="55">
        <v>10</v>
      </c>
    </row>
    <row r="634" spans="1:7">
      <c r="C634" s="209" t="s">
        <v>107</v>
      </c>
      <c r="D634" s="2073">
        <f>SUM(D624:E633)</f>
        <v>0</v>
      </c>
      <c r="E634" s="2074"/>
      <c r="F634" s="214"/>
      <c r="G634" s="897"/>
    </row>
    <row r="635" spans="1:7">
      <c r="F635" s="214"/>
      <c r="G635" s="898"/>
    </row>
    <row r="637" spans="1:7">
      <c r="B637" s="214" t="s">
        <v>671</v>
      </c>
      <c r="C637" s="897">
        <f>Objectifs!C74</f>
        <v>0</v>
      </c>
    </row>
    <row r="638" spans="1:7">
      <c r="B638" s="214" t="s">
        <v>673</v>
      </c>
      <c r="C638" s="898">
        <f>Objectifs!B74</f>
        <v>0</v>
      </c>
    </row>
    <row r="639" spans="1:7">
      <c r="B639" s="214"/>
    </row>
    <row r="640" spans="1:7">
      <c r="B640" s="216" t="s">
        <v>676</v>
      </c>
      <c r="C640" s="217" t="s">
        <v>677</v>
      </c>
      <c r="D640" s="2068" t="s">
        <v>696</v>
      </c>
      <c r="E640" s="2069"/>
    </row>
    <row r="641" spans="1:6">
      <c r="A641" s="843" t="str">
        <f>C$637&amp;"_"&amp;F641</f>
        <v>0_1</v>
      </c>
      <c r="B641" s="382"/>
      <c r="C641" s="899"/>
      <c r="D641" s="2071"/>
      <c r="E641" s="2072"/>
      <c r="F641" s="55">
        <v>1</v>
      </c>
    </row>
    <row r="642" spans="1:6">
      <c r="A642" s="843" t="str">
        <f t="shared" ref="A642:A650" si="70">C$637&amp;"_"&amp;F642</f>
        <v>0_2</v>
      </c>
      <c r="B642" s="384"/>
      <c r="C642" s="899"/>
      <c r="D642" s="2071"/>
      <c r="E642" s="2072"/>
      <c r="F642" s="55">
        <v>2</v>
      </c>
    </row>
    <row r="643" spans="1:6">
      <c r="A643" s="843" t="str">
        <f t="shared" si="70"/>
        <v>0_3</v>
      </c>
      <c r="B643" s="384"/>
      <c r="C643" s="899"/>
      <c r="D643" s="2071"/>
      <c r="E643" s="2072"/>
      <c r="F643" s="55">
        <v>3</v>
      </c>
    </row>
    <row r="644" spans="1:6">
      <c r="A644" s="843" t="str">
        <f t="shared" si="70"/>
        <v>0_4</v>
      </c>
      <c r="B644" s="384"/>
      <c r="C644" s="899"/>
      <c r="D644" s="2071"/>
      <c r="E644" s="2072"/>
      <c r="F644" s="55">
        <v>4</v>
      </c>
    </row>
    <row r="645" spans="1:6">
      <c r="A645" s="843" t="str">
        <f t="shared" si="70"/>
        <v>0_5</v>
      </c>
      <c r="B645" s="384"/>
      <c r="C645" s="899"/>
      <c r="D645" s="2071"/>
      <c r="E645" s="2072"/>
      <c r="F645" s="55">
        <v>5</v>
      </c>
    </row>
    <row r="646" spans="1:6">
      <c r="A646" s="843" t="str">
        <f t="shared" si="70"/>
        <v>0_6</v>
      </c>
      <c r="B646" s="384"/>
      <c r="C646" s="899"/>
      <c r="D646" s="2071"/>
      <c r="E646" s="2072"/>
      <c r="F646" s="55">
        <v>6</v>
      </c>
    </row>
    <row r="647" spans="1:6">
      <c r="A647" s="843" t="str">
        <f t="shared" si="70"/>
        <v>0_7</v>
      </c>
      <c r="B647" s="382"/>
      <c r="C647" s="899"/>
      <c r="D647" s="2071"/>
      <c r="E647" s="2072"/>
      <c r="F647" s="55">
        <v>7</v>
      </c>
    </row>
    <row r="648" spans="1:6">
      <c r="A648" s="843" t="str">
        <f t="shared" si="70"/>
        <v>0_8</v>
      </c>
      <c r="B648" s="382"/>
      <c r="C648" s="899"/>
      <c r="D648" s="2071"/>
      <c r="E648" s="2072"/>
      <c r="F648" s="55">
        <v>8</v>
      </c>
    </row>
    <row r="649" spans="1:6">
      <c r="A649" s="843" t="str">
        <f t="shared" si="70"/>
        <v>0_9</v>
      </c>
      <c r="B649" s="382"/>
      <c r="C649" s="899"/>
      <c r="D649" s="2071"/>
      <c r="E649" s="2072"/>
      <c r="F649" s="55">
        <v>9</v>
      </c>
    </row>
    <row r="650" spans="1:6">
      <c r="A650" s="843" t="str">
        <f t="shared" si="70"/>
        <v>0_10</v>
      </c>
      <c r="B650" s="382"/>
      <c r="C650" s="899"/>
      <c r="D650" s="2071"/>
      <c r="E650" s="2072"/>
      <c r="F650" s="55">
        <v>10</v>
      </c>
    </row>
    <row r="651" spans="1:6">
      <c r="C651" s="209" t="s">
        <v>107</v>
      </c>
      <c r="D651" s="2073">
        <f>SUM(D641:E650)</f>
        <v>0</v>
      </c>
      <c r="E651" s="2074"/>
    </row>
  </sheetData>
  <sheetProtection algorithmName="SHA-512" hashValue="IigCH1+8X7KUJuxOcIH6y7DPewgH41PqeiKyjgSQvppdvA/dMEAuSCt+gHYRikpiDF2pGMyvLGkrfmgnl96P6g==" saltValue="Oxu2DSEQsdzzZvWTWnh7zw==" spinCount="100000" sheet="1" formatRows="0"/>
  <mergeCells count="206">
    <mergeCell ref="D649:E649"/>
    <mergeCell ref="D650:E650"/>
    <mergeCell ref="D651:E651"/>
    <mergeCell ref="D640:E640"/>
    <mergeCell ref="D641:E641"/>
    <mergeCell ref="D642:E642"/>
    <mergeCell ref="D643:E643"/>
    <mergeCell ref="D644:E644"/>
    <mergeCell ref="D645:E645"/>
    <mergeCell ref="D646:E646"/>
    <mergeCell ref="D647:E647"/>
    <mergeCell ref="D648:E648"/>
    <mergeCell ref="D628:E628"/>
    <mergeCell ref="D629:E629"/>
    <mergeCell ref="D630:E630"/>
    <mergeCell ref="D631:E631"/>
    <mergeCell ref="D632:E632"/>
    <mergeCell ref="D633:E633"/>
    <mergeCell ref="D634:E634"/>
    <mergeCell ref="D614:E614"/>
    <mergeCell ref="D615:E615"/>
    <mergeCell ref="D616:E616"/>
    <mergeCell ref="D617:E617"/>
    <mergeCell ref="D623:E623"/>
    <mergeCell ref="D624:E624"/>
    <mergeCell ref="D625:E625"/>
    <mergeCell ref="D626:E626"/>
    <mergeCell ref="D627:E627"/>
    <mergeCell ref="D606:E606"/>
    <mergeCell ref="D607:E607"/>
    <mergeCell ref="D608:E608"/>
    <mergeCell ref="D609:E609"/>
    <mergeCell ref="D610:E610"/>
    <mergeCell ref="D611:E611"/>
    <mergeCell ref="D612:E612"/>
    <mergeCell ref="D613:E613"/>
    <mergeCell ref="D592:E592"/>
    <mergeCell ref="D593:E593"/>
    <mergeCell ref="D594:E594"/>
    <mergeCell ref="D595:E595"/>
    <mergeCell ref="D596:E596"/>
    <mergeCell ref="D597:E597"/>
    <mergeCell ref="D598:E598"/>
    <mergeCell ref="D599:E599"/>
    <mergeCell ref="D600:E600"/>
    <mergeCell ref="D578:E578"/>
    <mergeCell ref="D579:E579"/>
    <mergeCell ref="D580:E580"/>
    <mergeCell ref="D581:E581"/>
    <mergeCell ref="D582:E582"/>
    <mergeCell ref="D583:E583"/>
    <mergeCell ref="D589:E589"/>
    <mergeCell ref="D590:E590"/>
    <mergeCell ref="D591:E591"/>
    <mergeCell ref="D564:E564"/>
    <mergeCell ref="D565:E565"/>
    <mergeCell ref="D566:E566"/>
    <mergeCell ref="D572:E572"/>
    <mergeCell ref="D573:E573"/>
    <mergeCell ref="D574:E574"/>
    <mergeCell ref="D575:E575"/>
    <mergeCell ref="D576:E576"/>
    <mergeCell ref="D577:E577"/>
    <mergeCell ref="D555:E555"/>
    <mergeCell ref="D556:E556"/>
    <mergeCell ref="D557:E557"/>
    <mergeCell ref="D558:E558"/>
    <mergeCell ref="D559:E559"/>
    <mergeCell ref="D560:E560"/>
    <mergeCell ref="D561:E561"/>
    <mergeCell ref="D562:E562"/>
    <mergeCell ref="D563:E563"/>
    <mergeCell ref="D545:E545"/>
    <mergeCell ref="D546:E546"/>
    <mergeCell ref="D547:E547"/>
    <mergeCell ref="D548:E548"/>
    <mergeCell ref="D549:E549"/>
    <mergeCell ref="D540:E540"/>
    <mergeCell ref="D541:E541"/>
    <mergeCell ref="D542:E542"/>
    <mergeCell ref="D543:E543"/>
    <mergeCell ref="D544:E544"/>
    <mergeCell ref="D530:E530"/>
    <mergeCell ref="D531:E531"/>
    <mergeCell ref="D532:E532"/>
    <mergeCell ref="D538:E538"/>
    <mergeCell ref="D539:E539"/>
    <mergeCell ref="D525:E525"/>
    <mergeCell ref="D526:E526"/>
    <mergeCell ref="D527:E527"/>
    <mergeCell ref="D528:E528"/>
    <mergeCell ref="D529:E529"/>
    <mergeCell ref="D515:E515"/>
    <mergeCell ref="D521:E521"/>
    <mergeCell ref="D522:E522"/>
    <mergeCell ref="D523:E523"/>
    <mergeCell ref="D524:E524"/>
    <mergeCell ref="D510:E510"/>
    <mergeCell ref="D511:E511"/>
    <mergeCell ref="D512:E512"/>
    <mergeCell ref="D513:E513"/>
    <mergeCell ref="D514:E514"/>
    <mergeCell ref="D505:E505"/>
    <mergeCell ref="D506:E506"/>
    <mergeCell ref="D507:E507"/>
    <mergeCell ref="D508:E508"/>
    <mergeCell ref="D509:E509"/>
    <mergeCell ref="D496:E496"/>
    <mergeCell ref="D497:E497"/>
    <mergeCell ref="D504:E504"/>
    <mergeCell ref="D491:E491"/>
    <mergeCell ref="D492:E492"/>
    <mergeCell ref="D493:E493"/>
    <mergeCell ref="D494:E494"/>
    <mergeCell ref="D495:E495"/>
    <mergeCell ref="D486:E486"/>
    <mergeCell ref="D487:E487"/>
    <mergeCell ref="D488:E488"/>
    <mergeCell ref="D489:E489"/>
    <mergeCell ref="D490:E490"/>
    <mergeCell ref="D253:E253"/>
    <mergeCell ref="H28:H45"/>
    <mergeCell ref="H163:H180"/>
    <mergeCell ref="J189:J211"/>
    <mergeCell ref="H221:H237"/>
    <mergeCell ref="H246:H262"/>
    <mergeCell ref="J132:J155"/>
    <mergeCell ref="I60:J60"/>
    <mergeCell ref="D254:E254"/>
    <mergeCell ref="D255:E255"/>
    <mergeCell ref="H270:H288"/>
    <mergeCell ref="H54:H71"/>
    <mergeCell ref="H80:H97"/>
    <mergeCell ref="H106:H123"/>
    <mergeCell ref="H134:H154"/>
    <mergeCell ref="D281:E281"/>
    <mergeCell ref="D256:E256"/>
    <mergeCell ref="D257:E257"/>
    <mergeCell ref="D258:E258"/>
    <mergeCell ref="K60:L60"/>
    <mergeCell ref="D231:E231"/>
    <mergeCell ref="D232:E232"/>
    <mergeCell ref="D233:E233"/>
    <mergeCell ref="D252:E252"/>
    <mergeCell ref="D237:E237"/>
    <mergeCell ref="D251:E251"/>
    <mergeCell ref="D234:E234"/>
    <mergeCell ref="D235:E235"/>
    <mergeCell ref="D236:E236"/>
    <mergeCell ref="D226:E226"/>
    <mergeCell ref="D227:E227"/>
    <mergeCell ref="D228:E228"/>
    <mergeCell ref="D229:E229"/>
    <mergeCell ref="D230:E230"/>
    <mergeCell ref="D259:E259"/>
    <mergeCell ref="D260:E260"/>
    <mergeCell ref="D261:E261"/>
    <mergeCell ref="D262:E262"/>
    <mergeCell ref="D277:E277"/>
    <mergeCell ref="D278:E278"/>
    <mergeCell ref="D279:E279"/>
    <mergeCell ref="D280:E280"/>
    <mergeCell ref="D287:E287"/>
    <mergeCell ref="D288:E288"/>
    <mergeCell ref="D282:E282"/>
    <mergeCell ref="D283:E283"/>
    <mergeCell ref="D284:E284"/>
    <mergeCell ref="D285:E285"/>
    <mergeCell ref="D286:E286"/>
    <mergeCell ref="B443:C443"/>
    <mergeCell ref="B453:C453"/>
    <mergeCell ref="B463:C463"/>
    <mergeCell ref="B393:C393"/>
    <mergeCell ref="B403:C403"/>
    <mergeCell ref="B413:C413"/>
    <mergeCell ref="B473:C473"/>
    <mergeCell ref="G299:G303"/>
    <mergeCell ref="B323:C323"/>
    <mergeCell ref="B363:C363"/>
    <mergeCell ref="B373:C373"/>
    <mergeCell ref="B383:C383"/>
    <mergeCell ref="B423:C423"/>
    <mergeCell ref="B433:C433"/>
    <mergeCell ref="B303:C303"/>
    <mergeCell ref="B313:C313"/>
    <mergeCell ref="B333:C333"/>
    <mergeCell ref="B343:C343"/>
    <mergeCell ref="B353:C353"/>
    <mergeCell ref="I295:I303"/>
    <mergeCell ref="I305:I313"/>
    <mergeCell ref="I325:I334"/>
    <mergeCell ref="L335:L343"/>
    <mergeCell ref="L345:L353"/>
    <mergeCell ref="K435:K443"/>
    <mergeCell ref="K445:K453"/>
    <mergeCell ref="K455:K463"/>
    <mergeCell ref="K465:K473"/>
    <mergeCell ref="I315:I323"/>
    <mergeCell ref="K355:K363"/>
    <mergeCell ref="K365:K373"/>
    <mergeCell ref="K375:K383"/>
    <mergeCell ref="K415:K423"/>
    <mergeCell ref="K425:K433"/>
    <mergeCell ref="K385:K393"/>
    <mergeCell ref="K395:K403"/>
    <mergeCell ref="K405:K413"/>
  </mergeCells>
  <phoneticPr fontId="99" type="noConversion"/>
  <dataValidations count="5">
    <dataValidation type="list" allowBlank="1" showInputMessage="1" showErrorMessage="1" promptTitle="Test" sqref="B139:B146" xr:uid="{2B21D631-0A00-40D1-A4DC-7CFA68808A25}">
      <formula1>INDIRECT($C$133)</formula1>
    </dataValidation>
    <dataValidation type="list" allowBlank="1" showInputMessage="1" showErrorMessage="1" promptTitle="Test" sqref="B196:B203" xr:uid="{078A6736-2407-429F-9F77-5580E361B7F5}">
      <formula1>INDIRECT($C$190)</formula1>
    </dataValidation>
    <dataValidation type="decimal" operator="lessThan" allowBlank="1" showInputMessage="1" showErrorMessage="1" sqref="D35:D44 D61:D70 D87:D96 D113:D122 D147:D153 D204:D210" xr:uid="{F5A2AA84-C596-488C-A7CB-9E047A37BF93}">
      <formula1>0</formula1>
    </dataValidation>
    <dataValidation allowBlank="1" showInputMessage="1" showErrorMessage="1" promptTitle="Test" sqref="B61:B70" xr:uid="{F9B9C305-52DD-4A52-A6F0-8E10E7669FEB}"/>
    <dataValidation type="list" allowBlank="1" showInputMessage="1" showErrorMessage="1" sqref="D487:E496 D505:E514 D539:E548 D522:E531 D556:E565 D573:E582 D590:E599 D607:E616 D624:E633 D641:E650" xr:uid="{B51AF1CC-908F-4835-89E5-22E6AF7F4FD1}">
      <formula1>Pourcent</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0BD67-C006-45B5-93A8-9DCBCC1B2A47}">
  <sheetPr codeName="Feuil14"/>
  <dimension ref="A1:D9"/>
  <sheetViews>
    <sheetView workbookViewId="0">
      <selection activeCell="B6" sqref="B6"/>
    </sheetView>
  </sheetViews>
  <sheetFormatPr baseColWidth="10" defaultColWidth="11.44140625" defaultRowHeight="14.4"/>
  <cols>
    <col min="1" max="1" width="19.5546875" bestFit="1" customWidth="1"/>
    <col min="2" max="2" width="73.5546875" bestFit="1" customWidth="1"/>
    <col min="3" max="3" width="17.109375" bestFit="1" customWidth="1"/>
    <col min="4" max="4" width="18" customWidth="1"/>
  </cols>
  <sheetData>
    <row r="1" spans="1:4">
      <c r="A1" t="s">
        <v>103</v>
      </c>
      <c r="B1" t="s">
        <v>697</v>
      </c>
      <c r="C1" t="s">
        <v>611</v>
      </c>
      <c r="D1" t="s">
        <v>698</v>
      </c>
    </row>
    <row r="2" spans="1:4">
      <c r="A2" t="s">
        <v>201</v>
      </c>
      <c r="B2" t="s">
        <v>699</v>
      </c>
      <c r="C2" s="785">
        <f>23246*0.1/1000000</f>
        <v>2.3246E-3</v>
      </c>
      <c r="D2" s="785">
        <f>23246*0.9/1000000</f>
        <v>2.0921400000000003E-2</v>
      </c>
    </row>
    <row r="3" spans="1:4">
      <c r="A3" t="s">
        <v>201</v>
      </c>
      <c r="B3" t="s">
        <v>634</v>
      </c>
      <c r="C3" s="785">
        <f>12500*2/3/1000000</f>
        <v>8.3333333333333332E-3</v>
      </c>
      <c r="D3" s="785">
        <f>12500/1000000</f>
        <v>1.2500000000000001E-2</v>
      </c>
    </row>
    <row r="4" spans="1:4">
      <c r="A4" t="s">
        <v>201</v>
      </c>
      <c r="B4" t="s">
        <v>700</v>
      </c>
      <c r="C4" s="785">
        <v>0</v>
      </c>
      <c r="D4" s="785">
        <f>D2</f>
        <v>2.0921400000000003E-2</v>
      </c>
    </row>
    <row r="5" spans="1:4">
      <c r="A5" t="s">
        <v>201</v>
      </c>
      <c r="B5" s="59" t="s">
        <v>701</v>
      </c>
      <c r="C5" s="785">
        <v>0</v>
      </c>
      <c r="D5" s="785">
        <f>D2*100</f>
        <v>2.0921400000000001</v>
      </c>
    </row>
    <row r="6" spans="1:4">
      <c r="A6" t="s">
        <v>300</v>
      </c>
      <c r="B6" t="s">
        <v>702</v>
      </c>
      <c r="C6">
        <f>200*30*(0.5-0.17)/1000000</f>
        <v>1.98E-3</v>
      </c>
      <c r="D6">
        <f>200*30*0.5/1000000</f>
        <v>3.0000000000000001E-3</v>
      </c>
    </row>
    <row r="7" spans="1:4">
      <c r="A7" t="s">
        <v>199</v>
      </c>
      <c r="B7" s="59" t="s">
        <v>668</v>
      </c>
      <c r="C7">
        <f>Mesures_eco!C32</f>
        <v>4.0823999999999999E-2</v>
      </c>
      <c r="D7">
        <f>90*1000/1000000</f>
        <v>0.09</v>
      </c>
    </row>
    <row r="8" spans="1:4">
      <c r="A8" t="s">
        <v>297</v>
      </c>
      <c r="B8" t="s">
        <v>687</v>
      </c>
      <c r="C8" s="785" t="e">
        <f ca="1">'Bilan territorial'!M18*(0.5-0.17)/0.5/100</f>
        <v>#REF!</v>
      </c>
      <c r="D8" s="785" t="e">
        <f ca="1">'Bilan territorial'!M18/100</f>
        <v>#REF!</v>
      </c>
    </row>
    <row r="9" spans="1:4">
      <c r="A9" t="s">
        <v>703</v>
      </c>
      <c r="B9" s="59" t="s">
        <v>686</v>
      </c>
      <c r="C9" s="116" t="e">
        <f ca="1">D9/D7*C7</f>
        <v>#REF!</v>
      </c>
      <c r="D9" s="785" t="e">
        <f ca="1">SUM('Bilan territorial'!AG13:AH13)/100</f>
        <v>#REF!</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F4674-2F06-42C2-BD97-E5BF94E03F3E}">
  <sheetPr codeName="Feuil24">
    <tabColor theme="8" tint="-0.249977111117893"/>
    <pageSetUpPr fitToPage="1"/>
  </sheetPr>
  <dimension ref="A1:R302"/>
  <sheetViews>
    <sheetView showGridLines="0" zoomScale="80" zoomScaleNormal="80" workbookViewId="0">
      <selection activeCell="G4" sqref="G4"/>
    </sheetView>
  </sheetViews>
  <sheetFormatPr baseColWidth="10" defaultColWidth="9.109375" defaultRowHeight="14.4"/>
  <cols>
    <col min="1" max="1" width="32.44140625" style="1" customWidth="1"/>
    <col min="2" max="2" width="34.44140625" style="1" customWidth="1"/>
    <col min="3" max="3" width="30" style="1" customWidth="1"/>
    <col min="4" max="4" width="27.5546875" style="1" customWidth="1"/>
    <col min="5" max="5" width="22.44140625" style="1" customWidth="1"/>
    <col min="6" max="6" width="20.88671875" style="1" customWidth="1"/>
    <col min="7" max="7" width="15.44140625" style="38" customWidth="1"/>
    <col min="8" max="8" width="7.5546875" style="38" bestFit="1" customWidth="1"/>
    <col min="9" max="9" width="37.5546875" style="1" customWidth="1"/>
    <col min="10" max="10" width="22.5546875" style="1" customWidth="1"/>
    <col min="11" max="11" width="3.44140625" style="1" bestFit="1" customWidth="1"/>
    <col min="12" max="12" width="15.44140625" style="1" customWidth="1"/>
    <col min="13" max="13" width="63.88671875" style="1" hidden="1" customWidth="1"/>
    <col min="14" max="14" width="20.5546875" style="1" hidden="1" customWidth="1"/>
    <col min="15" max="15" width="22" style="1" hidden="1" customWidth="1"/>
    <col min="16" max="16" width="8.5546875" style="1" hidden="1" customWidth="1"/>
    <col min="17" max="17" width="49.88671875" style="1" hidden="1" customWidth="1"/>
    <col min="18" max="18" width="25.44140625" style="1" hidden="1" customWidth="1"/>
    <col min="19" max="20" width="9.109375" style="1" customWidth="1"/>
    <col min="21" max="16384" width="9.109375" style="1"/>
  </cols>
  <sheetData>
    <row r="1" spans="1:18" ht="38.4" customHeight="1">
      <c r="A1" s="805" t="s">
        <v>704</v>
      </c>
      <c r="B1" s="806">
        <f>Accueil!E27</f>
        <v>0</v>
      </c>
      <c r="C1" s="806"/>
      <c r="D1" s="806"/>
      <c r="E1" s="807"/>
      <c r="F1" s="808"/>
      <c r="G1" s="55"/>
      <c r="H1" s="243"/>
      <c r="I1" s="233"/>
      <c r="J1" s="233"/>
      <c r="K1" s="233"/>
      <c r="L1" s="233"/>
      <c r="M1" s="169" t="s">
        <v>705</v>
      </c>
      <c r="N1" s="169" t="s">
        <v>706</v>
      </c>
      <c r="O1" s="169"/>
    </row>
    <row r="2" spans="1:18" ht="25.8">
      <c r="A2" s="809"/>
      <c r="B2" s="850" t="s">
        <v>707</v>
      </c>
      <c r="C2" s="809"/>
      <c r="D2" s="809"/>
      <c r="E2" s="837">
        <v>1</v>
      </c>
      <c r="F2" s="851" t="s">
        <v>708</v>
      </c>
      <c r="G2" s="55"/>
      <c r="H2" s="243"/>
      <c r="I2" s="233"/>
      <c r="J2" s="233"/>
      <c r="K2" s="233"/>
      <c r="L2" s="233"/>
      <c r="M2" s="169" t="str">
        <f>IF('Suivi objectifs'!B3=Modele!$A$5,'Suivi objectifs'!D3,"")</f>
        <v/>
      </c>
      <c r="N2" s="169" t="str">
        <f>IF(M2&lt;&gt;"","o","")</f>
        <v/>
      </c>
      <c r="O2" s="169">
        <f t="array" aca="1" ref="O2" ca="1">IF(ROWS($1:1)&lt;=COUNTIF(cond,"o"),INDEX(champ,SMALL(IF(cond="o",ROW(INDIRECT("1:"&amp;ROWS(champ)))),ROWS($1:1))),"")</f>
        <v>0</v>
      </c>
    </row>
    <row r="3" spans="1:18" ht="44.4" customHeight="1" thickBot="1">
      <c r="A3" s="1010" t="s">
        <v>709</v>
      </c>
      <c r="B3" s="855" t="b">
        <v>0</v>
      </c>
      <c r="C3" s="1010" t="s">
        <v>710</v>
      </c>
      <c r="D3" s="1011" t="b">
        <v>0</v>
      </c>
      <c r="E3" s="855" t="b">
        <v>0</v>
      </c>
      <c r="F3" s="852" t="s">
        <v>711</v>
      </c>
      <c r="G3" s="55"/>
      <c r="H3" s="243"/>
      <c r="I3" s="233"/>
      <c r="J3" s="233"/>
      <c r="K3" s="233"/>
      <c r="L3" s="233"/>
      <c r="M3" s="169">
        <f>IF('Suivi objectifs'!B4=Modele!$A$5,'Suivi objectifs'!D4,"")</f>
        <v>0</v>
      </c>
      <c r="N3" s="169" t="str">
        <f>IF(M3&lt;&gt;"","o","")</f>
        <v>o</v>
      </c>
      <c r="O3" s="169">
        <f t="array" aca="1" ref="O3" ca="1">IF(ROWS($1:2)&lt;=COUNTIF(cond,"o"),INDEX(champ,SMALL(IF(cond="o",ROW(INDIRECT("1:"&amp;ROWS(champ)))),ROWS($1:2))),"")</f>
        <v>0</v>
      </c>
    </row>
    <row r="4" spans="1:18" ht="47.4" thickBot="1">
      <c r="A4" s="834" t="s">
        <v>103</v>
      </c>
      <c r="B4" s="835" t="s">
        <v>712</v>
      </c>
      <c r="C4" s="836" t="s">
        <v>713</v>
      </c>
      <c r="D4" s="836" t="s">
        <v>714</v>
      </c>
      <c r="E4" s="810" t="s">
        <v>715</v>
      </c>
      <c r="F4" s="811">
        <v>1</v>
      </c>
      <c r="G4" s="1748" t="s">
        <v>3112</v>
      </c>
      <c r="H4" s="243"/>
      <c r="I4" s="234" t="s">
        <v>716</v>
      </c>
      <c r="J4" s="235"/>
      <c r="K4" s="236"/>
      <c r="L4" s="233"/>
      <c r="M4" s="169">
        <f>IF('Suivi objectifs'!B5=Modele!$A$5,'Suivi objectifs'!D5,"")</f>
        <v>0</v>
      </c>
      <c r="N4" s="169" t="str">
        <f t="shared" ref="N4:N32" si="0">IF(M4&lt;&gt;"","o","")</f>
        <v>o</v>
      </c>
      <c r="O4" s="169">
        <f t="array" aca="1" ref="O4" ca="1">IF(ROWS($1:3)&lt;=COUNTIF(cond,"o"),INDEX(champ,SMALL(IF(cond="o",ROW(INDIRECT("1:"&amp;ROWS(champ)))),ROWS($1:3))),"")</f>
        <v>0</v>
      </c>
    </row>
    <row r="5" spans="1:18" ht="16.2" thickBot="1">
      <c r="A5" s="1003"/>
      <c r="B5" s="1003"/>
      <c r="C5" s="1004"/>
      <c r="D5" s="1004"/>
      <c r="E5" s="2097" t="s">
        <v>717</v>
      </c>
      <c r="F5" s="2098"/>
      <c r="G5" s="1749"/>
      <c r="H5" s="243"/>
      <c r="I5" s="237"/>
      <c r="J5" s="233"/>
      <c r="K5" s="238"/>
      <c r="L5" s="233"/>
      <c r="M5" s="169">
        <f>IF('Suivi objectifs'!B6=Modele!$A$5,'Suivi objectifs'!D6,"")</f>
        <v>0</v>
      </c>
      <c r="N5" s="169" t="str">
        <f t="shared" si="0"/>
        <v>o</v>
      </c>
      <c r="O5" s="169">
        <f t="array" aca="1" ref="O5" ca="1">IF(ROWS($1:4)&lt;=COUNTIF(cond,"o"),INDEX(champ,SMALL(IF(cond="o",ROW(INDIRECT("1:"&amp;ROWS(champ)))),ROWS($1:4))),"")</f>
        <v>0</v>
      </c>
    </row>
    <row r="6" spans="1:18" ht="16.2" thickBot="1">
      <c r="A6" s="812"/>
      <c r="B6" s="813"/>
      <c r="C6" s="813"/>
      <c r="D6" s="813"/>
      <c r="E6" s="2099"/>
      <c r="F6" s="2100"/>
      <c r="G6" s="55"/>
      <c r="H6" s="243"/>
      <c r="I6" s="239" t="s">
        <v>718</v>
      </c>
      <c r="J6" s="814"/>
      <c r="K6" s="238"/>
      <c r="L6" s="233"/>
      <c r="M6" s="169">
        <f>IF('Suivi objectifs'!B7=Modele!$A$5,'Suivi objectifs'!D7,"")</f>
        <v>0</v>
      </c>
      <c r="N6" s="169" t="str">
        <f t="shared" si="0"/>
        <v>o</v>
      </c>
      <c r="O6" s="169">
        <f t="array" aca="1" ref="O6" ca="1">IF(ROWS($1:5)&lt;=COUNTIF(cond,"o"),INDEX(champ,SMALL(IF(cond="o",ROW(INDIRECT("1:"&amp;ROWS(champ)))),ROWS($1:5))),"")</f>
        <v>0</v>
      </c>
    </row>
    <row r="7" spans="1:18" ht="16.2" thickBot="1">
      <c r="A7" s="780" t="s">
        <v>696</v>
      </c>
      <c r="B7" s="815"/>
      <c r="C7" s="815"/>
      <c r="D7" s="816"/>
      <c r="E7" s="813"/>
      <c r="F7" s="817"/>
      <c r="G7" s="55"/>
      <c r="H7" s="243"/>
      <c r="I7" s="237"/>
      <c r="J7" s="233"/>
      <c r="K7" s="238"/>
      <c r="L7" s="233"/>
      <c r="M7" s="169">
        <f>IF('Suivi objectifs'!B8=Modele!$A$5,'Suivi objectifs'!D8,"")</f>
        <v>0</v>
      </c>
      <c r="N7" s="169" t="str">
        <f t="shared" si="0"/>
        <v>o</v>
      </c>
      <c r="O7" s="169">
        <f t="array" aca="1" ref="O7" ca="1">IF(ROWS($1:6)&lt;=COUNTIF(cond,"o"),INDEX(champ,SMALL(IF(cond="o",ROW(INDIRECT("1:"&amp;ROWS(champ)))),ROWS($1:6))),"")</f>
        <v>0</v>
      </c>
      <c r="Q7" s="1" t="s">
        <v>719</v>
      </c>
      <c r="R7" s="1" t="s">
        <v>720</v>
      </c>
    </row>
    <row r="8" spans="1:18" ht="39.6" customHeight="1" thickBot="1">
      <c r="A8" s="812"/>
      <c r="B8" s="388"/>
      <c r="C8" s="813"/>
      <c r="D8" s="813"/>
      <c r="E8" s="387"/>
      <c r="F8" s="818"/>
      <c r="G8" s="55"/>
      <c r="H8" s="243"/>
      <c r="I8" s="240"/>
      <c r="J8" s="241"/>
      <c r="K8" s="242"/>
      <c r="L8" s="233"/>
      <c r="M8" s="169">
        <f>IF('Suivi objectifs'!B9=Modele!$A$5,'Suivi objectifs'!D9,"")</f>
        <v>0</v>
      </c>
      <c r="N8" s="169" t="str">
        <f t="shared" si="0"/>
        <v>o</v>
      </c>
      <c r="O8" s="169">
        <f t="array" aca="1" ref="O8" ca="1">IF(ROWS($1:7)&lt;=COUNTIF(cond,"o"),INDEX(champ,SMALL(IF(cond="o",ROW(INDIRECT("1:"&amp;ROWS(champ)))),ROWS($1:7))),"")</f>
        <v>0</v>
      </c>
      <c r="Q8" s="1" t="str">
        <f>""</f>
        <v/>
      </c>
    </row>
    <row r="9" spans="1:18" ht="16.2" thickBot="1">
      <c r="A9" s="780" t="str">
        <f>IF(E2=1,"Domaine d'intervention","Principal risque climatique ciblé")</f>
        <v>Domaine d'intervention</v>
      </c>
      <c r="B9" s="231"/>
      <c r="C9" s="780" t="s">
        <v>721</v>
      </c>
      <c r="D9" s="232"/>
      <c r="E9" s="2101" t="s">
        <v>722</v>
      </c>
      <c r="F9" s="2102"/>
      <c r="G9" s="55"/>
      <c r="H9" s="243"/>
      <c r="I9" s="235"/>
      <c r="J9" s="243"/>
      <c r="K9" s="233"/>
      <c r="L9" s="233"/>
      <c r="M9" s="169">
        <f>IF('Suivi objectifs'!B10=Modele!$A$5,'Suivi objectifs'!D10,"")</f>
        <v>0</v>
      </c>
      <c r="N9" s="169" t="str">
        <f t="shared" si="0"/>
        <v>o</v>
      </c>
      <c r="O9" s="169">
        <f t="array" aca="1" ref="O9" ca="1">IF(ROWS($1:8)&lt;=COUNTIF(cond,"o"),INDEX(champ,SMALL(IF(cond="o",ROW(INDIRECT("1:"&amp;ROWS(champ)))),ROWS($1:8))),"")</f>
        <v>0</v>
      </c>
      <c r="Q9" s="1" t="str">
        <f>IF(IF($A$5=Categories!$Z$8,Categories!C21,IF($A$5=Categories!$Z$9,Categories!C29,IF(OR($A$5=Categories!$Z$10,$A$5=Categories!$Z$14),Categories!C40,IF($A$5=Categories!$Z$11,Categories!C53,IF($A$5=Categories!$Z$12,Categories!C65,IF(OR($A$5=Categories!$Z$16,$A$5=Categories!$Z$17,$A$5=Categories!$Z$18),Categories!C75,Categories!C7))))))=0,"",IF($A$5=Categories!$Z$8,Categories!C21,IF($A$5=Categories!$Z$9,Categories!C29,IF(OR($A$5=Categories!$Z$10,$A$5=Categories!$Z$14),Categories!C40,IF($A$5=Categories!$Z$11,Categories!C53,IF($A$5=Categories!$Z$12,Categories!C65, IF(OR($A$5=Categories!$Z$16,$A$5=Categories!$Z$17,$A$5=Categories!$Z$18),Categories!C75,Categories!C7)))))))</f>
        <v>Enveloppe bâtiment</v>
      </c>
      <c r="R9" s="1" t="str">
        <f>IF(IF($A$5=Categories!$Z$8,Categories!J21,IF($A$5=Categories!$Z$9,Categories!J29,IF(OR($A$5=Categories!$Z$10,$A$5=Categories!$Z$14),Categories!J40,IF($A$5=Categories!$Z$11,Categories!J53,IF($A$5=Categories!$Z$12,Categories!J65,Categories!C7)))))=0,"",IF($A$5=Categories!$Z$8,Categories!J21,IF($A$5=Categories!$Z$9,Categories!J29,IF(OR($A$5=Categories!$Z$10,$A$5=Categories!$Z$14),Categories!J40,IF($A$5=Categories!$Z$11,Categories!J53,IF($A$5=Categories!$Z$12,Categories!J65,Categories!J7))))))</f>
        <v>Sensibilisation/information</v>
      </c>
    </row>
    <row r="10" spans="1:18" ht="16.2" thickBot="1">
      <c r="A10" s="812"/>
      <c r="B10" s="813"/>
      <c r="C10" s="813"/>
      <c r="D10" s="813"/>
      <c r="E10" s="2099"/>
      <c r="F10" s="2100"/>
      <c r="G10" s="55"/>
      <c r="H10" s="243"/>
      <c r="I10" s="243" t="s">
        <v>103</v>
      </c>
      <c r="J10" s="243" t="str">
        <f>IF(ISNA(VLOOKUP($J$6,'Bonnes pratiques'!$B$2:$L$29,K10,0)),"",VLOOKUP($J$6,'Bonnes pratiques'!$B$2:$L$29,K10,0))</f>
        <v/>
      </c>
      <c r="K10" s="243">
        <v>2</v>
      </c>
      <c r="L10" s="243"/>
      <c r="M10" s="169">
        <f>IF('Suivi objectifs'!B11=Modele!$A$5,'Suivi objectifs'!D11,"")</f>
        <v>0</v>
      </c>
      <c r="N10" s="169" t="str">
        <f t="shared" si="0"/>
        <v>o</v>
      </c>
      <c r="O10" s="169">
        <f t="array" aca="1" ref="O10" ca="1">IF(ROWS($1:9)&lt;=COUNTIF(cond,"o"),INDEX(champ,SMALL(IF(cond="o",ROW(INDIRECT("1:"&amp;ROWS(champ)))),ROWS($1:9))),"")</f>
        <v>0</v>
      </c>
      <c r="Q10" s="1" t="str">
        <f>IF(IF($A$5=Categories!$Z$8,Categories!C22,IF($A$5=Categories!$Z$9,Categories!C30,IF(OR($A$5=Categories!$Z$10,$A$5=Categories!$Z$14),Categories!C41,IF($A$5=Categories!$Z$11,Categories!C54,IF($A$5=Categories!$Z$12,Categories!C66,IF(OR($A$5=Categories!$Z$16,$A$5=Categories!$Z$17,$A$5=Categories!$Z$18),Categories!C76,Categories!C8))))))=0,"",IF($A$5=Categories!$Z$8,Categories!C22,IF($A$5=Categories!$Z$9,Categories!C30,IF(OR($A$5=Categories!$Z$10,$A$5=Categories!$Z$14),Categories!C41,IF($A$5=Categories!$Z$11,Categories!C54,IF($A$5=Categories!$Z$12,Categories!C66, IF(OR($A$5=Categories!$Z$16,$A$5=Categories!$Z$17,$A$5=Categories!$Z$18),Categories!C76,Categories!C8)))))))</f>
        <v>Energie renouvelable pour le chauffage et l'eau chaude sanitaire</v>
      </c>
      <c r="R10" s="1" t="str">
        <f>IF(IF($A$5=Categories!$Z$8,Categories!J22,IF($A$5=Categories!$Z$9,Categories!J30,IF(OR($A$5=Categories!$Z$10,$A$5=Categories!$Z$14),Categories!J41,IF($A$5=Categories!$Z$11,Categories!J54,IF($A$5=Categories!$Z$12,Categories!J66,Categories!C8)))))=0,"",IF($A$5=Categories!$Z$8,Categories!J22,IF($A$5=Categories!$Z$9,Categories!J30,IF(OR($A$5=Categories!$Z$10,$A$5=Categories!$Z$14),Categories!J41,IF($A$5=Categories!$Z$11,Categories!J54,IF($A$5=Categories!$Z$12,Categories!J66,Categories!J8))))))</f>
        <v>Gestion de l'énergie</v>
      </c>
    </row>
    <row r="11" spans="1:18" ht="16.2" thickBot="1">
      <c r="A11" s="780" t="s">
        <v>723</v>
      </c>
      <c r="B11" s="232"/>
      <c r="C11" s="813"/>
      <c r="D11" s="813"/>
      <c r="E11" s="813"/>
      <c r="F11" s="817"/>
      <c r="G11" s="55"/>
      <c r="H11" s="243"/>
      <c r="I11" s="243"/>
      <c r="J11" s="243" t="str">
        <f>IF(ISNA(VLOOKUP($J$6,'Bonnes pratiques'!$B$2:$L$29,K11,0)),"",VLOOKUP($J$6,'Bonnes pratiques'!$B$2:$L$29,K11,0))</f>
        <v/>
      </c>
      <c r="K11" s="243">
        <v>3</v>
      </c>
      <c r="L11" s="243"/>
      <c r="M11" s="169">
        <f>IF('Suivi objectifs'!B12=Modele!$A$5,'Suivi objectifs'!D12,"")</f>
        <v>0</v>
      </c>
      <c r="N11" s="169" t="str">
        <f t="shared" si="0"/>
        <v>o</v>
      </c>
      <c r="O11" s="169">
        <f t="array" aca="1" ref="O11" ca="1">IF(ROWS($1:10)&lt;=COUNTIF(cond,"o"),INDEX(champ,SMALL(IF(cond="o",ROW(INDIRECT("1:"&amp;ROWS(champ)))),ROWS($1:10))),"")</f>
        <v>0</v>
      </c>
      <c r="Q11" s="1" t="str">
        <f>IF(IF($A$5=Categories!$Z$8,Categories!C23,IF($A$5=Categories!$Z$9,Categories!C31,IF(OR($A$5=Categories!$Z$10,$A$5=Categories!$Z$14),Categories!C42,IF($A$5=Categories!$Z$11,Categories!C55,IF($A$5=Categories!$Z$12,Categories!C67,IF(OR($A$5=Categories!$Z$16,$A$5=Categories!$Z$17,$A$5=Categories!$Z$18),Categories!C77,Categories!C9))))))=0,"",IF($A$5=Categories!$Z$8,Categories!C23,IF($A$5=Categories!$Z$9,Categories!C31,IF(OR($A$5=Categories!$Z$10,$A$5=Categories!$Z$14),Categories!C42,IF($A$5=Categories!$Z$11,Categories!C55,IF($A$5=Categories!$Z$12,Categories!C67, IF(OR($A$5=Categories!$Z$16,$A$5=Categories!$Z$17,$A$5=Categories!$Z$18),Categories!C77,Categories!C9)))))))</f>
        <v>Efficacité énergétique dans le chauffage et l'eau chaude sanitaire</v>
      </c>
      <c r="R11" s="1" t="str">
        <f>IF(IF($A$5=Categories!$Z$8,Categories!J23,IF($A$5=Categories!$Z$9,Categories!J31,IF(OR($A$5=Categories!$Z$10,$A$5=Categories!$Z$14),Categories!J42,IF($A$5=Categories!$Z$11,Categories!J55,IF($A$5=Categories!$Z$12,Categories!J67,Categories!C9)))))=0,"",IF($A$5=Categories!$Z$8,Categories!J23,IF($A$5=Categories!$Z$9,Categories!J31,IF(OR($A$5=Categories!$Z$10,$A$5=Categories!$Z$14),Categories!J42,IF($A$5=Categories!$Z$11,Categories!J55,IF($A$5=Categories!$Z$12,Categories!J67,Categories!J9))))))</f>
        <v>Certification / Labélisation</v>
      </c>
    </row>
    <row r="12" spans="1:18" ht="16.2" thickBot="1">
      <c r="A12" s="812"/>
      <c r="B12" s="813"/>
      <c r="C12" s="813"/>
      <c r="D12" s="813"/>
      <c r="E12" s="813"/>
      <c r="F12" s="817"/>
      <c r="G12" s="55"/>
      <c r="H12" s="243"/>
      <c r="I12" s="243"/>
      <c r="J12" s="243" t="str">
        <f>IF(ISNA(VLOOKUP($J$6,'Bonnes pratiques'!$B$2:$L$29,K12,0)),"",VLOOKUP($J$6,'Bonnes pratiques'!$B$2:$L$29,K12,0))</f>
        <v/>
      </c>
      <c r="K12" s="243">
        <v>4</v>
      </c>
      <c r="L12" s="243"/>
      <c r="M12" s="169">
        <f>IF('Suivi objectifs'!B13=Modele!$A$5,'Suivi objectifs'!D13,"")</f>
        <v>0</v>
      </c>
      <c r="N12" s="169" t="str">
        <f t="shared" si="0"/>
        <v>o</v>
      </c>
      <c r="O12" s="169">
        <f t="array" aca="1" ref="O12" ca="1">IF(ROWS($1:11)&lt;=COUNTIF(cond,"o"),INDEX(champ,SMALL(IF(cond="o",ROW(INDIRECT("1:"&amp;ROWS(champ)))),ROWS($1:11))),"")</f>
        <v>0</v>
      </c>
      <c r="Q12" s="1" t="str">
        <f>IF(IF($A$5=Categories!$Z$8,Categories!C24,IF($A$5=Categories!$Z$9,Categories!C32,IF(OR($A$5=Categories!$Z$10,$A$5=Categories!$Z$14),Categories!C43,IF($A$5=Categories!$Z$11,Categories!C56,IF($A$5=Categories!$Z$12,Categories!C68,IF(OR($A$5=Categories!$Z$16,$A$5=Categories!$Z$17,$A$5=Categories!$Z$18),Categories!C78,Categories!C10))))))=0,"",IF($A$5=Categories!$Z$8,Categories!C24,IF($A$5=Categories!$Z$9,Categories!C32,IF(OR($A$5=Categories!$Z$10,$A$5=Categories!$Z$14),Categories!C43,IF($A$5=Categories!$Z$11,Categories!C56,IF($A$5=Categories!$Z$12,Categories!C68, IF(OR($A$5=Categories!$Z$16,$A$5=Categories!$Z$17,$A$5=Categories!$Z$18),Categories!C78,Categories!C10)))))))</f>
        <v>Efficacité énergétique des systèmes d'éclairage</v>
      </c>
      <c r="R12" s="1" t="str">
        <f>IF(IF($A$5=Categories!$Z$8,Categories!J24,IF($A$5=Categories!$Z$9,Categories!J32,IF(OR($A$5=Categories!$Z$10,$A$5=Categories!$Z$14),Categories!J43,IF($A$5=Categories!$Z$11,Categories!J56,IF($A$5=Categories!$Z$12,Categories!J68,Categories!C10)))))=0,"",IF($A$5=Categories!$Z$8,Categories!J24,IF($A$5=Categories!$Z$9,Categories!J32,IF(OR($A$5=Categories!$Z$10,$A$5=Categories!$Z$14),Categories!J43,IF($A$5=Categories!$Z$11,Categories!J56,IF($A$5=Categories!$Z$12,Categories!J68,Categories!J10))))))</f>
        <v>Obligations de services publics</v>
      </c>
    </row>
    <row r="13" spans="1:18" ht="16.2" thickBot="1">
      <c r="A13" s="819" t="s">
        <v>724</v>
      </c>
      <c r="B13" s="2103"/>
      <c r="C13" s="2104"/>
      <c r="D13" s="2104"/>
      <c r="E13" s="2104"/>
      <c r="F13" s="2105"/>
      <c r="G13" s="55"/>
      <c r="H13" s="243"/>
      <c r="I13" s="243"/>
      <c r="J13" s="243" t="str">
        <f>IF(ISNA(VLOOKUP($J$6,'Bonnes pratiques'!$B$2:$L$29,K13,0)),"",VLOOKUP($J$6,'Bonnes pratiques'!$B$2:$L$29,K13,0))</f>
        <v/>
      </c>
      <c r="K13" s="243">
        <v>5</v>
      </c>
      <c r="L13" s="243"/>
      <c r="M13" s="169">
        <f>IF('Suivi objectifs'!B14=Modele!$A$5,'Suivi objectifs'!D14,"")</f>
        <v>0</v>
      </c>
      <c r="N13" s="169" t="str">
        <f t="shared" si="0"/>
        <v>o</v>
      </c>
      <c r="O13" s="169">
        <f t="array" aca="1" ref="O13" ca="1">IF(ROWS($1:12)&lt;=COUNTIF(cond,"o"),INDEX(champ,SMALL(IF(cond="o",ROW(INDIRECT("1:"&amp;ROWS(champ)))),ROWS($1:12))),"")</f>
        <v>0</v>
      </c>
      <c r="Q13" s="1" t="str">
        <f>IF(IF($A$5=Categories!$Z$8,Categories!C25,IF($A$5=Categories!$Z$9,Categories!C33,IF(OR($A$5=Categories!$Z$10,$A$5=Categories!$Z$14),Categories!C44,IF($A$5=Categories!$Z$11,Categories!C57,IF($A$5=Categories!$Z$12,Categories!C69,IF(OR($A$5=Categories!$Z$16,$A$5=Categories!$Z$17,$A$5=Categories!$Z$18),Categories!C79,Categories!C11))))))=0,"",IF($A$5=Categories!$Z$8,Categories!C25,IF($A$5=Categories!$Z$9,Categories!C33,IF(OR($A$5=Categories!$Z$10,$A$5=Categories!$Z$14),Categories!C44,IF($A$5=Categories!$Z$11,Categories!C57,IF($A$5=Categories!$Z$12,Categories!C69, IF(OR($A$5=Categories!$Z$16,$A$5=Categories!$Z$17,$A$5=Categories!$Z$18),Categories!C79,Categories!C11)))))))</f>
        <v>Efficacité énergétique des équipements électriques</v>
      </c>
      <c r="R13" s="1" t="str">
        <f>IF(IF($A$5=Categories!$Z$8,Categories!J25,IF($A$5=Categories!$Z$9,Categories!J33,IF(OR($A$5=Categories!$Z$10,$A$5=Categories!$Z$14),Categories!J44,IF($A$5=Categories!$Z$11,Categories!J57,IF($A$5=Categories!$Z$12,Categories!J69,Categories!C11)))))=0,"",IF($A$5=Categories!$Z$8,Categories!J25,IF($A$5=Categories!$Z$9,Categories!J33,IF(OR($A$5=Categories!$Z$10,$A$5=Categories!$Z$14),Categories!J44,IF($A$5=Categories!$Z$11,Categories!J57,IF($A$5=Categories!$Z$12,Categories!J69,Categories!J11))))))</f>
        <v>Taxe carbone</v>
      </c>
    </row>
    <row r="14" spans="1:18" ht="15.6">
      <c r="A14" s="820" t="s">
        <v>725</v>
      </c>
      <c r="B14" s="2106"/>
      <c r="C14" s="2107"/>
      <c r="D14" s="2107"/>
      <c r="E14" s="2107"/>
      <c r="F14" s="2108"/>
      <c r="G14" s="55"/>
      <c r="H14" s="243"/>
      <c r="I14" s="243"/>
      <c r="J14" s="243" t="str">
        <f>IF(ISNA(VLOOKUP($J$6,'Bonnes pratiques'!$B$2:$L$29,K14,0)),"",VLOOKUP($J$6,'Bonnes pratiques'!$B$2:$L$29,K14,0))</f>
        <v/>
      </c>
      <c r="K14" s="243">
        <v>6</v>
      </c>
      <c r="L14" s="243"/>
      <c r="M14" s="169">
        <f>IF('Suivi objectifs'!B15=Modele!$A$5,'Suivi objectifs'!D15,"")</f>
        <v>0</v>
      </c>
      <c r="N14" s="169" t="str">
        <f t="shared" si="0"/>
        <v>o</v>
      </c>
      <c r="O14" s="169">
        <f t="array" aca="1" ref="O14" ca="1">IF(ROWS($1:13)&lt;=COUNTIF(cond,"o"),INDEX(champ,SMALL(IF(cond="o",ROW(INDIRECT("1:"&amp;ROWS(champ)))),ROWS($1:13))),"")</f>
        <v>0</v>
      </c>
      <c r="Q14" s="1" t="str">
        <f>IF(IF($A$5=Categories!$Z$8,Categories!C26,IF($A$5=Categories!$Z$9,Categories!C34,IF(OR($A$5=Categories!$Z$10,$A$5=Categories!$Z$14),Categories!C45,IF($A$5=Categories!$Z$11,Categories!C58,IF($A$5=Categories!$Z$12,Categories!C70,IF(OR($A$5=Categories!$Z$16,$A$5=Categories!$Z$17,$A$5=Categories!$Z$18),Categories!C80,Categories!C12))))))=0,"",IF($A$5=Categories!$Z$8,Categories!C26,IF($A$5=Categories!$Z$9,Categories!C34,IF(OR($A$5=Categories!$Z$10,$A$5=Categories!$Z$14),Categories!C45,IF($A$5=Categories!$Z$11,Categories!C58,IF($A$5=Categories!$Z$12,Categories!C70, IF(OR($A$5=Categories!$Z$16,$A$5=Categories!$Z$17,$A$5=Categories!$Z$18),Categories!C80,Categories!C12)))))))</f>
        <v>Action intégrée (tout ci-dessus)</v>
      </c>
      <c r="R14" s="1" t="str">
        <f>IF(IF($A$5=Categories!$Z$8,Categories!J26,IF($A$5=Categories!$Z$9,Categories!J34,IF(OR($A$5=Categories!$Z$10,$A$5=Categories!$Z$14),Categories!J45,IF($A$5=Categories!$Z$11,Categories!J58,IF($A$5=Categories!$Z$12,Categories!J70,Categories!C12)))))=0,"",IF($A$5=Categories!$Z$8,Categories!J26,IF($A$5=Categories!$Z$9,Categories!J34,IF(OR($A$5=Categories!$Z$10,$A$5=Categories!$Z$14),Categories!J45,IF($A$5=Categories!$Z$11,Categories!J58,IF($A$5=Categories!$Z$12,Categories!J70,Categories!J12))))))</f>
        <v>Primes et subventions</v>
      </c>
    </row>
    <row r="15" spans="1:18" ht="62.4">
      <c r="A15" s="820" t="s">
        <v>726</v>
      </c>
      <c r="B15" s="2109"/>
      <c r="C15" s="2110"/>
      <c r="D15" s="2110"/>
      <c r="E15" s="2110"/>
      <c r="F15" s="2111"/>
      <c r="G15" s="55"/>
      <c r="H15" s="243"/>
      <c r="I15" s="243"/>
      <c r="J15" s="243" t="str">
        <f>IF(ISNA(VLOOKUP($J$6,'Bonnes pratiques'!$B$2:$L$29,K15,0)),"",VLOOKUP($J$6,'Bonnes pratiques'!$B$2:$L$29,K15,0))</f>
        <v/>
      </c>
      <c r="K15" s="243">
        <v>7</v>
      </c>
      <c r="L15" s="243"/>
      <c r="M15" s="169">
        <f>IF('Suivi objectifs'!B16=Modele!$A$5,'Suivi objectifs'!D16,"")</f>
        <v>0</v>
      </c>
      <c r="N15" s="169" t="str">
        <f t="shared" si="0"/>
        <v>o</v>
      </c>
      <c r="O15" s="169">
        <f t="array" aca="1" ref="O15" ca="1">IF(ROWS($1:14)&lt;=COUNTIF(cond,"o"),INDEX(champ,SMALL(IF(cond="o",ROW(INDIRECT("1:"&amp;ROWS(champ)))),ROWS($1:14))),"")</f>
        <v>0</v>
      </c>
      <c r="Q15" s="1" t="str">
        <f>IF(IF($A$5=Categories!$Z$8,Categories!C27,IF($A$5=Categories!$Z$9,Categories!C35,IF(OR($A$5=Categories!$Z$10,$A$5=Categories!$Z$14),Categories!C46,IF($A$5=Categories!$Z$11,Categories!C59,IF($A$5=Categories!$Z$12,Categories!C71,IF(OR($A$5=Categories!$Z$16,$A$5=Categories!$Z$17,$A$5=Categories!$Z$18),Categories!C81,Categories!C13))))))=0,"",IF($A$5=Categories!$Z$8,Categories!C27,IF($A$5=Categories!$Z$9,Categories!C35,IF(OR($A$5=Categories!$Z$10,$A$5=Categories!$Z$14),Categories!C46,IF($A$5=Categories!$Z$11,Categories!C59,IF($A$5=Categories!$Z$12,Categories!C71, IF(OR($A$5=Categories!$Z$16,$A$5=Categories!$Z$17,$A$5=Categories!$Z$18),Categories!C81,Categories!C13)))))))</f>
        <v>Technologies de l'Information et de la Communication</v>
      </c>
      <c r="R15" s="1" t="str">
        <f>IF(IF($A$5=Categories!$Z$8,Categories!J27,IF($A$5=Categories!$Z$9,Categories!J35,IF(OR($A$5=Categories!$Z$10,$A$5=Categories!$Z$14),Categories!J46,IF($A$5=Categories!$Z$11,Categories!J59,IF($A$5=Categories!$Z$12,Categories!J71,Categories!C13)))))=0,"",IF($A$5=Categories!$Z$8,Categories!J27,IF($A$5=Categories!$Z$9,Categories!J35,IF(OR($A$5=Categories!$Z$10,$A$5=Categories!$Z$14),Categories!J46,IF($A$5=Categories!$Z$11,Categories!J59,IF($A$5=Categories!$Z$12,Categories!J71,Categories!J13))))))</f>
        <v>Tiers financement, partenariat public-privé</v>
      </c>
    </row>
    <row r="16" spans="1:18" ht="15.6">
      <c r="A16" s="820" t="s">
        <v>2793</v>
      </c>
      <c r="B16" s="1751"/>
      <c r="C16" s="1752"/>
      <c r="D16" s="1752"/>
      <c r="E16" s="1752"/>
      <c r="F16" s="1753"/>
      <c r="G16" s="55"/>
      <c r="H16" s="243"/>
      <c r="I16" s="243"/>
      <c r="J16" s="243"/>
      <c r="K16" s="243"/>
      <c r="L16" s="243"/>
      <c r="M16" s="169"/>
      <c r="N16" s="169"/>
      <c r="O16" s="169"/>
    </row>
    <row r="17" spans="1:18" ht="31.2">
      <c r="A17" s="1380" t="s">
        <v>727</v>
      </c>
      <c r="B17" s="2112"/>
      <c r="C17" s="2113"/>
      <c r="D17" s="2113"/>
      <c r="E17" s="2113"/>
      <c r="F17" s="2114"/>
      <c r="G17" s="55"/>
      <c r="H17" s="243"/>
      <c r="I17" s="243"/>
      <c r="J17" s="243" t="str">
        <f>IF(ISNA(VLOOKUP($J$6,'Bonnes pratiques'!$B$2:$L$29,K17,0)),"",VLOOKUP($J$6,'Bonnes pratiques'!$B$2:$L$29,K17,0))</f>
        <v/>
      </c>
      <c r="K17" s="243">
        <v>8</v>
      </c>
      <c r="L17" s="243"/>
      <c r="M17" s="169">
        <f>IF('Suivi objectifs'!B17=Modele!$A$5,'Suivi objectifs'!D17,"")</f>
        <v>0</v>
      </c>
      <c r="N17" s="169" t="str">
        <f t="shared" si="0"/>
        <v>o</v>
      </c>
      <c r="O17" s="169">
        <f t="array" aca="1" ref="O17" ca="1">IF(ROWS($1:15)&lt;=COUNTIF(cond,"o"),INDEX(champ,SMALL(IF(cond="o",ROW(INDIRECT("1:"&amp;ROWS(champ)))),ROWS($1:15))),"")</f>
        <v>0</v>
      </c>
      <c r="Q17" s="1" t="str">
        <f>IF(IF($A$5=Categories!$Z$8,Categories!C28,IF($A$5=Categories!$Z$9,Categories!C36,IF(OR($A$5=Categories!$Z$10,$A$5=Categories!$Z$14),Categories!C47,IF($A$5=Categories!$Z$11,Categories!C60,IF($A$5=Categories!$Z$12,Categories!C72,IF(OR($A$5=Categories!$Z$16,$A$5=Categories!$Z$17,$A$5=Categories!$Z$18),Categories!C82,Categories!C14))))))=0,"",IF($A$5=Categories!$Z$8,Categories!C28,IF($A$5=Categories!$Z$9,Categories!C36,IF(OR($A$5=Categories!$Z$10,$A$5=Categories!$Z$14),Categories!C47,IF($A$5=Categories!$Z$11,Categories!C60,IF($A$5=Categories!$Z$12,Categories!C72, IF(OR($A$5=Categories!$Z$16,$A$5=Categories!$Z$17,$A$5=Categories!$Z$18),Categories!C82,Categories!C14)))))))</f>
        <v>Changements de comportements</v>
      </c>
      <c r="R17" s="1" t="str">
        <f>IF(IF($A$5=Categories!$Z$8,Categories!J28,IF($A$5=Categories!$Z$9,Categories!J36,IF(OR($A$5=Categories!$Z$10,$A$5=Categories!$Z$14),Categories!J47,IF($A$5=Categories!$Z$11,Categories!J60,IF($A$5=Categories!$Z$12,Categories!J72,Categories!C14)))))=0,"",IF($A$5=Categories!$Z$8,Categories!J28,IF($A$5=Categories!$Z$9,Categories!J36,IF(OR($A$5=Categories!$Z$10,$A$5=Categories!$Z$14),Categories!J47,IF($A$5=Categories!$Z$11,Categories!J60,IF($A$5=Categories!$Z$12,Categories!J72,Categories!J14))))))</f>
        <v>Marchés publics</v>
      </c>
    </row>
    <row r="18" spans="1:18" ht="15.6">
      <c r="A18" s="1380" t="s">
        <v>728</v>
      </c>
      <c r="B18" s="2112"/>
      <c r="C18" s="2113"/>
      <c r="D18" s="2113"/>
      <c r="E18" s="2113"/>
      <c r="F18" s="2114"/>
      <c r="G18" s="55"/>
      <c r="H18" s="243"/>
      <c r="I18" s="243"/>
      <c r="J18" s="243" t="str">
        <f>IF(ISNA(VLOOKUP($J$6,'Bonnes pratiques'!$B$2:$L$29,K18,0)),"",VLOOKUP($J$6,'Bonnes pratiques'!$B$2:$L$29,K18,0))</f>
        <v/>
      </c>
      <c r="K18" s="243">
        <v>9</v>
      </c>
      <c r="L18" s="243"/>
      <c r="M18" s="169">
        <f>IF('Suivi objectifs'!B18=Modele!$A$5,'Suivi objectifs'!D18,"")</f>
        <v>0</v>
      </c>
      <c r="N18" s="169" t="str">
        <f t="shared" si="0"/>
        <v>o</v>
      </c>
      <c r="O18" s="169">
        <f t="array" aca="1" ref="O18" ca="1">IF(ROWS($1:17)&lt;=COUNTIF(cond,"o"),INDEX(champ,SMALL(IF(cond="o",ROW(INDIRECT("1:"&amp;ROWS(champ)))),ROWS($1:17))),"")</f>
        <v>0</v>
      </c>
      <c r="Q18" s="1" t="str">
        <f>IF(IF($A$5=Categories!$Z$8,Categories!C29,IF($A$5=Categories!$Z$9,Categories!C37,IF(OR($A$5=Categories!$Z$10,$A$5=Categories!$Z$14),Categories!C48,IF($A$5=Categories!$Z$11,Categories!C61,IF($A$5=Categories!$Z$12,Categories!C73,IF(OR($A$5=Categories!$Z$16,$A$5=Categories!$Z$17,$A$5=Categories!$Z$18),Categories!C83,Categories!C15))))))=0,"",IF($A$5=Categories!$Z$8,Categories!C29,IF($A$5=Categories!$Z$9,Categories!C37,IF(OR($A$5=Categories!$Z$10,$A$5=Categories!$Z$14),Categories!C48,IF($A$5=Categories!$Z$11,Categories!C61,IF($A$5=Categories!$Z$12,Categories!C73, IF(OR($A$5=Categories!$Z$16,$A$5=Categories!$Z$17,$A$5=Categories!$Z$18),Categories!C83,Categories!C15)))))))</f>
        <v>Autre</v>
      </c>
      <c r="R18" s="1" t="str">
        <f>IF(IF($A$5=Categories!$Z$8,Categories!J29,IF($A$5=Categories!$Z$9,Categories!J37,IF(OR($A$5=Categories!$Z$10,$A$5=Categories!$Z$14),Categories!J48,IF($A$5=Categories!$Z$11,Categories!J61,IF($A$5=Categories!$Z$12,Categories!J73,Categories!C15)))))=0,"",IF($A$5=Categories!$Z$8,Categories!J29,IF($A$5=Categories!$Z$9,Categories!J37,IF(OR($A$5=Categories!$Z$10,$A$5=Categories!$Z$14),Categories!J48,IF($A$5=Categories!$Z$11,Categories!J61,IF($A$5=Categories!$Z$12,Categories!J73,Categories!J15))))))</f>
        <v>Normes de construction</v>
      </c>
    </row>
    <row r="19" spans="1:18" ht="15.6">
      <c r="A19" s="1380" t="s">
        <v>729</v>
      </c>
      <c r="B19" s="2112"/>
      <c r="C19" s="2113"/>
      <c r="D19" s="2113"/>
      <c r="E19" s="2113"/>
      <c r="F19" s="2114"/>
      <c r="G19" s="55"/>
      <c r="H19" s="243"/>
      <c r="I19" s="243"/>
      <c r="J19" s="243" t="str">
        <f>IF(ISNA(VLOOKUP($J$6,'Bonnes pratiques'!$B$2:$L$29,K19,0)),"",VLOOKUP($J$6,'Bonnes pratiques'!$B$2:$L$29,K19,0))</f>
        <v/>
      </c>
      <c r="K19" s="243">
        <v>10</v>
      </c>
      <c r="L19" s="243"/>
      <c r="M19" s="169">
        <f>IF('Suivi objectifs'!B19=Modele!$A$5,'Suivi objectifs'!D19,"")</f>
        <v>0</v>
      </c>
      <c r="N19" s="169" t="str">
        <f t="shared" si="0"/>
        <v>o</v>
      </c>
      <c r="O19" s="169">
        <f t="array" aca="1" ref="O19" ca="1">IF(ROWS($1:18)&lt;=COUNTIF(cond,"o"),INDEX(champ,SMALL(IF(cond="o",ROW(INDIRECT("1:"&amp;ROWS(champ)))),ROWS($1:18))),"")</f>
        <v>0</v>
      </c>
      <c r="R19" s="1" t="str">
        <f>IF(IF($A$5=Categories!$Z$8,Categories!J30,IF($A$5=Categories!$Z$9,Categories!J38,IF(OR($A$5=Categories!$Z$10,$A$5=Categories!$Z$14),Categories!J49,IF($A$5=Categories!$Z$11,Categories!J62,IF($A$5=Categories!$Z$12,Categories!J74,Categories!C16)))))=0,"",IF($A$5=Categories!$Z$8,Categories!J30,IF($A$5=Categories!$Z$9,Categories!J38,IF(OR($A$5=Categories!$Z$10,$A$5=Categories!$Z$14),Categories!J49,IF($A$5=Categories!$Z$11,Categories!J62,IF($A$5=Categories!$Z$12,Categories!J74,Categories!J16))))))</f>
        <v/>
      </c>
    </row>
    <row r="20" spans="1:18" ht="15.6">
      <c r="A20" s="1380" t="s">
        <v>6</v>
      </c>
      <c r="B20" s="2094"/>
      <c r="C20" s="2095"/>
      <c r="D20" s="2095"/>
      <c r="E20" s="2095"/>
      <c r="F20" s="2096"/>
      <c r="G20" s="55"/>
      <c r="H20" s="2093" t="s">
        <v>731</v>
      </c>
      <c r="I20" s="821"/>
      <c r="J20" s="243" t="s">
        <v>732</v>
      </c>
      <c r="K20" s="243">
        <v>11</v>
      </c>
      <c r="L20" s="243"/>
      <c r="M20" s="169">
        <f>IF('Suivi objectifs'!B20=Modele!$A$5,'Suivi objectifs'!D20,"")</f>
        <v>0</v>
      </c>
      <c r="N20" s="169" t="str">
        <f t="shared" si="0"/>
        <v>o</v>
      </c>
      <c r="O20" s="169">
        <f t="array" aca="1" ref="O20" ca="1">IF(ROWS($1:19)&lt;=COUNTIF(cond,"o"),INDEX(champ,SMALL(IF(cond="o",ROW(INDIRECT("1:"&amp;ROWS(champ)))),ROWS($1:19))),"")</f>
        <v>0</v>
      </c>
      <c r="R20" s="1" t="str">
        <f>IF(IF($A$5=Categories!$Z$8,Categories!J31,IF($A$5=Categories!$Z$9,Categories!J39,IF(OR($A$5=Categories!$Z$10,$A$5=Categories!$Z$14),Categories!J50,IF($A$5=Categories!$Z$11,Categories!J63,IF($A$5=Categories!$Z$12,Categories!J75,Categories!C17)))))=0,"",IF($A$5=Categories!$Z$8,Categories!J31,IF($A$5=Categories!$Z$9,Categories!J39,IF(OR($A$5=Categories!$Z$10,$A$5=Categories!$Z$14),Categories!J50,IF($A$5=Categories!$Z$11,Categories!J63,IF($A$5=Categories!$Z$12,Categories!J75,Categories!J17))))))</f>
        <v/>
      </c>
    </row>
    <row r="21" spans="1:18" ht="15.6">
      <c r="A21" s="1380" t="s">
        <v>2159</v>
      </c>
      <c r="B21" s="2094"/>
      <c r="C21" s="2095"/>
      <c r="D21" s="2095"/>
      <c r="E21" s="2095"/>
      <c r="F21" s="2096"/>
      <c r="G21" s="55"/>
      <c r="H21" s="2093"/>
      <c r="I21" s="821"/>
      <c r="J21" s="607"/>
      <c r="K21" s="243"/>
      <c r="L21" s="243"/>
      <c r="M21" s="169">
        <f>IF('Suivi objectifs'!B21=Modele!$A$5,'Suivi objectifs'!D21,"")</f>
        <v>0</v>
      </c>
      <c r="N21" s="169" t="str">
        <f t="shared" si="0"/>
        <v>o</v>
      </c>
      <c r="O21" s="169">
        <f t="array" aca="1" ref="O21" ca="1">IF(ROWS($1:20)&lt;=COUNTIF(cond,"o"),INDEX(champ,SMALL(IF(cond="o",ROW(INDIRECT("1:"&amp;ROWS(champ)))),ROWS($1:20))),"")</f>
        <v>0</v>
      </c>
      <c r="R21" s="1" t="str">
        <f>IF(IF($A$5=Categories!$Z$8,Categories!J32,IF($A$5=Categories!$Z$9,Categories!J40,IF(OR($A$5=Categories!$Z$10,$A$5=Categories!$Z$14),Categories!J51,IF($A$5=Categories!$Z$11,Categories!J64,IF($A$5=Categories!$Z$12,Categories!J76,Categories!C18)))))=0,"",IF($A$5=Categories!$Z$8,Categories!J32,IF($A$5=Categories!$Z$9,Categories!J40,IF(OR($A$5=Categories!$Z$10,$A$5=Categories!$Z$14),Categories!J51,IF($A$5=Categories!$Z$11,Categories!J64,IF($A$5=Categories!$Z$12,Categories!J76,Categories!J18))))))</f>
        <v/>
      </c>
    </row>
    <row r="22" spans="1:18" ht="31.2">
      <c r="A22" s="1380" t="s">
        <v>734</v>
      </c>
      <c r="B22" s="2075"/>
      <c r="C22" s="2076"/>
      <c r="D22" s="2076"/>
      <c r="E22" s="2076"/>
      <c r="F22" s="2077"/>
      <c r="G22" s="55"/>
      <c r="H22" s="821"/>
      <c r="I22" s="244"/>
      <c r="J22" s="244"/>
      <c r="K22" s="233"/>
      <c r="L22" s="233"/>
      <c r="M22" s="169">
        <f>IF('Suivi objectifs'!B22=Modele!$A$5,'Suivi objectifs'!D22,"")</f>
        <v>0</v>
      </c>
      <c r="N22" s="169" t="str">
        <f t="shared" si="0"/>
        <v>o</v>
      </c>
      <c r="O22" s="169">
        <f t="array" aca="1" ref="O22" ca="1">IF(ROWS($1:21)&lt;=COUNTIF(cond,"o"),INDEX(champ,SMALL(IF(cond="o",ROW(INDIRECT("1:"&amp;ROWS(champ)))),ROWS($1:21))),"")</f>
        <v>0</v>
      </c>
    </row>
    <row r="23" spans="1:18" ht="15.6">
      <c r="A23" s="1380" t="s">
        <v>735</v>
      </c>
      <c r="B23" s="1389"/>
      <c r="C23" s="1390" t="s">
        <v>736</v>
      </c>
      <c r="D23" s="2078"/>
      <c r="E23" s="2079"/>
      <c r="F23" s="2080"/>
      <c r="G23" s="55"/>
      <c r="H23" s="604"/>
      <c r="I23" s="245"/>
      <c r="J23" s="245"/>
      <c r="K23" s="233"/>
      <c r="L23" s="233"/>
      <c r="M23" s="169">
        <f>IF('Suivi objectifs'!B23=Modele!$A$5,'Suivi objectifs'!D23,"")</f>
        <v>0</v>
      </c>
      <c r="N23" s="169" t="str">
        <f t="shared" si="0"/>
        <v>o</v>
      </c>
      <c r="O23" s="169">
        <f t="array" aca="1" ref="O23" ca="1">IF(ROWS($1:22)&lt;=COUNTIF(cond,"o"),INDEX(champ,SMALL(IF(cond="o",ROW(INDIRECT("1:"&amp;ROWS(champ)))),ROWS($1:22))),"")</f>
        <v>0</v>
      </c>
      <c r="R23" s="1" t="s">
        <v>732</v>
      </c>
    </row>
    <row r="24" spans="1:18" ht="15.6">
      <c r="A24" s="1380" t="s">
        <v>737</v>
      </c>
      <c r="B24" s="2081"/>
      <c r="C24" s="2082"/>
      <c r="D24" s="2082"/>
      <c r="E24" s="2082"/>
      <c r="F24" s="2083"/>
      <c r="G24" s="55"/>
      <c r="H24" s="604"/>
      <c r="I24" s="245"/>
      <c r="J24" s="245"/>
      <c r="K24" s="233"/>
      <c r="L24" s="233"/>
      <c r="M24" s="169">
        <f>IF('Suivi objectifs'!B24=Modele!$A$5,'Suivi objectifs'!D24,"")</f>
        <v>0</v>
      </c>
      <c r="N24" s="169" t="str">
        <f t="shared" si="0"/>
        <v>o</v>
      </c>
      <c r="O24" s="169">
        <f t="array" aca="1" ref="O24" ca="1">IF(ROWS($1:23)&lt;=COUNTIF(cond,"o"),INDEX(champ,SMALL(IF(cond="o",ROW(INDIRECT("1:"&amp;ROWS(champ)))),ROWS($1:23))),"")</f>
        <v>0</v>
      </c>
    </row>
    <row r="25" spans="1:18" ht="15.6">
      <c r="A25" s="1380" t="s">
        <v>738</v>
      </c>
      <c r="B25" s="2084"/>
      <c r="C25" s="2085"/>
      <c r="D25" s="2085"/>
      <c r="E25" s="2085"/>
      <c r="F25" s="2086"/>
      <c r="G25" s="55"/>
      <c r="H25" s="243"/>
      <c r="I25" s="233"/>
      <c r="J25" s="233"/>
      <c r="K25" s="233"/>
      <c r="L25" s="233"/>
      <c r="M25" s="169">
        <f>IF('Suivi objectifs'!B25=Modele!$A$5,'Suivi objectifs'!D25,"")</f>
        <v>0</v>
      </c>
      <c r="N25" s="169" t="str">
        <f t="shared" si="0"/>
        <v>o</v>
      </c>
      <c r="O25" s="169">
        <f t="array" aca="1" ref="O25" ca="1">IF(ROWS($1:24)&lt;=COUNTIF(cond,"o"),INDEX(champ,SMALL(IF(cond="o",ROW(INDIRECT("1:"&amp;ROWS(champ)))),ROWS($1:24))),"")</f>
        <v>0</v>
      </c>
    </row>
    <row r="26" spans="1:18" ht="15.6">
      <c r="A26" s="1380" t="s">
        <v>739</v>
      </c>
      <c r="B26" s="1391"/>
      <c r="C26" s="1392" t="s">
        <v>740</v>
      </c>
      <c r="D26" s="1393"/>
      <c r="E26" s="1392" t="s">
        <v>741</v>
      </c>
      <c r="F26" s="1394"/>
      <c r="G26" s="55"/>
      <c r="H26" s="243"/>
      <c r="I26" s="233"/>
      <c r="J26" s="233"/>
      <c r="K26" s="233"/>
      <c r="L26" s="233"/>
      <c r="M26" s="169">
        <f>IF('Suivi objectifs'!B26=Modele!$A$5,'Suivi objectifs'!D26,"")</f>
        <v>0</v>
      </c>
      <c r="N26" s="169" t="str">
        <f t="shared" si="0"/>
        <v>o</v>
      </c>
      <c r="O26" s="169">
        <f t="array" aca="1" ref="O26" ca="1">IF(ROWS($1:25)&lt;=COUNTIF(cond,"o"),INDEX(champ,SMALL(IF(cond="o",ROW(INDIRECT("1:"&amp;ROWS(champ)))),ROWS($1:25))),"")</f>
        <v>0</v>
      </c>
    </row>
    <row r="27" spans="1:18" ht="15.6">
      <c r="A27" s="1379" t="s">
        <v>742</v>
      </c>
      <c r="B27" s="2087"/>
      <c r="C27" s="2088"/>
      <c r="D27" s="2088"/>
      <c r="E27" s="2088"/>
      <c r="F27" s="2089"/>
      <c r="G27" s="55"/>
      <c r="H27" s="243"/>
      <c r="I27" s="233"/>
      <c r="J27" s="233"/>
      <c r="K27" s="233"/>
      <c r="L27" s="233"/>
      <c r="M27" s="169">
        <f>IF('Suivi objectifs'!B27=Modele!$A$5,'Suivi objectifs'!D27,"")</f>
        <v>0</v>
      </c>
      <c r="N27" s="169" t="str">
        <f t="shared" si="0"/>
        <v>o</v>
      </c>
      <c r="O27" s="169">
        <f t="array" aca="1" ref="O27" ca="1">IF(ROWS($1:26)&lt;=COUNTIF(cond,"o"),INDEX(champ,SMALL(IF(cond="o",ROW(INDIRECT("1:"&amp;ROWS(champ)))),ROWS($1:26))),"")</f>
        <v>0</v>
      </c>
    </row>
    <row r="28" spans="1:18" ht="16.2" thickBot="1">
      <c r="A28" s="896" t="s">
        <v>743</v>
      </c>
      <c r="B28" s="2090"/>
      <c r="C28" s="2091"/>
      <c r="D28" s="2091"/>
      <c r="E28" s="2091"/>
      <c r="F28" s="2092"/>
      <c r="G28" s="55"/>
      <c r="H28" s="243"/>
      <c r="I28" s="233"/>
      <c r="J28" s="233"/>
      <c r="K28" s="233"/>
      <c r="L28" s="233"/>
      <c r="M28" s="169">
        <f>IF('Suivi objectifs'!B28=Modele!$A$5,'Suivi objectifs'!D28,"")</f>
        <v>0</v>
      </c>
      <c r="N28" s="169" t="str">
        <f t="shared" si="0"/>
        <v>o</v>
      </c>
      <c r="O28" s="169">
        <f t="array" aca="1" ref="O28" ca="1">IF(ROWS($1:27)&lt;=COUNTIF(cond,"o"),INDEX(champ,SMALL(IF(cond="o",ROW(INDIRECT("1:"&amp;ROWS(champ)))),ROWS($1:27))),"")</f>
        <v>0</v>
      </c>
    </row>
    <row r="29" spans="1:18">
      <c r="A29"/>
      <c r="B29"/>
      <c r="C29"/>
      <c r="D29"/>
      <c r="E29"/>
      <c r="F29"/>
      <c r="G29" s="55"/>
      <c r="H29" s="243"/>
      <c r="I29" s="233"/>
      <c r="J29" s="233"/>
      <c r="K29" s="233"/>
      <c r="L29" s="233"/>
      <c r="M29" s="169" t="str">
        <f>IF('Suivi objectifs'!B29=Modele!$A$5,'Suivi objectifs'!D29,"")</f>
        <v/>
      </c>
      <c r="N29" s="169" t="str">
        <f t="shared" si="0"/>
        <v/>
      </c>
      <c r="O29" s="169">
        <f t="array" aca="1" ref="O29" ca="1">IF(ROWS($1:28)&lt;=COUNTIF(cond,"o"),INDEX(champ,SMALL(IF(cond="o",ROW(INDIRECT("1:"&amp;ROWS(champ)))),ROWS($1:28))),"")</f>
        <v>0</v>
      </c>
    </row>
    <row r="30" spans="1:18">
      <c r="A30"/>
      <c r="B30"/>
      <c r="C30"/>
      <c r="D30"/>
      <c r="E30"/>
      <c r="F30"/>
      <c r="G30" s="55"/>
      <c r="H30" s="55"/>
      <c r="I30"/>
      <c r="J30"/>
      <c r="K30"/>
      <c r="L30"/>
      <c r="M30" s="169" t="str">
        <f>IF('Suivi objectifs'!B30=Modele!$A$5,'Suivi objectifs'!D30,"")</f>
        <v/>
      </c>
      <c r="N30" s="169" t="str">
        <f t="shared" si="0"/>
        <v/>
      </c>
      <c r="O30" s="169">
        <f t="array" aca="1" ref="O30" ca="1">IF(ROWS($1:29)&lt;=COUNTIF(cond,"o"),INDEX(champ,SMALL(IF(cond="o",ROW(INDIRECT("1:"&amp;ROWS(champ)))),ROWS($1:29))),"")</f>
        <v>0</v>
      </c>
    </row>
    <row r="31" spans="1:18" ht="28.8">
      <c r="A31" s="822" t="s">
        <v>744</v>
      </c>
      <c r="B31" s="190"/>
      <c r="C31" s="190"/>
      <c r="D31" s="190"/>
      <c r="E31" s="190"/>
      <c r="F31" s="190"/>
      <c r="G31" s="55"/>
      <c r="H31" s="55"/>
      <c r="I31"/>
      <c r="J31"/>
      <c r="K31"/>
      <c r="L31"/>
      <c r="M31" s="169" t="str">
        <f>IF('Suivi objectifs'!B31=Modele!$A$5,'Suivi objectifs'!D31,"")</f>
        <v/>
      </c>
      <c r="N31" s="169" t="str">
        <f t="shared" si="0"/>
        <v/>
      </c>
      <c r="O31" s="169" t="str">
        <f t="array" aca="1" ref="O31" ca="1">IF(ROWS($1:30)&lt;=COUNTIF(cond,"o"),INDEX(champ,SMALL(IF(cond="o",ROW(INDIRECT("1:"&amp;ROWS(champ)))),ROWS($1:30))),"")</f>
        <v/>
      </c>
    </row>
    <row r="32" spans="1:18" ht="18">
      <c r="A32" s="823" t="s">
        <v>745</v>
      </c>
      <c r="B32" s="246" t="str">
        <f>IF(B5=0,"-",B5)</f>
        <v>-</v>
      </c>
      <c r="C32"/>
      <c r="D32"/>
      <c r="E32"/>
      <c r="F32"/>
      <c r="G32" s="55"/>
      <c r="H32" s="55"/>
      <c r="I32"/>
      <c r="J32"/>
      <c r="K32"/>
      <c r="L32"/>
      <c r="M32" s="169" t="str">
        <f>IF('Suivi objectifs'!B32=Modele!$A$5,'Suivi objectifs'!D32,"")</f>
        <v/>
      </c>
      <c r="N32" s="169" t="str">
        <f t="shared" si="0"/>
        <v/>
      </c>
      <c r="O32" s="169" t="str">
        <f t="array" aca="1" ref="O32" ca="1">IF(ROWS($1:31)&lt;=COUNTIF(cond,"o"),INDEX(champ,SMALL(IF(cond="o",ROW(INDIRECT("1:"&amp;ROWS(champ)))),ROWS($1:31))),"")</f>
        <v/>
      </c>
    </row>
    <row r="33" spans="1:15" ht="18">
      <c r="A33" s="823"/>
      <c r="B33" s="246"/>
      <c r="C33"/>
      <c r="D33"/>
      <c r="E33"/>
      <c r="F33"/>
      <c r="G33" s="55"/>
      <c r="H33" s="55"/>
      <c r="I33"/>
      <c r="J33"/>
      <c r="K33"/>
      <c r="L33"/>
      <c r="M33" s="169" t="str">
        <f>IF('Suivi objectifs'!B33=Modele!$A$5,'Suivi objectifs'!D33,"")</f>
        <v/>
      </c>
      <c r="N33" s="169"/>
      <c r="O33" s="169" t="str">
        <f t="array" aca="1" ref="O33" ca="1">IF(ROWS($1:32)&lt;=COUNTIF(cond,"o"),INDEX(champ,SMALL(IF(cond="o",ROW(INDIRECT("1:"&amp;ROWS(champ)))),ROWS($1:32))),"")</f>
        <v/>
      </c>
    </row>
    <row r="34" spans="1:15" ht="28.8">
      <c r="A34"/>
      <c r="B34" s="217" t="s">
        <v>676</v>
      </c>
      <c r="C34" s="217" t="s">
        <v>746</v>
      </c>
      <c r="D34" s="218" t="s">
        <v>747</v>
      </c>
      <c r="E34"/>
      <c r="F34"/>
      <c r="G34" s="900"/>
      <c r="H34" s="900"/>
      <c r="I34" s="1957" t="s">
        <v>748</v>
      </c>
      <c r="J34" s="1957"/>
      <c r="K34"/>
      <c r="L34"/>
      <c r="M34" s="169" t="str">
        <f>IF('Suivi objectifs'!B34=Modele!$A$5,'Suivi objectifs'!D34,"")</f>
        <v/>
      </c>
      <c r="N34" s="169" t="str">
        <f t="shared" ref="N34:N47" si="1">IF(M34&lt;&gt;"","o","")</f>
        <v/>
      </c>
      <c r="O34" s="169" t="str">
        <f t="array" aca="1" ref="O34" ca="1">IF(ROWS($1:33)&lt;=COUNTIF(cond,"o"),INDEX(champ,SMALL(IF(cond="o",ROW(INDIRECT("1:"&amp;ROWS(champ)))),ROWS($1:33))),"")</f>
        <v/>
      </c>
    </row>
    <row r="35" spans="1:15">
      <c r="A35">
        <v>1</v>
      </c>
      <c r="B35" s="187" t="str">
        <f>IF(ISNA(IF(OR(VLOOKUP(B$32&amp;"_"&amp;A35,Scénarios!$A$10:$F$590,2,0)="Sélectionnez un indicateur prédéfini…",VLOOKUP(B$32&amp;"_"&amp;A35,Scénarios!$A$10:$F$590,2,0)="Encoder votre indicateur…"),"-",VLOOKUP(B$32&amp;"_"&amp;A35,Scénarios!$A$10:$F$590,2,0))),"-",IF(OR(VLOOKUP(B$32&amp;"_"&amp;A35,Scénarios!$A$10:$F$590,2,0)="Sélectionnez un indicateur prédéfini…",VLOOKUP(B$32&amp;"_"&amp;A35,Scénarios!$A$10:$F$590,2,0)="Encoder votre indicateur…"),"-",VLOOKUP(B$32&amp;"_"&amp;A35,Scénarios!$A$10:$F$590,2,0)))</f>
        <v>-</v>
      </c>
      <c r="C35" s="824">
        <f>IF(ISNA(VLOOKUP(B$32&amp;"_"&amp;A35,Scénarios!$A$10:$F$590,3,0)),,VLOOKUP(B$32&amp;"_"&amp;A35,Scénarios!$A$10:$F$590,3,0))</f>
        <v>0</v>
      </c>
      <c r="D35" s="825"/>
      <c r="E35"/>
      <c r="F35" s="55"/>
      <c r="G35" s="901">
        <f>IF(ISNA(VLOOKUP(B$32&amp;"_"&amp;A35,Scénarios!$A$10:$F$590,5,0)),,VLOOKUP(B$32&amp;"_"&amp;A35,Scénarios!$A$10:$F$590,IF(ISNA(VLOOKUP($A$5,Categories!$Z$16:$AA$31,2,0)),5,4),0))</f>
        <v>0</v>
      </c>
      <c r="H35" s="901">
        <f t="shared" ref="H35" si="2">IF(C35=0,0,G35/C35*D35)</f>
        <v>0</v>
      </c>
      <c r="I35" s="1957"/>
      <c r="J35" s="1957"/>
      <c r="K35"/>
      <c r="L35"/>
      <c r="M35" s="169" t="str">
        <f>IF('Suivi objectifs'!B35=Modele!$A$5,'Suivi objectifs'!D35,"")</f>
        <v/>
      </c>
      <c r="N35" s="169" t="str">
        <f t="shared" si="1"/>
        <v/>
      </c>
      <c r="O35" s="169" t="str">
        <f t="array" aca="1" ref="O35" ca="1">IF(ROWS($1:34)&lt;=COUNTIF(cond,"o"),INDEX(champ,SMALL(IF(cond="o",ROW(INDIRECT("1:"&amp;ROWS(champ)))),ROWS($1:34))),"")</f>
        <v/>
      </c>
    </row>
    <row r="36" spans="1:15">
      <c r="A36">
        <v>2</v>
      </c>
      <c r="B36" s="187" t="str">
        <f>IF(ISNA(IF(OR(VLOOKUP(B$32&amp;"_"&amp;A36,Scénarios!$A$10:$F$590,2,0)="Sélectionnez un indicateur prédéfini…",VLOOKUP(B$32&amp;"_"&amp;A36,Scénarios!$A$10:$F$590,2,0)="Encoder votre indicateur…"),"-",VLOOKUP(B$32&amp;"_"&amp;A36,Scénarios!$A$10:$F$590,2,0))),"-",IF(OR(VLOOKUP(B$32&amp;"_"&amp;A36,Scénarios!$A$10:$F$590,2,0)="Sélectionnez un indicateur prédéfini…",VLOOKUP(B$32&amp;"_"&amp;A36,Scénarios!$A$10:$F$590,2,0)="Encoder votre indicateur…"),"-",VLOOKUP(B$32&amp;"_"&amp;A36,Scénarios!$A$10:$F$590,2,0)))</f>
        <v>-</v>
      </c>
      <c r="C36" s="824">
        <f>IF(ISNA(VLOOKUP(B$32&amp;"_"&amp;A36,Scénarios!$A$10:$F$590,3,0)),,VLOOKUP(B$32&amp;"_"&amp;A36,Scénarios!$A$10:$F$590,3,0))</f>
        <v>0</v>
      </c>
      <c r="D36" s="825"/>
      <c r="E36"/>
      <c r="F36" s="55"/>
      <c r="G36" s="901">
        <f>IF(ISNA(VLOOKUP(B$32&amp;"_"&amp;A36,Scénarios!$A$10:$F$590,5,0)),,VLOOKUP(B$32&amp;"_"&amp;A36,Scénarios!$A$10:$F$590,IF(ISNA(VLOOKUP($A$5,Categories!$Z$16:$AA$31,2,0)),5,4),0))</f>
        <v>0</v>
      </c>
      <c r="H36" s="901">
        <f t="shared" ref="H36:H49" si="3">IF(C36=0,0,G36/C36*D36)</f>
        <v>0</v>
      </c>
      <c r="I36" s="1957"/>
      <c r="J36" s="1957"/>
      <c r="K36"/>
      <c r="L36"/>
      <c r="M36" s="169" t="str">
        <f>IF('Suivi objectifs'!B36=Modele!$A$5,'Suivi objectifs'!D36,"")</f>
        <v/>
      </c>
      <c r="N36" s="169" t="str">
        <f t="shared" si="1"/>
        <v/>
      </c>
      <c r="O36" s="169" t="str">
        <f t="array" aca="1" ref="O36" ca="1">IF(ROWS($1:35)&lt;=COUNTIF(cond,"o"),INDEX(champ,SMALL(IF(cond="o",ROW(INDIRECT("1:"&amp;ROWS(champ)))),ROWS($1:35))),"")</f>
        <v/>
      </c>
    </row>
    <row r="37" spans="1:15">
      <c r="A37">
        <v>3</v>
      </c>
      <c r="B37" s="187" t="str">
        <f>IF(ISNA(IF(OR(VLOOKUP(B$32&amp;"_"&amp;A37,Scénarios!$A$10:$F$590,2,0)="Sélectionnez un indicateur prédéfini…",VLOOKUP(B$32&amp;"_"&amp;A37,Scénarios!$A$10:$F$590,2,0)="Encoder votre indicateur…"),"-",VLOOKUP(B$32&amp;"_"&amp;A37,Scénarios!$A$10:$F$590,2,0))),"-",IF(OR(VLOOKUP(B$32&amp;"_"&amp;A37,Scénarios!$A$10:$F$590,2,0)="Sélectionnez un indicateur prédéfini…",VLOOKUP(B$32&amp;"_"&amp;A37,Scénarios!$A$10:$F$590,2,0)="Encoder votre indicateur…"),"-",VLOOKUP(B$32&amp;"_"&amp;A37,Scénarios!$A$10:$F$590,2,0)))</f>
        <v>-</v>
      </c>
      <c r="C37" s="824">
        <f>IF(ISNA(VLOOKUP(B$32&amp;"_"&amp;A37,Scénarios!$A$10:$F$590,3,0)),,VLOOKUP(B$32&amp;"_"&amp;A37,Scénarios!$A$10:$F$590,3,0))</f>
        <v>0</v>
      </c>
      <c r="D37" s="825"/>
      <c r="E37"/>
      <c r="F37" s="55"/>
      <c r="G37" s="901">
        <f>IF(ISNA(VLOOKUP(B$32&amp;"_"&amp;A37,Scénarios!$A$10:$F$590,5,0)),,VLOOKUP(B$32&amp;"_"&amp;A37,Scénarios!$A$10:$F$590,IF(ISNA(VLOOKUP($A$5,Categories!$Z$16:$AA$31,2,0)),5,4),0))</f>
        <v>0</v>
      </c>
      <c r="H37" s="901">
        <f t="shared" si="3"/>
        <v>0</v>
      </c>
      <c r="I37" s="1957"/>
      <c r="J37" s="1957"/>
      <c r="K37"/>
      <c r="L37"/>
      <c r="M37" s="169" t="str">
        <f>IF('Suivi objectifs'!B37=Modele!$A$5,'Suivi objectifs'!D37,"")</f>
        <v/>
      </c>
      <c r="N37" s="169" t="str">
        <f t="shared" si="1"/>
        <v/>
      </c>
      <c r="O37" s="169" t="str">
        <f t="array" aca="1" ref="O37" ca="1">IF(ROWS($1:36)&lt;=COUNTIF(cond,"o"),INDEX(champ,SMALL(IF(cond="o",ROW(INDIRECT("1:"&amp;ROWS(champ)))),ROWS($1:36))),"")</f>
        <v/>
      </c>
    </row>
    <row r="38" spans="1:15">
      <c r="A38">
        <v>4</v>
      </c>
      <c r="B38" s="187" t="str">
        <f>IF(ISNA(IF(OR(VLOOKUP(B$32&amp;"_"&amp;A38,Scénarios!$A$10:$F$590,2,0)="Sélectionnez un indicateur prédéfini…",VLOOKUP(B$32&amp;"_"&amp;A38,Scénarios!$A$10:$F$590,2,0)="Encoder votre indicateur…"),"-",VLOOKUP(B$32&amp;"_"&amp;A38,Scénarios!$A$10:$F$590,2,0))),"-",IF(OR(VLOOKUP(B$32&amp;"_"&amp;A38,Scénarios!$A$10:$F$590,2,0)="Sélectionnez un indicateur prédéfini…",VLOOKUP(B$32&amp;"_"&amp;A38,Scénarios!$A$10:$F$590,2,0)="Encoder votre indicateur…"),"-",VLOOKUP(B$32&amp;"_"&amp;A38,Scénarios!$A$10:$F$590,2,0)))</f>
        <v>-</v>
      </c>
      <c r="C38" s="824">
        <f>IF(ISNA(VLOOKUP(B$32&amp;"_"&amp;A38,Scénarios!$A$10:$F$590,3,0)),,VLOOKUP(B$32&amp;"_"&amp;A38,Scénarios!$A$10:$F$590,3,0))</f>
        <v>0</v>
      </c>
      <c r="D38" s="825"/>
      <c r="E38"/>
      <c r="F38" s="55"/>
      <c r="G38" s="901">
        <f>IF(ISNA(VLOOKUP(B$32&amp;"_"&amp;A38,Scénarios!$A$10:$F$590,5,0)),,VLOOKUP(B$32&amp;"_"&amp;A38,Scénarios!$A$10:$F$590,IF(ISNA(VLOOKUP($A$5,Categories!$Z$16:$AA$31,2,0)),5,4),0))</f>
        <v>0</v>
      </c>
      <c r="H38" s="901">
        <f t="shared" si="3"/>
        <v>0</v>
      </c>
      <c r="I38"/>
      <c r="J38"/>
      <c r="K38"/>
      <c r="L38"/>
      <c r="M38" s="169" t="str">
        <f>IF('Suivi objectifs'!B38=Modele!$A$5,'Suivi objectifs'!D38,"")</f>
        <v/>
      </c>
      <c r="N38" s="169" t="str">
        <f t="shared" si="1"/>
        <v/>
      </c>
      <c r="O38" s="169" t="str">
        <f t="array" aca="1" ref="O38" ca="1">IF(ROWS($1:37)&lt;=COUNTIF(cond,"o"),INDEX(champ,SMALL(IF(cond="o",ROW(INDIRECT("1:"&amp;ROWS(champ)))),ROWS($1:37))),"")</f>
        <v/>
      </c>
    </row>
    <row r="39" spans="1:15">
      <c r="A39">
        <v>5</v>
      </c>
      <c r="B39" s="187" t="str">
        <f>IF(ISNA(IF(OR(VLOOKUP(B$32&amp;"_"&amp;A39,Scénarios!$A$10:$F$590,2,0)="Sélectionnez un indicateur prédéfini…",VLOOKUP(B$32&amp;"_"&amp;A39,Scénarios!$A$10:$F$590,2,0)="Encoder votre indicateur…"),"-",VLOOKUP(B$32&amp;"_"&amp;A39,Scénarios!$A$10:$F$590,2,0))),"-",IF(OR(VLOOKUP(B$32&amp;"_"&amp;A39,Scénarios!$A$10:$F$590,2,0)="Sélectionnez un indicateur prédéfini…",VLOOKUP(B$32&amp;"_"&amp;A39,Scénarios!$A$10:$F$590,2,0)="Encoder votre indicateur…"),"-",VLOOKUP(B$32&amp;"_"&amp;A39,Scénarios!$A$10:$F$590,2,0)))</f>
        <v>-</v>
      </c>
      <c r="C39" s="824">
        <f>IF(ISNA(VLOOKUP(B$32&amp;"_"&amp;A39,Scénarios!$A$10:$F$590,3,0)),,VLOOKUP(B$32&amp;"_"&amp;A39,Scénarios!$A$10:$F$590,3,0))</f>
        <v>0</v>
      </c>
      <c r="D39" s="825"/>
      <c r="E39"/>
      <c r="F39" s="55"/>
      <c r="G39" s="901">
        <f>IF(ISNA(VLOOKUP(B$32&amp;"_"&amp;A39,Scénarios!$A$10:$F$590,5,0)),,VLOOKUP(B$32&amp;"_"&amp;A39,Scénarios!$A$10:$F$590,IF(ISNA(VLOOKUP($A$5,Categories!$Z$16:$AA$31,2,0)),5,4),0))</f>
        <v>0</v>
      </c>
      <c r="H39" s="901">
        <f t="shared" si="3"/>
        <v>0</v>
      </c>
      <c r="I39"/>
      <c r="J39"/>
      <c r="K39"/>
      <c r="L39"/>
      <c r="M39" s="169">
        <f>IF('Suivi objectifs'!B39=Modele!$A$5,'Suivi objectifs'!D39,"")</f>
        <v>0</v>
      </c>
      <c r="N39" s="169" t="str">
        <f t="shared" si="1"/>
        <v>o</v>
      </c>
      <c r="O39" s="169" t="str">
        <f t="array" aca="1" ref="O39" ca="1">IF(ROWS($1:38)&lt;=COUNTIF(cond,"o"),INDEX(champ,SMALL(IF(cond="o",ROW(INDIRECT("1:"&amp;ROWS(champ)))),ROWS($1:38))),"")</f>
        <v/>
      </c>
    </row>
    <row r="40" spans="1:15">
      <c r="A40">
        <v>6</v>
      </c>
      <c r="B40" s="187" t="str">
        <f>IF(ISNA(IF(OR(VLOOKUP(B$32&amp;"_"&amp;A40,Scénarios!$A$10:$F$590,2,0)="Sélectionnez un indicateur prédéfini…",VLOOKUP(B$32&amp;"_"&amp;A40,Scénarios!$A$10:$F$590,2,0)="Encoder votre indicateur…"),"-",VLOOKUP(B$32&amp;"_"&amp;A40,Scénarios!$A$10:$F$590,2,0))),"-",IF(OR(VLOOKUP(B$32&amp;"_"&amp;A40,Scénarios!$A$10:$F$590,2,0)="Sélectionnez un indicateur prédéfini…",VLOOKUP(B$32&amp;"_"&amp;A40,Scénarios!$A$10:$F$590,2,0)="Encoder votre indicateur…"),"-",VLOOKUP(B$32&amp;"_"&amp;A40,Scénarios!$A$10:$F$590,2,0)))</f>
        <v>-</v>
      </c>
      <c r="C40" s="824">
        <f>IF(ISNA(VLOOKUP(B$32&amp;"_"&amp;A40,Scénarios!$A$10:$F$590,3,0)),,VLOOKUP(B$32&amp;"_"&amp;A40,Scénarios!$A$10:$F$590,3,0))</f>
        <v>0</v>
      </c>
      <c r="D40" s="825"/>
      <c r="E40"/>
      <c r="F40" s="55"/>
      <c r="G40" s="901">
        <f>IF(ISNA(VLOOKUP(B$32&amp;"_"&amp;A40,Scénarios!$A$10:$F$590,5,0)),,VLOOKUP(B$32&amp;"_"&amp;A40,Scénarios!$A$10:$F$590,IF(ISNA(VLOOKUP($A$5,Categories!$Z$16:$AA$31,2,0)),5,4),0))</f>
        <v>0</v>
      </c>
      <c r="H40" s="901">
        <f t="shared" si="3"/>
        <v>0</v>
      </c>
      <c r="I40"/>
      <c r="J40"/>
      <c r="K40"/>
      <c r="L40"/>
      <c r="M40" s="169">
        <f>IF('Suivi objectifs'!B40=Modele!$A$5,'Suivi objectifs'!D40,"")</f>
        <v>0</v>
      </c>
      <c r="N40" s="169" t="str">
        <f t="shared" si="1"/>
        <v>o</v>
      </c>
      <c r="O40" s="169" t="str">
        <f t="array" aca="1" ref="O40" ca="1">IF(ROWS($1:39)&lt;=COUNTIF(cond,"o"),INDEX(champ,SMALL(IF(cond="o",ROW(INDIRECT("1:"&amp;ROWS(champ)))),ROWS($1:39))),"")</f>
        <v/>
      </c>
    </row>
    <row r="41" spans="1:15">
      <c r="A41">
        <v>7</v>
      </c>
      <c r="B41" s="187" t="str">
        <f>IF(ISNA(IF(OR(VLOOKUP(B$32&amp;"_"&amp;A41,Scénarios!$A$10:$F$590,2,0)="Sélectionnez un indicateur prédéfini…",VLOOKUP(B$32&amp;"_"&amp;A41,Scénarios!$A$10:$F$590,2,0)="Encoder votre indicateur…"),"-",VLOOKUP(B$32&amp;"_"&amp;A41,Scénarios!$A$10:$F$590,2,0))),"-",IF(OR(VLOOKUP(B$32&amp;"_"&amp;A41,Scénarios!$A$10:$F$590,2,0)="Sélectionnez un indicateur prédéfini…",VLOOKUP(B$32&amp;"_"&amp;A41,Scénarios!$A$10:$F$590,2,0)="Encoder votre indicateur…"),"-",VLOOKUP(B$32&amp;"_"&amp;A41,Scénarios!$A$10:$F$590,2,0)))</f>
        <v>-</v>
      </c>
      <c r="C41" s="824">
        <f>IF(ISNA(VLOOKUP(B$32&amp;"_"&amp;A41,Scénarios!$A$10:$F$590,3,0)),,VLOOKUP(B$32&amp;"_"&amp;A41,Scénarios!$A$10:$F$590,3,0))</f>
        <v>0</v>
      </c>
      <c r="D41" s="825"/>
      <c r="E41"/>
      <c r="F41" s="55"/>
      <c r="G41" s="901">
        <f>IF(ISNA(VLOOKUP(B$32&amp;"_"&amp;A41,Scénarios!$A$10:$F$590,5,0)),,VLOOKUP(B$32&amp;"_"&amp;A41,Scénarios!$A$10:$F$590,IF(ISNA(VLOOKUP($A$5,Categories!$Z$16:$AA$31,2,0)),5,4),0))</f>
        <v>0</v>
      </c>
      <c r="H41" s="901">
        <f t="shared" si="3"/>
        <v>0</v>
      </c>
      <c r="I41"/>
      <c r="J41"/>
      <c r="K41"/>
      <c r="L41"/>
      <c r="M41" s="169">
        <f>IF('Suivi objectifs'!B41=Modele!$A$5,'Suivi objectifs'!D41,"")</f>
        <v>0</v>
      </c>
      <c r="N41" s="169" t="str">
        <f t="shared" si="1"/>
        <v>o</v>
      </c>
      <c r="O41" s="169" t="str">
        <f t="array" aca="1" ref="O41" ca="1">IF(ROWS($1:40)&lt;=COUNTIF(cond,"o"),INDEX(champ,SMALL(IF(cond="o",ROW(INDIRECT("1:"&amp;ROWS(champ)))),ROWS($1:40))),"")</f>
        <v/>
      </c>
    </row>
    <row r="42" spans="1:15">
      <c r="A42">
        <v>8</v>
      </c>
      <c r="B42" s="187" t="str">
        <f>IF(ISNA(IF(OR(VLOOKUP(B$32&amp;"_"&amp;A42,Scénarios!$A$10:$F$590,2,0)="Sélectionnez un indicateur prédéfini…",VLOOKUP(B$32&amp;"_"&amp;A42,Scénarios!$A$10:$F$590,2,0)="Encoder votre indicateur…"),"-",VLOOKUP(B$32&amp;"_"&amp;A42,Scénarios!$A$10:$F$590,2,0))),"-",IF(OR(VLOOKUP(B$32&amp;"_"&amp;A42,Scénarios!$A$10:$F$590,2,0)="Sélectionnez un indicateur prédéfini…",VLOOKUP(B$32&amp;"_"&amp;A42,Scénarios!$A$10:$F$590,2,0)="Encoder votre indicateur…"),"-",VLOOKUP(B$32&amp;"_"&amp;A42,Scénarios!$A$10:$F$590,2,0)))</f>
        <v>-</v>
      </c>
      <c r="C42" s="824">
        <f>IF(ISNA(VLOOKUP(B$32&amp;"_"&amp;A42,Scénarios!$A$10:$F$590,3,0)),,VLOOKUP(B$32&amp;"_"&amp;A42,Scénarios!$A$10:$F$590,3,0))</f>
        <v>0</v>
      </c>
      <c r="D42" s="825"/>
      <c r="E42"/>
      <c r="F42" s="55"/>
      <c r="G42" s="901">
        <f>IF(ISNA(VLOOKUP(B$32&amp;"_"&amp;A42,Scénarios!$A$10:$F$590,5,0)),,VLOOKUP(B$32&amp;"_"&amp;A42,Scénarios!$A$10:$F$590,IF(ISNA(VLOOKUP($A$5,Categories!$Z$16:$AA$31,2,0)),5,4),0))</f>
        <v>0</v>
      </c>
      <c r="H42" s="901">
        <f t="shared" si="3"/>
        <v>0</v>
      </c>
      <c r="I42"/>
      <c r="J42"/>
      <c r="K42"/>
      <c r="L42"/>
      <c r="M42" s="169">
        <f>IF('Suivi objectifs'!B42=Modele!$A$5,'Suivi objectifs'!D42,"")</f>
        <v>0</v>
      </c>
      <c r="N42" s="169"/>
      <c r="O42" s="169"/>
    </row>
    <row r="43" spans="1:15">
      <c r="A43">
        <v>9</v>
      </c>
      <c r="B43" s="187" t="str">
        <f>IF(ISNA(IF(OR(VLOOKUP(B$32&amp;"_"&amp;A43,Scénarios!$A$10:$F$590,2,0)="Sélectionnez un indicateur prédéfini…",VLOOKUP(B$32&amp;"_"&amp;A43,Scénarios!$A$10:$F$590,2,0)="Encoder votre indicateur…"),"-",VLOOKUP(B$32&amp;"_"&amp;A43,Scénarios!$A$10:$F$590,2,0))),"-",IF(OR(VLOOKUP(B$32&amp;"_"&amp;A43,Scénarios!$A$10:$F$590,2,0)="Sélectionnez un indicateur prédéfini…",VLOOKUP(B$32&amp;"_"&amp;A43,Scénarios!$A$10:$F$590,2,0)="Encoder votre indicateur…"),"-",VLOOKUP(B$32&amp;"_"&amp;A43,Scénarios!$A$10:$F$590,2,0)))</f>
        <v>-</v>
      </c>
      <c r="C43" s="824">
        <f>IF(ISNA(VLOOKUP(B$32&amp;"_"&amp;A43,Scénarios!$A$10:$F$590,3,0)),,VLOOKUP(B$32&amp;"_"&amp;A43,Scénarios!$A$10:$F$590,3,0))</f>
        <v>0</v>
      </c>
      <c r="D43" s="825"/>
      <c r="E43"/>
      <c r="F43" s="55"/>
      <c r="G43" s="901">
        <f>IF(ISNA(VLOOKUP(B$32&amp;"_"&amp;A43,Scénarios!$A$10:$F$590,5,0)),,VLOOKUP(B$32&amp;"_"&amp;A43,Scénarios!$A$10:$F$590,IF(ISNA(VLOOKUP($A$5,Categories!$Z$16:$AA$31,2,0)),5,4),0))</f>
        <v>0</v>
      </c>
      <c r="H43" s="901">
        <f t="shared" si="3"/>
        <v>0</v>
      </c>
      <c r="I43"/>
      <c r="J43"/>
      <c r="K43"/>
      <c r="L43"/>
      <c r="M43" s="169">
        <f>IF('Suivi objectifs'!B43=Modele!$A$5,'Suivi objectifs'!D43,"")</f>
        <v>0</v>
      </c>
      <c r="N43" s="169"/>
      <c r="O43" s="169"/>
    </row>
    <row r="44" spans="1:15">
      <c r="A44">
        <v>10</v>
      </c>
      <c r="B44" s="187" t="str">
        <f>IF(ISNA(IF(OR(VLOOKUP(B$32&amp;"_"&amp;A44,Scénarios!$A$10:$F$590,2,0)="Sélectionnez un indicateur prédéfini…",VLOOKUP(B$32&amp;"_"&amp;A44,Scénarios!$A$10:$F$590,2,0)="Encoder votre indicateur…"),"-",VLOOKUP(B$32&amp;"_"&amp;A44,Scénarios!$A$10:$F$590,2,0))),"-",IF(OR(VLOOKUP(B$32&amp;"_"&amp;A44,Scénarios!$A$10:$F$590,2,0)="Sélectionnez un indicateur prédéfini…",VLOOKUP(B$32&amp;"_"&amp;A44,Scénarios!$A$10:$F$590,2,0)="Encoder votre indicateur…"),"-",VLOOKUP(B$32&amp;"_"&amp;A44,Scénarios!$A$10:$F$590,2,0)))</f>
        <v>-</v>
      </c>
      <c r="C44" s="824">
        <f>IF(ISNA(VLOOKUP(B$32&amp;"_"&amp;A44,Scénarios!$A$10:$F$590,3,0)),,VLOOKUP(B$32&amp;"_"&amp;A44,Scénarios!$A$10:$F$590,3,0))</f>
        <v>0</v>
      </c>
      <c r="D44" s="825"/>
      <c r="E44"/>
      <c r="F44" s="55"/>
      <c r="G44" s="901">
        <f>IF(ISNA(VLOOKUP(B$32&amp;"_"&amp;A44,Scénarios!$A$10:$F$590,5,0)),,VLOOKUP(B$32&amp;"_"&amp;A44,Scénarios!$A$10:$F$590,IF(ISNA(VLOOKUP($A$5,Categories!$Z$16:$AA$31,2,0)),5,4),0))</f>
        <v>0</v>
      </c>
      <c r="H44" s="901">
        <f t="shared" si="3"/>
        <v>0</v>
      </c>
      <c r="I44"/>
      <c r="J44"/>
      <c r="K44"/>
      <c r="L44"/>
      <c r="M44" s="169">
        <f>IF('Suivi objectifs'!B44=Modele!$A$5,'Suivi objectifs'!D44,"")</f>
        <v>0</v>
      </c>
      <c r="N44" s="169"/>
      <c r="O44" s="169"/>
    </row>
    <row r="45" spans="1:15">
      <c r="A45">
        <v>11</v>
      </c>
      <c r="B45" s="187" t="str">
        <f>IF(ISNA(IF(OR(VLOOKUP(B$32&amp;"_"&amp;A45,Scénarios!$A$10:$F$590,2,0)="Sélectionnez un indicateur prédéfini…",VLOOKUP(B$32&amp;"_"&amp;A45,Scénarios!$A$10:$F$590,2,0)="Encoder votre indicateur…"),"-",VLOOKUP(B$32&amp;"_"&amp;A45,Scénarios!$A$10:$F$590,2,0))),"-",IF(OR(VLOOKUP(B$32&amp;"_"&amp;A45,Scénarios!$A$10:$F$590,2,0)="Sélectionnez un indicateur prédéfini…",VLOOKUP(B$32&amp;"_"&amp;A45,Scénarios!$A$10:$F$590,2,0)="Encoder votre indicateur…"),"-",VLOOKUP(B$32&amp;"_"&amp;A45,Scénarios!$A$10:$F$590,2,0)))</f>
        <v>-</v>
      </c>
      <c r="C45" s="824">
        <f>IF(ISNA(VLOOKUP(B$32&amp;"_"&amp;A45,Scénarios!$A$10:$F$590,3,0)),,VLOOKUP(B$32&amp;"_"&amp;A45,Scénarios!$A$10:$F$590,3,0))</f>
        <v>0</v>
      </c>
      <c r="D45" s="825"/>
      <c r="E45"/>
      <c r="F45" s="55"/>
      <c r="G45" s="901">
        <f>IF(ISNA(VLOOKUP(B$32&amp;"_"&amp;A45,Scénarios!$A$10:$F$590,5,0)),,VLOOKUP(B$32&amp;"_"&amp;A45,Scénarios!$A$10:$F$590,IF(ISNA(VLOOKUP($A$5,Categories!$Z$16:$AA$31,2,0)),5,4),0))</f>
        <v>0</v>
      </c>
      <c r="H45" s="901">
        <f t="shared" si="3"/>
        <v>0</v>
      </c>
      <c r="I45"/>
      <c r="J45"/>
      <c r="K45"/>
      <c r="L45"/>
      <c r="M45" s="169">
        <f>IF('Suivi objectifs'!B45=Modele!$A$5,'Suivi objectifs'!D45,"")</f>
        <v>0</v>
      </c>
      <c r="N45" s="169"/>
      <c r="O45" s="169"/>
    </row>
    <row r="46" spans="1:15">
      <c r="A46">
        <v>12</v>
      </c>
      <c r="B46" s="187" t="str">
        <f>IF(ISNA(IF(OR(VLOOKUP(B$32&amp;"_"&amp;A46,Scénarios!$A$10:$F$590,2,0)="Sélectionnez un indicateur prédéfini…",VLOOKUP(B$32&amp;"_"&amp;A46,Scénarios!$A$10:$F$590,2,0)="Encoder votre indicateur…"),"-",VLOOKUP(B$32&amp;"_"&amp;A46,Scénarios!$A$10:$F$590,2,0))),"-",IF(OR(VLOOKUP(B$32&amp;"_"&amp;A46,Scénarios!$A$10:$F$590,2,0)="Sélectionnez un indicateur prédéfini…",VLOOKUP(B$32&amp;"_"&amp;A46,Scénarios!$A$10:$F$590,2,0)="Encoder votre indicateur…"),"-",VLOOKUP(B$32&amp;"_"&amp;A46,Scénarios!$A$10:$F$590,2,0)))</f>
        <v>-</v>
      </c>
      <c r="C46" s="824">
        <f>IF(ISNA(VLOOKUP(B$32&amp;"_"&amp;A46,Scénarios!$A$10:$F$590,3,0)),,VLOOKUP(B$32&amp;"_"&amp;A46,Scénarios!$A$10:$F$590,3,0))</f>
        <v>0</v>
      </c>
      <c r="D46" s="825"/>
      <c r="E46"/>
      <c r="F46" s="55"/>
      <c r="G46" s="901">
        <f>IF(ISNA(VLOOKUP(B$32&amp;"_"&amp;A46,Scénarios!$A$10:$F$590,5,0)),,VLOOKUP(B$32&amp;"_"&amp;A46,Scénarios!$A$10:$F$590,IF(ISNA(VLOOKUP($A$5,Categories!$Z$16:$AA$31,2,0)),5,4),0))</f>
        <v>0</v>
      </c>
      <c r="H46" s="901">
        <f t="shared" si="3"/>
        <v>0</v>
      </c>
      <c r="I46"/>
      <c r="J46"/>
      <c r="K46"/>
      <c r="L46"/>
      <c r="M46" s="169">
        <f>IF('Suivi objectifs'!B46=Modele!$A$5,'Suivi objectifs'!D46,"")</f>
        <v>0</v>
      </c>
      <c r="N46" s="169"/>
      <c r="O46" s="169"/>
    </row>
    <row r="47" spans="1:15">
      <c r="A47">
        <v>13</v>
      </c>
      <c r="B47" s="187" t="str">
        <f>IF(ISNA(IF(OR(VLOOKUP(B$32&amp;"_"&amp;A47,Scénarios!$A$10:$F$590,2,0)="Sélectionnez un indicateur prédéfini…",VLOOKUP(B$32&amp;"_"&amp;A47,Scénarios!$A$10:$F$590,2,0)="Encoder votre indicateur…"),"-",VLOOKUP(B$32&amp;"_"&amp;A47,Scénarios!$A$10:$F$590,2,0))),"-",IF(OR(VLOOKUP(B$32&amp;"_"&amp;A47,Scénarios!$A$10:$F$590,2,0)="Sélectionnez un indicateur prédéfini…",VLOOKUP(B$32&amp;"_"&amp;A47,Scénarios!$A$10:$F$590,2,0)="Encoder votre indicateur…"),"-",VLOOKUP(B$32&amp;"_"&amp;A47,Scénarios!$A$10:$F$590,2,0)))</f>
        <v>-</v>
      </c>
      <c r="C47" s="824">
        <f>IF(ISNA(VLOOKUP(B$32&amp;"_"&amp;A47,Scénarios!$A$10:$F$590,3,0)),,VLOOKUP(B$32&amp;"_"&amp;A47,Scénarios!$A$10:$F$590,3,0))</f>
        <v>0</v>
      </c>
      <c r="D47" s="825"/>
      <c r="E47"/>
      <c r="F47" s="55"/>
      <c r="G47" s="901">
        <f>IF(ISNA(VLOOKUP(B$32&amp;"_"&amp;A47,Scénarios!$A$10:$F$590,5,0)),,VLOOKUP(B$32&amp;"_"&amp;A47,Scénarios!$A$10:$F$590,IF(ISNA(VLOOKUP($A$5,Categories!$Z$16:$AA$31,2,0)),5,4),0))</f>
        <v>0</v>
      </c>
      <c r="H47" s="901">
        <f t="shared" si="3"/>
        <v>0</v>
      </c>
      <c r="I47"/>
      <c r="J47"/>
      <c r="K47"/>
      <c r="L47"/>
      <c r="M47" s="169">
        <f>IF('Suivi objectifs'!B47=Modele!$A$5,'Suivi objectifs'!D47,"")</f>
        <v>0</v>
      </c>
      <c r="N47" s="169" t="str">
        <f t="shared" si="1"/>
        <v>o</v>
      </c>
      <c r="O47" s="169" t="str">
        <f t="array" aca="1" ref="O47" ca="1">IF(ROWS($1:41)&lt;=COUNTIF(cond,"o"),INDEX(champ,SMALL(IF(cond="o",ROW(INDIRECT("1:"&amp;ROWS(champ)))),ROWS($1:41))),"")</f>
        <v/>
      </c>
    </row>
    <row r="48" spans="1:15">
      <c r="A48">
        <v>14</v>
      </c>
      <c r="B48" s="187" t="str">
        <f>IF(ISNA(IF(OR(VLOOKUP(B$32&amp;"_"&amp;A48,Scénarios!$A$10:$F$590,2,0)="Sélectionnez un indicateur prédéfini…",VLOOKUP(B$32&amp;"_"&amp;A48,Scénarios!$A$10:$F$590,2,0)="Encoder votre indicateur…"),"-",VLOOKUP(B$32&amp;"_"&amp;A48,Scénarios!$A$10:$F$590,2,0))),"-",IF(OR(VLOOKUP(B$32&amp;"_"&amp;A48,Scénarios!$A$10:$F$590,2,0)="Sélectionnez un indicateur prédéfini…",VLOOKUP(B$32&amp;"_"&amp;A48,Scénarios!$A$10:$F$590,2,0)="Encoder votre indicateur…"),"-",VLOOKUP(B$32&amp;"_"&amp;A48,Scénarios!$A$10:$F$590,2,0)))</f>
        <v>-</v>
      </c>
      <c r="C48" s="824">
        <f>IF(ISNA(VLOOKUP(B$32&amp;"_"&amp;A48,Scénarios!$A$10:$F$590,3,0)),,VLOOKUP(B$32&amp;"_"&amp;A48,Scénarios!$A$10:$F$590,3,0))</f>
        <v>0</v>
      </c>
      <c r="D48" s="825"/>
      <c r="E48"/>
      <c r="F48" s="55"/>
      <c r="G48" s="901">
        <f>IF(ISNA(VLOOKUP(B$32&amp;"_"&amp;A48,Scénarios!$A$10:$F$590,5,0)),,VLOOKUP(B$32&amp;"_"&amp;A48,Scénarios!$A$10:$F$590,IF(ISNA(VLOOKUP($A$5,Categories!$Z$16:$AA$31,2,0)),5,4),0))</f>
        <v>0</v>
      </c>
      <c r="H48" s="901">
        <f t="shared" si="3"/>
        <v>0</v>
      </c>
      <c r="I48"/>
      <c r="J48"/>
      <c r="K48"/>
      <c r="L48"/>
      <c r="M48" s="169">
        <f>IF('Suivi objectifs'!B47=Modele!$A$5,'Suivi objectifs'!D47,"")</f>
        <v>0</v>
      </c>
    </row>
    <row r="49" spans="1:12">
      <c r="A49">
        <v>15</v>
      </c>
      <c r="B49" s="187" t="str">
        <f>IF(ISNA(IF(OR(VLOOKUP(B$32&amp;"_"&amp;A49,Scénarios!$A$10:$F$590,2,0)="Sélectionnez un indicateur prédéfini…",VLOOKUP(B$32&amp;"_"&amp;A49,Scénarios!$A$10:$F$590,2,0)="Encoder votre indicateur…"),"-",VLOOKUP(B$32&amp;"_"&amp;A49,Scénarios!$A$10:$F$590,2,0))),"-",IF(OR(VLOOKUP(B$32&amp;"_"&amp;A49,Scénarios!$A$10:$F$590,2,0)="Sélectionnez un indicateur prédéfini…",VLOOKUP(B$32&amp;"_"&amp;A49,Scénarios!$A$10:$F$590,2,0)="Encoder votre indicateur…"),"-",VLOOKUP(B$32&amp;"_"&amp;A49,Scénarios!$A$10:$F$590,2,0)))</f>
        <v>-</v>
      </c>
      <c r="C49" s="824">
        <f>IF(ISNA(VLOOKUP(B$32&amp;"_"&amp;A49,Scénarios!$A$10:$F$590,3,0)),,VLOOKUP(B$32&amp;"_"&amp;A49,Scénarios!$A$10:$F$590,3,0))</f>
        <v>0</v>
      </c>
      <c r="D49" s="825"/>
      <c r="E49"/>
      <c r="F49" s="55"/>
      <c r="G49" s="901">
        <f>IF(ISNA(VLOOKUP(B$32&amp;"_"&amp;A49,Scénarios!$A$10:$F$590,5,0)),,VLOOKUP(B$32&amp;"_"&amp;A49,Scénarios!$A$10:$F$590,IF(ISNA(VLOOKUP($A$5,Categories!$Z$16:$AA$31,2,0)),5,4),0))</f>
        <v>0</v>
      </c>
      <c r="H49" s="901">
        <f t="shared" si="3"/>
        <v>0</v>
      </c>
      <c r="I49"/>
      <c r="J49"/>
      <c r="K49"/>
      <c r="L49"/>
    </row>
    <row r="50" spans="1:12">
      <c r="A50"/>
      <c r="B50"/>
      <c r="C50"/>
      <c r="D50"/>
      <c r="E50"/>
      <c r="F50" s="55"/>
      <c r="G50" s="55"/>
      <c r="H50" s="55"/>
      <c r="I50" s="1879"/>
      <c r="J50" s="1879"/>
      <c r="K50"/>
      <c r="L50"/>
    </row>
    <row r="51" spans="1:12" ht="15.6">
      <c r="A51"/>
      <c r="B51" s="827" t="s">
        <v>749</v>
      </c>
      <c r="C51" s="828">
        <f>IF(SUM(G35:G49)=0,0,SUM(H35:H49)/SUM(G35:G49))</f>
        <v>0</v>
      </c>
      <c r="D51" s="829"/>
      <c r="E51"/>
      <c r="F51" s="55"/>
      <c r="G51" s="55"/>
      <c r="H51" s="55"/>
      <c r="I51" s="1879"/>
      <c r="J51" s="1879"/>
      <c r="K51"/>
      <c r="L51"/>
    </row>
    <row r="52" spans="1:12">
      <c r="A52" s="190"/>
      <c r="B52" s="190"/>
      <c r="C52" s="190"/>
      <c r="D52" s="190"/>
      <c r="E52" s="190"/>
      <c r="F52" s="159"/>
      <c r="G52" s="55"/>
      <c r="H52" s="55"/>
      <c r="I52" s="43"/>
      <c r="J52" s="43"/>
      <c r="K52"/>
      <c r="L52"/>
    </row>
    <row r="53" spans="1:12" ht="18">
      <c r="A53" s="823" t="s">
        <v>750</v>
      </c>
      <c r="B53" s="246" t="str">
        <f>IF(C5=0,"-",C5)</f>
        <v>-</v>
      </c>
      <c r="C53"/>
      <c r="D53"/>
      <c r="E53"/>
      <c r="F53" s="55"/>
      <c r="G53" s="55"/>
      <c r="H53" s="55"/>
      <c r="I53"/>
      <c r="J53"/>
      <c r="K53"/>
      <c r="L53"/>
    </row>
    <row r="54" spans="1:12" ht="18">
      <c r="A54" s="823"/>
      <c r="B54" s="246"/>
      <c r="C54"/>
      <c r="D54"/>
      <c r="E54"/>
      <c r="F54" s="55"/>
      <c r="G54" s="55"/>
      <c r="H54" s="55"/>
      <c r="I54"/>
      <c r="J54"/>
      <c r="K54"/>
      <c r="L54"/>
    </row>
    <row r="55" spans="1:12" ht="28.8">
      <c r="A55"/>
      <c r="B55" s="217" t="s">
        <v>676</v>
      </c>
      <c r="C55" s="217" t="s">
        <v>746</v>
      </c>
      <c r="D55" s="218" t="s">
        <v>747</v>
      </c>
      <c r="E55"/>
      <c r="F55" s="55"/>
      <c r="G55" s="55"/>
      <c r="H55" s="55"/>
      <c r="I55"/>
      <c r="J55"/>
      <c r="K55"/>
      <c r="L55"/>
    </row>
    <row r="56" spans="1:12">
      <c r="A56">
        <v>1</v>
      </c>
      <c r="B56" s="187" t="str">
        <f>IF(ISNA(IF(OR(VLOOKUP(B$53&amp;"_"&amp;A56,Scénarios!$A$10:$F$590,2,0)="Sélectionnez un indicateur prédéfini…",VLOOKUP(B$53&amp;"_"&amp;A56,Scénarios!$A$10:$F$590,2,0)="Encoder votre indicateur…"),"-",VLOOKUP(B$53&amp;"_"&amp;A56,Scénarios!$A$10:$F$590,2,0))),"-",IF(OR(VLOOKUP(B$53&amp;"_"&amp;A56,Scénarios!$A$10:$F$590,2,0)="Sélectionnez un indicateur prédéfini…",VLOOKUP(B$53&amp;"_"&amp;A56,Scénarios!$A$10:$F$590,2,0)="Encoder votre indicateur…"),"-",VLOOKUP(B$53&amp;"_"&amp;A56,Scénarios!$A$10:$F$590,2,0)))</f>
        <v>-</v>
      </c>
      <c r="C56" s="824">
        <f>IF(ISNA(VLOOKUP(B$53&amp;"_"&amp;A56,Scénarios!$A$10:$F$590,3,0)),,VLOOKUP(B$53&amp;"_"&amp;A56,Scénarios!$A$10:$F$590,3,0))</f>
        <v>0</v>
      </c>
      <c r="D56" s="825"/>
      <c r="E56"/>
      <c r="F56" s="55"/>
      <c r="G56" s="901">
        <f>IF(ISNA(VLOOKUP(B$53&amp;"_"&amp;A56,Scénarios!$A$10:$F$590,5,0)),,VLOOKUP(B$53&amp;"_"&amp;A56,Scénarios!$A$10:$F$590,IF(ISNA(VLOOKUP($A$5,Categories!$Z$16:$AA$31,2,0)),5,4),0))</f>
        <v>0</v>
      </c>
      <c r="H56" s="901">
        <f t="shared" ref="H56" si="4">IF(C56=0,0,G56/C56*D56)</f>
        <v>0</v>
      </c>
      <c r="I56"/>
      <c r="J56"/>
      <c r="K56"/>
      <c r="L56"/>
    </row>
    <row r="57" spans="1:12">
      <c r="A57">
        <v>2</v>
      </c>
      <c r="B57" s="187" t="str">
        <f>IF(ISNA(IF(OR(VLOOKUP(B$53&amp;"_"&amp;A57,Scénarios!$A$10:$F$590,2,0)="Sélectionnez un indicateur prédéfini…",VLOOKUP(B$53&amp;"_"&amp;A57,Scénarios!$A$10:$F$590,2,0)="Encoder votre indicateur…"),"-",VLOOKUP(B$53&amp;"_"&amp;A57,Scénarios!$A$10:$F$590,2,0))),"-",IF(OR(VLOOKUP(B$53&amp;"_"&amp;A57,Scénarios!$A$10:$F$590,2,0)="Sélectionnez un indicateur prédéfini…",VLOOKUP(B$53&amp;"_"&amp;A57,Scénarios!$A$10:$F$590,2,0)="Encoder votre indicateur…"),"-",VLOOKUP(B$53&amp;"_"&amp;A57,Scénarios!$A$10:$F$590,2,0)))</f>
        <v>-</v>
      </c>
      <c r="C57" s="824">
        <f>IF(ISNA(VLOOKUP(B$53&amp;"_"&amp;A57,Scénarios!$A$10:$F$590,3,0)),,VLOOKUP(B$53&amp;"_"&amp;A57,Scénarios!$A$10:$F$590,3,0))</f>
        <v>0</v>
      </c>
      <c r="D57" s="825"/>
      <c r="E57"/>
      <c r="F57" s="55"/>
      <c r="G57" s="901">
        <f>IF(ISNA(VLOOKUP(B$53&amp;"_"&amp;A57,Scénarios!$A$10:$F$590,5,0)),,VLOOKUP(B$53&amp;"_"&amp;A57,Scénarios!$A$10:$F$590,IF(ISNA(VLOOKUP($A$5,Categories!$Z$16:$AA$31,2,0)),5,4),0))</f>
        <v>0</v>
      </c>
      <c r="H57" s="901">
        <f t="shared" ref="H57:H70" si="5">IF(C57=0,0,G57/C57*D57)</f>
        <v>0</v>
      </c>
      <c r="I57"/>
      <c r="J57"/>
      <c r="K57"/>
      <c r="L57"/>
    </row>
    <row r="58" spans="1:12">
      <c r="A58">
        <v>3</v>
      </c>
      <c r="B58" s="187" t="str">
        <f>IF(ISNA(IF(OR(VLOOKUP(B$53&amp;"_"&amp;A58,Scénarios!$A$10:$F$590,2,0)="Sélectionnez un indicateur prédéfini…",VLOOKUP(B$53&amp;"_"&amp;A58,Scénarios!$A$10:$F$590,2,0)="Encoder votre indicateur…"),"-",VLOOKUP(B$53&amp;"_"&amp;A58,Scénarios!$A$10:$F$590,2,0))),"-",IF(OR(VLOOKUP(B$53&amp;"_"&amp;A58,Scénarios!$A$10:$F$590,2,0)="Sélectionnez un indicateur prédéfini…",VLOOKUP(B$53&amp;"_"&amp;A58,Scénarios!$A$10:$F$590,2,0)="Encoder votre indicateur…"),"-",VLOOKUP(B$53&amp;"_"&amp;A58,Scénarios!$A$10:$F$590,2,0)))</f>
        <v>-</v>
      </c>
      <c r="C58" s="824">
        <f>IF(ISNA(VLOOKUP(B$53&amp;"_"&amp;A58,Scénarios!$A$10:$F$590,3,0)),,VLOOKUP(B$53&amp;"_"&amp;A58,Scénarios!$A$10:$F$590,3,0))</f>
        <v>0</v>
      </c>
      <c r="D58" s="825"/>
      <c r="E58"/>
      <c r="F58" s="55"/>
      <c r="G58" s="901">
        <f>IF(ISNA(VLOOKUP(B$53&amp;"_"&amp;A58,Scénarios!$A$10:$F$590,5,0)),,VLOOKUP(B$53&amp;"_"&amp;A58,Scénarios!$A$10:$F$590,IF(ISNA(VLOOKUP($A$5,Categories!$Z$16:$AA$31,2,0)),5,4),0))</f>
        <v>0</v>
      </c>
      <c r="H58" s="901">
        <f t="shared" si="5"/>
        <v>0</v>
      </c>
      <c r="I58"/>
      <c r="J58"/>
      <c r="K58"/>
      <c r="L58"/>
    </row>
    <row r="59" spans="1:12">
      <c r="A59">
        <v>4</v>
      </c>
      <c r="B59" s="187" t="str">
        <f>IF(ISNA(IF(OR(VLOOKUP(B$53&amp;"_"&amp;A59,Scénarios!$A$10:$F$590,2,0)="Sélectionnez un indicateur prédéfini…",VLOOKUP(B$53&amp;"_"&amp;A59,Scénarios!$A$10:$F$590,2,0)="Encoder votre indicateur…"),"-",VLOOKUP(B$53&amp;"_"&amp;A59,Scénarios!$A$10:$F$590,2,0))),"-",IF(OR(VLOOKUP(B$53&amp;"_"&amp;A59,Scénarios!$A$10:$F$590,2,0)="Sélectionnez un indicateur prédéfini…",VLOOKUP(B$53&amp;"_"&amp;A59,Scénarios!$A$10:$F$590,2,0)="Encoder votre indicateur…"),"-",VLOOKUP(B$53&amp;"_"&amp;A59,Scénarios!$A$10:$F$590,2,0)))</f>
        <v>-</v>
      </c>
      <c r="C59" s="824">
        <f>IF(ISNA(VLOOKUP(B$53&amp;"_"&amp;A59,Scénarios!$A$10:$F$590,3,0)),,VLOOKUP(B$53&amp;"_"&amp;A59,Scénarios!$A$10:$F$590,3,0))</f>
        <v>0</v>
      </c>
      <c r="D59" s="825"/>
      <c r="E59"/>
      <c r="F59" s="55"/>
      <c r="G59" s="901">
        <f>IF(ISNA(VLOOKUP(B$53&amp;"_"&amp;A59,Scénarios!$A$10:$F$590,5,0)),,VLOOKUP(B$53&amp;"_"&amp;A59,Scénarios!$A$10:$F$590,IF(ISNA(VLOOKUP($A$5,Categories!$Z$16:$AA$31,2,0)),5,4),0))</f>
        <v>0</v>
      </c>
      <c r="H59" s="901">
        <f t="shared" si="5"/>
        <v>0</v>
      </c>
      <c r="I59"/>
      <c r="J59"/>
      <c r="K59"/>
      <c r="L59"/>
    </row>
    <row r="60" spans="1:12">
      <c r="A60">
        <v>5</v>
      </c>
      <c r="B60" s="187" t="str">
        <f>IF(ISNA(IF(OR(VLOOKUP(B$53&amp;"_"&amp;A60,Scénarios!$A$10:$F$590,2,0)="Sélectionnez un indicateur prédéfini…",VLOOKUP(B$53&amp;"_"&amp;A60,Scénarios!$A$10:$F$590,2,0)="Encoder votre indicateur…"),"-",VLOOKUP(B$53&amp;"_"&amp;A60,Scénarios!$A$10:$F$590,2,0))),"-",IF(OR(VLOOKUP(B$53&amp;"_"&amp;A60,Scénarios!$A$10:$F$590,2,0)="Sélectionnez un indicateur prédéfini…",VLOOKUP(B$53&amp;"_"&amp;A60,Scénarios!$A$10:$F$590,2,0)="Encoder votre indicateur…"),"-",VLOOKUP(B$53&amp;"_"&amp;A60,Scénarios!$A$10:$F$590,2,0)))</f>
        <v>-</v>
      </c>
      <c r="C60" s="824">
        <f>IF(ISNA(VLOOKUP(B$53&amp;"_"&amp;A60,Scénarios!$A$10:$F$590,3,0)),,VLOOKUP(B$53&amp;"_"&amp;A60,Scénarios!$A$10:$F$590,3,0))</f>
        <v>0</v>
      </c>
      <c r="D60" s="825"/>
      <c r="E60"/>
      <c r="F60" s="55"/>
      <c r="G60" s="901">
        <f>IF(ISNA(VLOOKUP(B$53&amp;"_"&amp;A60,Scénarios!$A$10:$F$590,5,0)),,VLOOKUP(B$53&amp;"_"&amp;A60,Scénarios!$A$10:$F$590,IF(ISNA(VLOOKUP($A$5,Categories!$Z$16:$AA$31,2,0)),5,4),0))</f>
        <v>0</v>
      </c>
      <c r="H60" s="901">
        <f t="shared" si="5"/>
        <v>0</v>
      </c>
      <c r="I60"/>
      <c r="J60"/>
      <c r="K60"/>
      <c r="L60"/>
    </row>
    <row r="61" spans="1:12">
      <c r="A61">
        <v>6</v>
      </c>
      <c r="B61" s="187" t="str">
        <f>IF(ISNA(IF(OR(VLOOKUP(B$53&amp;"_"&amp;A61,Scénarios!$A$10:$F$590,2,0)="Sélectionnez un indicateur prédéfini…",VLOOKUP(B$53&amp;"_"&amp;A61,Scénarios!$A$10:$F$590,2,0)="Encoder votre indicateur…"),"-",VLOOKUP(B$53&amp;"_"&amp;A61,Scénarios!$A$10:$F$590,2,0))),"-",IF(OR(VLOOKUP(B$53&amp;"_"&amp;A61,Scénarios!$A$10:$F$590,2,0)="Sélectionnez un indicateur prédéfini…",VLOOKUP(B$53&amp;"_"&amp;A61,Scénarios!$A$10:$F$590,2,0)="Encoder votre indicateur…"),"-",VLOOKUP(B$53&amp;"_"&amp;A61,Scénarios!$A$10:$F$590,2,0)))</f>
        <v>-</v>
      </c>
      <c r="C61" s="824">
        <f>IF(ISNA(VLOOKUP(B$53&amp;"_"&amp;A61,Scénarios!$A$10:$F$590,3,0)),,VLOOKUP(B$53&amp;"_"&amp;A61,Scénarios!$A$10:$F$590,3,0))</f>
        <v>0</v>
      </c>
      <c r="D61" s="825"/>
      <c r="E61"/>
      <c r="F61" s="55"/>
      <c r="G61" s="901">
        <f>IF(ISNA(VLOOKUP(B$53&amp;"_"&amp;A61,Scénarios!$A$10:$F$590,5,0)),,VLOOKUP(B$53&amp;"_"&amp;A61,Scénarios!$A$10:$F$590,IF(ISNA(VLOOKUP($A$5,Categories!$Z$16:$AA$31,2,0)),5,4),0))</f>
        <v>0</v>
      </c>
      <c r="H61" s="901">
        <f t="shared" si="5"/>
        <v>0</v>
      </c>
      <c r="I61"/>
      <c r="J61"/>
      <c r="K61"/>
      <c r="L61"/>
    </row>
    <row r="62" spans="1:12">
      <c r="A62">
        <v>7</v>
      </c>
      <c r="B62" s="187" t="str">
        <f>IF(ISNA(IF(OR(VLOOKUP(B$53&amp;"_"&amp;A62,Scénarios!$A$10:$F$590,2,0)="Sélectionnez un indicateur prédéfini…",VLOOKUP(B$53&amp;"_"&amp;A62,Scénarios!$A$10:$F$590,2,0)="Encoder votre indicateur…"),"-",VLOOKUP(B$53&amp;"_"&amp;A62,Scénarios!$A$10:$F$590,2,0))),"-",IF(OR(VLOOKUP(B$53&amp;"_"&amp;A62,Scénarios!$A$10:$F$590,2,0)="Sélectionnez un indicateur prédéfini…",VLOOKUP(B$53&amp;"_"&amp;A62,Scénarios!$A$10:$F$590,2,0)="Encoder votre indicateur…"),"-",VLOOKUP(B$53&amp;"_"&amp;A62,Scénarios!$A$10:$F$590,2,0)))</f>
        <v>-</v>
      </c>
      <c r="C62" s="824">
        <f>IF(ISNA(VLOOKUP(B$53&amp;"_"&amp;A62,Scénarios!$A$10:$F$590,3,0)),,VLOOKUP(B$53&amp;"_"&amp;A62,Scénarios!$A$10:$F$590,3,0))</f>
        <v>0</v>
      </c>
      <c r="D62" s="825"/>
      <c r="E62"/>
      <c r="F62" s="55"/>
      <c r="G62" s="901">
        <f>IF(ISNA(VLOOKUP(B$53&amp;"_"&amp;A62,Scénarios!$A$10:$F$590,5,0)),,VLOOKUP(B$53&amp;"_"&amp;A62,Scénarios!$A$10:$F$590,IF(ISNA(VLOOKUP($A$5,Categories!$Z$16:$AA$31,2,0)),5,4),0))</f>
        <v>0</v>
      </c>
      <c r="H62" s="901">
        <f t="shared" si="5"/>
        <v>0</v>
      </c>
      <c r="I62"/>
      <c r="J62"/>
      <c r="K62"/>
      <c r="L62"/>
    </row>
    <row r="63" spans="1:12">
      <c r="A63">
        <v>8</v>
      </c>
      <c r="B63" s="187" t="str">
        <f>IF(ISNA(IF(OR(VLOOKUP(B$53&amp;"_"&amp;A63,Scénarios!$A$10:$F$590,2,0)="Sélectionnez un indicateur prédéfini…",VLOOKUP(B$53&amp;"_"&amp;A63,Scénarios!$A$10:$F$590,2,0)="Encoder votre indicateur…"),"-",VLOOKUP(B$53&amp;"_"&amp;A63,Scénarios!$A$10:$F$590,2,0))),"-",IF(OR(VLOOKUP(B$53&amp;"_"&amp;A63,Scénarios!$A$10:$F$590,2,0)="Sélectionnez un indicateur prédéfini…",VLOOKUP(B$53&amp;"_"&amp;A63,Scénarios!$A$10:$F$590,2,0)="Encoder votre indicateur…"),"-",VLOOKUP(B$53&amp;"_"&amp;A63,Scénarios!$A$10:$F$590,2,0)))</f>
        <v>-</v>
      </c>
      <c r="C63" s="824">
        <f>IF(ISNA(VLOOKUP(B$53&amp;"_"&amp;A63,Scénarios!$A$10:$F$590,3,0)),,VLOOKUP(B$53&amp;"_"&amp;A63,Scénarios!$A$10:$F$590,3,0))</f>
        <v>0</v>
      </c>
      <c r="D63" s="825"/>
      <c r="E63"/>
      <c r="F63" s="55"/>
      <c r="G63" s="901">
        <f>IF(ISNA(VLOOKUP(B$53&amp;"_"&amp;A63,Scénarios!$A$10:$F$590,5,0)),,VLOOKUP(B$53&amp;"_"&amp;A63,Scénarios!$A$10:$F$590,IF(ISNA(VLOOKUP($A$5,Categories!$Z$16:$AA$31,2,0)),5,4),0))</f>
        <v>0</v>
      </c>
      <c r="H63" s="901">
        <f t="shared" si="5"/>
        <v>0</v>
      </c>
      <c r="I63"/>
      <c r="J63"/>
      <c r="K63"/>
      <c r="L63"/>
    </row>
    <row r="64" spans="1:12">
      <c r="A64">
        <v>9</v>
      </c>
      <c r="B64" s="187" t="str">
        <f>IF(ISNA(IF(OR(VLOOKUP(B$53&amp;"_"&amp;A64,Scénarios!$A$10:$F$590,2,0)="Sélectionnez un indicateur prédéfini…",VLOOKUP(B$53&amp;"_"&amp;A64,Scénarios!$A$10:$F$590,2,0)="Encoder votre indicateur…"),"-",VLOOKUP(B$53&amp;"_"&amp;A64,Scénarios!$A$10:$F$590,2,0))),"-",IF(OR(VLOOKUP(B$53&amp;"_"&amp;A64,Scénarios!$A$10:$F$590,2,0)="Sélectionnez un indicateur prédéfini…",VLOOKUP(B$53&amp;"_"&amp;A64,Scénarios!$A$10:$F$590,2,0)="Encoder votre indicateur…"),"-",VLOOKUP(B$53&amp;"_"&amp;A64,Scénarios!$A$10:$F$590,2,0)))</f>
        <v>-</v>
      </c>
      <c r="C64" s="824">
        <f>IF(ISNA(VLOOKUP(B$53&amp;"_"&amp;A64,Scénarios!$A$10:$F$590,3,0)),,VLOOKUP(B$53&amp;"_"&amp;A64,Scénarios!$A$10:$F$590,3,0))</f>
        <v>0</v>
      </c>
      <c r="D64" s="825"/>
      <c r="E64"/>
      <c r="F64" s="55"/>
      <c r="G64" s="901">
        <f>IF(ISNA(VLOOKUP(B$53&amp;"_"&amp;A64,Scénarios!$A$10:$F$590,5,0)),,VLOOKUP(B$53&amp;"_"&amp;A64,Scénarios!$A$10:$F$590,IF(ISNA(VLOOKUP($A$5,Categories!$Z$16:$AA$31,2,0)),5,4),0))</f>
        <v>0</v>
      </c>
      <c r="H64" s="901">
        <f t="shared" si="5"/>
        <v>0</v>
      </c>
      <c r="I64"/>
      <c r="J64"/>
      <c r="K64"/>
      <c r="L64"/>
    </row>
    <row r="65" spans="1:12">
      <c r="A65">
        <v>10</v>
      </c>
      <c r="B65" s="187" t="str">
        <f>IF(ISNA(IF(OR(VLOOKUP(B$53&amp;"_"&amp;A65,Scénarios!$A$10:$F$590,2,0)="Sélectionnez un indicateur prédéfini…",VLOOKUP(B$53&amp;"_"&amp;A65,Scénarios!$A$10:$F$590,2,0)="Encoder votre indicateur…"),"-",VLOOKUP(B$53&amp;"_"&amp;A65,Scénarios!$A$10:$F$590,2,0))),"-",IF(OR(VLOOKUP(B$53&amp;"_"&amp;A65,Scénarios!$A$10:$F$590,2,0)="Sélectionnez un indicateur prédéfini…",VLOOKUP(B$53&amp;"_"&amp;A65,Scénarios!$A$10:$F$590,2,0)="Encoder votre indicateur…"),"-",VLOOKUP(B$53&amp;"_"&amp;A65,Scénarios!$A$10:$F$590,2,0)))</f>
        <v>-</v>
      </c>
      <c r="C65" s="824">
        <f>IF(ISNA(VLOOKUP(B$53&amp;"_"&amp;A65,Scénarios!$A$10:$F$590,3,0)),,VLOOKUP(B$53&amp;"_"&amp;A65,Scénarios!$A$10:$F$590,3,0))</f>
        <v>0</v>
      </c>
      <c r="D65" s="825"/>
      <c r="E65"/>
      <c r="F65" s="55"/>
      <c r="G65" s="901">
        <f>IF(ISNA(VLOOKUP(B$53&amp;"_"&amp;A65,Scénarios!$A$10:$F$590,5,0)),,VLOOKUP(B$53&amp;"_"&amp;A65,Scénarios!$A$10:$F$590,IF(ISNA(VLOOKUP($A$5,Categories!$Z$16:$AA$31,2,0)),5,4),0))</f>
        <v>0</v>
      </c>
      <c r="H65" s="901">
        <f t="shared" si="5"/>
        <v>0</v>
      </c>
      <c r="I65"/>
      <c r="J65"/>
      <c r="K65"/>
      <c r="L65"/>
    </row>
    <row r="66" spans="1:12">
      <c r="A66">
        <v>11</v>
      </c>
      <c r="B66" s="187" t="str">
        <f>IF(ISNA(IF(OR(VLOOKUP(B$53&amp;"_"&amp;A66,Scénarios!$A$10:$F$590,2,0)="Sélectionnez un indicateur prédéfini…",VLOOKUP(B$53&amp;"_"&amp;A66,Scénarios!$A$10:$F$590,2,0)="Encoder votre indicateur…"),"-",VLOOKUP(B$53&amp;"_"&amp;A66,Scénarios!$A$10:$F$590,2,0))),"-",IF(OR(VLOOKUP(B$53&amp;"_"&amp;A66,Scénarios!$A$10:$F$590,2,0)="Sélectionnez un indicateur prédéfini…",VLOOKUP(B$53&amp;"_"&amp;A66,Scénarios!$A$10:$F$590,2,0)="Encoder votre indicateur…"),"-",VLOOKUP(B$53&amp;"_"&amp;A66,Scénarios!$A$10:$F$590,2,0)))</f>
        <v>-</v>
      </c>
      <c r="C66" s="824">
        <f>IF(ISNA(VLOOKUP(B$53&amp;"_"&amp;A66,Scénarios!$A$10:$F$590,3,0)),,VLOOKUP(B$53&amp;"_"&amp;A66,Scénarios!$A$10:$F$590,3,0))</f>
        <v>0</v>
      </c>
      <c r="D66" s="825"/>
      <c r="E66"/>
      <c r="F66" s="55"/>
      <c r="G66" s="901">
        <f>IF(ISNA(VLOOKUP(B$53&amp;"_"&amp;A66,Scénarios!$A$10:$F$590,5,0)),,VLOOKUP(B$53&amp;"_"&amp;A66,Scénarios!$A$10:$F$590,IF(ISNA(VLOOKUP($A$5,Categories!$Z$16:$AA$31,2,0)),5,4),0))</f>
        <v>0</v>
      </c>
      <c r="H66" s="901">
        <f t="shared" si="5"/>
        <v>0</v>
      </c>
      <c r="I66"/>
      <c r="J66"/>
      <c r="K66"/>
      <c r="L66"/>
    </row>
    <row r="67" spans="1:12">
      <c r="A67">
        <v>12</v>
      </c>
      <c r="B67" s="187" t="str">
        <f>IF(ISNA(IF(OR(VLOOKUP(B$53&amp;"_"&amp;A67,Scénarios!$A$10:$F$590,2,0)="Sélectionnez un indicateur prédéfini…",VLOOKUP(B$53&amp;"_"&amp;A67,Scénarios!$A$10:$F$590,2,0)="Encoder votre indicateur…"),"-",VLOOKUP(B$53&amp;"_"&amp;A67,Scénarios!$A$10:$F$590,2,0))),"-",IF(OR(VLOOKUP(B$53&amp;"_"&amp;A67,Scénarios!$A$10:$F$590,2,0)="Sélectionnez un indicateur prédéfini…",VLOOKUP(B$53&amp;"_"&amp;A67,Scénarios!$A$10:$F$590,2,0)="Encoder votre indicateur…"),"-",VLOOKUP(B$53&amp;"_"&amp;A67,Scénarios!$A$10:$F$590,2,0)))</f>
        <v>-</v>
      </c>
      <c r="C67" s="824">
        <f>IF(ISNA(VLOOKUP(B$53&amp;"_"&amp;A67,Scénarios!$A$10:$F$590,3,0)),,VLOOKUP(B$53&amp;"_"&amp;A67,Scénarios!$A$10:$F$590,3,0))</f>
        <v>0</v>
      </c>
      <c r="D67" s="825"/>
      <c r="E67"/>
      <c r="F67" s="55"/>
      <c r="G67" s="901">
        <f>IF(ISNA(VLOOKUP(B$53&amp;"_"&amp;A67,Scénarios!$A$10:$F$590,5,0)),,VLOOKUP(B$53&amp;"_"&amp;A67,Scénarios!$A$10:$F$590,IF(ISNA(VLOOKUP($A$5,Categories!$Z$16:$AA$31,2,0)),5,4),0))</f>
        <v>0</v>
      </c>
      <c r="H67" s="901">
        <f t="shared" si="5"/>
        <v>0</v>
      </c>
      <c r="I67"/>
      <c r="J67"/>
      <c r="K67"/>
      <c r="L67"/>
    </row>
    <row r="68" spans="1:12">
      <c r="A68">
        <v>13</v>
      </c>
      <c r="B68" s="187" t="str">
        <f>IF(ISNA(IF(OR(VLOOKUP(B$53&amp;"_"&amp;A68,Scénarios!$A$10:$F$590,2,0)="Sélectionnez un indicateur prédéfini…",VLOOKUP(B$53&amp;"_"&amp;A68,Scénarios!$A$10:$F$590,2,0)="Encoder votre indicateur…"),"-",VLOOKUP(B$53&amp;"_"&amp;A68,Scénarios!$A$10:$F$590,2,0))),"-",IF(OR(VLOOKUP(B$53&amp;"_"&amp;A68,Scénarios!$A$10:$F$590,2,0)="Sélectionnez un indicateur prédéfini…",VLOOKUP(B$53&amp;"_"&amp;A68,Scénarios!$A$10:$F$590,2,0)="Encoder votre indicateur…"),"-",VLOOKUP(B$53&amp;"_"&amp;A68,Scénarios!$A$10:$F$590,2,0)))</f>
        <v>-</v>
      </c>
      <c r="C68" s="824">
        <f>IF(ISNA(VLOOKUP(B$53&amp;"_"&amp;A68,Scénarios!$A$10:$F$590,3,0)),,VLOOKUP(B$53&amp;"_"&amp;A68,Scénarios!$A$10:$F$590,3,0))</f>
        <v>0</v>
      </c>
      <c r="D68" s="825"/>
      <c r="E68"/>
      <c r="F68" s="55"/>
      <c r="G68" s="901">
        <f>IF(ISNA(VLOOKUP(B$53&amp;"_"&amp;A68,Scénarios!$A$10:$F$590,5,0)),,VLOOKUP(B$53&amp;"_"&amp;A68,Scénarios!$A$10:$F$590,IF(ISNA(VLOOKUP($A$5,Categories!$Z$16:$AA$31,2,0)),5,4),0))</f>
        <v>0</v>
      </c>
      <c r="H68" s="901">
        <f t="shared" si="5"/>
        <v>0</v>
      </c>
      <c r="I68"/>
      <c r="J68"/>
      <c r="K68"/>
      <c r="L68"/>
    </row>
    <row r="69" spans="1:12">
      <c r="A69">
        <v>14</v>
      </c>
      <c r="B69" s="187" t="str">
        <f>IF(ISNA(IF(OR(VLOOKUP(B$53&amp;"_"&amp;A69,Scénarios!$A$10:$F$590,2,0)="Sélectionnez un indicateur prédéfini…",VLOOKUP(B$53&amp;"_"&amp;A69,Scénarios!$A$10:$F$590,2,0)="Encoder votre indicateur…"),"-",VLOOKUP(B$53&amp;"_"&amp;A69,Scénarios!$A$10:$F$590,2,0))),"-",IF(OR(VLOOKUP(B$53&amp;"_"&amp;A69,Scénarios!$A$10:$F$590,2,0)="Sélectionnez un indicateur prédéfini…",VLOOKUP(B$53&amp;"_"&amp;A69,Scénarios!$A$10:$F$590,2,0)="Encoder votre indicateur…"),"-",VLOOKUP(B$53&amp;"_"&amp;A69,Scénarios!$A$10:$F$590,2,0)))</f>
        <v>-</v>
      </c>
      <c r="C69" s="824">
        <f>IF(ISNA(VLOOKUP(B$53&amp;"_"&amp;A69,Scénarios!$A$10:$F$590,3,0)),,VLOOKUP(B$53&amp;"_"&amp;A69,Scénarios!$A$10:$F$590,3,0))</f>
        <v>0</v>
      </c>
      <c r="D69" s="825"/>
      <c r="E69"/>
      <c r="F69" s="55"/>
      <c r="G69" s="901">
        <f>IF(ISNA(VLOOKUP(B$53&amp;"_"&amp;A69,Scénarios!$A$10:$F$590,5,0)),,VLOOKUP(B$53&amp;"_"&amp;A69,Scénarios!$A$10:$F$590,IF(ISNA(VLOOKUP($A$5,Categories!$Z$16:$AA$31,2,0)),5,4),0))</f>
        <v>0</v>
      </c>
      <c r="H69" s="901">
        <f t="shared" si="5"/>
        <v>0</v>
      </c>
      <c r="I69"/>
      <c r="J69"/>
      <c r="K69"/>
      <c r="L69"/>
    </row>
    <row r="70" spans="1:12">
      <c r="A70">
        <v>15</v>
      </c>
      <c r="B70" s="187" t="str">
        <f>IF(ISNA(IF(OR(VLOOKUP(B$53&amp;"_"&amp;A70,Scénarios!$A$10:$F$590,2,0)="Sélectionnez un indicateur prédéfini…",VLOOKUP(B$53&amp;"_"&amp;A70,Scénarios!$A$10:$F$590,2,0)="Encoder votre indicateur…"),"-",VLOOKUP(B$53&amp;"_"&amp;A70,Scénarios!$A$10:$F$590,2,0))),"-",IF(OR(VLOOKUP(B$53&amp;"_"&amp;A70,Scénarios!$A$10:$F$590,2,0)="Sélectionnez un indicateur prédéfini…",VLOOKUP(B$53&amp;"_"&amp;A70,Scénarios!$A$10:$F$590,2,0)="Encoder votre indicateur…"),"-",VLOOKUP(B$53&amp;"_"&amp;A70,Scénarios!$A$10:$F$590,2,0)))</f>
        <v>-</v>
      </c>
      <c r="C70" s="824">
        <f>IF(ISNA(VLOOKUP(B$53&amp;"_"&amp;A70,Scénarios!$A$10:$F$590,3,0)),,VLOOKUP(B$53&amp;"_"&amp;A70,Scénarios!$A$10:$F$590,3,0))</f>
        <v>0</v>
      </c>
      <c r="D70" s="825"/>
      <c r="E70"/>
      <c r="F70" s="55"/>
      <c r="G70" s="901">
        <f>IF(ISNA(VLOOKUP(B$53&amp;"_"&amp;A70,Scénarios!$A$10:$F$590,5,0)),,VLOOKUP(B$53&amp;"_"&amp;A70,Scénarios!$A$10:$F$590,IF(ISNA(VLOOKUP($A$5,Categories!$Z$16:$AA$31,2,0)),5,4),0))</f>
        <v>0</v>
      </c>
      <c r="H70" s="901">
        <f t="shared" si="5"/>
        <v>0</v>
      </c>
      <c r="I70"/>
      <c r="J70"/>
      <c r="K70"/>
      <c r="L70"/>
    </row>
    <row r="71" spans="1:12">
      <c r="A71"/>
      <c r="B71"/>
      <c r="C71"/>
      <c r="D71"/>
      <c r="E71"/>
      <c r="F71" s="826"/>
      <c r="G71" s="55"/>
      <c r="H71" s="55"/>
      <c r="I71"/>
      <c r="J71"/>
      <c r="K71"/>
      <c r="L71"/>
    </row>
    <row r="72" spans="1:12" ht="15.6">
      <c r="A72"/>
      <c r="B72" s="827" t="s">
        <v>749</v>
      </c>
      <c r="C72" s="828">
        <f>IF(SUM(G56:G70)=0,0,SUM(H56:H70)/SUM(G56:G70))</f>
        <v>0</v>
      </c>
      <c r="D72" s="829"/>
      <c r="E72"/>
      <c r="F72" s="826"/>
      <c r="G72" s="55"/>
      <c r="H72" s="55"/>
      <c r="I72"/>
      <c r="J72"/>
      <c r="K72"/>
      <c r="L72"/>
    </row>
    <row r="73" spans="1:12">
      <c r="A73" s="190"/>
      <c r="B73" s="190"/>
      <c r="C73" s="190"/>
      <c r="D73" s="190"/>
      <c r="E73" s="190"/>
      <c r="F73" s="159"/>
      <c r="G73" s="55"/>
      <c r="H73" s="55"/>
      <c r="I73"/>
      <c r="J73"/>
      <c r="K73"/>
      <c r="L73"/>
    </row>
    <row r="74" spans="1:12" ht="18">
      <c r="A74" s="823" t="s">
        <v>751</v>
      </c>
      <c r="B74" s="246" t="str">
        <f>IF(D5=0,"-",D5)</f>
        <v>-</v>
      </c>
      <c r="C74"/>
      <c r="D74"/>
      <c r="E74"/>
      <c r="F74" s="55"/>
      <c r="G74" s="55"/>
      <c r="H74" s="55"/>
      <c r="I74"/>
      <c r="J74"/>
      <c r="K74"/>
      <c r="L74"/>
    </row>
    <row r="75" spans="1:12" ht="18">
      <c r="A75" s="823"/>
      <c r="B75" s="246"/>
      <c r="C75"/>
      <c r="D75"/>
      <c r="E75"/>
      <c r="F75" s="55"/>
      <c r="G75" s="55"/>
      <c r="H75" s="55"/>
      <c r="I75"/>
      <c r="J75"/>
      <c r="K75"/>
      <c r="L75"/>
    </row>
    <row r="76" spans="1:12" ht="28.8">
      <c r="A76"/>
      <c r="B76" s="217" t="s">
        <v>676</v>
      </c>
      <c r="C76" s="217" t="s">
        <v>746</v>
      </c>
      <c r="D76" s="218" t="s">
        <v>747</v>
      </c>
      <c r="E76"/>
      <c r="F76" s="55"/>
      <c r="G76" s="55"/>
      <c r="H76" s="55"/>
      <c r="I76"/>
      <c r="J76"/>
      <c r="K76"/>
      <c r="L76"/>
    </row>
    <row r="77" spans="1:12">
      <c r="A77">
        <v>1</v>
      </c>
      <c r="B77" s="187" t="str">
        <f>IF(ISNA(IF(OR(VLOOKUP(B$74&amp;"_"&amp;A77,Scénarios!$A$10:$F$590,2,0)="Sélectionnez un indicateur prédéfini…",VLOOKUP(B$74&amp;"_"&amp;A77,Scénarios!$A$10:$F$590,2,0)="Encoder votre indicateur…"),"-",VLOOKUP(B$74&amp;"_"&amp;A77,Scénarios!$A$10:$F$590,2,0))),"-",IF(OR(VLOOKUP(B$74&amp;"_"&amp;A77,Scénarios!$A$10:$F$590,2,0)="Sélectionnez un indicateur prédéfini…",VLOOKUP(B$74&amp;"_"&amp;A77,Scénarios!$A$10:$F$590,2,0)="Encoder votre indicateur…"),"-",VLOOKUP(B$74&amp;"_"&amp;A77,Scénarios!$A$10:$F$590,2,0)))</f>
        <v>-</v>
      </c>
      <c r="C77" s="824">
        <f>IF(ISNA(VLOOKUP(B$74&amp;"_"&amp;A77,Scénarios!$A$10:$F$590,3,0)),,VLOOKUP(B$74&amp;"_"&amp;A77,Scénarios!$A$10:$F$590,3,0))</f>
        <v>0</v>
      </c>
      <c r="D77" s="825"/>
      <c r="E77"/>
      <c r="F77" s="55"/>
      <c r="G77" s="901">
        <f>IF(ISNA(VLOOKUP(B$74&amp;"_"&amp;A77,Scénarios!$A$10:$F$590,5,0)),,VLOOKUP(B$74&amp;"_"&amp;A77,Scénarios!$A$10:$F$590,IF(ISNA(VLOOKUP($A$5,Categories!$Z$16:$AA$31,2,0)),5,4),0))</f>
        <v>0</v>
      </c>
      <c r="H77" s="901">
        <f t="shared" ref="H77" si="6">IF(C77=0,0,G77/C77*D77)</f>
        <v>0</v>
      </c>
      <c r="I77"/>
      <c r="J77"/>
      <c r="K77"/>
      <c r="L77"/>
    </row>
    <row r="78" spans="1:12">
      <c r="A78">
        <v>2</v>
      </c>
      <c r="B78" s="187" t="str">
        <f>IF(ISNA(IF(OR(VLOOKUP(B$74&amp;"_"&amp;A78,Scénarios!$A$10:$F$590,2,0)="Sélectionnez un indicateur prédéfini…",VLOOKUP(B$74&amp;"_"&amp;A78,Scénarios!$A$10:$F$590,2,0)="Encoder votre indicateur…"),"-",VLOOKUP(B$74&amp;"_"&amp;A78,Scénarios!$A$10:$F$590,2,0))),"-",IF(OR(VLOOKUP(B$74&amp;"_"&amp;A78,Scénarios!$A$10:$F$590,2,0)="Sélectionnez un indicateur prédéfini…",VLOOKUP(B$74&amp;"_"&amp;A78,Scénarios!$A$10:$F$590,2,0)="Encoder votre indicateur…"),"-",VLOOKUP(B$74&amp;"_"&amp;A78,Scénarios!$A$10:$F$590,2,0)))</f>
        <v>-</v>
      </c>
      <c r="C78" s="824">
        <f>IF(ISNA(VLOOKUP(B$74&amp;"_"&amp;A78,Scénarios!$A$10:$F$590,3,0)),,VLOOKUP(B$74&amp;"_"&amp;A78,Scénarios!$A$10:$F$590,3,0))</f>
        <v>0</v>
      </c>
      <c r="D78" s="825"/>
      <c r="E78"/>
      <c r="F78" s="55"/>
      <c r="G78" s="901">
        <f>IF(ISNA(VLOOKUP(B$74&amp;"_"&amp;A78,Scénarios!$A$10:$F$590,5,0)),,VLOOKUP(B$74&amp;"_"&amp;A78,Scénarios!$A$10:$F$590,IF(ISNA(VLOOKUP($A$5,Categories!$Z$16:$AA$31,2,0)),5,4),0))</f>
        <v>0</v>
      </c>
      <c r="H78" s="901">
        <f t="shared" ref="H78:H91" si="7">IF(C78=0,0,G78/C78*D78)</f>
        <v>0</v>
      </c>
      <c r="I78"/>
      <c r="J78"/>
      <c r="K78"/>
      <c r="L78"/>
    </row>
    <row r="79" spans="1:12">
      <c r="A79">
        <v>3</v>
      </c>
      <c r="B79" s="187" t="str">
        <f>IF(ISNA(IF(OR(VLOOKUP(B$74&amp;"_"&amp;A79,Scénarios!$A$10:$F$590,2,0)="Sélectionnez un indicateur prédéfini…",VLOOKUP(B$74&amp;"_"&amp;A79,Scénarios!$A$10:$F$590,2,0)="Encoder votre indicateur…"),"-",VLOOKUP(B$74&amp;"_"&amp;A79,Scénarios!$A$10:$F$590,2,0))),"-",IF(OR(VLOOKUP(B$74&amp;"_"&amp;A79,Scénarios!$A$10:$F$590,2,0)="Sélectionnez un indicateur prédéfini…",VLOOKUP(B$74&amp;"_"&amp;A79,Scénarios!$A$10:$F$590,2,0)="Encoder votre indicateur…"),"-",VLOOKUP(B$74&amp;"_"&amp;A79,Scénarios!$A$10:$F$590,2,0)))</f>
        <v>-</v>
      </c>
      <c r="C79" s="824">
        <f>IF(ISNA(VLOOKUP(B$74&amp;"_"&amp;A79,Scénarios!$A$10:$F$590,3,0)),,VLOOKUP(B$74&amp;"_"&amp;A79,Scénarios!$A$10:$F$590,3,0))</f>
        <v>0</v>
      </c>
      <c r="D79" s="825"/>
      <c r="E79"/>
      <c r="F79" s="55"/>
      <c r="G79" s="901">
        <f>IF(ISNA(VLOOKUP(B$74&amp;"_"&amp;A79,Scénarios!$A$10:$F$590,5,0)),,VLOOKUP(B$74&amp;"_"&amp;A79,Scénarios!$A$10:$F$590,IF(ISNA(VLOOKUP($A$5,Categories!$Z$16:$AA$31,2,0)),5,4),0))</f>
        <v>0</v>
      </c>
      <c r="H79" s="901">
        <f t="shared" si="7"/>
        <v>0</v>
      </c>
      <c r="I79"/>
      <c r="J79"/>
      <c r="K79"/>
      <c r="L79"/>
    </row>
    <row r="80" spans="1:12">
      <c r="A80">
        <v>4</v>
      </c>
      <c r="B80" s="187" t="str">
        <f>IF(ISNA(IF(OR(VLOOKUP(B$74&amp;"_"&amp;A80,Scénarios!$A$10:$F$590,2,0)="Sélectionnez un indicateur prédéfini…",VLOOKUP(B$74&amp;"_"&amp;A80,Scénarios!$A$10:$F$590,2,0)="Encoder votre indicateur…"),"-",VLOOKUP(B$74&amp;"_"&amp;A80,Scénarios!$A$10:$F$590,2,0))),"-",IF(OR(VLOOKUP(B$74&amp;"_"&amp;A80,Scénarios!$A$10:$F$590,2,0)="Sélectionnez un indicateur prédéfini…",VLOOKUP(B$74&amp;"_"&amp;A80,Scénarios!$A$10:$F$590,2,0)="Encoder votre indicateur…"),"-",VLOOKUP(B$74&amp;"_"&amp;A80,Scénarios!$A$10:$F$590,2,0)))</f>
        <v>-</v>
      </c>
      <c r="C80" s="824">
        <f>IF(ISNA(VLOOKUP(B$74&amp;"_"&amp;A80,Scénarios!$A$10:$F$590,3,0)),,VLOOKUP(B$74&amp;"_"&amp;A80,Scénarios!$A$10:$F$590,3,0))</f>
        <v>0</v>
      </c>
      <c r="D80" s="825"/>
      <c r="E80"/>
      <c r="F80" s="55"/>
      <c r="G80" s="901">
        <f>IF(ISNA(VLOOKUP(B$74&amp;"_"&amp;A80,Scénarios!$A$10:$F$590,5,0)),,VLOOKUP(B$74&amp;"_"&amp;A80,Scénarios!$A$10:$F$590,IF(ISNA(VLOOKUP($A$5,Categories!$Z$16:$AA$31,2,0)),5,4),0))</f>
        <v>0</v>
      </c>
      <c r="H80" s="901">
        <f t="shared" si="7"/>
        <v>0</v>
      </c>
      <c r="I80"/>
      <c r="J80"/>
      <c r="K80"/>
      <c r="L80"/>
    </row>
    <row r="81" spans="1:12">
      <c r="A81">
        <v>5</v>
      </c>
      <c r="B81" s="187" t="str">
        <f>IF(ISNA(IF(OR(VLOOKUP(B$74&amp;"_"&amp;A81,Scénarios!$A$10:$F$590,2,0)="Sélectionnez un indicateur prédéfini…",VLOOKUP(B$74&amp;"_"&amp;A81,Scénarios!$A$10:$F$590,2,0)="Encoder votre indicateur…"),"-",VLOOKUP(B$74&amp;"_"&amp;A81,Scénarios!$A$10:$F$590,2,0))),"-",IF(OR(VLOOKUP(B$74&amp;"_"&amp;A81,Scénarios!$A$10:$F$590,2,0)="Sélectionnez un indicateur prédéfini…",VLOOKUP(B$74&amp;"_"&amp;A81,Scénarios!$A$10:$F$590,2,0)="Encoder votre indicateur…"),"-",VLOOKUP(B$74&amp;"_"&amp;A81,Scénarios!$A$10:$F$590,2,0)))</f>
        <v>-</v>
      </c>
      <c r="C81" s="824">
        <f>IF(ISNA(VLOOKUP(B$74&amp;"_"&amp;A81,Scénarios!$A$10:$F$590,3,0)),,VLOOKUP(B$74&amp;"_"&amp;A81,Scénarios!$A$10:$F$590,3,0))</f>
        <v>0</v>
      </c>
      <c r="D81" s="825"/>
      <c r="E81"/>
      <c r="F81" s="55"/>
      <c r="G81" s="901">
        <f>IF(ISNA(VLOOKUP(B$74&amp;"_"&amp;A81,Scénarios!$A$10:$F$590,5,0)),,VLOOKUP(B$74&amp;"_"&amp;A81,Scénarios!$A$10:$F$590,IF(ISNA(VLOOKUP($A$5,Categories!$Z$16:$AA$31,2,0)),5,4),0))</f>
        <v>0</v>
      </c>
      <c r="H81" s="901">
        <f t="shared" si="7"/>
        <v>0</v>
      </c>
      <c r="I81"/>
      <c r="J81"/>
      <c r="K81"/>
      <c r="L81"/>
    </row>
    <row r="82" spans="1:12">
      <c r="A82">
        <v>6</v>
      </c>
      <c r="B82" s="187" t="str">
        <f>IF(ISNA(IF(OR(VLOOKUP(B$74&amp;"_"&amp;A82,Scénarios!$A$10:$F$590,2,0)="Sélectionnez un indicateur prédéfini…",VLOOKUP(B$74&amp;"_"&amp;A82,Scénarios!$A$10:$F$590,2,0)="Encoder votre indicateur…"),"-",VLOOKUP(B$74&amp;"_"&amp;A82,Scénarios!$A$10:$F$590,2,0))),"-",IF(OR(VLOOKUP(B$74&amp;"_"&amp;A82,Scénarios!$A$10:$F$590,2,0)="Sélectionnez un indicateur prédéfini…",VLOOKUP(B$74&amp;"_"&amp;A82,Scénarios!$A$10:$F$590,2,0)="Encoder votre indicateur…"),"-",VLOOKUP(B$74&amp;"_"&amp;A82,Scénarios!$A$10:$F$590,2,0)))</f>
        <v>-</v>
      </c>
      <c r="C82" s="824">
        <f>IF(ISNA(VLOOKUP(B$74&amp;"_"&amp;A82,Scénarios!$A$10:$F$590,3,0)),,VLOOKUP(B$74&amp;"_"&amp;A82,Scénarios!$A$10:$F$590,3,0))</f>
        <v>0</v>
      </c>
      <c r="D82" s="825"/>
      <c r="E82"/>
      <c r="F82" s="55"/>
      <c r="G82" s="901">
        <f>IF(ISNA(VLOOKUP(B$74&amp;"_"&amp;A82,Scénarios!$A$10:$F$590,5,0)),,VLOOKUP(B$74&amp;"_"&amp;A82,Scénarios!$A$10:$F$590,IF(ISNA(VLOOKUP($A$5,Categories!$Z$16:$AA$31,2,0)),5,4),0))</f>
        <v>0</v>
      </c>
      <c r="H82" s="901">
        <f t="shared" si="7"/>
        <v>0</v>
      </c>
      <c r="I82"/>
      <c r="J82"/>
      <c r="K82"/>
      <c r="L82"/>
    </row>
    <row r="83" spans="1:12">
      <c r="A83">
        <v>7</v>
      </c>
      <c r="B83" s="187" t="str">
        <f>IF(ISNA(IF(OR(VLOOKUP(B$74&amp;"_"&amp;A83,Scénarios!$A$10:$F$590,2,0)="Sélectionnez un indicateur prédéfini…",VLOOKUP(B$74&amp;"_"&amp;A83,Scénarios!$A$10:$F$590,2,0)="Encoder votre indicateur…"),"-",VLOOKUP(B$74&amp;"_"&amp;A83,Scénarios!$A$10:$F$590,2,0))),"-",IF(OR(VLOOKUP(B$74&amp;"_"&amp;A83,Scénarios!$A$10:$F$590,2,0)="Sélectionnez un indicateur prédéfini…",VLOOKUP(B$74&amp;"_"&amp;A83,Scénarios!$A$10:$F$590,2,0)="Encoder votre indicateur…"),"-",VLOOKUP(B$74&amp;"_"&amp;A83,Scénarios!$A$10:$F$590,2,0)))</f>
        <v>-</v>
      </c>
      <c r="C83" s="824">
        <f>IF(ISNA(VLOOKUP(B$74&amp;"_"&amp;A83,Scénarios!$A$10:$F$590,3,0)),,VLOOKUP(B$74&amp;"_"&amp;A83,Scénarios!$A$10:$F$590,3,0))</f>
        <v>0</v>
      </c>
      <c r="D83" s="825"/>
      <c r="E83"/>
      <c r="F83" s="55"/>
      <c r="G83" s="901">
        <f>IF(ISNA(VLOOKUP(B$74&amp;"_"&amp;A83,Scénarios!$A$10:$F$590,5,0)),,VLOOKUP(B$74&amp;"_"&amp;A83,Scénarios!$A$10:$F$590,IF(ISNA(VLOOKUP($A$5,Categories!$Z$16:$AA$31,2,0)),5,4),0))</f>
        <v>0</v>
      </c>
      <c r="H83" s="901">
        <f t="shared" si="7"/>
        <v>0</v>
      </c>
      <c r="I83"/>
      <c r="J83"/>
      <c r="K83"/>
      <c r="L83"/>
    </row>
    <row r="84" spans="1:12">
      <c r="A84">
        <v>8</v>
      </c>
      <c r="B84" s="187" t="str">
        <f>IF(ISNA(IF(OR(VLOOKUP(B$74&amp;"_"&amp;A84,Scénarios!$A$10:$F$590,2,0)="Sélectionnez un indicateur prédéfini…",VLOOKUP(B$74&amp;"_"&amp;A84,Scénarios!$A$10:$F$590,2,0)="Encoder votre indicateur…"),"-",VLOOKUP(B$74&amp;"_"&amp;A84,Scénarios!$A$10:$F$590,2,0))),"-",IF(OR(VLOOKUP(B$74&amp;"_"&amp;A84,Scénarios!$A$10:$F$590,2,0)="Sélectionnez un indicateur prédéfini…",VLOOKUP(B$74&amp;"_"&amp;A84,Scénarios!$A$10:$F$590,2,0)="Encoder votre indicateur…"),"-",VLOOKUP(B$74&amp;"_"&amp;A84,Scénarios!$A$10:$F$590,2,0)))</f>
        <v>-</v>
      </c>
      <c r="C84" s="824">
        <f>IF(ISNA(VLOOKUP(B$74&amp;"_"&amp;A84,Scénarios!$A$10:$F$590,3,0)),,VLOOKUP(B$74&amp;"_"&amp;A84,Scénarios!$A$10:$F$590,3,0))</f>
        <v>0</v>
      </c>
      <c r="D84" s="825"/>
      <c r="E84"/>
      <c r="F84" s="55"/>
      <c r="G84" s="901">
        <f>IF(ISNA(VLOOKUP(B$74&amp;"_"&amp;A84,Scénarios!$A$10:$F$590,5,0)),,VLOOKUP(B$74&amp;"_"&amp;A84,Scénarios!$A$10:$F$590,IF(ISNA(VLOOKUP($A$5,Categories!$Z$16:$AA$31,2,0)),5,4),0))</f>
        <v>0</v>
      </c>
      <c r="H84" s="901">
        <f t="shared" si="7"/>
        <v>0</v>
      </c>
      <c r="I84"/>
      <c r="J84"/>
      <c r="K84"/>
      <c r="L84"/>
    </row>
    <row r="85" spans="1:12">
      <c r="A85">
        <v>9</v>
      </c>
      <c r="B85" s="187" t="str">
        <f>IF(ISNA(IF(OR(VLOOKUP(B$74&amp;"_"&amp;A85,Scénarios!$A$10:$F$590,2,0)="Sélectionnez un indicateur prédéfini…",VLOOKUP(B$74&amp;"_"&amp;A85,Scénarios!$A$10:$F$590,2,0)="Encoder votre indicateur…"),"-",VLOOKUP(B$74&amp;"_"&amp;A85,Scénarios!$A$10:$F$590,2,0))),"-",IF(OR(VLOOKUP(B$74&amp;"_"&amp;A85,Scénarios!$A$10:$F$590,2,0)="Sélectionnez un indicateur prédéfini…",VLOOKUP(B$74&amp;"_"&amp;A85,Scénarios!$A$10:$F$590,2,0)="Encoder votre indicateur…"),"-",VLOOKUP(B$74&amp;"_"&amp;A85,Scénarios!$A$10:$F$590,2,0)))</f>
        <v>-</v>
      </c>
      <c r="C85" s="824">
        <f>IF(ISNA(VLOOKUP(B$74&amp;"_"&amp;A85,Scénarios!$A$10:$F$590,3,0)),,VLOOKUP(B$74&amp;"_"&amp;A85,Scénarios!$A$10:$F$590,3,0))</f>
        <v>0</v>
      </c>
      <c r="D85" s="825"/>
      <c r="E85"/>
      <c r="F85" s="55"/>
      <c r="G85" s="901">
        <f>IF(ISNA(VLOOKUP(B$74&amp;"_"&amp;A85,Scénarios!$A$10:$F$590,5,0)),,VLOOKUP(B$74&amp;"_"&amp;A85,Scénarios!$A$10:$F$590,IF(ISNA(VLOOKUP($A$5,Categories!$Z$16:$AA$31,2,0)),5,4),0))</f>
        <v>0</v>
      </c>
      <c r="H85" s="901">
        <f t="shared" si="7"/>
        <v>0</v>
      </c>
      <c r="I85"/>
      <c r="J85"/>
      <c r="K85"/>
      <c r="L85"/>
    </row>
    <row r="86" spans="1:12">
      <c r="A86">
        <v>10</v>
      </c>
      <c r="B86" s="187" t="str">
        <f>IF(ISNA(IF(OR(VLOOKUP(B$74&amp;"_"&amp;A86,Scénarios!$A$10:$F$590,2,0)="Sélectionnez un indicateur prédéfini…",VLOOKUP(B$74&amp;"_"&amp;A86,Scénarios!$A$10:$F$590,2,0)="Encoder votre indicateur…"),"-",VLOOKUP(B$74&amp;"_"&amp;A86,Scénarios!$A$10:$F$590,2,0))),"-",IF(OR(VLOOKUP(B$74&amp;"_"&amp;A86,Scénarios!$A$10:$F$590,2,0)="Sélectionnez un indicateur prédéfini…",VLOOKUP(B$74&amp;"_"&amp;A86,Scénarios!$A$10:$F$590,2,0)="Encoder votre indicateur…"),"-",VLOOKUP(B$74&amp;"_"&amp;A86,Scénarios!$A$10:$F$590,2,0)))</f>
        <v>-</v>
      </c>
      <c r="C86" s="824">
        <f>IF(ISNA(VLOOKUP(B$74&amp;"_"&amp;A86,Scénarios!$A$10:$F$590,3,0)),,VLOOKUP(B$74&amp;"_"&amp;A86,Scénarios!$A$10:$F$590,3,0))</f>
        <v>0</v>
      </c>
      <c r="D86" s="825"/>
      <c r="E86"/>
      <c r="F86" s="55"/>
      <c r="G86" s="901">
        <f>IF(ISNA(VLOOKUP(B$74&amp;"_"&amp;A86,Scénarios!$A$10:$F$590,5,0)),,VLOOKUP(B$74&amp;"_"&amp;A86,Scénarios!$A$10:$F$590,IF(ISNA(VLOOKUP($A$5,Categories!$Z$16:$AA$31,2,0)),5,4),0))</f>
        <v>0</v>
      </c>
      <c r="H86" s="901">
        <f t="shared" si="7"/>
        <v>0</v>
      </c>
      <c r="I86"/>
      <c r="J86"/>
      <c r="K86"/>
      <c r="L86"/>
    </row>
    <row r="87" spans="1:12">
      <c r="A87">
        <v>11</v>
      </c>
      <c r="B87" s="187" t="str">
        <f>IF(ISNA(IF(OR(VLOOKUP(B$74&amp;"_"&amp;A87,Scénarios!$A$10:$F$590,2,0)="Sélectionnez un indicateur prédéfini…",VLOOKUP(B$74&amp;"_"&amp;A87,Scénarios!$A$10:$F$590,2,0)="Encoder votre indicateur…"),"-",VLOOKUP(B$74&amp;"_"&amp;A87,Scénarios!$A$10:$F$590,2,0))),"-",IF(OR(VLOOKUP(B$74&amp;"_"&amp;A87,Scénarios!$A$10:$F$590,2,0)="Sélectionnez un indicateur prédéfini…",VLOOKUP(B$74&amp;"_"&amp;A87,Scénarios!$A$10:$F$590,2,0)="Encoder votre indicateur…"),"-",VLOOKUP(B$74&amp;"_"&amp;A87,Scénarios!$A$10:$F$590,2,0)))</f>
        <v>-</v>
      </c>
      <c r="C87" s="824">
        <f>IF(ISNA(VLOOKUP(B$74&amp;"_"&amp;A87,Scénarios!$A$10:$F$590,3,0)),,VLOOKUP(B$74&amp;"_"&amp;A87,Scénarios!$A$10:$F$590,3,0))</f>
        <v>0</v>
      </c>
      <c r="D87" s="825"/>
      <c r="E87"/>
      <c r="F87" s="55"/>
      <c r="G87" s="901">
        <f>IF(ISNA(VLOOKUP(B$74&amp;"_"&amp;A87,Scénarios!$A$10:$F$590,5,0)),,VLOOKUP(B$74&amp;"_"&amp;A87,Scénarios!$A$10:$F$590,IF(ISNA(VLOOKUP($A$5,Categories!$Z$16:$AA$31,2,0)),5,4),0))</f>
        <v>0</v>
      </c>
      <c r="H87" s="901">
        <f t="shared" si="7"/>
        <v>0</v>
      </c>
      <c r="I87"/>
      <c r="J87"/>
      <c r="K87"/>
      <c r="L87"/>
    </row>
    <row r="88" spans="1:12">
      <c r="A88">
        <v>12</v>
      </c>
      <c r="B88" s="187" t="str">
        <f>IF(ISNA(IF(OR(VLOOKUP(B$74&amp;"_"&amp;A88,Scénarios!$A$10:$F$590,2,0)="Sélectionnez un indicateur prédéfini…",VLOOKUP(B$74&amp;"_"&amp;A88,Scénarios!$A$10:$F$590,2,0)="Encoder votre indicateur…"),"-",VLOOKUP(B$74&amp;"_"&amp;A88,Scénarios!$A$10:$F$590,2,0))),"-",IF(OR(VLOOKUP(B$74&amp;"_"&amp;A88,Scénarios!$A$10:$F$590,2,0)="Sélectionnez un indicateur prédéfini…",VLOOKUP(B$74&amp;"_"&amp;A88,Scénarios!$A$10:$F$590,2,0)="Encoder votre indicateur…"),"-",VLOOKUP(B$74&amp;"_"&amp;A88,Scénarios!$A$10:$F$590,2,0)))</f>
        <v>-</v>
      </c>
      <c r="C88" s="824">
        <f>IF(ISNA(VLOOKUP(B$74&amp;"_"&amp;A88,Scénarios!$A$10:$F$590,3,0)),,VLOOKUP(B$74&amp;"_"&amp;A88,Scénarios!$A$10:$F$590,3,0))</f>
        <v>0</v>
      </c>
      <c r="D88" s="825"/>
      <c r="E88"/>
      <c r="F88" s="55"/>
      <c r="G88" s="901">
        <f>IF(ISNA(VLOOKUP(B$74&amp;"_"&amp;A88,Scénarios!$A$10:$F$590,5,0)),,VLOOKUP(B$74&amp;"_"&amp;A88,Scénarios!$A$10:$F$590,IF(ISNA(VLOOKUP($A$5,Categories!$Z$16:$AA$31,2,0)),5,4),0))</f>
        <v>0</v>
      </c>
      <c r="H88" s="901">
        <f t="shared" si="7"/>
        <v>0</v>
      </c>
      <c r="I88"/>
      <c r="J88"/>
      <c r="K88"/>
      <c r="L88"/>
    </row>
    <row r="89" spans="1:12">
      <c r="A89">
        <v>13</v>
      </c>
      <c r="B89" s="187" t="str">
        <f>IF(ISNA(IF(OR(VLOOKUP(B$74&amp;"_"&amp;A89,Scénarios!$A$10:$F$590,2,0)="Sélectionnez un indicateur prédéfini…",VLOOKUP(B$74&amp;"_"&amp;A89,Scénarios!$A$10:$F$590,2,0)="Encoder votre indicateur…"),"-",VLOOKUP(B$74&amp;"_"&amp;A89,Scénarios!$A$10:$F$590,2,0))),"-",IF(OR(VLOOKUP(B$74&amp;"_"&amp;A89,Scénarios!$A$10:$F$590,2,0)="Sélectionnez un indicateur prédéfini…",VLOOKUP(B$74&amp;"_"&amp;A89,Scénarios!$A$10:$F$590,2,0)="Encoder votre indicateur…"),"-",VLOOKUP(B$74&amp;"_"&amp;A89,Scénarios!$A$10:$F$590,2,0)))</f>
        <v>-</v>
      </c>
      <c r="C89" s="824">
        <f>IF(ISNA(VLOOKUP(B$74&amp;"_"&amp;A89,Scénarios!$A$10:$F$590,3,0)),,VLOOKUP(B$74&amp;"_"&amp;A89,Scénarios!$A$10:$F$590,3,0))</f>
        <v>0</v>
      </c>
      <c r="D89" s="825"/>
      <c r="E89"/>
      <c r="F89" s="55"/>
      <c r="G89" s="901">
        <f>IF(ISNA(VLOOKUP(B$74&amp;"_"&amp;A89,Scénarios!$A$10:$F$590,5,0)),,VLOOKUP(B$74&amp;"_"&amp;A89,Scénarios!$A$10:$F$590,IF(ISNA(VLOOKUP($A$5,Categories!$Z$16:$AA$31,2,0)),5,4),0))</f>
        <v>0</v>
      </c>
      <c r="H89" s="901">
        <f t="shared" si="7"/>
        <v>0</v>
      </c>
      <c r="I89"/>
      <c r="J89"/>
      <c r="K89"/>
      <c r="L89"/>
    </row>
    <row r="90" spans="1:12">
      <c r="A90">
        <v>14</v>
      </c>
      <c r="B90" s="187" t="str">
        <f>IF(ISNA(IF(OR(VLOOKUP(B$74&amp;"_"&amp;A90,Scénarios!$A$10:$F$590,2,0)="Sélectionnez un indicateur prédéfini…",VLOOKUP(B$74&amp;"_"&amp;A90,Scénarios!$A$10:$F$590,2,0)="Encoder votre indicateur…"),"-",VLOOKUP(B$74&amp;"_"&amp;A90,Scénarios!$A$10:$F$590,2,0))),"-",IF(OR(VLOOKUP(B$74&amp;"_"&amp;A90,Scénarios!$A$10:$F$590,2,0)="Sélectionnez un indicateur prédéfini…",VLOOKUP(B$74&amp;"_"&amp;A90,Scénarios!$A$10:$F$590,2,0)="Encoder votre indicateur…"),"-",VLOOKUP(B$74&amp;"_"&amp;A90,Scénarios!$A$10:$F$590,2,0)))</f>
        <v>-</v>
      </c>
      <c r="C90" s="824">
        <f>IF(ISNA(VLOOKUP(B$74&amp;"_"&amp;A90,Scénarios!$A$10:$F$590,3,0)),,VLOOKUP(B$74&amp;"_"&amp;A90,Scénarios!$A$10:$F$590,3,0))</f>
        <v>0</v>
      </c>
      <c r="D90" s="825"/>
      <c r="E90"/>
      <c r="F90" s="55"/>
      <c r="G90" s="901">
        <f>IF(ISNA(VLOOKUP(B$74&amp;"_"&amp;A90,Scénarios!$A$10:$F$590,5,0)),,VLOOKUP(B$74&amp;"_"&amp;A90,Scénarios!$A$10:$F$590,IF(ISNA(VLOOKUP($A$5,Categories!$Z$16:$AA$31,2,0)),5,4),0))</f>
        <v>0</v>
      </c>
      <c r="H90" s="901">
        <f t="shared" si="7"/>
        <v>0</v>
      </c>
      <c r="I90"/>
      <c r="J90"/>
      <c r="K90"/>
      <c r="L90"/>
    </row>
    <row r="91" spans="1:12">
      <c r="A91">
        <v>15</v>
      </c>
      <c r="B91" s="187" t="str">
        <f>IF(ISNA(IF(OR(VLOOKUP(B$74&amp;"_"&amp;A91,Scénarios!$A$10:$F$590,2,0)="Sélectionnez un indicateur prédéfini…",VLOOKUP(B$74&amp;"_"&amp;A91,Scénarios!$A$10:$F$590,2,0)="Encoder votre indicateur…"),"-",VLOOKUP(B$74&amp;"_"&amp;A91,Scénarios!$A$10:$F$590,2,0))),"-",IF(OR(VLOOKUP(B$74&amp;"_"&amp;A91,Scénarios!$A$10:$F$590,2,0)="Sélectionnez un indicateur prédéfini…",VLOOKUP(B$74&amp;"_"&amp;A91,Scénarios!$A$10:$F$590,2,0)="Encoder votre indicateur…"),"-",VLOOKUP(B$74&amp;"_"&amp;A91,Scénarios!$A$10:$F$590,2,0)))</f>
        <v>-</v>
      </c>
      <c r="C91" s="824">
        <f>IF(ISNA(VLOOKUP(B$74&amp;"_"&amp;A91,Scénarios!$A$10:$F$590,3,0)),,VLOOKUP(B$74&amp;"_"&amp;A91,Scénarios!$A$10:$F$590,3,0))</f>
        <v>0</v>
      </c>
      <c r="D91" s="825"/>
      <c r="E91"/>
      <c r="F91" s="55"/>
      <c r="G91" s="901">
        <f>IF(ISNA(VLOOKUP(B$74&amp;"_"&amp;A91,Scénarios!$A$10:$F$590,5,0)),,VLOOKUP(B$74&amp;"_"&amp;A91,Scénarios!$A$10:$F$590,IF(ISNA(VLOOKUP($A$5,Categories!$Z$16:$AA$31,2,0)),5,4),0))</f>
        <v>0</v>
      </c>
      <c r="H91" s="901">
        <f t="shared" si="7"/>
        <v>0</v>
      </c>
      <c r="I91"/>
      <c r="J91"/>
      <c r="K91"/>
      <c r="L91"/>
    </row>
    <row r="92" spans="1:12">
      <c r="A92"/>
      <c r="B92"/>
      <c r="C92"/>
      <c r="D92"/>
      <c r="E92"/>
      <c r="F92" s="830"/>
      <c r="G92" s="55"/>
      <c r="H92" s="55"/>
      <c r="I92"/>
      <c r="J92"/>
      <c r="K92"/>
      <c r="L92"/>
    </row>
    <row r="93" spans="1:12" ht="15.6">
      <c r="A93"/>
      <c r="B93" s="827" t="s">
        <v>749</v>
      </c>
      <c r="C93" s="828">
        <f>IF(SUM(G77:G91)=0,0,SUM(H77:H91)/SUM(G77:G91))</f>
        <v>0</v>
      </c>
      <c r="D93" s="829"/>
      <c r="E93"/>
      <c r="F93" s="830"/>
      <c r="G93" s="55"/>
      <c r="H93" s="55"/>
      <c r="I93"/>
      <c r="J93"/>
      <c r="K93"/>
      <c r="L93"/>
    </row>
    <row r="94" spans="1:12">
      <c r="A94"/>
      <c r="B94"/>
      <c r="C94"/>
      <c r="D94"/>
      <c r="E94"/>
      <c r="F94"/>
      <c r="G94" s="55"/>
      <c r="H94" s="55"/>
      <c r="I94"/>
      <c r="J94"/>
      <c r="K94"/>
      <c r="L94"/>
    </row>
    <row r="139" spans="17:17">
      <c r="Q139" s="1" t="s">
        <v>732</v>
      </c>
    </row>
    <row r="140" spans="17:17">
      <c r="Q140" s="1" t="s">
        <v>732</v>
      </c>
    </row>
    <row r="141" spans="17:17">
      <c r="Q141" s="1" t="s">
        <v>732</v>
      </c>
    </row>
    <row r="142" spans="17:17">
      <c r="Q142" s="1" t="s">
        <v>732</v>
      </c>
    </row>
    <row r="143" spans="17:17">
      <c r="Q143" s="1" t="s">
        <v>732</v>
      </c>
    </row>
    <row r="144" spans="17:17">
      <c r="Q144" s="1" t="s">
        <v>732</v>
      </c>
    </row>
    <row r="145" spans="17:17">
      <c r="Q145" s="1" t="s">
        <v>732</v>
      </c>
    </row>
    <row r="146" spans="17:17">
      <c r="Q146" s="1" t="s">
        <v>732</v>
      </c>
    </row>
    <row r="147" spans="17:17">
      <c r="Q147" s="1" t="s">
        <v>732</v>
      </c>
    </row>
    <row r="148" spans="17:17">
      <c r="Q148" s="1" t="s">
        <v>732</v>
      </c>
    </row>
    <row r="149" spans="17:17">
      <c r="Q149" s="1" t="s">
        <v>732</v>
      </c>
    </row>
    <row r="150" spans="17:17">
      <c r="Q150" s="1" t="s">
        <v>732</v>
      </c>
    </row>
    <row r="151" spans="17:17">
      <c r="Q151" s="1" t="s">
        <v>732</v>
      </c>
    </row>
    <row r="152" spans="17:17">
      <c r="Q152" s="1" t="s">
        <v>732</v>
      </c>
    </row>
    <row r="153" spans="17:17">
      <c r="Q153" s="1" t="s">
        <v>732</v>
      </c>
    </row>
    <row r="154" spans="17:17">
      <c r="Q154" s="1" t="s">
        <v>732</v>
      </c>
    </row>
    <row r="155" spans="17:17">
      <c r="Q155" s="1" t="s">
        <v>732</v>
      </c>
    </row>
    <row r="156" spans="17:17">
      <c r="Q156" s="1" t="s">
        <v>732</v>
      </c>
    </row>
    <row r="157" spans="17:17">
      <c r="Q157" s="1" t="s">
        <v>732</v>
      </c>
    </row>
    <row r="158" spans="17:17">
      <c r="Q158" s="1" t="s">
        <v>732</v>
      </c>
    </row>
    <row r="159" spans="17:17">
      <c r="Q159" s="1" t="s">
        <v>732</v>
      </c>
    </row>
    <row r="160" spans="17:17">
      <c r="Q160" s="1" t="s">
        <v>732</v>
      </c>
    </row>
    <row r="161" spans="17:17">
      <c r="Q161" s="1" t="s">
        <v>732</v>
      </c>
    </row>
    <row r="162" spans="17:17">
      <c r="Q162" s="1" t="s">
        <v>732</v>
      </c>
    </row>
    <row r="163" spans="17:17">
      <c r="Q163" s="1" t="s">
        <v>732</v>
      </c>
    </row>
    <row r="164" spans="17:17">
      <c r="Q164" s="1" t="s">
        <v>732</v>
      </c>
    </row>
    <row r="165" spans="17:17">
      <c r="Q165" s="1" t="s">
        <v>732</v>
      </c>
    </row>
    <row r="166" spans="17:17">
      <c r="Q166" s="1" t="s">
        <v>732</v>
      </c>
    </row>
    <row r="167" spans="17:17">
      <c r="Q167" s="1" t="s">
        <v>732</v>
      </c>
    </row>
    <row r="168" spans="17:17">
      <c r="Q168" s="1" t="s">
        <v>732</v>
      </c>
    </row>
    <row r="169" spans="17:17">
      <c r="Q169" s="1" t="s">
        <v>732</v>
      </c>
    </row>
    <row r="170" spans="17:17">
      <c r="Q170" s="1" t="s">
        <v>732</v>
      </c>
    </row>
    <row r="171" spans="17:17">
      <c r="Q171" s="1" t="s">
        <v>732</v>
      </c>
    </row>
    <row r="172" spans="17:17">
      <c r="Q172" s="1" t="s">
        <v>732</v>
      </c>
    </row>
    <row r="173" spans="17:17">
      <c r="Q173" s="1" t="s">
        <v>732</v>
      </c>
    </row>
    <row r="174" spans="17:17">
      <c r="Q174" s="1" t="s">
        <v>732</v>
      </c>
    </row>
    <row r="175" spans="17:17">
      <c r="Q175" s="1" t="s">
        <v>732</v>
      </c>
    </row>
    <row r="176" spans="17:17">
      <c r="Q176" s="1" t="s">
        <v>732</v>
      </c>
    </row>
    <row r="177" spans="17:17">
      <c r="Q177" s="1" t="s">
        <v>732</v>
      </c>
    </row>
    <row r="178" spans="17:17">
      <c r="Q178" s="1" t="s">
        <v>732</v>
      </c>
    </row>
    <row r="179" spans="17:17">
      <c r="Q179" s="1" t="s">
        <v>732</v>
      </c>
    </row>
    <row r="180" spans="17:17">
      <c r="Q180" s="1" t="s">
        <v>732</v>
      </c>
    </row>
    <row r="181" spans="17:17">
      <c r="Q181" s="1" t="s">
        <v>732</v>
      </c>
    </row>
    <row r="182" spans="17:17">
      <c r="Q182" s="1" t="s">
        <v>732</v>
      </c>
    </row>
    <row r="183" spans="17:17">
      <c r="Q183" s="1" t="s">
        <v>732</v>
      </c>
    </row>
    <row r="184" spans="17:17">
      <c r="Q184" s="1" t="s">
        <v>732</v>
      </c>
    </row>
    <row r="185" spans="17:17">
      <c r="Q185" s="1" t="s">
        <v>732</v>
      </c>
    </row>
    <row r="186" spans="17:17">
      <c r="Q186" s="1" t="s">
        <v>732</v>
      </c>
    </row>
    <row r="187" spans="17:17">
      <c r="Q187" s="1" t="s">
        <v>732</v>
      </c>
    </row>
    <row r="188" spans="17:17">
      <c r="Q188" s="1" t="s">
        <v>732</v>
      </c>
    </row>
    <row r="189" spans="17:17">
      <c r="Q189" s="1" t="s">
        <v>732</v>
      </c>
    </row>
    <row r="190" spans="17:17">
      <c r="Q190" s="1" t="s">
        <v>732</v>
      </c>
    </row>
    <row r="191" spans="17:17">
      <c r="Q191" s="1" t="s">
        <v>732</v>
      </c>
    </row>
    <row r="192" spans="17:17">
      <c r="Q192" s="1" t="s">
        <v>732</v>
      </c>
    </row>
    <row r="193" spans="17:17">
      <c r="Q193" s="1" t="s">
        <v>732</v>
      </c>
    </row>
    <row r="194" spans="17:17">
      <c r="Q194" s="1" t="s">
        <v>732</v>
      </c>
    </row>
    <row r="195" spans="17:17">
      <c r="Q195" s="1" t="s">
        <v>732</v>
      </c>
    </row>
    <row r="196" spans="17:17">
      <c r="Q196" s="1" t="s">
        <v>732</v>
      </c>
    </row>
    <row r="197" spans="17:17">
      <c r="Q197" s="1" t="s">
        <v>732</v>
      </c>
    </row>
    <row r="198" spans="17:17">
      <c r="Q198" s="1" t="s">
        <v>732</v>
      </c>
    </row>
    <row r="199" spans="17:17">
      <c r="Q199" s="1" t="s">
        <v>732</v>
      </c>
    </row>
    <row r="200" spans="17:17">
      <c r="Q200" s="1" t="s">
        <v>732</v>
      </c>
    </row>
    <row r="201" spans="17:17">
      <c r="Q201" s="1" t="s">
        <v>732</v>
      </c>
    </row>
    <row r="202" spans="17:17">
      <c r="Q202" s="1" t="s">
        <v>732</v>
      </c>
    </row>
    <row r="203" spans="17:17">
      <c r="Q203" s="1" t="s">
        <v>732</v>
      </c>
    </row>
    <row r="204" spans="17:17">
      <c r="Q204" s="1" t="s">
        <v>732</v>
      </c>
    </row>
    <row r="205" spans="17:17">
      <c r="Q205" s="1" t="s">
        <v>732</v>
      </c>
    </row>
    <row r="206" spans="17:17">
      <c r="Q206" s="1" t="s">
        <v>732</v>
      </c>
    </row>
    <row r="207" spans="17:17">
      <c r="Q207" s="1" t="s">
        <v>732</v>
      </c>
    </row>
    <row r="208" spans="17:17">
      <c r="Q208" s="1" t="s">
        <v>732</v>
      </c>
    </row>
    <row r="209" spans="17:17">
      <c r="Q209" s="1" t="s">
        <v>732</v>
      </c>
    </row>
    <row r="210" spans="17:17">
      <c r="Q210" s="1" t="s">
        <v>732</v>
      </c>
    </row>
    <row r="211" spans="17:17">
      <c r="Q211" s="1" t="s">
        <v>732</v>
      </c>
    </row>
    <row r="212" spans="17:17">
      <c r="Q212" s="1" t="s">
        <v>732</v>
      </c>
    </row>
    <row r="213" spans="17:17">
      <c r="Q213" s="1" t="s">
        <v>732</v>
      </c>
    </row>
    <row r="214" spans="17:17">
      <c r="Q214" s="1" t="s">
        <v>732</v>
      </c>
    </row>
    <row r="215" spans="17:17">
      <c r="Q215" s="1" t="s">
        <v>732</v>
      </c>
    </row>
    <row r="216" spans="17:17">
      <c r="Q216" s="1" t="s">
        <v>732</v>
      </c>
    </row>
    <row r="217" spans="17:17">
      <c r="Q217" s="1" t="s">
        <v>732</v>
      </c>
    </row>
    <row r="218" spans="17:17">
      <c r="Q218" s="1" t="s">
        <v>732</v>
      </c>
    </row>
    <row r="219" spans="17:17">
      <c r="Q219" s="1" t="s">
        <v>732</v>
      </c>
    </row>
    <row r="220" spans="17:17">
      <c r="Q220" s="1" t="s">
        <v>732</v>
      </c>
    </row>
    <row r="221" spans="17:17">
      <c r="Q221" s="1" t="s">
        <v>732</v>
      </c>
    </row>
    <row r="222" spans="17:17">
      <c r="Q222" s="1" t="s">
        <v>732</v>
      </c>
    </row>
    <row r="223" spans="17:17">
      <c r="Q223" s="1" t="s">
        <v>732</v>
      </c>
    </row>
    <row r="224" spans="17:17">
      <c r="Q224" s="1" t="s">
        <v>732</v>
      </c>
    </row>
    <row r="225" spans="17:17">
      <c r="Q225" s="1" t="s">
        <v>732</v>
      </c>
    </row>
    <row r="226" spans="17:17">
      <c r="Q226" s="1" t="s">
        <v>732</v>
      </c>
    </row>
    <row r="227" spans="17:17">
      <c r="Q227" s="1" t="s">
        <v>732</v>
      </c>
    </row>
    <row r="228" spans="17:17">
      <c r="Q228" s="1" t="s">
        <v>732</v>
      </c>
    </row>
    <row r="229" spans="17:17">
      <c r="Q229" s="1" t="s">
        <v>732</v>
      </c>
    </row>
    <row r="230" spans="17:17">
      <c r="Q230" s="1" t="s">
        <v>732</v>
      </c>
    </row>
    <row r="231" spans="17:17">
      <c r="Q231" s="1" t="s">
        <v>732</v>
      </c>
    </row>
    <row r="232" spans="17:17">
      <c r="Q232" s="1" t="s">
        <v>732</v>
      </c>
    </row>
    <row r="233" spans="17:17">
      <c r="Q233" s="1" t="s">
        <v>732</v>
      </c>
    </row>
    <row r="234" spans="17:17">
      <c r="Q234" s="1" t="s">
        <v>732</v>
      </c>
    </row>
    <row r="235" spans="17:17">
      <c r="Q235" s="1" t="s">
        <v>732</v>
      </c>
    </row>
    <row r="236" spans="17:17">
      <c r="Q236" s="1" t="s">
        <v>732</v>
      </c>
    </row>
    <row r="237" spans="17:17">
      <c r="Q237" s="1" t="s">
        <v>732</v>
      </c>
    </row>
    <row r="238" spans="17:17">
      <c r="Q238" s="1" t="s">
        <v>732</v>
      </c>
    </row>
    <row r="239" spans="17:17">
      <c r="Q239" s="1" t="s">
        <v>732</v>
      </c>
    </row>
    <row r="240" spans="17:17">
      <c r="Q240" s="1" t="s">
        <v>732</v>
      </c>
    </row>
    <row r="241" spans="17:17">
      <c r="Q241" s="1" t="s">
        <v>732</v>
      </c>
    </row>
    <row r="242" spans="17:17">
      <c r="Q242" s="1" t="s">
        <v>732</v>
      </c>
    </row>
    <row r="243" spans="17:17">
      <c r="Q243" s="1" t="s">
        <v>732</v>
      </c>
    </row>
    <row r="244" spans="17:17">
      <c r="Q244" s="1" t="s">
        <v>732</v>
      </c>
    </row>
    <row r="245" spans="17:17">
      <c r="Q245" s="1" t="s">
        <v>732</v>
      </c>
    </row>
    <row r="246" spans="17:17">
      <c r="Q246" s="1" t="s">
        <v>732</v>
      </c>
    </row>
    <row r="247" spans="17:17">
      <c r="Q247" s="1" t="s">
        <v>732</v>
      </c>
    </row>
    <row r="248" spans="17:17">
      <c r="Q248" s="1" t="s">
        <v>732</v>
      </c>
    </row>
    <row r="249" spans="17:17">
      <c r="Q249" s="1" t="s">
        <v>732</v>
      </c>
    </row>
    <row r="250" spans="17:17">
      <c r="Q250" s="1" t="s">
        <v>732</v>
      </c>
    </row>
    <row r="251" spans="17:17">
      <c r="Q251" s="1" t="s">
        <v>732</v>
      </c>
    </row>
    <row r="252" spans="17:17">
      <c r="Q252" s="1" t="s">
        <v>732</v>
      </c>
    </row>
    <row r="253" spans="17:17">
      <c r="Q253" s="1" t="s">
        <v>732</v>
      </c>
    </row>
    <row r="254" spans="17:17">
      <c r="Q254" s="1" t="s">
        <v>732</v>
      </c>
    </row>
    <row r="255" spans="17:17">
      <c r="Q255" s="1" t="s">
        <v>732</v>
      </c>
    </row>
    <row r="256" spans="17:17">
      <c r="Q256" s="1" t="s">
        <v>732</v>
      </c>
    </row>
    <row r="257" spans="17:17">
      <c r="Q257" s="1" t="s">
        <v>732</v>
      </c>
    </row>
    <row r="258" spans="17:17">
      <c r="Q258" s="1" t="s">
        <v>732</v>
      </c>
    </row>
    <row r="259" spans="17:17">
      <c r="Q259" s="1" t="s">
        <v>732</v>
      </c>
    </row>
    <row r="260" spans="17:17">
      <c r="Q260" s="1" t="s">
        <v>732</v>
      </c>
    </row>
    <row r="261" spans="17:17">
      <c r="Q261" s="1" t="s">
        <v>732</v>
      </c>
    </row>
    <row r="262" spans="17:17">
      <c r="Q262" s="1" t="s">
        <v>732</v>
      </c>
    </row>
    <row r="263" spans="17:17">
      <c r="Q263" s="1" t="s">
        <v>732</v>
      </c>
    </row>
    <row r="264" spans="17:17">
      <c r="Q264" s="1" t="s">
        <v>732</v>
      </c>
    </row>
    <row r="265" spans="17:17">
      <c r="Q265" s="1" t="s">
        <v>732</v>
      </c>
    </row>
    <row r="266" spans="17:17">
      <c r="Q266" s="1" t="s">
        <v>732</v>
      </c>
    </row>
    <row r="267" spans="17:17">
      <c r="Q267" s="1" t="s">
        <v>732</v>
      </c>
    </row>
    <row r="268" spans="17:17">
      <c r="Q268" s="1" t="s">
        <v>732</v>
      </c>
    </row>
    <row r="269" spans="17:17">
      <c r="Q269" s="1" t="s">
        <v>732</v>
      </c>
    </row>
    <row r="270" spans="17:17">
      <c r="Q270" s="1" t="s">
        <v>732</v>
      </c>
    </row>
    <row r="271" spans="17:17">
      <c r="Q271" s="1" t="s">
        <v>732</v>
      </c>
    </row>
    <row r="272" spans="17:17">
      <c r="Q272" s="1" t="s">
        <v>732</v>
      </c>
    </row>
    <row r="273" spans="17:17">
      <c r="Q273" s="1" t="s">
        <v>732</v>
      </c>
    </row>
    <row r="274" spans="17:17">
      <c r="Q274" s="1" t="s">
        <v>732</v>
      </c>
    </row>
    <row r="275" spans="17:17">
      <c r="Q275" s="1" t="s">
        <v>732</v>
      </c>
    </row>
    <row r="276" spans="17:17">
      <c r="Q276" s="1" t="s">
        <v>732</v>
      </c>
    </row>
    <row r="277" spans="17:17">
      <c r="Q277" s="1" t="s">
        <v>732</v>
      </c>
    </row>
    <row r="278" spans="17:17">
      <c r="Q278" s="1" t="s">
        <v>732</v>
      </c>
    </row>
    <row r="279" spans="17:17">
      <c r="Q279" s="1" t="s">
        <v>732</v>
      </c>
    </row>
    <row r="280" spans="17:17">
      <c r="Q280" s="1" t="s">
        <v>732</v>
      </c>
    </row>
    <row r="281" spans="17:17">
      <c r="Q281" s="1" t="s">
        <v>732</v>
      </c>
    </row>
    <row r="282" spans="17:17">
      <c r="Q282" s="1" t="s">
        <v>732</v>
      </c>
    </row>
    <row r="283" spans="17:17">
      <c r="Q283" s="1" t="s">
        <v>732</v>
      </c>
    </row>
    <row r="284" spans="17:17">
      <c r="Q284" s="1" t="s">
        <v>732</v>
      </c>
    </row>
    <row r="285" spans="17:17">
      <c r="Q285" s="1" t="s">
        <v>732</v>
      </c>
    </row>
    <row r="286" spans="17:17">
      <c r="Q286" s="1" t="s">
        <v>732</v>
      </c>
    </row>
    <row r="287" spans="17:17">
      <c r="Q287" s="1" t="s">
        <v>732</v>
      </c>
    </row>
    <row r="288" spans="17:17">
      <c r="Q288" s="1" t="s">
        <v>732</v>
      </c>
    </row>
    <row r="289" spans="17:17">
      <c r="Q289" s="1" t="s">
        <v>732</v>
      </c>
    </row>
    <row r="290" spans="17:17">
      <c r="Q290" s="1" t="s">
        <v>732</v>
      </c>
    </row>
    <row r="291" spans="17:17">
      <c r="Q291" s="1" t="s">
        <v>732</v>
      </c>
    </row>
    <row r="292" spans="17:17">
      <c r="Q292" s="1" t="s">
        <v>732</v>
      </c>
    </row>
    <row r="293" spans="17:17">
      <c r="Q293" s="1" t="s">
        <v>732</v>
      </c>
    </row>
    <row r="294" spans="17:17">
      <c r="Q294" s="1" t="s">
        <v>732</v>
      </c>
    </row>
    <row r="295" spans="17:17">
      <c r="Q295" s="1" t="s">
        <v>732</v>
      </c>
    </row>
    <row r="296" spans="17:17">
      <c r="Q296" s="1" t="s">
        <v>732</v>
      </c>
    </row>
    <row r="297" spans="17:17">
      <c r="Q297" s="1" t="s">
        <v>732</v>
      </c>
    </row>
    <row r="298" spans="17:17">
      <c r="Q298" s="1" t="s">
        <v>732</v>
      </c>
    </row>
    <row r="299" spans="17:17">
      <c r="Q299" s="1" t="s">
        <v>732</v>
      </c>
    </row>
    <row r="300" spans="17:17">
      <c r="Q300" s="1" t="s">
        <v>732</v>
      </c>
    </row>
    <row r="301" spans="17:17">
      <c r="Q301" s="1" t="s">
        <v>732</v>
      </c>
    </row>
    <row r="302" spans="17:17">
      <c r="Q302" s="1" t="s">
        <v>732</v>
      </c>
    </row>
  </sheetData>
  <sheetProtection formatRows="0"/>
  <mergeCells count="21">
    <mergeCell ref="H20:H21"/>
    <mergeCell ref="B21:F21"/>
    <mergeCell ref="E5:F5"/>
    <mergeCell ref="E6:F6"/>
    <mergeCell ref="E9:F9"/>
    <mergeCell ref="E10:F10"/>
    <mergeCell ref="B13:F13"/>
    <mergeCell ref="B14:F14"/>
    <mergeCell ref="B15:F15"/>
    <mergeCell ref="B17:F17"/>
    <mergeCell ref="B18:F18"/>
    <mergeCell ref="B19:F19"/>
    <mergeCell ref="B20:F20"/>
    <mergeCell ref="I34:J37"/>
    <mergeCell ref="I50:J51"/>
    <mergeCell ref="B22:F22"/>
    <mergeCell ref="D23:F23"/>
    <mergeCell ref="B24:F24"/>
    <mergeCell ref="B25:F25"/>
    <mergeCell ref="B27:F27"/>
    <mergeCell ref="B28:F28"/>
  </mergeCells>
  <conditionalFormatting sqref="A5:D5">
    <cfRule type="expression" dxfId="367" priority="29" stopIfTrue="1">
      <formula>ISBLANK(A5)</formula>
    </cfRule>
  </conditionalFormatting>
  <conditionalFormatting sqref="B7:D7">
    <cfRule type="expression" dxfId="366" priority="28" stopIfTrue="1">
      <formula>ISBLANK(B7)</formula>
    </cfRule>
  </conditionalFormatting>
  <conditionalFormatting sqref="E6:F6">
    <cfRule type="expression" dxfId="365" priority="27" stopIfTrue="1">
      <formula>ISBLANK($E$6)</formula>
    </cfRule>
  </conditionalFormatting>
  <conditionalFormatting sqref="B9">
    <cfRule type="expression" dxfId="364" priority="26" stopIfTrue="1">
      <formula>ISBLANK($B$9)</formula>
    </cfRule>
  </conditionalFormatting>
  <conditionalFormatting sqref="D9">
    <cfRule type="expression" dxfId="363" priority="25" stopIfTrue="1">
      <formula>ISBLANK($D$9)</formula>
    </cfRule>
  </conditionalFormatting>
  <conditionalFormatting sqref="E10:F10">
    <cfRule type="expression" dxfId="362" priority="4" stopIfTrue="1">
      <formula>$E$2=2</formula>
    </cfRule>
    <cfRule type="expression" dxfId="361" priority="24" stopIfTrue="1">
      <formula>ISBLANK($E$10)</formula>
    </cfRule>
  </conditionalFormatting>
  <conditionalFormatting sqref="B11">
    <cfRule type="expression" dxfId="360" priority="23" stopIfTrue="1">
      <formula>ISBLANK($B$11)</formula>
    </cfRule>
  </conditionalFormatting>
  <conditionalFormatting sqref="B13:F21 B22">
    <cfRule type="expression" dxfId="359" priority="22">
      <formula>ISBLANK(B13)</formula>
    </cfRule>
  </conditionalFormatting>
  <conditionalFormatting sqref="B23:B24">
    <cfRule type="expression" dxfId="358" priority="21" stopIfTrue="1">
      <formula>ISBLANK($B$23)</formula>
    </cfRule>
  </conditionalFormatting>
  <conditionalFormatting sqref="D23:F23">
    <cfRule type="expression" dxfId="357" priority="20" stopIfTrue="1">
      <formula>ISBLANK($D$23)</formula>
    </cfRule>
  </conditionalFormatting>
  <conditionalFormatting sqref="B25:F25">
    <cfRule type="expression" dxfId="356" priority="19" stopIfTrue="1">
      <formula>ISBLANK($B$25)</formula>
    </cfRule>
  </conditionalFormatting>
  <conditionalFormatting sqref="B26">
    <cfRule type="expression" dxfId="355" priority="18" stopIfTrue="1">
      <formula>ISBLANK($B$26)</formula>
    </cfRule>
  </conditionalFormatting>
  <conditionalFormatting sqref="D26">
    <cfRule type="expression" dxfId="354" priority="17" stopIfTrue="1">
      <formula>ISBLANK($D$26)</formula>
    </cfRule>
  </conditionalFormatting>
  <conditionalFormatting sqref="F26">
    <cfRule type="expression" dxfId="353" priority="16" stopIfTrue="1">
      <formula>ISBLANK($F$26)</formula>
    </cfRule>
  </conditionalFormatting>
  <conditionalFormatting sqref="H20:I20">
    <cfRule type="expression" dxfId="352" priority="15" stopIfTrue="1">
      <formula>AND($B$21&lt;$B$20,B21&gt;0)</formula>
    </cfRule>
  </conditionalFormatting>
  <conditionalFormatting sqref="H23:J24">
    <cfRule type="expression" dxfId="351" priority="30" stopIfTrue="1">
      <formula>AND($B$21&lt;$B$20,B25&gt;0)</formula>
    </cfRule>
  </conditionalFormatting>
  <conditionalFormatting sqref="A24:F24">
    <cfRule type="expression" dxfId="350" priority="8" stopIfTrue="1">
      <formula>OR($B$11&lt;&gt;"Commune",$D$23&lt;&gt;"Investissement")</formula>
    </cfRule>
  </conditionalFormatting>
  <conditionalFormatting sqref="A22:F22">
    <cfRule type="expression" dxfId="349" priority="5" stopIfTrue="1">
      <formula>$B$11&lt;&gt;"Commune"</formula>
    </cfRule>
  </conditionalFormatting>
  <conditionalFormatting sqref="J6">
    <cfRule type="expression" dxfId="348" priority="12" stopIfTrue="1">
      <formula>ISBLANK(J6)</formula>
    </cfRule>
  </conditionalFormatting>
  <conditionalFormatting sqref="C9:F9">
    <cfRule type="expression" dxfId="347" priority="10" stopIfTrue="1">
      <formula>$E$2=2</formula>
    </cfRule>
  </conditionalFormatting>
  <conditionalFormatting sqref="B27:F28">
    <cfRule type="expression" dxfId="346" priority="9">
      <formula>ISBLANK(B27)</formula>
    </cfRule>
  </conditionalFormatting>
  <conditionalFormatting sqref="B26 D26 F26 B23 D23:F23 B13:F22 B24:F25 B11 B9 D9 E10:F10">
    <cfRule type="expression" dxfId="345" priority="13">
      <formula>$D$3=TRUE</formula>
    </cfRule>
    <cfRule type="expression" dxfId="344" priority="14">
      <formula>$B$3=TRUE</formula>
    </cfRule>
  </conditionalFormatting>
  <conditionalFormatting sqref="B9 B11 D9 E10:F10 B13:F21 D23:F23 B25:F25 B26 D26 F26 B22:B23">
    <cfRule type="cellIs" priority="11" stopIfTrue="1" operator="notEqual">
      <formula>0</formula>
    </cfRule>
  </conditionalFormatting>
  <conditionalFormatting sqref="G5">
    <cfRule type="expression" dxfId="343" priority="2">
      <formula>$B$3=TRUE</formula>
    </cfRule>
  </conditionalFormatting>
  <conditionalFormatting sqref="G4">
    <cfRule type="expression" dxfId="342" priority="1">
      <formula>$B$3=TRUE</formula>
    </cfRule>
  </conditionalFormatting>
  <dataValidations count="17">
    <dataValidation type="list" showInputMessage="1" showErrorMessage="1" sqref="B9" xr:uid="{81A153D9-0D12-4DA6-94AF-B3D7F8CEBEF6}">
      <formula1>IF($E$2=2,Risque,IF($A$5="Administration communale",UREBA,$Q$8:$Q$20))</formula1>
    </dataValidation>
    <dataValidation type="list" showInputMessage="1" showErrorMessage="1" sqref="D23:F23" xr:uid="{A42E6222-1314-449F-9C12-BCE6142872A1}">
      <formula1>Type_depense</formula1>
    </dataValidation>
    <dataValidation type="list" allowBlank="1" showInputMessage="1" showErrorMessage="1" sqref="B20:F21" xr:uid="{E5CD0DF0-859D-40B9-AF3D-4AAB2491A6FB}">
      <formula1>Année</formula1>
    </dataValidation>
    <dataValidation type="list" showInputMessage="1" showErrorMessage="1" sqref="F26" xr:uid="{EE8C9475-1D97-45B9-979C-56FB4AF1FA0A}">
      <formula1>Source_subvention</formula1>
    </dataValidation>
    <dataValidation type="list" showInputMessage="1" showErrorMessage="1" sqref="E10:F10" xr:uid="{F34DC353-1FB9-4098-8B86-0946A9CD58D7}">
      <formula1>Choix</formula1>
    </dataValidation>
    <dataValidation type="list" allowBlank="1" showInputMessage="1" showErrorMessage="1" sqref="F1 J6" xr:uid="{B1216B18-B82F-48B6-8C97-F0181FFA7F28}">
      <formula1>Bonnes_pratiques</formula1>
    </dataValidation>
    <dataValidation type="list" showInputMessage="1" showErrorMessage="1" sqref="B7:D7" xr:uid="{15CCBD63-28C4-4CF4-8BF6-FF9A03FFC3D0}">
      <formula1>Pourcent</formula1>
    </dataValidation>
    <dataValidation type="decimal" operator="greaterThan" showInputMessage="1" showErrorMessage="1" sqref="B22:F22" xr:uid="{525A88B3-37A6-4C86-AFBD-2C0ACACD7CDA}">
      <formula1>0</formula1>
    </dataValidation>
    <dataValidation type="list" showInputMessage="1" showErrorMessage="1" sqref="B11" xr:uid="{259BCEF1-16A2-4BEE-A53A-C56101D4CFFB}">
      <formula1>Structure</formula1>
    </dataValidation>
    <dataValidation type="list" showInputMessage="1" showErrorMessage="1" sqref="E6:F6" xr:uid="{154BDB5D-AABC-40FB-B2A1-77A467540B32}">
      <formula1>Avancement</formula1>
    </dataValidation>
    <dataValidation type="decimal" operator="greaterThanOrEqual" allowBlank="1" showInputMessage="1" showErrorMessage="1" sqref="B24:F25 B26 D35:D49 D56:D70 D77:D91" xr:uid="{915A9A8D-339C-40C7-AAFF-38AA77D092A6}">
      <formula1>0</formula1>
    </dataValidation>
    <dataValidation type="list" showInputMessage="1" showErrorMessage="1" sqref="D9" xr:uid="{D9F35162-1C11-4152-A38D-FA7E2696C672}">
      <formula1>$R$8:$R$25</formula1>
    </dataValidation>
    <dataValidation type="list" showInputMessage="1" showErrorMessage="1" sqref="B5:D5" xr:uid="{ECA0CF14-5889-4726-B731-B34EBF938865}">
      <formula1>objsects</formula1>
    </dataValidation>
    <dataValidation type="list" showInputMessage="1" showErrorMessage="1" sqref="A5" xr:uid="{E0F8BFF8-3F39-4061-830A-E24EB7FF9585}">
      <formula1>IF(E2=1,secteuraction,Secteurs_adaptation)</formula1>
    </dataValidation>
    <dataValidation type="decimal" operator="greaterThanOrEqual" showInputMessage="1" showErrorMessage="1" sqref="B23" xr:uid="{C760597C-2186-464A-AE25-6DA42F1D925D}">
      <formula1>0</formula1>
    </dataValidation>
    <dataValidation type="list" allowBlank="1" showInputMessage="1" showErrorMessage="1" sqref="G5" xr:uid="{8B5914BD-CE48-4E74-9BD3-677607EF5EAD}">
      <formula1>"1,2,3,4,5,6"</formula1>
    </dataValidation>
    <dataValidation type="list" allowBlank="1" showInputMessage="1" showErrorMessage="1" sqref="B16:F16" xr:uid="{6D3D51D5-EDD7-465F-88CF-E65703A73BA5}">
      <formula1>Public</formula1>
    </dataValidation>
  </dataValidations>
  <printOptions horizontalCentered="1"/>
  <pageMargins left="0.7" right="0.7" top="0.75" bottom="0.75" header="0.3" footer="0.3"/>
  <pageSetup paperSize="9" scale="5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902017" r:id="rId4" name="Button 1">
              <controlPr defaultSize="0" print="0" autoFill="0" autoPict="0" macro="[0]!Nouveauformulaireaction_insert">
                <anchor moveWithCells="1">
                  <from>
                    <xdr:col>4</xdr:col>
                    <xdr:colOff>480060</xdr:colOff>
                    <xdr:row>0</xdr:row>
                    <xdr:rowOff>175260</xdr:rowOff>
                  </from>
                  <to>
                    <xdr:col>5</xdr:col>
                    <xdr:colOff>1112520</xdr:colOff>
                    <xdr:row>1</xdr:row>
                    <xdr:rowOff>30480</xdr:rowOff>
                  </to>
                </anchor>
              </controlPr>
            </control>
          </mc:Choice>
        </mc:AlternateContent>
        <mc:AlternateContent xmlns:mc="http://schemas.openxmlformats.org/markup-compatibility/2006">
          <mc:Choice Requires="x14">
            <control shapeId="50902018" r:id="rId5" name="Button 2">
              <controlPr defaultSize="0" print="0" autoFill="0" autoPict="0" macro="[0]!ImportBP">
                <anchor moveWithCells="1">
                  <from>
                    <xdr:col>9</xdr:col>
                    <xdr:colOff>60960</xdr:colOff>
                    <xdr:row>6</xdr:row>
                    <xdr:rowOff>106680</xdr:rowOff>
                  </from>
                  <to>
                    <xdr:col>10</xdr:col>
                    <xdr:colOff>7620</xdr:colOff>
                    <xdr:row>7</xdr:row>
                    <xdr:rowOff>312420</xdr:rowOff>
                  </to>
                </anchor>
              </controlPr>
            </control>
          </mc:Choice>
        </mc:AlternateContent>
        <mc:AlternateContent xmlns:mc="http://schemas.openxmlformats.org/markup-compatibility/2006">
          <mc:Choice Requires="x14">
            <control shapeId="50902021" r:id="rId6" name="Button 5">
              <controlPr defaultSize="0" print="0" autoFill="0" autoPict="0" macro="[0]!Supprimerformulaire">
                <anchor moveWithCells="1">
                  <from>
                    <xdr:col>8</xdr:col>
                    <xdr:colOff>2118360</xdr:colOff>
                    <xdr:row>0</xdr:row>
                    <xdr:rowOff>190500</xdr:rowOff>
                  </from>
                  <to>
                    <xdr:col>11</xdr:col>
                    <xdr:colOff>0</xdr:colOff>
                    <xdr:row>1</xdr:row>
                    <xdr:rowOff>60960</xdr:rowOff>
                  </to>
                </anchor>
              </controlPr>
            </control>
          </mc:Choice>
        </mc:AlternateContent>
        <mc:AlternateContent xmlns:mc="http://schemas.openxmlformats.org/markup-compatibility/2006">
          <mc:Choice Requires="x14">
            <control shapeId="50902022" r:id="rId7" name="Button 6">
              <controlPr defaultSize="0" print="0" autoFill="0" autoPict="0" macro="[0]!scrolldown">
                <anchor moveWithCells="1">
                  <from>
                    <xdr:col>4</xdr:col>
                    <xdr:colOff>342900</xdr:colOff>
                    <xdr:row>6</xdr:row>
                    <xdr:rowOff>144780</xdr:rowOff>
                  </from>
                  <to>
                    <xdr:col>5</xdr:col>
                    <xdr:colOff>1150620</xdr:colOff>
                    <xdr:row>7</xdr:row>
                    <xdr:rowOff>381000</xdr:rowOff>
                  </to>
                </anchor>
              </controlPr>
            </control>
          </mc:Choice>
        </mc:AlternateContent>
        <mc:AlternateContent xmlns:mc="http://schemas.openxmlformats.org/markup-compatibility/2006">
          <mc:Choice Requires="x14">
            <control shapeId="50902023" r:id="rId8" name="Button 7">
              <controlPr defaultSize="0" print="0" autoFill="0" autoPict="0" macro="[0]!scrollup1">
                <anchor moveWithCells="1">
                  <from>
                    <xdr:col>2</xdr:col>
                    <xdr:colOff>876300</xdr:colOff>
                    <xdr:row>49</xdr:row>
                    <xdr:rowOff>121920</xdr:rowOff>
                  </from>
                  <to>
                    <xdr:col>4</xdr:col>
                    <xdr:colOff>914400</xdr:colOff>
                    <xdr:row>51</xdr:row>
                    <xdr:rowOff>106680</xdr:rowOff>
                  </to>
                </anchor>
              </controlPr>
            </control>
          </mc:Choice>
        </mc:AlternateContent>
        <mc:AlternateContent xmlns:mc="http://schemas.openxmlformats.org/markup-compatibility/2006">
          <mc:Choice Requires="x14">
            <control shapeId="50902024" r:id="rId9" name="Button 8">
              <controlPr defaultSize="0" print="0" autoFill="0" autoPict="0" macro="[0]!scrollup3">
                <anchor moveWithCells="1">
                  <from>
                    <xdr:col>2</xdr:col>
                    <xdr:colOff>746760</xdr:colOff>
                    <xdr:row>91</xdr:row>
                    <xdr:rowOff>106680</xdr:rowOff>
                  </from>
                  <to>
                    <xdr:col>4</xdr:col>
                    <xdr:colOff>784860</xdr:colOff>
                    <xdr:row>93</xdr:row>
                    <xdr:rowOff>76200</xdr:rowOff>
                  </to>
                </anchor>
              </controlPr>
            </control>
          </mc:Choice>
        </mc:AlternateContent>
        <mc:AlternateContent xmlns:mc="http://schemas.openxmlformats.org/markup-compatibility/2006">
          <mc:Choice Requires="x14">
            <control shapeId="50902025" r:id="rId10" name="Button 9">
              <controlPr defaultSize="0" print="0" autoFill="0" autoPict="0" macro="[0]!scrollup2">
                <anchor moveWithCells="1">
                  <from>
                    <xdr:col>2</xdr:col>
                    <xdr:colOff>800100</xdr:colOff>
                    <xdr:row>70</xdr:row>
                    <xdr:rowOff>121920</xdr:rowOff>
                  </from>
                  <to>
                    <xdr:col>4</xdr:col>
                    <xdr:colOff>838200</xdr:colOff>
                    <xdr:row>72</xdr:row>
                    <xdr:rowOff>99060</xdr:rowOff>
                  </to>
                </anchor>
              </controlPr>
            </control>
          </mc:Choice>
        </mc:AlternateContent>
        <mc:AlternateContent xmlns:mc="http://schemas.openxmlformats.org/markup-compatibility/2006">
          <mc:Choice Requires="x14">
            <control shapeId="50902026" r:id="rId11" name="Button 10">
              <controlPr defaultSize="0" print="0" autoFill="0" autoPict="0" macro="[0]!Reset_action">
                <anchor moveWithCells="1">
                  <from>
                    <xdr:col>5</xdr:col>
                    <xdr:colOff>1257300</xdr:colOff>
                    <xdr:row>0</xdr:row>
                    <xdr:rowOff>175260</xdr:rowOff>
                  </from>
                  <to>
                    <xdr:col>6</xdr:col>
                    <xdr:colOff>868680</xdr:colOff>
                    <xdr:row>1</xdr:row>
                    <xdr:rowOff>22860</xdr:rowOff>
                  </to>
                </anchor>
              </controlPr>
            </control>
          </mc:Choice>
        </mc:AlternateContent>
        <mc:AlternateContent xmlns:mc="http://schemas.openxmlformats.org/markup-compatibility/2006">
          <mc:Choice Requires="x14">
            <control shapeId="50902028" r:id="rId12" name="Option Button 12">
              <controlPr defaultSize="0" autoFill="0" autoLine="0" autoPict="0">
                <anchor moveWithCells="1">
                  <from>
                    <xdr:col>4</xdr:col>
                    <xdr:colOff>1242060</xdr:colOff>
                    <xdr:row>1</xdr:row>
                    <xdr:rowOff>99060</xdr:rowOff>
                  </from>
                  <to>
                    <xdr:col>5</xdr:col>
                    <xdr:colOff>0</xdr:colOff>
                    <xdr:row>1</xdr:row>
                    <xdr:rowOff>312420</xdr:rowOff>
                  </to>
                </anchor>
              </controlPr>
            </control>
          </mc:Choice>
        </mc:AlternateContent>
        <mc:AlternateContent xmlns:mc="http://schemas.openxmlformats.org/markup-compatibility/2006">
          <mc:Choice Requires="x14">
            <control shapeId="50902029" r:id="rId13" name="Option Button 13">
              <controlPr defaultSize="0" autoFill="0" autoLine="0" autoPict="0">
                <anchor moveWithCells="1">
                  <from>
                    <xdr:col>4</xdr:col>
                    <xdr:colOff>1242060</xdr:colOff>
                    <xdr:row>2</xdr:row>
                    <xdr:rowOff>0</xdr:rowOff>
                  </from>
                  <to>
                    <xdr:col>5</xdr:col>
                    <xdr:colOff>0</xdr:colOff>
                    <xdr:row>2</xdr:row>
                    <xdr:rowOff>213360</xdr:rowOff>
                  </to>
                </anchor>
              </controlPr>
            </control>
          </mc:Choice>
        </mc:AlternateContent>
        <mc:AlternateContent xmlns:mc="http://schemas.openxmlformats.org/markup-compatibility/2006">
          <mc:Choice Requires="x14">
            <control shapeId="50902031" r:id="rId14" name="Check Box 15">
              <controlPr locked="0" defaultSize="0" autoFill="0" autoLine="0" autoPict="0">
                <anchor>
                  <from>
                    <xdr:col>4</xdr:col>
                    <xdr:colOff>1249680</xdr:colOff>
                    <xdr:row>2</xdr:row>
                    <xdr:rowOff>220980</xdr:rowOff>
                  </from>
                  <to>
                    <xdr:col>5</xdr:col>
                    <xdr:colOff>7620</xdr:colOff>
                    <xdr:row>2</xdr:row>
                    <xdr:rowOff>441960</xdr:rowOff>
                  </to>
                </anchor>
              </controlPr>
            </control>
          </mc:Choice>
        </mc:AlternateContent>
        <mc:AlternateContent xmlns:mc="http://schemas.openxmlformats.org/markup-compatibility/2006">
          <mc:Choice Requires="x14">
            <control shapeId="50902032" r:id="rId15" name="Check Box 16">
              <controlPr locked="0" defaultSize="0" autoFill="0" autoLine="0" autoPict="0">
                <anchor>
                  <from>
                    <xdr:col>1</xdr:col>
                    <xdr:colOff>175260</xdr:colOff>
                    <xdr:row>2</xdr:row>
                    <xdr:rowOff>213360</xdr:rowOff>
                  </from>
                  <to>
                    <xdr:col>1</xdr:col>
                    <xdr:colOff>457200</xdr:colOff>
                    <xdr:row>2</xdr:row>
                    <xdr:rowOff>441960</xdr:rowOff>
                  </to>
                </anchor>
              </controlPr>
            </control>
          </mc:Choice>
        </mc:AlternateContent>
        <mc:AlternateContent xmlns:mc="http://schemas.openxmlformats.org/markup-compatibility/2006">
          <mc:Choice Requires="x14">
            <control shapeId="50902034" r:id="rId16" name="Check Box 18">
              <controlPr locked="0" defaultSize="0" autoFill="0" autoLine="0" autoPict="0">
                <anchor moveWithCells="1">
                  <from>
                    <xdr:col>3</xdr:col>
                    <xdr:colOff>114300</xdr:colOff>
                    <xdr:row>2</xdr:row>
                    <xdr:rowOff>213360</xdr:rowOff>
                  </from>
                  <to>
                    <xdr:col>3</xdr:col>
                    <xdr:colOff>411480</xdr:colOff>
                    <xdr:row>2</xdr:row>
                    <xdr:rowOff>441960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2"/>
  <dimension ref="A1:AE119"/>
  <sheetViews>
    <sheetView topLeftCell="L1" workbookViewId="0">
      <selection activeCell="L4" sqref="L4"/>
    </sheetView>
  </sheetViews>
  <sheetFormatPr baseColWidth="10" defaultColWidth="9.109375" defaultRowHeight="13.2"/>
  <cols>
    <col min="1" max="1" width="5.44140625" style="13" customWidth="1"/>
    <col min="2" max="2" width="58.88671875" style="12" bestFit="1" customWidth="1"/>
    <col min="3" max="6" width="11.44140625" style="12" customWidth="1"/>
    <col min="7" max="7" width="15.44140625" style="12" customWidth="1"/>
    <col min="8" max="8" width="18.88671875" style="13" customWidth="1"/>
    <col min="9" max="9" width="38.5546875" style="12" bestFit="1" customWidth="1"/>
    <col min="10" max="13" width="11.44140625" style="12" customWidth="1"/>
    <col min="14" max="14" width="25.5546875" style="12" customWidth="1"/>
    <col min="15" max="15" width="4" style="12" customWidth="1"/>
    <col min="16" max="16" width="11.44140625" style="12" customWidth="1"/>
    <col min="17" max="18" width="54.44140625" style="12" customWidth="1"/>
    <col min="19" max="19" width="10.44140625" style="13" customWidth="1"/>
    <col min="20" max="23" width="11.44140625" style="12" customWidth="1"/>
    <col min="24" max="24" width="46.44140625" style="12" customWidth="1"/>
    <col min="25" max="26" width="23.44140625" style="12" bestFit="1" customWidth="1"/>
    <col min="27" max="16384" width="9.109375" style="12"/>
  </cols>
  <sheetData>
    <row r="1" spans="1:31" s="8" customFormat="1" ht="40.5" customHeight="1">
      <c r="A1" s="2115" t="s">
        <v>752</v>
      </c>
      <c r="B1" s="2115"/>
      <c r="C1" s="2115"/>
      <c r="D1" s="2115"/>
      <c r="E1" s="2115"/>
      <c r="F1" s="2115"/>
      <c r="G1" s="2115"/>
      <c r="H1" s="2115"/>
      <c r="I1" s="2115"/>
      <c r="J1" s="2115"/>
      <c r="K1" s="2115"/>
      <c r="L1" s="2115"/>
      <c r="M1" s="2115"/>
      <c r="N1" s="2115"/>
      <c r="O1" s="2115"/>
      <c r="P1" s="2115"/>
      <c r="Q1" s="192"/>
      <c r="R1" s="192"/>
      <c r="S1" s="192"/>
    </row>
    <row r="2" spans="1:31" s="9" customFormat="1" ht="18.75" customHeight="1">
      <c r="A2" s="293"/>
      <c r="B2" s="294"/>
      <c r="C2" s="294"/>
      <c r="D2" s="294"/>
      <c r="E2" s="294"/>
      <c r="F2" s="294"/>
      <c r="G2" s="294"/>
      <c r="H2" s="294"/>
      <c r="I2" s="294"/>
      <c r="J2" s="294"/>
      <c r="K2" s="294"/>
      <c r="L2" s="294"/>
      <c r="M2" s="294"/>
      <c r="N2" s="294"/>
      <c r="O2" s="294"/>
      <c r="P2" s="294"/>
      <c r="Q2" s="294"/>
      <c r="R2" s="294"/>
      <c r="S2" s="294"/>
      <c r="T2" s="295"/>
      <c r="U2" s="295"/>
      <c r="V2" s="295"/>
      <c r="W2" s="295"/>
      <c r="X2" s="295"/>
      <c r="Y2" s="295"/>
      <c r="Z2" s="295"/>
      <c r="AA2" s="295"/>
      <c r="AB2" s="295"/>
      <c r="AC2" s="295"/>
      <c r="AD2" s="295"/>
      <c r="AE2" s="295"/>
    </row>
    <row r="3" spans="1:31" s="9" customFormat="1" ht="18.75" customHeight="1">
      <c r="A3" s="296"/>
      <c r="B3" s="294"/>
      <c r="C3" s="294"/>
      <c r="D3" s="294"/>
      <c r="E3" s="294"/>
      <c r="F3" s="294"/>
      <c r="G3" s="294"/>
      <c r="H3" s="294"/>
      <c r="I3" s="1247"/>
      <c r="J3" s="294"/>
      <c r="K3" s="294"/>
      <c r="L3" s="294"/>
      <c r="M3" s="294"/>
      <c r="N3" s="294"/>
      <c r="O3" s="294"/>
      <c r="P3" s="294"/>
      <c r="Q3" s="294"/>
      <c r="R3" s="294"/>
      <c r="S3" s="294"/>
      <c r="T3" s="295"/>
      <c r="U3" s="295"/>
      <c r="V3" s="295"/>
      <c r="W3" s="295"/>
      <c r="X3" s="295"/>
      <c r="Y3" s="295"/>
      <c r="Z3" s="295"/>
      <c r="AA3" s="295"/>
      <c r="AB3" s="295"/>
      <c r="AC3" s="295"/>
      <c r="AD3" s="295"/>
      <c r="AE3" s="295"/>
    </row>
    <row r="4" spans="1:31" s="10" customFormat="1" ht="21" customHeight="1">
      <c r="A4" s="193" t="s">
        <v>753</v>
      </c>
      <c r="B4" s="194" t="s">
        <v>754</v>
      </c>
      <c r="C4" s="194"/>
      <c r="D4" s="194"/>
      <c r="E4" s="194"/>
      <c r="F4" s="194"/>
      <c r="G4" s="194"/>
      <c r="H4" s="193" t="s">
        <v>755</v>
      </c>
      <c r="I4" s="194" t="s">
        <v>756</v>
      </c>
      <c r="J4" s="194"/>
      <c r="K4" s="194"/>
      <c r="L4" s="194"/>
      <c r="M4" s="194"/>
      <c r="N4" s="194"/>
      <c r="O4" s="194"/>
      <c r="P4" s="193" t="s">
        <v>757</v>
      </c>
      <c r="Q4" s="195" t="s">
        <v>758</v>
      </c>
      <c r="R4" s="195"/>
      <c r="S4" s="194" t="s">
        <v>759</v>
      </c>
      <c r="X4" s="10" t="s">
        <v>760</v>
      </c>
      <c r="Y4" s="10" t="s">
        <v>761</v>
      </c>
      <c r="AE4" s="10" t="s">
        <v>762</v>
      </c>
    </row>
    <row r="5" spans="1:31" s="11" customFormat="1" ht="13.5" customHeight="1">
      <c r="A5" s="297"/>
      <c r="B5" s="298"/>
      <c r="C5" s="299"/>
      <c r="D5" s="299"/>
      <c r="E5" s="299"/>
      <c r="F5" s="299"/>
      <c r="G5" s="299"/>
      <c r="H5" s="297"/>
      <c r="I5" s="298"/>
      <c r="J5" s="299"/>
      <c r="K5" s="299"/>
      <c r="L5" s="299"/>
      <c r="M5" s="299"/>
      <c r="N5" s="299"/>
      <c r="O5" s="299"/>
      <c r="P5" s="297"/>
      <c r="Q5" s="300"/>
      <c r="R5" s="300"/>
      <c r="S5" s="196" t="s">
        <v>763</v>
      </c>
      <c r="T5" s="301"/>
      <c r="U5" s="301"/>
      <c r="V5" s="301"/>
      <c r="W5" s="301"/>
      <c r="X5" s="1248" t="s">
        <v>764</v>
      </c>
      <c r="Y5" s="1340" t="s">
        <v>200</v>
      </c>
      <c r="Z5" s="301" t="s">
        <v>200</v>
      </c>
      <c r="AA5" s="301" t="s">
        <v>765</v>
      </c>
      <c r="AB5" s="302" t="s">
        <v>106</v>
      </c>
      <c r="AC5" s="301"/>
      <c r="AD5" s="301"/>
      <c r="AE5" s="302" t="s">
        <v>766</v>
      </c>
    </row>
    <row r="6" spans="1:31" ht="13.5" customHeight="1">
      <c r="A6" s="197" t="s">
        <v>767</v>
      </c>
      <c r="B6" s="198" t="s">
        <v>768</v>
      </c>
      <c r="C6" s="199"/>
      <c r="D6" s="199"/>
      <c r="E6" s="199"/>
      <c r="F6" s="199"/>
      <c r="G6" s="199"/>
      <c r="H6" s="197" t="s">
        <v>769</v>
      </c>
      <c r="I6" s="198" t="s">
        <v>770</v>
      </c>
      <c r="J6" s="199"/>
      <c r="K6" s="199"/>
      <c r="L6" s="199"/>
      <c r="M6" s="199"/>
      <c r="N6" s="199"/>
      <c r="O6" s="302"/>
      <c r="P6" s="303" t="s">
        <v>771</v>
      </c>
      <c r="Q6" s="302" t="s">
        <v>772</v>
      </c>
      <c r="R6" s="304" t="s">
        <v>3</v>
      </c>
      <c r="S6" s="305" t="s">
        <v>773</v>
      </c>
      <c r="T6" s="302"/>
      <c r="U6" s="302"/>
      <c r="V6" s="302"/>
      <c r="W6" s="302"/>
      <c r="X6" s="1249" t="s">
        <v>774</v>
      </c>
      <c r="Y6" s="1341" t="s">
        <v>199</v>
      </c>
      <c r="Z6" s="302" t="s">
        <v>199</v>
      </c>
      <c r="AA6" s="301" t="s">
        <v>765</v>
      </c>
      <c r="AB6" s="302"/>
      <c r="AC6" s="302"/>
      <c r="AD6" s="302"/>
      <c r="AE6" s="302" t="s">
        <v>775</v>
      </c>
    </row>
    <row r="7" spans="1:31" ht="13.5" customHeight="1">
      <c r="A7" s="306" t="s">
        <v>776</v>
      </c>
      <c r="B7" s="307" t="s">
        <v>777</v>
      </c>
      <c r="C7" s="304" t="s">
        <v>778</v>
      </c>
      <c r="D7" s="302"/>
      <c r="E7" s="302"/>
      <c r="F7" s="302"/>
      <c r="G7" s="302"/>
      <c r="H7" s="306" t="s">
        <v>779</v>
      </c>
      <c r="I7" s="308" t="s">
        <v>780</v>
      </c>
      <c r="J7" s="304" t="s">
        <v>781</v>
      </c>
      <c r="K7" s="302"/>
      <c r="L7" s="302"/>
      <c r="M7" s="302"/>
      <c r="N7" s="302"/>
      <c r="O7" s="302"/>
      <c r="P7" s="303" t="s">
        <v>782</v>
      </c>
      <c r="Q7" s="302" t="s">
        <v>783</v>
      </c>
      <c r="R7" s="304" t="s">
        <v>784</v>
      </c>
      <c r="S7" s="309"/>
      <c r="T7" s="302"/>
      <c r="U7" s="302"/>
      <c r="V7" s="302"/>
      <c r="W7" s="302"/>
      <c r="X7" s="1248" t="s">
        <v>785</v>
      </c>
      <c r="Y7" s="1341" t="s">
        <v>201</v>
      </c>
      <c r="Z7" s="302" t="s">
        <v>201</v>
      </c>
      <c r="AA7" s="301" t="s">
        <v>765</v>
      </c>
      <c r="AB7" s="302"/>
      <c r="AC7" s="302"/>
      <c r="AD7" s="302"/>
      <c r="AE7" s="301" t="s">
        <v>3</v>
      </c>
    </row>
    <row r="8" spans="1:31" ht="13.5" customHeight="1" thickBot="1">
      <c r="A8" s="306" t="s">
        <v>786</v>
      </c>
      <c r="B8" s="307" t="s">
        <v>787</v>
      </c>
      <c r="C8" s="304" t="s">
        <v>788</v>
      </c>
      <c r="D8" s="302"/>
      <c r="E8" s="302"/>
      <c r="F8" s="302"/>
      <c r="G8" s="302"/>
      <c r="H8" s="306" t="s">
        <v>789</v>
      </c>
      <c r="I8" s="308" t="s">
        <v>790</v>
      </c>
      <c r="J8" s="304" t="s">
        <v>791</v>
      </c>
      <c r="K8" s="302"/>
      <c r="L8" s="302"/>
      <c r="M8" s="302"/>
      <c r="N8" s="313"/>
      <c r="O8" s="302"/>
      <c r="P8" s="303" t="s">
        <v>792</v>
      </c>
      <c r="Q8" s="302" t="s">
        <v>793</v>
      </c>
      <c r="R8" s="304" t="s">
        <v>794</v>
      </c>
      <c r="S8" s="309"/>
      <c r="T8" s="302"/>
      <c r="U8" s="302"/>
      <c r="V8" s="302"/>
      <c r="W8" s="302"/>
      <c r="X8" s="1248" t="s">
        <v>795</v>
      </c>
      <c r="Y8" s="1340" t="s">
        <v>160</v>
      </c>
      <c r="Z8" s="302" t="s">
        <v>160</v>
      </c>
      <c r="AA8" s="301" t="s">
        <v>765</v>
      </c>
      <c r="AB8" s="302"/>
      <c r="AC8" s="302"/>
      <c r="AD8" s="302"/>
      <c r="AE8" s="302" t="s">
        <v>796</v>
      </c>
    </row>
    <row r="9" spans="1:31" ht="13.5" customHeight="1">
      <c r="A9" s="306" t="s">
        <v>797</v>
      </c>
      <c r="B9" s="307" t="s">
        <v>798</v>
      </c>
      <c r="C9" s="304" t="s">
        <v>799</v>
      </c>
      <c r="D9" s="302"/>
      <c r="E9" s="302"/>
      <c r="F9" s="302"/>
      <c r="G9" s="302"/>
      <c r="H9" s="306" t="s">
        <v>800</v>
      </c>
      <c r="I9" s="308" t="s">
        <v>801</v>
      </c>
      <c r="J9" s="304" t="s">
        <v>802</v>
      </c>
      <c r="K9" s="302"/>
      <c r="L9" s="302"/>
      <c r="M9" s="302"/>
      <c r="N9" s="313"/>
      <c r="O9" s="302"/>
      <c r="P9" s="303" t="s">
        <v>803</v>
      </c>
      <c r="Q9" s="302" t="s">
        <v>804</v>
      </c>
      <c r="R9" s="304" t="s">
        <v>805</v>
      </c>
      <c r="S9" s="309"/>
      <c r="T9" s="302"/>
      <c r="U9" s="302"/>
      <c r="V9" s="302"/>
      <c r="W9" s="302"/>
      <c r="X9" s="1249" t="s">
        <v>806</v>
      </c>
      <c r="Y9" s="1250" t="s">
        <v>807</v>
      </c>
      <c r="Z9" s="302" t="s">
        <v>198</v>
      </c>
      <c r="AA9" s="301" t="s">
        <v>765</v>
      </c>
      <c r="AB9" s="302"/>
      <c r="AC9" s="302"/>
      <c r="AD9" s="302"/>
      <c r="AE9" s="302" t="s">
        <v>808</v>
      </c>
    </row>
    <row r="10" spans="1:31" ht="13.5" customHeight="1">
      <c r="A10" s="306" t="s">
        <v>809</v>
      </c>
      <c r="B10" s="307" t="s">
        <v>810</v>
      </c>
      <c r="C10" s="304" t="s">
        <v>811</v>
      </c>
      <c r="D10" s="302"/>
      <c r="E10" s="302"/>
      <c r="F10" s="302"/>
      <c r="G10" s="302"/>
      <c r="H10" s="306" t="s">
        <v>812</v>
      </c>
      <c r="I10" s="308" t="s">
        <v>813</v>
      </c>
      <c r="J10" s="304" t="s">
        <v>814</v>
      </c>
      <c r="K10" s="302"/>
      <c r="L10" s="302"/>
      <c r="M10" s="302"/>
      <c r="N10" s="1251"/>
      <c r="O10" s="302"/>
      <c r="P10" s="302"/>
      <c r="Q10" s="302"/>
      <c r="R10" s="302"/>
      <c r="S10" s="309"/>
      <c r="T10" s="302"/>
      <c r="U10" s="302"/>
      <c r="V10" s="302"/>
      <c r="W10" s="302"/>
      <c r="X10" s="1249" t="s">
        <v>815</v>
      </c>
      <c r="Y10" s="1376" t="s">
        <v>203</v>
      </c>
      <c r="Z10" s="302" t="s">
        <v>203</v>
      </c>
      <c r="AA10" s="301" t="s">
        <v>765</v>
      </c>
      <c r="AB10" s="302"/>
      <c r="AC10" s="302"/>
      <c r="AD10" s="302"/>
      <c r="AE10" s="302" t="s">
        <v>816</v>
      </c>
    </row>
    <row r="11" spans="1:31" ht="13.5" customHeight="1" thickBot="1">
      <c r="A11" s="306" t="s">
        <v>817</v>
      </c>
      <c r="B11" s="307" t="s">
        <v>818</v>
      </c>
      <c r="C11" s="304" t="s">
        <v>819</v>
      </c>
      <c r="D11" s="302"/>
      <c r="E11" s="302"/>
      <c r="F11" s="302"/>
      <c r="G11" s="302"/>
      <c r="H11" s="306" t="s">
        <v>820</v>
      </c>
      <c r="I11" s="307" t="s">
        <v>821</v>
      </c>
      <c r="J11" s="304" t="s">
        <v>822</v>
      </c>
      <c r="K11" s="302"/>
      <c r="L11" s="302"/>
      <c r="M11" s="302"/>
      <c r="N11" s="302"/>
      <c r="O11" s="302"/>
      <c r="P11" s="302"/>
      <c r="Q11" s="302" t="s">
        <v>3</v>
      </c>
      <c r="R11" s="302" t="s">
        <v>772</v>
      </c>
      <c r="S11" s="309"/>
      <c r="T11" s="302"/>
      <c r="U11" s="302"/>
      <c r="V11" s="302"/>
      <c r="W11" s="302"/>
      <c r="X11" s="1249" t="s">
        <v>823</v>
      </c>
      <c r="Y11" s="1342" t="s">
        <v>209</v>
      </c>
      <c r="Z11" s="302" t="s">
        <v>824</v>
      </c>
      <c r="AA11" s="302" t="s">
        <v>825</v>
      </c>
      <c r="AB11" s="302"/>
      <c r="AC11" s="302"/>
      <c r="AD11" s="302"/>
      <c r="AE11" s="302" t="s">
        <v>826</v>
      </c>
    </row>
    <row r="12" spans="1:31" ht="13.5" customHeight="1" thickBot="1">
      <c r="A12" s="306" t="s">
        <v>827</v>
      </c>
      <c r="B12" s="307" t="s">
        <v>828</v>
      </c>
      <c r="C12" s="304" t="s">
        <v>829</v>
      </c>
      <c r="D12" s="302"/>
      <c r="E12" s="302"/>
      <c r="F12" s="302"/>
      <c r="G12" s="302"/>
      <c r="H12" s="306" t="s">
        <v>830</v>
      </c>
      <c r="I12" s="308" t="s">
        <v>831</v>
      </c>
      <c r="J12" s="304" t="s">
        <v>832</v>
      </c>
      <c r="K12" s="302"/>
      <c r="L12" s="302"/>
      <c r="M12" s="302"/>
      <c r="N12" s="302"/>
      <c r="O12" s="302"/>
      <c r="P12" s="302"/>
      <c r="Q12" s="302" t="s">
        <v>784</v>
      </c>
      <c r="R12" s="302" t="s">
        <v>783</v>
      </c>
      <c r="S12" s="309"/>
      <c r="T12" s="302"/>
      <c r="U12" s="302"/>
      <c r="V12" s="302"/>
      <c r="W12" s="302"/>
      <c r="X12" s="1249" t="s">
        <v>833</v>
      </c>
      <c r="Y12" s="1342" t="s">
        <v>209</v>
      </c>
      <c r="Z12" s="302" t="s">
        <v>834</v>
      </c>
      <c r="AA12" s="302" t="s">
        <v>825</v>
      </c>
      <c r="AB12" s="302"/>
      <c r="AC12" s="302"/>
      <c r="AD12" s="302"/>
      <c r="AE12" s="302" t="s">
        <v>835</v>
      </c>
    </row>
    <row r="13" spans="1:31" ht="13.5" customHeight="1">
      <c r="A13" s="306" t="s">
        <v>836</v>
      </c>
      <c r="B13" s="307" t="s">
        <v>837</v>
      </c>
      <c r="C13" s="304" t="s">
        <v>838</v>
      </c>
      <c r="D13" s="302"/>
      <c r="E13" s="302"/>
      <c r="F13" s="302"/>
      <c r="G13" s="302"/>
      <c r="H13" s="306" t="s">
        <v>839</v>
      </c>
      <c r="I13" s="307" t="s">
        <v>840</v>
      </c>
      <c r="J13" s="304" t="s">
        <v>841</v>
      </c>
      <c r="K13" s="302"/>
      <c r="L13" s="302"/>
      <c r="M13" s="302"/>
      <c r="N13" s="302"/>
      <c r="O13" s="302"/>
      <c r="P13" s="302"/>
      <c r="Q13" s="302" t="s">
        <v>794</v>
      </c>
      <c r="R13" s="302" t="s">
        <v>793</v>
      </c>
      <c r="S13" s="309"/>
      <c r="T13" s="302"/>
      <c r="U13" s="302"/>
      <c r="V13" s="302"/>
      <c r="W13" s="302"/>
      <c r="X13" s="1249" t="s">
        <v>842</v>
      </c>
      <c r="Y13" s="1341" t="s">
        <v>202</v>
      </c>
      <c r="Z13" s="302" t="s">
        <v>202</v>
      </c>
      <c r="AA13" s="302" t="s">
        <v>765</v>
      </c>
      <c r="AB13" s="302"/>
      <c r="AC13" s="302"/>
      <c r="AD13" s="302"/>
      <c r="AE13" s="302" t="s">
        <v>843</v>
      </c>
    </row>
    <row r="14" spans="1:31" ht="13.5" customHeight="1">
      <c r="A14" s="306" t="s">
        <v>844</v>
      </c>
      <c r="B14" s="307" t="s">
        <v>845</v>
      </c>
      <c r="C14" s="304" t="s">
        <v>846</v>
      </c>
      <c r="D14" s="302"/>
      <c r="E14" s="302"/>
      <c r="F14" s="302"/>
      <c r="G14" s="302"/>
      <c r="H14" s="306" t="s">
        <v>847</v>
      </c>
      <c r="I14" s="308" t="s">
        <v>848</v>
      </c>
      <c r="J14" s="304" t="s">
        <v>849</v>
      </c>
      <c r="K14" s="302"/>
      <c r="L14" s="302"/>
      <c r="M14" s="302"/>
      <c r="N14" s="302"/>
      <c r="O14" s="302"/>
      <c r="P14" s="302"/>
      <c r="Q14" s="302" t="s">
        <v>805</v>
      </c>
      <c r="R14" s="302" t="s">
        <v>804</v>
      </c>
      <c r="S14" s="306"/>
      <c r="T14" s="302"/>
      <c r="U14" s="302"/>
      <c r="V14" s="302"/>
      <c r="W14" s="302"/>
      <c r="X14" s="1249" t="s">
        <v>815</v>
      </c>
      <c r="Y14" s="1340" t="s">
        <v>297</v>
      </c>
      <c r="Z14" s="302" t="s">
        <v>297</v>
      </c>
      <c r="AA14" s="302" t="s">
        <v>765</v>
      </c>
      <c r="AB14" s="302"/>
      <c r="AC14" s="302"/>
      <c r="AD14" s="302"/>
      <c r="AE14" s="302" t="s">
        <v>850</v>
      </c>
    </row>
    <row r="15" spans="1:31" ht="13.5" customHeight="1">
      <c r="A15" s="306" t="s">
        <v>851</v>
      </c>
      <c r="B15" s="307" t="s">
        <v>852</v>
      </c>
      <c r="C15" s="304" t="s">
        <v>853</v>
      </c>
      <c r="D15" s="302"/>
      <c r="E15" s="302"/>
      <c r="F15" s="302"/>
      <c r="G15" s="302"/>
      <c r="H15" s="306" t="s">
        <v>854</v>
      </c>
      <c r="I15" s="307" t="s">
        <v>855</v>
      </c>
      <c r="J15" s="304" t="s">
        <v>856</v>
      </c>
      <c r="K15" s="302"/>
      <c r="L15" s="302"/>
      <c r="M15" s="302"/>
      <c r="N15" s="302"/>
      <c r="O15" s="302"/>
      <c r="P15" s="302"/>
      <c r="Q15" s="302"/>
      <c r="R15" s="302"/>
      <c r="S15" s="306"/>
      <c r="T15" s="302"/>
      <c r="U15" s="302"/>
      <c r="V15" s="302"/>
      <c r="W15" s="302"/>
      <c r="X15" s="1249" t="s">
        <v>842</v>
      </c>
      <c r="Y15" s="302"/>
      <c r="Z15" s="302" t="s">
        <v>857</v>
      </c>
      <c r="AA15" s="302" t="s">
        <v>825</v>
      </c>
      <c r="AB15" s="302"/>
      <c r="AC15" s="302"/>
      <c r="AD15" s="302"/>
      <c r="AE15" s="302" t="s">
        <v>858</v>
      </c>
    </row>
    <row r="16" spans="1:31" ht="13.5" customHeight="1">
      <c r="A16" s="306"/>
      <c r="B16" s="302"/>
      <c r="C16" s="302"/>
      <c r="D16" s="302"/>
      <c r="E16" s="302"/>
      <c r="F16" s="302"/>
      <c r="G16" s="302"/>
      <c r="H16" s="306" t="s">
        <v>859</v>
      </c>
      <c r="I16" s="308" t="s">
        <v>860</v>
      </c>
      <c r="J16" s="304" t="s">
        <v>861</v>
      </c>
      <c r="K16" s="302"/>
      <c r="L16" s="302"/>
      <c r="M16" s="302"/>
      <c r="N16" s="302"/>
      <c r="O16" s="302"/>
      <c r="P16" s="302"/>
      <c r="Q16" s="302"/>
      <c r="R16" s="302"/>
      <c r="S16" s="306"/>
      <c r="T16" s="302"/>
      <c r="U16" s="302"/>
      <c r="V16" s="302"/>
      <c r="W16" s="302"/>
      <c r="X16" s="302"/>
      <c r="Y16" s="302"/>
      <c r="Z16" s="302" t="str">
        <f>'Données territoriales'!F6</f>
        <v>Gestion des déchets</v>
      </c>
      <c r="AA16" s="302"/>
      <c r="AB16" s="302"/>
      <c r="AC16" s="302"/>
      <c r="AD16" s="302"/>
      <c r="AE16" s="302" t="s">
        <v>853</v>
      </c>
    </row>
    <row r="17" spans="1:31" ht="13.5" customHeight="1">
      <c r="A17" s="306"/>
      <c r="B17" s="302"/>
      <c r="C17" s="302"/>
      <c r="D17" s="302"/>
      <c r="E17" s="302"/>
      <c r="F17" s="302"/>
      <c r="G17" s="302"/>
      <c r="H17" s="306" t="s">
        <v>862</v>
      </c>
      <c r="I17" s="308" t="s">
        <v>863</v>
      </c>
      <c r="J17" s="304" t="s">
        <v>864</v>
      </c>
      <c r="K17" s="302"/>
      <c r="L17" s="302"/>
      <c r="M17" s="302"/>
      <c r="N17" s="313"/>
      <c r="O17" s="302"/>
      <c r="P17" s="302"/>
      <c r="Q17" s="302"/>
      <c r="R17" s="302"/>
      <c r="S17" s="306"/>
      <c r="T17" s="302"/>
      <c r="U17" s="302"/>
      <c r="V17" s="302"/>
      <c r="W17" s="302"/>
      <c r="X17" s="302"/>
      <c r="Y17" s="302"/>
      <c r="Z17" s="302" t="str">
        <f>'Données territoriales'!F7</f>
        <v>Traitement des eaux usées</v>
      </c>
      <c r="AA17" s="302"/>
      <c r="AB17" s="302"/>
      <c r="AC17" s="302"/>
      <c r="AD17" s="302"/>
      <c r="AE17" s="302"/>
    </row>
    <row r="18" spans="1:31" ht="13.5" customHeight="1">
      <c r="A18" s="306"/>
      <c r="B18" s="302"/>
      <c r="C18" s="302"/>
      <c r="D18" s="302"/>
      <c r="E18" s="302"/>
      <c r="F18" s="302"/>
      <c r="G18" s="302"/>
      <c r="H18" s="306" t="s">
        <v>865</v>
      </c>
      <c r="I18" s="308" t="s">
        <v>852</v>
      </c>
      <c r="J18" s="304" t="s">
        <v>853</v>
      </c>
      <c r="K18" s="302"/>
      <c r="L18" s="302"/>
      <c r="M18" s="302"/>
      <c r="N18" s="302"/>
      <c r="O18" s="302"/>
      <c r="P18" s="302"/>
      <c r="Q18" s="302"/>
      <c r="R18" s="302"/>
      <c r="S18" s="306"/>
      <c r="T18" s="302"/>
      <c r="U18" s="302"/>
      <c r="V18" s="302"/>
      <c r="W18" s="302"/>
      <c r="X18" s="302"/>
      <c r="Y18" s="302"/>
      <c r="Z18" s="302" t="str">
        <f>'Données territoriales'!F8</f>
        <v>Autres non-énergétiques</v>
      </c>
      <c r="AA18" s="302"/>
      <c r="AB18" s="302"/>
      <c r="AC18" s="302"/>
      <c r="AD18" s="302"/>
      <c r="AE18" s="302"/>
    </row>
    <row r="19" spans="1:31" ht="13.5" customHeight="1">
      <c r="A19" s="306"/>
      <c r="B19" s="302"/>
      <c r="C19" s="302"/>
      <c r="D19" s="302"/>
      <c r="E19" s="302"/>
      <c r="F19" s="302"/>
      <c r="G19" s="302"/>
      <c r="H19" s="306"/>
      <c r="I19" s="302"/>
      <c r="J19" s="302"/>
      <c r="K19" s="302"/>
      <c r="L19" s="302"/>
      <c r="M19" s="302"/>
      <c r="N19" s="302"/>
      <c r="O19" s="302"/>
      <c r="P19" s="302"/>
      <c r="Q19" s="302"/>
      <c r="R19" s="302"/>
      <c r="S19" s="306"/>
      <c r="T19" s="302"/>
      <c r="U19" s="302"/>
      <c r="V19" s="302"/>
      <c r="W19" s="302"/>
      <c r="X19" s="302"/>
      <c r="Y19" s="302"/>
      <c r="Z19" s="302" t="s">
        <v>866</v>
      </c>
      <c r="AA19" s="302"/>
      <c r="AB19" s="302"/>
      <c r="AC19" s="302"/>
      <c r="AD19" s="302"/>
      <c r="AE19" s="302"/>
    </row>
    <row r="20" spans="1:31" ht="13.5" customHeight="1" thickBot="1">
      <c r="A20" s="197" t="s">
        <v>867</v>
      </c>
      <c r="B20" s="200" t="s">
        <v>868</v>
      </c>
      <c r="C20" s="199"/>
      <c r="D20" s="199"/>
      <c r="E20" s="199"/>
      <c r="F20" s="199"/>
      <c r="G20" s="199"/>
      <c r="H20" s="197" t="s">
        <v>869</v>
      </c>
      <c r="I20" s="200" t="s">
        <v>868</v>
      </c>
      <c r="J20" s="199"/>
      <c r="K20" s="199"/>
      <c r="L20" s="199"/>
      <c r="M20" s="199"/>
      <c r="N20" s="199"/>
      <c r="O20" s="302"/>
      <c r="P20" s="302"/>
      <c r="Q20" s="302"/>
      <c r="R20" s="302"/>
      <c r="S20" s="306"/>
      <c r="T20" s="302"/>
      <c r="U20" s="302"/>
      <c r="V20" s="302"/>
      <c r="W20" s="302"/>
      <c r="X20" s="860" t="s">
        <v>213</v>
      </c>
      <c r="Y20" s="302" t="s">
        <v>824</v>
      </c>
      <c r="Z20" s="302" t="s">
        <v>870</v>
      </c>
      <c r="AA20" s="302"/>
      <c r="AB20" s="302"/>
      <c r="AC20" s="302"/>
      <c r="AD20" s="302"/>
      <c r="AE20" s="302"/>
    </row>
    <row r="21" spans="1:31" ht="13.5" customHeight="1" thickBot="1">
      <c r="A21" s="310" t="s">
        <v>871</v>
      </c>
      <c r="B21" s="311" t="s">
        <v>872</v>
      </c>
      <c r="C21" s="304" t="s">
        <v>873</v>
      </c>
      <c r="D21" s="302"/>
      <c r="E21" s="302"/>
      <c r="F21" s="302"/>
      <c r="G21" s="302"/>
      <c r="H21" s="306" t="s">
        <v>874</v>
      </c>
      <c r="I21" s="308" t="s">
        <v>790</v>
      </c>
      <c r="J21" s="304" t="s">
        <v>875</v>
      </c>
      <c r="K21" s="302"/>
      <c r="L21" s="302"/>
      <c r="M21" s="302"/>
      <c r="N21" s="302"/>
      <c r="O21" s="302"/>
      <c r="P21" s="302"/>
      <c r="Q21" s="302"/>
      <c r="R21" s="302"/>
      <c r="S21" s="306"/>
      <c r="T21" s="302"/>
      <c r="U21" s="302"/>
      <c r="V21" s="302"/>
      <c r="W21" s="302"/>
      <c r="X21" s="1252" t="s">
        <v>316</v>
      </c>
      <c r="Y21" s="302" t="s">
        <v>824</v>
      </c>
      <c r="Z21" s="302" t="s">
        <v>876</v>
      </c>
      <c r="AA21" s="302"/>
      <c r="AB21" s="302"/>
      <c r="AC21" s="302"/>
      <c r="AD21" s="302"/>
      <c r="AE21" s="302"/>
    </row>
    <row r="22" spans="1:31" ht="13.5" customHeight="1" thickBot="1">
      <c r="A22" s="310" t="s">
        <v>877</v>
      </c>
      <c r="B22" s="311" t="s">
        <v>878</v>
      </c>
      <c r="C22" s="304" t="s">
        <v>879</v>
      </c>
      <c r="D22" s="302"/>
      <c r="E22" s="302"/>
      <c r="F22" s="302"/>
      <c r="G22" s="302"/>
      <c r="H22" s="306" t="s">
        <v>880</v>
      </c>
      <c r="I22" s="308" t="s">
        <v>813</v>
      </c>
      <c r="J22" s="304" t="s">
        <v>814</v>
      </c>
      <c r="K22" s="302"/>
      <c r="L22" s="302"/>
      <c r="M22" s="302"/>
      <c r="N22" s="302"/>
      <c r="O22" s="302"/>
      <c r="P22" s="302"/>
      <c r="Q22" s="302"/>
      <c r="R22" s="302"/>
      <c r="S22" s="306"/>
      <c r="T22" s="302"/>
      <c r="U22" s="302"/>
      <c r="V22" s="302"/>
      <c r="W22" s="302"/>
      <c r="X22" s="1252" t="s">
        <v>154</v>
      </c>
      <c r="Y22" s="302" t="s">
        <v>834</v>
      </c>
      <c r="Z22" s="302" t="s">
        <v>881</v>
      </c>
      <c r="AA22" s="302"/>
      <c r="AB22" s="302"/>
      <c r="AC22" s="302"/>
      <c r="AD22" s="302"/>
      <c r="AE22" s="302"/>
    </row>
    <row r="23" spans="1:31" ht="13.5" customHeight="1" thickBot="1">
      <c r="A23" s="310" t="s">
        <v>882</v>
      </c>
      <c r="B23" s="307" t="s">
        <v>837</v>
      </c>
      <c r="C23" s="304" t="s">
        <v>838</v>
      </c>
      <c r="D23" s="302"/>
      <c r="E23" s="302"/>
      <c r="F23" s="302"/>
      <c r="G23" s="302"/>
      <c r="H23" s="306" t="s">
        <v>883</v>
      </c>
      <c r="I23" s="307" t="s">
        <v>840</v>
      </c>
      <c r="J23" s="304" t="s">
        <v>841</v>
      </c>
      <c r="K23" s="302"/>
      <c r="L23" s="302"/>
      <c r="M23" s="302"/>
      <c r="N23" s="302"/>
      <c r="O23" s="302"/>
      <c r="P23" s="302"/>
      <c r="Q23" s="302"/>
      <c r="R23" s="302"/>
      <c r="S23" s="306"/>
      <c r="T23" s="302"/>
      <c r="U23" s="302"/>
      <c r="V23" s="302"/>
      <c r="W23" s="302"/>
      <c r="X23" s="1252" t="s">
        <v>319</v>
      </c>
      <c r="Y23" s="302" t="s">
        <v>857</v>
      </c>
      <c r="Z23" s="302" t="s">
        <v>884</v>
      </c>
      <c r="AA23" s="302"/>
      <c r="AB23" s="302"/>
      <c r="AC23" s="302"/>
      <c r="AD23" s="302"/>
      <c r="AE23" s="302"/>
    </row>
    <row r="24" spans="1:31" ht="13.5" customHeight="1">
      <c r="A24" s="310" t="s">
        <v>885</v>
      </c>
      <c r="B24" s="311" t="s">
        <v>852</v>
      </c>
      <c r="C24" s="304" t="s">
        <v>853</v>
      </c>
      <c r="D24" s="302"/>
      <c r="E24" s="302"/>
      <c r="F24" s="302"/>
      <c r="G24" s="302"/>
      <c r="H24" s="306" t="s">
        <v>886</v>
      </c>
      <c r="I24" s="308" t="s">
        <v>848</v>
      </c>
      <c r="J24" s="304" t="s">
        <v>849</v>
      </c>
      <c r="K24" s="302"/>
      <c r="L24" s="302"/>
      <c r="M24" s="302"/>
      <c r="N24" s="302"/>
      <c r="O24" s="302"/>
      <c r="P24" s="302"/>
      <c r="Q24" s="302"/>
      <c r="R24" s="302"/>
      <c r="S24" s="306"/>
      <c r="T24" s="302"/>
      <c r="U24" s="302"/>
      <c r="V24" s="302"/>
      <c r="W24" s="302"/>
      <c r="X24" s="1253" t="s">
        <v>323</v>
      </c>
      <c r="Y24" s="302" t="s">
        <v>824</v>
      </c>
      <c r="Z24" s="302" t="s">
        <v>887</v>
      </c>
      <c r="AA24" s="302"/>
      <c r="AB24" s="302"/>
      <c r="AC24" s="302"/>
      <c r="AD24" s="302"/>
      <c r="AE24" s="302"/>
    </row>
    <row r="25" spans="1:31" ht="13.5" customHeight="1">
      <c r="A25" s="302"/>
      <c r="B25" s="302"/>
      <c r="C25" s="302"/>
      <c r="D25" s="302"/>
      <c r="E25" s="302"/>
      <c r="F25" s="302"/>
      <c r="G25" s="302"/>
      <c r="H25" s="306" t="s">
        <v>888</v>
      </c>
      <c r="I25" s="308" t="s">
        <v>863</v>
      </c>
      <c r="J25" s="304" t="s">
        <v>864</v>
      </c>
      <c r="K25" s="302"/>
      <c r="L25" s="302"/>
      <c r="M25" s="302"/>
      <c r="N25" s="302"/>
      <c r="O25" s="302"/>
      <c r="P25" s="302"/>
      <c r="Q25" s="302"/>
      <c r="R25" s="302"/>
      <c r="S25" s="306"/>
      <c r="T25" s="302"/>
      <c r="U25" s="302"/>
      <c r="V25" s="302"/>
      <c r="W25" s="302"/>
      <c r="X25" s="302" t="s">
        <v>321</v>
      </c>
      <c r="Y25" s="302" t="s">
        <v>834</v>
      </c>
      <c r="Z25" s="302" t="s">
        <v>889</v>
      </c>
      <c r="AA25" s="302"/>
      <c r="AB25" s="302"/>
      <c r="AC25" s="302"/>
      <c r="AD25" s="302"/>
      <c r="AE25" s="302"/>
    </row>
    <row r="26" spans="1:31" ht="13.5" customHeight="1">
      <c r="A26" s="306"/>
      <c r="B26" s="307"/>
      <c r="C26" s="302"/>
      <c r="D26" s="302"/>
      <c r="E26" s="302"/>
      <c r="F26" s="302"/>
      <c r="G26" s="302"/>
      <c r="H26" s="306" t="s">
        <v>890</v>
      </c>
      <c r="I26" s="308" t="s">
        <v>852</v>
      </c>
      <c r="J26" s="304" t="s">
        <v>853</v>
      </c>
      <c r="K26" s="302"/>
      <c r="L26" s="302"/>
      <c r="M26" s="302"/>
      <c r="N26" s="302"/>
      <c r="O26" s="302"/>
      <c r="P26" s="302"/>
      <c r="Q26" s="302"/>
      <c r="R26" s="302"/>
      <c r="S26" s="306"/>
      <c r="T26" s="302"/>
      <c r="U26" s="302"/>
      <c r="V26" s="302"/>
      <c r="W26" s="302"/>
      <c r="X26" s="302"/>
      <c r="Y26" s="302"/>
      <c r="Z26" s="302" t="s">
        <v>891</v>
      </c>
      <c r="AA26" s="302"/>
      <c r="AB26" s="302"/>
      <c r="AC26" s="302"/>
      <c r="AD26" s="302"/>
      <c r="AE26" s="302"/>
    </row>
    <row r="27" spans="1:31" ht="13.5" customHeight="1">
      <c r="A27" s="306"/>
      <c r="B27" s="302"/>
      <c r="C27" s="302"/>
      <c r="D27" s="302"/>
      <c r="E27" s="302"/>
      <c r="F27" s="302"/>
      <c r="G27" s="302"/>
      <c r="H27" s="306"/>
      <c r="I27" s="308"/>
      <c r="J27" s="302"/>
      <c r="K27" s="302"/>
      <c r="L27" s="302"/>
      <c r="M27" s="302"/>
      <c r="N27" s="302"/>
      <c r="O27" s="302"/>
      <c r="P27" s="302"/>
      <c r="Q27" s="302"/>
      <c r="R27" s="302"/>
      <c r="S27" s="306"/>
      <c r="T27" s="302"/>
      <c r="U27" s="302"/>
      <c r="V27" s="302"/>
      <c r="W27" s="302"/>
      <c r="X27" s="302"/>
      <c r="Y27" s="302"/>
      <c r="Z27" s="302" t="s">
        <v>892</v>
      </c>
      <c r="AA27" s="302"/>
      <c r="AB27" s="302"/>
      <c r="AC27" s="302"/>
      <c r="AD27" s="302"/>
      <c r="AE27" s="302"/>
    </row>
    <row r="28" spans="1:31" ht="13.5" customHeight="1">
      <c r="A28" s="197" t="s">
        <v>893</v>
      </c>
      <c r="B28" s="198" t="s">
        <v>894</v>
      </c>
      <c r="C28" s="199"/>
      <c r="D28" s="199"/>
      <c r="E28" s="199"/>
      <c r="F28" s="199"/>
      <c r="G28" s="199"/>
      <c r="H28" s="197" t="s">
        <v>895</v>
      </c>
      <c r="I28" s="198" t="s">
        <v>896</v>
      </c>
      <c r="J28" s="199"/>
      <c r="K28" s="199"/>
      <c r="L28" s="199"/>
      <c r="M28" s="199"/>
      <c r="N28" s="199"/>
      <c r="O28" s="302"/>
      <c r="P28" s="302"/>
      <c r="Q28" s="302"/>
      <c r="R28" s="302"/>
      <c r="S28" s="306"/>
      <c r="T28" s="302"/>
      <c r="U28" s="302"/>
      <c r="V28" s="302"/>
      <c r="W28" s="302"/>
      <c r="X28" s="302" t="s">
        <v>897</v>
      </c>
      <c r="Y28" s="302"/>
      <c r="Z28" s="302" t="s">
        <v>898</v>
      </c>
      <c r="AA28" s="302"/>
      <c r="AB28" s="302"/>
      <c r="AC28" s="302"/>
      <c r="AD28" s="302"/>
      <c r="AE28" s="302"/>
    </row>
    <row r="29" spans="1:31" ht="13.5" customHeight="1">
      <c r="A29" s="306" t="s">
        <v>899</v>
      </c>
      <c r="B29" s="302" t="s">
        <v>900</v>
      </c>
      <c r="C29" s="304" t="s">
        <v>901</v>
      </c>
      <c r="D29" s="302"/>
      <c r="E29" s="302"/>
      <c r="F29" s="302"/>
      <c r="G29" s="302"/>
      <c r="H29" s="306" t="s">
        <v>902</v>
      </c>
      <c r="I29" s="307" t="s">
        <v>780</v>
      </c>
      <c r="J29" s="304" t="s">
        <v>781</v>
      </c>
      <c r="K29" s="302"/>
      <c r="L29" s="302"/>
      <c r="M29" s="302"/>
      <c r="N29" s="302"/>
      <c r="O29" s="302"/>
      <c r="P29" s="302"/>
      <c r="Q29" s="302"/>
      <c r="R29" s="302"/>
      <c r="S29" s="306"/>
      <c r="T29" s="302"/>
      <c r="U29" s="302"/>
      <c r="V29" s="302"/>
      <c r="W29" s="302"/>
      <c r="X29" s="302" t="s">
        <v>903</v>
      </c>
      <c r="Y29" s="302"/>
      <c r="Z29" s="302" t="s">
        <v>904</v>
      </c>
      <c r="AA29" s="302"/>
      <c r="AB29" s="302"/>
      <c r="AC29" s="302"/>
      <c r="AD29" s="302"/>
      <c r="AE29" s="302"/>
    </row>
    <row r="30" spans="1:31" ht="13.5" customHeight="1">
      <c r="A30" s="306" t="s">
        <v>905</v>
      </c>
      <c r="B30" s="302" t="s">
        <v>906</v>
      </c>
      <c r="C30" s="304" t="s">
        <v>907</v>
      </c>
      <c r="D30" s="302"/>
      <c r="E30" s="302"/>
      <c r="F30" s="302"/>
      <c r="G30" s="302"/>
      <c r="H30" s="306" t="s">
        <v>908</v>
      </c>
      <c r="I30" s="307" t="s">
        <v>790</v>
      </c>
      <c r="J30" s="304" t="s">
        <v>791</v>
      </c>
      <c r="K30" s="302"/>
      <c r="L30" s="302"/>
      <c r="M30" s="302"/>
      <c r="N30" s="302"/>
      <c r="O30" s="302"/>
      <c r="P30" s="302"/>
      <c r="Q30" s="302"/>
      <c r="R30" s="302"/>
      <c r="S30" s="306"/>
      <c r="T30" s="302"/>
      <c r="U30" s="302"/>
      <c r="V30" s="302"/>
      <c r="W30" s="302"/>
      <c r="X30" s="302"/>
      <c r="Y30" s="302"/>
      <c r="Z30" s="302" t="s">
        <v>909</v>
      </c>
      <c r="AA30" s="302"/>
      <c r="AB30" s="302"/>
      <c r="AC30" s="302"/>
      <c r="AD30" s="302"/>
      <c r="AE30" s="302"/>
    </row>
    <row r="31" spans="1:31" ht="13.5" customHeight="1">
      <c r="A31" s="306" t="s">
        <v>910</v>
      </c>
      <c r="B31" s="302" t="s">
        <v>911</v>
      </c>
      <c r="C31" s="304" t="s">
        <v>912</v>
      </c>
      <c r="D31" s="302"/>
      <c r="E31" s="302"/>
      <c r="F31" s="302"/>
      <c r="G31" s="302"/>
      <c r="H31" s="306" t="s">
        <v>913</v>
      </c>
      <c r="I31" s="307" t="s">
        <v>801</v>
      </c>
      <c r="J31" s="304" t="s">
        <v>802</v>
      </c>
      <c r="K31" s="302"/>
      <c r="L31" s="302"/>
      <c r="M31" s="302"/>
      <c r="N31" s="302"/>
      <c r="O31" s="302"/>
      <c r="P31" s="302"/>
      <c r="Q31" s="302"/>
      <c r="R31" s="302"/>
      <c r="S31" s="306"/>
      <c r="T31" s="302"/>
      <c r="U31" s="302"/>
      <c r="V31" s="302"/>
      <c r="W31" s="302"/>
      <c r="X31" s="302"/>
      <c r="Y31" s="302"/>
      <c r="Z31" s="302" t="s">
        <v>914</v>
      </c>
      <c r="AA31" s="302"/>
      <c r="AB31" s="302"/>
      <c r="AC31" s="302"/>
      <c r="AD31" s="302"/>
      <c r="AE31" s="302"/>
    </row>
    <row r="32" spans="1:31" ht="13.5" customHeight="1">
      <c r="A32" s="306" t="s">
        <v>915</v>
      </c>
      <c r="B32" s="302" t="s">
        <v>916</v>
      </c>
      <c r="C32" s="304" t="s">
        <v>838</v>
      </c>
      <c r="D32" s="302"/>
      <c r="E32" s="302"/>
      <c r="F32" s="302"/>
      <c r="G32" s="302"/>
      <c r="H32" s="306" t="s">
        <v>917</v>
      </c>
      <c r="I32" s="307" t="s">
        <v>918</v>
      </c>
      <c r="J32" s="304" t="s">
        <v>919</v>
      </c>
      <c r="K32" s="302"/>
      <c r="L32" s="302"/>
      <c r="M32" s="302"/>
      <c r="N32" s="302"/>
      <c r="O32" s="302"/>
      <c r="P32" s="302"/>
      <c r="Q32" s="302"/>
      <c r="R32" s="302"/>
      <c r="S32" s="306"/>
      <c r="T32" s="302"/>
      <c r="U32" s="302"/>
      <c r="V32" s="302"/>
      <c r="W32" s="302"/>
      <c r="X32" s="302"/>
      <c r="Y32" s="302"/>
      <c r="Z32" s="302"/>
      <c r="AA32" s="302"/>
      <c r="AB32" s="302"/>
      <c r="AC32" s="302"/>
      <c r="AD32" s="302"/>
      <c r="AE32" s="302"/>
    </row>
    <row r="33" spans="1:31" ht="13.5" customHeight="1">
      <c r="A33" s="306" t="s">
        <v>920</v>
      </c>
      <c r="B33" s="302" t="s">
        <v>921</v>
      </c>
      <c r="C33" s="304" t="s">
        <v>853</v>
      </c>
      <c r="D33" s="302"/>
      <c r="E33" s="302"/>
      <c r="F33" s="302"/>
      <c r="G33" s="302"/>
      <c r="H33" s="306" t="s">
        <v>922</v>
      </c>
      <c r="I33" s="307" t="s">
        <v>821</v>
      </c>
      <c r="J33" s="304" t="s">
        <v>822</v>
      </c>
      <c r="K33" s="302"/>
      <c r="L33" s="302"/>
      <c r="M33" s="302"/>
      <c r="N33" s="302"/>
      <c r="O33" s="302"/>
      <c r="P33" s="302"/>
      <c r="Q33" s="302"/>
      <c r="R33" s="302"/>
      <c r="S33" s="306"/>
      <c r="T33" s="302"/>
      <c r="U33" s="302"/>
      <c r="V33" s="302"/>
      <c r="W33" s="302"/>
      <c r="X33" s="302"/>
      <c r="Y33" s="302"/>
      <c r="Z33" s="302"/>
      <c r="AA33" s="302"/>
      <c r="AB33" s="302"/>
      <c r="AC33" s="302"/>
      <c r="AD33" s="302"/>
      <c r="AE33" s="302"/>
    </row>
    <row r="34" spans="1:31" ht="13.5" customHeight="1">
      <c r="A34" s="306"/>
      <c r="B34" s="302"/>
      <c r="C34" s="302"/>
      <c r="D34" s="302"/>
      <c r="E34" s="302"/>
      <c r="F34" s="302"/>
      <c r="G34" s="302"/>
      <c r="H34" s="306" t="s">
        <v>923</v>
      </c>
      <c r="I34" s="308" t="s">
        <v>831</v>
      </c>
      <c r="J34" s="304" t="s">
        <v>832</v>
      </c>
      <c r="K34" s="302"/>
      <c r="L34" s="302"/>
      <c r="M34" s="302"/>
      <c r="N34" s="302"/>
      <c r="O34" s="302"/>
      <c r="P34" s="302"/>
      <c r="Q34" s="302"/>
      <c r="R34" s="302"/>
      <c r="S34" s="306"/>
      <c r="T34" s="302"/>
      <c r="U34" s="302"/>
      <c r="V34" s="302"/>
      <c r="W34" s="302"/>
      <c r="X34" s="302"/>
      <c r="Y34" s="302"/>
      <c r="Z34" s="302"/>
      <c r="AA34" s="302"/>
      <c r="AB34" s="302"/>
      <c r="AC34" s="302"/>
      <c r="AD34" s="302"/>
      <c r="AE34" s="302"/>
    </row>
    <row r="35" spans="1:31" ht="13.5" customHeight="1">
      <c r="A35" s="306"/>
      <c r="B35" s="302"/>
      <c r="C35" s="302"/>
      <c r="D35" s="302"/>
      <c r="E35" s="302"/>
      <c r="F35" s="302"/>
      <c r="G35" s="302"/>
      <c r="H35" s="306" t="s">
        <v>924</v>
      </c>
      <c r="I35" s="307" t="s">
        <v>840</v>
      </c>
      <c r="J35" s="304" t="s">
        <v>841</v>
      </c>
      <c r="K35" s="302"/>
      <c r="L35" s="302"/>
      <c r="M35" s="302"/>
      <c r="N35" s="302"/>
      <c r="O35" s="302"/>
      <c r="P35" s="302"/>
      <c r="Q35" s="302"/>
      <c r="R35" s="302"/>
      <c r="S35" s="306"/>
      <c r="T35" s="302"/>
      <c r="U35" s="302"/>
      <c r="V35" s="302"/>
      <c r="W35" s="302"/>
      <c r="X35" s="301" t="s">
        <v>200</v>
      </c>
      <c r="Y35" s="302" t="s">
        <v>925</v>
      </c>
      <c r="Z35" s="302"/>
      <c r="AA35" s="302"/>
      <c r="AB35" s="302"/>
      <c r="AC35" s="302"/>
      <c r="AD35" s="302"/>
      <c r="AE35" s="302"/>
    </row>
    <row r="36" spans="1:31" ht="13.5" customHeight="1">
      <c r="A36" s="306"/>
      <c r="B36" s="302"/>
      <c r="C36" s="302"/>
      <c r="D36" s="302"/>
      <c r="E36" s="302"/>
      <c r="F36" s="302"/>
      <c r="G36" s="302"/>
      <c r="H36" s="306" t="s">
        <v>926</v>
      </c>
      <c r="I36" s="308" t="s">
        <v>863</v>
      </c>
      <c r="J36" s="304" t="s">
        <v>864</v>
      </c>
      <c r="K36" s="302"/>
      <c r="L36" s="302"/>
      <c r="M36" s="302"/>
      <c r="N36" s="302"/>
      <c r="O36" s="302"/>
      <c r="P36" s="302"/>
      <c r="Q36" s="302"/>
      <c r="R36" s="302"/>
      <c r="S36" s="306"/>
      <c r="T36" s="302"/>
      <c r="U36" s="302"/>
      <c r="V36" s="302"/>
      <c r="W36" s="302"/>
      <c r="X36" s="302" t="s">
        <v>199</v>
      </c>
      <c r="Y36" s="302" t="s">
        <v>927</v>
      </c>
      <c r="Z36" s="302"/>
      <c r="AA36" s="302"/>
      <c r="AB36" s="302"/>
      <c r="AC36" s="302"/>
      <c r="AD36" s="302"/>
      <c r="AE36" s="302"/>
    </row>
    <row r="37" spans="1:31" ht="13.5" customHeight="1">
      <c r="A37" s="306"/>
      <c r="B37" s="302"/>
      <c r="C37" s="302"/>
      <c r="D37" s="302"/>
      <c r="E37" s="302"/>
      <c r="F37" s="302"/>
      <c r="G37" s="302"/>
      <c r="H37" s="306" t="s">
        <v>928</v>
      </c>
      <c r="I37" s="307" t="s">
        <v>852</v>
      </c>
      <c r="J37" s="304" t="s">
        <v>853</v>
      </c>
      <c r="K37" s="302"/>
      <c r="L37" s="302"/>
      <c r="M37" s="302"/>
      <c r="N37" s="302"/>
      <c r="O37" s="302"/>
      <c r="P37" s="302"/>
      <c r="Q37" s="302"/>
      <c r="R37" s="302"/>
      <c r="S37" s="306"/>
      <c r="T37" s="302"/>
      <c r="U37" s="302"/>
      <c r="V37" s="302"/>
      <c r="W37" s="302"/>
      <c r="X37" s="302" t="s">
        <v>201</v>
      </c>
      <c r="Y37" s="302" t="s">
        <v>929</v>
      </c>
      <c r="Z37" s="302"/>
      <c r="AA37" s="302"/>
      <c r="AB37" s="302"/>
      <c r="AC37" s="302"/>
      <c r="AD37" s="302"/>
      <c r="AE37" s="302"/>
    </row>
    <row r="38" spans="1:31" ht="13.5" customHeight="1">
      <c r="A38" s="1254"/>
      <c r="B38" s="302"/>
      <c r="C38" s="302"/>
      <c r="D38" s="302"/>
      <c r="E38" s="302"/>
      <c r="F38" s="302"/>
      <c r="G38" s="302"/>
      <c r="H38" s="306"/>
      <c r="I38" s="302"/>
      <c r="J38" s="302"/>
      <c r="K38" s="302"/>
      <c r="L38" s="302"/>
      <c r="M38" s="302"/>
      <c r="N38" s="302"/>
      <c r="O38" s="302"/>
      <c r="P38" s="302"/>
      <c r="Q38" s="302"/>
      <c r="R38" s="302"/>
      <c r="S38" s="306"/>
      <c r="T38" s="302"/>
      <c r="U38" s="302"/>
      <c r="V38" s="302"/>
      <c r="W38" s="302"/>
      <c r="X38" s="302" t="s">
        <v>160</v>
      </c>
      <c r="Y38" s="302" t="s">
        <v>160</v>
      </c>
      <c r="Z38" s="302"/>
      <c r="AA38" s="302"/>
      <c r="AB38" s="302"/>
      <c r="AC38" s="302"/>
      <c r="AD38" s="302"/>
      <c r="AE38" s="302"/>
    </row>
    <row r="39" spans="1:31" ht="13.5" customHeight="1">
      <c r="A39" s="197" t="s">
        <v>930</v>
      </c>
      <c r="B39" s="200" t="s">
        <v>931</v>
      </c>
      <c r="C39" s="199"/>
      <c r="D39" s="199"/>
      <c r="E39" s="199"/>
      <c r="F39" s="199"/>
      <c r="G39" s="199"/>
      <c r="H39" s="197" t="s">
        <v>932</v>
      </c>
      <c r="I39" s="198" t="s">
        <v>203</v>
      </c>
      <c r="J39" s="199"/>
      <c r="K39" s="199"/>
      <c r="L39" s="199"/>
      <c r="M39" s="199"/>
      <c r="N39" s="199"/>
      <c r="O39" s="302"/>
      <c r="P39" s="302"/>
      <c r="Q39" s="302"/>
      <c r="R39" s="302"/>
      <c r="S39" s="306"/>
      <c r="T39" s="302"/>
      <c r="U39" s="302"/>
      <c r="V39" s="302"/>
      <c r="W39" s="302"/>
      <c r="X39" s="302" t="s">
        <v>198</v>
      </c>
      <c r="Y39" s="302" t="s">
        <v>807</v>
      </c>
      <c r="Z39" s="302"/>
      <c r="AA39" s="302"/>
      <c r="AB39" s="302"/>
      <c r="AC39" s="302"/>
      <c r="AD39" s="302"/>
      <c r="AE39" s="302"/>
    </row>
    <row r="40" spans="1:31" ht="13.5" customHeight="1">
      <c r="A40" s="306" t="s">
        <v>933</v>
      </c>
      <c r="B40" s="307" t="s">
        <v>934</v>
      </c>
      <c r="C40" s="304" t="s">
        <v>935</v>
      </c>
      <c r="D40" s="302"/>
      <c r="E40" s="302"/>
      <c r="F40" s="302"/>
      <c r="G40" s="2116"/>
      <c r="H40" s="306" t="s">
        <v>936</v>
      </c>
      <c r="I40" s="308" t="s">
        <v>937</v>
      </c>
      <c r="J40" s="304" t="s">
        <v>781</v>
      </c>
      <c r="K40" s="306"/>
      <c r="L40" s="306"/>
      <c r="M40" s="306"/>
      <c r="N40" s="306"/>
      <c r="O40" s="302"/>
      <c r="P40" s="302"/>
      <c r="Q40" s="302"/>
      <c r="R40" s="302"/>
      <c r="S40" s="306"/>
      <c r="T40" s="302"/>
      <c r="U40" s="302"/>
      <c r="V40" s="302"/>
      <c r="W40" s="302"/>
      <c r="X40" s="302" t="s">
        <v>203</v>
      </c>
      <c r="Y40" s="302" t="s">
        <v>870</v>
      </c>
      <c r="Z40" s="302"/>
      <c r="AA40" s="302"/>
      <c r="AB40" s="302"/>
      <c r="AC40" s="302"/>
      <c r="AD40" s="302"/>
      <c r="AE40" s="302"/>
    </row>
    <row r="41" spans="1:31" ht="13.5" customHeight="1">
      <c r="A41" s="306" t="s">
        <v>938</v>
      </c>
      <c r="B41" s="307" t="s">
        <v>939</v>
      </c>
      <c r="C41" s="304" t="s">
        <v>940</v>
      </c>
      <c r="D41" s="302"/>
      <c r="E41" s="302"/>
      <c r="F41" s="302"/>
      <c r="G41" s="2116"/>
      <c r="H41" s="306" t="s">
        <v>941</v>
      </c>
      <c r="I41" s="308" t="s">
        <v>942</v>
      </c>
      <c r="J41" s="304" t="s">
        <v>943</v>
      </c>
      <c r="K41" s="306"/>
      <c r="L41" s="306"/>
      <c r="M41" s="306"/>
      <c r="N41" s="306"/>
      <c r="O41" s="302"/>
      <c r="P41" s="302"/>
      <c r="Q41" s="302"/>
      <c r="R41" s="302"/>
      <c r="S41" s="306"/>
      <c r="T41" s="302"/>
      <c r="U41" s="302"/>
      <c r="V41" s="302"/>
      <c r="W41" s="302"/>
      <c r="X41" s="302" t="s">
        <v>824</v>
      </c>
      <c r="Y41" s="302" t="s">
        <v>944</v>
      </c>
      <c r="Z41" s="302"/>
      <c r="AA41" s="302"/>
      <c r="AB41" s="302"/>
      <c r="AC41" s="302"/>
      <c r="AD41" s="302"/>
      <c r="AE41" s="302"/>
    </row>
    <row r="42" spans="1:31" ht="13.5" customHeight="1">
      <c r="A42" s="306" t="s">
        <v>945</v>
      </c>
      <c r="B42" s="307" t="s">
        <v>946</v>
      </c>
      <c r="C42" s="304" t="s">
        <v>947</v>
      </c>
      <c r="D42" s="302"/>
      <c r="E42" s="302"/>
      <c r="F42" s="302"/>
      <c r="G42" s="2116"/>
      <c r="H42" s="306" t="s">
        <v>948</v>
      </c>
      <c r="I42" s="307" t="s">
        <v>831</v>
      </c>
      <c r="J42" s="304" t="s">
        <v>832</v>
      </c>
      <c r="K42" s="306"/>
      <c r="L42" s="306"/>
      <c r="M42" s="306"/>
      <c r="N42" s="306"/>
      <c r="O42" s="302"/>
      <c r="P42" s="302"/>
      <c r="Q42" s="302"/>
      <c r="R42" s="302"/>
      <c r="S42" s="306"/>
      <c r="T42" s="302"/>
      <c r="U42" s="302"/>
      <c r="V42" s="302"/>
      <c r="W42" s="302"/>
      <c r="X42" s="302" t="s">
        <v>834</v>
      </c>
      <c r="Y42" s="302" t="s">
        <v>949</v>
      </c>
      <c r="Z42" s="302"/>
      <c r="AA42" s="302"/>
      <c r="AB42" s="302"/>
      <c r="AC42" s="302"/>
      <c r="AD42" s="302"/>
      <c r="AE42" s="302"/>
    </row>
    <row r="43" spans="1:31" ht="13.5" customHeight="1">
      <c r="A43" s="306" t="s">
        <v>950</v>
      </c>
      <c r="B43" s="307" t="s">
        <v>951</v>
      </c>
      <c r="C43" s="304" t="s">
        <v>952</v>
      </c>
      <c r="D43" s="302"/>
      <c r="E43" s="302"/>
      <c r="F43" s="302"/>
      <c r="G43" s="2116"/>
      <c r="H43" s="306" t="s">
        <v>953</v>
      </c>
      <c r="I43" s="308" t="s">
        <v>954</v>
      </c>
      <c r="J43" s="304" t="s">
        <v>955</v>
      </c>
      <c r="K43" s="306"/>
      <c r="L43" s="306"/>
      <c r="M43" s="306"/>
      <c r="N43" s="306"/>
      <c r="O43" s="302"/>
      <c r="P43" s="302"/>
      <c r="Q43" s="302"/>
      <c r="R43" s="302"/>
      <c r="S43" s="306"/>
      <c r="T43" s="302"/>
      <c r="U43" s="302"/>
      <c r="V43" s="302"/>
      <c r="W43" s="302"/>
      <c r="X43" s="302" t="s">
        <v>202</v>
      </c>
      <c r="Y43" s="302" t="s">
        <v>157</v>
      </c>
      <c r="Z43" s="302"/>
      <c r="AA43" s="302"/>
      <c r="AB43" s="302"/>
      <c r="AC43" s="302"/>
      <c r="AD43" s="302"/>
      <c r="AE43" s="302"/>
    </row>
    <row r="44" spans="1:31" ht="13.5" customHeight="1">
      <c r="A44" s="306" t="s">
        <v>956</v>
      </c>
      <c r="B44" s="307" t="s">
        <v>957</v>
      </c>
      <c r="C44" s="304" t="s">
        <v>958</v>
      </c>
      <c r="D44" s="302"/>
      <c r="E44" s="302"/>
      <c r="F44" s="302"/>
      <c r="G44" s="2116"/>
      <c r="H44" s="306" t="s">
        <v>959</v>
      </c>
      <c r="I44" s="302" t="s">
        <v>860</v>
      </c>
      <c r="J44" s="304" t="s">
        <v>861</v>
      </c>
      <c r="K44" s="306"/>
      <c r="L44" s="306"/>
      <c r="M44" s="306"/>
      <c r="N44" s="306"/>
      <c r="O44" s="302"/>
      <c r="P44" s="302"/>
      <c r="Q44" s="302"/>
      <c r="R44" s="302"/>
      <c r="S44" s="306"/>
      <c r="T44" s="302"/>
      <c r="U44" s="302"/>
      <c r="V44" s="302"/>
      <c r="W44" s="302"/>
      <c r="X44" s="302" t="s">
        <v>297</v>
      </c>
      <c r="Y44" s="302" t="s">
        <v>870</v>
      </c>
      <c r="Z44" s="302"/>
      <c r="AA44" s="302"/>
      <c r="AB44" s="302"/>
      <c r="AC44" s="302"/>
      <c r="AD44" s="302"/>
      <c r="AE44" s="302"/>
    </row>
    <row r="45" spans="1:31" ht="13.5" customHeight="1">
      <c r="A45" s="306" t="s">
        <v>960</v>
      </c>
      <c r="B45" s="307" t="s">
        <v>961</v>
      </c>
      <c r="C45" s="304" t="s">
        <v>962</v>
      </c>
      <c r="D45" s="302"/>
      <c r="E45" s="302"/>
      <c r="F45" s="302"/>
      <c r="G45" s="2116"/>
      <c r="H45" s="306" t="s">
        <v>963</v>
      </c>
      <c r="I45" s="308" t="s">
        <v>964</v>
      </c>
      <c r="J45" s="304" t="s">
        <v>965</v>
      </c>
      <c r="K45" s="306"/>
      <c r="L45" s="306"/>
      <c r="M45" s="306"/>
      <c r="N45" s="306"/>
      <c r="O45" s="302"/>
      <c r="P45" s="302"/>
      <c r="Q45" s="302"/>
      <c r="R45" s="302"/>
      <c r="S45" s="306"/>
      <c r="T45" s="302"/>
      <c r="U45" s="302"/>
      <c r="V45" s="302"/>
      <c r="W45" s="302"/>
      <c r="X45" s="302" t="str">
        <f>Z16</f>
        <v>Gestion des déchets</v>
      </c>
      <c r="Y45" s="302" t="s">
        <v>884</v>
      </c>
      <c r="Z45" s="302"/>
      <c r="AA45" s="302"/>
      <c r="AB45" s="302"/>
      <c r="AC45" s="302"/>
      <c r="AD45" s="302"/>
      <c r="AE45" s="302"/>
    </row>
    <row r="46" spans="1:31" ht="13.5" customHeight="1">
      <c r="A46" s="306" t="s">
        <v>966</v>
      </c>
      <c r="B46" s="307" t="s">
        <v>967</v>
      </c>
      <c r="C46" s="304" t="s">
        <v>968</v>
      </c>
      <c r="D46" s="302"/>
      <c r="E46" s="302"/>
      <c r="F46" s="302"/>
      <c r="G46" s="312"/>
      <c r="H46" s="306" t="s">
        <v>969</v>
      </c>
      <c r="I46" s="308" t="s">
        <v>848</v>
      </c>
      <c r="J46" s="304" t="s">
        <v>849</v>
      </c>
      <c r="K46" s="306"/>
      <c r="L46" s="306"/>
      <c r="M46" s="306"/>
      <c r="N46" s="306"/>
      <c r="O46" s="302"/>
      <c r="P46" s="302"/>
      <c r="Q46" s="302"/>
      <c r="R46" s="302"/>
      <c r="S46" s="306"/>
      <c r="T46" s="302"/>
      <c r="U46" s="302"/>
      <c r="V46" s="302"/>
      <c r="W46" s="302"/>
      <c r="X46" s="302"/>
      <c r="Y46" s="302"/>
      <c r="Z46" s="302"/>
      <c r="AA46" s="302"/>
      <c r="AB46" s="302"/>
      <c r="AC46" s="302"/>
      <c r="AD46" s="302"/>
      <c r="AE46" s="302"/>
    </row>
    <row r="47" spans="1:31" ht="13.5" customHeight="1">
      <c r="A47" s="306" t="s">
        <v>970</v>
      </c>
      <c r="B47" s="307" t="s">
        <v>971</v>
      </c>
      <c r="C47" s="304" t="s">
        <v>972</v>
      </c>
      <c r="D47" s="313"/>
      <c r="E47" s="302"/>
      <c r="F47" s="302"/>
      <c r="G47" s="312"/>
      <c r="H47" s="306" t="s">
        <v>973</v>
      </c>
      <c r="I47" s="308" t="s">
        <v>974</v>
      </c>
      <c r="J47" s="304" t="s">
        <v>975</v>
      </c>
      <c r="K47" s="306"/>
      <c r="L47" s="306"/>
      <c r="M47" s="306"/>
      <c r="N47" s="306"/>
      <c r="O47" s="302"/>
      <c r="P47" s="302"/>
      <c r="Q47" s="302"/>
      <c r="R47" s="302"/>
      <c r="S47" s="306"/>
      <c r="T47" s="302"/>
      <c r="U47" s="302"/>
      <c r="V47" s="302"/>
      <c r="W47" s="302"/>
      <c r="X47" s="302"/>
      <c r="Y47" s="302"/>
      <c r="Z47" s="302"/>
      <c r="AA47" s="302"/>
      <c r="AB47" s="302"/>
      <c r="AC47" s="302"/>
      <c r="AD47" s="302"/>
      <c r="AE47" s="302"/>
    </row>
    <row r="48" spans="1:31" ht="13.5" customHeight="1">
      <c r="A48" s="306" t="s">
        <v>976</v>
      </c>
      <c r="B48" s="307" t="s">
        <v>837</v>
      </c>
      <c r="C48" s="304" t="s">
        <v>838</v>
      </c>
      <c r="D48" s="302"/>
      <c r="E48" s="302"/>
      <c r="F48" s="313"/>
      <c r="G48" s="312"/>
      <c r="H48" s="306" t="s">
        <v>977</v>
      </c>
      <c r="I48" s="308" t="s">
        <v>863</v>
      </c>
      <c r="J48" s="304" t="s">
        <v>978</v>
      </c>
      <c r="K48" s="302"/>
      <c r="L48" s="302"/>
      <c r="M48" s="302"/>
      <c r="N48" s="302"/>
      <c r="O48" s="302"/>
      <c r="P48" s="302"/>
      <c r="Q48" s="302"/>
      <c r="R48" s="302"/>
      <c r="S48" s="306"/>
      <c r="T48" s="302"/>
      <c r="U48" s="302"/>
      <c r="V48" s="302"/>
      <c r="W48" s="302"/>
      <c r="X48" s="302"/>
      <c r="Y48" s="302"/>
      <c r="Z48" s="302"/>
      <c r="AA48" s="302"/>
      <c r="AB48" s="302"/>
      <c r="AC48" s="302"/>
      <c r="AD48" s="302"/>
      <c r="AE48" s="302"/>
    </row>
    <row r="49" spans="1:31" ht="13.5" customHeight="1">
      <c r="A49" s="306" t="s">
        <v>979</v>
      </c>
      <c r="B49" s="307" t="s">
        <v>980</v>
      </c>
      <c r="C49" s="304" t="s">
        <v>981</v>
      </c>
      <c r="D49" s="313"/>
      <c r="E49" s="313"/>
      <c r="F49" s="302"/>
      <c r="G49" s="302"/>
      <c r="H49" s="306" t="s">
        <v>982</v>
      </c>
      <c r="I49" s="308" t="s">
        <v>852</v>
      </c>
      <c r="J49" s="304" t="s">
        <v>853</v>
      </c>
      <c r="K49" s="302"/>
      <c r="L49" s="302"/>
      <c r="M49" s="302"/>
      <c r="N49" s="302"/>
      <c r="O49" s="302"/>
      <c r="P49" s="302"/>
      <c r="Q49" s="302"/>
      <c r="R49" s="302"/>
      <c r="S49" s="306"/>
      <c r="T49" s="302"/>
      <c r="U49" s="302"/>
      <c r="V49" s="302"/>
      <c r="W49" s="302"/>
      <c r="X49" s="302"/>
      <c r="Y49" s="302"/>
      <c r="Z49" s="302"/>
      <c r="AA49" s="302"/>
      <c r="AB49" s="302"/>
      <c r="AC49" s="302"/>
      <c r="AD49" s="302"/>
      <c r="AE49" s="302"/>
    </row>
    <row r="50" spans="1:31" ht="13.5" customHeight="1">
      <c r="A50" s="306" t="s">
        <v>983</v>
      </c>
      <c r="B50" s="307" t="s">
        <v>852</v>
      </c>
      <c r="C50" s="304" t="s">
        <v>853</v>
      </c>
      <c r="D50" s="302"/>
      <c r="E50" s="302"/>
      <c r="F50" s="302"/>
      <c r="G50" s="302"/>
      <c r="H50" s="306"/>
      <c r="I50" s="302"/>
      <c r="J50" s="308"/>
      <c r="K50" s="308"/>
      <c r="L50" s="308"/>
      <c r="M50" s="308"/>
      <c r="N50" s="308"/>
      <c r="O50" s="308"/>
      <c r="P50" s="302"/>
      <c r="Q50" s="302"/>
      <c r="R50" s="302"/>
      <c r="S50" s="306"/>
      <c r="T50" s="302"/>
      <c r="U50" s="302"/>
      <c r="V50" s="302"/>
      <c r="W50" s="302"/>
      <c r="X50" s="302"/>
      <c r="Y50" s="302"/>
      <c r="Z50" s="302"/>
      <c r="AA50" s="302"/>
      <c r="AB50" s="302"/>
      <c r="AC50" s="302"/>
      <c r="AD50" s="302"/>
      <c r="AE50" s="302"/>
    </row>
    <row r="51" spans="1:31" ht="13.5" customHeight="1">
      <c r="A51" s="306"/>
      <c r="B51" s="302"/>
      <c r="C51" s="302"/>
      <c r="D51" s="302"/>
      <c r="E51" s="302"/>
      <c r="F51" s="302"/>
      <c r="G51" s="302"/>
      <c r="H51" s="306"/>
      <c r="I51" s="302"/>
      <c r="J51" s="308"/>
      <c r="K51" s="308"/>
      <c r="L51" s="308"/>
      <c r="M51" s="308"/>
      <c r="N51" s="308"/>
      <c r="O51" s="308"/>
      <c r="P51" s="302"/>
      <c r="Q51" s="302"/>
      <c r="R51" s="302"/>
      <c r="S51" s="306"/>
      <c r="T51" s="302"/>
      <c r="U51" s="302"/>
      <c r="V51" s="302"/>
      <c r="W51" s="302"/>
      <c r="X51" s="302"/>
      <c r="Y51" s="302"/>
      <c r="Z51" s="302"/>
      <c r="AA51" s="302"/>
      <c r="AB51" s="302"/>
      <c r="AC51" s="302"/>
      <c r="AD51" s="302"/>
      <c r="AE51" s="302"/>
    </row>
    <row r="52" spans="1:31" ht="13.5" customHeight="1">
      <c r="A52" s="197" t="s">
        <v>984</v>
      </c>
      <c r="B52" s="200" t="s">
        <v>985</v>
      </c>
      <c r="C52" s="199"/>
      <c r="D52" s="199"/>
      <c r="E52" s="199"/>
      <c r="F52" s="199"/>
      <c r="G52" s="199"/>
      <c r="H52" s="197" t="s">
        <v>986</v>
      </c>
      <c r="I52" s="200" t="s">
        <v>985</v>
      </c>
      <c r="J52" s="199"/>
      <c r="K52" s="199"/>
      <c r="L52" s="199"/>
      <c r="M52" s="199"/>
      <c r="N52" s="199"/>
      <c r="O52" s="302"/>
      <c r="P52" s="302"/>
      <c r="Q52" s="302"/>
      <c r="R52" s="302"/>
      <c r="S52" s="306"/>
      <c r="T52" s="302"/>
      <c r="U52" s="302"/>
      <c r="V52" s="302"/>
      <c r="W52" s="302"/>
      <c r="X52" s="302"/>
      <c r="Y52" s="302"/>
      <c r="Z52" s="302"/>
      <c r="AA52" s="302"/>
      <c r="AB52" s="302"/>
      <c r="AC52" s="302"/>
      <c r="AD52" s="302"/>
      <c r="AE52" s="302"/>
    </row>
    <row r="53" spans="1:31" ht="13.5" customHeight="1">
      <c r="A53" s="306" t="s">
        <v>987</v>
      </c>
      <c r="B53" s="307" t="s">
        <v>988</v>
      </c>
      <c r="C53" s="304" t="s">
        <v>323</v>
      </c>
      <c r="D53" s="302"/>
      <c r="E53" s="302"/>
      <c r="F53" s="302"/>
      <c r="G53" s="302"/>
      <c r="H53" s="306" t="s">
        <v>989</v>
      </c>
      <c r="I53" s="308" t="s">
        <v>780</v>
      </c>
      <c r="J53" s="304" t="s">
        <v>781</v>
      </c>
      <c r="K53" s="302"/>
      <c r="L53" s="302"/>
      <c r="M53" s="302"/>
      <c r="N53" s="302"/>
      <c r="O53" s="302"/>
      <c r="P53" s="302"/>
      <c r="Q53" s="302"/>
      <c r="R53" s="302"/>
      <c r="S53" s="306"/>
      <c r="T53" s="302"/>
      <c r="U53" s="302"/>
      <c r="V53" s="302"/>
      <c r="W53" s="302"/>
      <c r="X53" s="302"/>
      <c r="Y53" s="302"/>
      <c r="Z53" s="302"/>
      <c r="AA53" s="302"/>
      <c r="AB53" s="302"/>
      <c r="AC53" s="302"/>
      <c r="AD53" s="302"/>
      <c r="AE53" s="302"/>
    </row>
    <row r="54" spans="1:31" ht="13.5" customHeight="1">
      <c r="A54" s="306" t="s">
        <v>990</v>
      </c>
      <c r="B54" s="307" t="s">
        <v>991</v>
      </c>
      <c r="C54" s="304" t="s">
        <v>213</v>
      </c>
      <c r="D54" s="302"/>
      <c r="E54" s="302"/>
      <c r="F54" s="302"/>
      <c r="G54" s="302"/>
      <c r="H54" s="306" t="s">
        <v>992</v>
      </c>
      <c r="I54" s="308" t="s">
        <v>993</v>
      </c>
      <c r="J54" s="304" t="s">
        <v>814</v>
      </c>
      <c r="K54" s="302"/>
      <c r="L54" s="302"/>
      <c r="M54" s="302"/>
      <c r="N54" s="302"/>
      <c r="O54" s="302"/>
      <c r="P54" s="302"/>
      <c r="Q54" s="302"/>
      <c r="R54" s="302"/>
      <c r="S54" s="306"/>
      <c r="T54" s="302"/>
      <c r="U54" s="302"/>
      <c r="V54" s="302"/>
      <c r="W54" s="302"/>
      <c r="X54" s="302"/>
      <c r="Y54" s="302"/>
      <c r="Z54" s="302"/>
      <c r="AA54" s="302"/>
      <c r="AB54" s="302"/>
      <c r="AC54" s="302"/>
      <c r="AD54" s="302"/>
      <c r="AE54" s="302"/>
    </row>
    <row r="55" spans="1:31" ht="13.5" customHeight="1">
      <c r="A55" s="306" t="s">
        <v>994</v>
      </c>
      <c r="B55" s="307" t="s">
        <v>995</v>
      </c>
      <c r="C55" s="304" t="s">
        <v>215</v>
      </c>
      <c r="D55" s="302"/>
      <c r="E55" s="302"/>
      <c r="F55" s="302"/>
      <c r="G55" s="302"/>
      <c r="H55" s="306" t="s">
        <v>996</v>
      </c>
      <c r="I55" s="307" t="s">
        <v>831</v>
      </c>
      <c r="J55" s="304" t="s">
        <v>832</v>
      </c>
      <c r="K55" s="302"/>
      <c r="L55" s="302"/>
      <c r="M55" s="302"/>
      <c r="N55" s="302"/>
      <c r="O55" s="302"/>
      <c r="P55" s="302"/>
      <c r="Q55" s="302"/>
      <c r="R55" s="302"/>
      <c r="S55" s="306"/>
      <c r="T55" s="302"/>
      <c r="U55" s="302"/>
      <c r="V55" s="302"/>
      <c r="W55" s="302"/>
      <c r="X55" s="302"/>
      <c r="Y55" s="302"/>
      <c r="Z55" s="302"/>
      <c r="AA55" s="302"/>
      <c r="AB55" s="302"/>
      <c r="AC55" s="302"/>
      <c r="AD55" s="302"/>
      <c r="AE55" s="302"/>
    </row>
    <row r="56" spans="1:31" ht="13.5" customHeight="1">
      <c r="A56" s="306" t="s">
        <v>997</v>
      </c>
      <c r="B56" s="307" t="s">
        <v>998</v>
      </c>
      <c r="C56" s="304" t="s">
        <v>218</v>
      </c>
      <c r="D56" s="307"/>
      <c r="E56" s="302"/>
      <c r="F56" s="302"/>
      <c r="G56" s="302"/>
      <c r="H56" s="306" t="s">
        <v>999</v>
      </c>
      <c r="I56" s="307" t="s">
        <v>840</v>
      </c>
      <c r="J56" s="304" t="s">
        <v>841</v>
      </c>
      <c r="K56" s="302"/>
      <c r="L56" s="302"/>
      <c r="M56" s="302"/>
      <c r="N56" s="302"/>
      <c r="O56" s="302"/>
      <c r="P56" s="302"/>
      <c r="Q56" s="302"/>
      <c r="R56" s="302"/>
      <c r="S56" s="306"/>
      <c r="T56" s="302"/>
      <c r="U56" s="302"/>
      <c r="V56" s="302"/>
      <c r="W56" s="302"/>
      <c r="X56" s="302"/>
      <c r="Y56" s="302"/>
      <c r="Z56" s="302"/>
      <c r="AA56" s="302"/>
      <c r="AB56" s="302"/>
      <c r="AC56" s="302"/>
      <c r="AD56" s="302"/>
      <c r="AE56" s="302"/>
    </row>
    <row r="57" spans="1:31" ht="13.5" customHeight="1">
      <c r="A57" s="306" t="s">
        <v>1000</v>
      </c>
      <c r="B57" s="307" t="s">
        <v>1001</v>
      </c>
      <c r="C57" s="304" t="s">
        <v>1002</v>
      </c>
      <c r="D57" s="307"/>
      <c r="E57" s="302"/>
      <c r="F57" s="302"/>
      <c r="G57" s="302"/>
      <c r="H57" s="306" t="s">
        <v>1003</v>
      </c>
      <c r="I57" s="308" t="s">
        <v>848</v>
      </c>
      <c r="J57" s="304" t="s">
        <v>849</v>
      </c>
      <c r="K57" s="302"/>
      <c r="L57" s="302"/>
      <c r="M57" s="302"/>
      <c r="N57" s="302"/>
      <c r="O57" s="302"/>
      <c r="P57" s="302"/>
      <c r="Q57" s="302"/>
      <c r="R57" s="302"/>
      <c r="S57" s="306"/>
      <c r="T57" s="302"/>
      <c r="U57" s="302"/>
      <c r="V57" s="302"/>
      <c r="W57" s="302"/>
      <c r="X57" s="302"/>
      <c r="Y57" s="302"/>
      <c r="Z57" s="302"/>
      <c r="AA57" s="302"/>
      <c r="AB57" s="302"/>
      <c r="AC57" s="302"/>
      <c r="AD57" s="302"/>
      <c r="AE57" s="302"/>
    </row>
    <row r="58" spans="1:31" ht="13.5" customHeight="1">
      <c r="A58" s="306" t="s">
        <v>1004</v>
      </c>
      <c r="B58" s="307" t="s">
        <v>1005</v>
      </c>
      <c r="C58" s="304" t="s">
        <v>1006</v>
      </c>
      <c r="D58" s="314"/>
      <c r="E58" s="302"/>
      <c r="F58" s="302"/>
      <c r="G58" s="302"/>
      <c r="H58" s="306" t="s">
        <v>1007</v>
      </c>
      <c r="I58" s="307" t="s">
        <v>855</v>
      </c>
      <c r="J58" s="304" t="s">
        <v>856</v>
      </c>
      <c r="K58" s="302"/>
      <c r="L58" s="302"/>
      <c r="M58" s="302"/>
      <c r="N58" s="302"/>
      <c r="O58" s="302"/>
      <c r="P58" s="302"/>
      <c r="Q58" s="302"/>
      <c r="R58" s="302"/>
      <c r="S58" s="306"/>
      <c r="T58" s="302"/>
      <c r="U58" s="302"/>
      <c r="V58" s="302"/>
      <c r="W58" s="302"/>
      <c r="X58" s="302"/>
      <c r="Y58" s="302"/>
      <c r="Z58" s="302"/>
      <c r="AA58" s="302"/>
      <c r="AB58" s="302"/>
      <c r="AC58" s="302"/>
      <c r="AD58" s="302"/>
      <c r="AE58" s="302"/>
    </row>
    <row r="59" spans="1:31" ht="13.5" customHeight="1">
      <c r="A59" s="306" t="s">
        <v>1008</v>
      </c>
      <c r="B59" s="307" t="s">
        <v>852</v>
      </c>
      <c r="C59" s="304" t="s">
        <v>853</v>
      </c>
      <c r="D59" s="307"/>
      <c r="E59" s="302"/>
      <c r="F59" s="302"/>
      <c r="G59" s="302"/>
      <c r="H59" s="306" t="s">
        <v>1009</v>
      </c>
      <c r="I59" s="308" t="s">
        <v>1010</v>
      </c>
      <c r="J59" s="304" t="s">
        <v>861</v>
      </c>
      <c r="K59" s="302"/>
      <c r="L59" s="302"/>
      <c r="M59" s="302"/>
      <c r="N59" s="302"/>
      <c r="O59" s="302"/>
      <c r="P59" s="302"/>
      <c r="Q59" s="302"/>
      <c r="R59" s="302"/>
      <c r="S59" s="306"/>
      <c r="T59" s="302"/>
      <c r="U59" s="302"/>
      <c r="V59" s="302"/>
      <c r="W59" s="302"/>
      <c r="X59" s="302"/>
      <c r="Y59" s="302"/>
      <c r="Z59" s="302"/>
      <c r="AA59" s="302"/>
      <c r="AB59" s="302"/>
      <c r="AC59" s="302"/>
      <c r="AD59" s="302"/>
      <c r="AE59" s="302"/>
    </row>
    <row r="60" spans="1:31" ht="13.5" customHeight="1">
      <c r="A60" s="306"/>
      <c r="B60" s="302"/>
      <c r="C60" s="302"/>
      <c r="D60" s="307"/>
      <c r="E60" s="302"/>
      <c r="F60" s="302"/>
      <c r="G60" s="302"/>
      <c r="H60" s="306" t="s">
        <v>1011</v>
      </c>
      <c r="I60" s="308" t="s">
        <v>863</v>
      </c>
      <c r="J60" s="304" t="s">
        <v>864</v>
      </c>
      <c r="K60" s="302"/>
      <c r="L60" s="302"/>
      <c r="M60" s="302"/>
      <c r="N60" s="302"/>
      <c r="O60" s="302"/>
      <c r="P60" s="302"/>
      <c r="Q60" s="302"/>
      <c r="R60" s="302"/>
      <c r="S60" s="306"/>
      <c r="T60" s="302"/>
      <c r="U60" s="302"/>
      <c r="V60" s="302"/>
      <c r="W60" s="302"/>
      <c r="X60" s="302"/>
      <c r="Y60" s="302"/>
      <c r="Z60" s="302"/>
      <c r="AA60" s="302"/>
      <c r="AB60" s="302"/>
      <c r="AC60" s="302"/>
      <c r="AD60" s="302"/>
      <c r="AE60" s="302"/>
    </row>
    <row r="61" spans="1:31" ht="13.5" customHeight="1">
      <c r="A61" s="306"/>
      <c r="B61" s="302"/>
      <c r="C61" s="302"/>
      <c r="D61" s="307"/>
      <c r="E61" s="302"/>
      <c r="F61" s="302"/>
      <c r="G61" s="302"/>
      <c r="H61" s="306" t="s">
        <v>1012</v>
      </c>
      <c r="I61" s="307" t="s">
        <v>852</v>
      </c>
      <c r="J61" s="304" t="s">
        <v>853</v>
      </c>
      <c r="K61" s="302"/>
      <c r="L61" s="302"/>
      <c r="M61" s="302"/>
      <c r="N61" s="302"/>
      <c r="O61" s="302"/>
      <c r="P61" s="302"/>
      <c r="Q61" s="302"/>
      <c r="R61" s="302"/>
      <c r="S61" s="306"/>
      <c r="T61" s="302"/>
      <c r="U61" s="302"/>
      <c r="V61" s="302"/>
      <c r="W61" s="302"/>
      <c r="X61" s="302"/>
      <c r="Y61" s="302"/>
      <c r="Z61" s="302"/>
      <c r="AA61" s="302"/>
      <c r="AB61" s="302"/>
      <c r="AC61" s="302"/>
      <c r="AD61" s="302"/>
      <c r="AE61" s="302"/>
    </row>
    <row r="62" spans="1:31" ht="13.5" customHeight="1">
      <c r="A62" s="306"/>
      <c r="B62" s="302"/>
      <c r="C62" s="302"/>
      <c r="D62" s="307"/>
      <c r="E62" s="302"/>
      <c r="F62" s="302"/>
      <c r="G62" s="302"/>
      <c r="H62" s="302"/>
      <c r="I62" s="302"/>
      <c r="J62" s="302"/>
      <c r="K62" s="302"/>
      <c r="L62" s="302"/>
      <c r="M62" s="302"/>
      <c r="N62" s="302"/>
      <c r="O62" s="302"/>
      <c r="P62" s="302"/>
      <c r="Q62" s="302"/>
      <c r="R62" s="302"/>
      <c r="S62" s="306"/>
      <c r="T62" s="302"/>
      <c r="U62" s="302"/>
      <c r="V62" s="302"/>
      <c r="W62" s="302"/>
      <c r="X62" s="302"/>
      <c r="Y62" s="302"/>
      <c r="Z62" s="302"/>
      <c r="AA62" s="302"/>
      <c r="AB62" s="302"/>
      <c r="AC62" s="302"/>
      <c r="AD62" s="302"/>
      <c r="AE62" s="302"/>
    </row>
    <row r="63" spans="1:31" ht="13.5" customHeight="1">
      <c r="A63" s="306"/>
      <c r="B63" s="302"/>
      <c r="C63" s="302"/>
      <c r="D63" s="302"/>
      <c r="E63" s="302"/>
      <c r="F63" s="302"/>
      <c r="G63" s="302"/>
      <c r="H63" s="306"/>
      <c r="I63" s="302"/>
      <c r="J63" s="302"/>
      <c r="K63" s="302"/>
      <c r="L63" s="302"/>
      <c r="M63" s="302"/>
      <c r="N63" s="302"/>
      <c r="O63" s="302"/>
      <c r="P63" s="302"/>
      <c r="Q63" s="302"/>
      <c r="R63" s="302"/>
      <c r="S63" s="306"/>
      <c r="T63" s="302"/>
      <c r="U63" s="302"/>
      <c r="V63" s="302"/>
      <c r="W63" s="302"/>
      <c r="X63" s="302"/>
      <c r="Y63" s="302"/>
      <c r="Z63" s="302"/>
      <c r="AA63" s="302"/>
      <c r="AB63" s="302"/>
      <c r="AC63" s="302"/>
      <c r="AD63" s="302"/>
      <c r="AE63" s="302"/>
    </row>
    <row r="64" spans="1:31" ht="13.5" customHeight="1">
      <c r="A64" s="197" t="s">
        <v>1013</v>
      </c>
      <c r="B64" s="198" t="s">
        <v>1014</v>
      </c>
      <c r="C64" s="199"/>
      <c r="D64" s="199"/>
      <c r="E64" s="199"/>
      <c r="F64" s="199"/>
      <c r="G64" s="199"/>
      <c r="H64" s="197" t="s">
        <v>1015</v>
      </c>
      <c r="I64" s="198" t="s">
        <v>1014</v>
      </c>
      <c r="J64" s="199"/>
      <c r="K64" s="199"/>
      <c r="L64" s="199"/>
      <c r="M64" s="199"/>
      <c r="N64" s="199"/>
      <c r="O64" s="302"/>
      <c r="P64" s="302"/>
      <c r="Q64" s="302"/>
      <c r="R64" s="302"/>
      <c r="S64" s="306"/>
      <c r="T64" s="302"/>
      <c r="U64" s="302"/>
      <c r="V64" s="302"/>
      <c r="W64" s="302"/>
      <c r="X64" s="302"/>
      <c r="Y64" s="302"/>
      <c r="Z64" s="302"/>
      <c r="AA64" s="302"/>
      <c r="AB64" s="302"/>
      <c r="AC64" s="302"/>
      <c r="AD64" s="302"/>
      <c r="AE64" s="302"/>
    </row>
    <row r="65" spans="1:31" ht="13.5" customHeight="1">
      <c r="A65" s="306" t="s">
        <v>1016</v>
      </c>
      <c r="B65" s="307" t="s">
        <v>1001</v>
      </c>
      <c r="C65" s="304" t="s">
        <v>857</v>
      </c>
      <c r="D65" s="302"/>
      <c r="E65" s="302"/>
      <c r="F65" s="302"/>
      <c r="G65" s="302"/>
      <c r="H65" s="306" t="s">
        <v>1017</v>
      </c>
      <c r="I65" s="308" t="s">
        <v>780</v>
      </c>
      <c r="J65" s="304" t="s">
        <v>781</v>
      </c>
      <c r="K65" s="302"/>
      <c r="L65" s="302"/>
      <c r="M65" s="302"/>
      <c r="N65" s="302"/>
      <c r="O65" s="302"/>
      <c r="P65" s="302"/>
      <c r="Q65" s="302"/>
      <c r="R65" s="302"/>
      <c r="S65" s="306"/>
      <c r="T65" s="302"/>
      <c r="U65" s="302"/>
      <c r="V65" s="302"/>
      <c r="W65" s="302"/>
      <c r="X65" s="302"/>
      <c r="Y65" s="302"/>
      <c r="Z65" s="302"/>
      <c r="AA65" s="302"/>
      <c r="AB65" s="302"/>
      <c r="AC65" s="302"/>
      <c r="AD65" s="302"/>
      <c r="AE65" s="302"/>
    </row>
    <row r="66" spans="1:31" ht="13.5" customHeight="1">
      <c r="A66" s="306" t="s">
        <v>1018</v>
      </c>
      <c r="B66" s="307" t="s">
        <v>1019</v>
      </c>
      <c r="C66" s="304" t="s">
        <v>1020</v>
      </c>
      <c r="D66" s="302"/>
      <c r="E66" s="302"/>
      <c r="F66" s="302"/>
      <c r="G66" s="302"/>
      <c r="H66" s="306" t="s">
        <v>1021</v>
      </c>
      <c r="I66" s="308" t="s">
        <v>993</v>
      </c>
      <c r="J66" s="304" t="s">
        <v>814</v>
      </c>
      <c r="K66" s="302"/>
      <c r="L66" s="302"/>
      <c r="M66" s="302"/>
      <c r="N66" s="302"/>
      <c r="O66" s="302"/>
      <c r="P66" s="302"/>
      <c r="Q66" s="302"/>
      <c r="R66" s="302"/>
      <c r="S66" s="306"/>
      <c r="T66" s="302"/>
      <c r="U66" s="302"/>
      <c r="V66" s="302"/>
      <c r="W66" s="302"/>
      <c r="X66" s="302"/>
      <c r="Y66" s="302"/>
      <c r="Z66" s="302"/>
      <c r="AA66" s="302"/>
      <c r="AB66" s="302"/>
      <c r="AC66" s="302"/>
      <c r="AD66" s="302"/>
      <c r="AE66" s="302"/>
    </row>
    <row r="67" spans="1:31" ht="13.5" customHeight="1">
      <c r="A67" s="306" t="s">
        <v>1022</v>
      </c>
      <c r="B67" s="307" t="s">
        <v>1023</v>
      </c>
      <c r="C67" s="304" t="s">
        <v>1020</v>
      </c>
      <c r="D67" s="315"/>
      <c r="E67" s="315"/>
      <c r="F67" s="315"/>
      <c r="G67" s="302"/>
      <c r="H67" s="306" t="s">
        <v>1024</v>
      </c>
      <c r="I67" s="307" t="s">
        <v>831</v>
      </c>
      <c r="J67" s="304" t="s">
        <v>832</v>
      </c>
      <c r="K67" s="302"/>
      <c r="L67" s="302"/>
      <c r="M67" s="302"/>
      <c r="N67" s="302"/>
      <c r="O67" s="302"/>
      <c r="P67" s="302"/>
      <c r="Q67" s="302"/>
      <c r="R67" s="302"/>
      <c r="S67" s="306"/>
      <c r="T67" s="302"/>
      <c r="U67" s="302"/>
      <c r="V67" s="302"/>
      <c r="W67" s="302"/>
      <c r="X67" s="302"/>
      <c r="Y67" s="302"/>
      <c r="Z67" s="302"/>
      <c r="AA67" s="302"/>
      <c r="AB67" s="302"/>
      <c r="AC67" s="302"/>
      <c r="AD67" s="302"/>
      <c r="AE67" s="302"/>
    </row>
    <row r="68" spans="1:31" ht="13.5" customHeight="1">
      <c r="A68" s="306" t="s">
        <v>1025</v>
      </c>
      <c r="B68" s="307" t="s">
        <v>852</v>
      </c>
      <c r="C68" s="304" t="s">
        <v>853</v>
      </c>
      <c r="D68" s="302"/>
      <c r="E68" s="302"/>
      <c r="F68" s="302"/>
      <c r="G68" s="302"/>
      <c r="H68" s="306" t="s">
        <v>1026</v>
      </c>
      <c r="I68" s="307" t="s">
        <v>840</v>
      </c>
      <c r="J68" s="304" t="s">
        <v>841</v>
      </c>
      <c r="K68" s="302"/>
      <c r="L68" s="302"/>
      <c r="M68" s="302"/>
      <c r="N68" s="302"/>
      <c r="O68" s="302"/>
      <c r="P68" s="302"/>
      <c r="Q68" s="302"/>
      <c r="R68" s="302"/>
      <c r="S68" s="306"/>
      <c r="T68" s="302"/>
      <c r="U68" s="302"/>
      <c r="V68" s="302"/>
      <c r="W68" s="302"/>
      <c r="X68" s="302"/>
      <c r="Y68" s="302"/>
      <c r="Z68" s="302"/>
      <c r="AA68" s="302"/>
      <c r="AB68" s="302"/>
      <c r="AC68" s="302"/>
      <c r="AD68" s="302"/>
      <c r="AE68" s="302"/>
    </row>
    <row r="69" spans="1:31" ht="13.5" customHeight="1">
      <c r="A69" s="306"/>
      <c r="B69" s="302"/>
      <c r="C69" s="302"/>
      <c r="D69" s="302"/>
      <c r="E69" s="302"/>
      <c r="F69" s="302"/>
      <c r="G69" s="302"/>
      <c r="H69" s="306" t="s">
        <v>1027</v>
      </c>
      <c r="I69" s="307" t="s">
        <v>855</v>
      </c>
      <c r="J69" s="304" t="s">
        <v>856</v>
      </c>
      <c r="K69" s="302"/>
      <c r="L69" s="302"/>
      <c r="M69" s="302"/>
      <c r="N69" s="302"/>
      <c r="O69" s="302"/>
      <c r="P69" s="302"/>
      <c r="Q69" s="302"/>
      <c r="R69" s="302"/>
      <c r="S69" s="306"/>
      <c r="T69" s="302"/>
      <c r="U69" s="302"/>
      <c r="V69" s="302"/>
      <c r="W69" s="302"/>
      <c r="X69" s="302"/>
      <c r="Y69" s="302"/>
      <c r="Z69" s="302"/>
      <c r="AA69" s="302"/>
      <c r="AB69" s="302"/>
      <c r="AC69" s="302"/>
      <c r="AD69" s="302"/>
      <c r="AE69" s="302"/>
    </row>
    <row r="70" spans="1:31" ht="13.5" customHeight="1">
      <c r="A70" s="306"/>
      <c r="B70" s="307"/>
      <c r="C70" s="302"/>
      <c r="D70" s="302"/>
      <c r="E70" s="302"/>
      <c r="F70" s="302"/>
      <c r="G70" s="302"/>
      <c r="H70" s="306" t="s">
        <v>1028</v>
      </c>
      <c r="I70" s="307" t="s">
        <v>860</v>
      </c>
      <c r="J70" s="304" t="s">
        <v>887</v>
      </c>
      <c r="K70" s="302"/>
      <c r="L70" s="302"/>
      <c r="M70" s="302"/>
      <c r="N70" s="302"/>
      <c r="O70" s="302"/>
      <c r="P70" s="302"/>
      <c r="Q70" s="302"/>
      <c r="R70" s="302"/>
      <c r="S70" s="306"/>
      <c r="T70" s="302"/>
      <c r="U70" s="302"/>
      <c r="V70" s="302"/>
      <c r="W70" s="302"/>
      <c r="X70" s="302"/>
      <c r="Y70" s="302"/>
      <c r="Z70" s="302"/>
      <c r="AA70" s="302"/>
      <c r="AB70" s="302"/>
      <c r="AC70" s="302"/>
      <c r="AD70" s="302"/>
      <c r="AE70" s="302"/>
    </row>
    <row r="71" spans="1:31" ht="13.5" customHeight="1">
      <c r="A71" s="306"/>
      <c r="B71" s="307"/>
      <c r="C71" s="302"/>
      <c r="D71" s="302"/>
      <c r="E71" s="302"/>
      <c r="F71" s="302"/>
      <c r="G71" s="302"/>
      <c r="H71" s="306" t="s">
        <v>1029</v>
      </c>
      <c r="I71" s="308" t="s">
        <v>863</v>
      </c>
      <c r="J71" s="304" t="s">
        <v>864</v>
      </c>
      <c r="K71" s="302"/>
      <c r="L71" s="302"/>
      <c r="M71" s="302"/>
      <c r="N71" s="302"/>
      <c r="O71" s="302"/>
      <c r="P71" s="302"/>
      <c r="Q71" s="302"/>
      <c r="R71" s="302"/>
      <c r="S71" s="306"/>
      <c r="T71" s="302"/>
      <c r="U71" s="302"/>
      <c r="V71" s="302"/>
      <c r="W71" s="302"/>
      <c r="X71" s="302"/>
      <c r="Y71" s="302"/>
      <c r="Z71" s="302"/>
      <c r="AA71" s="302"/>
      <c r="AB71" s="302"/>
      <c r="AC71" s="302"/>
      <c r="AD71" s="302"/>
      <c r="AE71" s="302"/>
    </row>
    <row r="72" spans="1:31" ht="13.5" customHeight="1">
      <c r="A72" s="306"/>
      <c r="B72" s="307"/>
      <c r="C72" s="302"/>
      <c r="D72" s="302"/>
      <c r="E72" s="302"/>
      <c r="F72" s="302"/>
      <c r="G72" s="302"/>
      <c r="H72" s="306" t="s">
        <v>1030</v>
      </c>
      <c r="I72" s="307" t="s">
        <v>852</v>
      </c>
      <c r="J72" s="304" t="s">
        <v>853</v>
      </c>
      <c r="K72" s="302"/>
      <c r="L72" s="302"/>
      <c r="M72" s="302"/>
      <c r="N72" s="302"/>
      <c r="O72" s="302"/>
      <c r="P72" s="302"/>
      <c r="Q72" s="302"/>
      <c r="R72" s="302"/>
      <c r="S72" s="306"/>
      <c r="T72" s="302"/>
      <c r="U72" s="302"/>
      <c r="V72" s="302"/>
      <c r="W72" s="302"/>
      <c r="X72" s="302"/>
      <c r="Y72" s="302"/>
      <c r="Z72" s="302"/>
      <c r="AA72" s="302"/>
      <c r="AB72" s="302"/>
      <c r="AC72" s="302"/>
      <c r="AD72" s="302"/>
      <c r="AE72" s="302"/>
    </row>
    <row r="73" spans="1:31" ht="13.5" customHeight="1">
      <c r="A73" s="306"/>
      <c r="B73" s="302"/>
      <c r="C73" s="302"/>
      <c r="D73" s="302"/>
      <c r="E73" s="302"/>
      <c r="F73" s="302"/>
      <c r="G73" s="302"/>
      <c r="H73" s="306"/>
      <c r="I73" s="302"/>
      <c r="J73" s="302"/>
      <c r="K73" s="302"/>
      <c r="L73" s="302"/>
      <c r="M73" s="302"/>
      <c r="N73" s="302"/>
      <c r="O73" s="302"/>
      <c r="P73" s="302"/>
      <c r="Q73" s="302"/>
      <c r="R73" s="302"/>
      <c r="S73" s="306"/>
      <c r="T73" s="302"/>
      <c r="U73" s="302"/>
      <c r="V73" s="302"/>
      <c r="W73" s="302"/>
      <c r="X73" s="302"/>
      <c r="Y73" s="302"/>
      <c r="Z73" s="302"/>
      <c r="AA73" s="302"/>
      <c r="AB73" s="302"/>
      <c r="AC73" s="302"/>
      <c r="AD73" s="302"/>
      <c r="AE73" s="302"/>
    </row>
    <row r="74" spans="1:31" ht="13.5" customHeight="1">
      <c r="A74" s="197" t="s">
        <v>1031</v>
      </c>
      <c r="B74" s="198" t="s">
        <v>852</v>
      </c>
      <c r="C74" s="199"/>
      <c r="D74" s="199"/>
      <c r="E74" s="199"/>
      <c r="F74" s="199"/>
      <c r="G74" s="199"/>
      <c r="H74" s="197" t="s">
        <v>1032</v>
      </c>
      <c r="I74" s="198" t="s">
        <v>852</v>
      </c>
      <c r="J74" s="199"/>
      <c r="K74" s="199"/>
      <c r="L74" s="199"/>
      <c r="M74" s="199"/>
      <c r="N74" s="199"/>
      <c r="O74" s="302"/>
      <c r="P74" s="302"/>
      <c r="Q74" s="302"/>
      <c r="R74" s="302"/>
      <c r="S74" s="306"/>
      <c r="T74" s="302"/>
      <c r="U74" s="302"/>
      <c r="V74" s="302"/>
      <c r="W74" s="302"/>
      <c r="X74" s="302"/>
      <c r="Y74" s="302"/>
      <c r="Z74" s="302"/>
      <c r="AA74" s="302"/>
      <c r="AB74" s="302"/>
      <c r="AC74" s="302"/>
      <c r="AD74" s="302"/>
      <c r="AE74" s="302"/>
    </row>
    <row r="75" spans="1:31" ht="13.5" customHeight="1">
      <c r="A75" s="306" t="s">
        <v>1033</v>
      </c>
      <c r="B75" s="307" t="s">
        <v>1034</v>
      </c>
      <c r="C75" s="304" t="s">
        <v>1035</v>
      </c>
      <c r="D75" s="302"/>
      <c r="E75" s="302"/>
      <c r="F75" s="302"/>
      <c r="G75" s="302"/>
      <c r="H75" s="306" t="s">
        <v>1036</v>
      </c>
      <c r="I75" s="308" t="s">
        <v>780</v>
      </c>
      <c r="J75" s="304" t="s">
        <v>781</v>
      </c>
      <c r="K75" s="302"/>
      <c r="L75" s="302"/>
      <c r="M75" s="302"/>
      <c r="N75" s="302"/>
      <c r="O75" s="302"/>
      <c r="P75" s="302"/>
      <c r="Q75" s="302"/>
      <c r="R75" s="302"/>
      <c r="S75" s="306"/>
      <c r="T75" s="302"/>
      <c r="U75" s="302"/>
      <c r="V75" s="302"/>
      <c r="W75" s="302"/>
      <c r="X75" s="302"/>
      <c r="Y75" s="302"/>
      <c r="Z75" s="302"/>
      <c r="AA75" s="302"/>
      <c r="AB75" s="302"/>
      <c r="AC75" s="302"/>
      <c r="AD75" s="302"/>
      <c r="AE75" s="302"/>
    </row>
    <row r="76" spans="1:31">
      <c r="A76" s="306" t="s">
        <v>1037</v>
      </c>
      <c r="B76" s="307" t="s">
        <v>1038</v>
      </c>
      <c r="C76" s="304" t="s">
        <v>1039</v>
      </c>
      <c r="D76" s="302"/>
      <c r="E76" s="302"/>
      <c r="F76" s="302"/>
      <c r="G76" s="302"/>
      <c r="H76" s="306" t="s">
        <v>1040</v>
      </c>
      <c r="I76" s="307" t="s">
        <v>1010</v>
      </c>
      <c r="J76" s="304" t="s">
        <v>861</v>
      </c>
      <c r="K76" s="302"/>
      <c r="L76" s="302"/>
      <c r="M76" s="302"/>
      <c r="N76" s="302"/>
      <c r="O76" s="302"/>
      <c r="P76" s="302"/>
      <c r="Q76" s="302"/>
      <c r="R76" s="302"/>
      <c r="S76" s="306"/>
      <c r="T76" s="302"/>
      <c r="U76" s="302"/>
      <c r="V76" s="302"/>
      <c r="W76" s="302"/>
      <c r="X76" s="302"/>
      <c r="Y76" s="302"/>
      <c r="Z76" s="302"/>
      <c r="AA76" s="302"/>
      <c r="AB76" s="302"/>
      <c r="AC76" s="302"/>
      <c r="AD76" s="302"/>
      <c r="AE76" s="302"/>
    </row>
    <row r="77" spans="1:31">
      <c r="A77" s="306" t="s">
        <v>1041</v>
      </c>
      <c r="B77" s="307" t="s">
        <v>1042</v>
      </c>
      <c r="C77" s="304" t="s">
        <v>1043</v>
      </c>
      <c r="D77" s="302"/>
      <c r="E77" s="302"/>
      <c r="F77" s="302"/>
      <c r="G77" s="302"/>
      <c r="H77" s="306" t="s">
        <v>1044</v>
      </c>
      <c r="I77" s="308" t="s">
        <v>863</v>
      </c>
      <c r="J77" s="304" t="s">
        <v>864</v>
      </c>
      <c r="K77" s="302"/>
      <c r="L77" s="302"/>
      <c r="M77" s="302"/>
      <c r="N77" s="302"/>
      <c r="O77" s="302"/>
      <c r="P77" s="302"/>
      <c r="Q77" s="302"/>
      <c r="R77" s="302"/>
      <c r="S77" s="306"/>
      <c r="T77" s="302"/>
      <c r="U77" s="302"/>
      <c r="V77" s="302"/>
      <c r="W77" s="302"/>
      <c r="X77" s="302"/>
      <c r="Y77" s="302"/>
      <c r="Z77" s="302"/>
      <c r="AA77" s="302"/>
      <c r="AB77" s="302"/>
      <c r="AC77" s="302"/>
      <c r="AD77" s="302"/>
      <c r="AE77" s="302"/>
    </row>
    <row r="78" spans="1:31">
      <c r="A78" s="306" t="s">
        <v>1045</v>
      </c>
      <c r="B78" s="307" t="s">
        <v>1046</v>
      </c>
      <c r="C78" s="304" t="s">
        <v>1047</v>
      </c>
      <c r="D78" s="302"/>
      <c r="E78" s="302"/>
      <c r="F78" s="302"/>
      <c r="G78" s="302"/>
      <c r="H78" s="306" t="s">
        <v>1048</v>
      </c>
      <c r="I78" s="307" t="s">
        <v>852</v>
      </c>
      <c r="J78" s="304" t="s">
        <v>853</v>
      </c>
      <c r="K78" s="302"/>
      <c r="L78" s="302"/>
      <c r="M78" s="302"/>
      <c r="N78" s="302"/>
      <c r="O78" s="302"/>
      <c r="P78" s="302"/>
      <c r="Q78" s="302"/>
      <c r="R78" s="302"/>
      <c r="S78" s="306"/>
      <c r="T78" s="302"/>
      <c r="U78" s="302"/>
      <c r="V78" s="302"/>
      <c r="W78" s="302"/>
      <c r="X78" s="302"/>
      <c r="Y78" s="302"/>
      <c r="Z78" s="302"/>
      <c r="AA78" s="302"/>
      <c r="AB78" s="302"/>
      <c r="AC78" s="302"/>
      <c r="AD78" s="302"/>
      <c r="AE78" s="302"/>
    </row>
    <row r="79" spans="1:31">
      <c r="A79" s="306" t="s">
        <v>1049</v>
      </c>
      <c r="B79" s="307" t="s">
        <v>852</v>
      </c>
      <c r="C79" s="304" t="s">
        <v>853</v>
      </c>
      <c r="D79" s="302"/>
      <c r="E79" s="302"/>
      <c r="F79" s="302"/>
      <c r="G79" s="302"/>
      <c r="H79" s="306"/>
      <c r="I79" s="302"/>
      <c r="J79" s="302"/>
      <c r="K79" s="302"/>
      <c r="L79" s="302"/>
      <c r="M79" s="302"/>
      <c r="N79" s="302"/>
      <c r="O79" s="302"/>
      <c r="P79" s="302"/>
      <c r="Q79" s="302"/>
      <c r="R79" s="302"/>
      <c r="S79" s="306"/>
      <c r="T79" s="302"/>
      <c r="U79" s="302"/>
      <c r="V79" s="302"/>
      <c r="W79" s="302"/>
      <c r="X79" s="302"/>
      <c r="Y79" s="302"/>
      <c r="Z79" s="302"/>
      <c r="AA79" s="302"/>
      <c r="AB79" s="302"/>
      <c r="AC79" s="302"/>
      <c r="AD79" s="302"/>
      <c r="AE79" s="302"/>
    </row>
    <row r="80" spans="1:31">
      <c r="A80" s="306"/>
      <c r="B80" s="302"/>
      <c r="C80" s="302"/>
      <c r="D80" s="302"/>
      <c r="E80" s="302"/>
      <c r="F80" s="302"/>
      <c r="G80" s="302"/>
      <c r="H80" s="306"/>
      <c r="I80" s="302"/>
      <c r="J80" s="302"/>
      <c r="K80" s="302"/>
      <c r="L80" s="302"/>
      <c r="M80" s="302"/>
      <c r="N80" s="302"/>
      <c r="O80" s="302"/>
      <c r="P80" s="302"/>
      <c r="Q80" s="302"/>
      <c r="R80" s="302"/>
      <c r="S80" s="306"/>
      <c r="T80" s="302"/>
      <c r="U80" s="302"/>
      <c r="V80" s="302"/>
      <c r="W80" s="302"/>
      <c r="X80" s="302"/>
      <c r="Y80" s="302"/>
      <c r="Z80" s="302"/>
      <c r="AA80" s="302"/>
      <c r="AB80" s="302"/>
      <c r="AC80" s="302"/>
      <c r="AD80" s="302"/>
      <c r="AE80" s="302"/>
    </row>
    <row r="81" spans="1:31">
      <c r="A81" s="306"/>
      <c r="B81" s="302"/>
      <c r="C81" s="302"/>
      <c r="D81" s="302"/>
      <c r="E81" s="302"/>
      <c r="F81" s="302"/>
      <c r="G81" s="302"/>
      <c r="H81" s="306"/>
      <c r="I81" s="302"/>
      <c r="J81" s="302"/>
      <c r="K81" s="302"/>
      <c r="L81" s="302"/>
      <c r="M81" s="302"/>
      <c r="N81" s="302"/>
      <c r="O81" s="302"/>
      <c r="P81" s="302"/>
      <c r="Q81" s="302"/>
      <c r="R81" s="302"/>
      <c r="S81" s="306"/>
      <c r="T81" s="302"/>
      <c r="U81" s="302"/>
      <c r="V81" s="302"/>
      <c r="W81" s="302"/>
      <c r="X81" s="302"/>
      <c r="Y81" s="302"/>
      <c r="Z81" s="302"/>
      <c r="AA81" s="302"/>
      <c r="AB81" s="302"/>
      <c r="AC81" s="302"/>
      <c r="AD81" s="302"/>
      <c r="AE81" s="302"/>
    </row>
    <row r="82" spans="1:31">
      <c r="A82" s="306"/>
      <c r="B82" s="302"/>
      <c r="C82" s="302"/>
      <c r="D82" s="302"/>
      <c r="E82" s="302"/>
      <c r="F82" s="302"/>
      <c r="G82" s="302"/>
      <c r="H82" s="306"/>
      <c r="I82" s="302"/>
      <c r="J82" s="302"/>
      <c r="K82" s="302"/>
      <c r="L82" s="302"/>
      <c r="M82" s="302"/>
      <c r="N82" s="302"/>
      <c r="O82" s="302"/>
      <c r="P82" s="302"/>
      <c r="Q82" s="302"/>
      <c r="R82" s="302"/>
      <c r="S82" s="306"/>
      <c r="T82" s="302"/>
      <c r="U82" s="302"/>
      <c r="V82" s="302"/>
      <c r="W82" s="302"/>
      <c r="X82" s="302"/>
      <c r="Y82" s="302"/>
      <c r="Z82" s="302"/>
      <c r="AA82" s="302"/>
      <c r="AB82" s="302"/>
      <c r="AC82" s="302"/>
      <c r="AD82" s="302"/>
      <c r="AE82" s="302"/>
    </row>
    <row r="83" spans="1:31">
      <c r="A83" s="306"/>
      <c r="B83" s="302"/>
      <c r="C83" s="302"/>
      <c r="D83" s="302"/>
      <c r="E83" s="302"/>
      <c r="F83" s="302"/>
      <c r="G83" s="302"/>
      <c r="H83" s="306"/>
      <c r="I83" s="302"/>
      <c r="J83" s="302"/>
      <c r="K83" s="302"/>
      <c r="L83" s="302"/>
      <c r="M83" s="302"/>
      <c r="N83" s="302"/>
      <c r="O83" s="302"/>
      <c r="P83" s="302"/>
      <c r="Q83" s="302"/>
      <c r="R83" s="302"/>
      <c r="S83" s="306"/>
      <c r="T83" s="302"/>
      <c r="U83" s="302"/>
      <c r="V83" s="302"/>
      <c r="W83" s="302"/>
      <c r="X83" s="302"/>
      <c r="Y83" s="302"/>
      <c r="Z83" s="302"/>
      <c r="AA83" s="302"/>
      <c r="AB83" s="302"/>
      <c r="AC83" s="302"/>
      <c r="AD83" s="302"/>
      <c r="AE83" s="302"/>
    </row>
    <row r="84" spans="1:31">
      <c r="A84" s="306"/>
      <c r="B84" s="302" t="s">
        <v>778</v>
      </c>
      <c r="C84" s="302" t="s">
        <v>777</v>
      </c>
      <c r="D84" s="302"/>
      <c r="E84" s="302"/>
      <c r="F84" s="302"/>
      <c r="G84" s="302"/>
      <c r="H84" s="306"/>
      <c r="I84" s="302" t="s">
        <v>781</v>
      </c>
      <c r="J84" s="302" t="s">
        <v>780</v>
      </c>
      <c r="K84" s="302"/>
      <c r="L84" s="302"/>
      <c r="M84" s="302"/>
      <c r="N84" s="302"/>
      <c r="O84" s="302"/>
      <c r="P84" s="302"/>
      <c r="Q84" s="302"/>
      <c r="R84" s="302"/>
      <c r="S84" s="306"/>
      <c r="T84" s="302"/>
      <c r="U84" s="302"/>
      <c r="V84" s="302"/>
      <c r="W84" s="302"/>
      <c r="X84" s="302"/>
      <c r="Y84" s="302"/>
      <c r="Z84" s="302"/>
      <c r="AA84" s="302"/>
      <c r="AB84" s="302"/>
      <c r="AC84" s="302"/>
      <c r="AD84" s="302"/>
      <c r="AE84" s="302"/>
    </row>
    <row r="85" spans="1:31">
      <c r="A85" s="306"/>
      <c r="B85" s="302" t="s">
        <v>788</v>
      </c>
      <c r="C85" s="302" t="s">
        <v>787</v>
      </c>
      <c r="D85" s="302"/>
      <c r="E85" s="302"/>
      <c r="F85" s="302"/>
      <c r="G85" s="302"/>
      <c r="H85" s="306"/>
      <c r="I85" s="302" t="s">
        <v>791</v>
      </c>
      <c r="J85" s="302" t="s">
        <v>790</v>
      </c>
      <c r="K85" s="302"/>
      <c r="L85" s="302"/>
      <c r="M85" s="302"/>
      <c r="N85" s="302"/>
      <c r="O85" s="302"/>
      <c r="P85" s="302"/>
      <c r="Q85" s="302"/>
      <c r="R85" s="302"/>
      <c r="S85" s="306"/>
      <c r="T85" s="302"/>
      <c r="U85" s="302"/>
      <c r="V85" s="302"/>
      <c r="W85" s="302"/>
      <c r="X85" s="302"/>
      <c r="Y85" s="302"/>
      <c r="Z85" s="302"/>
      <c r="AA85" s="302"/>
      <c r="AB85" s="302"/>
      <c r="AC85" s="302"/>
      <c r="AD85" s="302"/>
      <c r="AE85" s="302"/>
    </row>
    <row r="86" spans="1:31">
      <c r="A86" s="306"/>
      <c r="B86" s="302" t="s">
        <v>799</v>
      </c>
      <c r="C86" s="302" t="s">
        <v>798</v>
      </c>
      <c r="D86" s="302"/>
      <c r="E86" s="302"/>
      <c r="F86" s="302"/>
      <c r="G86" s="302"/>
      <c r="H86" s="306"/>
      <c r="I86" s="302" t="s">
        <v>802</v>
      </c>
      <c r="J86" s="302" t="s">
        <v>801</v>
      </c>
      <c r="K86" s="302"/>
      <c r="L86" s="302"/>
      <c r="M86" s="302"/>
      <c r="N86" s="302"/>
      <c r="O86" s="302"/>
      <c r="P86" s="302"/>
      <c r="Q86" s="302"/>
      <c r="R86" s="302"/>
      <c r="S86" s="306"/>
      <c r="T86" s="302"/>
      <c r="U86" s="302"/>
      <c r="V86" s="302"/>
      <c r="W86" s="302"/>
      <c r="X86" s="302"/>
      <c r="Y86" s="302"/>
      <c r="Z86" s="302"/>
      <c r="AA86" s="302"/>
      <c r="AB86" s="302"/>
      <c r="AC86" s="302"/>
      <c r="AD86" s="302"/>
      <c r="AE86" s="302"/>
    </row>
    <row r="87" spans="1:31">
      <c r="A87" s="306"/>
      <c r="B87" s="302" t="s">
        <v>811</v>
      </c>
      <c r="C87" s="302" t="s">
        <v>810</v>
      </c>
      <c r="D87" s="302"/>
      <c r="E87" s="302"/>
      <c r="F87" s="302"/>
      <c r="G87" s="302"/>
      <c r="H87" s="306"/>
      <c r="I87" s="302" t="s">
        <v>814</v>
      </c>
      <c r="J87" s="302" t="s">
        <v>813</v>
      </c>
      <c r="K87" s="302"/>
      <c r="L87" s="302"/>
      <c r="M87" s="302"/>
      <c r="N87" s="302"/>
      <c r="O87" s="302"/>
      <c r="P87" s="302"/>
      <c r="Q87" s="302"/>
      <c r="R87" s="302"/>
      <c r="S87" s="306"/>
      <c r="T87" s="302"/>
      <c r="U87" s="302"/>
      <c r="V87" s="302"/>
      <c r="W87" s="302"/>
      <c r="X87" s="302"/>
      <c r="Y87" s="302"/>
      <c r="Z87" s="302"/>
      <c r="AA87" s="302"/>
      <c r="AB87" s="302"/>
      <c r="AC87" s="302"/>
      <c r="AD87" s="302"/>
      <c r="AE87" s="302"/>
    </row>
    <row r="88" spans="1:31">
      <c r="A88" s="306"/>
      <c r="B88" s="302" t="s">
        <v>819</v>
      </c>
      <c r="C88" s="302" t="s">
        <v>818</v>
      </c>
      <c r="D88" s="302"/>
      <c r="E88" s="302"/>
      <c r="F88" s="302"/>
      <c r="G88" s="302"/>
      <c r="H88" s="306"/>
      <c r="I88" s="302" t="s">
        <v>822</v>
      </c>
      <c r="J88" s="302" t="s">
        <v>821</v>
      </c>
      <c r="K88" s="302"/>
      <c r="L88" s="302"/>
      <c r="M88" s="302"/>
      <c r="N88" s="302"/>
      <c r="O88" s="302"/>
      <c r="P88" s="302"/>
      <c r="Q88" s="302"/>
      <c r="R88" s="302"/>
      <c r="S88" s="306"/>
      <c r="T88" s="302"/>
      <c r="U88" s="302"/>
      <c r="V88" s="302"/>
      <c r="W88" s="302"/>
      <c r="X88" s="302"/>
      <c r="Y88" s="302"/>
      <c r="Z88" s="302"/>
      <c r="AA88" s="302"/>
      <c r="AB88" s="302"/>
      <c r="AC88" s="302"/>
      <c r="AD88" s="302"/>
      <c r="AE88" s="302"/>
    </row>
    <row r="89" spans="1:31">
      <c r="A89" s="306"/>
      <c r="B89" s="302" t="s">
        <v>829</v>
      </c>
      <c r="C89" s="302" t="s">
        <v>828</v>
      </c>
      <c r="D89" s="302"/>
      <c r="E89" s="302"/>
      <c r="F89" s="302"/>
      <c r="G89" s="302"/>
      <c r="H89" s="306"/>
      <c r="I89" s="302" t="s">
        <v>832</v>
      </c>
      <c r="J89" s="302" t="s">
        <v>831</v>
      </c>
      <c r="K89" s="302"/>
      <c r="L89" s="302"/>
      <c r="M89" s="302"/>
      <c r="N89" s="302"/>
      <c r="O89" s="302"/>
      <c r="P89" s="302"/>
      <c r="Q89" s="302"/>
      <c r="R89" s="302"/>
      <c r="S89" s="306"/>
      <c r="T89" s="302"/>
      <c r="U89" s="302"/>
      <c r="V89" s="302"/>
      <c r="W89" s="302"/>
      <c r="X89" s="302"/>
      <c r="Y89" s="302"/>
      <c r="Z89" s="302"/>
      <c r="AA89" s="302"/>
      <c r="AB89" s="302"/>
      <c r="AC89" s="302"/>
      <c r="AD89" s="302"/>
      <c r="AE89" s="302"/>
    </row>
    <row r="90" spans="1:31">
      <c r="A90" s="306"/>
      <c r="B90" s="302" t="s">
        <v>838</v>
      </c>
      <c r="C90" s="302" t="s">
        <v>837</v>
      </c>
      <c r="D90" s="302"/>
      <c r="E90" s="302"/>
      <c r="F90" s="302"/>
      <c r="G90" s="302"/>
      <c r="H90" s="306"/>
      <c r="I90" s="302" t="s">
        <v>841</v>
      </c>
      <c r="J90" s="302" t="s">
        <v>840</v>
      </c>
      <c r="K90" s="302"/>
      <c r="L90" s="302"/>
      <c r="M90" s="302"/>
      <c r="N90" s="302"/>
      <c r="O90" s="302"/>
      <c r="P90" s="302"/>
      <c r="Q90" s="302"/>
      <c r="R90" s="302"/>
      <c r="S90" s="306"/>
      <c r="T90" s="302"/>
      <c r="U90" s="302"/>
      <c r="V90" s="302"/>
      <c r="W90" s="302"/>
      <c r="X90" s="302"/>
      <c r="Y90" s="302"/>
      <c r="Z90" s="302"/>
      <c r="AA90" s="302"/>
      <c r="AB90" s="302"/>
      <c r="AC90" s="302"/>
      <c r="AD90" s="302"/>
      <c r="AE90" s="302"/>
    </row>
    <row r="91" spans="1:31">
      <c r="A91" s="306"/>
      <c r="B91" s="302" t="s">
        <v>846</v>
      </c>
      <c r="C91" s="302" t="s">
        <v>845</v>
      </c>
      <c r="D91" s="302"/>
      <c r="E91" s="302"/>
      <c r="F91" s="302"/>
      <c r="G91" s="302"/>
      <c r="H91" s="306"/>
      <c r="I91" s="302" t="s">
        <v>849</v>
      </c>
      <c r="J91" s="302" t="s">
        <v>848</v>
      </c>
      <c r="K91" s="302"/>
      <c r="L91" s="302"/>
      <c r="M91" s="302"/>
      <c r="N91" s="302"/>
      <c r="O91" s="302"/>
      <c r="P91" s="302"/>
      <c r="Q91" s="302"/>
      <c r="R91" s="302"/>
      <c r="S91" s="306"/>
      <c r="T91" s="302"/>
      <c r="U91" s="302"/>
      <c r="V91" s="302"/>
      <c r="W91" s="302"/>
      <c r="X91" s="302"/>
      <c r="Y91" s="302"/>
      <c r="Z91" s="302"/>
      <c r="AA91" s="302"/>
      <c r="AB91" s="302"/>
      <c r="AC91" s="302"/>
      <c r="AD91" s="302"/>
      <c r="AE91" s="302"/>
    </row>
    <row r="92" spans="1:31">
      <c r="A92" s="306"/>
      <c r="B92" s="302" t="s">
        <v>873</v>
      </c>
      <c r="C92" s="302" t="s">
        <v>872</v>
      </c>
      <c r="D92" s="302"/>
      <c r="E92" s="302"/>
      <c r="F92" s="302"/>
      <c r="G92" s="302"/>
      <c r="H92" s="306"/>
      <c r="I92" s="302" t="s">
        <v>856</v>
      </c>
      <c r="J92" s="302" t="s">
        <v>855</v>
      </c>
      <c r="K92" s="302"/>
      <c r="L92" s="302"/>
      <c r="M92" s="302"/>
      <c r="N92" s="302"/>
      <c r="O92" s="302"/>
      <c r="P92" s="302"/>
      <c r="Q92" s="302"/>
      <c r="R92" s="302"/>
      <c r="S92" s="306"/>
      <c r="T92" s="302"/>
      <c r="U92" s="302"/>
      <c r="V92" s="302"/>
      <c r="W92" s="302"/>
      <c r="X92" s="302"/>
      <c r="Y92" s="302"/>
      <c r="Z92" s="302"/>
      <c r="AA92" s="302"/>
      <c r="AB92" s="302"/>
      <c r="AC92" s="302"/>
      <c r="AD92" s="302"/>
      <c r="AE92" s="302"/>
    </row>
    <row r="93" spans="1:31">
      <c r="A93" s="306"/>
      <c r="B93" s="302" t="s">
        <v>879</v>
      </c>
      <c r="C93" s="302" t="s">
        <v>878</v>
      </c>
      <c r="D93" s="302"/>
      <c r="E93" s="302"/>
      <c r="F93" s="302"/>
      <c r="G93" s="302"/>
      <c r="H93" s="306"/>
      <c r="I93" s="302" t="s">
        <v>861</v>
      </c>
      <c r="J93" s="302" t="s">
        <v>860</v>
      </c>
      <c r="K93" s="302"/>
      <c r="L93" s="302"/>
      <c r="M93" s="302"/>
      <c r="N93" s="302"/>
      <c r="O93" s="302"/>
      <c r="P93" s="302"/>
      <c r="Q93" s="302"/>
      <c r="R93" s="302"/>
      <c r="S93" s="306"/>
      <c r="T93" s="302"/>
      <c r="U93" s="302"/>
      <c r="V93" s="302"/>
      <c r="W93" s="302"/>
      <c r="X93" s="302"/>
      <c r="Y93" s="302"/>
      <c r="Z93" s="302"/>
      <c r="AA93" s="302"/>
      <c r="AB93" s="302"/>
      <c r="AC93" s="302"/>
      <c r="AD93" s="302"/>
      <c r="AE93" s="302"/>
    </row>
    <row r="94" spans="1:31">
      <c r="A94" s="306"/>
      <c r="B94" s="302" t="s">
        <v>901</v>
      </c>
      <c r="C94" s="302" t="s">
        <v>900</v>
      </c>
      <c r="D94" s="302"/>
      <c r="E94" s="302"/>
      <c r="F94" s="302"/>
      <c r="G94" s="302"/>
      <c r="H94" s="306"/>
      <c r="I94" s="302" t="s">
        <v>864</v>
      </c>
      <c r="J94" s="302" t="s">
        <v>863</v>
      </c>
      <c r="K94" s="302"/>
      <c r="L94" s="302"/>
      <c r="M94" s="302"/>
      <c r="N94" s="302"/>
      <c r="O94" s="302"/>
      <c r="P94" s="302"/>
      <c r="Q94" s="302"/>
      <c r="R94" s="302"/>
      <c r="S94" s="306"/>
      <c r="T94" s="302"/>
      <c r="U94" s="302"/>
      <c r="V94" s="302"/>
      <c r="W94" s="302"/>
      <c r="X94" s="302"/>
      <c r="Y94" s="302"/>
      <c r="Z94" s="302"/>
      <c r="AA94" s="302"/>
      <c r="AB94" s="302"/>
      <c r="AC94" s="302"/>
      <c r="AD94" s="302"/>
      <c r="AE94" s="302"/>
    </row>
    <row r="95" spans="1:31">
      <c r="A95" s="306"/>
      <c r="B95" s="302" t="s">
        <v>907</v>
      </c>
      <c r="C95" s="302" t="s">
        <v>906</v>
      </c>
      <c r="D95" s="302"/>
      <c r="E95" s="302"/>
      <c r="F95" s="302"/>
      <c r="G95" s="302"/>
      <c r="H95" s="306"/>
      <c r="I95" s="302" t="s">
        <v>875</v>
      </c>
      <c r="J95" s="302" t="s">
        <v>790</v>
      </c>
      <c r="K95" s="302"/>
      <c r="L95" s="302"/>
      <c r="M95" s="302"/>
      <c r="N95" s="302"/>
      <c r="O95" s="302"/>
      <c r="P95" s="302"/>
      <c r="Q95" s="302"/>
      <c r="R95" s="302"/>
      <c r="S95" s="306"/>
      <c r="T95" s="302"/>
      <c r="U95" s="302"/>
      <c r="V95" s="302"/>
      <c r="W95" s="302"/>
      <c r="X95" s="302"/>
      <c r="Y95" s="302"/>
      <c r="Z95" s="302"/>
      <c r="AA95" s="302"/>
      <c r="AB95" s="302"/>
      <c r="AC95" s="302"/>
      <c r="AD95" s="302"/>
      <c r="AE95" s="302"/>
    </row>
    <row r="96" spans="1:31">
      <c r="A96" s="306"/>
      <c r="B96" s="302" t="s">
        <v>912</v>
      </c>
      <c r="C96" s="302" t="s">
        <v>911</v>
      </c>
      <c r="D96" s="302"/>
      <c r="E96" s="302"/>
      <c r="F96" s="302"/>
      <c r="G96" s="302"/>
      <c r="H96" s="306"/>
      <c r="I96" s="302" t="s">
        <v>919</v>
      </c>
      <c r="J96" s="302" t="s">
        <v>918</v>
      </c>
      <c r="K96" s="302"/>
      <c r="L96" s="302"/>
      <c r="M96" s="302"/>
      <c r="N96" s="302"/>
      <c r="O96" s="302"/>
      <c r="P96" s="302"/>
      <c r="Q96" s="302"/>
      <c r="R96" s="302"/>
      <c r="S96" s="306"/>
      <c r="T96" s="302"/>
      <c r="U96" s="302"/>
      <c r="V96" s="302"/>
      <c r="W96" s="302"/>
      <c r="X96" s="302"/>
      <c r="Y96" s="302"/>
      <c r="Z96" s="302"/>
      <c r="AA96" s="302"/>
      <c r="AB96" s="302"/>
      <c r="AC96" s="302"/>
      <c r="AD96" s="302"/>
      <c r="AE96" s="302"/>
    </row>
    <row r="97" spans="1:31">
      <c r="A97" s="306"/>
      <c r="B97" s="302" t="s">
        <v>838</v>
      </c>
      <c r="C97" s="302" t="s">
        <v>916</v>
      </c>
      <c r="D97" s="302"/>
      <c r="E97" s="302"/>
      <c r="F97" s="302"/>
      <c r="G97" s="302"/>
      <c r="H97" s="306"/>
      <c r="I97" s="302" t="s">
        <v>781</v>
      </c>
      <c r="J97" s="302" t="s">
        <v>937</v>
      </c>
      <c r="K97" s="302"/>
      <c r="L97" s="302"/>
      <c r="M97" s="302"/>
      <c r="N97" s="302"/>
      <c r="O97" s="302"/>
      <c r="P97" s="302"/>
      <c r="Q97" s="302"/>
      <c r="R97" s="302"/>
      <c r="S97" s="306"/>
      <c r="T97" s="302"/>
      <c r="U97" s="302"/>
      <c r="V97" s="302"/>
      <c r="W97" s="302"/>
      <c r="X97" s="302"/>
      <c r="Y97" s="302"/>
      <c r="Z97" s="302"/>
      <c r="AA97" s="302"/>
      <c r="AB97" s="302"/>
      <c r="AC97" s="302"/>
      <c r="AD97" s="302"/>
      <c r="AE97" s="302"/>
    </row>
    <row r="98" spans="1:31">
      <c r="A98" s="306"/>
      <c r="B98" s="302" t="s">
        <v>935</v>
      </c>
      <c r="C98" s="302" t="s">
        <v>934</v>
      </c>
      <c r="D98" s="302"/>
      <c r="E98" s="302"/>
      <c r="F98" s="302"/>
      <c r="G98" s="302"/>
      <c r="H98" s="306"/>
      <c r="I98" s="302" t="s">
        <v>943</v>
      </c>
      <c r="J98" s="302" t="s">
        <v>942</v>
      </c>
      <c r="K98" s="302"/>
      <c r="L98" s="302"/>
      <c r="M98" s="302"/>
      <c r="N98" s="302"/>
      <c r="O98" s="302"/>
      <c r="P98" s="302"/>
      <c r="Q98" s="302"/>
      <c r="R98" s="302"/>
      <c r="S98" s="306"/>
      <c r="T98" s="302"/>
      <c r="U98" s="302"/>
      <c r="V98" s="302"/>
      <c r="W98" s="302"/>
      <c r="X98" s="302"/>
      <c r="Y98" s="302"/>
      <c r="Z98" s="302"/>
      <c r="AA98" s="302"/>
      <c r="AB98" s="302"/>
      <c r="AC98" s="302"/>
      <c r="AD98" s="302"/>
      <c r="AE98" s="302"/>
    </row>
    <row r="99" spans="1:31">
      <c r="A99" s="306"/>
      <c r="B99" s="302" t="s">
        <v>940</v>
      </c>
      <c r="C99" s="302" t="s">
        <v>939</v>
      </c>
      <c r="D99" s="302"/>
      <c r="E99" s="302"/>
      <c r="F99" s="302"/>
      <c r="G99" s="302"/>
      <c r="H99" s="306"/>
      <c r="I99" s="302" t="s">
        <v>955</v>
      </c>
      <c r="J99" s="302" t="s">
        <v>954</v>
      </c>
      <c r="K99" s="302"/>
      <c r="L99" s="302"/>
      <c r="M99" s="302"/>
      <c r="N99" s="302"/>
      <c r="O99" s="302"/>
      <c r="P99" s="302"/>
      <c r="Q99" s="302"/>
      <c r="R99" s="302"/>
      <c r="S99" s="306"/>
      <c r="T99" s="302"/>
      <c r="U99" s="302"/>
      <c r="V99" s="302"/>
      <c r="W99" s="302"/>
      <c r="X99" s="302"/>
      <c r="Y99" s="302"/>
      <c r="Z99" s="302"/>
      <c r="AA99" s="302"/>
      <c r="AB99" s="302"/>
      <c r="AC99" s="302"/>
      <c r="AD99" s="302"/>
      <c r="AE99" s="302"/>
    </row>
    <row r="100" spans="1:31">
      <c r="A100" s="306"/>
      <c r="B100" s="302" t="s">
        <v>947</v>
      </c>
      <c r="C100" s="302" t="s">
        <v>946</v>
      </c>
      <c r="D100" s="302"/>
      <c r="E100" s="302"/>
      <c r="F100" s="302"/>
      <c r="G100" s="302"/>
      <c r="H100" s="306"/>
      <c r="I100" s="302" t="s">
        <v>965</v>
      </c>
      <c r="J100" s="302" t="s">
        <v>964</v>
      </c>
      <c r="K100" s="302"/>
      <c r="L100" s="302"/>
      <c r="M100" s="302"/>
      <c r="N100" s="302"/>
      <c r="O100" s="302"/>
      <c r="P100" s="302"/>
      <c r="Q100" s="302"/>
      <c r="R100" s="302"/>
      <c r="S100" s="306"/>
      <c r="T100" s="302"/>
      <c r="U100" s="302"/>
      <c r="V100" s="302"/>
      <c r="W100" s="302"/>
      <c r="X100" s="302"/>
      <c r="Y100" s="302"/>
      <c r="Z100" s="302"/>
      <c r="AA100" s="302"/>
      <c r="AB100" s="302"/>
      <c r="AC100" s="302"/>
      <c r="AD100" s="302"/>
      <c r="AE100" s="302"/>
    </row>
    <row r="101" spans="1:31">
      <c r="A101" s="306"/>
      <c r="B101" s="302" t="s">
        <v>952</v>
      </c>
      <c r="C101" s="302" t="s">
        <v>951</v>
      </c>
      <c r="D101" s="302"/>
      <c r="E101" s="302"/>
      <c r="F101" s="302"/>
      <c r="G101" s="302"/>
      <c r="H101" s="306"/>
      <c r="I101" s="302" t="s">
        <v>975</v>
      </c>
      <c r="J101" s="302" t="s">
        <v>974</v>
      </c>
      <c r="K101" s="302"/>
      <c r="L101" s="302"/>
      <c r="M101" s="302"/>
      <c r="N101" s="302"/>
      <c r="O101" s="302"/>
      <c r="P101" s="302"/>
      <c r="Q101" s="302"/>
      <c r="R101" s="302"/>
      <c r="S101" s="306"/>
      <c r="T101" s="302"/>
      <c r="U101" s="302"/>
      <c r="V101" s="302"/>
      <c r="W101" s="302"/>
      <c r="X101" s="302"/>
      <c r="Y101" s="302"/>
      <c r="Z101" s="302"/>
      <c r="AA101" s="302"/>
      <c r="AB101" s="302"/>
      <c r="AC101" s="302"/>
      <c r="AD101" s="302"/>
      <c r="AE101" s="302"/>
    </row>
    <row r="102" spans="1:31">
      <c r="A102" s="306"/>
      <c r="B102" s="302" t="s">
        <v>958</v>
      </c>
      <c r="C102" s="302" t="s">
        <v>957</v>
      </c>
      <c r="D102" s="302"/>
      <c r="E102" s="302"/>
      <c r="F102" s="302"/>
      <c r="G102" s="302"/>
      <c r="H102" s="306"/>
      <c r="I102" s="302" t="s">
        <v>978</v>
      </c>
      <c r="J102" s="302" t="s">
        <v>863</v>
      </c>
      <c r="K102" s="302"/>
      <c r="L102" s="302"/>
      <c r="M102" s="302"/>
      <c r="N102" s="302"/>
      <c r="O102" s="302"/>
      <c r="P102" s="302"/>
      <c r="Q102" s="302"/>
      <c r="R102" s="302"/>
      <c r="S102" s="306"/>
      <c r="T102" s="302"/>
      <c r="U102" s="302"/>
      <c r="V102" s="302"/>
      <c r="W102" s="302"/>
      <c r="X102" s="302"/>
      <c r="Y102" s="302"/>
      <c r="Z102" s="302"/>
      <c r="AA102" s="302"/>
      <c r="AB102" s="302"/>
      <c r="AC102" s="302"/>
      <c r="AD102" s="302"/>
      <c r="AE102" s="302"/>
    </row>
    <row r="103" spans="1:31">
      <c r="A103" s="306"/>
      <c r="B103" s="302" t="s">
        <v>962</v>
      </c>
      <c r="C103" s="302" t="s">
        <v>961</v>
      </c>
      <c r="D103" s="302"/>
      <c r="E103" s="302"/>
      <c r="F103" s="302"/>
      <c r="G103" s="302"/>
      <c r="H103" s="306"/>
      <c r="I103" s="302" t="s">
        <v>861</v>
      </c>
      <c r="J103" s="302" t="s">
        <v>1010</v>
      </c>
      <c r="K103" s="302"/>
      <c r="L103" s="302"/>
      <c r="M103" s="302"/>
      <c r="N103" s="302"/>
      <c r="O103" s="302"/>
      <c r="P103" s="302"/>
      <c r="Q103" s="302"/>
      <c r="R103" s="302"/>
      <c r="S103" s="306"/>
      <c r="T103" s="302"/>
      <c r="U103" s="302"/>
      <c r="V103" s="302"/>
      <c r="W103" s="302"/>
      <c r="X103" s="302"/>
      <c r="Y103" s="302"/>
      <c r="Z103" s="302"/>
      <c r="AA103" s="302"/>
      <c r="AB103" s="302"/>
      <c r="AC103" s="302"/>
      <c r="AD103" s="302"/>
      <c r="AE103" s="302"/>
    </row>
    <row r="104" spans="1:31">
      <c r="A104" s="306"/>
      <c r="B104" s="302" t="s">
        <v>968</v>
      </c>
      <c r="C104" s="302" t="s">
        <v>967</v>
      </c>
      <c r="D104" s="302"/>
      <c r="E104" s="302"/>
      <c r="F104" s="302"/>
      <c r="G104" s="302"/>
      <c r="H104" s="306"/>
      <c r="I104" s="302" t="s">
        <v>887</v>
      </c>
      <c r="J104" s="302" t="s">
        <v>860</v>
      </c>
      <c r="K104" s="302"/>
      <c r="L104" s="302"/>
      <c r="M104" s="302"/>
      <c r="N104" s="302"/>
      <c r="O104" s="302"/>
      <c r="P104" s="302"/>
      <c r="Q104" s="302"/>
      <c r="R104" s="302"/>
      <c r="S104" s="306"/>
      <c r="T104" s="302"/>
      <c r="U104" s="302"/>
      <c r="V104" s="302"/>
      <c r="W104" s="302"/>
      <c r="X104" s="302"/>
      <c r="Y104" s="302"/>
      <c r="Z104" s="302"/>
      <c r="AA104" s="302"/>
      <c r="AB104" s="302"/>
      <c r="AC104" s="302"/>
      <c r="AD104" s="302"/>
      <c r="AE104" s="302"/>
    </row>
    <row r="105" spans="1:31">
      <c r="A105" s="306"/>
      <c r="B105" s="302" t="s">
        <v>972</v>
      </c>
      <c r="C105" s="302" t="s">
        <v>971</v>
      </c>
      <c r="D105" s="302"/>
      <c r="E105" s="302"/>
      <c r="F105" s="302"/>
      <c r="G105" s="302"/>
      <c r="H105" s="306"/>
      <c r="I105" s="302" t="s">
        <v>853</v>
      </c>
      <c r="J105" s="302" t="s">
        <v>852</v>
      </c>
      <c r="K105" s="302"/>
      <c r="L105" s="302"/>
      <c r="M105" s="302"/>
      <c r="N105" s="302"/>
      <c r="O105" s="302"/>
      <c r="P105" s="302"/>
      <c r="Q105" s="302"/>
      <c r="R105" s="302"/>
      <c r="S105" s="306"/>
      <c r="T105" s="302"/>
      <c r="U105" s="302"/>
      <c r="V105" s="302"/>
      <c r="W105" s="302"/>
      <c r="X105" s="302"/>
      <c r="Y105" s="302"/>
      <c r="Z105" s="302"/>
      <c r="AA105" s="302"/>
      <c r="AB105" s="302"/>
      <c r="AC105" s="302"/>
      <c r="AD105" s="302"/>
      <c r="AE105" s="302"/>
    </row>
    <row r="106" spans="1:31">
      <c r="A106" s="306"/>
      <c r="B106" s="302" t="s">
        <v>981</v>
      </c>
      <c r="C106" s="302" t="s">
        <v>980</v>
      </c>
      <c r="D106" s="302"/>
      <c r="E106" s="302"/>
      <c r="F106" s="302"/>
      <c r="G106" s="302"/>
      <c r="H106" s="306"/>
      <c r="I106" s="302"/>
      <c r="J106" s="302"/>
      <c r="K106" s="302"/>
      <c r="L106" s="302"/>
      <c r="M106" s="302"/>
      <c r="N106" s="302"/>
      <c r="O106" s="302"/>
      <c r="P106" s="302"/>
      <c r="Q106" s="302"/>
      <c r="R106" s="302"/>
      <c r="S106" s="306"/>
      <c r="T106" s="302"/>
      <c r="U106" s="302"/>
      <c r="V106" s="302"/>
      <c r="W106" s="302"/>
      <c r="X106" s="302"/>
      <c r="Y106" s="302"/>
      <c r="Z106" s="302"/>
      <c r="AA106" s="302"/>
      <c r="AB106" s="302"/>
      <c r="AC106" s="302"/>
      <c r="AD106" s="302"/>
      <c r="AE106" s="302"/>
    </row>
    <row r="107" spans="1:31" ht="14.4">
      <c r="A107" s="306"/>
      <c r="B107" s="302" t="s">
        <v>323</v>
      </c>
      <c r="C107" s="302" t="s">
        <v>988</v>
      </c>
      <c r="D107" s="302"/>
      <c r="E107" s="302"/>
      <c r="F107" s="302"/>
      <c r="G107" s="302"/>
      <c r="H107" s="306"/>
      <c r="I107"/>
      <c r="J107"/>
      <c r="K107" s="302"/>
      <c r="L107" s="302"/>
      <c r="M107" s="302"/>
      <c r="N107" s="302"/>
      <c r="O107" s="302"/>
      <c r="P107" s="302"/>
      <c r="Q107" s="302"/>
      <c r="R107" s="302"/>
      <c r="S107" s="306"/>
      <c r="T107" s="302"/>
      <c r="U107" s="302"/>
      <c r="V107" s="302"/>
      <c r="W107" s="302"/>
      <c r="X107" s="302"/>
      <c r="Y107" s="302"/>
      <c r="Z107" s="302"/>
      <c r="AA107" s="302"/>
      <c r="AB107" s="302"/>
      <c r="AC107" s="302"/>
      <c r="AD107" s="302"/>
      <c r="AE107" s="302"/>
    </row>
    <row r="108" spans="1:31" ht="14.4">
      <c r="A108" s="306"/>
      <c r="B108" s="302" t="s">
        <v>213</v>
      </c>
      <c r="C108" s="302" t="s">
        <v>991</v>
      </c>
      <c r="D108" s="302"/>
      <c r="E108" s="302"/>
      <c r="F108" s="302"/>
      <c r="G108" s="302"/>
      <c r="H108" s="306"/>
      <c r="I108"/>
      <c r="J108"/>
      <c r="K108" s="302"/>
      <c r="L108" s="302"/>
      <c r="M108" s="302"/>
      <c r="N108" s="302"/>
      <c r="O108" s="302"/>
      <c r="P108" s="302"/>
      <c r="Q108" s="302"/>
      <c r="R108" s="302"/>
      <c r="S108" s="306"/>
      <c r="T108" s="302"/>
      <c r="U108" s="302"/>
      <c r="V108" s="302"/>
      <c r="W108" s="302"/>
      <c r="X108" s="302"/>
      <c r="Y108" s="302"/>
      <c r="Z108" s="302"/>
      <c r="AA108" s="302"/>
      <c r="AB108" s="302"/>
      <c r="AC108" s="302"/>
      <c r="AD108" s="302"/>
      <c r="AE108" s="302"/>
    </row>
    <row r="109" spans="1:31" ht="14.4">
      <c r="A109" s="306"/>
      <c r="B109" s="302" t="s">
        <v>215</v>
      </c>
      <c r="C109" s="302" t="s">
        <v>995</v>
      </c>
      <c r="D109" s="302"/>
      <c r="E109" s="302"/>
      <c r="F109" s="302"/>
      <c r="G109" s="302"/>
      <c r="H109" s="306"/>
      <c r="I109"/>
      <c r="J109"/>
      <c r="K109" s="302"/>
      <c r="L109" s="302"/>
      <c r="M109" s="302"/>
      <c r="N109" s="302"/>
      <c r="O109" s="302"/>
      <c r="P109" s="302"/>
      <c r="Q109" s="302"/>
      <c r="R109" s="302"/>
      <c r="S109" s="306"/>
      <c r="T109" s="302"/>
      <c r="U109" s="302"/>
      <c r="V109" s="302"/>
      <c r="W109" s="302"/>
      <c r="X109" s="302"/>
      <c r="Y109" s="302"/>
      <c r="Z109" s="302"/>
      <c r="AA109" s="302"/>
      <c r="AB109" s="302"/>
      <c r="AC109" s="302"/>
      <c r="AD109" s="302"/>
      <c r="AE109" s="302"/>
    </row>
    <row r="110" spans="1:31" ht="14.4">
      <c r="A110" s="306"/>
      <c r="B110" s="302" t="s">
        <v>218</v>
      </c>
      <c r="C110" s="302" t="s">
        <v>998</v>
      </c>
      <c r="D110" s="302"/>
      <c r="E110" s="302"/>
      <c r="F110" s="302"/>
      <c r="G110" s="302"/>
      <c r="H110" s="306"/>
      <c r="I110"/>
      <c r="J110"/>
      <c r="K110" s="302"/>
      <c r="L110" s="302"/>
      <c r="M110" s="302"/>
      <c r="N110" s="302"/>
      <c r="O110" s="302"/>
      <c r="P110" s="302"/>
      <c r="Q110" s="302"/>
      <c r="R110" s="302"/>
      <c r="S110" s="306"/>
      <c r="T110" s="302"/>
      <c r="U110" s="302"/>
      <c r="V110" s="302"/>
      <c r="W110" s="302"/>
      <c r="X110" s="302"/>
      <c r="Y110" s="302"/>
      <c r="Z110" s="302"/>
      <c r="AA110" s="302"/>
      <c r="AB110" s="302"/>
      <c r="AC110" s="302"/>
      <c r="AD110" s="302"/>
      <c r="AE110" s="302"/>
    </row>
    <row r="111" spans="1:31" ht="14.4">
      <c r="A111" s="306"/>
      <c r="B111" s="302" t="s">
        <v>1002</v>
      </c>
      <c r="C111" s="302" t="s">
        <v>1001</v>
      </c>
      <c r="D111" s="302"/>
      <c r="E111" s="302"/>
      <c r="F111" s="302"/>
      <c r="G111" s="302"/>
      <c r="H111" s="306"/>
      <c r="I111"/>
      <c r="J111"/>
      <c r="K111" s="302"/>
      <c r="L111" s="302"/>
      <c r="M111" s="302"/>
      <c r="N111" s="302"/>
      <c r="O111" s="302"/>
      <c r="P111" s="302"/>
      <c r="Q111" s="302"/>
      <c r="R111" s="302"/>
      <c r="S111" s="306"/>
      <c r="T111" s="302"/>
      <c r="U111" s="302"/>
      <c r="V111" s="302"/>
      <c r="W111" s="302"/>
      <c r="X111" s="302"/>
      <c r="Y111" s="302"/>
      <c r="Z111" s="302"/>
      <c r="AA111" s="302"/>
      <c r="AB111" s="302"/>
      <c r="AC111" s="302"/>
      <c r="AD111" s="302"/>
      <c r="AE111" s="302"/>
    </row>
    <row r="112" spans="1:31" ht="14.4">
      <c r="A112" s="306"/>
      <c r="B112" s="302" t="s">
        <v>1006</v>
      </c>
      <c r="C112" s="302" t="s">
        <v>1005</v>
      </c>
      <c r="D112" s="302"/>
      <c r="E112" s="302"/>
      <c r="F112" s="302"/>
      <c r="G112" s="302"/>
      <c r="H112" s="306"/>
      <c r="I112"/>
      <c r="J112"/>
      <c r="K112" s="302"/>
      <c r="L112" s="302"/>
      <c r="M112" s="302"/>
      <c r="N112" s="302"/>
      <c r="O112" s="302"/>
      <c r="P112" s="302"/>
      <c r="Q112" s="302"/>
      <c r="R112" s="302"/>
      <c r="S112" s="306"/>
      <c r="T112" s="302"/>
      <c r="U112" s="302"/>
      <c r="V112" s="302"/>
      <c r="W112" s="302"/>
      <c r="X112" s="302"/>
      <c r="Y112" s="302"/>
      <c r="Z112" s="302"/>
      <c r="AA112" s="302"/>
      <c r="AB112" s="302"/>
      <c r="AC112" s="302"/>
      <c r="AD112" s="302"/>
      <c r="AE112" s="302"/>
    </row>
    <row r="113" spans="1:31" ht="14.4">
      <c r="A113" s="306"/>
      <c r="B113" s="302" t="s">
        <v>857</v>
      </c>
      <c r="C113" s="302" t="s">
        <v>1001</v>
      </c>
      <c r="D113" s="302"/>
      <c r="E113" s="302"/>
      <c r="F113" s="302"/>
      <c r="G113" s="302"/>
      <c r="H113" s="306"/>
      <c r="I113"/>
      <c r="J113"/>
      <c r="K113" s="302"/>
      <c r="L113" s="302"/>
      <c r="M113" s="302"/>
      <c r="N113" s="302"/>
      <c r="O113" s="302"/>
      <c r="P113" s="302"/>
      <c r="Q113" s="302"/>
      <c r="R113" s="302"/>
      <c r="S113" s="306"/>
      <c r="T113" s="302"/>
      <c r="U113" s="302"/>
      <c r="V113" s="302"/>
      <c r="W113" s="302"/>
      <c r="X113" s="302"/>
      <c r="Y113" s="302"/>
      <c r="Z113" s="302"/>
      <c r="AA113" s="302"/>
      <c r="AB113" s="302"/>
      <c r="AC113" s="302"/>
      <c r="AD113" s="302"/>
      <c r="AE113" s="302"/>
    </row>
    <row r="114" spans="1:31" ht="14.4">
      <c r="A114" s="306"/>
      <c r="B114" s="302" t="s">
        <v>1020</v>
      </c>
      <c r="C114" s="302" t="s">
        <v>1019</v>
      </c>
      <c r="D114" s="302"/>
      <c r="E114" s="302"/>
      <c r="F114" s="302"/>
      <c r="G114" s="302"/>
      <c r="H114" s="306"/>
      <c r="I114"/>
      <c r="J114"/>
      <c r="K114" s="302"/>
      <c r="L114" s="302"/>
      <c r="M114" s="302"/>
      <c r="N114" s="302"/>
      <c r="O114" s="302"/>
      <c r="P114" s="302"/>
      <c r="Q114" s="302"/>
      <c r="R114" s="302"/>
      <c r="S114" s="306"/>
      <c r="T114" s="302"/>
      <c r="U114" s="302"/>
      <c r="V114" s="302"/>
      <c r="W114" s="302"/>
      <c r="X114" s="302"/>
      <c r="Y114" s="302"/>
      <c r="Z114" s="302"/>
      <c r="AA114" s="302"/>
      <c r="AB114" s="302"/>
      <c r="AC114" s="302"/>
      <c r="AD114" s="302"/>
      <c r="AE114" s="302"/>
    </row>
    <row r="115" spans="1:31" ht="14.4">
      <c r="A115" s="306"/>
      <c r="B115" s="302" t="s">
        <v>1035</v>
      </c>
      <c r="C115" s="302" t="s">
        <v>1034</v>
      </c>
      <c r="D115" s="302"/>
      <c r="E115" s="302"/>
      <c r="F115" s="302"/>
      <c r="G115" s="302"/>
      <c r="H115" s="306"/>
      <c r="I115"/>
      <c r="J115"/>
      <c r="K115" s="302"/>
      <c r="L115" s="302"/>
      <c r="M115" s="302"/>
      <c r="N115" s="302"/>
      <c r="O115" s="302"/>
      <c r="P115" s="302"/>
      <c r="Q115" s="302"/>
      <c r="R115" s="302"/>
      <c r="S115" s="306"/>
      <c r="T115" s="302"/>
      <c r="U115" s="302"/>
      <c r="V115" s="302"/>
      <c r="W115" s="302"/>
      <c r="X115" s="302"/>
      <c r="Y115" s="302"/>
      <c r="Z115" s="302"/>
      <c r="AA115" s="302"/>
      <c r="AB115" s="302"/>
      <c r="AC115" s="302"/>
      <c r="AD115" s="302"/>
      <c r="AE115" s="302"/>
    </row>
    <row r="116" spans="1:31" ht="14.4">
      <c r="A116" s="306"/>
      <c r="B116" s="302" t="s">
        <v>1039</v>
      </c>
      <c r="C116" s="302" t="s">
        <v>1038</v>
      </c>
      <c r="D116" s="302"/>
      <c r="E116" s="302"/>
      <c r="F116" s="302"/>
      <c r="G116" s="302"/>
      <c r="H116" s="306"/>
      <c r="I116"/>
      <c r="J116"/>
      <c r="K116" s="302"/>
      <c r="L116" s="302"/>
      <c r="M116" s="302"/>
      <c r="N116" s="302"/>
      <c r="O116" s="302"/>
      <c r="P116" s="302"/>
      <c r="Q116" s="302"/>
      <c r="R116" s="302"/>
      <c r="S116" s="306"/>
      <c r="T116" s="302"/>
      <c r="U116" s="302"/>
      <c r="V116" s="302"/>
      <c r="W116" s="302"/>
      <c r="X116" s="302"/>
      <c r="Y116" s="302"/>
      <c r="Z116" s="302"/>
      <c r="AA116" s="302"/>
      <c r="AB116" s="302"/>
      <c r="AC116" s="302"/>
      <c r="AD116" s="302"/>
      <c r="AE116" s="302"/>
    </row>
    <row r="117" spans="1:31" ht="14.4">
      <c r="A117" s="306"/>
      <c r="B117" s="302" t="s">
        <v>1043</v>
      </c>
      <c r="C117" s="302" t="s">
        <v>1042</v>
      </c>
      <c r="D117" s="302"/>
      <c r="E117" s="302"/>
      <c r="F117" s="302"/>
      <c r="G117" s="302"/>
      <c r="H117" s="306"/>
      <c r="I117"/>
      <c r="J117"/>
      <c r="K117" s="302"/>
      <c r="L117" s="302"/>
      <c r="M117" s="302"/>
      <c r="N117" s="302"/>
      <c r="O117" s="302"/>
      <c r="P117" s="302"/>
      <c r="Q117" s="302"/>
      <c r="R117" s="302"/>
      <c r="S117" s="306"/>
      <c r="T117" s="302"/>
      <c r="U117" s="302"/>
      <c r="V117" s="302"/>
      <c r="W117" s="302"/>
      <c r="X117" s="302"/>
      <c r="Y117" s="302"/>
      <c r="Z117" s="302"/>
      <c r="AA117" s="302"/>
      <c r="AB117" s="302"/>
      <c r="AC117" s="302"/>
      <c r="AD117" s="302"/>
      <c r="AE117" s="302"/>
    </row>
    <row r="118" spans="1:31" ht="14.4">
      <c r="A118" s="306"/>
      <c r="B118" s="302" t="s">
        <v>1047</v>
      </c>
      <c r="C118" s="302" t="s">
        <v>1046</v>
      </c>
      <c r="D118" s="302"/>
      <c r="E118" s="302"/>
      <c r="F118" s="302"/>
      <c r="G118" s="302"/>
      <c r="H118" s="306"/>
      <c r="I118"/>
      <c r="J118"/>
      <c r="K118" s="302"/>
      <c r="L118" s="302"/>
      <c r="M118" s="302"/>
      <c r="N118" s="302"/>
      <c r="O118" s="302"/>
      <c r="P118" s="302"/>
      <c r="Q118" s="302"/>
      <c r="R118" s="302"/>
      <c r="S118" s="306"/>
      <c r="T118" s="302"/>
      <c r="U118" s="302"/>
      <c r="V118" s="302"/>
      <c r="W118" s="302"/>
      <c r="X118" s="302"/>
      <c r="Y118" s="302"/>
      <c r="Z118" s="302"/>
      <c r="AA118" s="302"/>
      <c r="AB118" s="302"/>
      <c r="AC118" s="302"/>
      <c r="AD118" s="302"/>
      <c r="AE118" s="302"/>
    </row>
    <row r="119" spans="1:31" ht="14.4">
      <c r="A119" s="306"/>
      <c r="B119" s="302" t="s">
        <v>853</v>
      </c>
      <c r="C119" s="302" t="s">
        <v>852</v>
      </c>
      <c r="D119" s="302"/>
      <c r="E119" s="302"/>
      <c r="F119" s="302"/>
      <c r="G119" s="302"/>
      <c r="H119" s="306"/>
      <c r="I119"/>
      <c r="J119"/>
      <c r="K119" s="302"/>
      <c r="L119" s="302"/>
      <c r="M119" s="302"/>
      <c r="N119" s="302"/>
      <c r="O119" s="302"/>
      <c r="P119" s="302"/>
      <c r="Q119" s="302"/>
      <c r="R119" s="302"/>
      <c r="S119" s="306"/>
      <c r="T119" s="302"/>
      <c r="U119" s="302"/>
      <c r="V119" s="302"/>
      <c r="W119" s="302"/>
      <c r="X119" s="302"/>
      <c r="Y119" s="302"/>
      <c r="Z119" s="302"/>
      <c r="AA119" s="302"/>
      <c r="AB119" s="302"/>
      <c r="AC119" s="302"/>
      <c r="AD119" s="302"/>
      <c r="AE119" s="302"/>
    </row>
  </sheetData>
  <sheetProtection formatRows="0"/>
  <mergeCells count="4">
    <mergeCell ref="A1:P1"/>
    <mergeCell ref="G40:G41"/>
    <mergeCell ref="G42:G43"/>
    <mergeCell ref="G44:G45"/>
  </mergeCells>
  <conditionalFormatting sqref="A16:F16">
    <cfRule type="expression" dxfId="341" priority="1" stopIfTrue="1">
      <formula>$B$11&lt;&gt;$Q$8</formula>
    </cfRule>
  </conditionalFormatting>
  <dataValidations count="9">
    <dataValidation allowBlank="1" showInputMessage="1" showErrorMessage="1" prompt="Buildings and facilities owned by the local authority. Facilities refer to energy consuming entities that are not buildings, such as wastewater treatment plants." sqref="X5" xr:uid="{00000000-0002-0000-1F00-000000000000}"/>
    <dataValidation allowBlank="1" showInputMessage="1" showErrorMessage="1" prompt="Buildings and facilities of the tertiary sector (services), for example offices of private companies, banks, commercial and retail activities, hospitals, etc. " sqref="X6" xr:uid="{00000000-0002-0000-1F00-000001000000}"/>
    <dataValidation allowBlank="1" showInputMessage="1" showErrorMessage="1" prompt="Buildings that are primarily used as residential buildings. Social housing should be included in this sector." sqref="X7" xr:uid="{00000000-0002-0000-1F00-000002000000}"/>
    <dataValidation allowBlank="1" showInputMessage="1" showErrorMessage="1" prompt="Public lighting owned or operated by the local authority (e.g. street lighting and traffic lights). Non-municipal public lighting is included in the sector of “Tertiary buildings, equipment/facilities”." sqref="X8" xr:uid="{00000000-0002-0000-1F00-000003000000}"/>
    <dataValidation allowBlank="1" showInputMessage="1" showErrorMessage="1" prompt="Refers to manufacturing and construction industries." sqref="X9" xr:uid="{00000000-0002-0000-1F00-000004000000}"/>
    <dataValidation allowBlank="1" showInputMessage="1" showErrorMessage="1" prompt="Transport of persons and goods._x000a__x000a__x000a_" sqref="X10 X14" xr:uid="{00000000-0002-0000-1F00-000005000000}"/>
    <dataValidation allowBlank="1" showInputMessage="1" showErrorMessage="1" prompt="Local production of electricity in renewable and CHP plants used to satisfy local electricity consumption needs." sqref="X11" xr:uid="{00000000-0002-0000-1F00-000006000000}"/>
    <dataValidation allowBlank="1" showInputMessage="1" showErrorMessage="1" prompt="Local production of heat/cold  in renewable heat plants and CHP plants used to satisfy local heat/cold consumption needs." sqref="X12" xr:uid="{00000000-0002-0000-1F00-000007000000}"/>
    <dataValidation allowBlank="1" showInputMessage="1" showErrorMessage="1" prompt="Agriculture, Forestry, Fisheries and any other sector not included above." sqref="X13 X15" xr:uid="{00000000-0002-0000-1F00-000008000000}"/>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26">
    <tabColor theme="8" tint="-0.249977111117893"/>
  </sheetPr>
  <dimension ref="A1:AM412"/>
  <sheetViews>
    <sheetView showGridLines="0" zoomScale="90" zoomScaleNormal="90" workbookViewId="0">
      <pane ySplit="1" topLeftCell="A3" activePane="bottomLeft" state="frozen"/>
      <selection activeCell="D90" sqref="D90"/>
      <selection pane="bottomLeft" activeCell="A3" sqref="A3:P27"/>
    </sheetView>
  </sheetViews>
  <sheetFormatPr baseColWidth="10" defaultColWidth="9.109375" defaultRowHeight="14.4" outlineLevelCol="1"/>
  <cols>
    <col min="1" max="1" width="30.109375" style="45" customWidth="1"/>
    <col min="2" max="2" width="31.5546875" style="15" customWidth="1"/>
    <col min="3" max="3" width="23.77734375" style="15" customWidth="1"/>
    <col min="4" max="4" width="14.88671875" style="15" customWidth="1"/>
    <col min="5" max="5" width="47.44140625" style="15" customWidth="1"/>
    <col min="6" max="6" width="15.44140625" style="16" customWidth="1"/>
    <col min="7" max="7" width="15" style="16" customWidth="1"/>
    <col min="8" max="8" width="30" style="16" customWidth="1"/>
    <col min="9" max="9" width="21.5546875" style="16" customWidth="1"/>
    <col min="10" max="10" width="29.88671875" style="16" customWidth="1"/>
    <col min="11" max="11" width="22.33203125" style="16" customWidth="1"/>
    <col min="12" max="12" width="17.109375" style="15" customWidth="1"/>
    <col min="13" max="13" width="17.33203125" style="15" customWidth="1"/>
    <col min="14" max="14" width="36.44140625" style="15" customWidth="1"/>
    <col min="15" max="15" width="19.21875" style="15" customWidth="1"/>
    <col min="16" max="16" width="11.109375" style="1" customWidth="1"/>
    <col min="17" max="22" width="11.44140625" style="1" hidden="1" customWidth="1" outlineLevel="1"/>
    <col min="23" max="23" width="23.5546875" style="1" hidden="1" customWidth="1" outlineLevel="1"/>
    <col min="24" max="24" width="8.5546875" style="1" hidden="1" customWidth="1" outlineLevel="1"/>
    <col min="25" max="25" width="49.88671875" style="1" hidden="1" customWidth="1" outlineLevel="1"/>
    <col min="26" max="28" width="25.44140625" style="1" hidden="1" customWidth="1" outlineLevel="1"/>
    <col min="29" max="29" width="9" style="1" hidden="1" customWidth="1" outlineLevel="1"/>
    <col min="30" max="30" width="14.5546875" style="1" hidden="1" customWidth="1" outlineLevel="1"/>
    <col min="31" max="32" width="11.44140625" style="1" hidden="1" customWidth="1" outlineLevel="1"/>
    <col min="33" max="33" width="11.44140625" style="1" customWidth="1" collapsed="1"/>
    <col min="34" max="36" width="11.44140625" style="1" customWidth="1"/>
    <col min="37" max="16384" width="9.109375" style="1"/>
  </cols>
  <sheetData>
    <row r="1" spans="1:39" ht="66.75" customHeight="1">
      <c r="B1" s="1323"/>
      <c r="C1" s="1323"/>
      <c r="D1" s="1323"/>
      <c r="E1" s="1323"/>
      <c r="F1" s="1324"/>
      <c r="G1" s="1324"/>
      <c r="H1" s="1324"/>
      <c r="I1" s="1324"/>
      <c r="J1" s="1324"/>
      <c r="K1" s="1324"/>
      <c r="L1" s="1323"/>
      <c r="M1" s="1323"/>
      <c r="N1" s="1323"/>
      <c r="O1" s="1323"/>
      <c r="P1" s="190"/>
      <c r="Q1" s="190"/>
      <c r="R1" s="190"/>
      <c r="S1" s="190"/>
      <c r="T1" s="190"/>
      <c r="U1" s="190"/>
      <c r="V1" s="190"/>
      <c r="W1" s="190"/>
      <c r="X1" s="190"/>
      <c r="Y1" s="190"/>
      <c r="Z1" s="190"/>
      <c r="AA1" s="190"/>
      <c r="AB1" s="190"/>
      <c r="AC1" s="190"/>
      <c r="AD1" s="190"/>
      <c r="AE1" s="190"/>
      <c r="AF1" s="190"/>
      <c r="AG1" s="190"/>
      <c r="AH1" s="190"/>
      <c r="AI1" s="190"/>
      <c r="AJ1" s="190"/>
      <c r="AK1" s="190"/>
      <c r="AL1" s="190"/>
      <c r="AM1" s="190"/>
    </row>
    <row r="2" spans="1:39">
      <c r="B2" s="1306"/>
      <c r="C2" s="1306"/>
      <c r="D2" s="1306"/>
      <c r="E2" s="1306"/>
      <c r="F2" s="1307"/>
      <c r="G2" s="1307"/>
      <c r="H2" s="1307"/>
      <c r="I2" s="1307"/>
      <c r="J2" s="1307"/>
      <c r="K2" s="1307"/>
      <c r="L2" s="1306"/>
      <c r="M2" s="1306"/>
      <c r="N2" s="1306"/>
      <c r="O2" s="1306"/>
      <c r="P2"/>
      <c r="Q2" s="437" t="s">
        <v>1050</v>
      </c>
      <c r="R2" s="436"/>
      <c r="S2" s="436"/>
      <c r="T2" s="436"/>
      <c r="U2" s="436"/>
      <c r="V2" s="436"/>
      <c r="W2" s="436"/>
      <c r="X2" s="436"/>
      <c r="Y2" s="437" t="s">
        <v>1051</v>
      </c>
      <c r="Z2" s="436"/>
      <c r="AA2" s="436"/>
      <c r="AB2" s="436"/>
      <c r="AC2" s="436"/>
      <c r="AD2" s="436"/>
      <c r="AE2" s="436"/>
      <c r="AF2" s="436"/>
      <c r="AG2"/>
    </row>
    <row r="3" spans="1:39" ht="43.2">
      <c r="A3" s="1833" t="s">
        <v>2791</v>
      </c>
      <c r="B3" s="1834" t="s">
        <v>724</v>
      </c>
      <c r="C3" s="1834" t="s">
        <v>1052</v>
      </c>
      <c r="D3" s="1834" t="s">
        <v>721</v>
      </c>
      <c r="E3" s="1834" t="s">
        <v>725</v>
      </c>
      <c r="F3" s="1835" t="s">
        <v>1053</v>
      </c>
      <c r="G3" s="1835" t="s">
        <v>739</v>
      </c>
      <c r="H3" s="1835" t="s">
        <v>740</v>
      </c>
      <c r="I3" s="1835" t="s">
        <v>1054</v>
      </c>
      <c r="J3" s="1835" t="s">
        <v>1055</v>
      </c>
      <c r="K3" s="1835" t="s">
        <v>1056</v>
      </c>
      <c r="L3" s="1834" t="s">
        <v>1057</v>
      </c>
      <c r="M3" s="1834" t="s">
        <v>1058</v>
      </c>
      <c r="N3" s="1834" t="s">
        <v>1059</v>
      </c>
      <c r="O3" s="1836" t="s">
        <v>717</v>
      </c>
      <c r="P3" s="1836" t="s">
        <v>733</v>
      </c>
      <c r="Q3" s="609" t="s">
        <v>1060</v>
      </c>
      <c r="R3" s="494" t="s">
        <v>1061</v>
      </c>
      <c r="S3" s="494" t="s">
        <v>1062</v>
      </c>
      <c r="T3" s="494" t="s">
        <v>762</v>
      </c>
      <c r="U3" s="610" t="s">
        <v>1060</v>
      </c>
      <c r="V3" s="610" t="s">
        <v>739</v>
      </c>
      <c r="W3" s="610" t="s">
        <v>1062</v>
      </c>
      <c r="X3" s="513"/>
      <c r="Y3" s="436"/>
      <c r="Z3" s="436"/>
      <c r="AA3" s="436"/>
      <c r="AB3" s="436"/>
      <c r="AC3" s="436"/>
      <c r="AD3" s="436"/>
      <c r="AE3" s="436"/>
      <c r="AF3" s="436"/>
      <c r="AG3"/>
    </row>
    <row r="4" spans="1:39">
      <c r="A4" s="1830"/>
      <c r="B4" s="1447"/>
      <c r="C4" s="1445"/>
      <c r="D4" s="1445"/>
      <c r="E4" s="1445"/>
      <c r="F4" s="1453"/>
      <c r="G4" s="1453"/>
      <c r="H4" s="1448"/>
      <c r="I4" s="1448"/>
      <c r="J4" s="1449"/>
      <c r="K4" s="1448"/>
      <c r="L4" s="1395" t="str">
        <f t="shared" ref="L4:L9" si="0">IF(K4=0,"-",F4/K4)</f>
        <v>-</v>
      </c>
      <c r="M4" s="1395" t="str">
        <f t="shared" ref="M4:M9" si="1">IF(K4=0,"-",(F4-G4)/K4)</f>
        <v>-</v>
      </c>
      <c r="N4" s="1454"/>
      <c r="O4" s="1452"/>
      <c r="P4" s="1832"/>
      <c r="Q4" s="611">
        <f>IF(O4=$AF$7,F4,0)</f>
        <v>0</v>
      </c>
      <c r="R4" s="612">
        <f>IF(O4=$AF$7,J4,0)</f>
        <v>0</v>
      </c>
      <c r="S4" s="612">
        <f>IF(O4=$AF$7,N4,0)</f>
        <v>0</v>
      </c>
      <c r="T4" s="612" t="str">
        <f t="shared" ref="T4:T27" si="2">IF(ISNA(VLOOKUP($D4,$Z$11:$AB$17,2,0)),"-",VLOOKUP($D4,$Z$11:$AB$17,2,0))</f>
        <v>-</v>
      </c>
      <c r="U4" s="610">
        <f>IF($O4="Finalisée",F4,0)</f>
        <v>0</v>
      </c>
      <c r="V4" s="610">
        <f>IF($O4="Finalisée",G4,0)</f>
        <v>0</v>
      </c>
      <c r="W4" s="610">
        <f>IF($O4="Finalisée",N4,0)</f>
        <v>0</v>
      </c>
      <c r="X4" s="513"/>
      <c r="Y4" s="436"/>
      <c r="Z4" s="436"/>
      <c r="AA4" s="436"/>
      <c r="AB4" s="436"/>
      <c r="AC4" s="436"/>
      <c r="AD4" s="436"/>
      <c r="AE4" s="436"/>
      <c r="AF4" s="436"/>
      <c r="AG4"/>
    </row>
    <row r="5" spans="1:39">
      <c r="A5" s="1830"/>
      <c r="B5" s="1447"/>
      <c r="C5" s="1445"/>
      <c r="D5" s="1445"/>
      <c r="E5" s="1445"/>
      <c r="F5" s="1453"/>
      <c r="G5" s="1453"/>
      <c r="H5" s="1448"/>
      <c r="I5" s="1448"/>
      <c r="J5" s="1449"/>
      <c r="K5" s="1448"/>
      <c r="L5" s="1395" t="str">
        <f t="shared" si="0"/>
        <v>-</v>
      </c>
      <c r="M5" s="1395" t="str">
        <f t="shared" si="1"/>
        <v>-</v>
      </c>
      <c r="N5" s="1454"/>
      <c r="O5" s="1452"/>
      <c r="P5" s="1832"/>
      <c r="Q5" s="611">
        <f t="shared" ref="Q5:Q27" si="3">IF(O5=$AF$7,F5,0)</f>
        <v>0</v>
      </c>
      <c r="R5" s="612">
        <f>IF(O5=$AF$7,J5,0)</f>
        <v>0</v>
      </c>
      <c r="S5" s="612">
        <f>IF(O5=$AF$7,N5,0)</f>
        <v>0</v>
      </c>
      <c r="T5" s="612" t="str">
        <f t="shared" si="2"/>
        <v>-</v>
      </c>
      <c r="U5" s="610">
        <f t="shared" ref="U5:U27" si="4">IF($O5="Finalisée",F5,0)</f>
        <v>0</v>
      </c>
      <c r="V5" s="610">
        <f t="shared" ref="V5:V27" si="5">IF($O5="Finalisée",G5,0)</f>
        <v>0</v>
      </c>
      <c r="W5" s="610">
        <f t="shared" ref="W5:W26" si="6">IF($O5="Finalisée",N5,0)</f>
        <v>0</v>
      </c>
      <c r="X5" s="513"/>
      <c r="Y5" s="436"/>
      <c r="Z5" s="436"/>
      <c r="AA5" s="436"/>
      <c r="AB5" s="436"/>
      <c r="AC5" s="436"/>
      <c r="AD5" s="436"/>
      <c r="AE5" s="436"/>
      <c r="AF5" s="436"/>
      <c r="AG5"/>
    </row>
    <row r="6" spans="1:39">
      <c r="A6" s="1830"/>
      <c r="B6" s="1447"/>
      <c r="C6" s="1445"/>
      <c r="D6" s="1445"/>
      <c r="E6" s="1445"/>
      <c r="F6" s="1453"/>
      <c r="G6" s="1453"/>
      <c r="H6" s="1448"/>
      <c r="I6" s="1448"/>
      <c r="J6" s="1449"/>
      <c r="K6" s="1448"/>
      <c r="L6" s="1395" t="str">
        <f t="shared" si="0"/>
        <v>-</v>
      </c>
      <c r="M6" s="1395" t="str">
        <f t="shared" si="1"/>
        <v>-</v>
      </c>
      <c r="N6" s="1454"/>
      <c r="O6" s="1452"/>
      <c r="P6" s="1832"/>
      <c r="Q6" s="611">
        <f t="shared" si="3"/>
        <v>0</v>
      </c>
      <c r="R6" s="612">
        <f t="shared" ref="R6:R27" si="7">IF(O6=$AF$7,J6,0)</f>
        <v>0</v>
      </c>
      <c r="S6" s="612">
        <f t="shared" ref="S6:S26" si="8">IF(O6=$AF$7,N6,0)</f>
        <v>0</v>
      </c>
      <c r="T6" s="612" t="str">
        <f t="shared" si="2"/>
        <v>-</v>
      </c>
      <c r="U6" s="610">
        <f t="shared" si="4"/>
        <v>0</v>
      </c>
      <c r="V6" s="610">
        <f t="shared" si="5"/>
        <v>0</v>
      </c>
      <c r="W6" s="610">
        <f t="shared" si="6"/>
        <v>0</v>
      </c>
      <c r="X6" s="513"/>
      <c r="Y6" s="436"/>
      <c r="Z6" s="436"/>
      <c r="AA6" s="436"/>
      <c r="AB6" s="436"/>
      <c r="AC6" s="613"/>
      <c r="AD6" s="436"/>
      <c r="AE6" s="436"/>
      <c r="AF6" s="436" t="str">
        <f>ldv!K2</f>
        <v>En cours</v>
      </c>
      <c r="AG6"/>
    </row>
    <row r="7" spans="1:39">
      <c r="A7" s="1830"/>
      <c r="B7" s="1447"/>
      <c r="C7" s="1445"/>
      <c r="D7" s="1445"/>
      <c r="E7" s="1445"/>
      <c r="F7" s="1453"/>
      <c r="G7" s="1453"/>
      <c r="H7" s="1448"/>
      <c r="I7" s="1448"/>
      <c r="J7" s="1449"/>
      <c r="K7" s="1448"/>
      <c r="L7" s="1395" t="str">
        <f t="shared" si="0"/>
        <v>-</v>
      </c>
      <c r="M7" s="1395" t="str">
        <f t="shared" si="1"/>
        <v>-</v>
      </c>
      <c r="N7" s="1454"/>
      <c r="O7" s="1452"/>
      <c r="P7" s="1832"/>
      <c r="Q7" s="611">
        <f t="shared" si="3"/>
        <v>0</v>
      </c>
      <c r="R7" s="612">
        <f t="shared" si="7"/>
        <v>0</v>
      </c>
      <c r="S7" s="612">
        <f t="shared" si="8"/>
        <v>0</v>
      </c>
      <c r="T7" s="612" t="str">
        <f t="shared" si="2"/>
        <v>-</v>
      </c>
      <c r="U7" s="610">
        <f t="shared" si="4"/>
        <v>0</v>
      </c>
      <c r="V7" s="610">
        <f t="shared" si="5"/>
        <v>0</v>
      </c>
      <c r="W7" s="610">
        <f t="shared" si="6"/>
        <v>0</v>
      </c>
      <c r="X7" s="513"/>
      <c r="Y7" s="436"/>
      <c r="Z7" s="436"/>
      <c r="AA7" s="436"/>
      <c r="AB7" s="436"/>
      <c r="AC7" s="613"/>
      <c r="AD7" s="436"/>
      <c r="AE7" s="436"/>
      <c r="AF7" s="436" t="str">
        <f>ldv!K3</f>
        <v>Finalisée</v>
      </c>
      <c r="AG7"/>
    </row>
    <row r="8" spans="1:39">
      <c r="A8" s="1830"/>
      <c r="B8" s="1447"/>
      <c r="C8" s="1445"/>
      <c r="D8" s="1445"/>
      <c r="E8" s="1445"/>
      <c r="F8" s="1453"/>
      <c r="G8" s="1453"/>
      <c r="H8" s="1448"/>
      <c r="I8" s="1448"/>
      <c r="J8" s="1449"/>
      <c r="K8" s="1448"/>
      <c r="L8" s="1395" t="str">
        <f t="shared" si="0"/>
        <v>-</v>
      </c>
      <c r="M8" s="1395" t="str">
        <f t="shared" si="1"/>
        <v>-</v>
      </c>
      <c r="N8" s="1454"/>
      <c r="O8" s="1452"/>
      <c r="P8" s="1832"/>
      <c r="Q8" s="611">
        <f t="shared" si="3"/>
        <v>0</v>
      </c>
      <c r="R8" s="612">
        <f t="shared" si="7"/>
        <v>0</v>
      </c>
      <c r="S8" s="612">
        <f t="shared" si="8"/>
        <v>0</v>
      </c>
      <c r="T8" s="612" t="str">
        <f t="shared" si="2"/>
        <v>-</v>
      </c>
      <c r="U8" s="610">
        <f t="shared" si="4"/>
        <v>0</v>
      </c>
      <c r="V8" s="610">
        <f t="shared" si="5"/>
        <v>0</v>
      </c>
      <c r="W8" s="610">
        <f t="shared" si="6"/>
        <v>0</v>
      </c>
      <c r="X8" s="513"/>
      <c r="Y8" s="436"/>
      <c r="Z8" s="436"/>
      <c r="AA8" s="436"/>
      <c r="AB8" s="436"/>
      <c r="AC8" s="613"/>
      <c r="AD8" s="436"/>
      <c r="AE8" s="436"/>
      <c r="AF8" s="436" t="str">
        <f>ldv!K4</f>
        <v>Reportée</v>
      </c>
      <c r="AG8"/>
    </row>
    <row r="9" spans="1:39">
      <c r="A9" s="1830"/>
      <c r="B9" s="1447"/>
      <c r="C9" s="1445"/>
      <c r="D9" s="1445"/>
      <c r="E9" s="1445"/>
      <c r="F9" s="1453"/>
      <c r="G9" s="1453"/>
      <c r="H9" s="1448"/>
      <c r="I9" s="1448"/>
      <c r="J9" s="1449"/>
      <c r="K9" s="1448"/>
      <c r="L9" s="1395" t="str">
        <f t="shared" si="0"/>
        <v>-</v>
      </c>
      <c r="M9" s="1395" t="str">
        <f t="shared" si="1"/>
        <v>-</v>
      </c>
      <c r="N9" s="1454"/>
      <c r="O9" s="1452"/>
      <c r="P9" s="1832"/>
      <c r="Q9" s="611">
        <f t="shared" si="3"/>
        <v>0</v>
      </c>
      <c r="R9" s="612">
        <f t="shared" si="7"/>
        <v>0</v>
      </c>
      <c r="S9" s="612">
        <f t="shared" si="8"/>
        <v>0</v>
      </c>
      <c r="T9" s="612" t="str">
        <f t="shared" si="2"/>
        <v>-</v>
      </c>
      <c r="U9" s="610">
        <f t="shared" si="4"/>
        <v>0</v>
      </c>
      <c r="V9" s="610">
        <f t="shared" si="5"/>
        <v>0</v>
      </c>
      <c r="W9" s="610">
        <f t="shared" si="6"/>
        <v>0</v>
      </c>
      <c r="X9" s="513"/>
      <c r="Y9" s="437" t="s">
        <v>719</v>
      </c>
      <c r="Z9" s="437" t="s">
        <v>720</v>
      </c>
      <c r="AA9" s="436"/>
      <c r="AB9" s="436"/>
      <c r="AC9" s="613"/>
      <c r="AD9" s="436"/>
      <c r="AE9" s="436"/>
      <c r="AF9" s="436" t="str">
        <f>ldv!K5</f>
        <v>A faire</v>
      </c>
      <c r="AG9"/>
    </row>
    <row r="10" spans="1:39">
      <c r="A10" s="1830"/>
      <c r="B10" s="1447"/>
      <c r="C10" s="1445"/>
      <c r="D10" s="1445"/>
      <c r="E10" s="1445"/>
      <c r="F10" s="1453"/>
      <c r="G10" s="1453"/>
      <c r="H10" s="1448"/>
      <c r="I10" s="1448"/>
      <c r="J10" s="1449"/>
      <c r="K10" s="1448"/>
      <c r="L10" s="1395" t="str">
        <f t="shared" ref="L10:L27" si="9">IF(K10=0,"-",F10/K10)</f>
        <v>-</v>
      </c>
      <c r="M10" s="1395" t="str">
        <f t="shared" ref="M10:M27" si="10">IF(K10=0,"-",(F10-G10)/K10)</f>
        <v>-</v>
      </c>
      <c r="N10" s="1454"/>
      <c r="O10" s="1452"/>
      <c r="P10" s="1832"/>
      <c r="Q10" s="611">
        <f t="shared" si="3"/>
        <v>0</v>
      </c>
      <c r="R10" s="612">
        <f t="shared" si="7"/>
        <v>0</v>
      </c>
      <c r="S10" s="612">
        <f t="shared" si="8"/>
        <v>0</v>
      </c>
      <c r="T10" s="612" t="str">
        <f t="shared" si="2"/>
        <v>-</v>
      </c>
      <c r="U10" s="610">
        <f t="shared" si="4"/>
        <v>0</v>
      </c>
      <c r="V10" s="610">
        <f t="shared" si="5"/>
        <v>0</v>
      </c>
      <c r="W10" s="610">
        <f t="shared" si="6"/>
        <v>0</v>
      </c>
      <c r="X10" s="513"/>
      <c r="Y10" s="436" t="s">
        <v>2133</v>
      </c>
      <c r="Z10" s="436"/>
      <c r="AA10" s="436"/>
      <c r="AB10" s="436"/>
      <c r="AC10" s="613"/>
      <c r="AD10" s="436"/>
      <c r="AE10" s="436"/>
      <c r="AF10" s="436" t="str">
        <f>ldv!K6</f>
        <v>Nouvelle</v>
      </c>
      <c r="AG10"/>
    </row>
    <row r="11" spans="1:39">
      <c r="A11" s="1830"/>
      <c r="B11" s="1447"/>
      <c r="C11" s="1445"/>
      <c r="D11" s="1445"/>
      <c r="E11" s="1445"/>
      <c r="F11" s="1453"/>
      <c r="G11" s="1453"/>
      <c r="H11" s="1448"/>
      <c r="I11" s="1448"/>
      <c r="J11" s="1449"/>
      <c r="K11" s="1448"/>
      <c r="L11" s="1395" t="str">
        <f t="shared" si="9"/>
        <v>-</v>
      </c>
      <c r="M11" s="1395" t="str">
        <f t="shared" si="10"/>
        <v>-</v>
      </c>
      <c r="N11" s="1454"/>
      <c r="O11" s="1452"/>
      <c r="P11" s="1832"/>
      <c r="Q11" s="611">
        <f t="shared" si="3"/>
        <v>0</v>
      </c>
      <c r="R11" s="612">
        <f t="shared" si="7"/>
        <v>0</v>
      </c>
      <c r="S11" s="612">
        <f t="shared" si="8"/>
        <v>0</v>
      </c>
      <c r="T11" s="612" t="str">
        <f t="shared" si="2"/>
        <v>-</v>
      </c>
      <c r="U11" s="610">
        <f t="shared" si="4"/>
        <v>0</v>
      </c>
      <c r="V11" s="610">
        <f t="shared" si="5"/>
        <v>0</v>
      </c>
      <c r="W11" s="610">
        <f t="shared" si="6"/>
        <v>0</v>
      </c>
      <c r="X11" s="513"/>
      <c r="Y11" s="436" t="s">
        <v>2134</v>
      </c>
      <c r="Z11" s="436"/>
      <c r="AA11" s="436"/>
      <c r="AB11" s="436"/>
      <c r="AC11" s="613"/>
      <c r="AD11" s="436"/>
      <c r="AE11" s="436"/>
      <c r="AF11" s="436"/>
      <c r="AG11"/>
    </row>
    <row r="12" spans="1:39">
      <c r="A12" s="1830"/>
      <c r="B12" s="1447"/>
      <c r="C12" s="1445"/>
      <c r="D12" s="1445"/>
      <c r="E12" s="1446"/>
      <c r="F12" s="1453"/>
      <c r="G12" s="1453"/>
      <c r="H12" s="1448"/>
      <c r="I12" s="1448"/>
      <c r="J12" s="1449"/>
      <c r="K12" s="1448"/>
      <c r="L12" s="1395" t="str">
        <f t="shared" si="9"/>
        <v>-</v>
      </c>
      <c r="M12" s="1395" t="str">
        <f t="shared" si="10"/>
        <v>-</v>
      </c>
      <c r="N12" s="1454"/>
      <c r="O12" s="1452"/>
      <c r="P12" s="1832"/>
      <c r="Q12" s="611">
        <f t="shared" si="3"/>
        <v>0</v>
      </c>
      <c r="R12" s="612">
        <f t="shared" si="7"/>
        <v>0</v>
      </c>
      <c r="S12" s="612">
        <f t="shared" si="8"/>
        <v>0</v>
      </c>
      <c r="T12" s="612" t="str">
        <f t="shared" si="2"/>
        <v>-</v>
      </c>
      <c r="U12" s="610">
        <f t="shared" si="4"/>
        <v>0</v>
      </c>
      <c r="V12" s="610">
        <f t="shared" si="5"/>
        <v>0</v>
      </c>
      <c r="W12" s="610">
        <f t="shared" si="6"/>
        <v>0</v>
      </c>
      <c r="X12" s="513"/>
      <c r="Y12" s="436" t="s">
        <v>2135</v>
      </c>
      <c r="Z12" s="436" t="str">
        <f>Categories!J8</f>
        <v>Gestion de l'énergie</v>
      </c>
      <c r="AA12" s="436"/>
      <c r="AB12" s="436"/>
      <c r="AC12" s="613"/>
      <c r="AD12" s="436"/>
      <c r="AE12" s="436"/>
      <c r="AF12" s="436"/>
      <c r="AG12"/>
    </row>
    <row r="13" spans="1:39">
      <c r="A13" s="1830"/>
      <c r="B13" s="1447"/>
      <c r="C13" s="1445"/>
      <c r="D13" s="1445"/>
      <c r="E13" s="1446"/>
      <c r="F13" s="1453"/>
      <c r="G13" s="1453"/>
      <c r="H13" s="1448"/>
      <c r="I13" s="1448"/>
      <c r="J13" s="1449"/>
      <c r="K13" s="1448"/>
      <c r="L13" s="1395" t="str">
        <f t="shared" si="9"/>
        <v>-</v>
      </c>
      <c r="M13" s="1395" t="str">
        <f t="shared" si="10"/>
        <v>-</v>
      </c>
      <c r="N13" s="1454"/>
      <c r="O13" s="1452"/>
      <c r="P13" s="1832"/>
      <c r="Q13" s="611">
        <f t="shared" si="3"/>
        <v>0</v>
      </c>
      <c r="R13" s="612">
        <f t="shared" si="7"/>
        <v>0</v>
      </c>
      <c r="S13" s="612">
        <f t="shared" si="8"/>
        <v>0</v>
      </c>
      <c r="T13" s="612" t="str">
        <f t="shared" si="2"/>
        <v>-</v>
      </c>
      <c r="U13" s="610">
        <f t="shared" si="4"/>
        <v>0</v>
      </c>
      <c r="V13" s="610">
        <f t="shared" si="5"/>
        <v>0</v>
      </c>
      <c r="W13" s="610">
        <f t="shared" si="6"/>
        <v>0</v>
      </c>
      <c r="X13" s="513"/>
      <c r="Y13" s="436" t="s">
        <v>2136</v>
      </c>
      <c r="Z13" s="436" t="str">
        <f>Categories!J10</f>
        <v>Obligations de services publics</v>
      </c>
      <c r="AA13" s="436"/>
      <c r="AB13" s="436"/>
      <c r="AC13" s="613"/>
      <c r="AD13" s="436"/>
      <c r="AE13" s="436"/>
      <c r="AF13" s="436"/>
      <c r="AG13"/>
    </row>
    <row r="14" spans="1:39">
      <c r="A14" s="1830"/>
      <c r="B14" s="1447"/>
      <c r="C14" s="1445"/>
      <c r="D14" s="1445"/>
      <c r="E14" s="1446"/>
      <c r="F14" s="1453"/>
      <c r="G14" s="1453"/>
      <c r="H14" s="1448"/>
      <c r="I14" s="1448"/>
      <c r="J14" s="1449"/>
      <c r="K14" s="1448"/>
      <c r="L14" s="1395" t="str">
        <f t="shared" si="9"/>
        <v>-</v>
      </c>
      <c r="M14" s="1395" t="str">
        <f t="shared" si="10"/>
        <v>-</v>
      </c>
      <c r="N14" s="1454"/>
      <c r="O14" s="1452"/>
      <c r="P14" s="1832"/>
      <c r="Q14" s="611">
        <f t="shared" si="3"/>
        <v>0</v>
      </c>
      <c r="R14" s="612">
        <f t="shared" si="7"/>
        <v>0</v>
      </c>
      <c r="S14" s="612">
        <f t="shared" si="8"/>
        <v>0</v>
      </c>
      <c r="T14" s="612" t="str">
        <f t="shared" si="2"/>
        <v>-</v>
      </c>
      <c r="U14" s="610">
        <f t="shared" si="4"/>
        <v>0</v>
      </c>
      <c r="V14" s="610">
        <f t="shared" si="5"/>
        <v>0</v>
      </c>
      <c r="W14" s="610">
        <f t="shared" si="6"/>
        <v>0</v>
      </c>
      <c r="X14" s="513"/>
      <c r="Y14" s="436" t="s">
        <v>2137</v>
      </c>
      <c r="Z14" s="436" t="str">
        <f>Categories!J13</f>
        <v>Tiers financement, partenariat public-privé</v>
      </c>
      <c r="AA14" s="436"/>
      <c r="AB14" s="436"/>
      <c r="AC14" s="613"/>
      <c r="AD14" s="436"/>
      <c r="AE14" s="436"/>
      <c r="AF14" s="436"/>
      <c r="AG14"/>
    </row>
    <row r="15" spans="1:39">
      <c r="A15" s="1830"/>
      <c r="B15" s="1447"/>
      <c r="C15" s="1445"/>
      <c r="D15" s="1445"/>
      <c r="E15" s="1446"/>
      <c r="F15" s="1453"/>
      <c r="G15" s="1453"/>
      <c r="H15" s="1448"/>
      <c r="I15" s="1448"/>
      <c r="J15" s="1449"/>
      <c r="K15" s="1448"/>
      <c r="L15" s="1395" t="str">
        <f t="shared" si="9"/>
        <v>-</v>
      </c>
      <c r="M15" s="1395" t="str">
        <f t="shared" si="10"/>
        <v>-</v>
      </c>
      <c r="N15" s="1454"/>
      <c r="O15" s="1452"/>
      <c r="P15" s="1832"/>
      <c r="Q15" s="611">
        <f t="shared" si="3"/>
        <v>0</v>
      </c>
      <c r="R15" s="612">
        <f t="shared" si="7"/>
        <v>0</v>
      </c>
      <c r="S15" s="612">
        <f t="shared" si="8"/>
        <v>0</v>
      </c>
      <c r="T15" s="612" t="str">
        <f t="shared" si="2"/>
        <v>-</v>
      </c>
      <c r="U15" s="610">
        <f t="shared" si="4"/>
        <v>0</v>
      </c>
      <c r="V15" s="610">
        <f t="shared" si="5"/>
        <v>0</v>
      </c>
      <c r="W15" s="610">
        <f t="shared" si="6"/>
        <v>0</v>
      </c>
      <c r="X15" s="513"/>
      <c r="Y15" s="436" t="s">
        <v>2138</v>
      </c>
      <c r="Z15" s="436" t="str">
        <f>Categories!J14</f>
        <v>Marchés publics</v>
      </c>
      <c r="AA15" s="436"/>
      <c r="AB15" s="436"/>
      <c r="AC15" s="613"/>
      <c r="AD15" s="436"/>
      <c r="AE15" s="436"/>
      <c r="AF15" s="436"/>
      <c r="AG15"/>
    </row>
    <row r="16" spans="1:39">
      <c r="A16" s="1830"/>
      <c r="B16" s="1447"/>
      <c r="C16" s="1445"/>
      <c r="D16" s="1445"/>
      <c r="E16" s="1446"/>
      <c r="F16" s="1453"/>
      <c r="G16" s="1453"/>
      <c r="H16" s="1448"/>
      <c r="I16" s="1448"/>
      <c r="J16" s="1449"/>
      <c r="K16" s="1448"/>
      <c r="L16" s="1395" t="str">
        <f t="shared" si="9"/>
        <v>-</v>
      </c>
      <c r="M16" s="1395" t="str">
        <f t="shared" si="10"/>
        <v>-</v>
      </c>
      <c r="N16" s="1454"/>
      <c r="O16" s="1452"/>
      <c r="P16" s="1832"/>
      <c r="Q16" s="611">
        <f t="shared" si="3"/>
        <v>0</v>
      </c>
      <c r="R16" s="612">
        <f t="shared" si="7"/>
        <v>0</v>
      </c>
      <c r="S16" s="612">
        <f t="shared" si="8"/>
        <v>0</v>
      </c>
      <c r="T16" s="612" t="str">
        <f t="shared" si="2"/>
        <v>-</v>
      </c>
      <c r="U16" s="610">
        <f t="shared" si="4"/>
        <v>0</v>
      </c>
      <c r="V16" s="610">
        <f t="shared" si="5"/>
        <v>0</v>
      </c>
      <c r="W16" s="610">
        <f t="shared" si="6"/>
        <v>0</v>
      </c>
      <c r="X16" s="513"/>
      <c r="Y16" s="436" t="s">
        <v>2139</v>
      </c>
      <c r="Z16" s="436" t="str">
        <f>Categories!J17</f>
        <v xml:space="preserve">Pas applicable </v>
      </c>
      <c r="AA16" s="436"/>
      <c r="AB16" s="436"/>
      <c r="AC16" s="613"/>
      <c r="AD16" s="436"/>
      <c r="AE16" s="436"/>
      <c r="AF16" s="436"/>
      <c r="AG16"/>
    </row>
    <row r="17" spans="1:33">
      <c r="A17" s="1830"/>
      <c r="B17" s="1447"/>
      <c r="C17" s="1445"/>
      <c r="D17" s="1445"/>
      <c r="E17" s="1446"/>
      <c r="F17" s="1453"/>
      <c r="G17" s="1453"/>
      <c r="H17" s="1448"/>
      <c r="I17" s="1448"/>
      <c r="J17" s="1449"/>
      <c r="K17" s="1448"/>
      <c r="L17" s="1395" t="str">
        <f t="shared" si="9"/>
        <v>-</v>
      </c>
      <c r="M17" s="1395" t="str">
        <f t="shared" si="10"/>
        <v>-</v>
      </c>
      <c r="N17" s="1454"/>
      <c r="O17" s="1452"/>
      <c r="P17" s="1832"/>
      <c r="Q17" s="611">
        <f t="shared" si="3"/>
        <v>0</v>
      </c>
      <c r="R17" s="612">
        <f t="shared" si="7"/>
        <v>0</v>
      </c>
      <c r="S17" s="612">
        <f t="shared" si="8"/>
        <v>0</v>
      </c>
      <c r="T17" s="612" t="str">
        <f t="shared" si="2"/>
        <v>-</v>
      </c>
      <c r="U17" s="610">
        <f t="shared" si="4"/>
        <v>0</v>
      </c>
      <c r="V17" s="610">
        <f t="shared" si="5"/>
        <v>0</v>
      </c>
      <c r="W17" s="610">
        <f t="shared" si="6"/>
        <v>0</v>
      </c>
      <c r="X17" s="513"/>
      <c r="Y17" s="436" t="s">
        <v>2141</v>
      </c>
      <c r="Z17" s="436" t="s">
        <v>853</v>
      </c>
      <c r="AA17" s="436"/>
      <c r="AB17" s="436"/>
      <c r="AC17" s="613"/>
      <c r="AD17" s="436"/>
      <c r="AE17" s="436"/>
      <c r="AF17" s="436"/>
      <c r="AG17"/>
    </row>
    <row r="18" spans="1:33">
      <c r="A18" s="1830"/>
      <c r="B18" s="1447"/>
      <c r="C18" s="1445"/>
      <c r="D18" s="1445"/>
      <c r="E18" s="1446"/>
      <c r="F18" s="1453"/>
      <c r="G18" s="1453"/>
      <c r="H18" s="1448"/>
      <c r="I18" s="1448"/>
      <c r="J18" s="1449"/>
      <c r="K18" s="1448"/>
      <c r="L18" s="1395" t="str">
        <f t="shared" si="9"/>
        <v>-</v>
      </c>
      <c r="M18" s="1395" t="str">
        <f t="shared" si="10"/>
        <v>-</v>
      </c>
      <c r="N18" s="1454"/>
      <c r="O18" s="1452"/>
      <c r="P18" s="1832"/>
      <c r="Q18" s="611">
        <f t="shared" si="3"/>
        <v>0</v>
      </c>
      <c r="R18" s="612">
        <f t="shared" si="7"/>
        <v>0</v>
      </c>
      <c r="S18" s="612">
        <f t="shared" si="8"/>
        <v>0</v>
      </c>
      <c r="T18" s="612" t="str">
        <f t="shared" si="2"/>
        <v>-</v>
      </c>
      <c r="U18" s="610">
        <f t="shared" si="4"/>
        <v>0</v>
      </c>
      <c r="V18" s="610">
        <f t="shared" si="5"/>
        <v>0</v>
      </c>
      <c r="W18" s="610">
        <f t="shared" si="6"/>
        <v>0</v>
      </c>
      <c r="X18" s="513"/>
      <c r="Y18" s="436" t="s">
        <v>2142</v>
      </c>
      <c r="Z18" s="436"/>
      <c r="AA18" s="436"/>
      <c r="AB18" s="436"/>
      <c r="AC18" s="613"/>
      <c r="AD18" s="436"/>
      <c r="AE18" s="436"/>
      <c r="AF18" s="436"/>
      <c r="AG18"/>
    </row>
    <row r="19" spans="1:33">
      <c r="A19" s="1830"/>
      <c r="B19" s="1447"/>
      <c r="C19" s="1445"/>
      <c r="D19" s="1445"/>
      <c r="E19" s="1445"/>
      <c r="F19" s="1453"/>
      <c r="G19" s="1453"/>
      <c r="H19" s="1448"/>
      <c r="I19" s="1448"/>
      <c r="J19" s="1449"/>
      <c r="K19" s="1448"/>
      <c r="L19" s="1395" t="str">
        <f t="shared" si="9"/>
        <v>-</v>
      </c>
      <c r="M19" s="1395" t="str">
        <f t="shared" si="10"/>
        <v>-</v>
      </c>
      <c r="N19" s="1454"/>
      <c r="O19" s="1452"/>
      <c r="P19" s="1832"/>
      <c r="Q19" s="611">
        <f t="shared" si="3"/>
        <v>0</v>
      </c>
      <c r="R19" s="612">
        <f t="shared" si="7"/>
        <v>0</v>
      </c>
      <c r="S19" s="612">
        <f t="shared" si="8"/>
        <v>0</v>
      </c>
      <c r="T19" s="612" t="str">
        <f t="shared" si="2"/>
        <v>-</v>
      </c>
      <c r="U19" s="610">
        <f t="shared" si="4"/>
        <v>0</v>
      </c>
      <c r="V19" s="610">
        <f t="shared" si="5"/>
        <v>0</v>
      </c>
      <c r="W19" s="610">
        <f t="shared" si="6"/>
        <v>0</v>
      </c>
      <c r="X19" s="513"/>
      <c r="Y19" s="436" t="s">
        <v>2143</v>
      </c>
      <c r="Z19" s="436"/>
      <c r="AA19" s="436"/>
      <c r="AB19" s="436"/>
      <c r="AC19" s="613"/>
      <c r="AD19" s="436"/>
      <c r="AE19" s="436"/>
      <c r="AF19" s="436"/>
      <c r="AG19"/>
    </row>
    <row r="20" spans="1:33">
      <c r="A20" s="1830"/>
      <c r="B20" s="1447"/>
      <c r="C20" s="1445"/>
      <c r="D20" s="1445"/>
      <c r="E20" s="1446"/>
      <c r="F20" s="1453"/>
      <c r="G20" s="1453"/>
      <c r="H20" s="1448"/>
      <c r="I20" s="1448"/>
      <c r="J20" s="1449"/>
      <c r="K20" s="1448"/>
      <c r="L20" s="1395" t="str">
        <f t="shared" si="9"/>
        <v>-</v>
      </c>
      <c r="M20" s="1395" t="str">
        <f t="shared" si="10"/>
        <v>-</v>
      </c>
      <c r="N20" s="1454"/>
      <c r="O20" s="1452"/>
      <c r="P20" s="1832"/>
      <c r="Q20" s="611">
        <f t="shared" si="3"/>
        <v>0</v>
      </c>
      <c r="R20" s="612">
        <f t="shared" si="7"/>
        <v>0</v>
      </c>
      <c r="S20" s="612">
        <f t="shared" si="8"/>
        <v>0</v>
      </c>
      <c r="T20" s="612" t="str">
        <f t="shared" si="2"/>
        <v>-</v>
      </c>
      <c r="U20" s="610">
        <f t="shared" si="4"/>
        <v>0</v>
      </c>
      <c r="V20" s="610">
        <f t="shared" si="5"/>
        <v>0</v>
      </c>
      <c r="W20" s="610">
        <f t="shared" si="6"/>
        <v>0</v>
      </c>
      <c r="X20" s="513"/>
      <c r="Y20" s="436" t="s">
        <v>2144</v>
      </c>
      <c r="Z20" s="436"/>
      <c r="AA20" s="436"/>
      <c r="AB20" s="436"/>
      <c r="AC20" s="613"/>
      <c r="AD20" s="436"/>
      <c r="AE20" s="436"/>
      <c r="AF20" s="436"/>
      <c r="AG20"/>
    </row>
    <row r="21" spans="1:33">
      <c r="A21" s="1830"/>
      <c r="B21" s="1447"/>
      <c r="C21" s="1445"/>
      <c r="D21" s="1445"/>
      <c r="E21" s="1446"/>
      <c r="F21" s="1453"/>
      <c r="G21" s="1453"/>
      <c r="H21" s="1448"/>
      <c r="I21" s="1448"/>
      <c r="J21" s="1449"/>
      <c r="K21" s="1448"/>
      <c r="L21" s="1395" t="str">
        <f t="shared" si="9"/>
        <v>-</v>
      </c>
      <c r="M21" s="1395" t="str">
        <f t="shared" si="10"/>
        <v>-</v>
      </c>
      <c r="N21" s="1454"/>
      <c r="O21" s="1452"/>
      <c r="P21" s="1832"/>
      <c r="Q21" s="611">
        <f t="shared" si="3"/>
        <v>0</v>
      </c>
      <c r="R21" s="612">
        <f t="shared" si="7"/>
        <v>0</v>
      </c>
      <c r="S21" s="612">
        <f t="shared" si="8"/>
        <v>0</v>
      </c>
      <c r="T21" s="612" t="str">
        <f t="shared" si="2"/>
        <v>-</v>
      </c>
      <c r="U21" s="610">
        <f t="shared" si="4"/>
        <v>0</v>
      </c>
      <c r="V21" s="610">
        <f t="shared" si="5"/>
        <v>0</v>
      </c>
      <c r="W21" s="610">
        <f t="shared" si="6"/>
        <v>0</v>
      </c>
      <c r="X21" s="513"/>
      <c r="Y21" s="436" t="s">
        <v>2145</v>
      </c>
      <c r="Z21" s="436"/>
      <c r="AA21" s="436"/>
      <c r="AB21" s="436"/>
      <c r="AC21" s="613"/>
      <c r="AD21" s="436"/>
      <c r="AE21" s="436"/>
      <c r="AF21" s="436"/>
      <c r="AG21"/>
    </row>
    <row r="22" spans="1:33">
      <c r="A22" s="1830"/>
      <c r="B22" s="1447"/>
      <c r="C22" s="1445"/>
      <c r="D22" s="1445"/>
      <c r="E22" s="1446"/>
      <c r="F22" s="1453"/>
      <c r="G22" s="1453"/>
      <c r="H22" s="1448"/>
      <c r="I22" s="1448"/>
      <c r="J22" s="1449"/>
      <c r="K22" s="1448"/>
      <c r="L22" s="1395" t="str">
        <f t="shared" si="9"/>
        <v>-</v>
      </c>
      <c r="M22" s="1395" t="str">
        <f t="shared" si="10"/>
        <v>-</v>
      </c>
      <c r="N22" s="1454"/>
      <c r="O22" s="1452"/>
      <c r="P22" s="1832"/>
      <c r="Q22" s="611">
        <f t="shared" si="3"/>
        <v>0</v>
      </c>
      <c r="R22" s="612">
        <f t="shared" si="7"/>
        <v>0</v>
      </c>
      <c r="S22" s="612">
        <f t="shared" si="8"/>
        <v>0</v>
      </c>
      <c r="T22" s="612" t="str">
        <f t="shared" si="2"/>
        <v>-</v>
      </c>
      <c r="U22" s="610">
        <f t="shared" si="4"/>
        <v>0</v>
      </c>
      <c r="V22" s="610">
        <f t="shared" si="5"/>
        <v>0</v>
      </c>
      <c r="W22" s="610">
        <f t="shared" si="6"/>
        <v>0</v>
      </c>
      <c r="X22" s="513"/>
      <c r="Y22" s="436" t="s">
        <v>2146</v>
      </c>
      <c r="Z22" s="436"/>
      <c r="AA22" s="436"/>
      <c r="AB22" s="436"/>
      <c r="AC22" s="613"/>
      <c r="AD22" s="436"/>
      <c r="AE22" s="436"/>
      <c r="AF22" s="436"/>
      <c r="AG22"/>
    </row>
    <row r="23" spans="1:33">
      <c r="A23" s="1830"/>
      <c r="B23" s="1447"/>
      <c r="C23" s="1445"/>
      <c r="D23" s="1445"/>
      <c r="E23" s="1446"/>
      <c r="F23" s="1453"/>
      <c r="G23" s="1453"/>
      <c r="H23" s="1448"/>
      <c r="I23" s="1448"/>
      <c r="J23" s="1450"/>
      <c r="K23" s="1448"/>
      <c r="L23" s="1395" t="str">
        <f t="shared" si="9"/>
        <v>-</v>
      </c>
      <c r="M23" s="1395" t="str">
        <f t="shared" si="10"/>
        <v>-</v>
      </c>
      <c r="N23" s="1454"/>
      <c r="O23" s="1452"/>
      <c r="P23" s="1832"/>
      <c r="Q23" s="611">
        <f t="shared" si="3"/>
        <v>0</v>
      </c>
      <c r="R23" s="612">
        <f t="shared" si="7"/>
        <v>0</v>
      </c>
      <c r="S23" s="612">
        <f t="shared" si="8"/>
        <v>0</v>
      </c>
      <c r="T23" s="612" t="str">
        <f t="shared" si="2"/>
        <v>-</v>
      </c>
      <c r="U23" s="610">
        <f t="shared" si="4"/>
        <v>0</v>
      </c>
      <c r="V23" s="610">
        <f t="shared" si="5"/>
        <v>0</v>
      </c>
      <c r="W23" s="610">
        <f t="shared" si="6"/>
        <v>0</v>
      </c>
      <c r="X23" s="513"/>
      <c r="Y23" s="436" t="s">
        <v>2147</v>
      </c>
      <c r="Z23" s="436"/>
      <c r="AA23" s="436"/>
      <c r="AB23" s="436"/>
      <c r="AC23" s="613"/>
      <c r="AD23" s="436"/>
      <c r="AE23" s="436"/>
      <c r="AF23" s="436"/>
      <c r="AG23"/>
    </row>
    <row r="24" spans="1:33">
      <c r="A24" s="1830"/>
      <c r="B24" s="1447"/>
      <c r="C24" s="1445"/>
      <c r="D24" s="1445"/>
      <c r="E24" s="1446"/>
      <c r="F24" s="1453"/>
      <c r="G24" s="1453"/>
      <c r="H24" s="1448"/>
      <c r="I24" s="1448"/>
      <c r="J24" s="1450"/>
      <c r="K24" s="1448"/>
      <c r="L24" s="1395" t="str">
        <f t="shared" si="9"/>
        <v>-</v>
      </c>
      <c r="M24" s="1395" t="str">
        <f t="shared" si="10"/>
        <v>-</v>
      </c>
      <c r="N24" s="1454"/>
      <c r="O24" s="1452"/>
      <c r="P24" s="1832"/>
      <c r="Q24" s="611">
        <f t="shared" si="3"/>
        <v>0</v>
      </c>
      <c r="R24" s="612">
        <f t="shared" si="7"/>
        <v>0</v>
      </c>
      <c r="S24" s="612">
        <f t="shared" si="8"/>
        <v>0</v>
      </c>
      <c r="T24" s="612" t="str">
        <f t="shared" si="2"/>
        <v>-</v>
      </c>
      <c r="U24" s="610">
        <f t="shared" si="4"/>
        <v>0</v>
      </c>
      <c r="V24" s="610">
        <f t="shared" si="5"/>
        <v>0</v>
      </c>
      <c r="W24" s="610">
        <f t="shared" si="6"/>
        <v>0</v>
      </c>
      <c r="X24" s="513"/>
      <c r="Y24" s="436" t="s">
        <v>2148</v>
      </c>
      <c r="Z24" s="436"/>
      <c r="AA24" s="436"/>
      <c r="AB24" s="436"/>
      <c r="AC24" s="613"/>
      <c r="AD24" s="436"/>
      <c r="AE24" s="436"/>
      <c r="AF24" s="436"/>
      <c r="AG24"/>
    </row>
    <row r="25" spans="1:33">
      <c r="A25" s="1830"/>
      <c r="B25" s="1447"/>
      <c r="C25" s="1445"/>
      <c r="D25" s="1445"/>
      <c r="E25" s="1446"/>
      <c r="F25" s="1453"/>
      <c r="G25" s="1453"/>
      <c r="H25" s="1451"/>
      <c r="I25" s="1448"/>
      <c r="J25" s="1450"/>
      <c r="K25" s="1448"/>
      <c r="L25" s="1395" t="str">
        <f t="shared" si="9"/>
        <v>-</v>
      </c>
      <c r="M25" s="1395" t="str">
        <f t="shared" si="10"/>
        <v>-</v>
      </c>
      <c r="N25" s="1454"/>
      <c r="O25" s="1452"/>
      <c r="P25" s="1832"/>
      <c r="Q25" s="611">
        <f t="shared" si="3"/>
        <v>0</v>
      </c>
      <c r="R25" s="612">
        <f t="shared" si="7"/>
        <v>0</v>
      </c>
      <c r="S25" s="612">
        <f t="shared" si="8"/>
        <v>0</v>
      </c>
      <c r="T25" s="612" t="str">
        <f t="shared" si="2"/>
        <v>-</v>
      </c>
      <c r="U25" s="610">
        <f t="shared" si="4"/>
        <v>0</v>
      </c>
      <c r="V25" s="610">
        <f t="shared" si="5"/>
        <v>0</v>
      </c>
      <c r="W25" s="610">
        <f t="shared" si="6"/>
        <v>0</v>
      </c>
      <c r="X25" s="513"/>
      <c r="Y25" s="436" t="s">
        <v>2149</v>
      </c>
      <c r="Z25" s="436"/>
      <c r="AA25" s="436"/>
      <c r="AB25" s="436"/>
      <c r="AC25" s="613"/>
      <c r="AD25" s="436"/>
      <c r="AE25" s="436"/>
      <c r="AF25" s="436"/>
      <c r="AG25"/>
    </row>
    <row r="26" spans="1:33">
      <c r="A26" s="1830"/>
      <c r="B26" s="1447"/>
      <c r="C26" s="1445"/>
      <c r="D26" s="1445"/>
      <c r="E26" s="1445"/>
      <c r="F26" s="1453"/>
      <c r="G26" s="1453"/>
      <c r="H26" s="1448"/>
      <c r="I26" s="1448"/>
      <c r="J26" s="1450"/>
      <c r="K26" s="1448"/>
      <c r="L26" s="1395" t="str">
        <f t="shared" si="9"/>
        <v>-</v>
      </c>
      <c r="M26" s="1395" t="str">
        <f t="shared" si="10"/>
        <v>-</v>
      </c>
      <c r="N26" s="1454"/>
      <c r="O26" s="1452"/>
      <c r="P26" s="1832"/>
      <c r="Q26" s="611">
        <f t="shared" si="3"/>
        <v>0</v>
      </c>
      <c r="R26" s="612">
        <f t="shared" si="7"/>
        <v>0</v>
      </c>
      <c r="S26" s="612">
        <f t="shared" si="8"/>
        <v>0</v>
      </c>
      <c r="T26" s="612" t="str">
        <f t="shared" si="2"/>
        <v>-</v>
      </c>
      <c r="U26" s="610">
        <f t="shared" si="4"/>
        <v>0</v>
      </c>
      <c r="V26" s="610">
        <f t="shared" si="5"/>
        <v>0</v>
      </c>
      <c r="W26" s="610">
        <f t="shared" si="6"/>
        <v>0</v>
      </c>
      <c r="X26" s="513"/>
      <c r="Y26" s="436" t="s">
        <v>2150</v>
      </c>
      <c r="Z26" s="436"/>
      <c r="AA26" s="436"/>
      <c r="AB26" s="436"/>
      <c r="AC26" s="436"/>
      <c r="AD26" s="436"/>
      <c r="AE26" s="436"/>
      <c r="AF26" s="436"/>
      <c r="AG26"/>
    </row>
    <row r="27" spans="1:33">
      <c r="A27" s="1831"/>
      <c r="B27" s="1743"/>
      <c r="C27" s="1744"/>
      <c r="D27" s="1744"/>
      <c r="E27" s="1745"/>
      <c r="F27" s="1453"/>
      <c r="G27" s="1453"/>
      <c r="H27" s="1448"/>
      <c r="I27" s="1448"/>
      <c r="J27" s="1450"/>
      <c r="K27" s="1448"/>
      <c r="L27" s="1395" t="str">
        <f t="shared" si="9"/>
        <v>-</v>
      </c>
      <c r="M27" s="1395" t="str">
        <f t="shared" si="10"/>
        <v>-</v>
      </c>
      <c r="N27" s="1454"/>
      <c r="O27" s="1452"/>
      <c r="P27" s="1832"/>
      <c r="Q27" s="611">
        <f t="shared" si="3"/>
        <v>0</v>
      </c>
      <c r="R27" s="612">
        <f t="shared" si="7"/>
        <v>0</v>
      </c>
      <c r="S27" s="612">
        <f>IF(O27=$AF$7,N27,0)</f>
        <v>0</v>
      </c>
      <c r="T27" s="612" t="str">
        <f t="shared" si="2"/>
        <v>-</v>
      </c>
      <c r="U27" s="610">
        <f t="shared" si="4"/>
        <v>0</v>
      </c>
      <c r="V27" s="610">
        <f t="shared" si="5"/>
        <v>0</v>
      </c>
      <c r="W27" s="610">
        <f>IF($O27="Finalisée",N27,0)</f>
        <v>0</v>
      </c>
      <c r="X27" s="513"/>
      <c r="Y27" s="436"/>
      <c r="Z27" s="436"/>
      <c r="AA27" s="436"/>
      <c r="AB27" s="436"/>
      <c r="AC27" s="436"/>
      <c r="AD27" s="436"/>
      <c r="AE27" s="436"/>
      <c r="AF27" s="436"/>
      <c r="AG27"/>
    </row>
    <row r="28" spans="1:33">
      <c r="A28" s="2117" t="s">
        <v>107</v>
      </c>
      <c r="B28" s="2118"/>
      <c r="C28" s="2118"/>
      <c r="D28" s="2118"/>
      <c r="E28" s="2119"/>
      <c r="F28" s="1742">
        <f>SUM(F4:F27)</f>
        <v>0</v>
      </c>
      <c r="G28" s="1396">
        <f>SUM(G4:G27)</f>
        <v>0</v>
      </c>
      <c r="H28" s="1396"/>
      <c r="I28" s="1396"/>
      <c r="J28" s="1397">
        <f>SUM(J4:J27)</f>
        <v>0</v>
      </c>
      <c r="K28" s="1396">
        <f>SUM(K4:K27)</f>
        <v>0</v>
      </c>
      <c r="L28" s="1398"/>
      <c r="M28" s="1398"/>
      <c r="N28" s="1455">
        <f>SUM(N4:N27)</f>
        <v>0</v>
      </c>
      <c r="O28" s="1377">
        <f ca="1">IF(SUM('Bilan patrimonial'!F22:F24)=0,0,SUM(N4:N27)/SUM('Bilan patrimonial'!F22:F24))</f>
        <v>0</v>
      </c>
      <c r="P28"/>
      <c r="Q28" s="614">
        <f>SUM(Q4:Q27)</f>
        <v>0</v>
      </c>
      <c r="R28" s="615">
        <f>SUM(R4:R27)</f>
        <v>0</v>
      </c>
      <c r="S28" s="615">
        <f>SUM(S4:S27)</f>
        <v>0</v>
      </c>
      <c r="T28" s="615"/>
      <c r="U28" s="610"/>
      <c r="V28" s="610"/>
      <c r="W28" s="610">
        <f>SUM(W4:W27)</f>
        <v>0</v>
      </c>
      <c r="X28" s="513"/>
      <c r="Y28" s="436"/>
      <c r="Z28" s="436"/>
      <c r="AA28" s="436"/>
      <c r="AB28" s="436"/>
      <c r="AC28" s="436"/>
      <c r="AD28" s="436"/>
      <c r="AE28" s="436"/>
      <c r="AF28" s="436"/>
      <c r="AG28"/>
    </row>
    <row r="29" spans="1:33">
      <c r="B29" s="1306"/>
      <c r="C29" s="1306"/>
      <c r="D29" s="1306"/>
      <c r="E29" s="1306"/>
      <c r="F29" s="1307"/>
      <c r="G29" s="1307"/>
      <c r="H29" s="1307"/>
      <c r="I29" s="1307"/>
      <c r="J29" s="1304">
        <f ca="1">IF(SUM('Bilan patrimonial'!F8:F10)=0,0,'Actions bâtiments communaux'!J30/SUM('Bilan patrimonial'!F8:F10))</f>
        <v>0</v>
      </c>
      <c r="K29" s="1307"/>
      <c r="L29" s="1306"/>
      <c r="M29" s="1306"/>
      <c r="N29" s="191"/>
      <c r="O29" s="1306"/>
      <c r="P29"/>
      <c r="Q29" s="436"/>
      <c r="R29" s="436"/>
      <c r="S29" s="436"/>
      <c r="T29" s="436"/>
      <c r="U29" s="436"/>
      <c r="V29" s="436"/>
      <c r="W29" s="436"/>
      <c r="X29" s="436"/>
      <c r="Y29" s="436"/>
      <c r="Z29" s="436"/>
      <c r="AA29" s="436"/>
      <c r="AB29" s="436"/>
      <c r="AC29" s="436"/>
      <c r="AD29" s="436"/>
      <c r="AE29" s="436"/>
      <c r="AF29" s="436"/>
      <c r="AG29"/>
    </row>
    <row r="30" spans="1:33">
      <c r="B30" s="1306"/>
      <c r="C30" s="1306"/>
      <c r="D30" s="1306"/>
      <c r="E30" s="1306"/>
      <c r="F30" s="1307"/>
      <c r="G30" s="1307"/>
      <c r="H30" s="1307"/>
      <c r="I30" s="1307"/>
      <c r="J30" s="1314" cm="1">
        <f t="array" ref="J30">SUMPRODUCT((P4:P27&gt;Accueil!E29)*('Actions bâtiments communaux'!J4:J27))</f>
        <v>0</v>
      </c>
      <c r="K30" s="1307"/>
      <c r="L30" s="1306"/>
      <c r="M30" s="1306"/>
      <c r="N30" s="1306"/>
      <c r="O30" s="1306"/>
      <c r="P30"/>
      <c r="Q30" s="436"/>
      <c r="R30" s="436"/>
      <c r="S30" s="436"/>
      <c r="T30" s="436"/>
      <c r="U30" s="436"/>
      <c r="V30" s="436"/>
      <c r="W30" s="436"/>
      <c r="X30" s="436"/>
      <c r="Y30" s="436"/>
      <c r="Z30" s="436"/>
      <c r="AA30" s="436"/>
      <c r="AB30" s="436"/>
      <c r="AC30" s="436"/>
      <c r="AD30" s="436"/>
      <c r="AE30" s="436"/>
      <c r="AF30" s="436"/>
      <c r="AG30"/>
    </row>
    <row r="31" spans="1:33">
      <c r="A31" s="1308"/>
      <c r="B31" s="1308"/>
      <c r="C31" s="1308"/>
      <c r="D31" s="1308"/>
      <c r="E31" s="1308"/>
      <c r="F31" s="1309"/>
      <c r="G31" s="1309"/>
      <c r="H31" s="1309"/>
      <c r="I31" s="1309"/>
      <c r="J31" s="1309"/>
      <c r="K31" s="1309"/>
      <c r="L31" s="1308"/>
      <c r="M31" s="1308"/>
      <c r="N31" s="1308"/>
      <c r="O31" s="1308"/>
      <c r="Y31" s="436"/>
      <c r="Z31" s="436"/>
      <c r="AA31" s="436"/>
      <c r="AB31" s="436"/>
      <c r="AC31" s="436"/>
      <c r="AD31" s="436"/>
      <c r="AE31" s="436"/>
      <c r="AF31" s="436"/>
    </row>
    <row r="32" spans="1:33">
      <c r="A32" s="1308"/>
      <c r="B32" s="1308"/>
      <c r="C32" s="1308"/>
      <c r="D32" s="1308"/>
      <c r="E32" s="1308"/>
      <c r="F32" s="1309"/>
      <c r="G32" s="1309"/>
      <c r="H32" s="1309"/>
      <c r="I32" s="1309"/>
      <c r="J32" s="1309"/>
      <c r="K32" s="1309"/>
      <c r="L32" s="1308"/>
      <c r="M32" s="1308"/>
      <c r="N32" s="1308"/>
      <c r="O32" s="1308"/>
      <c r="Y32" s="436"/>
      <c r="Z32" s="436"/>
      <c r="AA32" s="436"/>
      <c r="AB32" s="436"/>
      <c r="AC32" s="436"/>
      <c r="AD32" s="436"/>
      <c r="AE32" s="436"/>
      <c r="AF32" s="436"/>
    </row>
    <row r="33" spans="1:32">
      <c r="A33" s="1308"/>
      <c r="B33" s="1308"/>
      <c r="C33" s="1308"/>
      <c r="D33" s="1308"/>
      <c r="E33" s="1308"/>
      <c r="F33" s="1309"/>
      <c r="G33" s="1309"/>
      <c r="H33" s="1309"/>
      <c r="I33" s="1309"/>
      <c r="J33" s="1309"/>
      <c r="K33" s="1309"/>
      <c r="L33" s="1308"/>
      <c r="M33" s="1308"/>
      <c r="N33" s="1308"/>
      <c r="O33" s="1308"/>
      <c r="Y33" s="436"/>
      <c r="Z33" s="436"/>
      <c r="AA33" s="436"/>
      <c r="AB33" s="436"/>
      <c r="AC33" s="436"/>
      <c r="AD33" s="436"/>
      <c r="AE33" s="436"/>
      <c r="AF33" s="436"/>
    </row>
    <row r="34" spans="1:32">
      <c r="A34" s="1308"/>
      <c r="B34" s="1308"/>
      <c r="C34" s="1308"/>
      <c r="D34" s="1308"/>
      <c r="E34" s="1308"/>
      <c r="F34" s="1309"/>
      <c r="G34" s="1309"/>
      <c r="H34" s="1309"/>
      <c r="I34" s="1309"/>
      <c r="J34" s="1309"/>
      <c r="K34" s="1309"/>
      <c r="L34" s="1308"/>
      <c r="M34" s="1308"/>
      <c r="N34" s="1308"/>
      <c r="O34" s="1308"/>
      <c r="Y34" s="436"/>
      <c r="Z34" s="436"/>
      <c r="AA34" s="436"/>
      <c r="AB34" s="436"/>
      <c r="AC34" s="436"/>
      <c r="AD34" s="436"/>
      <c r="AE34" s="436"/>
      <c r="AF34" s="436"/>
    </row>
    <row r="35" spans="1:32">
      <c r="A35" s="1308"/>
      <c r="B35" s="1308"/>
      <c r="C35" s="1308"/>
      <c r="D35" s="1308"/>
      <c r="E35" s="1308"/>
      <c r="F35" s="1309"/>
      <c r="G35" s="1309"/>
      <c r="H35" s="1309"/>
      <c r="I35" s="1309"/>
      <c r="J35" s="1309"/>
      <c r="K35" s="1309"/>
      <c r="L35" s="1308"/>
      <c r="M35" s="1308"/>
      <c r="N35" s="1308"/>
      <c r="O35" s="1308"/>
      <c r="Y35" s="436"/>
      <c r="Z35" s="436"/>
      <c r="AA35" s="436"/>
      <c r="AB35" s="436"/>
      <c r="AC35" s="436"/>
      <c r="AD35" s="436"/>
      <c r="AE35" s="436"/>
      <c r="AF35" s="436"/>
    </row>
    <row r="36" spans="1:32">
      <c r="A36" s="1308"/>
      <c r="B36" s="1308"/>
      <c r="C36" s="1308"/>
      <c r="D36" s="1308"/>
      <c r="E36" s="1308"/>
      <c r="F36" s="1309"/>
      <c r="G36" s="1309"/>
      <c r="H36" s="1309"/>
      <c r="I36" s="1309"/>
      <c r="J36" s="1309"/>
      <c r="K36" s="1309"/>
      <c r="L36" s="1308"/>
      <c r="M36" s="1308"/>
      <c r="N36" s="1308"/>
      <c r="O36" s="1308"/>
      <c r="Y36" s="436"/>
      <c r="Z36" s="436"/>
      <c r="AA36" s="436"/>
      <c r="AB36" s="436"/>
      <c r="AC36" s="436"/>
      <c r="AD36" s="436"/>
      <c r="AE36" s="436"/>
      <c r="AF36" s="436"/>
    </row>
    <row r="37" spans="1:32">
      <c r="A37" s="1308"/>
      <c r="B37" s="1308"/>
      <c r="C37" s="1308"/>
      <c r="D37" s="1308"/>
      <c r="E37" s="1308"/>
      <c r="F37" s="1309"/>
      <c r="G37" s="1309"/>
      <c r="H37" s="1309"/>
      <c r="I37" s="1309"/>
      <c r="J37" s="1309"/>
      <c r="K37" s="1309"/>
      <c r="L37" s="1308"/>
      <c r="M37" s="1308"/>
      <c r="N37" s="1308"/>
      <c r="O37" s="1308"/>
      <c r="Y37" s="436"/>
      <c r="Z37" s="436"/>
      <c r="AA37" s="436"/>
      <c r="AB37" s="436"/>
      <c r="AC37" s="436"/>
      <c r="AD37" s="436"/>
      <c r="AE37" s="436"/>
      <c r="AF37" s="436"/>
    </row>
    <row r="38" spans="1:32">
      <c r="A38" s="1308"/>
      <c r="B38" s="1308"/>
      <c r="C38" s="1308"/>
      <c r="D38" s="1308"/>
      <c r="E38" s="1308"/>
      <c r="F38" s="1309"/>
      <c r="G38" s="1309"/>
      <c r="H38" s="1309"/>
      <c r="I38" s="1309"/>
      <c r="J38" s="1309"/>
      <c r="K38" s="1309"/>
      <c r="L38" s="1308"/>
      <c r="M38" s="1308"/>
      <c r="N38" s="1308"/>
      <c r="O38" s="1308"/>
      <c r="Y38" s="436"/>
      <c r="Z38" s="436"/>
      <c r="AA38" s="436"/>
      <c r="AB38" s="436"/>
      <c r="AC38" s="436"/>
      <c r="AD38" s="436"/>
      <c r="AE38" s="436"/>
      <c r="AF38" s="436"/>
    </row>
    <row r="39" spans="1:32">
      <c r="A39" s="1308"/>
      <c r="B39" s="1308"/>
      <c r="C39" s="1308"/>
      <c r="D39" s="1308"/>
      <c r="E39" s="1308"/>
      <c r="F39" s="1309"/>
      <c r="G39" s="1309"/>
      <c r="H39" s="1309"/>
      <c r="I39" s="1309"/>
      <c r="J39" s="1309"/>
      <c r="K39" s="1309"/>
      <c r="L39" s="1308"/>
      <c r="M39" s="1308"/>
      <c r="N39" s="1308"/>
      <c r="O39" s="1308"/>
      <c r="Y39" s="436"/>
      <c r="Z39" s="436"/>
      <c r="AA39" s="436"/>
      <c r="AB39" s="436"/>
      <c r="AC39" s="436"/>
      <c r="AD39" s="436"/>
      <c r="AE39" s="436"/>
      <c r="AF39" s="436"/>
    </row>
    <row r="40" spans="1:32">
      <c r="A40" s="1308"/>
      <c r="B40" s="1308"/>
      <c r="C40" s="1308"/>
      <c r="D40" s="1308"/>
      <c r="E40" s="1308"/>
      <c r="F40" s="1309"/>
      <c r="G40" s="1309"/>
      <c r="H40" s="1309"/>
      <c r="I40" s="1309"/>
      <c r="J40" s="1309"/>
      <c r="K40" s="1309"/>
      <c r="L40" s="1308"/>
      <c r="M40" s="1308"/>
      <c r="N40" s="1308"/>
      <c r="O40" s="1308"/>
      <c r="Y40" s="436"/>
      <c r="Z40" s="436"/>
      <c r="AA40" s="436"/>
      <c r="AB40" s="436"/>
      <c r="AC40" s="436"/>
      <c r="AD40" s="436"/>
      <c r="AE40" s="436"/>
      <c r="AF40" s="436"/>
    </row>
    <row r="41" spans="1:32">
      <c r="A41" s="1308"/>
      <c r="B41" s="1308"/>
      <c r="C41" s="1308"/>
      <c r="D41" s="1308"/>
      <c r="E41" s="1308"/>
      <c r="F41" s="1309"/>
      <c r="G41" s="1309"/>
      <c r="H41" s="1309"/>
      <c r="I41" s="1309"/>
      <c r="J41" s="1309"/>
      <c r="K41" s="1309"/>
      <c r="L41" s="1308"/>
      <c r="M41" s="1308"/>
      <c r="N41" s="1308"/>
      <c r="O41" s="1308"/>
      <c r="Y41" s="436"/>
      <c r="Z41" s="436"/>
      <c r="AA41" s="436"/>
      <c r="AB41" s="436"/>
      <c r="AC41" s="436"/>
      <c r="AD41" s="436"/>
      <c r="AE41" s="436"/>
      <c r="AF41" s="436"/>
    </row>
    <row r="42" spans="1:32">
      <c r="A42" s="1308"/>
      <c r="B42" s="1308"/>
      <c r="C42" s="1308"/>
      <c r="D42" s="1308"/>
      <c r="E42" s="1308"/>
      <c r="F42" s="1309"/>
      <c r="G42" s="1309"/>
      <c r="H42" s="1309"/>
      <c r="I42" s="1309"/>
      <c r="J42" s="1309"/>
      <c r="K42" s="1309"/>
      <c r="L42" s="1308"/>
      <c r="M42" s="1308"/>
      <c r="N42" s="1308"/>
      <c r="O42" s="1308"/>
      <c r="Y42" s="436"/>
      <c r="Z42" s="436"/>
      <c r="AA42" s="436"/>
      <c r="AB42" s="436"/>
      <c r="AC42" s="436"/>
      <c r="AD42" s="436"/>
      <c r="AE42" s="436"/>
      <c r="AF42" s="436"/>
    </row>
    <row r="43" spans="1:32">
      <c r="A43" s="1308"/>
      <c r="B43" s="1308"/>
      <c r="C43" s="1308"/>
      <c r="D43" s="1308"/>
      <c r="E43" s="1308"/>
      <c r="F43" s="1309"/>
      <c r="G43" s="1309"/>
      <c r="H43" s="1309"/>
      <c r="I43" s="1309"/>
      <c r="J43" s="1309"/>
      <c r="K43" s="1309"/>
      <c r="L43" s="1308"/>
      <c r="M43" s="1308"/>
      <c r="N43" s="1308"/>
      <c r="O43" s="1308"/>
      <c r="Y43" s="436"/>
      <c r="Z43" s="436"/>
      <c r="AA43" s="436"/>
      <c r="AB43" s="436"/>
      <c r="AC43" s="436"/>
      <c r="AD43" s="436"/>
      <c r="AE43" s="436"/>
      <c r="AF43" s="436"/>
    </row>
    <row r="44" spans="1:32">
      <c r="A44" s="1308"/>
      <c r="B44" s="1308"/>
      <c r="C44" s="1308"/>
      <c r="D44" s="1308"/>
      <c r="E44" s="1308"/>
      <c r="F44" s="1309"/>
      <c r="G44" s="1309"/>
      <c r="H44" s="1309"/>
      <c r="I44" s="1309"/>
      <c r="J44" s="1309"/>
      <c r="K44" s="1309"/>
      <c r="L44" s="1308"/>
      <c r="M44" s="1308"/>
      <c r="N44" s="1308"/>
      <c r="O44" s="1308"/>
      <c r="Y44" s="436"/>
      <c r="Z44" s="436"/>
      <c r="AA44" s="436"/>
      <c r="AB44" s="436"/>
      <c r="AC44" s="436"/>
      <c r="AD44" s="436"/>
      <c r="AE44" s="436"/>
      <c r="AF44" s="436"/>
    </row>
    <row r="45" spans="1:32">
      <c r="A45" s="1308"/>
      <c r="B45" s="1308"/>
      <c r="C45" s="1308"/>
      <c r="D45" s="1308"/>
      <c r="E45" s="1308"/>
      <c r="F45" s="1309"/>
      <c r="G45" s="1309"/>
      <c r="H45" s="1309"/>
      <c r="I45" s="1309"/>
      <c r="J45" s="1309"/>
      <c r="K45" s="1309"/>
      <c r="L45" s="1308"/>
      <c r="M45" s="1308"/>
      <c r="N45" s="1308"/>
      <c r="O45" s="1308"/>
      <c r="Y45" s="436"/>
      <c r="Z45" s="436"/>
      <c r="AA45" s="436"/>
      <c r="AB45" s="436"/>
      <c r="AC45" s="436"/>
      <c r="AD45" s="436"/>
      <c r="AE45" s="436"/>
      <c r="AF45" s="436"/>
    </row>
    <row r="46" spans="1:32">
      <c r="A46" s="1308"/>
      <c r="B46" s="1308"/>
      <c r="C46" s="1308"/>
      <c r="D46" s="1308"/>
      <c r="E46" s="1308"/>
      <c r="F46" s="1309"/>
      <c r="G46" s="1309"/>
      <c r="H46" s="1309"/>
      <c r="I46" s="1309"/>
      <c r="J46" s="1309"/>
      <c r="K46" s="1309"/>
      <c r="L46" s="1308"/>
      <c r="M46" s="1308"/>
      <c r="N46" s="1308"/>
      <c r="O46" s="1308"/>
      <c r="Y46" s="436"/>
      <c r="Z46" s="436"/>
      <c r="AA46" s="436"/>
      <c r="AB46" s="436"/>
      <c r="AC46" s="436"/>
      <c r="AD46" s="436"/>
      <c r="AE46" s="436"/>
      <c r="AF46" s="436"/>
    </row>
    <row r="47" spans="1:32">
      <c r="A47" s="1308"/>
      <c r="B47" s="1308"/>
      <c r="C47" s="1308"/>
      <c r="D47" s="1308"/>
      <c r="E47" s="1308"/>
      <c r="F47" s="1309"/>
      <c r="G47" s="1309"/>
      <c r="H47" s="1309"/>
      <c r="I47" s="1309"/>
      <c r="J47" s="1309"/>
      <c r="K47" s="1309"/>
      <c r="L47" s="1308"/>
      <c r="M47" s="1308"/>
      <c r="N47" s="1308"/>
      <c r="O47" s="1308"/>
      <c r="Y47" s="436"/>
      <c r="Z47" s="436"/>
      <c r="AA47" s="436"/>
      <c r="AB47" s="436"/>
      <c r="AC47" s="436"/>
      <c r="AD47" s="436"/>
      <c r="AE47" s="436"/>
      <c r="AF47" s="436"/>
    </row>
    <row r="48" spans="1:32">
      <c r="A48" s="1308"/>
      <c r="B48" s="1308"/>
      <c r="C48" s="1308"/>
      <c r="D48" s="1308"/>
      <c r="E48" s="1308"/>
      <c r="F48" s="1309"/>
      <c r="G48" s="1309"/>
      <c r="H48" s="1309"/>
      <c r="I48" s="1309"/>
      <c r="J48" s="1309"/>
      <c r="K48" s="1309"/>
      <c r="L48" s="1308"/>
      <c r="M48" s="1308"/>
      <c r="N48" s="1308"/>
      <c r="O48" s="1308"/>
      <c r="Y48" s="436"/>
      <c r="Z48" s="436"/>
      <c r="AA48" s="436"/>
      <c r="AB48" s="436"/>
      <c r="AC48" s="436"/>
      <c r="AD48" s="436"/>
      <c r="AE48" s="436"/>
      <c r="AF48" s="436"/>
    </row>
    <row r="49" spans="1:32">
      <c r="A49" s="1308"/>
      <c r="B49" s="1308"/>
      <c r="C49" s="1308"/>
      <c r="D49" s="1308"/>
      <c r="E49" s="1308"/>
      <c r="F49" s="1309"/>
      <c r="G49" s="1309"/>
      <c r="H49" s="1309"/>
      <c r="I49" s="1309"/>
      <c r="J49" s="1309"/>
      <c r="K49" s="1309"/>
      <c r="L49" s="1308"/>
      <c r="M49" s="1308"/>
      <c r="N49" s="1308"/>
      <c r="O49" s="1308"/>
      <c r="Y49" s="436"/>
      <c r="Z49" s="436"/>
      <c r="AA49" s="436"/>
      <c r="AB49" s="436"/>
      <c r="AC49" s="436"/>
      <c r="AD49" s="436"/>
      <c r="AE49" s="436"/>
      <c r="AF49" s="436"/>
    </row>
    <row r="50" spans="1:32">
      <c r="A50" s="1308"/>
      <c r="B50" s="1308"/>
      <c r="C50" s="1308"/>
      <c r="D50" s="1308"/>
      <c r="E50" s="1308"/>
      <c r="F50" s="1309"/>
      <c r="G50" s="1309"/>
      <c r="H50" s="1309"/>
      <c r="I50" s="1309"/>
      <c r="J50" s="1309"/>
      <c r="K50" s="1309"/>
      <c r="L50" s="1308"/>
      <c r="M50" s="1308"/>
      <c r="N50" s="1308"/>
      <c r="O50" s="1308"/>
      <c r="Y50" s="436"/>
      <c r="Z50" s="436"/>
      <c r="AA50" s="436"/>
      <c r="AB50" s="436"/>
      <c r="AC50" s="436"/>
      <c r="AD50" s="436"/>
      <c r="AE50" s="436"/>
      <c r="AF50" s="436"/>
    </row>
    <row r="51" spans="1:32">
      <c r="A51" s="1308"/>
      <c r="B51" s="1308"/>
      <c r="C51" s="1308"/>
      <c r="D51" s="1308"/>
      <c r="E51" s="1308"/>
      <c r="F51" s="1309"/>
      <c r="G51" s="1309"/>
      <c r="H51" s="1309"/>
      <c r="I51" s="1309"/>
      <c r="J51" s="1309"/>
      <c r="K51" s="1309"/>
      <c r="L51" s="1308"/>
      <c r="M51" s="1308"/>
      <c r="N51" s="1308"/>
      <c r="O51" s="1308"/>
      <c r="Y51" s="436"/>
      <c r="Z51" s="436"/>
      <c r="AA51" s="436"/>
      <c r="AB51" s="436"/>
      <c r="AC51" s="436"/>
      <c r="AD51" s="436"/>
      <c r="AE51" s="436"/>
      <c r="AF51" s="436"/>
    </row>
    <row r="52" spans="1:32">
      <c r="A52" s="1308"/>
      <c r="B52" s="1308"/>
      <c r="C52" s="1308"/>
      <c r="D52" s="1308"/>
      <c r="E52" s="1308"/>
      <c r="F52" s="1309"/>
      <c r="G52" s="1309"/>
      <c r="H52" s="1309"/>
      <c r="I52" s="1309"/>
      <c r="J52" s="1309"/>
      <c r="K52" s="1309"/>
      <c r="L52" s="1308"/>
      <c r="M52" s="1308"/>
      <c r="N52" s="1308"/>
      <c r="O52" s="1308"/>
      <c r="Y52" s="436"/>
      <c r="Z52" s="436"/>
      <c r="AA52" s="436"/>
      <c r="AB52" s="436"/>
      <c r="AC52" s="436"/>
      <c r="AD52" s="436"/>
      <c r="AE52" s="436"/>
      <c r="AF52" s="436"/>
    </row>
    <row r="53" spans="1:32">
      <c r="A53" s="1308"/>
      <c r="B53" s="1308"/>
      <c r="C53" s="1308"/>
      <c r="D53" s="1308"/>
      <c r="E53" s="1308"/>
      <c r="F53" s="1309"/>
      <c r="G53" s="1309"/>
      <c r="H53" s="1309"/>
      <c r="I53" s="1309"/>
      <c r="J53" s="1309"/>
      <c r="K53" s="1309"/>
      <c r="L53" s="1308"/>
      <c r="M53" s="1308"/>
      <c r="N53" s="1308"/>
      <c r="O53" s="1308"/>
      <c r="Y53" s="436"/>
      <c r="Z53" s="436"/>
      <c r="AA53" s="436"/>
      <c r="AB53" s="436"/>
      <c r="AC53" s="436"/>
      <c r="AD53" s="436"/>
      <c r="AE53" s="436"/>
      <c r="AF53" s="436"/>
    </row>
    <row r="54" spans="1:32">
      <c r="A54" s="1308"/>
      <c r="B54" s="1308"/>
      <c r="C54" s="1308"/>
      <c r="D54" s="1308"/>
      <c r="E54" s="1308"/>
      <c r="F54" s="1309"/>
      <c r="G54" s="1309"/>
      <c r="H54" s="1309"/>
      <c r="I54" s="1309"/>
      <c r="J54" s="1309"/>
      <c r="K54" s="1309"/>
      <c r="L54" s="1308"/>
      <c r="M54" s="1308"/>
      <c r="N54" s="1308"/>
      <c r="O54" s="1308"/>
      <c r="Y54" s="436"/>
      <c r="Z54" s="436"/>
      <c r="AA54" s="436"/>
      <c r="AB54" s="436"/>
      <c r="AC54" s="436"/>
      <c r="AD54" s="436"/>
      <c r="AE54" s="436"/>
      <c r="AF54" s="436"/>
    </row>
    <row r="55" spans="1:32">
      <c r="A55" s="1308"/>
      <c r="B55" s="1308"/>
      <c r="C55" s="1308"/>
      <c r="D55" s="1308"/>
      <c r="E55" s="1308"/>
      <c r="F55" s="1309"/>
      <c r="G55" s="1309"/>
      <c r="H55" s="1309"/>
      <c r="I55" s="1309"/>
      <c r="J55" s="1309"/>
      <c r="K55" s="1309"/>
      <c r="L55" s="1308"/>
      <c r="M55" s="1308"/>
      <c r="N55" s="1308"/>
      <c r="O55" s="1308"/>
      <c r="Y55" s="436"/>
      <c r="Z55" s="436"/>
      <c r="AA55" s="436"/>
      <c r="AB55" s="436"/>
      <c r="AC55" s="436"/>
      <c r="AD55" s="436"/>
      <c r="AE55" s="436"/>
      <c r="AF55" s="436"/>
    </row>
    <row r="56" spans="1:32">
      <c r="A56" s="1308"/>
      <c r="B56" s="1308"/>
      <c r="C56" s="1308"/>
      <c r="D56" s="1308"/>
      <c r="E56" s="1308"/>
      <c r="F56" s="1309"/>
      <c r="G56" s="1309"/>
      <c r="H56" s="1309"/>
      <c r="I56" s="1309"/>
      <c r="J56" s="1309"/>
      <c r="K56" s="1309"/>
      <c r="L56" s="1308"/>
      <c r="M56" s="1308"/>
      <c r="N56" s="1308"/>
      <c r="O56" s="1308"/>
      <c r="Y56" s="436"/>
      <c r="Z56" s="436"/>
      <c r="AA56" s="436"/>
      <c r="AB56" s="436"/>
      <c r="AC56" s="436"/>
      <c r="AD56" s="436"/>
      <c r="AE56" s="436"/>
      <c r="AF56" s="436"/>
    </row>
    <row r="57" spans="1:32">
      <c r="A57" s="1308"/>
      <c r="B57" s="1308"/>
      <c r="C57" s="1308"/>
      <c r="D57" s="1308"/>
      <c r="E57" s="1308"/>
      <c r="F57" s="1309"/>
      <c r="G57" s="1309"/>
      <c r="H57" s="1309"/>
      <c r="I57" s="1309"/>
      <c r="J57" s="1309"/>
      <c r="K57" s="1309"/>
      <c r="L57" s="1308"/>
      <c r="M57" s="1308"/>
      <c r="N57" s="1308"/>
      <c r="O57" s="1308"/>
      <c r="Y57" s="436"/>
      <c r="Z57" s="436"/>
      <c r="AA57" s="436"/>
      <c r="AB57" s="436"/>
      <c r="AC57" s="436"/>
      <c r="AD57" s="436"/>
      <c r="AE57" s="436"/>
      <c r="AF57" s="436"/>
    </row>
    <row r="58" spans="1:32">
      <c r="A58" s="1308"/>
      <c r="B58" s="1308"/>
      <c r="C58" s="1308"/>
      <c r="D58" s="1308"/>
      <c r="E58" s="1308"/>
      <c r="F58" s="1309"/>
      <c r="G58" s="1309"/>
      <c r="H58" s="1309"/>
      <c r="I58" s="1309"/>
      <c r="J58" s="1309"/>
      <c r="K58" s="1309"/>
      <c r="L58" s="1308"/>
      <c r="M58" s="1308"/>
      <c r="N58" s="1308"/>
      <c r="O58" s="1308"/>
      <c r="Y58" s="436"/>
      <c r="Z58" s="436"/>
      <c r="AA58" s="436"/>
      <c r="AB58" s="436"/>
      <c r="AC58" s="436"/>
      <c r="AD58" s="436"/>
      <c r="AE58" s="436"/>
      <c r="AF58" s="436"/>
    </row>
    <row r="59" spans="1:32">
      <c r="A59" s="1308"/>
      <c r="B59" s="1308"/>
      <c r="C59" s="1308"/>
      <c r="D59" s="1308"/>
      <c r="E59" s="1308"/>
      <c r="F59" s="1309"/>
      <c r="G59" s="1309"/>
      <c r="H59" s="1309"/>
      <c r="I59" s="1309"/>
      <c r="J59" s="1309"/>
      <c r="K59" s="1309"/>
      <c r="L59" s="1308"/>
      <c r="M59" s="1308"/>
      <c r="N59" s="1308"/>
      <c r="O59" s="1308"/>
      <c r="Y59" s="436"/>
      <c r="Z59" s="436"/>
      <c r="AA59" s="436"/>
      <c r="AB59" s="436"/>
      <c r="AC59" s="436"/>
      <c r="AD59" s="436"/>
      <c r="AE59" s="436"/>
      <c r="AF59" s="436"/>
    </row>
    <row r="60" spans="1:32">
      <c r="A60" s="1308"/>
      <c r="B60" s="1308"/>
      <c r="C60" s="1308"/>
      <c r="D60" s="1308"/>
      <c r="E60" s="1308"/>
      <c r="F60" s="1309"/>
      <c r="G60" s="1309"/>
      <c r="H60" s="1309"/>
      <c r="I60" s="1309"/>
      <c r="J60" s="1309"/>
      <c r="K60" s="1309"/>
      <c r="L60" s="1308"/>
      <c r="M60" s="1308"/>
      <c r="N60" s="1308"/>
      <c r="O60" s="1308"/>
      <c r="Y60" s="436"/>
      <c r="Z60" s="436"/>
      <c r="AA60" s="436"/>
      <c r="AB60" s="436"/>
      <c r="AC60" s="436"/>
      <c r="AD60" s="436"/>
      <c r="AE60" s="436"/>
      <c r="AF60" s="436"/>
    </row>
    <row r="61" spans="1:32">
      <c r="A61" s="1308"/>
      <c r="B61" s="1308"/>
      <c r="C61" s="1308"/>
      <c r="D61" s="1308"/>
      <c r="E61" s="1308"/>
      <c r="F61" s="1309"/>
      <c r="G61" s="1309"/>
      <c r="H61" s="1309"/>
      <c r="I61" s="1309"/>
      <c r="J61" s="1309"/>
      <c r="K61" s="1309"/>
      <c r="L61" s="1308"/>
      <c r="M61" s="1308"/>
      <c r="N61" s="1308"/>
      <c r="O61" s="1308"/>
      <c r="Y61" s="436"/>
      <c r="Z61" s="436"/>
      <c r="AA61" s="436"/>
      <c r="AB61" s="436"/>
      <c r="AC61" s="436"/>
      <c r="AD61" s="436"/>
      <c r="AE61" s="436"/>
      <c r="AF61" s="436"/>
    </row>
    <row r="62" spans="1:32">
      <c r="A62" s="1308"/>
      <c r="B62" s="1308"/>
      <c r="C62" s="1308"/>
      <c r="D62" s="1308"/>
      <c r="E62" s="1308"/>
      <c r="F62" s="1309"/>
      <c r="G62" s="1309"/>
      <c r="H62" s="1309"/>
      <c r="I62" s="1309"/>
      <c r="J62" s="1309"/>
      <c r="K62" s="1309"/>
      <c r="L62" s="1308"/>
      <c r="M62" s="1308"/>
      <c r="N62" s="1308"/>
      <c r="O62" s="1308"/>
      <c r="Y62" s="436"/>
      <c r="Z62" s="436"/>
      <c r="AA62" s="436"/>
      <c r="AB62" s="436"/>
      <c r="AC62" s="436"/>
      <c r="AD62" s="436"/>
      <c r="AE62" s="436"/>
      <c r="AF62" s="436"/>
    </row>
    <row r="63" spans="1:32">
      <c r="A63" s="1308"/>
      <c r="B63" s="1308"/>
      <c r="C63" s="1308"/>
      <c r="D63" s="1308"/>
      <c r="E63" s="1308"/>
      <c r="F63" s="1309"/>
      <c r="G63" s="1309"/>
      <c r="H63" s="1309"/>
      <c r="I63" s="1309"/>
      <c r="J63" s="1309"/>
      <c r="K63" s="1309"/>
      <c r="L63" s="1308"/>
      <c r="M63" s="1308"/>
      <c r="N63" s="1308"/>
      <c r="O63" s="1308"/>
      <c r="Y63" s="436"/>
      <c r="Z63" s="436"/>
      <c r="AA63" s="436"/>
      <c r="AB63" s="436"/>
      <c r="AC63" s="436"/>
      <c r="AD63" s="436"/>
      <c r="AE63" s="436"/>
      <c r="AF63" s="436"/>
    </row>
    <row r="64" spans="1:32">
      <c r="A64" s="1308"/>
      <c r="B64" s="1308"/>
      <c r="C64" s="1308"/>
      <c r="D64" s="1308"/>
      <c r="E64" s="1308"/>
      <c r="F64" s="1309"/>
      <c r="G64" s="1309"/>
      <c r="H64" s="1309"/>
      <c r="I64" s="1309"/>
      <c r="J64" s="1309"/>
      <c r="K64" s="1309"/>
      <c r="L64" s="1308"/>
      <c r="M64" s="1308"/>
      <c r="N64" s="1308"/>
      <c r="O64" s="1308"/>
      <c r="Y64" s="436"/>
      <c r="Z64" s="436"/>
      <c r="AA64" s="436"/>
      <c r="AB64" s="436"/>
      <c r="AC64" s="436"/>
      <c r="AD64" s="436"/>
      <c r="AE64" s="436"/>
      <c r="AF64" s="436"/>
    </row>
    <row r="65" spans="1:32">
      <c r="A65" s="1308"/>
      <c r="B65" s="1308"/>
      <c r="C65" s="1308"/>
      <c r="D65" s="1308"/>
      <c r="E65" s="1308"/>
      <c r="F65" s="1309"/>
      <c r="G65" s="1309"/>
      <c r="H65" s="1309"/>
      <c r="I65" s="1309"/>
      <c r="J65" s="1309"/>
      <c r="K65" s="1309"/>
      <c r="L65" s="1308"/>
      <c r="M65" s="1308"/>
      <c r="N65" s="1308"/>
      <c r="O65" s="1308"/>
      <c r="Y65" s="436"/>
      <c r="Z65" s="436"/>
      <c r="AA65" s="436"/>
      <c r="AB65" s="436"/>
      <c r="AC65" s="436"/>
      <c r="AD65" s="436"/>
      <c r="AE65" s="436"/>
      <c r="AF65" s="436"/>
    </row>
    <row r="66" spans="1:32">
      <c r="A66" s="1308"/>
      <c r="B66" s="1308"/>
      <c r="C66" s="1308"/>
      <c r="D66" s="1308"/>
      <c r="E66" s="1308"/>
      <c r="F66" s="1309"/>
      <c r="G66" s="1309"/>
      <c r="H66" s="1309"/>
      <c r="I66" s="1309"/>
      <c r="J66" s="1309"/>
      <c r="K66" s="1309"/>
      <c r="L66" s="1308"/>
      <c r="M66" s="1308"/>
      <c r="N66" s="1308"/>
      <c r="O66" s="1308"/>
      <c r="Y66" s="436"/>
      <c r="Z66" s="436"/>
      <c r="AA66" s="436"/>
      <c r="AB66" s="436"/>
      <c r="AC66" s="436"/>
      <c r="AD66" s="436"/>
      <c r="AE66" s="436"/>
      <c r="AF66" s="436"/>
    </row>
    <row r="67" spans="1:32">
      <c r="A67" s="1308"/>
      <c r="B67" s="1308"/>
      <c r="C67" s="1308"/>
      <c r="D67" s="1308"/>
      <c r="E67" s="1308"/>
      <c r="F67" s="1309"/>
      <c r="G67" s="1309"/>
      <c r="H67" s="1309"/>
      <c r="I67" s="1309"/>
      <c r="J67" s="1309"/>
      <c r="K67" s="1309"/>
      <c r="L67" s="1308"/>
      <c r="M67" s="1308"/>
      <c r="N67" s="1308"/>
      <c r="O67" s="1308"/>
      <c r="Y67" s="436"/>
      <c r="Z67" s="436"/>
      <c r="AA67" s="436"/>
      <c r="AB67" s="436"/>
      <c r="AC67" s="436"/>
      <c r="AD67" s="436"/>
      <c r="AE67" s="436"/>
      <c r="AF67" s="436"/>
    </row>
    <row r="68" spans="1:32">
      <c r="A68" s="1308"/>
      <c r="B68" s="1308"/>
      <c r="C68" s="1308"/>
      <c r="D68" s="1308"/>
      <c r="E68" s="1308"/>
      <c r="F68" s="1309"/>
      <c r="G68" s="1309"/>
      <c r="H68" s="1309"/>
      <c r="I68" s="1309"/>
      <c r="J68" s="1309"/>
      <c r="K68" s="1309"/>
      <c r="L68" s="1308"/>
      <c r="M68" s="1308"/>
      <c r="N68" s="1308"/>
      <c r="O68" s="1308"/>
      <c r="Y68" s="436"/>
      <c r="Z68" s="436"/>
      <c r="AA68" s="436"/>
      <c r="AB68" s="436"/>
      <c r="AC68" s="436"/>
      <c r="AD68" s="436"/>
      <c r="AE68" s="436"/>
      <c r="AF68" s="436"/>
    </row>
    <row r="69" spans="1:32">
      <c r="A69" s="1308"/>
      <c r="B69" s="1308"/>
      <c r="C69" s="1308"/>
      <c r="D69" s="1308"/>
      <c r="E69" s="1308"/>
      <c r="F69" s="1309"/>
      <c r="G69" s="1309"/>
      <c r="H69" s="1309"/>
      <c r="I69" s="1309"/>
      <c r="J69" s="1309"/>
      <c r="K69" s="1309"/>
      <c r="L69" s="1308"/>
      <c r="M69" s="1308"/>
      <c r="N69" s="1308"/>
      <c r="O69" s="1308"/>
      <c r="Y69" s="436"/>
      <c r="Z69" s="436"/>
      <c r="AA69" s="436"/>
      <c r="AB69" s="436"/>
      <c r="AC69" s="436"/>
      <c r="AD69" s="436"/>
      <c r="AE69" s="436"/>
      <c r="AF69" s="436"/>
    </row>
    <row r="70" spans="1:32">
      <c r="A70" s="1308"/>
      <c r="B70" s="1308"/>
      <c r="C70" s="1308"/>
      <c r="D70" s="1308"/>
      <c r="E70" s="1308"/>
      <c r="F70" s="1309"/>
      <c r="G70" s="1309"/>
      <c r="H70" s="1309"/>
      <c r="I70" s="1309"/>
      <c r="J70" s="1309"/>
      <c r="K70" s="1309"/>
      <c r="L70" s="1308"/>
      <c r="M70" s="1308"/>
      <c r="N70" s="1308"/>
      <c r="O70" s="1308"/>
      <c r="Y70" s="436"/>
      <c r="Z70" s="436"/>
      <c r="AA70" s="436"/>
      <c r="AB70" s="436"/>
      <c r="AC70" s="436"/>
      <c r="AD70" s="436"/>
      <c r="AE70" s="436"/>
      <c r="AF70" s="436"/>
    </row>
    <row r="71" spans="1:32">
      <c r="A71" s="1308"/>
      <c r="B71" s="1308"/>
      <c r="C71" s="1308"/>
      <c r="D71" s="1308"/>
      <c r="E71" s="1308"/>
      <c r="F71" s="1309"/>
      <c r="G71" s="1309"/>
      <c r="H71" s="1309"/>
      <c r="I71" s="1309"/>
      <c r="J71" s="1309"/>
      <c r="K71" s="1309"/>
      <c r="L71" s="1308"/>
      <c r="M71" s="1308"/>
      <c r="N71" s="1308"/>
      <c r="O71" s="1308"/>
      <c r="Y71" s="436"/>
      <c r="Z71" s="436"/>
      <c r="AA71" s="436"/>
      <c r="AB71" s="436"/>
      <c r="AC71" s="436"/>
      <c r="AD71" s="436"/>
      <c r="AE71" s="436"/>
      <c r="AF71" s="436"/>
    </row>
    <row r="72" spans="1:32">
      <c r="A72" s="1308"/>
      <c r="B72" s="1308"/>
      <c r="C72" s="1308"/>
      <c r="D72" s="1308"/>
      <c r="E72" s="1308"/>
      <c r="F72" s="1309"/>
      <c r="G72" s="1309"/>
      <c r="H72" s="1309"/>
      <c r="I72" s="1309"/>
      <c r="J72" s="1309"/>
      <c r="K72" s="1309"/>
      <c r="L72" s="1308"/>
      <c r="M72" s="1308"/>
      <c r="N72" s="1308"/>
      <c r="O72" s="1308"/>
      <c r="Y72" s="436"/>
      <c r="Z72" s="436"/>
      <c r="AA72" s="436"/>
      <c r="AB72" s="436"/>
      <c r="AC72" s="436"/>
      <c r="AD72" s="436"/>
      <c r="AE72" s="436"/>
      <c r="AF72" s="436"/>
    </row>
    <row r="73" spans="1:32">
      <c r="A73" s="1308"/>
      <c r="B73" s="1308"/>
      <c r="C73" s="1308"/>
      <c r="D73" s="1308"/>
      <c r="E73" s="1308"/>
      <c r="F73" s="1309"/>
      <c r="G73" s="1309"/>
      <c r="H73" s="1309"/>
      <c r="I73" s="1309"/>
      <c r="J73" s="1309"/>
      <c r="K73" s="1309"/>
      <c r="L73" s="1308"/>
      <c r="M73" s="1308"/>
      <c r="N73" s="1308"/>
      <c r="O73" s="1308"/>
      <c r="Y73" s="436"/>
      <c r="Z73" s="436"/>
      <c r="AA73" s="436"/>
      <c r="AB73" s="436"/>
      <c r="AC73" s="436"/>
      <c r="AD73" s="436"/>
      <c r="AE73" s="436"/>
      <c r="AF73" s="436"/>
    </row>
    <row r="74" spans="1:32">
      <c r="A74" s="1308"/>
      <c r="B74" s="1308"/>
      <c r="C74" s="1308"/>
      <c r="D74" s="1308"/>
      <c r="E74" s="1308"/>
      <c r="F74" s="1309"/>
      <c r="G74" s="1309"/>
      <c r="H74" s="1309"/>
      <c r="I74" s="1309"/>
      <c r="J74" s="1309"/>
      <c r="K74" s="1309"/>
      <c r="L74" s="1308"/>
      <c r="M74" s="1308"/>
      <c r="N74" s="1308"/>
      <c r="O74" s="1308"/>
      <c r="Y74" s="436"/>
      <c r="Z74" s="436"/>
      <c r="AA74" s="436"/>
      <c r="AB74" s="436"/>
      <c r="AC74" s="436"/>
      <c r="AD74" s="436"/>
      <c r="AE74" s="436"/>
      <c r="AF74" s="436"/>
    </row>
    <row r="75" spans="1:32">
      <c r="A75" s="1308"/>
      <c r="B75" s="1308"/>
      <c r="C75" s="1308"/>
      <c r="D75" s="1308"/>
      <c r="E75" s="1308"/>
      <c r="F75" s="1309"/>
      <c r="G75" s="1309"/>
      <c r="H75" s="1309"/>
      <c r="I75" s="1309"/>
      <c r="J75" s="1309"/>
      <c r="K75" s="1309"/>
      <c r="L75" s="1308"/>
      <c r="M75" s="1308"/>
      <c r="N75" s="1308"/>
      <c r="O75" s="1308"/>
      <c r="Y75" s="436"/>
      <c r="Z75" s="436"/>
      <c r="AA75" s="436"/>
      <c r="AB75" s="436"/>
      <c r="AC75" s="436"/>
      <c r="AD75" s="436"/>
      <c r="AE75" s="436"/>
      <c r="AF75" s="436"/>
    </row>
    <row r="76" spans="1:32">
      <c r="A76" s="1308"/>
      <c r="B76" s="1308"/>
      <c r="C76" s="1308"/>
      <c r="D76" s="1308"/>
      <c r="E76" s="1308"/>
      <c r="F76" s="1309"/>
      <c r="G76" s="1309"/>
      <c r="H76" s="1309"/>
      <c r="I76" s="1309"/>
      <c r="J76" s="1309"/>
      <c r="K76" s="1309"/>
      <c r="L76" s="1308"/>
      <c r="M76" s="1308"/>
      <c r="N76" s="1308"/>
      <c r="O76" s="1308"/>
      <c r="Y76" s="436"/>
      <c r="Z76" s="436"/>
      <c r="AA76" s="436"/>
      <c r="AB76" s="436"/>
      <c r="AC76" s="436"/>
      <c r="AD76" s="436"/>
      <c r="AE76" s="436"/>
      <c r="AF76" s="436"/>
    </row>
    <row r="77" spans="1:32">
      <c r="A77" s="1308"/>
      <c r="B77" s="1308"/>
      <c r="C77" s="1308"/>
      <c r="D77" s="1308"/>
      <c r="E77" s="1308"/>
      <c r="F77" s="1309"/>
      <c r="G77" s="1309"/>
      <c r="H77" s="1309"/>
      <c r="I77" s="1309"/>
      <c r="J77" s="1309"/>
      <c r="K77" s="1309"/>
      <c r="L77" s="1308"/>
      <c r="M77" s="1308"/>
      <c r="N77" s="1308"/>
      <c r="O77" s="1308"/>
      <c r="Y77" s="436"/>
      <c r="Z77" s="436"/>
      <c r="AA77" s="436"/>
      <c r="AB77" s="436"/>
      <c r="AC77" s="436"/>
      <c r="AD77" s="436"/>
      <c r="AE77" s="436"/>
      <c r="AF77" s="436"/>
    </row>
    <row r="78" spans="1:32">
      <c r="A78" s="1308"/>
      <c r="B78" s="1308"/>
      <c r="C78" s="1308"/>
      <c r="D78" s="1308"/>
      <c r="E78" s="1308"/>
      <c r="F78" s="1309"/>
      <c r="G78" s="1309"/>
      <c r="H78" s="1309"/>
      <c r="I78" s="1309"/>
      <c r="J78" s="1309"/>
      <c r="K78" s="1309"/>
      <c r="L78" s="1308"/>
      <c r="M78" s="1308"/>
      <c r="N78" s="1308"/>
      <c r="O78" s="1308"/>
      <c r="Y78" s="436"/>
      <c r="Z78" s="436"/>
      <c r="AA78" s="436"/>
      <c r="AB78" s="436"/>
      <c r="AC78" s="436"/>
      <c r="AD78" s="436"/>
      <c r="AE78" s="436"/>
      <c r="AF78" s="436"/>
    </row>
    <row r="79" spans="1:32">
      <c r="A79" s="1308"/>
      <c r="B79" s="1308"/>
      <c r="C79" s="1308"/>
      <c r="D79" s="1308"/>
      <c r="E79" s="1308"/>
      <c r="F79" s="1309"/>
      <c r="G79" s="1309"/>
      <c r="H79" s="1309"/>
      <c r="I79" s="1309"/>
      <c r="J79" s="1309"/>
      <c r="K79" s="1309"/>
      <c r="L79" s="1308"/>
      <c r="M79" s="1308"/>
      <c r="N79" s="1308"/>
      <c r="O79" s="1308"/>
      <c r="Y79" s="436"/>
      <c r="Z79" s="436"/>
      <c r="AA79" s="436"/>
      <c r="AB79" s="436"/>
      <c r="AC79" s="436"/>
      <c r="AD79" s="436"/>
      <c r="AE79" s="436"/>
      <c r="AF79" s="436"/>
    </row>
    <row r="80" spans="1:32">
      <c r="A80" s="1308"/>
      <c r="B80" s="1308"/>
      <c r="C80" s="1308"/>
      <c r="D80" s="1308"/>
      <c r="E80" s="1308"/>
      <c r="F80" s="1309"/>
      <c r="G80" s="1309"/>
      <c r="H80" s="1309"/>
      <c r="I80" s="1309"/>
      <c r="J80" s="1309"/>
      <c r="K80" s="1309"/>
      <c r="L80" s="1308"/>
      <c r="M80" s="1308"/>
      <c r="N80" s="1308"/>
      <c r="O80" s="1308"/>
      <c r="Y80" s="436"/>
      <c r="Z80" s="436"/>
      <c r="AA80" s="436"/>
      <c r="AB80" s="436"/>
      <c r="AC80" s="436"/>
      <c r="AD80" s="436"/>
      <c r="AE80" s="436"/>
      <c r="AF80" s="436"/>
    </row>
    <row r="81" spans="1:32">
      <c r="A81" s="1308"/>
      <c r="B81" s="1308"/>
      <c r="C81" s="1308"/>
      <c r="D81" s="1308"/>
      <c r="E81" s="1308"/>
      <c r="F81" s="1309"/>
      <c r="G81" s="1309"/>
      <c r="H81" s="1309"/>
      <c r="I81" s="1309"/>
      <c r="J81" s="1309"/>
      <c r="K81" s="1309"/>
      <c r="L81" s="1308"/>
      <c r="M81" s="1308"/>
      <c r="N81" s="1308"/>
      <c r="O81" s="1308"/>
      <c r="Y81" s="436"/>
      <c r="Z81" s="436"/>
      <c r="AA81" s="436"/>
      <c r="AB81" s="436"/>
      <c r="AC81" s="436"/>
      <c r="AD81" s="436"/>
      <c r="AE81" s="436"/>
      <c r="AF81" s="436"/>
    </row>
    <row r="82" spans="1:32">
      <c r="A82" s="1308"/>
      <c r="B82" s="1308"/>
      <c r="C82" s="1308"/>
      <c r="D82" s="1308"/>
      <c r="E82" s="1308"/>
      <c r="F82" s="1309"/>
      <c r="G82" s="1309"/>
      <c r="H82" s="1309"/>
      <c r="I82" s="1309"/>
      <c r="J82" s="1309"/>
      <c r="K82" s="1309"/>
      <c r="L82" s="1308"/>
      <c r="M82" s="1308"/>
      <c r="N82" s="1308"/>
      <c r="O82" s="1308"/>
      <c r="Y82" s="436"/>
      <c r="Z82" s="436"/>
      <c r="AA82" s="436"/>
      <c r="AB82" s="436"/>
      <c r="AC82" s="436"/>
      <c r="AD82" s="436"/>
      <c r="AE82" s="436"/>
      <c r="AF82" s="436"/>
    </row>
    <row r="83" spans="1:32">
      <c r="A83" s="1308"/>
      <c r="B83" s="1308"/>
      <c r="C83" s="1308"/>
      <c r="D83" s="1308"/>
      <c r="E83" s="1308"/>
      <c r="F83" s="1309"/>
      <c r="G83" s="1309"/>
      <c r="H83" s="1309"/>
      <c r="I83" s="1309"/>
      <c r="J83" s="1309"/>
      <c r="K83" s="1309"/>
      <c r="L83" s="1308"/>
      <c r="M83" s="1308"/>
      <c r="N83" s="1308"/>
      <c r="O83" s="1308"/>
      <c r="Y83" s="436"/>
      <c r="Z83" s="436"/>
      <c r="AA83" s="436"/>
      <c r="AB83" s="436"/>
      <c r="AC83" s="436"/>
      <c r="AD83" s="436"/>
      <c r="AE83" s="436"/>
      <c r="AF83" s="436"/>
    </row>
    <row r="84" spans="1:32">
      <c r="A84" s="1308"/>
      <c r="B84" s="1308"/>
      <c r="C84" s="1308"/>
      <c r="D84" s="1308"/>
      <c r="E84" s="1308"/>
      <c r="F84" s="1309"/>
      <c r="G84" s="1309"/>
      <c r="H84" s="1309"/>
      <c r="I84" s="1309"/>
      <c r="J84" s="1309"/>
      <c r="K84" s="1309"/>
      <c r="L84" s="1308"/>
      <c r="M84" s="1308"/>
      <c r="N84" s="1308"/>
      <c r="O84" s="1308"/>
      <c r="Y84" s="436"/>
      <c r="Z84" s="436"/>
      <c r="AA84" s="436"/>
      <c r="AB84" s="436"/>
      <c r="AC84" s="436"/>
      <c r="AD84" s="436"/>
      <c r="AE84" s="436"/>
      <c r="AF84" s="436"/>
    </row>
    <row r="85" spans="1:32">
      <c r="A85" s="1308"/>
      <c r="B85" s="1308"/>
      <c r="C85" s="1308"/>
      <c r="D85" s="1308"/>
      <c r="E85" s="1308"/>
      <c r="F85" s="1309"/>
      <c r="G85" s="1309"/>
      <c r="H85" s="1309"/>
      <c r="I85" s="1309"/>
      <c r="J85" s="1309"/>
      <c r="K85" s="1309"/>
      <c r="L85" s="1308"/>
      <c r="M85" s="1308"/>
      <c r="N85" s="1308"/>
      <c r="O85" s="1308"/>
      <c r="Y85" s="436"/>
      <c r="Z85" s="436"/>
      <c r="AA85" s="436"/>
      <c r="AB85" s="436"/>
      <c r="AC85" s="436"/>
      <c r="AD85" s="436"/>
      <c r="AE85" s="436"/>
      <c r="AF85" s="436"/>
    </row>
    <row r="86" spans="1:32">
      <c r="A86" s="1308"/>
      <c r="B86" s="1308"/>
      <c r="C86" s="1308"/>
      <c r="D86" s="1308"/>
      <c r="E86" s="1308"/>
      <c r="F86" s="1309"/>
      <c r="G86" s="1309"/>
      <c r="H86" s="1309"/>
      <c r="I86" s="1309"/>
      <c r="J86" s="1309"/>
      <c r="K86" s="1309"/>
      <c r="L86" s="1308"/>
      <c r="M86" s="1308"/>
      <c r="N86" s="1308"/>
      <c r="O86" s="1308"/>
      <c r="Y86" s="436"/>
      <c r="Z86" s="436"/>
      <c r="AA86" s="436"/>
      <c r="AB86" s="436"/>
      <c r="AC86" s="436"/>
      <c r="AD86" s="436"/>
      <c r="AE86" s="436"/>
      <c r="AF86" s="436"/>
    </row>
    <row r="87" spans="1:32">
      <c r="A87" s="1308"/>
      <c r="B87" s="1308"/>
      <c r="C87" s="1308"/>
      <c r="D87" s="1308"/>
      <c r="E87" s="1308"/>
      <c r="F87" s="1309"/>
      <c r="G87" s="1309"/>
      <c r="H87" s="1309"/>
      <c r="I87" s="1309"/>
      <c r="J87" s="1309"/>
      <c r="K87" s="1309"/>
      <c r="L87" s="1308"/>
      <c r="M87" s="1308"/>
      <c r="N87" s="1308"/>
      <c r="O87" s="1308"/>
      <c r="Y87" s="436"/>
      <c r="Z87" s="436"/>
      <c r="AA87" s="436"/>
      <c r="AB87" s="436"/>
      <c r="AC87" s="436"/>
      <c r="AD87" s="436"/>
      <c r="AE87" s="436"/>
      <c r="AF87" s="436"/>
    </row>
    <row r="88" spans="1:32">
      <c r="A88" s="1308"/>
      <c r="B88" s="1308"/>
      <c r="C88" s="1308"/>
      <c r="D88" s="1308"/>
      <c r="E88" s="1308"/>
      <c r="F88" s="1309"/>
      <c r="G88" s="1309"/>
      <c r="H88" s="1309"/>
      <c r="I88" s="1309"/>
      <c r="J88" s="1309"/>
      <c r="K88" s="1309"/>
      <c r="L88" s="1308"/>
      <c r="M88" s="1308"/>
      <c r="N88" s="1308"/>
      <c r="O88" s="1308"/>
      <c r="Y88" s="436"/>
      <c r="Z88" s="436"/>
      <c r="AA88" s="436"/>
      <c r="AB88" s="436"/>
      <c r="AC88" s="436"/>
      <c r="AD88" s="436"/>
      <c r="AE88" s="436"/>
      <c r="AF88" s="436"/>
    </row>
    <row r="89" spans="1:32">
      <c r="A89" s="1308"/>
      <c r="B89" s="1308"/>
      <c r="C89" s="1308"/>
      <c r="D89" s="1308"/>
      <c r="E89" s="1308"/>
      <c r="F89" s="1309"/>
      <c r="G89" s="1309"/>
      <c r="H89" s="1309"/>
      <c r="I89" s="1309"/>
      <c r="J89" s="1309"/>
      <c r="K89" s="1309"/>
      <c r="L89" s="1308"/>
      <c r="M89" s="1308"/>
      <c r="N89" s="1308"/>
      <c r="O89" s="1308"/>
      <c r="Y89" s="436"/>
      <c r="Z89" s="436"/>
      <c r="AA89" s="436"/>
      <c r="AB89" s="436"/>
      <c r="AC89" s="436"/>
      <c r="AD89" s="436"/>
      <c r="AE89" s="436"/>
      <c r="AF89" s="436"/>
    </row>
    <row r="90" spans="1:32">
      <c r="A90" s="1308"/>
      <c r="B90" s="1308"/>
      <c r="C90" s="1308"/>
      <c r="D90" s="1308"/>
      <c r="E90" s="1308"/>
      <c r="F90" s="1309"/>
      <c r="G90" s="1309"/>
      <c r="H90" s="1309"/>
      <c r="I90" s="1309"/>
      <c r="J90" s="1309"/>
      <c r="K90" s="1309"/>
      <c r="L90" s="1308"/>
      <c r="M90" s="1308"/>
      <c r="N90" s="1308"/>
      <c r="O90" s="1308"/>
      <c r="Y90" s="436"/>
      <c r="Z90" s="436"/>
      <c r="AA90" s="436"/>
      <c r="AB90" s="436"/>
      <c r="AC90" s="436"/>
      <c r="AD90" s="436"/>
      <c r="AE90" s="436"/>
      <c r="AF90" s="436"/>
    </row>
    <row r="91" spans="1:32">
      <c r="A91" s="1308"/>
      <c r="B91" s="1308"/>
      <c r="C91" s="1308"/>
      <c r="D91" s="1308"/>
      <c r="E91" s="1308"/>
      <c r="F91" s="1309"/>
      <c r="G91" s="1309"/>
      <c r="H91" s="1309"/>
      <c r="I91" s="1309"/>
      <c r="J91" s="1309"/>
      <c r="K91" s="1309"/>
      <c r="L91" s="1308"/>
      <c r="M91" s="1308"/>
      <c r="N91" s="1308"/>
      <c r="O91" s="1308"/>
      <c r="Y91" s="436"/>
      <c r="Z91" s="436"/>
      <c r="AA91" s="436"/>
      <c r="AB91" s="436"/>
      <c r="AC91" s="436"/>
      <c r="AD91" s="436"/>
      <c r="AE91" s="436"/>
      <c r="AF91" s="436"/>
    </row>
    <row r="92" spans="1:32">
      <c r="A92" s="1308"/>
      <c r="B92" s="1308"/>
      <c r="C92" s="1308"/>
      <c r="D92" s="1308"/>
      <c r="E92" s="1308"/>
      <c r="F92" s="1309"/>
      <c r="G92" s="1309"/>
      <c r="H92" s="1309"/>
      <c r="I92" s="1309"/>
      <c r="J92" s="1309"/>
      <c r="K92" s="1309"/>
      <c r="L92" s="1308"/>
      <c r="M92" s="1308"/>
      <c r="N92" s="1308"/>
      <c r="O92" s="1308"/>
      <c r="Y92" s="436"/>
      <c r="Z92" s="436"/>
      <c r="AA92" s="436"/>
      <c r="AB92" s="436"/>
      <c r="AC92" s="436"/>
      <c r="AD92" s="436"/>
      <c r="AE92" s="436"/>
      <c r="AF92" s="436"/>
    </row>
    <row r="93" spans="1:32">
      <c r="A93" s="1308"/>
      <c r="B93" s="1308"/>
      <c r="C93" s="1308"/>
      <c r="D93" s="1308"/>
      <c r="E93" s="1308"/>
      <c r="F93" s="1309"/>
      <c r="G93" s="1309"/>
      <c r="H93" s="1309"/>
      <c r="I93" s="1309"/>
      <c r="J93" s="1309"/>
      <c r="K93" s="1309"/>
      <c r="L93" s="1308"/>
      <c r="M93" s="1308"/>
      <c r="N93" s="1308"/>
      <c r="O93" s="1308"/>
      <c r="Y93" s="436"/>
      <c r="Z93" s="436"/>
      <c r="AA93" s="436"/>
      <c r="AB93" s="436"/>
      <c r="AC93" s="436"/>
      <c r="AD93" s="436"/>
      <c r="AE93" s="436"/>
      <c r="AF93" s="436"/>
    </row>
    <row r="94" spans="1:32">
      <c r="A94" s="1308"/>
      <c r="B94" s="1308"/>
      <c r="C94" s="1308"/>
      <c r="D94" s="1308"/>
      <c r="E94" s="1308"/>
      <c r="F94" s="1309"/>
      <c r="G94" s="1309"/>
      <c r="H94" s="1309"/>
      <c r="I94" s="1309"/>
      <c r="J94" s="1309"/>
      <c r="K94" s="1309"/>
      <c r="L94" s="1308"/>
      <c r="M94" s="1308"/>
      <c r="N94" s="1308"/>
      <c r="O94" s="1308"/>
      <c r="Y94" s="436"/>
      <c r="Z94" s="436"/>
      <c r="AA94" s="436"/>
      <c r="AB94" s="436"/>
      <c r="AC94" s="436"/>
      <c r="AD94" s="436"/>
      <c r="AE94" s="436"/>
      <c r="AF94" s="436"/>
    </row>
    <row r="95" spans="1:32">
      <c r="A95" s="1308"/>
      <c r="B95" s="1308"/>
      <c r="C95" s="1308"/>
      <c r="D95" s="1308"/>
      <c r="E95" s="1308"/>
      <c r="F95" s="1309"/>
      <c r="G95" s="1309"/>
      <c r="H95" s="1309"/>
      <c r="I95" s="1309"/>
      <c r="J95" s="1309"/>
      <c r="K95" s="1309"/>
      <c r="L95" s="1308"/>
      <c r="M95" s="1308"/>
      <c r="N95" s="1308"/>
      <c r="O95" s="1308"/>
      <c r="Y95" s="436"/>
      <c r="Z95" s="436"/>
      <c r="AA95" s="436"/>
      <c r="AB95" s="436"/>
      <c r="AC95" s="436"/>
      <c r="AD95" s="436"/>
      <c r="AE95" s="436"/>
      <c r="AF95" s="436"/>
    </row>
    <row r="96" spans="1:32">
      <c r="A96" s="1308"/>
      <c r="B96" s="1308"/>
      <c r="C96" s="1308"/>
      <c r="D96" s="1308"/>
      <c r="E96" s="1308"/>
      <c r="F96" s="1309"/>
      <c r="G96" s="1309"/>
      <c r="H96" s="1309"/>
      <c r="I96" s="1309"/>
      <c r="J96" s="1309"/>
      <c r="K96" s="1309"/>
      <c r="L96" s="1308"/>
      <c r="M96" s="1308"/>
      <c r="N96" s="1308"/>
      <c r="O96" s="1308"/>
      <c r="Y96" s="436"/>
      <c r="Z96" s="436"/>
      <c r="AA96" s="436"/>
      <c r="AB96" s="436"/>
      <c r="AC96" s="436"/>
      <c r="AD96" s="436"/>
      <c r="AE96" s="436"/>
      <c r="AF96" s="436"/>
    </row>
    <row r="97" spans="1:32">
      <c r="A97" s="1308"/>
      <c r="B97" s="1308"/>
      <c r="C97" s="1308"/>
      <c r="D97" s="1308"/>
      <c r="E97" s="1308"/>
      <c r="F97" s="1309"/>
      <c r="G97" s="1309"/>
      <c r="H97" s="1309"/>
      <c r="I97" s="1309"/>
      <c r="J97" s="1309"/>
      <c r="K97" s="1309"/>
      <c r="L97" s="1308"/>
      <c r="M97" s="1308"/>
      <c r="N97" s="1308"/>
      <c r="O97" s="1308"/>
      <c r="Y97" s="436"/>
      <c r="Z97" s="436"/>
      <c r="AA97" s="436"/>
      <c r="AB97" s="436"/>
      <c r="AC97" s="436"/>
      <c r="AD97" s="436"/>
      <c r="AE97" s="436"/>
      <c r="AF97" s="436"/>
    </row>
    <row r="98" spans="1:32">
      <c r="A98" s="1308"/>
      <c r="B98" s="1308"/>
      <c r="C98" s="1308"/>
      <c r="D98" s="1308"/>
      <c r="E98" s="1308"/>
      <c r="F98" s="1309"/>
      <c r="G98" s="1309"/>
      <c r="H98" s="1309"/>
      <c r="I98" s="1309"/>
      <c r="J98" s="1309"/>
      <c r="K98" s="1309"/>
      <c r="L98" s="1308"/>
      <c r="M98" s="1308"/>
      <c r="N98" s="1308"/>
      <c r="O98" s="1308"/>
      <c r="Y98" s="436"/>
      <c r="Z98" s="436"/>
      <c r="AA98" s="436"/>
      <c r="AB98" s="436"/>
      <c r="AC98" s="436"/>
      <c r="AD98" s="436"/>
      <c r="AE98" s="436"/>
      <c r="AF98" s="436"/>
    </row>
    <row r="99" spans="1:32">
      <c r="A99" s="1308"/>
      <c r="B99" s="1308"/>
      <c r="C99" s="1308"/>
      <c r="D99" s="1308"/>
      <c r="E99" s="1308"/>
      <c r="F99" s="1309"/>
      <c r="G99" s="1309"/>
      <c r="H99" s="1309"/>
      <c r="I99" s="1309"/>
      <c r="J99" s="1309"/>
      <c r="K99" s="1309"/>
      <c r="L99" s="1308"/>
      <c r="M99" s="1308"/>
      <c r="N99" s="1308"/>
      <c r="O99" s="1308"/>
      <c r="Y99" s="436"/>
      <c r="Z99" s="436"/>
      <c r="AA99" s="436"/>
      <c r="AB99" s="436"/>
      <c r="AC99" s="436"/>
      <c r="AD99" s="436"/>
      <c r="AE99" s="436"/>
      <c r="AF99" s="436"/>
    </row>
    <row r="100" spans="1:32">
      <c r="A100" s="1308"/>
      <c r="B100" s="1308"/>
      <c r="C100" s="1308"/>
      <c r="D100" s="1308"/>
      <c r="E100" s="1308"/>
      <c r="F100" s="1309"/>
      <c r="G100" s="1309"/>
      <c r="H100" s="1309"/>
      <c r="I100" s="1309"/>
      <c r="J100" s="1309"/>
      <c r="K100" s="1309"/>
      <c r="L100" s="1308"/>
      <c r="M100" s="1308"/>
      <c r="N100" s="1308"/>
      <c r="O100" s="1308"/>
      <c r="Y100" s="436"/>
      <c r="Z100" s="436"/>
      <c r="AA100" s="436"/>
      <c r="AB100" s="436"/>
      <c r="AC100" s="436"/>
      <c r="AD100" s="436"/>
      <c r="AE100" s="436"/>
      <c r="AF100" s="436"/>
    </row>
    <row r="101" spans="1:32">
      <c r="A101" s="1308"/>
      <c r="B101" s="1308"/>
      <c r="C101" s="1308"/>
      <c r="D101" s="1308"/>
      <c r="E101" s="1308"/>
      <c r="F101" s="1309"/>
      <c r="G101" s="1309"/>
      <c r="H101" s="1309"/>
      <c r="I101" s="1309"/>
      <c r="J101" s="1309"/>
      <c r="K101" s="1309"/>
      <c r="L101" s="1308"/>
      <c r="M101" s="1308"/>
      <c r="N101" s="1308"/>
      <c r="O101" s="1308"/>
      <c r="Y101" s="436"/>
      <c r="Z101" s="436"/>
      <c r="AA101" s="436"/>
      <c r="AB101" s="436"/>
      <c r="AC101" s="436"/>
      <c r="AD101" s="436"/>
      <c r="AE101" s="436"/>
      <c r="AF101" s="436"/>
    </row>
    <row r="102" spans="1:32">
      <c r="A102" s="1308"/>
      <c r="B102" s="1308"/>
      <c r="C102" s="1308"/>
      <c r="D102" s="1308"/>
      <c r="E102" s="1308"/>
      <c r="F102" s="1309"/>
      <c r="G102" s="1309"/>
      <c r="H102" s="1309"/>
      <c r="I102" s="1309"/>
      <c r="J102" s="1309"/>
      <c r="K102" s="1309"/>
      <c r="L102" s="1308"/>
      <c r="M102" s="1308"/>
      <c r="N102" s="1308"/>
      <c r="O102" s="1308"/>
      <c r="Y102" s="436"/>
      <c r="Z102" s="436"/>
      <c r="AA102" s="436"/>
      <c r="AB102" s="436"/>
      <c r="AC102" s="436"/>
      <c r="AD102" s="436"/>
      <c r="AE102" s="436"/>
      <c r="AF102" s="436"/>
    </row>
    <row r="103" spans="1:32">
      <c r="A103" s="1308"/>
      <c r="B103" s="1308"/>
      <c r="C103" s="1308"/>
      <c r="D103" s="1308"/>
      <c r="E103" s="1308"/>
      <c r="F103" s="1309"/>
      <c r="G103" s="1309"/>
      <c r="H103" s="1309"/>
      <c r="I103" s="1309"/>
      <c r="J103" s="1309"/>
      <c r="K103" s="1309"/>
      <c r="L103" s="1308"/>
      <c r="M103" s="1308"/>
      <c r="N103" s="1308"/>
      <c r="O103" s="1308"/>
      <c r="Y103" s="436"/>
      <c r="Z103" s="436"/>
      <c r="AA103" s="436"/>
      <c r="AB103" s="436"/>
      <c r="AC103" s="436"/>
      <c r="AD103" s="436"/>
      <c r="AE103" s="436"/>
      <c r="AF103" s="436"/>
    </row>
    <row r="104" spans="1:32">
      <c r="A104" s="1308"/>
      <c r="B104" s="1308"/>
      <c r="C104" s="1308"/>
      <c r="D104" s="1308"/>
      <c r="E104" s="1308"/>
      <c r="F104" s="1309"/>
      <c r="G104" s="1309"/>
      <c r="H104" s="1309"/>
      <c r="I104" s="1309"/>
      <c r="J104" s="1309"/>
      <c r="K104" s="1309"/>
      <c r="L104" s="1308"/>
      <c r="M104" s="1308"/>
      <c r="N104" s="1308"/>
      <c r="O104" s="1308"/>
      <c r="Y104" s="436"/>
      <c r="Z104" s="436"/>
      <c r="AA104" s="436"/>
      <c r="AB104" s="436"/>
      <c r="AC104" s="436"/>
      <c r="AD104" s="436"/>
      <c r="AE104" s="436"/>
      <c r="AF104" s="436"/>
    </row>
    <row r="105" spans="1:32">
      <c r="A105" s="1308"/>
      <c r="B105" s="1308"/>
      <c r="C105" s="1308"/>
      <c r="D105" s="1308"/>
      <c r="E105" s="1308"/>
      <c r="F105" s="1309"/>
      <c r="G105" s="1309"/>
      <c r="H105" s="1309"/>
      <c r="I105" s="1309"/>
      <c r="J105" s="1309"/>
      <c r="K105" s="1309"/>
      <c r="L105" s="1308"/>
      <c r="M105" s="1308"/>
      <c r="N105" s="1308"/>
      <c r="O105" s="1308"/>
      <c r="Y105" s="436"/>
      <c r="Z105" s="436"/>
      <c r="AA105" s="436"/>
      <c r="AB105" s="436"/>
      <c r="AC105" s="436"/>
      <c r="AD105" s="436"/>
      <c r="AE105" s="436"/>
      <c r="AF105" s="436"/>
    </row>
    <row r="106" spans="1:32">
      <c r="A106" s="1308"/>
      <c r="B106" s="1308"/>
      <c r="C106" s="1308"/>
      <c r="D106" s="1308"/>
      <c r="E106" s="1308"/>
      <c r="F106" s="1309"/>
      <c r="G106" s="1309"/>
      <c r="H106" s="1309"/>
      <c r="I106" s="1309"/>
      <c r="J106" s="1309"/>
      <c r="K106" s="1309"/>
      <c r="L106" s="1308"/>
      <c r="M106" s="1308"/>
      <c r="N106" s="1308"/>
      <c r="O106" s="1308"/>
      <c r="Y106" s="436"/>
      <c r="Z106" s="436"/>
      <c r="AA106" s="436"/>
      <c r="AB106" s="436"/>
      <c r="AC106" s="436"/>
      <c r="AD106" s="436"/>
      <c r="AE106" s="436"/>
      <c r="AF106" s="436"/>
    </row>
    <row r="107" spans="1:32">
      <c r="A107" s="1308"/>
      <c r="B107" s="1308"/>
      <c r="C107" s="1308"/>
      <c r="D107" s="1308"/>
      <c r="E107" s="1308"/>
      <c r="F107" s="1309"/>
      <c r="G107" s="1309"/>
      <c r="H107" s="1309"/>
      <c r="I107" s="1309"/>
      <c r="J107" s="1309"/>
      <c r="K107" s="1309"/>
      <c r="L107" s="1308"/>
      <c r="M107" s="1308"/>
      <c r="N107" s="1308"/>
      <c r="O107" s="1308"/>
      <c r="Y107" s="436"/>
      <c r="Z107" s="436"/>
      <c r="AA107" s="436"/>
      <c r="AB107" s="436"/>
      <c r="AC107" s="436"/>
      <c r="AD107" s="436"/>
      <c r="AE107" s="436"/>
      <c r="AF107" s="436"/>
    </row>
    <row r="108" spans="1:32">
      <c r="A108" s="1308"/>
      <c r="B108" s="1308"/>
      <c r="C108" s="1308"/>
      <c r="D108" s="1308"/>
      <c r="E108" s="1308"/>
      <c r="F108" s="1309"/>
      <c r="G108" s="1309"/>
      <c r="H108" s="1309"/>
      <c r="I108" s="1309"/>
      <c r="J108" s="1309"/>
      <c r="K108" s="1309"/>
      <c r="L108" s="1308"/>
      <c r="M108" s="1308"/>
      <c r="N108" s="1308"/>
      <c r="O108" s="1308"/>
      <c r="Y108" s="436"/>
      <c r="Z108" s="436"/>
      <c r="AA108" s="436"/>
      <c r="AB108" s="436"/>
      <c r="AC108" s="436"/>
      <c r="AD108" s="436"/>
      <c r="AE108" s="436"/>
      <c r="AF108" s="436"/>
    </row>
    <row r="109" spans="1:32">
      <c r="A109" s="1308"/>
      <c r="B109" s="1308"/>
      <c r="C109" s="1308"/>
      <c r="D109" s="1308"/>
      <c r="E109" s="1308"/>
      <c r="F109" s="1309"/>
      <c r="G109" s="1309"/>
      <c r="H109" s="1309"/>
      <c r="I109" s="1309"/>
      <c r="J109" s="1309"/>
      <c r="K109" s="1309"/>
      <c r="L109" s="1308"/>
      <c r="M109" s="1308"/>
      <c r="N109" s="1308"/>
      <c r="O109" s="1308"/>
      <c r="Y109" s="436"/>
      <c r="Z109" s="436"/>
      <c r="AA109" s="436"/>
      <c r="AB109" s="436"/>
      <c r="AC109" s="436"/>
      <c r="AD109" s="436"/>
      <c r="AE109" s="436"/>
      <c r="AF109" s="436"/>
    </row>
    <row r="110" spans="1:32">
      <c r="A110" s="1308"/>
      <c r="B110" s="1308"/>
      <c r="C110" s="1308"/>
      <c r="D110" s="1308"/>
      <c r="E110" s="1308"/>
      <c r="F110" s="1309"/>
      <c r="G110" s="1309"/>
      <c r="H110" s="1309"/>
      <c r="I110" s="1309"/>
      <c r="J110" s="1309"/>
      <c r="K110" s="1309"/>
      <c r="L110" s="1308"/>
      <c r="M110" s="1308"/>
      <c r="N110" s="1308"/>
      <c r="O110" s="1308"/>
      <c r="Y110" s="436"/>
      <c r="Z110" s="436"/>
      <c r="AA110" s="436"/>
      <c r="AB110" s="436"/>
      <c r="AC110" s="436"/>
      <c r="AD110" s="436"/>
      <c r="AE110" s="436"/>
      <c r="AF110" s="436"/>
    </row>
    <row r="111" spans="1:32">
      <c r="A111" s="1308"/>
      <c r="B111" s="1308"/>
      <c r="C111" s="1308"/>
      <c r="D111" s="1308"/>
      <c r="E111" s="1308"/>
      <c r="F111" s="1309"/>
      <c r="G111" s="1309"/>
      <c r="H111" s="1309"/>
      <c r="I111" s="1309"/>
      <c r="J111" s="1309"/>
      <c r="K111" s="1309"/>
      <c r="L111" s="1308"/>
      <c r="M111" s="1308"/>
      <c r="N111" s="1308"/>
      <c r="O111" s="1308"/>
      <c r="Y111" s="436"/>
      <c r="Z111" s="436"/>
      <c r="AA111" s="436"/>
      <c r="AB111" s="436"/>
      <c r="AC111" s="436"/>
      <c r="AD111" s="436"/>
      <c r="AE111" s="436"/>
      <c r="AF111" s="436"/>
    </row>
    <row r="112" spans="1:32">
      <c r="A112" s="1308"/>
      <c r="B112" s="1308"/>
      <c r="C112" s="1308"/>
      <c r="D112" s="1308"/>
      <c r="E112" s="1308"/>
      <c r="F112" s="1309"/>
      <c r="G112" s="1309"/>
      <c r="H112" s="1309"/>
      <c r="I112" s="1309"/>
      <c r="J112" s="1309"/>
      <c r="K112" s="1309"/>
      <c r="L112" s="1308"/>
      <c r="M112" s="1308"/>
      <c r="N112" s="1308"/>
      <c r="O112" s="1308"/>
      <c r="Y112" s="436"/>
      <c r="Z112" s="436"/>
      <c r="AA112" s="436"/>
      <c r="AB112" s="436"/>
      <c r="AC112" s="436"/>
      <c r="AD112" s="436"/>
      <c r="AE112" s="436"/>
      <c r="AF112" s="436"/>
    </row>
    <row r="113" spans="1:32">
      <c r="A113" s="1308"/>
      <c r="B113" s="1308"/>
      <c r="C113" s="1308"/>
      <c r="D113" s="1308"/>
      <c r="E113" s="1308"/>
      <c r="F113" s="1309"/>
      <c r="G113" s="1309"/>
      <c r="H113" s="1309"/>
      <c r="I113" s="1309"/>
      <c r="J113" s="1309"/>
      <c r="K113" s="1309"/>
      <c r="L113" s="1308"/>
      <c r="M113" s="1308"/>
      <c r="N113" s="1308"/>
      <c r="O113" s="1308"/>
      <c r="Y113" s="436"/>
      <c r="Z113" s="436"/>
      <c r="AA113" s="436"/>
      <c r="AB113" s="436"/>
      <c r="AC113" s="436"/>
      <c r="AD113" s="436"/>
      <c r="AE113" s="436"/>
      <c r="AF113" s="436"/>
    </row>
    <row r="114" spans="1:32">
      <c r="A114" s="1308"/>
      <c r="B114" s="1308"/>
      <c r="C114" s="1308"/>
      <c r="D114" s="1308"/>
      <c r="E114" s="1308"/>
      <c r="F114" s="1309"/>
      <c r="G114" s="1309"/>
      <c r="H114" s="1309"/>
      <c r="I114" s="1309"/>
      <c r="J114" s="1309"/>
      <c r="K114" s="1309"/>
      <c r="L114" s="1308"/>
      <c r="M114" s="1308"/>
      <c r="N114" s="1308"/>
      <c r="O114" s="1308"/>
      <c r="Y114" s="436"/>
      <c r="Z114" s="436"/>
      <c r="AA114" s="436"/>
      <c r="AB114" s="436"/>
      <c r="AC114" s="436"/>
      <c r="AD114" s="436"/>
      <c r="AE114" s="436"/>
      <c r="AF114" s="436"/>
    </row>
    <row r="115" spans="1:32">
      <c r="A115" s="1308"/>
      <c r="B115" s="1308"/>
      <c r="C115" s="1308"/>
      <c r="D115" s="1308"/>
      <c r="E115" s="1308"/>
      <c r="F115" s="1309"/>
      <c r="G115" s="1309"/>
      <c r="H115" s="1309"/>
      <c r="I115" s="1309"/>
      <c r="J115" s="1309"/>
      <c r="K115" s="1309"/>
      <c r="L115" s="1308"/>
      <c r="M115" s="1308"/>
      <c r="N115" s="1308"/>
      <c r="O115" s="1308"/>
      <c r="Y115" s="436"/>
      <c r="Z115" s="436"/>
      <c r="AA115" s="436"/>
      <c r="AB115" s="436"/>
      <c r="AC115" s="436"/>
      <c r="AD115" s="436"/>
      <c r="AE115" s="436"/>
      <c r="AF115" s="436"/>
    </row>
    <row r="116" spans="1:32">
      <c r="A116" s="1308"/>
      <c r="B116" s="1308"/>
      <c r="C116" s="1308"/>
      <c r="D116" s="1308"/>
      <c r="E116" s="1308"/>
      <c r="F116" s="1309"/>
      <c r="G116" s="1309"/>
      <c r="H116" s="1309"/>
      <c r="I116" s="1309"/>
      <c r="J116" s="1309"/>
      <c r="K116" s="1309"/>
      <c r="L116" s="1308"/>
      <c r="M116" s="1308"/>
      <c r="N116" s="1308"/>
      <c r="O116" s="1308"/>
      <c r="Y116" s="436"/>
      <c r="Z116" s="436"/>
      <c r="AA116" s="436"/>
      <c r="AB116" s="436"/>
      <c r="AC116" s="436"/>
      <c r="AD116" s="436"/>
      <c r="AE116" s="436"/>
      <c r="AF116" s="436"/>
    </row>
    <row r="117" spans="1:32">
      <c r="A117" s="1308"/>
      <c r="B117" s="1308"/>
      <c r="C117" s="1308"/>
      <c r="D117" s="1308"/>
      <c r="E117" s="1308"/>
      <c r="F117" s="1309"/>
      <c r="G117" s="1309"/>
      <c r="H117" s="1309"/>
      <c r="I117" s="1309"/>
      <c r="J117" s="1309"/>
      <c r="K117" s="1309"/>
      <c r="L117" s="1308"/>
      <c r="M117" s="1308"/>
      <c r="N117" s="1308"/>
      <c r="O117" s="1308"/>
    </row>
    <row r="118" spans="1:32">
      <c r="A118" s="1308"/>
      <c r="B118" s="1308"/>
      <c r="C118" s="1308"/>
      <c r="D118" s="1308"/>
      <c r="E118" s="1308"/>
      <c r="F118" s="1309"/>
      <c r="G118" s="1309"/>
      <c r="H118" s="1309"/>
      <c r="I118" s="1309"/>
      <c r="J118" s="1309"/>
      <c r="K118" s="1309"/>
      <c r="L118" s="1308"/>
      <c r="M118" s="1308"/>
      <c r="N118" s="1308"/>
      <c r="O118" s="1308"/>
    </row>
    <row r="119" spans="1:32">
      <c r="A119" s="1308"/>
      <c r="B119" s="1308"/>
      <c r="C119" s="1308"/>
      <c r="D119" s="1308"/>
      <c r="E119" s="1308"/>
      <c r="F119" s="1309"/>
      <c r="G119" s="1309"/>
      <c r="H119" s="1309"/>
      <c r="I119" s="1309"/>
      <c r="J119" s="1309"/>
      <c r="K119" s="1309"/>
      <c r="L119" s="1308"/>
      <c r="M119" s="1308"/>
      <c r="N119" s="1308"/>
      <c r="O119" s="1308"/>
    </row>
    <row r="120" spans="1:32">
      <c r="A120" s="1308"/>
      <c r="B120" s="1308"/>
      <c r="C120" s="1308"/>
      <c r="D120" s="1308"/>
      <c r="E120" s="1308"/>
      <c r="F120" s="1309"/>
      <c r="G120" s="1309"/>
      <c r="H120" s="1309"/>
      <c r="I120" s="1309"/>
      <c r="J120" s="1309"/>
      <c r="K120" s="1309"/>
      <c r="L120" s="1308"/>
      <c r="M120" s="1308"/>
      <c r="N120" s="1308"/>
      <c r="O120" s="1308"/>
    </row>
    <row r="121" spans="1:32">
      <c r="A121" s="1308"/>
      <c r="B121" s="1308"/>
      <c r="C121" s="1308"/>
      <c r="D121" s="1308"/>
      <c r="E121" s="1308"/>
      <c r="F121" s="1309"/>
      <c r="G121" s="1309"/>
      <c r="H121" s="1309"/>
      <c r="I121" s="1309"/>
      <c r="J121" s="1309"/>
      <c r="K121" s="1309"/>
      <c r="L121" s="1308"/>
      <c r="M121" s="1308"/>
      <c r="N121" s="1308"/>
      <c r="O121" s="1308"/>
    </row>
    <row r="122" spans="1:32">
      <c r="A122" s="1308"/>
      <c r="B122" s="1308"/>
      <c r="C122" s="1308"/>
      <c r="D122" s="1308"/>
      <c r="E122" s="1308"/>
      <c r="F122" s="1309"/>
      <c r="G122" s="1309"/>
      <c r="H122" s="1309"/>
      <c r="I122" s="1309"/>
      <c r="J122" s="1309"/>
      <c r="K122" s="1309"/>
      <c r="L122" s="1308"/>
      <c r="M122" s="1308"/>
      <c r="N122" s="1308"/>
      <c r="O122" s="1308"/>
    </row>
    <row r="123" spans="1:32">
      <c r="A123" s="1308"/>
      <c r="B123" s="1308"/>
      <c r="C123" s="1308"/>
      <c r="D123" s="1308"/>
      <c r="E123" s="1308"/>
      <c r="F123" s="1309"/>
      <c r="G123" s="1309"/>
      <c r="H123" s="1309"/>
      <c r="I123" s="1309"/>
      <c r="J123" s="1309"/>
      <c r="K123" s="1309"/>
      <c r="L123" s="1308"/>
      <c r="M123" s="1308"/>
      <c r="N123" s="1308"/>
      <c r="O123" s="1308"/>
    </row>
    <row r="124" spans="1:32">
      <c r="A124" s="1308"/>
      <c r="B124" s="1308"/>
      <c r="C124" s="1308"/>
      <c r="D124" s="1308"/>
      <c r="E124" s="1308"/>
      <c r="F124" s="1309"/>
      <c r="G124" s="1309"/>
      <c r="H124" s="1309"/>
      <c r="I124" s="1309"/>
      <c r="J124" s="1309"/>
      <c r="K124" s="1309"/>
      <c r="L124" s="1308"/>
      <c r="M124" s="1308"/>
      <c r="N124" s="1308"/>
      <c r="O124" s="1308"/>
    </row>
    <row r="125" spans="1:32">
      <c r="A125" s="1308"/>
      <c r="B125" s="1308"/>
      <c r="C125" s="1308"/>
      <c r="D125" s="1308"/>
      <c r="E125" s="1308"/>
      <c r="F125" s="1309"/>
      <c r="G125" s="1309"/>
      <c r="H125" s="1309"/>
      <c r="I125" s="1309"/>
      <c r="J125" s="1309"/>
      <c r="K125" s="1309"/>
      <c r="L125" s="1308"/>
      <c r="M125" s="1308"/>
      <c r="N125" s="1308"/>
      <c r="O125" s="1308"/>
    </row>
    <row r="126" spans="1:32">
      <c r="A126" s="1308"/>
      <c r="B126" s="1308"/>
      <c r="C126" s="1308"/>
      <c r="D126" s="1308"/>
      <c r="E126" s="1308"/>
      <c r="F126" s="1309"/>
      <c r="G126" s="1309"/>
      <c r="H126" s="1309"/>
      <c r="I126" s="1309"/>
      <c r="J126" s="1309"/>
      <c r="K126" s="1309"/>
      <c r="L126" s="1308"/>
      <c r="M126" s="1308"/>
      <c r="N126" s="1308"/>
      <c r="O126" s="1308"/>
    </row>
    <row r="127" spans="1:32">
      <c r="A127" s="1308"/>
      <c r="B127" s="1308"/>
      <c r="C127" s="1308"/>
      <c r="D127" s="1308"/>
      <c r="E127" s="1308"/>
      <c r="F127" s="1309"/>
      <c r="G127" s="1309"/>
      <c r="H127" s="1309"/>
      <c r="I127" s="1309"/>
      <c r="J127" s="1309"/>
      <c r="K127" s="1309"/>
      <c r="L127" s="1308"/>
      <c r="M127" s="1308"/>
      <c r="N127" s="1308"/>
      <c r="O127" s="1308"/>
    </row>
    <row r="128" spans="1:32">
      <c r="A128" s="1308"/>
      <c r="B128" s="1308"/>
      <c r="C128" s="1308"/>
      <c r="D128" s="1308"/>
      <c r="E128" s="1308"/>
      <c r="F128" s="1309"/>
      <c r="G128" s="1309"/>
      <c r="H128" s="1309"/>
      <c r="I128" s="1309"/>
      <c r="J128" s="1309"/>
      <c r="K128" s="1309"/>
      <c r="L128" s="1308"/>
      <c r="M128" s="1308"/>
      <c r="N128" s="1308"/>
      <c r="O128" s="1308"/>
    </row>
    <row r="129" spans="1:15">
      <c r="A129" s="1308"/>
      <c r="B129" s="1308"/>
      <c r="C129" s="1308"/>
      <c r="D129" s="1308"/>
      <c r="E129" s="1308"/>
      <c r="F129" s="1309"/>
      <c r="G129" s="1309"/>
      <c r="H129" s="1309"/>
      <c r="I129" s="1309"/>
      <c r="J129" s="1309"/>
      <c r="K129" s="1309"/>
      <c r="L129" s="1308"/>
      <c r="M129" s="1308"/>
      <c r="N129" s="1308"/>
      <c r="O129" s="1308"/>
    </row>
    <row r="130" spans="1:15">
      <c r="A130" s="1308"/>
      <c r="B130" s="1308"/>
      <c r="C130" s="1308"/>
      <c r="D130" s="1308"/>
      <c r="E130" s="1308"/>
      <c r="F130" s="1309"/>
      <c r="G130" s="1309"/>
      <c r="H130" s="1309"/>
      <c r="I130" s="1309"/>
      <c r="J130" s="1309"/>
      <c r="K130" s="1309"/>
      <c r="L130" s="1308"/>
      <c r="M130" s="1308"/>
      <c r="N130" s="1308"/>
      <c r="O130" s="1308"/>
    </row>
    <row r="131" spans="1:15">
      <c r="A131" s="1308"/>
      <c r="B131" s="1308"/>
      <c r="C131" s="1308"/>
      <c r="D131" s="1308"/>
      <c r="E131" s="1308"/>
      <c r="F131" s="1309"/>
      <c r="G131" s="1309"/>
      <c r="H131" s="1309"/>
      <c r="I131" s="1309"/>
      <c r="J131" s="1309"/>
      <c r="K131" s="1309"/>
      <c r="L131" s="1308"/>
      <c r="M131" s="1308"/>
      <c r="N131" s="1308"/>
      <c r="O131" s="1308"/>
    </row>
    <row r="132" spans="1:15">
      <c r="A132" s="1308"/>
      <c r="B132" s="1308"/>
      <c r="C132" s="1308"/>
      <c r="D132" s="1308"/>
      <c r="E132" s="1308"/>
      <c r="F132" s="1309"/>
      <c r="G132" s="1309"/>
      <c r="H132" s="1309"/>
      <c r="I132" s="1309"/>
      <c r="J132" s="1309"/>
      <c r="K132" s="1309"/>
      <c r="L132" s="1308"/>
      <c r="M132" s="1308"/>
      <c r="N132" s="1308"/>
      <c r="O132" s="1308"/>
    </row>
    <row r="133" spans="1:15">
      <c r="A133" s="1308"/>
      <c r="B133" s="1308"/>
      <c r="C133" s="1308"/>
      <c r="D133" s="1308"/>
      <c r="E133" s="1308"/>
      <c r="F133" s="1309"/>
      <c r="G133" s="1309"/>
      <c r="H133" s="1309"/>
      <c r="I133" s="1309"/>
      <c r="J133" s="1309"/>
      <c r="K133" s="1309"/>
      <c r="L133" s="1308"/>
      <c r="M133" s="1308"/>
      <c r="N133" s="1308"/>
      <c r="O133" s="1308"/>
    </row>
    <row r="134" spans="1:15">
      <c r="A134" s="1308"/>
      <c r="B134" s="1308"/>
      <c r="C134" s="1308"/>
      <c r="D134" s="1308"/>
      <c r="E134" s="1308"/>
      <c r="F134" s="1309"/>
      <c r="G134" s="1309"/>
      <c r="H134" s="1309"/>
      <c r="I134" s="1309"/>
      <c r="J134" s="1309"/>
      <c r="K134" s="1309"/>
      <c r="L134" s="1308"/>
      <c r="M134" s="1308"/>
      <c r="N134" s="1308"/>
      <c r="O134" s="1308"/>
    </row>
    <row r="135" spans="1:15">
      <c r="A135" s="1308"/>
      <c r="B135" s="1308"/>
      <c r="C135" s="1308"/>
      <c r="D135" s="1308"/>
      <c r="E135" s="1308"/>
      <c r="F135" s="1309"/>
      <c r="G135" s="1309"/>
      <c r="H135" s="1309"/>
      <c r="I135" s="1309"/>
      <c r="J135" s="1309"/>
      <c r="K135" s="1309"/>
      <c r="L135" s="1308"/>
      <c r="M135" s="1308"/>
      <c r="N135" s="1308"/>
      <c r="O135" s="1308"/>
    </row>
    <row r="136" spans="1:15">
      <c r="A136" s="1308"/>
      <c r="B136" s="1308"/>
      <c r="C136" s="1308"/>
      <c r="D136" s="1308"/>
      <c r="E136" s="1308"/>
      <c r="F136" s="1309"/>
      <c r="G136" s="1309"/>
      <c r="H136" s="1309"/>
      <c r="I136" s="1309"/>
      <c r="J136" s="1309"/>
      <c r="K136" s="1309"/>
      <c r="L136" s="1308"/>
      <c r="M136" s="1308"/>
      <c r="N136" s="1308"/>
      <c r="O136" s="1308"/>
    </row>
    <row r="137" spans="1:15">
      <c r="A137" s="1308"/>
      <c r="B137" s="1308"/>
      <c r="C137" s="1308"/>
      <c r="D137" s="1308"/>
      <c r="E137" s="1308"/>
      <c r="F137" s="1309"/>
      <c r="G137" s="1309"/>
      <c r="H137" s="1309"/>
      <c r="I137" s="1309"/>
      <c r="J137" s="1309"/>
      <c r="K137" s="1309"/>
      <c r="L137" s="1308"/>
      <c r="M137" s="1308"/>
      <c r="N137" s="1308"/>
      <c r="O137" s="1308"/>
    </row>
    <row r="138" spans="1:15">
      <c r="A138" s="1308"/>
      <c r="B138" s="1308"/>
      <c r="C138" s="1308"/>
      <c r="D138" s="1308"/>
      <c r="E138" s="1308"/>
      <c r="F138" s="1309"/>
      <c r="G138" s="1309"/>
      <c r="H138" s="1309"/>
      <c r="I138" s="1309"/>
      <c r="J138" s="1309"/>
      <c r="K138" s="1309"/>
      <c r="L138" s="1308"/>
      <c r="M138" s="1308"/>
      <c r="N138" s="1308"/>
      <c r="O138" s="1308"/>
    </row>
    <row r="139" spans="1:15">
      <c r="A139" s="1308"/>
      <c r="B139" s="1308"/>
      <c r="C139" s="1308"/>
      <c r="D139" s="1308"/>
      <c r="E139" s="1308"/>
      <c r="F139" s="1309"/>
      <c r="G139" s="1309"/>
      <c r="H139" s="1309"/>
      <c r="I139" s="1309"/>
      <c r="J139" s="1309"/>
      <c r="K139" s="1309"/>
      <c r="L139" s="1308"/>
      <c r="M139" s="1308"/>
      <c r="N139" s="1308"/>
      <c r="O139" s="1308"/>
    </row>
    <row r="140" spans="1:15">
      <c r="A140" s="1308"/>
      <c r="B140" s="1308"/>
      <c r="C140" s="1308"/>
      <c r="D140" s="1308"/>
      <c r="E140" s="1308"/>
      <c r="F140" s="1309"/>
      <c r="G140" s="1309"/>
      <c r="H140" s="1309"/>
      <c r="I140" s="1309"/>
      <c r="J140" s="1309"/>
      <c r="K140" s="1309"/>
      <c r="L140" s="1308"/>
      <c r="M140" s="1308"/>
      <c r="N140" s="1308"/>
      <c r="O140" s="1308"/>
    </row>
    <row r="141" spans="1:15">
      <c r="A141" s="1308"/>
      <c r="B141" s="1308"/>
      <c r="C141" s="1308"/>
      <c r="D141" s="1308"/>
      <c r="E141" s="1308"/>
      <c r="F141" s="1309"/>
      <c r="G141" s="1309"/>
      <c r="H141" s="1309"/>
      <c r="I141" s="1309"/>
      <c r="J141" s="1309"/>
      <c r="K141" s="1309"/>
      <c r="L141" s="1308"/>
      <c r="M141" s="1308"/>
      <c r="N141" s="1308"/>
      <c r="O141" s="1308"/>
    </row>
    <row r="142" spans="1:15">
      <c r="A142" s="1308"/>
      <c r="B142" s="1308"/>
      <c r="C142" s="1308"/>
      <c r="D142" s="1308"/>
      <c r="E142" s="1308"/>
      <c r="F142" s="1309"/>
      <c r="G142" s="1309"/>
      <c r="H142" s="1309"/>
      <c r="I142" s="1309"/>
      <c r="J142" s="1309"/>
      <c r="K142" s="1309"/>
      <c r="L142" s="1308"/>
      <c r="M142" s="1308"/>
      <c r="N142" s="1308"/>
      <c r="O142" s="1308"/>
    </row>
    <row r="143" spans="1:15">
      <c r="A143" s="1308"/>
      <c r="B143" s="1308"/>
      <c r="C143" s="1308"/>
      <c r="D143" s="1308"/>
      <c r="E143" s="1308"/>
      <c r="F143" s="1309"/>
      <c r="G143" s="1309"/>
      <c r="H143" s="1309"/>
      <c r="I143" s="1309"/>
      <c r="J143" s="1309"/>
      <c r="K143" s="1309"/>
      <c r="L143" s="1308"/>
      <c r="M143" s="1308"/>
      <c r="N143" s="1308"/>
      <c r="O143" s="1308"/>
    </row>
    <row r="144" spans="1:15">
      <c r="A144" s="1308"/>
      <c r="B144" s="1308"/>
      <c r="C144" s="1308"/>
      <c r="D144" s="1308"/>
      <c r="E144" s="1308"/>
      <c r="F144" s="1309"/>
      <c r="G144" s="1309"/>
      <c r="H144" s="1309"/>
      <c r="I144" s="1309"/>
      <c r="J144" s="1309"/>
      <c r="K144" s="1309"/>
      <c r="L144" s="1308"/>
      <c r="M144" s="1308"/>
      <c r="N144" s="1308"/>
      <c r="O144" s="1308"/>
    </row>
    <row r="145" spans="1:15">
      <c r="A145" s="1308"/>
      <c r="B145" s="1308"/>
      <c r="C145" s="1308"/>
      <c r="D145" s="1308"/>
      <c r="E145" s="1308"/>
      <c r="F145" s="1309"/>
      <c r="G145" s="1309"/>
      <c r="H145" s="1309"/>
      <c r="I145" s="1309"/>
      <c r="J145" s="1309"/>
      <c r="K145" s="1309"/>
      <c r="L145" s="1308"/>
      <c r="M145" s="1308"/>
      <c r="N145" s="1308"/>
      <c r="O145" s="1308"/>
    </row>
    <row r="146" spans="1:15">
      <c r="A146" s="1308"/>
      <c r="B146" s="1308"/>
      <c r="C146" s="1308"/>
      <c r="D146" s="1308"/>
      <c r="E146" s="1308"/>
      <c r="F146" s="1309"/>
      <c r="G146" s="1309"/>
      <c r="H146" s="1309"/>
      <c r="I146" s="1309"/>
      <c r="J146" s="1309"/>
      <c r="K146" s="1309"/>
      <c r="L146" s="1308"/>
      <c r="M146" s="1308"/>
      <c r="N146" s="1308"/>
      <c r="O146" s="1308"/>
    </row>
    <row r="147" spans="1:15">
      <c r="A147" s="1308"/>
      <c r="B147" s="1308"/>
      <c r="C147" s="1308"/>
      <c r="D147" s="1308"/>
      <c r="E147" s="1308"/>
      <c r="F147" s="1309"/>
      <c r="G147" s="1309"/>
      <c r="H147" s="1309"/>
      <c r="I147" s="1309"/>
      <c r="J147" s="1309"/>
      <c r="K147" s="1309"/>
      <c r="L147" s="1308"/>
      <c r="M147" s="1308"/>
      <c r="N147" s="1308"/>
      <c r="O147" s="1308"/>
    </row>
    <row r="148" spans="1:15">
      <c r="A148" s="1308"/>
      <c r="B148" s="1308"/>
      <c r="C148" s="1308"/>
      <c r="D148" s="1308"/>
      <c r="E148" s="1308"/>
      <c r="F148" s="1309"/>
      <c r="G148" s="1309"/>
      <c r="H148" s="1309"/>
      <c r="I148" s="1309"/>
      <c r="J148" s="1309"/>
      <c r="K148" s="1309"/>
      <c r="L148" s="1308"/>
      <c r="M148" s="1308"/>
      <c r="N148" s="1308"/>
      <c r="O148" s="1308"/>
    </row>
    <row r="149" spans="1:15">
      <c r="A149" s="1308"/>
      <c r="B149" s="1308"/>
      <c r="C149" s="1308"/>
      <c r="D149" s="1308"/>
      <c r="E149" s="1308"/>
      <c r="F149" s="1309"/>
      <c r="G149" s="1309"/>
      <c r="H149" s="1309"/>
      <c r="I149" s="1309"/>
      <c r="J149" s="1309"/>
      <c r="K149" s="1309"/>
      <c r="L149" s="1308"/>
      <c r="M149" s="1308"/>
      <c r="N149" s="1308"/>
      <c r="O149" s="1308"/>
    </row>
    <row r="150" spans="1:15">
      <c r="A150" s="1308"/>
      <c r="B150" s="1308"/>
      <c r="C150" s="1308"/>
      <c r="D150" s="1308"/>
      <c r="E150" s="1308"/>
      <c r="F150" s="1309"/>
      <c r="G150" s="1309"/>
      <c r="H150" s="1309"/>
      <c r="I150" s="1309"/>
      <c r="J150" s="1309"/>
      <c r="K150" s="1309"/>
      <c r="L150" s="1308"/>
      <c r="M150" s="1308"/>
      <c r="N150" s="1308"/>
      <c r="O150" s="1308"/>
    </row>
    <row r="151" spans="1:15">
      <c r="A151" s="1308"/>
      <c r="B151" s="1308"/>
      <c r="C151" s="1308"/>
      <c r="D151" s="1308"/>
      <c r="E151" s="1308"/>
      <c r="F151" s="1309"/>
      <c r="G151" s="1309"/>
      <c r="H151" s="1309"/>
      <c r="I151" s="1309"/>
      <c r="J151" s="1309"/>
      <c r="K151" s="1309"/>
      <c r="L151" s="1308"/>
      <c r="M151" s="1308"/>
      <c r="N151" s="1308"/>
      <c r="O151" s="1308"/>
    </row>
    <row r="152" spans="1:15">
      <c r="A152" s="1308"/>
      <c r="B152" s="1308"/>
      <c r="C152" s="1308"/>
      <c r="D152" s="1308"/>
      <c r="E152" s="1308"/>
      <c r="F152" s="1309"/>
      <c r="G152" s="1309"/>
      <c r="H152" s="1309"/>
      <c r="I152" s="1309"/>
      <c r="J152" s="1309"/>
      <c r="K152" s="1309"/>
      <c r="L152" s="1308"/>
      <c r="M152" s="1308"/>
      <c r="N152" s="1308"/>
      <c r="O152" s="1308"/>
    </row>
    <row r="153" spans="1:15">
      <c r="A153" s="1308"/>
      <c r="B153" s="1308"/>
      <c r="C153" s="1308"/>
      <c r="D153" s="1308"/>
      <c r="E153" s="1308"/>
      <c r="F153" s="1309"/>
      <c r="G153" s="1309"/>
      <c r="H153" s="1309"/>
      <c r="I153" s="1309"/>
      <c r="J153" s="1309"/>
      <c r="K153" s="1309"/>
      <c r="L153" s="1308"/>
      <c r="M153" s="1308"/>
      <c r="N153" s="1308"/>
      <c r="O153" s="1308"/>
    </row>
    <row r="154" spans="1:15">
      <c r="A154" s="1308"/>
      <c r="B154" s="1308"/>
      <c r="C154" s="1308"/>
      <c r="D154" s="1308"/>
      <c r="E154" s="1308"/>
      <c r="F154" s="1309"/>
      <c r="G154" s="1309"/>
      <c r="H154" s="1309"/>
      <c r="I154" s="1309"/>
      <c r="J154" s="1309"/>
      <c r="K154" s="1309"/>
      <c r="L154" s="1308"/>
      <c r="M154" s="1308"/>
      <c r="N154" s="1308"/>
      <c r="O154" s="1308"/>
    </row>
    <row r="155" spans="1:15">
      <c r="A155" s="1308"/>
      <c r="B155" s="1308"/>
      <c r="C155" s="1308"/>
      <c r="D155" s="1308"/>
      <c r="E155" s="1308"/>
      <c r="F155" s="1309"/>
      <c r="G155" s="1309"/>
      <c r="H155" s="1309"/>
      <c r="I155" s="1309"/>
      <c r="J155" s="1309"/>
      <c r="K155" s="1309"/>
      <c r="L155" s="1308"/>
      <c r="M155" s="1308"/>
      <c r="N155" s="1308"/>
      <c r="O155" s="1308"/>
    </row>
    <row r="156" spans="1:15">
      <c r="A156" s="1308"/>
      <c r="B156" s="1308"/>
      <c r="C156" s="1308"/>
      <c r="D156" s="1308"/>
      <c r="E156" s="1308"/>
      <c r="F156" s="1309"/>
      <c r="G156" s="1309"/>
      <c r="H156" s="1309"/>
      <c r="I156" s="1309"/>
      <c r="J156" s="1309"/>
      <c r="K156" s="1309"/>
      <c r="L156" s="1308"/>
      <c r="M156" s="1308"/>
      <c r="N156" s="1308"/>
      <c r="O156" s="1308"/>
    </row>
    <row r="157" spans="1:15">
      <c r="A157" s="1308"/>
      <c r="B157" s="1308"/>
      <c r="C157" s="1308"/>
      <c r="D157" s="1308"/>
      <c r="E157" s="1308"/>
      <c r="F157" s="1309"/>
      <c r="G157" s="1309"/>
      <c r="H157" s="1309"/>
      <c r="I157" s="1309"/>
      <c r="J157" s="1309"/>
      <c r="K157" s="1309"/>
      <c r="L157" s="1308"/>
      <c r="M157" s="1308"/>
      <c r="N157" s="1308"/>
      <c r="O157" s="1308"/>
    </row>
    <row r="158" spans="1:15">
      <c r="A158" s="1308"/>
      <c r="B158" s="1308"/>
      <c r="C158" s="1308"/>
      <c r="D158" s="1308"/>
      <c r="E158" s="1308"/>
      <c r="F158" s="1309"/>
      <c r="G158" s="1309"/>
      <c r="H158" s="1309"/>
      <c r="I158" s="1309"/>
      <c r="J158" s="1309"/>
      <c r="K158" s="1309"/>
      <c r="L158" s="1308"/>
      <c r="M158" s="1308"/>
      <c r="N158" s="1308"/>
      <c r="O158" s="1308"/>
    </row>
    <row r="159" spans="1:15">
      <c r="A159" s="1308"/>
      <c r="B159" s="1308"/>
      <c r="C159" s="1308"/>
      <c r="D159" s="1308"/>
      <c r="E159" s="1308"/>
      <c r="F159" s="1309"/>
      <c r="G159" s="1309"/>
      <c r="H159" s="1309"/>
      <c r="I159" s="1309"/>
      <c r="J159" s="1309"/>
      <c r="K159" s="1309"/>
      <c r="L159" s="1308"/>
      <c r="M159" s="1308"/>
      <c r="N159" s="1308"/>
      <c r="O159" s="1308"/>
    </row>
    <row r="160" spans="1:15">
      <c r="A160" s="1308"/>
      <c r="B160" s="1308"/>
      <c r="C160" s="1308"/>
      <c r="D160" s="1308"/>
      <c r="E160" s="1308"/>
      <c r="F160" s="1309"/>
      <c r="G160" s="1309"/>
      <c r="H160" s="1309"/>
      <c r="I160" s="1309"/>
      <c r="J160" s="1309"/>
      <c r="K160" s="1309"/>
      <c r="L160" s="1308"/>
      <c r="M160" s="1308"/>
      <c r="N160" s="1308"/>
      <c r="O160" s="1308"/>
    </row>
    <row r="161" spans="1:15">
      <c r="A161" s="1308"/>
      <c r="B161" s="1308"/>
      <c r="C161" s="1308"/>
      <c r="D161" s="1308"/>
      <c r="E161" s="1308"/>
      <c r="F161" s="1309"/>
      <c r="G161" s="1309"/>
      <c r="H161" s="1309"/>
      <c r="I161" s="1309"/>
      <c r="J161" s="1309"/>
      <c r="K161" s="1309"/>
      <c r="L161" s="1308"/>
      <c r="M161" s="1308"/>
      <c r="N161" s="1308"/>
      <c r="O161" s="1308"/>
    </row>
    <row r="162" spans="1:15">
      <c r="A162" s="1308"/>
      <c r="B162" s="1308"/>
      <c r="C162" s="1308"/>
      <c r="D162" s="1308"/>
      <c r="E162" s="1308"/>
      <c r="F162" s="1309"/>
      <c r="G162" s="1309"/>
      <c r="H162" s="1309"/>
      <c r="I162" s="1309"/>
      <c r="J162" s="1309"/>
      <c r="K162" s="1309"/>
      <c r="L162" s="1308"/>
      <c r="M162" s="1308"/>
      <c r="N162" s="1308"/>
      <c r="O162" s="1308"/>
    </row>
    <row r="163" spans="1:15">
      <c r="A163" s="1308"/>
      <c r="B163" s="1308"/>
      <c r="C163" s="1308"/>
      <c r="D163" s="1308"/>
      <c r="E163" s="1308"/>
      <c r="F163" s="1309"/>
      <c r="G163" s="1309"/>
      <c r="H163" s="1309"/>
      <c r="I163" s="1309"/>
      <c r="J163" s="1309"/>
      <c r="K163" s="1309"/>
      <c r="L163" s="1308"/>
      <c r="M163" s="1308"/>
      <c r="N163" s="1308"/>
      <c r="O163" s="1308"/>
    </row>
    <row r="164" spans="1:15">
      <c r="A164" s="1308"/>
      <c r="B164" s="1308"/>
      <c r="C164" s="1308"/>
      <c r="D164" s="1308"/>
      <c r="E164" s="1308"/>
      <c r="F164" s="1309"/>
      <c r="G164" s="1309"/>
      <c r="H164" s="1309"/>
      <c r="I164" s="1309"/>
      <c r="J164" s="1309"/>
      <c r="K164" s="1309"/>
      <c r="L164" s="1308"/>
      <c r="M164" s="1308"/>
      <c r="N164" s="1308"/>
      <c r="O164" s="1308"/>
    </row>
    <row r="165" spans="1:15">
      <c r="A165" s="1308"/>
      <c r="B165" s="1308"/>
      <c r="C165" s="1308"/>
      <c r="D165" s="1308"/>
      <c r="E165" s="1308"/>
      <c r="F165" s="1309"/>
      <c r="G165" s="1309"/>
      <c r="H165" s="1309"/>
      <c r="I165" s="1309"/>
      <c r="J165" s="1309"/>
      <c r="K165" s="1309"/>
      <c r="L165" s="1308"/>
      <c r="M165" s="1308"/>
      <c r="N165" s="1308"/>
      <c r="O165" s="1308"/>
    </row>
    <row r="166" spans="1:15">
      <c r="A166" s="1308"/>
      <c r="B166" s="1308"/>
      <c r="C166" s="1308"/>
      <c r="D166" s="1308"/>
      <c r="E166" s="1308"/>
      <c r="F166" s="1309"/>
      <c r="G166" s="1309"/>
      <c r="H166" s="1309"/>
      <c r="I166" s="1309"/>
      <c r="J166" s="1309"/>
      <c r="K166" s="1309"/>
      <c r="L166" s="1308"/>
      <c r="M166" s="1308"/>
      <c r="N166" s="1308"/>
      <c r="O166" s="1308"/>
    </row>
    <row r="167" spans="1:15">
      <c r="A167" s="1308"/>
      <c r="B167" s="1308"/>
      <c r="C167" s="1308"/>
      <c r="D167" s="1308"/>
      <c r="E167" s="1308"/>
      <c r="F167" s="1309"/>
      <c r="G167" s="1309"/>
      <c r="H167" s="1309"/>
      <c r="I167" s="1309"/>
      <c r="J167" s="1309"/>
      <c r="K167" s="1309"/>
      <c r="L167" s="1308"/>
      <c r="M167" s="1308"/>
      <c r="N167" s="1308"/>
      <c r="O167" s="1308"/>
    </row>
    <row r="168" spans="1:15">
      <c r="A168" s="1308"/>
      <c r="B168" s="1308"/>
      <c r="C168" s="1308"/>
      <c r="D168" s="1308"/>
      <c r="E168" s="1308"/>
      <c r="F168" s="1309"/>
      <c r="G168" s="1309"/>
      <c r="H168" s="1309"/>
      <c r="I168" s="1309"/>
      <c r="J168" s="1309"/>
      <c r="K168" s="1309"/>
      <c r="L168" s="1308"/>
      <c r="M168" s="1308"/>
      <c r="N168" s="1308"/>
      <c r="O168" s="1308"/>
    </row>
    <row r="169" spans="1:15">
      <c r="A169" s="1308"/>
      <c r="B169" s="1308"/>
      <c r="C169" s="1308"/>
      <c r="D169" s="1308"/>
      <c r="E169" s="1308"/>
      <c r="F169" s="1309"/>
      <c r="G169" s="1309"/>
      <c r="H169" s="1309"/>
      <c r="I169" s="1309"/>
      <c r="J169" s="1309"/>
      <c r="K169" s="1309"/>
      <c r="L169" s="1308"/>
      <c r="M169" s="1308"/>
      <c r="N169" s="1308"/>
      <c r="O169" s="1308"/>
    </row>
    <row r="170" spans="1:15">
      <c r="A170" s="1308"/>
      <c r="B170" s="1308"/>
      <c r="C170" s="1308"/>
      <c r="D170" s="1308"/>
      <c r="E170" s="1308"/>
      <c r="F170" s="1309"/>
      <c r="G170" s="1309"/>
      <c r="H170" s="1309"/>
      <c r="I170" s="1309"/>
      <c r="J170" s="1309"/>
      <c r="K170" s="1309"/>
      <c r="L170" s="1308"/>
      <c r="M170" s="1308"/>
      <c r="N170" s="1308"/>
      <c r="O170" s="1308"/>
    </row>
    <row r="171" spans="1:15">
      <c r="A171" s="1308"/>
      <c r="B171" s="1308"/>
      <c r="C171" s="1308"/>
      <c r="D171" s="1308"/>
      <c r="E171" s="1308"/>
      <c r="F171" s="1309"/>
      <c r="G171" s="1309"/>
      <c r="H171" s="1309"/>
      <c r="I171" s="1309"/>
      <c r="J171" s="1309"/>
      <c r="K171" s="1309"/>
      <c r="L171" s="1308"/>
      <c r="M171" s="1308"/>
      <c r="N171" s="1308"/>
      <c r="O171" s="1308"/>
    </row>
    <row r="172" spans="1:15">
      <c r="A172" s="1308"/>
      <c r="B172" s="1308"/>
      <c r="C172" s="1308"/>
      <c r="D172" s="1308"/>
      <c r="E172" s="1308"/>
      <c r="F172" s="1309"/>
      <c r="G172" s="1309"/>
      <c r="H172" s="1309"/>
      <c r="I172" s="1309"/>
      <c r="J172" s="1309"/>
      <c r="K172" s="1309"/>
      <c r="L172" s="1308"/>
      <c r="M172" s="1308"/>
      <c r="N172" s="1308"/>
      <c r="O172" s="1308"/>
    </row>
    <row r="173" spans="1:15">
      <c r="A173" s="1308"/>
      <c r="B173" s="1308"/>
      <c r="C173" s="1308"/>
      <c r="D173" s="1308"/>
      <c r="E173" s="1308"/>
      <c r="F173" s="1309"/>
      <c r="G173" s="1309"/>
      <c r="H173" s="1309"/>
      <c r="I173" s="1309"/>
      <c r="J173" s="1309"/>
      <c r="K173" s="1309"/>
      <c r="L173" s="1308"/>
      <c r="M173" s="1308"/>
      <c r="N173" s="1308"/>
      <c r="O173" s="1308"/>
    </row>
    <row r="174" spans="1:15">
      <c r="A174" s="1308"/>
      <c r="B174" s="1308"/>
      <c r="C174" s="1308"/>
      <c r="D174" s="1308"/>
      <c r="E174" s="1308"/>
      <c r="F174" s="1309"/>
      <c r="G174" s="1309"/>
      <c r="H174" s="1309"/>
      <c r="I174" s="1309"/>
      <c r="J174" s="1309"/>
      <c r="K174" s="1309"/>
      <c r="L174" s="1308"/>
      <c r="M174" s="1308"/>
      <c r="N174" s="1308"/>
      <c r="O174" s="1308"/>
    </row>
    <row r="175" spans="1:15">
      <c r="A175" s="1308"/>
      <c r="B175" s="1308"/>
      <c r="C175" s="1308"/>
      <c r="D175" s="1308"/>
      <c r="E175" s="1308"/>
      <c r="F175" s="1309"/>
      <c r="G175" s="1309"/>
      <c r="H175" s="1309"/>
      <c r="I175" s="1309"/>
      <c r="J175" s="1309"/>
      <c r="K175" s="1309"/>
      <c r="L175" s="1308"/>
      <c r="M175" s="1308"/>
      <c r="N175" s="1308"/>
      <c r="O175" s="1308"/>
    </row>
    <row r="176" spans="1:15">
      <c r="A176" s="1308"/>
      <c r="B176" s="1308"/>
      <c r="C176" s="1308"/>
      <c r="D176" s="1308"/>
      <c r="E176" s="1308"/>
      <c r="F176" s="1309"/>
      <c r="G176" s="1309"/>
      <c r="H176" s="1309"/>
      <c r="I176" s="1309"/>
      <c r="J176" s="1309"/>
      <c r="K176" s="1309"/>
      <c r="L176" s="1308"/>
      <c r="M176" s="1308"/>
      <c r="N176" s="1308"/>
      <c r="O176" s="1308"/>
    </row>
    <row r="177" spans="1:15">
      <c r="A177" s="1308"/>
      <c r="B177" s="1308"/>
      <c r="C177" s="1308"/>
      <c r="D177" s="1308"/>
      <c r="E177" s="1308"/>
      <c r="F177" s="1309"/>
      <c r="G177" s="1309"/>
      <c r="H177" s="1309"/>
      <c r="I177" s="1309"/>
      <c r="J177" s="1309"/>
      <c r="K177" s="1309"/>
      <c r="L177" s="1308"/>
      <c r="M177" s="1308"/>
      <c r="N177" s="1308"/>
      <c r="O177" s="1308"/>
    </row>
    <row r="178" spans="1:15">
      <c r="A178" s="1308"/>
      <c r="B178" s="1308"/>
      <c r="C178" s="1308"/>
      <c r="D178" s="1308"/>
      <c r="E178" s="1308"/>
      <c r="F178" s="1309"/>
      <c r="G178" s="1309"/>
      <c r="H178" s="1309"/>
      <c r="I178" s="1309"/>
      <c r="J178" s="1309"/>
      <c r="K178" s="1309"/>
      <c r="L178" s="1308"/>
      <c r="M178" s="1308"/>
      <c r="N178" s="1308"/>
      <c r="O178" s="1308"/>
    </row>
    <row r="179" spans="1:15">
      <c r="A179" s="1308"/>
      <c r="B179" s="1308"/>
      <c r="C179" s="1308"/>
      <c r="D179" s="1308"/>
      <c r="E179" s="1308"/>
      <c r="F179" s="1309"/>
      <c r="G179" s="1309"/>
      <c r="H179" s="1309"/>
      <c r="I179" s="1309"/>
      <c r="J179" s="1309"/>
      <c r="K179" s="1309"/>
      <c r="L179" s="1308"/>
      <c r="M179" s="1308"/>
      <c r="N179" s="1308"/>
      <c r="O179" s="1308"/>
    </row>
    <row r="180" spans="1:15">
      <c r="A180" s="1308"/>
      <c r="B180" s="1308"/>
      <c r="C180" s="1308"/>
      <c r="D180" s="1308"/>
      <c r="E180" s="1308"/>
      <c r="F180" s="1309"/>
      <c r="G180" s="1309"/>
      <c r="H180" s="1309"/>
      <c r="I180" s="1309"/>
      <c r="J180" s="1309"/>
      <c r="K180" s="1309"/>
      <c r="L180" s="1308"/>
      <c r="M180" s="1308"/>
      <c r="N180" s="1308"/>
      <c r="O180" s="1308"/>
    </row>
    <row r="181" spans="1:15">
      <c r="A181" s="1308"/>
      <c r="B181" s="1308"/>
      <c r="C181" s="1308"/>
      <c r="D181" s="1308"/>
      <c r="E181" s="1308"/>
      <c r="F181" s="1309"/>
      <c r="G181" s="1309"/>
      <c r="H181" s="1309"/>
      <c r="I181" s="1309"/>
      <c r="J181" s="1309"/>
      <c r="K181" s="1309"/>
      <c r="L181" s="1308"/>
      <c r="M181" s="1308"/>
      <c r="N181" s="1308"/>
      <c r="O181" s="1308"/>
    </row>
    <row r="182" spans="1:15">
      <c r="A182" s="1308"/>
      <c r="B182" s="1308"/>
      <c r="C182" s="1308"/>
      <c r="D182" s="1308"/>
      <c r="E182" s="1308"/>
      <c r="F182" s="1309"/>
      <c r="G182" s="1309"/>
      <c r="H182" s="1309"/>
      <c r="I182" s="1309"/>
      <c r="J182" s="1309"/>
      <c r="K182" s="1309"/>
      <c r="L182" s="1308"/>
      <c r="M182" s="1308"/>
      <c r="N182" s="1308"/>
      <c r="O182" s="1308"/>
    </row>
    <row r="183" spans="1:15">
      <c r="A183" s="1308"/>
      <c r="B183" s="1308"/>
      <c r="C183" s="1308"/>
      <c r="D183" s="1308"/>
      <c r="E183" s="1308"/>
      <c r="F183" s="1309"/>
      <c r="G183" s="1309"/>
      <c r="H183" s="1309"/>
      <c r="I183" s="1309"/>
      <c r="J183" s="1309"/>
      <c r="K183" s="1309"/>
      <c r="L183" s="1308"/>
      <c r="M183" s="1308"/>
      <c r="N183" s="1308"/>
      <c r="O183" s="1308"/>
    </row>
    <row r="184" spans="1:15">
      <c r="A184" s="1308"/>
      <c r="B184" s="1308"/>
      <c r="C184" s="1308"/>
      <c r="D184" s="1308"/>
      <c r="E184" s="1308"/>
      <c r="F184" s="1309"/>
      <c r="G184" s="1309"/>
      <c r="H184" s="1309"/>
      <c r="I184" s="1309"/>
      <c r="J184" s="1309"/>
      <c r="K184" s="1309"/>
      <c r="L184" s="1308"/>
      <c r="M184" s="1308"/>
      <c r="N184" s="1308"/>
      <c r="O184" s="1308"/>
    </row>
    <row r="185" spans="1:15">
      <c r="A185" s="1308"/>
      <c r="B185" s="1308"/>
      <c r="C185" s="1308"/>
      <c r="D185" s="1308"/>
      <c r="E185" s="1308"/>
      <c r="F185" s="1309"/>
      <c r="G185" s="1309"/>
      <c r="H185" s="1309"/>
      <c r="I185" s="1309"/>
      <c r="J185" s="1309"/>
      <c r="K185" s="1309"/>
      <c r="L185" s="1308"/>
      <c r="M185" s="1308"/>
      <c r="N185" s="1308"/>
      <c r="O185" s="1308"/>
    </row>
    <row r="186" spans="1:15">
      <c r="A186" s="1308"/>
      <c r="B186" s="1308"/>
      <c r="C186" s="1308"/>
      <c r="D186" s="1308"/>
      <c r="E186" s="1308"/>
      <c r="F186" s="1309"/>
      <c r="G186" s="1309"/>
      <c r="H186" s="1309"/>
      <c r="I186" s="1309"/>
      <c r="J186" s="1309"/>
      <c r="K186" s="1309"/>
      <c r="L186" s="1308"/>
      <c r="M186" s="1308"/>
      <c r="N186" s="1308"/>
      <c r="O186" s="1308"/>
    </row>
    <row r="187" spans="1:15">
      <c r="A187" s="1308"/>
      <c r="B187" s="1308"/>
      <c r="C187" s="1308"/>
      <c r="D187" s="1308"/>
      <c r="E187" s="1308"/>
      <c r="F187" s="1309"/>
      <c r="G187" s="1309"/>
      <c r="H187" s="1309"/>
      <c r="I187" s="1309"/>
      <c r="J187" s="1309"/>
      <c r="K187" s="1309"/>
      <c r="L187" s="1308"/>
      <c r="M187" s="1308"/>
      <c r="N187" s="1308"/>
      <c r="O187" s="1308"/>
    </row>
    <row r="188" spans="1:15">
      <c r="A188" s="1308"/>
      <c r="B188" s="1308"/>
      <c r="C188" s="1308"/>
      <c r="D188" s="1308"/>
      <c r="E188" s="1308"/>
      <c r="F188" s="1309"/>
      <c r="G188" s="1309"/>
      <c r="H188" s="1309"/>
      <c r="I188" s="1309"/>
      <c r="J188" s="1309"/>
      <c r="K188" s="1309"/>
      <c r="L188" s="1308"/>
      <c r="M188" s="1308"/>
      <c r="N188" s="1308"/>
      <c r="O188" s="1308"/>
    </row>
    <row r="189" spans="1:15">
      <c r="A189" s="1308"/>
      <c r="B189" s="1308"/>
      <c r="C189" s="1308"/>
      <c r="D189" s="1308"/>
      <c r="E189" s="1308"/>
      <c r="F189" s="1309"/>
      <c r="G189" s="1309"/>
      <c r="H189" s="1309"/>
      <c r="I189" s="1309"/>
      <c r="J189" s="1309"/>
      <c r="K189" s="1309"/>
      <c r="L189" s="1308"/>
      <c r="M189" s="1308"/>
      <c r="N189" s="1308"/>
      <c r="O189" s="1308"/>
    </row>
    <row r="190" spans="1:15">
      <c r="A190" s="1308"/>
      <c r="B190" s="1308"/>
      <c r="C190" s="1308"/>
      <c r="D190" s="1308"/>
      <c r="E190" s="1308"/>
      <c r="F190" s="1309"/>
      <c r="G190" s="1309"/>
      <c r="H190" s="1309"/>
      <c r="I190" s="1309"/>
      <c r="J190" s="1309"/>
      <c r="K190" s="1309"/>
      <c r="L190" s="1308"/>
      <c r="M190" s="1308"/>
      <c r="N190" s="1308"/>
      <c r="O190" s="1308"/>
    </row>
    <row r="191" spans="1:15">
      <c r="A191" s="1308"/>
      <c r="B191" s="1308"/>
      <c r="C191" s="1308"/>
      <c r="D191" s="1308"/>
      <c r="E191" s="1308"/>
      <c r="F191" s="1309"/>
      <c r="G191" s="1309"/>
      <c r="H191" s="1309"/>
      <c r="I191" s="1309"/>
      <c r="J191" s="1309"/>
      <c r="K191" s="1309"/>
      <c r="L191" s="1308"/>
      <c r="M191" s="1308"/>
      <c r="N191" s="1308"/>
      <c r="O191" s="1308"/>
    </row>
    <row r="192" spans="1:15">
      <c r="A192" s="1308"/>
      <c r="B192" s="1308"/>
      <c r="C192" s="1308"/>
      <c r="D192" s="1308"/>
      <c r="E192" s="1308"/>
      <c r="F192" s="1309"/>
      <c r="G192" s="1309"/>
      <c r="H192" s="1309"/>
      <c r="I192" s="1309"/>
      <c r="J192" s="1309"/>
      <c r="K192" s="1309"/>
      <c r="L192" s="1308"/>
      <c r="M192" s="1308"/>
      <c r="N192" s="1308"/>
      <c r="O192" s="1308"/>
    </row>
    <row r="193" spans="1:15">
      <c r="A193" s="1308"/>
      <c r="B193" s="1308"/>
      <c r="C193" s="1308"/>
      <c r="D193" s="1308"/>
      <c r="E193" s="1308"/>
      <c r="F193" s="1309"/>
      <c r="G193" s="1309"/>
      <c r="H193" s="1309"/>
      <c r="I193" s="1309"/>
      <c r="J193" s="1309"/>
      <c r="K193" s="1309"/>
      <c r="L193" s="1308"/>
      <c r="M193" s="1308"/>
      <c r="N193" s="1308"/>
      <c r="O193" s="1308"/>
    </row>
    <row r="194" spans="1:15">
      <c r="A194" s="1308"/>
      <c r="B194" s="1308"/>
      <c r="C194" s="1308"/>
      <c r="D194" s="1308"/>
      <c r="E194" s="1308"/>
      <c r="F194" s="1309"/>
      <c r="G194" s="1309"/>
      <c r="H194" s="1309"/>
      <c r="I194" s="1309"/>
      <c r="J194" s="1309"/>
      <c r="K194" s="1309"/>
      <c r="L194" s="1308"/>
      <c r="M194" s="1308"/>
      <c r="N194" s="1308"/>
      <c r="O194" s="1308"/>
    </row>
    <row r="195" spans="1:15">
      <c r="A195" s="1308"/>
      <c r="B195" s="1308"/>
      <c r="C195" s="1308"/>
      <c r="D195" s="1308"/>
      <c r="E195" s="1308"/>
      <c r="F195" s="1309"/>
      <c r="G195" s="1309"/>
      <c r="H195" s="1309"/>
      <c r="I195" s="1309"/>
      <c r="J195" s="1309"/>
      <c r="K195" s="1309"/>
      <c r="L195" s="1308"/>
      <c r="M195" s="1308"/>
      <c r="N195" s="1308"/>
      <c r="O195" s="1308"/>
    </row>
    <row r="196" spans="1:15">
      <c r="A196" s="1308"/>
      <c r="B196" s="1308"/>
      <c r="C196" s="1308"/>
      <c r="D196" s="1308"/>
      <c r="E196" s="1308"/>
      <c r="F196" s="1309"/>
      <c r="G196" s="1309"/>
      <c r="H196" s="1309"/>
      <c r="I196" s="1309"/>
      <c r="J196" s="1309"/>
      <c r="K196" s="1309"/>
      <c r="L196" s="1308"/>
      <c r="M196" s="1308"/>
      <c r="N196" s="1308"/>
      <c r="O196" s="1308"/>
    </row>
    <row r="197" spans="1:15">
      <c r="A197" s="1308"/>
      <c r="B197" s="1308"/>
      <c r="C197" s="1308"/>
      <c r="D197" s="1308"/>
      <c r="E197" s="1308"/>
      <c r="F197" s="1309"/>
      <c r="G197" s="1309"/>
      <c r="H197" s="1309"/>
      <c r="I197" s="1309"/>
      <c r="J197" s="1309"/>
      <c r="K197" s="1309"/>
      <c r="L197" s="1308"/>
      <c r="M197" s="1308"/>
      <c r="N197" s="1308"/>
      <c r="O197" s="1308"/>
    </row>
    <row r="198" spans="1:15">
      <c r="A198" s="1308"/>
      <c r="B198" s="1308"/>
      <c r="C198" s="1308"/>
      <c r="D198" s="1308"/>
      <c r="E198" s="1308"/>
      <c r="F198" s="1309"/>
      <c r="G198" s="1309"/>
      <c r="H198" s="1309"/>
      <c r="I198" s="1309"/>
      <c r="J198" s="1309"/>
      <c r="K198" s="1309"/>
      <c r="L198" s="1308"/>
      <c r="M198" s="1308"/>
      <c r="N198" s="1308"/>
      <c r="O198" s="1308"/>
    </row>
    <row r="199" spans="1:15">
      <c r="A199" s="1308"/>
      <c r="B199" s="1308"/>
      <c r="C199" s="1308"/>
      <c r="D199" s="1308"/>
      <c r="E199" s="1308"/>
      <c r="F199" s="1309"/>
      <c r="G199" s="1309"/>
      <c r="H199" s="1309"/>
      <c r="I199" s="1309"/>
      <c r="J199" s="1309"/>
      <c r="K199" s="1309"/>
      <c r="L199" s="1308"/>
      <c r="M199" s="1308"/>
      <c r="N199" s="1308"/>
      <c r="O199" s="1308"/>
    </row>
    <row r="200" spans="1:15">
      <c r="A200" s="1308"/>
      <c r="B200" s="1308"/>
      <c r="C200" s="1308"/>
      <c r="D200" s="1308"/>
      <c r="E200" s="1308"/>
      <c r="F200" s="1309"/>
      <c r="G200" s="1309"/>
      <c r="H200" s="1309"/>
      <c r="I200" s="1309"/>
      <c r="J200" s="1309"/>
      <c r="K200" s="1309"/>
      <c r="L200" s="1308"/>
      <c r="M200" s="1308"/>
      <c r="N200" s="1308"/>
      <c r="O200" s="1308"/>
    </row>
    <row r="201" spans="1:15">
      <c r="A201" s="1308"/>
      <c r="B201" s="1308"/>
      <c r="C201" s="1308"/>
      <c r="D201" s="1308"/>
      <c r="E201" s="1308"/>
      <c r="F201" s="1309"/>
      <c r="G201" s="1309"/>
      <c r="H201" s="1309"/>
      <c r="I201" s="1309"/>
      <c r="J201" s="1309"/>
      <c r="K201" s="1309"/>
      <c r="L201" s="1308"/>
      <c r="M201" s="1308"/>
      <c r="N201" s="1308"/>
      <c r="O201" s="1308"/>
    </row>
    <row r="202" spans="1:15">
      <c r="A202" s="1308"/>
      <c r="B202" s="1308"/>
      <c r="C202" s="1308"/>
      <c r="D202" s="1308"/>
      <c r="E202" s="1308"/>
      <c r="F202" s="1309"/>
      <c r="G202" s="1309"/>
      <c r="H202" s="1309"/>
      <c r="I202" s="1309"/>
      <c r="J202" s="1309"/>
      <c r="K202" s="1309"/>
      <c r="L202" s="1308"/>
      <c r="M202" s="1308"/>
      <c r="N202" s="1308"/>
      <c r="O202" s="1308"/>
    </row>
    <row r="203" spans="1:15">
      <c r="A203" s="1308"/>
      <c r="B203" s="1308"/>
      <c r="C203" s="1308"/>
      <c r="D203" s="1308"/>
      <c r="E203" s="1308"/>
      <c r="F203" s="1309"/>
      <c r="G203" s="1309"/>
      <c r="H203" s="1309"/>
      <c r="I203" s="1309"/>
      <c r="J203" s="1309"/>
      <c r="K203" s="1309"/>
      <c r="L203" s="1308"/>
      <c r="M203" s="1308"/>
      <c r="N203" s="1308"/>
      <c r="O203" s="1308"/>
    </row>
    <row r="204" spans="1:15">
      <c r="A204" s="1308"/>
      <c r="B204" s="1308"/>
      <c r="C204" s="1308"/>
      <c r="D204" s="1308"/>
      <c r="E204" s="1308"/>
      <c r="F204" s="1309"/>
      <c r="G204" s="1309"/>
      <c r="H204" s="1309"/>
      <c r="I204" s="1309"/>
      <c r="J204" s="1309"/>
      <c r="K204" s="1309"/>
      <c r="L204" s="1308"/>
      <c r="M204" s="1308"/>
      <c r="N204" s="1308"/>
      <c r="O204" s="1308"/>
    </row>
    <row r="205" spans="1:15">
      <c r="A205" s="1308"/>
      <c r="B205" s="1308"/>
      <c r="C205" s="1308"/>
      <c r="D205" s="1308"/>
      <c r="E205" s="1308"/>
      <c r="F205" s="1309"/>
      <c r="G205" s="1309"/>
      <c r="H205" s="1309"/>
      <c r="I205" s="1309"/>
      <c r="J205" s="1309"/>
      <c r="K205" s="1309"/>
      <c r="L205" s="1308"/>
      <c r="M205" s="1308"/>
      <c r="N205" s="1308"/>
      <c r="O205" s="1308"/>
    </row>
    <row r="206" spans="1:15">
      <c r="A206" s="1308"/>
      <c r="B206" s="1308"/>
      <c r="C206" s="1308"/>
      <c r="D206" s="1308"/>
      <c r="E206" s="1308"/>
      <c r="F206" s="1309"/>
      <c r="G206" s="1309"/>
      <c r="H206" s="1309"/>
      <c r="I206" s="1309"/>
      <c r="J206" s="1309"/>
      <c r="K206" s="1309"/>
      <c r="L206" s="1308"/>
      <c r="M206" s="1308"/>
      <c r="N206" s="1308"/>
      <c r="O206" s="1308"/>
    </row>
    <row r="207" spans="1:15">
      <c r="A207" s="1308"/>
      <c r="B207" s="1308"/>
      <c r="C207" s="1308"/>
      <c r="D207" s="1308"/>
      <c r="E207" s="1308"/>
      <c r="F207" s="1309"/>
      <c r="G207" s="1309"/>
      <c r="H207" s="1309"/>
      <c r="I207" s="1309"/>
      <c r="J207" s="1309"/>
      <c r="K207" s="1309"/>
      <c r="L207" s="1308"/>
      <c r="M207" s="1308"/>
      <c r="N207" s="1308"/>
      <c r="O207" s="1308"/>
    </row>
    <row r="208" spans="1:15">
      <c r="A208" s="1308"/>
      <c r="B208" s="1308"/>
      <c r="C208" s="1308"/>
      <c r="D208" s="1308"/>
      <c r="E208" s="1308"/>
      <c r="F208" s="1309"/>
      <c r="G208" s="1309"/>
      <c r="H208" s="1309"/>
      <c r="I208" s="1309"/>
      <c r="J208" s="1309"/>
      <c r="K208" s="1309"/>
      <c r="L208" s="1308"/>
      <c r="M208" s="1308"/>
      <c r="N208" s="1308"/>
      <c r="O208" s="1308"/>
    </row>
    <row r="209" spans="1:15">
      <c r="A209" s="1308"/>
      <c r="B209" s="1308"/>
      <c r="C209" s="1308"/>
      <c r="D209" s="1308"/>
      <c r="E209" s="1308"/>
      <c r="F209" s="1309"/>
      <c r="G209" s="1309"/>
      <c r="H209" s="1309"/>
      <c r="I209" s="1309"/>
      <c r="J209" s="1309"/>
      <c r="K209" s="1309"/>
      <c r="L209" s="1308"/>
      <c r="M209" s="1308"/>
      <c r="N209" s="1308"/>
      <c r="O209" s="1308"/>
    </row>
    <row r="210" spans="1:15">
      <c r="A210" s="1308"/>
      <c r="B210" s="1308"/>
      <c r="C210" s="1308"/>
      <c r="D210" s="1308"/>
      <c r="E210" s="1308"/>
      <c r="F210" s="1309"/>
      <c r="G210" s="1309"/>
      <c r="H210" s="1309"/>
      <c r="I210" s="1309"/>
      <c r="J210" s="1309"/>
      <c r="K210" s="1309"/>
      <c r="L210" s="1308"/>
      <c r="M210" s="1308"/>
      <c r="N210" s="1308"/>
      <c r="O210" s="1308"/>
    </row>
    <row r="211" spans="1:15">
      <c r="A211" s="1308"/>
      <c r="B211" s="1308"/>
      <c r="C211" s="1308"/>
      <c r="D211" s="1308"/>
      <c r="E211" s="1308"/>
      <c r="F211" s="1309"/>
      <c r="G211" s="1309"/>
      <c r="H211" s="1309"/>
      <c r="I211" s="1309"/>
      <c r="J211" s="1309"/>
      <c r="K211" s="1309"/>
      <c r="L211" s="1308"/>
      <c r="M211" s="1308"/>
      <c r="N211" s="1308"/>
      <c r="O211" s="1308"/>
    </row>
    <row r="212" spans="1:15">
      <c r="A212" s="1308"/>
      <c r="B212" s="1308"/>
      <c r="C212" s="1308"/>
      <c r="D212" s="1308"/>
      <c r="E212" s="1308"/>
      <c r="F212" s="1309"/>
      <c r="G212" s="1309"/>
      <c r="H212" s="1309"/>
      <c r="I212" s="1309"/>
      <c r="J212" s="1309"/>
      <c r="K212" s="1309"/>
      <c r="L212" s="1308"/>
      <c r="M212" s="1308"/>
      <c r="N212" s="1308"/>
      <c r="O212" s="1308"/>
    </row>
    <row r="213" spans="1:15">
      <c r="A213" s="1308"/>
      <c r="B213" s="1308"/>
      <c r="C213" s="1308"/>
      <c r="D213" s="1308"/>
      <c r="E213" s="1308"/>
      <c r="F213" s="1309"/>
      <c r="G213" s="1309"/>
      <c r="H213" s="1309"/>
      <c r="I213" s="1309"/>
      <c r="J213" s="1309"/>
      <c r="K213" s="1309"/>
      <c r="L213" s="1308"/>
      <c r="M213" s="1308"/>
      <c r="N213" s="1308"/>
      <c r="O213" s="1308"/>
    </row>
    <row r="214" spans="1:15">
      <c r="A214" s="1308"/>
      <c r="B214" s="1308"/>
      <c r="C214" s="1308"/>
      <c r="D214" s="1308"/>
      <c r="E214" s="1308"/>
      <c r="F214" s="1309"/>
      <c r="G214" s="1309"/>
      <c r="H214" s="1309"/>
      <c r="I214" s="1309"/>
      <c r="J214" s="1309"/>
      <c r="K214" s="1309"/>
      <c r="L214" s="1308"/>
      <c r="M214" s="1308"/>
      <c r="N214" s="1308"/>
      <c r="O214" s="1308"/>
    </row>
    <row r="215" spans="1:15">
      <c r="A215" s="1308"/>
      <c r="B215" s="1308"/>
      <c r="C215" s="1308"/>
      <c r="D215" s="1308"/>
      <c r="E215" s="1308"/>
      <c r="F215" s="1309"/>
      <c r="G215" s="1309"/>
      <c r="H215" s="1309"/>
      <c r="I215" s="1309"/>
      <c r="J215" s="1309"/>
      <c r="K215" s="1309"/>
      <c r="L215" s="1308"/>
      <c r="M215" s="1308"/>
      <c r="N215" s="1308"/>
      <c r="O215" s="1308"/>
    </row>
    <row r="216" spans="1:15">
      <c r="A216" s="1308"/>
      <c r="B216" s="1308"/>
      <c r="C216" s="1308"/>
      <c r="D216" s="1308"/>
      <c r="E216" s="1308"/>
      <c r="F216" s="1309"/>
      <c r="G216" s="1309"/>
      <c r="H216" s="1309"/>
      <c r="I216" s="1309"/>
      <c r="J216" s="1309"/>
      <c r="K216" s="1309"/>
      <c r="L216" s="1308"/>
      <c r="M216" s="1308"/>
      <c r="N216" s="1308"/>
      <c r="O216" s="1308"/>
    </row>
    <row r="217" spans="1:15">
      <c r="A217" s="1308"/>
      <c r="B217" s="1308"/>
      <c r="C217" s="1308"/>
      <c r="D217" s="1308"/>
      <c r="E217" s="1308"/>
      <c r="F217" s="1309"/>
      <c r="G217" s="1309"/>
      <c r="H217" s="1309"/>
      <c r="I217" s="1309"/>
      <c r="J217" s="1309"/>
      <c r="K217" s="1309"/>
      <c r="L217" s="1308"/>
      <c r="M217" s="1308"/>
      <c r="N217" s="1308"/>
      <c r="O217" s="1308"/>
    </row>
    <row r="218" spans="1:15">
      <c r="A218" s="1308"/>
      <c r="B218" s="1308"/>
      <c r="C218" s="1308"/>
      <c r="D218" s="1308"/>
      <c r="E218" s="1308"/>
      <c r="F218" s="1309"/>
      <c r="G218" s="1309"/>
      <c r="H218" s="1309"/>
      <c r="I218" s="1309"/>
      <c r="J218" s="1309"/>
      <c r="K218" s="1309"/>
      <c r="L218" s="1308"/>
      <c r="M218" s="1308"/>
      <c r="N218" s="1308"/>
      <c r="O218" s="1308"/>
    </row>
    <row r="219" spans="1:15">
      <c r="A219" s="1308"/>
      <c r="B219" s="1308"/>
      <c r="C219" s="1308"/>
      <c r="D219" s="1308"/>
      <c r="E219" s="1308"/>
      <c r="F219" s="1309"/>
      <c r="G219" s="1309"/>
      <c r="H219" s="1309"/>
      <c r="I219" s="1309"/>
      <c r="J219" s="1309"/>
      <c r="K219" s="1309"/>
      <c r="L219" s="1308"/>
      <c r="M219" s="1308"/>
      <c r="N219" s="1308"/>
      <c r="O219" s="1308"/>
    </row>
    <row r="220" spans="1:15">
      <c r="A220" s="1308"/>
      <c r="B220" s="1308"/>
      <c r="C220" s="1308"/>
      <c r="D220" s="1308"/>
      <c r="E220" s="1308"/>
      <c r="F220" s="1309"/>
      <c r="G220" s="1309"/>
      <c r="H220" s="1309"/>
      <c r="I220" s="1309"/>
      <c r="J220" s="1309"/>
      <c r="K220" s="1309"/>
      <c r="L220" s="1308"/>
      <c r="M220" s="1308"/>
      <c r="N220" s="1308"/>
      <c r="O220" s="1308"/>
    </row>
    <row r="221" spans="1:15">
      <c r="A221" s="1308"/>
      <c r="B221" s="1308"/>
      <c r="C221" s="1308"/>
      <c r="D221" s="1308"/>
      <c r="E221" s="1308"/>
      <c r="F221" s="1309"/>
      <c r="G221" s="1309"/>
      <c r="H221" s="1309"/>
      <c r="I221" s="1309"/>
      <c r="J221" s="1309"/>
      <c r="K221" s="1309"/>
      <c r="L221" s="1308"/>
      <c r="M221" s="1308"/>
      <c r="N221" s="1308"/>
      <c r="O221" s="1308"/>
    </row>
    <row r="222" spans="1:15">
      <c r="A222" s="1308"/>
      <c r="B222" s="1308"/>
      <c r="C222" s="1308"/>
      <c r="D222" s="1308"/>
      <c r="E222" s="1308"/>
      <c r="F222" s="1309"/>
      <c r="G222" s="1309"/>
      <c r="H222" s="1309"/>
      <c r="I222" s="1309"/>
      <c r="J222" s="1309"/>
      <c r="K222" s="1309"/>
      <c r="L222" s="1308"/>
      <c r="M222" s="1308"/>
      <c r="N222" s="1308"/>
      <c r="O222" s="1308"/>
    </row>
    <row r="223" spans="1:15">
      <c r="A223" s="1308"/>
      <c r="B223" s="1308"/>
      <c r="C223" s="1308"/>
      <c r="D223" s="1308"/>
      <c r="E223" s="1308"/>
      <c r="F223" s="1309"/>
      <c r="G223" s="1309"/>
      <c r="H223" s="1309"/>
      <c r="I223" s="1309"/>
      <c r="J223" s="1309"/>
      <c r="K223" s="1309"/>
      <c r="L223" s="1308"/>
      <c r="M223" s="1308"/>
      <c r="N223" s="1308"/>
      <c r="O223" s="1308"/>
    </row>
    <row r="224" spans="1:15">
      <c r="A224" s="1308"/>
      <c r="B224" s="1308"/>
      <c r="C224" s="1308"/>
      <c r="D224" s="1308"/>
      <c r="E224" s="1308"/>
      <c r="F224" s="1309"/>
      <c r="G224" s="1309"/>
      <c r="H224" s="1309"/>
      <c r="I224" s="1309"/>
      <c r="J224" s="1309"/>
      <c r="K224" s="1309"/>
      <c r="L224" s="1308"/>
      <c r="M224" s="1308"/>
      <c r="N224" s="1308"/>
      <c r="O224" s="1308"/>
    </row>
    <row r="225" spans="1:15">
      <c r="A225" s="1308"/>
      <c r="B225" s="1308"/>
      <c r="C225" s="1308"/>
      <c r="D225" s="1308"/>
      <c r="E225" s="1308"/>
      <c r="F225" s="1309"/>
      <c r="G225" s="1309"/>
      <c r="H225" s="1309"/>
      <c r="I225" s="1309"/>
      <c r="J225" s="1309"/>
      <c r="K225" s="1309"/>
      <c r="L225" s="1308"/>
      <c r="M225" s="1308"/>
      <c r="N225" s="1308"/>
      <c r="O225" s="1308"/>
    </row>
    <row r="226" spans="1:15">
      <c r="A226" s="1308"/>
      <c r="B226" s="1308"/>
      <c r="C226" s="1308"/>
      <c r="D226" s="1308"/>
      <c r="E226" s="1308"/>
      <c r="F226" s="1309"/>
      <c r="G226" s="1309"/>
      <c r="H226" s="1309"/>
      <c r="I226" s="1309"/>
      <c r="J226" s="1309"/>
      <c r="K226" s="1309"/>
      <c r="L226" s="1308"/>
      <c r="M226" s="1308"/>
      <c r="N226" s="1308"/>
      <c r="O226" s="1308"/>
    </row>
    <row r="227" spans="1:15">
      <c r="A227" s="1308"/>
      <c r="B227" s="1308"/>
      <c r="C227" s="1308"/>
      <c r="D227" s="1308"/>
      <c r="E227" s="1308"/>
      <c r="F227" s="1309"/>
      <c r="G227" s="1309"/>
      <c r="H227" s="1309"/>
      <c r="I227" s="1309"/>
      <c r="J227" s="1309"/>
      <c r="K227" s="1309"/>
      <c r="L227" s="1308"/>
      <c r="M227" s="1308"/>
      <c r="N227" s="1308"/>
      <c r="O227" s="1308"/>
    </row>
    <row r="228" spans="1:15">
      <c r="A228" s="1308"/>
      <c r="B228" s="1308"/>
      <c r="C228" s="1308"/>
      <c r="D228" s="1308"/>
      <c r="E228" s="1308"/>
      <c r="F228" s="1309"/>
      <c r="G228" s="1309"/>
      <c r="H228" s="1309"/>
      <c r="I228" s="1309"/>
      <c r="J228" s="1309"/>
      <c r="K228" s="1309"/>
      <c r="L228" s="1308"/>
      <c r="M228" s="1308"/>
      <c r="N228" s="1308"/>
      <c r="O228" s="1308"/>
    </row>
    <row r="229" spans="1:15">
      <c r="A229" s="1308"/>
      <c r="B229" s="1308"/>
      <c r="C229" s="1308"/>
      <c r="D229" s="1308"/>
      <c r="E229" s="1308"/>
      <c r="F229" s="1309"/>
      <c r="G229" s="1309"/>
      <c r="H229" s="1309"/>
      <c r="I229" s="1309"/>
      <c r="J229" s="1309"/>
      <c r="K229" s="1309"/>
      <c r="L229" s="1308"/>
      <c r="M229" s="1308"/>
      <c r="N229" s="1308"/>
      <c r="O229" s="1308"/>
    </row>
    <row r="230" spans="1:15">
      <c r="A230" s="1308"/>
      <c r="B230" s="1308"/>
      <c r="C230" s="1308"/>
      <c r="D230" s="1308"/>
      <c r="E230" s="1308"/>
      <c r="F230" s="1309"/>
      <c r="G230" s="1309"/>
      <c r="H230" s="1309"/>
      <c r="I230" s="1309"/>
      <c r="J230" s="1309"/>
      <c r="K230" s="1309"/>
      <c r="L230" s="1308"/>
      <c r="M230" s="1308"/>
      <c r="N230" s="1308"/>
      <c r="O230" s="1308"/>
    </row>
    <row r="231" spans="1:15">
      <c r="A231" s="1308"/>
      <c r="B231" s="1308"/>
      <c r="C231" s="1308"/>
      <c r="D231" s="1308"/>
      <c r="E231" s="1308"/>
      <c r="F231" s="1309"/>
      <c r="G231" s="1309"/>
      <c r="H231" s="1309"/>
      <c r="I231" s="1309"/>
      <c r="J231" s="1309"/>
      <c r="K231" s="1309"/>
      <c r="L231" s="1308"/>
      <c r="M231" s="1308"/>
      <c r="N231" s="1308"/>
      <c r="O231" s="1308"/>
    </row>
    <row r="232" spans="1:15">
      <c r="A232" s="1308"/>
      <c r="B232" s="1308"/>
      <c r="C232" s="1308"/>
      <c r="D232" s="1308"/>
      <c r="E232" s="1308"/>
      <c r="F232" s="1309"/>
      <c r="G232" s="1309"/>
      <c r="H232" s="1309"/>
      <c r="I232" s="1309"/>
      <c r="J232" s="1309"/>
      <c r="K232" s="1309"/>
      <c r="L232" s="1308"/>
      <c r="M232" s="1308"/>
      <c r="N232" s="1308"/>
      <c r="O232" s="1308"/>
    </row>
    <row r="233" spans="1:15">
      <c r="A233" s="1308"/>
      <c r="B233" s="1308"/>
      <c r="C233" s="1308"/>
      <c r="D233" s="1308"/>
      <c r="E233" s="1308"/>
      <c r="F233" s="1309"/>
      <c r="G233" s="1309"/>
      <c r="H233" s="1309"/>
      <c r="I233" s="1309"/>
      <c r="J233" s="1309"/>
      <c r="K233" s="1309"/>
      <c r="L233" s="1308"/>
      <c r="M233" s="1308"/>
      <c r="N233" s="1308"/>
      <c r="O233" s="1308"/>
    </row>
    <row r="234" spans="1:15">
      <c r="A234" s="1308"/>
      <c r="B234" s="1308"/>
      <c r="C234" s="1308"/>
      <c r="D234" s="1308"/>
      <c r="E234" s="1308"/>
      <c r="F234" s="1309"/>
      <c r="G234" s="1309"/>
      <c r="H234" s="1309"/>
      <c r="I234" s="1309"/>
      <c r="J234" s="1309"/>
      <c r="K234" s="1309"/>
      <c r="L234" s="1308"/>
      <c r="M234" s="1308"/>
      <c r="N234" s="1308"/>
      <c r="O234" s="1308"/>
    </row>
    <row r="235" spans="1:15">
      <c r="A235" s="1308"/>
      <c r="B235" s="1308"/>
      <c r="C235" s="1308"/>
      <c r="D235" s="1308"/>
      <c r="E235" s="1308"/>
      <c r="F235" s="1309"/>
      <c r="G235" s="1309"/>
      <c r="H235" s="1309"/>
      <c r="I235" s="1309"/>
      <c r="J235" s="1309"/>
      <c r="K235" s="1309"/>
      <c r="L235" s="1308"/>
      <c r="M235" s="1308"/>
      <c r="N235" s="1308"/>
      <c r="O235" s="1308"/>
    </row>
    <row r="236" spans="1:15">
      <c r="A236" s="1308"/>
      <c r="B236" s="1308"/>
      <c r="C236" s="1308"/>
      <c r="D236" s="1308"/>
      <c r="E236" s="1308"/>
      <c r="F236" s="1309"/>
      <c r="G236" s="1309"/>
      <c r="H236" s="1309"/>
      <c r="I236" s="1309"/>
      <c r="J236" s="1309"/>
      <c r="K236" s="1309"/>
      <c r="L236" s="1308"/>
      <c r="M236" s="1308"/>
      <c r="N236" s="1308"/>
      <c r="O236" s="1308"/>
    </row>
    <row r="237" spans="1:15">
      <c r="A237" s="1308"/>
      <c r="B237" s="1308"/>
      <c r="C237" s="1308"/>
      <c r="D237" s="1308"/>
      <c r="E237" s="1308"/>
      <c r="F237" s="1309"/>
      <c r="G237" s="1309"/>
      <c r="H237" s="1309"/>
      <c r="I237" s="1309"/>
      <c r="J237" s="1309"/>
      <c r="K237" s="1309"/>
      <c r="L237" s="1308"/>
      <c r="M237" s="1308"/>
      <c r="N237" s="1308"/>
      <c r="O237" s="1308"/>
    </row>
    <row r="238" spans="1:15">
      <c r="A238" s="1308"/>
      <c r="B238" s="1308"/>
      <c r="C238" s="1308"/>
      <c r="D238" s="1308"/>
      <c r="E238" s="1308"/>
      <c r="F238" s="1309"/>
      <c r="G238" s="1309"/>
      <c r="H238" s="1309"/>
      <c r="I238" s="1309"/>
      <c r="J238" s="1309"/>
      <c r="K238" s="1309"/>
      <c r="L238" s="1308"/>
      <c r="M238" s="1308"/>
      <c r="N238" s="1308"/>
      <c r="O238" s="1308"/>
    </row>
    <row r="239" spans="1:15">
      <c r="A239" s="1308"/>
      <c r="B239" s="1308"/>
      <c r="C239" s="1308"/>
      <c r="D239" s="1308"/>
      <c r="E239" s="1308"/>
      <c r="F239" s="1309"/>
      <c r="G239" s="1309"/>
      <c r="H239" s="1309"/>
      <c r="I239" s="1309"/>
      <c r="J239" s="1309"/>
      <c r="K239" s="1309"/>
      <c r="L239" s="1308"/>
      <c r="M239" s="1308"/>
      <c r="N239" s="1308"/>
      <c r="O239" s="1308"/>
    </row>
    <row r="240" spans="1:15">
      <c r="A240" s="1308"/>
      <c r="B240" s="1308"/>
      <c r="C240" s="1308"/>
      <c r="D240" s="1308"/>
      <c r="E240" s="1308"/>
      <c r="F240" s="1309"/>
      <c r="G240" s="1309"/>
      <c r="H240" s="1309"/>
      <c r="I240" s="1309"/>
      <c r="J240" s="1309"/>
      <c r="K240" s="1309"/>
      <c r="L240" s="1308"/>
      <c r="M240" s="1308"/>
      <c r="N240" s="1308"/>
      <c r="O240" s="1308"/>
    </row>
    <row r="241" spans="1:15">
      <c r="A241" s="1308"/>
      <c r="B241" s="1308"/>
      <c r="C241" s="1308"/>
      <c r="D241" s="1308"/>
      <c r="E241" s="1308"/>
      <c r="F241" s="1309"/>
      <c r="G241" s="1309"/>
      <c r="H241" s="1309"/>
      <c r="I241" s="1309"/>
      <c r="J241" s="1309"/>
      <c r="K241" s="1309"/>
      <c r="L241" s="1308"/>
      <c r="M241" s="1308"/>
      <c r="N241" s="1308"/>
      <c r="O241" s="1308"/>
    </row>
    <row r="242" spans="1:15">
      <c r="A242" s="1308"/>
      <c r="B242" s="1308"/>
      <c r="C242" s="1308"/>
      <c r="D242" s="1308"/>
      <c r="E242" s="1308"/>
      <c r="F242" s="1309"/>
      <c r="G242" s="1309"/>
      <c r="H242" s="1309"/>
      <c r="I242" s="1309"/>
      <c r="J242" s="1309"/>
      <c r="K242" s="1309"/>
      <c r="L242" s="1308"/>
      <c r="M242" s="1308"/>
      <c r="N242" s="1308"/>
      <c r="O242" s="1308"/>
    </row>
    <row r="243" spans="1:15">
      <c r="A243" s="1308"/>
      <c r="B243" s="1308"/>
      <c r="C243" s="1308"/>
      <c r="D243" s="1308"/>
      <c r="E243" s="1308"/>
      <c r="F243" s="1309"/>
      <c r="G243" s="1309"/>
      <c r="H243" s="1309"/>
      <c r="I243" s="1309"/>
      <c r="J243" s="1309"/>
      <c r="K243" s="1309"/>
      <c r="L243" s="1308"/>
      <c r="M243" s="1308"/>
      <c r="N243" s="1308"/>
      <c r="O243" s="1308"/>
    </row>
    <row r="244" spans="1:15">
      <c r="A244" s="1308"/>
      <c r="B244" s="1308"/>
      <c r="C244" s="1308"/>
      <c r="D244" s="1308"/>
      <c r="E244" s="1308"/>
      <c r="F244" s="1309"/>
      <c r="G244" s="1309"/>
      <c r="H244" s="1309"/>
      <c r="I244" s="1309"/>
      <c r="J244" s="1309"/>
      <c r="K244" s="1309"/>
      <c r="L244" s="1308"/>
      <c r="M244" s="1308"/>
      <c r="N244" s="1308"/>
      <c r="O244" s="1308"/>
    </row>
    <row r="245" spans="1:15">
      <c r="A245" s="1308"/>
      <c r="B245" s="1308"/>
      <c r="C245" s="1308"/>
      <c r="D245" s="1308"/>
      <c r="E245" s="1308"/>
      <c r="F245" s="1309"/>
      <c r="G245" s="1309"/>
      <c r="H245" s="1309"/>
      <c r="I245" s="1309"/>
      <c r="J245" s="1309"/>
      <c r="K245" s="1309"/>
      <c r="L245" s="1308"/>
      <c r="M245" s="1308"/>
      <c r="N245" s="1308"/>
      <c r="O245" s="1308"/>
    </row>
    <row r="246" spans="1:15">
      <c r="A246" s="1308"/>
      <c r="B246" s="1308"/>
      <c r="C246" s="1308"/>
      <c r="D246" s="1308"/>
      <c r="E246" s="1308"/>
      <c r="F246" s="1309"/>
      <c r="G246" s="1309"/>
      <c r="H246" s="1309"/>
      <c r="I246" s="1309"/>
      <c r="J246" s="1309"/>
      <c r="K246" s="1309"/>
      <c r="L246" s="1308"/>
      <c r="M246" s="1308"/>
      <c r="N246" s="1308"/>
      <c r="O246" s="1308"/>
    </row>
    <row r="247" spans="1:15">
      <c r="A247" s="1308"/>
      <c r="B247" s="1308"/>
      <c r="C247" s="1308"/>
      <c r="D247" s="1308"/>
      <c r="E247" s="1308"/>
      <c r="F247" s="1309"/>
      <c r="G247" s="1309"/>
      <c r="H247" s="1309"/>
      <c r="I247" s="1309"/>
      <c r="J247" s="1309"/>
      <c r="K247" s="1309"/>
      <c r="L247" s="1308"/>
      <c r="M247" s="1308"/>
      <c r="N247" s="1308"/>
      <c r="O247" s="1308"/>
    </row>
    <row r="248" spans="1:15">
      <c r="A248" s="1308"/>
      <c r="B248" s="1308"/>
      <c r="C248" s="1308"/>
      <c r="D248" s="1308"/>
      <c r="E248" s="1308"/>
      <c r="F248" s="1309"/>
      <c r="G248" s="1309"/>
      <c r="H248" s="1309"/>
      <c r="I248" s="1309"/>
      <c r="J248" s="1309"/>
      <c r="K248" s="1309"/>
      <c r="L248" s="1308"/>
      <c r="M248" s="1308"/>
      <c r="N248" s="1308"/>
      <c r="O248" s="1308"/>
    </row>
    <row r="249" spans="1:15">
      <c r="A249" s="1308"/>
      <c r="B249" s="1308"/>
      <c r="C249" s="1308"/>
      <c r="D249" s="1308"/>
      <c r="E249" s="1308"/>
      <c r="F249" s="1309"/>
      <c r="G249" s="1309"/>
      <c r="H249" s="1309"/>
      <c r="I249" s="1309"/>
      <c r="J249" s="1309"/>
      <c r="K249" s="1309"/>
      <c r="L249" s="1308"/>
      <c r="M249" s="1308"/>
      <c r="N249" s="1308"/>
      <c r="O249" s="1308"/>
    </row>
    <row r="250" spans="1:15">
      <c r="A250" s="1308"/>
      <c r="B250" s="1308"/>
      <c r="C250" s="1308"/>
      <c r="D250" s="1308"/>
      <c r="E250" s="1308"/>
      <c r="F250" s="1309"/>
      <c r="G250" s="1309"/>
      <c r="H250" s="1309"/>
      <c r="I250" s="1309"/>
      <c r="J250" s="1309"/>
      <c r="K250" s="1309"/>
      <c r="L250" s="1308"/>
      <c r="M250" s="1308"/>
      <c r="N250" s="1308"/>
      <c r="O250" s="1308"/>
    </row>
    <row r="251" spans="1:15">
      <c r="A251" s="1308"/>
      <c r="B251" s="1308"/>
      <c r="C251" s="1308"/>
      <c r="D251" s="1308"/>
      <c r="E251" s="1308"/>
      <c r="F251" s="1309"/>
      <c r="G251" s="1309"/>
      <c r="H251" s="1309"/>
      <c r="I251" s="1309"/>
      <c r="J251" s="1309"/>
      <c r="K251" s="1309"/>
      <c r="L251" s="1308"/>
      <c r="M251" s="1308"/>
      <c r="N251" s="1308"/>
      <c r="O251" s="1308"/>
    </row>
    <row r="252" spans="1:15">
      <c r="A252" s="1308"/>
      <c r="B252" s="1308"/>
      <c r="C252" s="1308"/>
      <c r="D252" s="1308"/>
      <c r="E252" s="1308"/>
      <c r="F252" s="1309"/>
      <c r="G252" s="1309"/>
      <c r="H252" s="1309"/>
      <c r="I252" s="1309"/>
      <c r="J252" s="1309"/>
      <c r="K252" s="1309"/>
      <c r="L252" s="1308"/>
      <c r="M252" s="1308"/>
      <c r="N252" s="1308"/>
      <c r="O252" s="1308"/>
    </row>
    <row r="253" spans="1:15">
      <c r="A253" s="1308"/>
      <c r="B253" s="1308"/>
      <c r="C253" s="1308"/>
      <c r="D253" s="1308"/>
      <c r="E253" s="1308"/>
      <c r="F253" s="1309"/>
      <c r="G253" s="1309"/>
      <c r="H253" s="1309"/>
      <c r="I253" s="1309"/>
      <c r="J253" s="1309"/>
      <c r="K253" s="1309"/>
      <c r="L253" s="1308"/>
      <c r="M253" s="1308"/>
      <c r="N253" s="1308"/>
      <c r="O253" s="1308"/>
    </row>
    <row r="254" spans="1:15">
      <c r="A254" s="1308"/>
      <c r="B254" s="1308"/>
      <c r="C254" s="1308"/>
      <c r="D254" s="1308"/>
      <c r="E254" s="1308"/>
      <c r="F254" s="1309"/>
      <c r="G254" s="1309"/>
      <c r="H254" s="1309"/>
      <c r="I254" s="1309"/>
      <c r="J254" s="1309"/>
      <c r="K254" s="1309"/>
      <c r="L254" s="1308"/>
      <c r="M254" s="1308"/>
      <c r="N254" s="1308"/>
      <c r="O254" s="1308"/>
    </row>
    <row r="255" spans="1:15">
      <c r="A255" s="1308"/>
      <c r="B255" s="1308"/>
      <c r="C255" s="1308"/>
      <c r="D255" s="1308"/>
      <c r="E255" s="1308"/>
      <c r="F255" s="1309"/>
      <c r="G255" s="1309"/>
      <c r="H255" s="1309"/>
      <c r="I255" s="1309"/>
      <c r="J255" s="1309"/>
      <c r="K255" s="1309"/>
      <c r="L255" s="1308"/>
      <c r="M255" s="1308"/>
      <c r="N255" s="1308"/>
      <c r="O255" s="1308"/>
    </row>
    <row r="256" spans="1:15">
      <c r="A256" s="1308"/>
      <c r="B256" s="1308"/>
      <c r="C256" s="1308"/>
      <c r="D256" s="1308"/>
      <c r="E256" s="1308"/>
      <c r="F256" s="1309"/>
      <c r="G256" s="1309"/>
      <c r="H256" s="1309"/>
      <c r="I256" s="1309"/>
      <c r="J256" s="1309"/>
      <c r="K256" s="1309"/>
      <c r="L256" s="1308"/>
      <c r="M256" s="1308"/>
      <c r="N256" s="1308"/>
      <c r="O256" s="1308"/>
    </row>
    <row r="257" spans="1:15">
      <c r="A257" s="1308"/>
      <c r="B257" s="1308"/>
      <c r="C257" s="1308"/>
      <c r="D257" s="1308"/>
      <c r="E257" s="1308"/>
      <c r="F257" s="1309"/>
      <c r="G257" s="1309"/>
      <c r="H257" s="1309"/>
      <c r="I257" s="1309"/>
      <c r="J257" s="1309"/>
      <c r="K257" s="1309"/>
      <c r="L257" s="1308"/>
      <c r="M257" s="1308"/>
      <c r="N257" s="1308"/>
      <c r="O257" s="1308"/>
    </row>
    <row r="258" spans="1:15">
      <c r="A258" s="1308"/>
      <c r="B258" s="1308"/>
      <c r="C258" s="1308"/>
      <c r="D258" s="1308"/>
      <c r="E258" s="1308"/>
      <c r="F258" s="1309"/>
      <c r="G258" s="1309"/>
      <c r="H258" s="1309"/>
      <c r="I258" s="1309"/>
      <c r="J258" s="1309"/>
      <c r="K258" s="1309"/>
      <c r="L258" s="1308"/>
      <c r="M258" s="1308"/>
      <c r="N258" s="1308"/>
      <c r="O258" s="1308"/>
    </row>
    <row r="259" spans="1:15">
      <c r="A259" s="1308"/>
      <c r="B259" s="1308"/>
      <c r="C259" s="1308"/>
      <c r="D259" s="1308"/>
      <c r="E259" s="1308"/>
      <c r="F259" s="1309"/>
      <c r="G259" s="1309"/>
      <c r="H259" s="1309"/>
      <c r="I259" s="1309"/>
      <c r="J259" s="1309"/>
      <c r="K259" s="1309"/>
      <c r="L259" s="1308"/>
      <c r="M259" s="1308"/>
      <c r="N259" s="1308"/>
      <c r="O259" s="1308"/>
    </row>
    <row r="260" spans="1:15">
      <c r="A260" s="1308"/>
      <c r="B260" s="1308"/>
      <c r="C260" s="1308"/>
      <c r="D260" s="1308"/>
      <c r="E260" s="1308"/>
      <c r="F260" s="1309"/>
      <c r="G260" s="1309"/>
      <c r="H260" s="1309"/>
      <c r="I260" s="1309"/>
      <c r="J260" s="1309"/>
      <c r="K260" s="1309"/>
      <c r="L260" s="1308"/>
      <c r="M260" s="1308"/>
      <c r="N260" s="1308"/>
      <c r="O260" s="1308"/>
    </row>
    <row r="261" spans="1:15">
      <c r="A261" s="1308"/>
      <c r="B261" s="1308"/>
      <c r="C261" s="1308"/>
      <c r="D261" s="1308"/>
      <c r="E261" s="1308"/>
      <c r="F261" s="1309"/>
      <c r="G261" s="1309"/>
      <c r="H261" s="1309"/>
      <c r="I261" s="1309"/>
      <c r="J261" s="1309"/>
      <c r="K261" s="1309"/>
      <c r="L261" s="1308"/>
      <c r="M261" s="1308"/>
      <c r="N261" s="1308"/>
      <c r="O261" s="1308"/>
    </row>
    <row r="262" spans="1:15">
      <c r="A262" s="1308"/>
      <c r="B262" s="1308"/>
      <c r="C262" s="1308"/>
      <c r="D262" s="1308"/>
      <c r="E262" s="1308"/>
      <c r="F262" s="1309"/>
      <c r="G262" s="1309"/>
      <c r="H262" s="1309"/>
      <c r="I262" s="1309"/>
      <c r="J262" s="1309"/>
      <c r="K262" s="1309"/>
      <c r="L262" s="1308"/>
      <c r="M262" s="1308"/>
      <c r="N262" s="1308"/>
      <c r="O262" s="1308"/>
    </row>
    <row r="263" spans="1:15">
      <c r="A263" s="1308"/>
      <c r="B263" s="1308"/>
      <c r="C263" s="1308"/>
      <c r="D263" s="1308"/>
      <c r="E263" s="1308"/>
      <c r="F263" s="1309"/>
      <c r="G263" s="1309"/>
      <c r="H263" s="1309"/>
      <c r="I263" s="1309"/>
      <c r="J263" s="1309"/>
      <c r="K263" s="1309"/>
      <c r="L263" s="1308"/>
      <c r="M263" s="1308"/>
      <c r="N263" s="1308"/>
      <c r="O263" s="1308"/>
    </row>
    <row r="264" spans="1:15">
      <c r="A264" s="1308"/>
      <c r="B264" s="1308"/>
      <c r="C264" s="1308"/>
      <c r="D264" s="1308"/>
      <c r="E264" s="1308"/>
      <c r="F264" s="1309"/>
      <c r="G264" s="1309"/>
      <c r="H264" s="1309"/>
      <c r="I264" s="1309"/>
      <c r="J264" s="1309"/>
      <c r="K264" s="1309"/>
      <c r="L264" s="1308"/>
      <c r="M264" s="1308"/>
      <c r="N264" s="1308"/>
      <c r="O264" s="1308"/>
    </row>
    <row r="265" spans="1:15">
      <c r="A265" s="1308"/>
      <c r="B265" s="1308"/>
      <c r="C265" s="1308"/>
      <c r="D265" s="1308"/>
      <c r="E265" s="1308"/>
      <c r="F265" s="1309"/>
      <c r="G265" s="1309"/>
      <c r="H265" s="1309"/>
      <c r="I265" s="1309"/>
      <c r="J265" s="1309"/>
      <c r="K265" s="1309"/>
      <c r="L265" s="1308"/>
      <c r="M265" s="1308"/>
      <c r="N265" s="1308"/>
      <c r="O265" s="1308"/>
    </row>
    <row r="266" spans="1:15">
      <c r="A266" s="1308"/>
      <c r="B266" s="1308"/>
      <c r="C266" s="1308"/>
      <c r="D266" s="1308"/>
      <c r="E266" s="1308"/>
      <c r="F266" s="1309"/>
      <c r="G266" s="1309"/>
      <c r="H266" s="1309"/>
      <c r="I266" s="1309"/>
      <c r="J266" s="1309"/>
      <c r="K266" s="1309"/>
      <c r="L266" s="1308"/>
      <c r="M266" s="1308"/>
      <c r="N266" s="1308"/>
      <c r="O266" s="1308"/>
    </row>
    <row r="267" spans="1:15">
      <c r="A267" s="1308"/>
      <c r="B267" s="1308"/>
      <c r="C267" s="1308"/>
      <c r="D267" s="1308"/>
      <c r="E267" s="1308"/>
      <c r="F267" s="1309"/>
      <c r="G267" s="1309"/>
      <c r="H267" s="1309"/>
      <c r="I267" s="1309"/>
      <c r="J267" s="1309"/>
      <c r="K267" s="1309"/>
      <c r="L267" s="1308"/>
      <c r="M267" s="1308"/>
      <c r="N267" s="1308"/>
      <c r="O267" s="1308"/>
    </row>
    <row r="268" spans="1:15">
      <c r="A268" s="1308"/>
      <c r="B268" s="1308"/>
      <c r="C268" s="1308"/>
      <c r="D268" s="1308"/>
      <c r="E268" s="1308"/>
      <c r="F268" s="1309"/>
      <c r="G268" s="1309"/>
      <c r="H268" s="1309"/>
      <c r="I268" s="1309"/>
      <c r="J268" s="1309"/>
      <c r="K268" s="1309"/>
      <c r="L268" s="1308"/>
      <c r="M268" s="1308"/>
      <c r="N268" s="1308"/>
      <c r="O268" s="1308"/>
    </row>
    <row r="269" spans="1:15">
      <c r="A269" s="1308"/>
      <c r="B269" s="1308"/>
      <c r="C269" s="1308"/>
      <c r="D269" s="1308"/>
      <c r="E269" s="1308"/>
      <c r="F269" s="1309"/>
      <c r="G269" s="1309"/>
      <c r="H269" s="1309"/>
      <c r="I269" s="1309"/>
      <c r="J269" s="1309"/>
      <c r="K269" s="1309"/>
      <c r="L269" s="1308"/>
      <c r="M269" s="1308"/>
      <c r="N269" s="1308"/>
      <c r="O269" s="1308"/>
    </row>
    <row r="270" spans="1:15">
      <c r="A270" s="1308"/>
      <c r="B270" s="1308"/>
      <c r="C270" s="1308"/>
      <c r="D270" s="1308"/>
      <c r="E270" s="1308"/>
      <c r="F270" s="1309"/>
      <c r="G270" s="1309"/>
      <c r="H270" s="1309"/>
      <c r="I270" s="1309"/>
      <c r="J270" s="1309"/>
      <c r="K270" s="1309"/>
      <c r="L270" s="1308"/>
      <c r="M270" s="1308"/>
      <c r="N270" s="1308"/>
      <c r="O270" s="1308"/>
    </row>
    <row r="271" spans="1:15">
      <c r="A271" s="1308"/>
      <c r="B271" s="1308"/>
      <c r="C271" s="1308"/>
      <c r="D271" s="1308"/>
      <c r="E271" s="1308"/>
      <c r="F271" s="1309"/>
      <c r="G271" s="1309"/>
      <c r="H271" s="1309"/>
      <c r="I271" s="1309"/>
      <c r="J271" s="1309"/>
      <c r="K271" s="1309"/>
      <c r="L271" s="1308"/>
      <c r="M271" s="1308"/>
      <c r="N271" s="1308"/>
      <c r="O271" s="1308"/>
    </row>
    <row r="272" spans="1:15">
      <c r="A272" s="1308"/>
      <c r="B272" s="1308"/>
      <c r="C272" s="1308"/>
      <c r="D272" s="1308"/>
      <c r="E272" s="1308"/>
      <c r="F272" s="1309"/>
      <c r="G272" s="1309"/>
      <c r="H272" s="1309"/>
      <c r="I272" s="1309"/>
      <c r="J272" s="1309"/>
      <c r="K272" s="1309"/>
      <c r="L272" s="1308"/>
      <c r="M272" s="1308"/>
      <c r="N272" s="1308"/>
      <c r="O272" s="1308"/>
    </row>
    <row r="273" spans="1:15">
      <c r="A273" s="1308"/>
      <c r="B273" s="1308"/>
      <c r="C273" s="1308"/>
      <c r="D273" s="1308"/>
      <c r="E273" s="1308"/>
      <c r="F273" s="1309"/>
      <c r="G273" s="1309"/>
      <c r="H273" s="1309"/>
      <c r="I273" s="1309"/>
      <c r="J273" s="1309"/>
      <c r="K273" s="1309"/>
      <c r="L273" s="1308"/>
      <c r="M273" s="1308"/>
      <c r="N273" s="1308"/>
      <c r="O273" s="1308"/>
    </row>
    <row r="274" spans="1:15">
      <c r="A274" s="1308"/>
      <c r="B274" s="1308"/>
      <c r="C274" s="1308"/>
      <c r="D274" s="1308"/>
      <c r="E274" s="1308"/>
      <c r="F274" s="1309"/>
      <c r="G274" s="1309"/>
      <c r="H274" s="1309"/>
      <c r="I274" s="1309"/>
      <c r="J274" s="1309"/>
      <c r="K274" s="1309"/>
      <c r="L274" s="1308"/>
      <c r="M274" s="1308"/>
      <c r="N274" s="1308"/>
      <c r="O274" s="1308"/>
    </row>
    <row r="275" spans="1:15">
      <c r="A275" s="1308"/>
      <c r="B275" s="1308"/>
      <c r="C275" s="1308"/>
      <c r="D275" s="1308"/>
      <c r="E275" s="1308"/>
      <c r="F275" s="1309"/>
      <c r="G275" s="1309"/>
      <c r="H275" s="1309"/>
      <c r="I275" s="1309"/>
      <c r="J275" s="1309"/>
      <c r="K275" s="1309"/>
      <c r="L275" s="1308"/>
      <c r="M275" s="1308"/>
      <c r="N275" s="1308"/>
      <c r="O275" s="1308"/>
    </row>
    <row r="276" spans="1:15">
      <c r="A276" s="1308"/>
      <c r="B276" s="1308"/>
      <c r="C276" s="1308"/>
      <c r="D276" s="1308"/>
      <c r="E276" s="1308"/>
      <c r="F276" s="1309"/>
      <c r="G276" s="1309"/>
      <c r="H276" s="1309"/>
      <c r="I276" s="1309"/>
      <c r="J276" s="1309"/>
      <c r="K276" s="1309"/>
      <c r="L276" s="1308"/>
      <c r="M276" s="1308"/>
      <c r="N276" s="1308"/>
      <c r="O276" s="1308"/>
    </row>
    <row r="277" spans="1:15">
      <c r="A277" s="1308"/>
      <c r="B277" s="1308"/>
      <c r="C277" s="1308"/>
      <c r="D277" s="1308"/>
      <c r="E277" s="1308"/>
      <c r="F277" s="1309"/>
      <c r="G277" s="1309"/>
      <c r="H277" s="1309"/>
      <c r="I277" s="1309"/>
      <c r="J277" s="1309"/>
      <c r="K277" s="1309"/>
      <c r="L277" s="1308"/>
      <c r="M277" s="1308"/>
      <c r="N277" s="1308"/>
      <c r="O277" s="1308"/>
    </row>
    <row r="278" spans="1:15">
      <c r="A278" s="1308"/>
      <c r="B278" s="1308"/>
      <c r="C278" s="1308"/>
      <c r="D278" s="1308"/>
      <c r="E278" s="1308"/>
      <c r="F278" s="1309"/>
      <c r="G278" s="1309"/>
      <c r="H278" s="1309"/>
      <c r="I278" s="1309"/>
      <c r="J278" s="1309"/>
      <c r="K278" s="1309"/>
      <c r="L278" s="1308"/>
      <c r="M278" s="1308"/>
      <c r="N278" s="1308"/>
      <c r="O278" s="1308"/>
    </row>
    <row r="279" spans="1:15">
      <c r="A279" s="1308"/>
      <c r="B279" s="1308"/>
      <c r="C279" s="1308"/>
      <c r="D279" s="1308"/>
      <c r="E279" s="1308"/>
      <c r="F279" s="1309"/>
      <c r="G279" s="1309"/>
      <c r="H279" s="1309"/>
      <c r="I279" s="1309"/>
      <c r="J279" s="1309"/>
      <c r="K279" s="1309"/>
      <c r="L279" s="1308"/>
      <c r="M279" s="1308"/>
      <c r="N279" s="1308"/>
      <c r="O279" s="1308"/>
    </row>
    <row r="280" spans="1:15">
      <c r="A280" s="1308"/>
      <c r="B280" s="1308"/>
      <c r="C280" s="1308"/>
      <c r="D280" s="1308"/>
      <c r="E280" s="1308"/>
      <c r="F280" s="1309"/>
      <c r="G280" s="1309"/>
      <c r="H280" s="1309"/>
      <c r="I280" s="1309"/>
      <c r="J280" s="1309"/>
      <c r="K280" s="1309"/>
      <c r="L280" s="1308"/>
      <c r="M280" s="1308"/>
      <c r="N280" s="1308"/>
      <c r="O280" s="1308"/>
    </row>
    <row r="281" spans="1:15">
      <c r="A281" s="1308"/>
      <c r="B281" s="1308"/>
      <c r="C281" s="1308"/>
      <c r="D281" s="1308"/>
      <c r="E281" s="1308"/>
      <c r="F281" s="1309"/>
      <c r="G281" s="1309"/>
      <c r="H281" s="1309"/>
      <c r="I281" s="1309"/>
      <c r="J281" s="1309"/>
      <c r="K281" s="1309"/>
      <c r="L281" s="1308"/>
      <c r="M281" s="1308"/>
      <c r="N281" s="1308"/>
      <c r="O281" s="1308"/>
    </row>
    <row r="282" spans="1:15">
      <c r="A282" s="1308"/>
      <c r="B282" s="1308"/>
      <c r="C282" s="1308"/>
      <c r="D282" s="1308"/>
      <c r="E282" s="1308"/>
      <c r="F282" s="1309"/>
      <c r="G282" s="1309"/>
      <c r="H282" s="1309"/>
      <c r="I282" s="1309"/>
      <c r="J282" s="1309"/>
      <c r="K282" s="1309"/>
      <c r="L282" s="1308"/>
      <c r="M282" s="1308"/>
      <c r="N282" s="1308"/>
      <c r="O282" s="1308"/>
    </row>
    <row r="283" spans="1:15">
      <c r="A283" s="1308"/>
      <c r="B283" s="1308"/>
      <c r="C283" s="1308"/>
      <c r="D283" s="1308"/>
      <c r="E283" s="1308"/>
      <c r="F283" s="1309"/>
      <c r="G283" s="1309"/>
      <c r="H283" s="1309"/>
      <c r="I283" s="1309"/>
      <c r="J283" s="1309"/>
      <c r="K283" s="1309"/>
      <c r="L283" s="1308"/>
      <c r="M283" s="1308"/>
      <c r="N283" s="1308"/>
      <c r="O283" s="1308"/>
    </row>
    <row r="284" spans="1:15">
      <c r="A284" s="1308"/>
      <c r="B284" s="1308"/>
      <c r="C284" s="1308"/>
      <c r="D284" s="1308"/>
      <c r="E284" s="1308"/>
      <c r="F284" s="1309"/>
      <c r="G284" s="1309"/>
      <c r="H284" s="1309"/>
      <c r="I284" s="1309"/>
      <c r="J284" s="1309"/>
      <c r="K284" s="1309"/>
      <c r="L284" s="1308"/>
      <c r="M284" s="1308"/>
      <c r="N284" s="1308"/>
      <c r="O284" s="1308"/>
    </row>
    <row r="285" spans="1:15">
      <c r="A285" s="1308"/>
      <c r="B285" s="1308"/>
      <c r="C285" s="1308"/>
      <c r="D285" s="1308"/>
      <c r="E285" s="1308"/>
      <c r="F285" s="1309"/>
      <c r="G285" s="1309"/>
      <c r="H285" s="1309"/>
      <c r="I285" s="1309"/>
      <c r="J285" s="1309"/>
      <c r="K285" s="1309"/>
      <c r="L285" s="1308"/>
      <c r="M285" s="1308"/>
      <c r="N285" s="1308"/>
      <c r="O285" s="1308"/>
    </row>
    <row r="286" spans="1:15">
      <c r="A286" s="1308"/>
      <c r="B286" s="1308"/>
      <c r="C286" s="1308"/>
      <c r="D286" s="1308"/>
      <c r="E286" s="1308"/>
      <c r="F286" s="1309"/>
      <c r="G286" s="1309"/>
      <c r="H286" s="1309"/>
      <c r="I286" s="1309"/>
      <c r="J286" s="1309"/>
      <c r="K286" s="1309"/>
      <c r="L286" s="1308"/>
      <c r="M286" s="1308"/>
      <c r="N286" s="1308"/>
      <c r="O286" s="1308"/>
    </row>
    <row r="287" spans="1:15">
      <c r="A287" s="1308"/>
      <c r="B287" s="1308"/>
      <c r="C287" s="1308"/>
      <c r="D287" s="1308"/>
      <c r="E287" s="1308"/>
      <c r="F287" s="1309"/>
      <c r="G287" s="1309"/>
      <c r="H287" s="1309"/>
      <c r="I287" s="1309"/>
      <c r="J287" s="1309"/>
      <c r="K287" s="1309"/>
      <c r="L287" s="1308"/>
      <c r="M287" s="1308"/>
      <c r="N287" s="1308"/>
      <c r="O287" s="1308"/>
    </row>
    <row r="288" spans="1:15">
      <c r="A288" s="1308"/>
      <c r="B288" s="1308"/>
      <c r="C288" s="1308"/>
      <c r="D288" s="1308"/>
      <c r="E288" s="1308"/>
      <c r="F288" s="1309"/>
      <c r="G288" s="1309"/>
      <c r="H288" s="1309"/>
      <c r="I288" s="1309"/>
      <c r="J288" s="1309"/>
      <c r="K288" s="1309"/>
      <c r="L288" s="1308"/>
      <c r="M288" s="1308"/>
      <c r="N288" s="1308"/>
      <c r="O288" s="1308"/>
    </row>
    <row r="289" spans="1:15">
      <c r="A289" s="1308"/>
      <c r="B289" s="1308"/>
      <c r="C289" s="1308"/>
      <c r="D289" s="1308"/>
      <c r="E289" s="1308"/>
      <c r="F289" s="1309"/>
      <c r="G289" s="1309"/>
      <c r="H289" s="1309"/>
      <c r="I289" s="1309"/>
      <c r="J289" s="1309"/>
      <c r="K289" s="1309"/>
      <c r="L289" s="1308"/>
      <c r="M289" s="1308"/>
      <c r="N289" s="1308"/>
      <c r="O289" s="1308"/>
    </row>
    <row r="290" spans="1:15">
      <c r="A290" s="1308"/>
      <c r="B290" s="1308"/>
      <c r="C290" s="1308"/>
      <c r="D290" s="1308"/>
      <c r="E290" s="1308"/>
      <c r="F290" s="1309"/>
      <c r="G290" s="1309"/>
      <c r="H290" s="1309"/>
      <c r="I290" s="1309"/>
      <c r="J290" s="1309"/>
      <c r="K290" s="1309"/>
      <c r="L290" s="1308"/>
      <c r="M290" s="1308"/>
      <c r="N290" s="1308"/>
      <c r="O290" s="1308"/>
    </row>
    <row r="291" spans="1:15">
      <c r="A291" s="1308"/>
      <c r="B291" s="1308"/>
      <c r="C291" s="1308"/>
      <c r="D291" s="1308"/>
      <c r="E291" s="1308"/>
      <c r="F291" s="1309"/>
      <c r="G291" s="1309"/>
      <c r="H291" s="1309"/>
      <c r="I291" s="1309"/>
      <c r="J291" s="1309"/>
      <c r="K291" s="1309"/>
      <c r="L291" s="1308"/>
      <c r="M291" s="1308"/>
      <c r="N291" s="1308"/>
      <c r="O291" s="1308"/>
    </row>
    <row r="292" spans="1:15">
      <c r="A292" s="1308"/>
      <c r="B292" s="1308"/>
      <c r="C292" s="1308"/>
      <c r="D292" s="1308"/>
      <c r="E292" s="1308"/>
      <c r="F292" s="1309"/>
      <c r="G292" s="1309"/>
      <c r="H292" s="1309"/>
      <c r="I292" s="1309"/>
      <c r="J292" s="1309"/>
      <c r="K292" s="1309"/>
      <c r="L292" s="1308"/>
      <c r="M292" s="1308"/>
      <c r="N292" s="1308"/>
      <c r="O292" s="1308"/>
    </row>
    <row r="293" spans="1:15">
      <c r="A293" s="1308"/>
      <c r="B293" s="1308"/>
      <c r="C293" s="1308"/>
      <c r="D293" s="1308"/>
      <c r="E293" s="1308"/>
      <c r="F293" s="1309"/>
      <c r="G293" s="1309"/>
      <c r="H293" s="1309"/>
      <c r="I293" s="1309"/>
      <c r="J293" s="1309"/>
      <c r="K293" s="1309"/>
      <c r="L293" s="1308"/>
      <c r="M293" s="1308"/>
      <c r="N293" s="1308"/>
      <c r="O293" s="1308"/>
    </row>
    <row r="294" spans="1:15">
      <c r="A294" s="1308"/>
      <c r="B294" s="1308"/>
      <c r="C294" s="1308"/>
      <c r="D294" s="1308"/>
      <c r="E294" s="1308"/>
      <c r="F294" s="1309"/>
      <c r="G294" s="1309"/>
      <c r="H294" s="1309"/>
      <c r="I294" s="1309"/>
      <c r="J294" s="1309"/>
      <c r="K294" s="1309"/>
      <c r="L294" s="1308"/>
      <c r="M294" s="1308"/>
      <c r="N294" s="1308"/>
      <c r="O294" s="1308"/>
    </row>
    <row r="295" spans="1:15">
      <c r="A295" s="1308"/>
      <c r="B295" s="1308"/>
      <c r="C295" s="1308"/>
      <c r="D295" s="1308"/>
      <c r="E295" s="1308"/>
      <c r="F295" s="1309"/>
      <c r="G295" s="1309"/>
      <c r="H295" s="1309"/>
      <c r="I295" s="1309"/>
      <c r="J295" s="1309"/>
      <c r="K295" s="1309"/>
      <c r="L295" s="1308"/>
      <c r="M295" s="1308"/>
      <c r="N295" s="1308"/>
      <c r="O295" s="1308"/>
    </row>
    <row r="296" spans="1:15">
      <c r="A296" s="1308"/>
      <c r="B296" s="1308"/>
      <c r="C296" s="1308"/>
      <c r="D296" s="1308"/>
      <c r="E296" s="1308"/>
      <c r="F296" s="1309"/>
      <c r="G296" s="1309"/>
      <c r="H296" s="1309"/>
      <c r="I296" s="1309"/>
      <c r="J296" s="1309"/>
      <c r="K296" s="1309"/>
      <c r="L296" s="1308"/>
      <c r="M296" s="1308"/>
      <c r="N296" s="1308"/>
      <c r="O296" s="1308"/>
    </row>
    <row r="297" spans="1:15">
      <c r="A297" s="1308"/>
      <c r="B297" s="1308"/>
      <c r="C297" s="1308"/>
      <c r="D297" s="1308"/>
      <c r="E297" s="1308"/>
      <c r="F297" s="1309"/>
      <c r="G297" s="1309"/>
      <c r="H297" s="1309"/>
      <c r="I297" s="1309"/>
      <c r="J297" s="1309"/>
      <c r="K297" s="1309"/>
      <c r="L297" s="1308"/>
      <c r="M297" s="1308"/>
      <c r="N297" s="1308"/>
      <c r="O297" s="1308"/>
    </row>
    <row r="298" spans="1:15">
      <c r="A298" s="1308"/>
      <c r="B298" s="1308"/>
      <c r="C298" s="1308"/>
      <c r="D298" s="1308"/>
      <c r="E298" s="1308"/>
      <c r="F298" s="1309"/>
      <c r="G298" s="1309"/>
      <c r="H298" s="1309"/>
      <c r="I298" s="1309"/>
      <c r="J298" s="1309"/>
      <c r="K298" s="1309"/>
      <c r="L298" s="1308"/>
      <c r="M298" s="1308"/>
      <c r="N298" s="1308"/>
      <c r="O298" s="1308"/>
    </row>
    <row r="299" spans="1:15">
      <c r="A299" s="1308"/>
      <c r="B299" s="1308"/>
      <c r="C299" s="1308"/>
      <c r="D299" s="1308"/>
      <c r="E299" s="1308"/>
      <c r="F299" s="1309"/>
      <c r="G299" s="1309"/>
      <c r="H299" s="1309"/>
      <c r="I299" s="1309"/>
      <c r="J299" s="1309"/>
      <c r="K299" s="1309"/>
      <c r="L299" s="1308"/>
      <c r="M299" s="1308"/>
      <c r="N299" s="1308"/>
      <c r="O299" s="1308"/>
    </row>
    <row r="300" spans="1:15">
      <c r="A300" s="1308"/>
      <c r="B300" s="1308"/>
      <c r="C300" s="1308"/>
      <c r="D300" s="1308"/>
      <c r="E300" s="1308"/>
      <c r="F300" s="1309"/>
      <c r="G300" s="1309"/>
      <c r="H300" s="1309"/>
      <c r="I300" s="1309"/>
      <c r="J300" s="1309"/>
      <c r="K300" s="1309"/>
      <c r="L300" s="1308"/>
      <c r="M300" s="1308"/>
      <c r="N300" s="1308"/>
      <c r="O300" s="1308"/>
    </row>
    <row r="301" spans="1:15">
      <c r="A301" s="1308"/>
      <c r="B301" s="1308"/>
      <c r="C301" s="1308"/>
      <c r="D301" s="1308"/>
      <c r="E301" s="1308"/>
      <c r="F301" s="1309"/>
      <c r="G301" s="1309"/>
      <c r="H301" s="1309"/>
      <c r="I301" s="1309"/>
      <c r="J301" s="1309"/>
      <c r="K301" s="1309"/>
      <c r="L301" s="1308"/>
      <c r="M301" s="1308"/>
      <c r="N301" s="1308"/>
      <c r="O301" s="1308"/>
    </row>
    <row r="302" spans="1:15">
      <c r="A302" s="1308"/>
      <c r="B302" s="1308"/>
      <c r="C302" s="1308"/>
      <c r="D302" s="1308"/>
      <c r="E302" s="1308"/>
      <c r="F302" s="1309"/>
      <c r="G302" s="1309"/>
      <c r="H302" s="1309"/>
      <c r="I302" s="1309"/>
      <c r="J302" s="1309"/>
      <c r="K302" s="1309"/>
      <c r="L302" s="1308"/>
      <c r="M302" s="1308"/>
      <c r="N302" s="1308"/>
      <c r="O302" s="1308"/>
    </row>
    <row r="303" spans="1:15">
      <c r="A303" s="1308"/>
      <c r="B303" s="1308"/>
      <c r="C303" s="1308"/>
      <c r="D303" s="1308"/>
      <c r="E303" s="1308"/>
      <c r="F303" s="1309"/>
      <c r="G303" s="1309"/>
      <c r="H303" s="1309"/>
      <c r="I303" s="1309"/>
      <c r="J303" s="1309"/>
      <c r="K303" s="1309"/>
      <c r="L303" s="1308"/>
      <c r="M303" s="1308"/>
      <c r="N303" s="1308"/>
      <c r="O303" s="1308"/>
    </row>
    <row r="304" spans="1:15">
      <c r="A304" s="1308"/>
      <c r="B304" s="1308"/>
      <c r="C304" s="1308"/>
      <c r="D304" s="1308"/>
      <c r="E304" s="1308"/>
      <c r="F304" s="1309"/>
      <c r="G304" s="1309"/>
      <c r="H304" s="1309"/>
      <c r="I304" s="1309"/>
      <c r="J304" s="1309"/>
      <c r="K304" s="1309"/>
      <c r="L304" s="1308"/>
      <c r="M304" s="1308"/>
      <c r="N304" s="1308"/>
      <c r="O304" s="1308"/>
    </row>
    <row r="305" spans="1:15">
      <c r="A305" s="1308"/>
      <c r="B305" s="1308"/>
      <c r="C305" s="1308"/>
      <c r="D305" s="1308"/>
      <c r="E305" s="1308"/>
      <c r="F305" s="1309"/>
      <c r="G305" s="1309"/>
      <c r="H305" s="1309"/>
      <c r="I305" s="1309"/>
      <c r="J305" s="1309"/>
      <c r="K305" s="1309"/>
      <c r="L305" s="1308"/>
      <c r="M305" s="1308"/>
      <c r="N305" s="1308"/>
      <c r="O305" s="1308"/>
    </row>
    <row r="306" spans="1:15">
      <c r="A306" s="1308"/>
      <c r="B306" s="1308"/>
      <c r="C306" s="1308"/>
      <c r="D306" s="1308"/>
      <c r="E306" s="1308"/>
      <c r="F306" s="1309"/>
      <c r="G306" s="1309"/>
      <c r="H306" s="1309"/>
      <c r="I306" s="1309"/>
      <c r="J306" s="1309"/>
      <c r="K306" s="1309"/>
      <c r="L306" s="1308"/>
      <c r="M306" s="1308"/>
      <c r="N306" s="1308"/>
      <c r="O306" s="1308"/>
    </row>
    <row r="307" spans="1:15">
      <c r="A307" s="1308"/>
      <c r="B307" s="1308"/>
      <c r="C307" s="1308"/>
      <c r="D307" s="1308"/>
      <c r="E307" s="1308"/>
      <c r="F307" s="1309"/>
      <c r="G307" s="1309"/>
      <c r="H307" s="1309"/>
      <c r="I307" s="1309"/>
      <c r="J307" s="1309"/>
      <c r="K307" s="1309"/>
      <c r="L307" s="1308"/>
      <c r="M307" s="1308"/>
      <c r="N307" s="1308"/>
      <c r="O307" s="1308"/>
    </row>
    <row r="308" spans="1:15">
      <c r="A308" s="1308"/>
      <c r="B308" s="1308"/>
      <c r="C308" s="1308"/>
      <c r="D308" s="1308"/>
      <c r="E308" s="1308"/>
      <c r="F308" s="1309"/>
      <c r="G308" s="1309"/>
      <c r="H308" s="1309"/>
      <c r="I308" s="1309"/>
      <c r="J308" s="1309"/>
      <c r="K308" s="1309"/>
      <c r="L308" s="1308"/>
      <c r="M308" s="1308"/>
      <c r="N308" s="1308"/>
      <c r="O308" s="1308"/>
    </row>
    <row r="309" spans="1:15">
      <c r="A309" s="1308"/>
      <c r="B309" s="1308"/>
      <c r="C309" s="1308"/>
      <c r="D309" s="1308"/>
      <c r="E309" s="1308"/>
      <c r="F309" s="1309"/>
      <c r="G309" s="1309"/>
      <c r="H309" s="1309"/>
      <c r="I309" s="1309"/>
      <c r="J309" s="1309"/>
      <c r="K309" s="1309"/>
      <c r="L309" s="1308"/>
      <c r="M309" s="1308"/>
      <c r="N309" s="1308"/>
      <c r="O309" s="1308"/>
    </row>
    <row r="310" spans="1:15">
      <c r="A310" s="1308"/>
      <c r="B310" s="1308"/>
      <c r="C310" s="1308"/>
      <c r="D310" s="1308"/>
      <c r="E310" s="1308"/>
      <c r="F310" s="1309"/>
      <c r="G310" s="1309"/>
      <c r="H310" s="1309"/>
      <c r="I310" s="1309"/>
      <c r="J310" s="1309"/>
      <c r="K310" s="1309"/>
      <c r="L310" s="1308"/>
      <c r="M310" s="1308"/>
      <c r="N310" s="1308"/>
      <c r="O310" s="1308"/>
    </row>
    <row r="311" spans="1:15">
      <c r="A311" s="1308"/>
      <c r="B311" s="1308"/>
      <c r="C311" s="1308"/>
      <c r="D311" s="1308"/>
      <c r="E311" s="1308"/>
      <c r="F311" s="1309"/>
      <c r="G311" s="1309"/>
      <c r="H311" s="1309"/>
      <c r="I311" s="1309"/>
      <c r="J311" s="1309"/>
      <c r="K311" s="1309"/>
      <c r="L311" s="1308"/>
      <c r="M311" s="1308"/>
      <c r="N311" s="1308"/>
      <c r="O311" s="1308"/>
    </row>
    <row r="312" spans="1:15">
      <c r="A312" s="1308"/>
      <c r="B312" s="1308"/>
      <c r="C312" s="1308"/>
      <c r="D312" s="1308"/>
      <c r="E312" s="1308"/>
      <c r="F312" s="1309"/>
      <c r="G312" s="1309"/>
      <c r="H312" s="1309"/>
      <c r="I312" s="1309"/>
      <c r="J312" s="1309"/>
      <c r="K312" s="1309"/>
      <c r="L312" s="1308"/>
      <c r="M312" s="1308"/>
      <c r="N312" s="1308"/>
      <c r="O312" s="1308"/>
    </row>
    <row r="313" spans="1:15">
      <c r="A313" s="1308"/>
      <c r="B313" s="1308"/>
      <c r="C313" s="1308"/>
      <c r="D313" s="1308"/>
      <c r="E313" s="1308"/>
      <c r="F313" s="1309"/>
      <c r="G313" s="1309"/>
      <c r="H313" s="1309"/>
      <c r="I313" s="1309"/>
      <c r="J313" s="1309"/>
      <c r="K313" s="1309"/>
      <c r="L313" s="1308"/>
      <c r="M313" s="1308"/>
      <c r="N313" s="1308"/>
      <c r="O313" s="1308"/>
    </row>
    <row r="314" spans="1:15">
      <c r="A314" s="1308"/>
      <c r="B314" s="1308"/>
      <c r="C314" s="1308"/>
      <c r="D314" s="1308"/>
      <c r="E314" s="1308"/>
      <c r="F314" s="1309"/>
      <c r="G314" s="1309"/>
      <c r="H314" s="1309"/>
      <c r="I314" s="1309"/>
      <c r="J314" s="1309"/>
      <c r="K314" s="1309"/>
      <c r="L314" s="1308"/>
      <c r="M314" s="1308"/>
      <c r="N314" s="1308"/>
      <c r="O314" s="1308"/>
    </row>
    <row r="315" spans="1:15">
      <c r="A315" s="1308"/>
      <c r="B315" s="1308"/>
      <c r="C315" s="1308"/>
      <c r="D315" s="1308"/>
      <c r="E315" s="1308"/>
      <c r="F315" s="1309"/>
      <c r="G315" s="1309"/>
      <c r="H315" s="1309"/>
      <c r="I315" s="1309"/>
      <c r="J315" s="1309"/>
      <c r="K315" s="1309"/>
      <c r="L315" s="1308"/>
      <c r="M315" s="1308"/>
      <c r="N315" s="1308"/>
      <c r="O315" s="1308"/>
    </row>
    <row r="316" spans="1:15">
      <c r="A316" s="1308"/>
      <c r="B316" s="1308"/>
      <c r="C316" s="1308"/>
      <c r="D316" s="1308"/>
      <c r="E316" s="1308"/>
      <c r="F316" s="1309"/>
      <c r="G316" s="1309"/>
      <c r="H316" s="1309"/>
      <c r="I316" s="1309"/>
      <c r="J316" s="1309"/>
      <c r="K316" s="1309"/>
      <c r="L316" s="1308"/>
      <c r="M316" s="1308"/>
      <c r="N316" s="1308"/>
      <c r="O316" s="1308"/>
    </row>
    <row r="317" spans="1:15">
      <c r="A317" s="1308"/>
      <c r="B317" s="1308"/>
      <c r="C317" s="1308"/>
      <c r="D317" s="1308"/>
      <c r="E317" s="1308"/>
      <c r="F317" s="1309"/>
      <c r="G317" s="1309"/>
      <c r="H317" s="1309"/>
      <c r="I317" s="1309"/>
      <c r="J317" s="1309"/>
      <c r="K317" s="1309"/>
      <c r="L317" s="1308"/>
      <c r="M317" s="1308"/>
      <c r="N317" s="1308"/>
      <c r="O317" s="1308"/>
    </row>
    <row r="318" spans="1:15">
      <c r="A318" s="1308"/>
      <c r="B318" s="1308"/>
      <c r="C318" s="1308"/>
      <c r="D318" s="1308"/>
      <c r="E318" s="1308"/>
      <c r="F318" s="1309"/>
      <c r="G318" s="1309"/>
      <c r="H318" s="1309"/>
      <c r="I318" s="1309"/>
      <c r="J318" s="1309"/>
      <c r="K318" s="1309"/>
      <c r="L318" s="1308"/>
      <c r="M318" s="1308"/>
      <c r="N318" s="1308"/>
      <c r="O318" s="1308"/>
    </row>
    <row r="319" spans="1:15">
      <c r="A319" s="1308"/>
      <c r="B319" s="1308"/>
      <c r="C319" s="1308"/>
      <c r="D319" s="1308"/>
      <c r="E319" s="1308"/>
      <c r="F319" s="1309"/>
      <c r="G319" s="1309"/>
      <c r="H319" s="1309"/>
      <c r="I319" s="1309"/>
      <c r="J319" s="1309"/>
      <c r="K319" s="1309"/>
      <c r="L319" s="1308"/>
      <c r="M319" s="1308"/>
      <c r="N319" s="1308"/>
      <c r="O319" s="1308"/>
    </row>
    <row r="320" spans="1:15">
      <c r="A320" s="1308"/>
      <c r="B320" s="1308"/>
      <c r="C320" s="1308"/>
      <c r="D320" s="1308"/>
      <c r="E320" s="1308"/>
      <c r="F320" s="1309"/>
      <c r="G320" s="1309"/>
      <c r="H320" s="1309"/>
      <c r="I320" s="1309"/>
      <c r="J320" s="1309"/>
      <c r="K320" s="1309"/>
      <c r="L320" s="1308"/>
      <c r="M320" s="1308"/>
      <c r="N320" s="1308"/>
      <c r="O320" s="1308"/>
    </row>
    <row r="321" spans="1:15">
      <c r="A321" s="1308"/>
      <c r="B321" s="1308"/>
      <c r="C321" s="1308"/>
      <c r="D321" s="1308"/>
      <c r="E321" s="1308"/>
      <c r="F321" s="1309"/>
      <c r="G321" s="1309"/>
      <c r="H321" s="1309"/>
      <c r="I321" s="1309"/>
      <c r="J321" s="1309"/>
      <c r="K321" s="1309"/>
      <c r="L321" s="1308"/>
      <c r="M321" s="1308"/>
      <c r="N321" s="1308"/>
      <c r="O321" s="1308"/>
    </row>
    <row r="322" spans="1:15">
      <c r="A322" s="1308"/>
      <c r="B322" s="1308"/>
      <c r="C322" s="1308"/>
      <c r="D322" s="1308"/>
      <c r="E322" s="1308"/>
      <c r="F322" s="1309"/>
      <c r="G322" s="1309"/>
      <c r="H322" s="1309"/>
      <c r="I322" s="1309"/>
      <c r="J322" s="1309"/>
      <c r="K322" s="1309"/>
      <c r="L322" s="1308"/>
      <c r="M322" s="1308"/>
      <c r="N322" s="1308"/>
      <c r="O322" s="1308"/>
    </row>
    <row r="323" spans="1:15">
      <c r="A323" s="1308"/>
      <c r="B323" s="1308"/>
      <c r="C323" s="1308"/>
      <c r="D323" s="1308"/>
      <c r="E323" s="1308"/>
      <c r="F323" s="1309"/>
      <c r="G323" s="1309"/>
      <c r="H323" s="1309"/>
      <c r="I323" s="1309"/>
      <c r="J323" s="1309"/>
      <c r="K323" s="1309"/>
      <c r="L323" s="1308"/>
      <c r="M323" s="1308"/>
      <c r="N323" s="1308"/>
      <c r="O323" s="1308"/>
    </row>
    <row r="324" spans="1:15">
      <c r="A324" s="1308"/>
      <c r="B324" s="1308"/>
      <c r="C324" s="1308"/>
      <c r="D324" s="1308"/>
      <c r="E324" s="1308"/>
      <c r="F324" s="1309"/>
      <c r="G324" s="1309"/>
      <c r="H324" s="1309"/>
      <c r="I324" s="1309"/>
      <c r="J324" s="1309"/>
      <c r="K324" s="1309"/>
      <c r="L324" s="1308"/>
      <c r="M324" s="1308"/>
      <c r="N324" s="1308"/>
      <c r="O324" s="1308"/>
    </row>
    <row r="325" spans="1:15">
      <c r="A325" s="1308"/>
      <c r="B325" s="1308"/>
      <c r="C325" s="1308"/>
      <c r="D325" s="1308"/>
      <c r="E325" s="1308"/>
      <c r="F325" s="1309"/>
      <c r="G325" s="1309"/>
      <c r="H325" s="1309"/>
      <c r="I325" s="1309"/>
      <c r="J325" s="1309"/>
      <c r="K325" s="1309"/>
      <c r="L325" s="1308"/>
      <c r="M325" s="1308"/>
      <c r="N325" s="1308"/>
      <c r="O325" s="1308"/>
    </row>
    <row r="326" spans="1:15">
      <c r="A326" s="1308"/>
      <c r="B326" s="1308"/>
      <c r="C326" s="1308"/>
      <c r="D326" s="1308"/>
      <c r="E326" s="1308"/>
      <c r="F326" s="1309"/>
      <c r="G326" s="1309"/>
      <c r="H326" s="1309"/>
      <c r="I326" s="1309"/>
      <c r="J326" s="1309"/>
      <c r="K326" s="1309"/>
      <c r="L326" s="1308"/>
      <c r="M326" s="1308"/>
      <c r="N326" s="1308"/>
      <c r="O326" s="1308"/>
    </row>
    <row r="327" spans="1:15">
      <c r="A327" s="1308"/>
      <c r="B327" s="1308"/>
      <c r="C327" s="1308"/>
      <c r="D327" s="1308"/>
      <c r="E327" s="1308"/>
      <c r="F327" s="1309"/>
      <c r="G327" s="1309"/>
      <c r="H327" s="1309"/>
      <c r="I327" s="1309"/>
      <c r="J327" s="1309"/>
      <c r="K327" s="1309"/>
      <c r="L327" s="1308"/>
      <c r="M327" s="1308"/>
      <c r="N327" s="1308"/>
      <c r="O327" s="1308"/>
    </row>
    <row r="328" spans="1:15">
      <c r="A328" s="1308"/>
      <c r="B328" s="1308"/>
      <c r="C328" s="1308"/>
      <c r="D328" s="1308"/>
      <c r="E328" s="1308"/>
      <c r="F328" s="1309"/>
      <c r="G328" s="1309"/>
      <c r="H328" s="1309"/>
      <c r="I328" s="1309"/>
      <c r="J328" s="1309"/>
      <c r="K328" s="1309"/>
      <c r="L328" s="1308"/>
      <c r="M328" s="1308"/>
      <c r="N328" s="1308"/>
      <c r="O328" s="1308"/>
    </row>
    <row r="329" spans="1:15">
      <c r="A329" s="1308"/>
      <c r="B329" s="1308"/>
      <c r="C329" s="1308"/>
      <c r="D329" s="1308"/>
      <c r="E329" s="1308"/>
      <c r="F329" s="1309"/>
      <c r="G329" s="1309"/>
      <c r="H329" s="1309"/>
      <c r="I329" s="1309"/>
      <c r="J329" s="1309"/>
      <c r="K329" s="1309"/>
      <c r="L329" s="1308"/>
      <c r="M329" s="1308"/>
      <c r="N329" s="1308"/>
      <c r="O329" s="1308"/>
    </row>
    <row r="330" spans="1:15">
      <c r="A330" s="1308"/>
      <c r="B330" s="1308"/>
      <c r="C330" s="1308"/>
      <c r="D330" s="1308"/>
      <c r="E330" s="1308"/>
      <c r="F330" s="1309"/>
      <c r="G330" s="1309"/>
      <c r="H330" s="1309"/>
      <c r="I330" s="1309"/>
      <c r="J330" s="1309"/>
      <c r="K330" s="1309"/>
      <c r="L330" s="1308"/>
      <c r="M330" s="1308"/>
      <c r="N330" s="1308"/>
      <c r="O330" s="1308"/>
    </row>
    <row r="331" spans="1:15">
      <c r="A331" s="1308"/>
      <c r="B331" s="1308"/>
      <c r="C331" s="1308"/>
      <c r="D331" s="1308"/>
      <c r="E331" s="1308"/>
      <c r="F331" s="1309"/>
      <c r="G331" s="1309"/>
      <c r="H331" s="1309"/>
      <c r="I331" s="1309"/>
      <c r="J331" s="1309"/>
      <c r="K331" s="1309"/>
      <c r="L331" s="1308"/>
      <c r="M331" s="1308"/>
      <c r="N331" s="1308"/>
      <c r="O331" s="1308"/>
    </row>
    <row r="332" spans="1:15">
      <c r="A332" s="1308"/>
      <c r="B332" s="1308"/>
      <c r="C332" s="1308"/>
      <c r="D332" s="1308"/>
      <c r="E332" s="1308"/>
      <c r="F332" s="1309"/>
      <c r="G332" s="1309"/>
      <c r="H332" s="1309"/>
      <c r="I332" s="1309"/>
      <c r="J332" s="1309"/>
      <c r="K332" s="1309"/>
      <c r="L332" s="1308"/>
      <c r="M332" s="1308"/>
      <c r="N332" s="1308"/>
      <c r="O332" s="1308"/>
    </row>
    <row r="333" spans="1:15">
      <c r="A333" s="1308"/>
      <c r="B333" s="1308"/>
      <c r="C333" s="1308"/>
      <c r="D333" s="1308"/>
      <c r="E333" s="1308"/>
      <c r="F333" s="1309"/>
      <c r="G333" s="1309"/>
      <c r="H333" s="1309"/>
      <c r="I333" s="1309"/>
      <c r="J333" s="1309"/>
      <c r="K333" s="1309"/>
      <c r="L333" s="1308"/>
      <c r="M333" s="1308"/>
      <c r="N333" s="1308"/>
      <c r="O333" s="1308"/>
    </row>
    <row r="334" spans="1:15">
      <c r="A334" s="1308"/>
      <c r="B334" s="1308"/>
      <c r="C334" s="1308"/>
      <c r="D334" s="1308"/>
      <c r="E334" s="1308"/>
      <c r="F334" s="1309"/>
      <c r="G334" s="1309"/>
      <c r="H334" s="1309"/>
      <c r="I334" s="1309"/>
      <c r="J334" s="1309"/>
      <c r="K334" s="1309"/>
      <c r="L334" s="1308"/>
      <c r="M334" s="1308"/>
      <c r="N334" s="1308"/>
      <c r="O334" s="1308"/>
    </row>
    <row r="335" spans="1:15">
      <c r="A335" s="1308"/>
      <c r="B335" s="1308"/>
      <c r="C335" s="1308"/>
      <c r="D335" s="1308"/>
      <c r="E335" s="1308"/>
      <c r="F335" s="1309"/>
      <c r="G335" s="1309"/>
      <c r="H335" s="1309"/>
      <c r="I335" s="1309"/>
      <c r="J335" s="1309"/>
      <c r="K335" s="1309"/>
      <c r="L335" s="1308"/>
      <c r="M335" s="1308"/>
      <c r="N335" s="1308"/>
      <c r="O335" s="1308"/>
    </row>
    <row r="336" spans="1:15">
      <c r="A336" s="1308"/>
      <c r="B336" s="1308"/>
      <c r="C336" s="1308"/>
      <c r="D336" s="1308"/>
      <c r="E336" s="1308"/>
      <c r="F336" s="1309"/>
      <c r="G336" s="1309"/>
      <c r="H336" s="1309"/>
      <c r="I336" s="1309"/>
      <c r="J336" s="1309"/>
      <c r="K336" s="1309"/>
      <c r="L336" s="1308"/>
      <c r="M336" s="1308"/>
      <c r="N336" s="1308"/>
      <c r="O336" s="1308"/>
    </row>
    <row r="337" spans="1:15">
      <c r="A337" s="1308"/>
      <c r="B337" s="1308"/>
      <c r="C337" s="1308"/>
      <c r="D337" s="1308"/>
      <c r="E337" s="1308"/>
      <c r="F337" s="1309"/>
      <c r="G337" s="1309"/>
      <c r="H337" s="1309"/>
      <c r="I337" s="1309"/>
      <c r="J337" s="1309"/>
      <c r="K337" s="1309"/>
      <c r="L337" s="1308"/>
      <c r="M337" s="1308"/>
      <c r="N337" s="1308"/>
      <c r="O337" s="1308"/>
    </row>
    <row r="338" spans="1:15">
      <c r="A338" s="1308"/>
      <c r="B338" s="1308"/>
      <c r="C338" s="1308"/>
      <c r="D338" s="1308"/>
      <c r="E338" s="1308"/>
      <c r="F338" s="1309"/>
      <c r="G338" s="1309"/>
      <c r="H338" s="1309"/>
      <c r="I338" s="1309"/>
      <c r="J338" s="1309"/>
      <c r="K338" s="1309"/>
      <c r="L338" s="1308"/>
      <c r="M338" s="1308"/>
      <c r="N338" s="1308"/>
      <c r="O338" s="1308"/>
    </row>
    <row r="339" spans="1:15">
      <c r="A339" s="1308"/>
      <c r="B339" s="1308"/>
      <c r="C339" s="1308"/>
      <c r="D339" s="1308"/>
      <c r="E339" s="1308"/>
      <c r="F339" s="1309"/>
      <c r="G339" s="1309"/>
      <c r="H339" s="1309"/>
      <c r="I339" s="1309"/>
      <c r="J339" s="1309"/>
      <c r="K339" s="1309"/>
      <c r="L339" s="1308"/>
      <c r="M339" s="1308"/>
      <c r="N339" s="1308"/>
      <c r="O339" s="1308"/>
    </row>
    <row r="340" spans="1:15">
      <c r="A340" s="1308"/>
      <c r="B340" s="1308"/>
      <c r="C340" s="1308"/>
      <c r="D340" s="1308"/>
      <c r="E340" s="1308"/>
      <c r="F340" s="1309"/>
      <c r="G340" s="1309"/>
      <c r="H340" s="1309"/>
      <c r="I340" s="1309"/>
      <c r="J340" s="1309"/>
      <c r="K340" s="1309"/>
      <c r="L340" s="1308"/>
      <c r="M340" s="1308"/>
      <c r="N340" s="1308"/>
      <c r="O340" s="1308"/>
    </row>
    <row r="341" spans="1:15">
      <c r="A341" s="1308"/>
      <c r="B341" s="1308"/>
      <c r="C341" s="1308"/>
      <c r="D341" s="1308"/>
      <c r="E341" s="1308"/>
      <c r="F341" s="1309"/>
      <c r="G341" s="1309"/>
      <c r="H341" s="1309"/>
      <c r="I341" s="1309"/>
      <c r="J341" s="1309"/>
      <c r="K341" s="1309"/>
      <c r="L341" s="1308"/>
      <c r="M341" s="1308"/>
      <c r="N341" s="1308"/>
      <c r="O341" s="1308"/>
    </row>
    <row r="342" spans="1:15">
      <c r="A342" s="1308"/>
      <c r="B342" s="1308"/>
      <c r="C342" s="1308"/>
      <c r="D342" s="1308"/>
      <c r="E342" s="1308"/>
      <c r="F342" s="1309"/>
      <c r="G342" s="1309"/>
      <c r="H342" s="1309"/>
      <c r="I342" s="1309"/>
      <c r="J342" s="1309"/>
      <c r="K342" s="1309"/>
      <c r="L342" s="1308"/>
      <c r="M342" s="1308"/>
      <c r="N342" s="1308"/>
      <c r="O342" s="1308"/>
    </row>
    <row r="343" spans="1:15">
      <c r="A343" s="1308"/>
      <c r="B343" s="1308"/>
      <c r="C343" s="1308"/>
      <c r="D343" s="1308"/>
      <c r="E343" s="1308"/>
      <c r="F343" s="1309"/>
      <c r="G343" s="1309"/>
      <c r="H343" s="1309"/>
      <c r="I343" s="1309"/>
      <c r="J343" s="1309"/>
      <c r="K343" s="1309"/>
      <c r="L343" s="1308"/>
      <c r="M343" s="1308"/>
      <c r="N343" s="1308"/>
      <c r="O343" s="1308"/>
    </row>
    <row r="344" spans="1:15">
      <c r="A344" s="1308"/>
      <c r="B344" s="1308"/>
      <c r="C344" s="1308"/>
      <c r="D344" s="1308"/>
      <c r="E344" s="1308"/>
      <c r="F344" s="1309"/>
      <c r="G344" s="1309"/>
      <c r="H344" s="1309"/>
      <c r="I344" s="1309"/>
      <c r="J344" s="1309"/>
      <c r="K344" s="1309"/>
      <c r="L344" s="1308"/>
      <c r="M344" s="1308"/>
      <c r="N344" s="1308"/>
      <c r="O344" s="1308"/>
    </row>
    <row r="345" spans="1:15">
      <c r="A345" s="1308"/>
      <c r="B345" s="1308"/>
      <c r="C345" s="1308"/>
      <c r="D345" s="1308"/>
      <c r="E345" s="1308"/>
      <c r="F345" s="1309"/>
      <c r="G345" s="1309"/>
      <c r="H345" s="1309"/>
      <c r="I345" s="1309"/>
      <c r="J345" s="1309"/>
      <c r="K345" s="1309"/>
      <c r="L345" s="1308"/>
      <c r="M345" s="1308"/>
      <c r="N345" s="1308"/>
      <c r="O345" s="1308"/>
    </row>
    <row r="346" spans="1:15">
      <c r="A346" s="1308"/>
      <c r="B346" s="1308"/>
      <c r="C346" s="1308"/>
      <c r="D346" s="1308"/>
      <c r="E346" s="1308"/>
      <c r="F346" s="1309"/>
      <c r="G346" s="1309"/>
      <c r="H346" s="1309"/>
      <c r="I346" s="1309"/>
      <c r="J346" s="1309"/>
      <c r="K346" s="1309"/>
      <c r="L346" s="1308"/>
      <c r="M346" s="1308"/>
      <c r="N346" s="1308"/>
      <c r="O346" s="1308"/>
    </row>
    <row r="347" spans="1:15">
      <c r="A347" s="1308"/>
      <c r="B347" s="1308"/>
      <c r="C347" s="1308"/>
      <c r="D347" s="1308"/>
      <c r="E347" s="1308"/>
      <c r="F347" s="1309"/>
      <c r="G347" s="1309"/>
      <c r="H347" s="1309"/>
      <c r="I347" s="1309"/>
      <c r="J347" s="1309"/>
      <c r="K347" s="1309"/>
      <c r="L347" s="1308"/>
      <c r="M347" s="1308"/>
      <c r="N347" s="1308"/>
      <c r="O347" s="1308"/>
    </row>
    <row r="348" spans="1:15">
      <c r="A348" s="1308"/>
      <c r="B348" s="1308"/>
      <c r="C348" s="1308"/>
      <c r="D348" s="1308"/>
      <c r="E348" s="1308"/>
      <c r="F348" s="1309"/>
      <c r="G348" s="1309"/>
      <c r="H348" s="1309"/>
      <c r="I348" s="1309"/>
      <c r="J348" s="1309"/>
      <c r="K348" s="1309"/>
      <c r="L348" s="1308"/>
      <c r="M348" s="1308"/>
      <c r="N348" s="1308"/>
      <c r="O348" s="1308"/>
    </row>
    <row r="349" spans="1:15">
      <c r="A349" s="1308"/>
      <c r="B349" s="1308"/>
      <c r="C349" s="1308"/>
      <c r="D349" s="1308"/>
      <c r="E349" s="1308"/>
      <c r="F349" s="1309"/>
      <c r="G349" s="1309"/>
      <c r="H349" s="1309"/>
      <c r="I349" s="1309"/>
      <c r="J349" s="1309"/>
      <c r="K349" s="1309"/>
      <c r="L349" s="1308"/>
      <c r="M349" s="1308"/>
      <c r="N349" s="1308"/>
      <c r="O349" s="1308"/>
    </row>
    <row r="350" spans="1:15">
      <c r="A350" s="1308"/>
      <c r="B350" s="1308"/>
      <c r="C350" s="1308"/>
      <c r="D350" s="1308"/>
      <c r="E350" s="1308"/>
      <c r="F350" s="1309"/>
      <c r="G350" s="1309"/>
      <c r="H350" s="1309"/>
      <c r="I350" s="1309"/>
      <c r="J350" s="1309"/>
      <c r="K350" s="1309"/>
      <c r="L350" s="1308"/>
      <c r="M350" s="1308"/>
      <c r="N350" s="1308"/>
      <c r="O350" s="1308"/>
    </row>
    <row r="351" spans="1:15">
      <c r="A351" s="1308"/>
      <c r="B351" s="1308"/>
      <c r="C351" s="1308"/>
      <c r="D351" s="1308"/>
      <c r="E351" s="1308"/>
      <c r="F351" s="1309"/>
      <c r="G351" s="1309"/>
      <c r="H351" s="1309"/>
      <c r="I351" s="1309"/>
      <c r="J351" s="1309"/>
      <c r="K351" s="1309"/>
      <c r="L351" s="1308"/>
      <c r="M351" s="1308"/>
      <c r="N351" s="1308"/>
      <c r="O351" s="1308"/>
    </row>
    <row r="352" spans="1:15">
      <c r="A352" s="1308"/>
      <c r="B352" s="1308"/>
      <c r="C352" s="1308"/>
      <c r="D352" s="1308"/>
      <c r="E352" s="1308"/>
      <c r="F352" s="1309"/>
      <c r="G352" s="1309"/>
      <c r="H352" s="1309"/>
      <c r="I352" s="1309"/>
      <c r="J352" s="1309"/>
      <c r="K352" s="1309"/>
      <c r="L352" s="1308"/>
      <c r="M352" s="1308"/>
      <c r="N352" s="1308"/>
      <c r="O352" s="1308"/>
    </row>
    <row r="353" spans="1:15">
      <c r="A353" s="1308"/>
      <c r="B353" s="1308"/>
      <c r="C353" s="1308"/>
      <c r="D353" s="1308"/>
      <c r="E353" s="1308"/>
      <c r="F353" s="1309"/>
      <c r="G353" s="1309"/>
      <c r="H353" s="1309"/>
      <c r="I353" s="1309"/>
      <c r="J353" s="1309"/>
      <c r="K353" s="1309"/>
      <c r="L353" s="1308"/>
      <c r="M353" s="1308"/>
      <c r="N353" s="1308"/>
      <c r="O353" s="1308"/>
    </row>
    <row r="354" spans="1:15">
      <c r="A354" s="1308"/>
      <c r="B354" s="1308"/>
      <c r="C354" s="1308"/>
      <c r="D354" s="1308"/>
      <c r="E354" s="1308"/>
      <c r="F354" s="1309"/>
      <c r="G354" s="1309"/>
      <c r="H354" s="1309"/>
      <c r="I354" s="1309"/>
      <c r="J354" s="1309"/>
      <c r="K354" s="1309"/>
      <c r="L354" s="1308"/>
      <c r="M354" s="1308"/>
      <c r="N354" s="1308"/>
      <c r="O354" s="1308"/>
    </row>
    <row r="355" spans="1:15">
      <c r="A355" s="1308"/>
      <c r="B355" s="1308"/>
      <c r="C355" s="1308"/>
      <c r="D355" s="1308"/>
      <c r="E355" s="1308"/>
      <c r="F355" s="1309"/>
      <c r="G355" s="1309"/>
      <c r="H355" s="1309"/>
      <c r="I355" s="1309"/>
      <c r="J355" s="1309"/>
      <c r="K355" s="1309"/>
      <c r="L355" s="1308"/>
      <c r="M355" s="1308"/>
      <c r="N355" s="1308"/>
      <c r="O355" s="1308"/>
    </row>
    <row r="356" spans="1:15">
      <c r="A356" s="1308"/>
      <c r="B356" s="1308"/>
      <c r="C356" s="1308"/>
      <c r="D356" s="1308"/>
      <c r="E356" s="1308"/>
      <c r="F356" s="1309"/>
      <c r="G356" s="1309"/>
      <c r="H356" s="1309"/>
      <c r="I356" s="1309"/>
      <c r="J356" s="1309"/>
      <c r="K356" s="1309"/>
      <c r="L356" s="1308"/>
      <c r="M356" s="1308"/>
      <c r="N356" s="1308"/>
      <c r="O356" s="1308"/>
    </row>
    <row r="357" spans="1:15">
      <c r="A357" s="1308"/>
      <c r="B357" s="1308"/>
      <c r="C357" s="1308"/>
      <c r="D357" s="1308"/>
      <c r="E357" s="1308"/>
      <c r="F357" s="1309"/>
      <c r="G357" s="1309"/>
      <c r="H357" s="1309"/>
      <c r="I357" s="1309"/>
      <c r="J357" s="1309"/>
      <c r="K357" s="1309"/>
      <c r="L357" s="1308"/>
      <c r="M357" s="1308"/>
      <c r="N357" s="1308"/>
      <c r="O357" s="1308"/>
    </row>
    <row r="358" spans="1:15">
      <c r="A358" s="1308"/>
      <c r="B358" s="1308"/>
      <c r="C358" s="1308"/>
      <c r="D358" s="1308"/>
      <c r="E358" s="1308"/>
      <c r="F358" s="1309"/>
      <c r="G358" s="1309"/>
      <c r="H358" s="1309"/>
      <c r="I358" s="1309"/>
      <c r="J358" s="1309"/>
      <c r="K358" s="1309"/>
      <c r="L358" s="1308"/>
      <c r="M358" s="1308"/>
      <c r="N358" s="1308"/>
      <c r="O358" s="1308"/>
    </row>
    <row r="359" spans="1:15">
      <c r="A359" s="1308"/>
      <c r="B359" s="1308"/>
      <c r="C359" s="1308"/>
      <c r="D359" s="1308"/>
      <c r="E359" s="1308"/>
      <c r="F359" s="1309"/>
      <c r="G359" s="1309"/>
      <c r="H359" s="1309"/>
      <c r="I359" s="1309"/>
      <c r="J359" s="1309"/>
      <c r="K359" s="1309"/>
      <c r="L359" s="1308"/>
      <c r="M359" s="1308"/>
      <c r="N359" s="1308"/>
      <c r="O359" s="1308"/>
    </row>
    <row r="360" spans="1:15">
      <c r="A360" s="1308"/>
      <c r="B360" s="1308"/>
      <c r="C360" s="1308"/>
      <c r="D360" s="1308"/>
      <c r="E360" s="1308"/>
      <c r="F360" s="1309"/>
      <c r="G360" s="1309"/>
      <c r="H360" s="1309"/>
      <c r="I360" s="1309"/>
      <c r="J360" s="1309"/>
      <c r="K360" s="1309"/>
      <c r="L360" s="1308"/>
      <c r="M360" s="1308"/>
      <c r="N360" s="1308"/>
      <c r="O360" s="1308"/>
    </row>
    <row r="361" spans="1:15">
      <c r="A361" s="1308"/>
      <c r="B361" s="1308"/>
      <c r="C361" s="1308"/>
      <c r="D361" s="1308"/>
      <c r="E361" s="1308"/>
      <c r="F361" s="1309"/>
      <c r="G361" s="1309"/>
      <c r="H361" s="1309"/>
      <c r="I361" s="1309"/>
      <c r="J361" s="1309"/>
      <c r="K361" s="1309"/>
      <c r="L361" s="1308"/>
      <c r="M361" s="1308"/>
      <c r="N361" s="1308"/>
      <c r="O361" s="1308"/>
    </row>
    <row r="362" spans="1:15">
      <c r="A362" s="1308"/>
      <c r="B362" s="1308"/>
      <c r="C362" s="1308"/>
      <c r="D362" s="1308"/>
      <c r="E362" s="1308"/>
      <c r="F362" s="1309"/>
      <c r="G362" s="1309"/>
      <c r="H362" s="1309"/>
      <c r="I362" s="1309"/>
      <c r="J362" s="1309"/>
      <c r="K362" s="1309"/>
      <c r="L362" s="1308"/>
      <c r="M362" s="1308"/>
      <c r="N362" s="1308"/>
      <c r="O362" s="1308"/>
    </row>
    <row r="363" spans="1:15">
      <c r="A363" s="1308"/>
      <c r="B363" s="1308"/>
      <c r="C363" s="1308"/>
      <c r="D363" s="1308"/>
      <c r="E363" s="1308"/>
      <c r="F363" s="1309"/>
      <c r="G363" s="1309"/>
      <c r="H363" s="1309"/>
      <c r="I363" s="1309"/>
      <c r="J363" s="1309"/>
      <c r="K363" s="1309"/>
      <c r="L363" s="1308"/>
      <c r="M363" s="1308"/>
      <c r="N363" s="1308"/>
      <c r="O363" s="1308"/>
    </row>
    <row r="364" spans="1:15">
      <c r="A364" s="1308"/>
      <c r="B364" s="1308"/>
      <c r="C364" s="1308"/>
      <c r="D364" s="1308"/>
      <c r="E364" s="1308"/>
      <c r="F364" s="1309"/>
      <c r="G364" s="1309"/>
      <c r="H364" s="1309"/>
      <c r="I364" s="1309"/>
      <c r="J364" s="1309"/>
      <c r="K364" s="1309"/>
      <c r="L364" s="1308"/>
      <c r="M364" s="1308"/>
      <c r="N364" s="1308"/>
      <c r="O364" s="1308"/>
    </row>
    <row r="365" spans="1:15">
      <c r="A365" s="1308"/>
      <c r="B365" s="1308"/>
      <c r="C365" s="1308"/>
      <c r="D365" s="1308"/>
      <c r="E365" s="1308"/>
      <c r="F365" s="1309"/>
      <c r="G365" s="1309"/>
      <c r="H365" s="1309"/>
      <c r="I365" s="1309"/>
      <c r="J365" s="1309"/>
      <c r="K365" s="1309"/>
      <c r="L365" s="1308"/>
      <c r="M365" s="1308"/>
      <c r="N365" s="1308"/>
      <c r="O365" s="1308"/>
    </row>
    <row r="366" spans="1:15">
      <c r="A366" s="1308"/>
      <c r="B366" s="1308"/>
      <c r="C366" s="1308"/>
      <c r="D366" s="1308"/>
      <c r="E366" s="1308"/>
      <c r="F366" s="1309"/>
      <c r="G366" s="1309"/>
      <c r="H366" s="1309"/>
      <c r="I366" s="1309"/>
      <c r="J366" s="1309"/>
      <c r="K366" s="1309"/>
      <c r="L366" s="1308"/>
      <c r="M366" s="1308"/>
      <c r="N366" s="1308"/>
      <c r="O366" s="1308"/>
    </row>
    <row r="367" spans="1:15">
      <c r="A367" s="1308"/>
      <c r="B367" s="1308"/>
      <c r="C367" s="1308"/>
      <c r="D367" s="1308"/>
      <c r="E367" s="1308"/>
      <c r="F367" s="1309"/>
      <c r="G367" s="1309"/>
      <c r="H367" s="1309"/>
      <c r="I367" s="1309"/>
      <c r="J367" s="1309"/>
      <c r="K367" s="1309"/>
      <c r="L367" s="1308"/>
      <c r="M367" s="1308"/>
      <c r="N367" s="1308"/>
      <c r="O367" s="1308"/>
    </row>
    <row r="368" spans="1:15">
      <c r="A368" s="1308"/>
      <c r="B368" s="1308"/>
      <c r="C368" s="1308"/>
      <c r="D368" s="1308"/>
      <c r="E368" s="1308"/>
      <c r="F368" s="1309"/>
      <c r="G368" s="1309"/>
      <c r="H368" s="1309"/>
      <c r="I368" s="1309"/>
      <c r="J368" s="1309"/>
      <c r="K368" s="1309"/>
      <c r="L368" s="1308"/>
      <c r="M368" s="1308"/>
      <c r="N368" s="1308"/>
      <c r="O368" s="1308"/>
    </row>
    <row r="369" spans="1:15">
      <c r="A369" s="1308"/>
      <c r="B369" s="1308"/>
      <c r="C369" s="1308"/>
      <c r="D369" s="1308"/>
      <c r="E369" s="1308"/>
      <c r="F369" s="1309"/>
      <c r="G369" s="1309"/>
      <c r="H369" s="1309"/>
      <c r="I369" s="1309"/>
      <c r="J369" s="1309"/>
      <c r="K369" s="1309"/>
      <c r="L369" s="1308"/>
      <c r="M369" s="1308"/>
      <c r="N369" s="1308"/>
      <c r="O369" s="1308"/>
    </row>
    <row r="370" spans="1:15">
      <c r="A370" s="1308"/>
      <c r="B370" s="1308"/>
      <c r="C370" s="1308"/>
      <c r="D370" s="1308"/>
      <c r="E370" s="1308"/>
      <c r="F370" s="1309"/>
      <c r="G370" s="1309"/>
      <c r="H370" s="1309"/>
      <c r="I370" s="1309"/>
      <c r="J370" s="1309"/>
      <c r="K370" s="1309"/>
      <c r="L370" s="1308"/>
      <c r="M370" s="1308"/>
      <c r="N370" s="1308"/>
      <c r="O370" s="1308"/>
    </row>
    <row r="371" spans="1:15">
      <c r="A371" s="1308"/>
      <c r="B371" s="1308"/>
      <c r="C371" s="1308"/>
      <c r="D371" s="1308"/>
      <c r="E371" s="1308"/>
      <c r="F371" s="1309"/>
      <c r="G371" s="1309"/>
      <c r="H371" s="1309"/>
      <c r="I371" s="1309"/>
      <c r="J371" s="1309"/>
      <c r="K371" s="1309"/>
      <c r="L371" s="1308"/>
      <c r="M371" s="1308"/>
      <c r="N371" s="1308"/>
      <c r="O371" s="1308"/>
    </row>
    <row r="372" spans="1:15">
      <c r="A372" s="1308"/>
      <c r="B372" s="1308"/>
      <c r="C372" s="1308"/>
      <c r="D372" s="1308"/>
      <c r="E372" s="1308"/>
      <c r="F372" s="1309"/>
      <c r="G372" s="1309"/>
      <c r="H372" s="1309"/>
      <c r="I372" s="1309"/>
      <c r="J372" s="1309"/>
      <c r="K372" s="1309"/>
      <c r="L372" s="1308"/>
      <c r="M372" s="1308"/>
      <c r="N372" s="1308"/>
      <c r="O372" s="1308"/>
    </row>
    <row r="373" spans="1:15">
      <c r="A373" s="1308"/>
      <c r="B373" s="1308"/>
      <c r="C373" s="1308"/>
      <c r="D373" s="1308"/>
      <c r="E373" s="1308"/>
      <c r="F373" s="1309"/>
      <c r="G373" s="1309"/>
      <c r="H373" s="1309"/>
      <c r="I373" s="1309"/>
      <c r="J373" s="1309"/>
      <c r="K373" s="1309"/>
      <c r="L373" s="1308"/>
      <c r="M373" s="1308"/>
      <c r="N373" s="1308"/>
      <c r="O373" s="1308"/>
    </row>
    <row r="374" spans="1:15">
      <c r="A374" s="1308"/>
      <c r="B374" s="1308"/>
      <c r="C374" s="1308"/>
      <c r="D374" s="1308"/>
      <c r="E374" s="1308"/>
      <c r="F374" s="1309"/>
      <c r="G374" s="1309"/>
      <c r="H374" s="1309"/>
      <c r="I374" s="1309"/>
      <c r="J374" s="1309"/>
      <c r="K374" s="1309"/>
      <c r="L374" s="1308"/>
      <c r="M374" s="1308"/>
      <c r="N374" s="1308"/>
      <c r="O374" s="1308"/>
    </row>
    <row r="375" spans="1:15">
      <c r="A375" s="1308"/>
      <c r="B375" s="1308"/>
      <c r="C375" s="1308"/>
      <c r="D375" s="1308"/>
      <c r="E375" s="1308"/>
      <c r="F375" s="1309"/>
      <c r="G375" s="1309"/>
      <c r="H375" s="1309"/>
      <c r="I375" s="1309"/>
      <c r="J375" s="1309"/>
      <c r="K375" s="1309"/>
      <c r="L375" s="1308"/>
      <c r="M375" s="1308"/>
      <c r="N375" s="1308"/>
      <c r="O375" s="1308"/>
    </row>
    <row r="376" spans="1:15">
      <c r="A376" s="1308"/>
      <c r="B376" s="1308"/>
      <c r="C376" s="1308"/>
      <c r="D376" s="1308"/>
      <c r="E376" s="1308"/>
      <c r="F376" s="1309"/>
      <c r="G376" s="1309"/>
      <c r="H376" s="1309"/>
      <c r="I376" s="1309"/>
      <c r="J376" s="1309"/>
      <c r="K376" s="1309"/>
      <c r="L376" s="1308"/>
      <c r="M376" s="1308"/>
      <c r="N376" s="1308"/>
      <c r="O376" s="1308"/>
    </row>
    <row r="377" spans="1:15">
      <c r="A377" s="1308"/>
      <c r="B377" s="1308"/>
      <c r="C377" s="1308"/>
      <c r="D377" s="1308"/>
      <c r="E377" s="1308"/>
      <c r="F377" s="1309"/>
      <c r="G377" s="1309"/>
      <c r="H377" s="1309"/>
      <c r="I377" s="1309"/>
      <c r="J377" s="1309"/>
      <c r="K377" s="1309"/>
      <c r="L377" s="1308"/>
      <c r="M377" s="1308"/>
      <c r="N377" s="1308"/>
      <c r="O377" s="1308"/>
    </row>
    <row r="378" spans="1:15">
      <c r="A378" s="1308"/>
      <c r="B378" s="1308"/>
      <c r="C378" s="1308"/>
      <c r="D378" s="1308"/>
      <c r="E378" s="1308"/>
      <c r="F378" s="1309"/>
      <c r="G378" s="1309"/>
      <c r="H378" s="1309"/>
      <c r="I378" s="1309"/>
      <c r="J378" s="1309"/>
      <c r="K378" s="1309"/>
      <c r="L378" s="1308"/>
      <c r="M378" s="1308"/>
      <c r="N378" s="1308"/>
      <c r="O378" s="1308"/>
    </row>
    <row r="379" spans="1:15">
      <c r="A379" s="1308"/>
      <c r="B379" s="1308"/>
      <c r="C379" s="1308"/>
      <c r="D379" s="1308"/>
      <c r="E379" s="1308"/>
      <c r="F379" s="1309"/>
      <c r="G379" s="1309"/>
      <c r="H379" s="1309"/>
      <c r="I379" s="1309"/>
      <c r="J379" s="1309"/>
      <c r="K379" s="1309"/>
      <c r="L379" s="1308"/>
      <c r="M379" s="1308"/>
      <c r="N379" s="1308"/>
      <c r="O379" s="1308"/>
    </row>
    <row r="380" spans="1:15">
      <c r="A380" s="1308"/>
      <c r="B380" s="1308"/>
      <c r="C380" s="1308"/>
      <c r="D380" s="1308"/>
      <c r="E380" s="1308"/>
      <c r="F380" s="1309"/>
      <c r="G380" s="1309"/>
      <c r="H380" s="1309"/>
      <c r="I380" s="1309"/>
      <c r="J380" s="1309"/>
      <c r="K380" s="1309"/>
      <c r="L380" s="1308"/>
      <c r="M380" s="1308"/>
      <c r="N380" s="1308"/>
      <c r="O380" s="1308"/>
    </row>
    <row r="381" spans="1:15">
      <c r="A381" s="1308"/>
      <c r="B381" s="1308"/>
      <c r="C381" s="1308"/>
      <c r="D381" s="1308"/>
      <c r="E381" s="1308"/>
      <c r="F381" s="1309"/>
      <c r="G381" s="1309"/>
      <c r="H381" s="1309"/>
      <c r="I381" s="1309"/>
      <c r="J381" s="1309"/>
      <c r="K381" s="1309"/>
      <c r="L381" s="1308"/>
      <c r="M381" s="1308"/>
      <c r="N381" s="1308"/>
      <c r="O381" s="1308"/>
    </row>
    <row r="382" spans="1:15">
      <c r="A382" s="1308"/>
      <c r="B382" s="1308"/>
      <c r="C382" s="1308"/>
      <c r="D382" s="1308"/>
      <c r="E382" s="1308"/>
      <c r="F382" s="1309"/>
      <c r="G382" s="1309"/>
      <c r="H382" s="1309"/>
      <c r="I382" s="1309"/>
      <c r="J382" s="1309"/>
      <c r="K382" s="1309"/>
      <c r="L382" s="1308"/>
      <c r="M382" s="1308"/>
      <c r="N382" s="1308"/>
      <c r="O382" s="1308"/>
    </row>
    <row r="383" spans="1:15">
      <c r="A383" s="1308"/>
      <c r="B383" s="1308"/>
      <c r="C383" s="1308"/>
      <c r="D383" s="1308"/>
      <c r="E383" s="1308"/>
      <c r="F383" s="1309"/>
      <c r="G383" s="1309"/>
      <c r="H383" s="1309"/>
      <c r="I383" s="1309"/>
      <c r="J383" s="1309"/>
      <c r="K383" s="1309"/>
      <c r="L383" s="1308"/>
      <c r="M383" s="1308"/>
      <c r="N383" s="1308"/>
      <c r="O383" s="1308"/>
    </row>
    <row r="384" spans="1:15">
      <c r="A384" s="1308"/>
      <c r="B384" s="1308"/>
      <c r="C384" s="1308"/>
      <c r="D384" s="1308"/>
      <c r="E384" s="1308"/>
      <c r="F384" s="1309"/>
      <c r="G384" s="1309"/>
      <c r="H384" s="1309"/>
      <c r="I384" s="1309"/>
      <c r="J384" s="1309"/>
      <c r="K384" s="1309"/>
      <c r="L384" s="1308"/>
      <c r="M384" s="1308"/>
      <c r="N384" s="1308"/>
      <c r="O384" s="1308"/>
    </row>
    <row r="385" spans="1:15">
      <c r="A385" s="1308"/>
      <c r="B385" s="1308"/>
      <c r="C385" s="1308"/>
      <c r="D385" s="1308"/>
      <c r="E385" s="1308"/>
      <c r="F385" s="1309"/>
      <c r="G385" s="1309"/>
      <c r="H385" s="1309"/>
      <c r="I385" s="1309"/>
      <c r="J385" s="1309"/>
      <c r="K385" s="1309"/>
      <c r="L385" s="1308"/>
      <c r="M385" s="1308"/>
      <c r="N385" s="1308"/>
      <c r="O385" s="1308"/>
    </row>
    <row r="386" spans="1:15">
      <c r="A386" s="1308"/>
      <c r="B386" s="1308"/>
      <c r="C386" s="1308"/>
      <c r="D386" s="1308"/>
      <c r="E386" s="1308"/>
      <c r="F386" s="1309"/>
      <c r="G386" s="1309"/>
      <c r="H386" s="1309"/>
      <c r="I386" s="1309"/>
      <c r="J386" s="1309"/>
      <c r="K386" s="1309"/>
      <c r="L386" s="1308"/>
      <c r="M386" s="1308"/>
      <c r="N386" s="1308"/>
      <c r="O386" s="1308"/>
    </row>
    <row r="387" spans="1:15">
      <c r="A387" s="1308"/>
      <c r="B387" s="1308"/>
      <c r="C387" s="1308"/>
      <c r="D387" s="1308"/>
      <c r="E387" s="1308"/>
      <c r="F387" s="1309"/>
      <c r="G387" s="1309"/>
      <c r="H387" s="1309"/>
      <c r="I387" s="1309"/>
      <c r="J387" s="1309"/>
      <c r="K387" s="1309"/>
      <c r="L387" s="1308"/>
      <c r="M387" s="1308"/>
      <c r="N387" s="1308"/>
      <c r="O387" s="1308"/>
    </row>
    <row r="388" spans="1:15">
      <c r="A388" s="1308"/>
      <c r="B388" s="1308"/>
      <c r="C388" s="1308"/>
      <c r="D388" s="1308"/>
      <c r="E388" s="1308"/>
      <c r="F388" s="1309"/>
      <c r="G388" s="1309"/>
      <c r="H388" s="1309"/>
      <c r="I388" s="1309"/>
      <c r="J388" s="1309"/>
      <c r="K388" s="1309"/>
      <c r="L388" s="1308"/>
      <c r="M388" s="1308"/>
      <c r="N388" s="1308"/>
      <c r="O388" s="1308"/>
    </row>
    <row r="389" spans="1:15">
      <c r="A389" s="1308"/>
      <c r="B389" s="1308"/>
      <c r="C389" s="1308"/>
      <c r="D389" s="1308"/>
      <c r="E389" s="1308"/>
      <c r="F389" s="1309"/>
      <c r="G389" s="1309"/>
      <c r="H389" s="1309"/>
      <c r="I389" s="1309"/>
      <c r="J389" s="1309"/>
      <c r="K389" s="1309"/>
      <c r="L389" s="1308"/>
      <c r="M389" s="1308"/>
      <c r="N389" s="1308"/>
      <c r="O389" s="1308"/>
    </row>
    <row r="390" spans="1:15">
      <c r="A390" s="1308"/>
      <c r="B390" s="1308"/>
      <c r="C390" s="1308"/>
      <c r="D390" s="1308"/>
      <c r="E390" s="1308"/>
      <c r="F390" s="1309"/>
      <c r="G390" s="1309"/>
      <c r="H390" s="1309"/>
      <c r="I390" s="1309"/>
      <c r="J390" s="1309"/>
      <c r="K390" s="1309"/>
      <c r="L390" s="1308"/>
      <c r="M390" s="1308"/>
      <c r="N390" s="1308"/>
      <c r="O390" s="1308"/>
    </row>
    <row r="391" spans="1:15">
      <c r="A391" s="1308"/>
      <c r="B391" s="1308"/>
      <c r="C391" s="1308"/>
      <c r="D391" s="1308"/>
      <c r="E391" s="1308"/>
      <c r="F391" s="1309"/>
      <c r="G391" s="1309"/>
      <c r="H391" s="1309"/>
      <c r="I391" s="1309"/>
      <c r="J391" s="1309"/>
      <c r="K391" s="1309"/>
      <c r="L391" s="1308"/>
      <c r="M391" s="1308"/>
      <c r="N391" s="1308"/>
      <c r="O391" s="1308"/>
    </row>
    <row r="392" spans="1:15">
      <c r="A392" s="1308"/>
      <c r="B392" s="1308"/>
      <c r="C392" s="1308"/>
      <c r="D392" s="1308"/>
      <c r="E392" s="1308"/>
      <c r="F392" s="1309"/>
      <c r="G392" s="1309"/>
      <c r="H392" s="1309"/>
      <c r="I392" s="1309"/>
      <c r="J392" s="1309"/>
      <c r="K392" s="1309"/>
      <c r="L392" s="1308"/>
      <c r="M392" s="1308"/>
      <c r="N392" s="1308"/>
      <c r="O392" s="1308"/>
    </row>
    <row r="393" spans="1:15">
      <c r="A393" s="1308"/>
      <c r="B393" s="1308"/>
      <c r="C393" s="1308"/>
      <c r="D393" s="1308"/>
      <c r="E393" s="1308"/>
      <c r="F393" s="1309"/>
      <c r="G393" s="1309"/>
      <c r="H393" s="1309"/>
      <c r="I393" s="1309"/>
      <c r="J393" s="1309"/>
      <c r="K393" s="1309"/>
      <c r="L393" s="1308"/>
      <c r="M393" s="1308"/>
      <c r="N393" s="1308"/>
      <c r="O393" s="1308"/>
    </row>
    <row r="394" spans="1:15">
      <c r="A394" s="1308"/>
      <c r="B394" s="1308"/>
      <c r="C394" s="1308"/>
      <c r="D394" s="1308"/>
      <c r="E394" s="1308"/>
      <c r="F394" s="1309"/>
      <c r="G394" s="1309"/>
      <c r="H394" s="1309"/>
      <c r="I394" s="1309"/>
      <c r="J394" s="1309"/>
      <c r="K394" s="1309"/>
      <c r="L394" s="1308"/>
      <c r="M394" s="1308"/>
      <c r="N394" s="1308"/>
      <c r="O394" s="1308"/>
    </row>
    <row r="395" spans="1:15">
      <c r="A395" s="1308"/>
      <c r="B395" s="1308"/>
      <c r="C395" s="1308"/>
      <c r="D395" s="1308"/>
      <c r="E395" s="1308"/>
      <c r="F395" s="1309"/>
      <c r="G395" s="1309"/>
      <c r="H395" s="1309"/>
      <c r="I395" s="1309"/>
      <c r="J395" s="1309"/>
      <c r="K395" s="1309"/>
      <c r="L395" s="1308"/>
      <c r="M395" s="1308"/>
      <c r="N395" s="1308"/>
      <c r="O395" s="1308"/>
    </row>
    <row r="396" spans="1:15">
      <c r="A396" s="1308"/>
      <c r="B396" s="1308"/>
      <c r="C396" s="1308"/>
      <c r="D396" s="1308"/>
      <c r="E396" s="1308"/>
      <c r="F396" s="1309"/>
      <c r="G396" s="1309"/>
      <c r="H396" s="1309"/>
      <c r="I396" s="1309"/>
      <c r="J396" s="1309"/>
      <c r="K396" s="1309"/>
      <c r="L396" s="1308"/>
      <c r="M396" s="1308"/>
      <c r="N396" s="1308"/>
      <c r="O396" s="1308"/>
    </row>
    <row r="397" spans="1:15">
      <c r="A397" s="1308"/>
      <c r="B397" s="1308"/>
      <c r="C397" s="1308"/>
      <c r="D397" s="1308"/>
      <c r="E397" s="1308"/>
      <c r="F397" s="1309"/>
      <c r="G397" s="1309"/>
      <c r="H397" s="1309"/>
      <c r="I397" s="1309"/>
      <c r="J397" s="1309"/>
      <c r="K397" s="1309"/>
      <c r="L397" s="1308"/>
      <c r="M397" s="1308"/>
      <c r="N397" s="1308"/>
      <c r="O397" s="1308"/>
    </row>
    <row r="398" spans="1:15">
      <c r="A398" s="1308"/>
      <c r="B398" s="1308"/>
      <c r="C398" s="1308"/>
      <c r="D398" s="1308"/>
      <c r="E398" s="1308"/>
      <c r="F398" s="1309"/>
      <c r="G398" s="1309"/>
      <c r="H398" s="1309"/>
      <c r="I398" s="1309"/>
      <c r="J398" s="1309"/>
      <c r="K398" s="1309"/>
      <c r="L398" s="1308"/>
      <c r="M398" s="1308"/>
      <c r="N398" s="1308"/>
      <c r="O398" s="1308"/>
    </row>
    <row r="399" spans="1:15">
      <c r="A399" s="1308"/>
      <c r="B399" s="1308"/>
      <c r="C399" s="1308"/>
      <c r="D399" s="1308"/>
      <c r="E399" s="1308"/>
      <c r="F399" s="1309"/>
      <c r="G399" s="1309"/>
      <c r="H399" s="1309"/>
      <c r="I399" s="1309"/>
      <c r="J399" s="1309"/>
      <c r="K399" s="1309"/>
      <c r="L399" s="1308"/>
      <c r="M399" s="1308"/>
      <c r="N399" s="1308"/>
      <c r="O399" s="1308"/>
    </row>
    <row r="400" spans="1:15">
      <c r="A400" s="1308"/>
      <c r="B400" s="1308"/>
      <c r="C400" s="1308"/>
      <c r="D400" s="1308"/>
      <c r="E400" s="1308"/>
      <c r="F400" s="1309"/>
      <c r="G400" s="1309"/>
      <c r="H400" s="1309"/>
      <c r="I400" s="1309"/>
      <c r="J400" s="1309"/>
      <c r="K400" s="1309"/>
      <c r="L400" s="1308"/>
      <c r="M400" s="1308"/>
      <c r="N400" s="1308"/>
      <c r="O400" s="1308"/>
    </row>
    <row r="401" spans="1:15">
      <c r="A401" s="1308"/>
      <c r="B401" s="1308"/>
      <c r="C401" s="1308"/>
      <c r="D401" s="1308"/>
      <c r="E401" s="1308"/>
      <c r="F401" s="1309"/>
      <c r="G401" s="1309"/>
      <c r="H401" s="1309"/>
      <c r="I401" s="1309"/>
      <c r="J401" s="1309"/>
      <c r="K401" s="1309"/>
      <c r="L401" s="1308"/>
      <c r="M401" s="1308"/>
      <c r="N401" s="1308"/>
      <c r="O401" s="1308"/>
    </row>
    <row r="402" spans="1:15">
      <c r="A402" s="1308"/>
      <c r="B402" s="1308"/>
      <c r="C402" s="1308"/>
      <c r="D402" s="1308"/>
      <c r="E402" s="1308"/>
      <c r="F402" s="1309"/>
      <c r="G402" s="1309"/>
      <c r="H402" s="1309"/>
      <c r="I402" s="1309"/>
      <c r="J402" s="1309"/>
      <c r="K402" s="1309"/>
      <c r="L402" s="1308"/>
      <c r="M402" s="1308"/>
      <c r="N402" s="1308"/>
      <c r="O402" s="1308"/>
    </row>
    <row r="403" spans="1:15">
      <c r="B403" s="1308"/>
      <c r="C403" s="1308"/>
      <c r="D403" s="1308"/>
      <c r="E403" s="1308"/>
      <c r="F403" s="1309"/>
      <c r="G403" s="1309"/>
      <c r="H403" s="1309"/>
      <c r="I403" s="1309"/>
      <c r="J403" s="1309"/>
      <c r="K403" s="1309"/>
      <c r="L403" s="1308"/>
      <c r="M403" s="1308"/>
      <c r="N403" s="1308"/>
      <c r="O403" s="1308"/>
    </row>
    <row r="404" spans="1:15">
      <c r="B404" s="1308"/>
      <c r="C404" s="1308"/>
      <c r="D404" s="1308"/>
      <c r="E404" s="1308"/>
      <c r="F404" s="1309"/>
      <c r="G404" s="1309"/>
      <c r="H404" s="1309"/>
      <c r="I404" s="1309"/>
      <c r="J404" s="1309"/>
      <c r="K404" s="1309"/>
      <c r="L404" s="1308"/>
      <c r="M404" s="1308"/>
      <c r="N404" s="1308"/>
      <c r="O404" s="1308"/>
    </row>
    <row r="405" spans="1:15">
      <c r="B405" s="1308"/>
      <c r="C405" s="1308"/>
      <c r="D405" s="1308"/>
      <c r="E405" s="1308"/>
      <c r="F405" s="1309"/>
      <c r="G405" s="1309"/>
      <c r="H405" s="1309"/>
      <c r="I405" s="1309"/>
      <c r="J405" s="1309"/>
      <c r="K405" s="1309"/>
      <c r="L405" s="1308"/>
      <c r="M405" s="1308"/>
      <c r="N405" s="1308"/>
      <c r="O405" s="1308"/>
    </row>
    <row r="406" spans="1:15">
      <c r="B406" s="1308"/>
      <c r="C406" s="1308"/>
      <c r="D406" s="1308"/>
      <c r="E406" s="1308"/>
      <c r="F406" s="1309"/>
      <c r="G406" s="1309"/>
      <c r="H406" s="1309"/>
      <c r="I406" s="1309"/>
      <c r="J406" s="1309"/>
      <c r="K406" s="1309"/>
      <c r="L406" s="1308"/>
      <c r="M406" s="1308"/>
      <c r="N406" s="1308"/>
      <c r="O406" s="1308"/>
    </row>
    <row r="407" spans="1:15">
      <c r="B407" s="1308"/>
      <c r="C407" s="1308"/>
      <c r="D407" s="1308"/>
      <c r="E407" s="1308"/>
      <c r="F407" s="1309"/>
      <c r="G407" s="1309"/>
      <c r="H407" s="1309"/>
      <c r="I407" s="1309"/>
      <c r="J407" s="1309"/>
      <c r="K407" s="1309"/>
      <c r="L407" s="1308"/>
      <c r="M407" s="1308"/>
      <c r="N407" s="1308"/>
      <c r="O407" s="1308"/>
    </row>
    <row r="408" spans="1:15">
      <c r="B408" s="1308"/>
      <c r="C408" s="1308"/>
      <c r="D408" s="1308"/>
      <c r="E408" s="1308"/>
      <c r="F408" s="1309"/>
      <c r="G408" s="1309"/>
      <c r="H408" s="1309"/>
      <c r="I408" s="1309"/>
      <c r="J408" s="1309"/>
      <c r="K408" s="1309"/>
      <c r="L408" s="1308"/>
      <c r="M408" s="1308"/>
      <c r="N408" s="1308"/>
      <c r="O408" s="1308"/>
    </row>
    <row r="409" spans="1:15">
      <c r="B409" s="1308"/>
      <c r="C409" s="1308"/>
      <c r="D409" s="1308"/>
      <c r="E409" s="1308"/>
      <c r="F409" s="1309"/>
      <c r="G409" s="1309"/>
      <c r="H409" s="1309"/>
      <c r="I409" s="1309"/>
      <c r="J409" s="1309"/>
      <c r="K409" s="1309"/>
      <c r="L409" s="1308"/>
      <c r="M409" s="1308"/>
      <c r="N409" s="1308"/>
      <c r="O409" s="1308"/>
    </row>
    <row r="410" spans="1:15">
      <c r="B410" s="1308"/>
      <c r="C410" s="1308"/>
      <c r="D410" s="1308"/>
      <c r="E410" s="1308"/>
      <c r="F410" s="1309"/>
      <c r="G410" s="1309"/>
      <c r="H410" s="1309"/>
      <c r="I410" s="1309"/>
      <c r="J410" s="1309"/>
      <c r="K410" s="1309"/>
      <c r="L410" s="1308"/>
      <c r="M410" s="1308"/>
      <c r="N410" s="1308"/>
      <c r="O410" s="1308"/>
    </row>
    <row r="411" spans="1:15">
      <c r="B411" s="1308"/>
      <c r="C411" s="1308"/>
      <c r="D411" s="1308"/>
      <c r="E411" s="1308"/>
      <c r="F411" s="1309"/>
      <c r="G411" s="1309"/>
      <c r="H411" s="1309"/>
      <c r="I411" s="1309"/>
      <c r="J411" s="1309"/>
      <c r="K411" s="1309"/>
      <c r="L411" s="1308"/>
      <c r="M411" s="1308"/>
      <c r="N411" s="1308"/>
      <c r="O411" s="1308"/>
    </row>
    <row r="412" spans="1:15">
      <c r="B412" s="1308"/>
      <c r="C412" s="1308"/>
      <c r="D412" s="1308"/>
      <c r="E412" s="1308"/>
      <c r="F412" s="1309"/>
      <c r="G412" s="1309"/>
      <c r="H412" s="1309"/>
      <c r="I412" s="1309"/>
      <c r="J412" s="1309"/>
      <c r="K412" s="1309"/>
      <c r="L412" s="1308"/>
      <c r="M412" s="1308"/>
      <c r="N412" s="1308"/>
      <c r="O412" s="1308"/>
    </row>
  </sheetData>
  <sheetProtection algorithmName="SHA-512" hashValue="Xf1cqwZKGjHlkopLx7bpoRSObrWm0roEDeqKzgYGfj8Cku/+vvVutYKkiauQ+lgwoyhA3uUwQ8XDY6+NLPqNvg==" saltValue="5058YHELnIahAT3CbbcihQ==" spinCount="100000" sheet="1" objects="1" scenarios="1"/>
  <mergeCells count="1">
    <mergeCell ref="A28:E28"/>
  </mergeCells>
  <conditionalFormatting sqref="O23:O28">
    <cfRule type="containsText" dxfId="340" priority="4" stopIfTrue="1" operator="containsText" text="En cours">
      <formula>NOT(ISERROR(SEARCH("En cours",O23)))</formula>
    </cfRule>
    <cfRule type="containsText" dxfId="339" priority="5" stopIfTrue="1" operator="containsText" text="Finalisée">
      <formula>NOT(ISERROR(SEARCH("Finalisée",O23)))</formula>
    </cfRule>
    <cfRule type="containsText" dxfId="338" priority="6" stopIfTrue="1" operator="containsText" text="Finalisée">
      <formula>NOT(ISERROR(SEARCH("Finalisée",O23)))</formula>
    </cfRule>
  </conditionalFormatting>
  <conditionalFormatting sqref="O4:O22">
    <cfRule type="containsText" dxfId="337" priority="1" stopIfTrue="1" operator="containsText" text="En cours">
      <formula>NOT(ISERROR(SEARCH("En cours",O4)))</formula>
    </cfRule>
    <cfRule type="containsText" dxfId="336" priority="2" stopIfTrue="1" operator="containsText" text="Finalisée">
      <formula>NOT(ISERROR(SEARCH("Finalisée",O4)))</formula>
    </cfRule>
    <cfRule type="containsText" dxfId="335" priority="3" stopIfTrue="1" operator="containsText" text="Finalisée">
      <formula>NOT(ISERROR(SEARCH("Finalisée",O4)))</formula>
    </cfRule>
  </conditionalFormatting>
  <dataValidations count="10">
    <dataValidation type="list" allowBlank="1" showInputMessage="1" showErrorMessage="1" sqref="O4:O27" xr:uid="{00000000-0002-0000-0B00-000000000000}">
      <formula1>Avancement</formula1>
    </dataValidation>
    <dataValidation type="whole" allowBlank="1" showInputMessage="1" showErrorMessage="1" sqref="F28:K28 N28 Q28:T28" xr:uid="{00000000-0002-0000-0B00-000001000000}">
      <formula1>0</formula1>
      <formula2>100000000</formula2>
    </dataValidation>
    <dataValidation type="decimal" allowBlank="1" showInputMessage="1" showErrorMessage="1" sqref="N4:N27" xr:uid="{00000000-0002-0000-0B00-000002000000}">
      <formula1>0</formula1>
      <formula2>100000</formula2>
    </dataValidation>
    <dataValidation type="list" allowBlank="1" showInputMessage="1" showErrorMessage="1" sqref="P4:P27" xr:uid="{00000000-0002-0000-0B00-000003000000}">
      <formula1>Année</formula1>
    </dataValidation>
    <dataValidation operator="lessThan" allowBlank="1" showInputMessage="1" showErrorMessage="1" sqref="H4:H27 J4:K27" xr:uid="{00000000-0002-0000-0B00-000004000000}"/>
    <dataValidation type="list" operator="lessThan" allowBlank="1" showInputMessage="1" showErrorMessage="1" sqref="I4:I27" xr:uid="{00000000-0002-0000-0B00-000006000000}">
      <formula1>Source_subvention</formula1>
    </dataValidation>
    <dataValidation type="list" allowBlank="1" showInputMessage="1" showErrorMessage="1" sqref="D4:D27" xr:uid="{00000000-0002-0000-0B00-000007000000}">
      <formula1>$Z$10:$Z$22</formula1>
    </dataValidation>
    <dataValidation type="decimal" operator="lessThan" allowBlank="1" showInputMessage="1" showErrorMessage="1" sqref="F4:G27" xr:uid="{00000000-0002-0000-0B00-000008000000}">
      <formula1>1000000000000</formula1>
    </dataValidation>
    <dataValidation type="list" allowBlank="1" showInputMessage="1" showErrorMessage="1" sqref="C4:C27" xr:uid="{00000000-0002-0000-0B00-000005000000}">
      <formula1>$Y$10:$Y$116</formula1>
    </dataValidation>
    <dataValidation type="list" allowBlank="1" showInputMessage="1" showErrorMessage="1" sqref="A4:A27" xr:uid="{30083E10-9388-4A32-AA52-7BB60B55E914}">
      <formula1>Liste_batiments</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837341" r:id="rId4" name="Button 29">
              <controlPr defaultSize="0" print="0" autoFill="0" autoPict="0" macro="[0]!Reset_2">
                <anchor moveWithCells="1">
                  <from>
                    <xdr:col>15</xdr:col>
                    <xdr:colOff>182880</xdr:colOff>
                    <xdr:row>0</xdr:row>
                    <xdr:rowOff>38100</xdr:rowOff>
                  </from>
                  <to>
                    <xdr:col>32</xdr:col>
                    <xdr:colOff>274320</xdr:colOff>
                    <xdr:row>0</xdr:row>
                    <xdr:rowOff>480060</xdr:rowOff>
                  </to>
                </anchor>
              </controlPr>
            </control>
          </mc:Choice>
        </mc:AlternateContent>
      </controls>
    </mc:Choice>
  </mc:AlternateContent>
  <tableParts count="1">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euil20"/>
  <dimension ref="A1:AU585"/>
  <sheetViews>
    <sheetView topLeftCell="AI1" workbookViewId="0">
      <selection activeCell="AU5" sqref="AU5"/>
    </sheetView>
  </sheetViews>
  <sheetFormatPr baseColWidth="10" defaultColWidth="9.109375" defaultRowHeight="14.4"/>
  <cols>
    <col min="1" max="1" width="20.5546875" bestFit="1" customWidth="1"/>
    <col min="2" max="7" width="11.44140625" customWidth="1"/>
    <col min="8" max="8" width="41.109375" bestFit="1" customWidth="1"/>
    <col min="27" max="27" width="57.44140625" bestFit="1" customWidth="1"/>
    <col min="30" max="30" width="19.44140625" customWidth="1"/>
    <col min="31" max="33" width="35" customWidth="1"/>
    <col min="38" max="38" width="18.21875" customWidth="1"/>
  </cols>
  <sheetData>
    <row r="1" spans="1:47">
      <c r="AD1" s="77" t="s">
        <v>1282</v>
      </c>
      <c r="AE1" s="77" t="s">
        <v>1283</v>
      </c>
      <c r="AF1" s="77" t="s">
        <v>1284</v>
      </c>
      <c r="AG1" s="77" t="s">
        <v>1285</v>
      </c>
      <c r="AH1" s="77" t="s">
        <v>1286</v>
      </c>
      <c r="AJ1" s="77" t="s">
        <v>1287</v>
      </c>
      <c r="AL1" t="s">
        <v>2500</v>
      </c>
      <c r="AM1" t="s">
        <v>2485</v>
      </c>
      <c r="AN1" t="s">
        <v>2486</v>
      </c>
      <c r="AP1" t="s">
        <v>2488</v>
      </c>
      <c r="AQ1" t="s">
        <v>2486</v>
      </c>
      <c r="AS1" t="s">
        <v>2501</v>
      </c>
      <c r="AU1" t="s">
        <v>2793</v>
      </c>
    </row>
    <row r="2" spans="1:47" ht="28.8">
      <c r="A2" s="1297" t="s">
        <v>201</v>
      </c>
      <c r="B2" t="s">
        <v>441</v>
      </c>
      <c r="C2">
        <v>1990</v>
      </c>
      <c r="D2" t="s">
        <v>164</v>
      </c>
      <c r="E2" t="s">
        <v>180</v>
      </c>
      <c r="F2" t="s">
        <v>280</v>
      </c>
      <c r="G2" s="157">
        <v>0.01</v>
      </c>
      <c r="H2" t="str">
        <f>"Economie d'énergie de "&amp;G2*100&amp;"% par rapport à "&amp;Accueil!$E$29</f>
        <v xml:space="preserve">Economie d'énergie de 1% par rapport à </v>
      </c>
      <c r="I2" s="157">
        <f>G2</f>
        <v>0.01</v>
      </c>
      <c r="J2" t="s">
        <v>213</v>
      </c>
      <c r="K2" t="s">
        <v>1241</v>
      </c>
      <c r="L2" t="s">
        <v>3</v>
      </c>
      <c r="M2" t="s">
        <v>1288</v>
      </c>
      <c r="N2" t="s">
        <v>1098</v>
      </c>
      <c r="P2" t="s">
        <v>1241</v>
      </c>
      <c r="Q2" t="s">
        <v>1289</v>
      </c>
      <c r="S2">
        <v>2010</v>
      </c>
      <c r="U2" t="s">
        <v>1290</v>
      </c>
      <c r="Y2" s="157">
        <v>-0.01</v>
      </c>
      <c r="AA2" t="s">
        <v>866</v>
      </c>
      <c r="AB2" t="s">
        <v>180</v>
      </c>
      <c r="AD2" s="881" t="s">
        <v>1291</v>
      </c>
      <c r="AE2" s="881" t="s">
        <v>1292</v>
      </c>
      <c r="AF2" s="881" t="s">
        <v>1293</v>
      </c>
      <c r="AG2" s="881" t="s">
        <v>1294</v>
      </c>
    </row>
    <row r="3" spans="1:47" ht="43.2">
      <c r="A3" s="1297" t="s">
        <v>199</v>
      </c>
      <c r="B3" t="s">
        <v>587</v>
      </c>
      <c r="C3">
        <v>1991</v>
      </c>
      <c r="D3" t="s">
        <v>1295</v>
      </c>
      <c r="E3" t="s">
        <v>1099</v>
      </c>
      <c r="F3" t="s">
        <v>1296</v>
      </c>
      <c r="G3" s="157">
        <v>0.02</v>
      </c>
      <c r="H3" t="str">
        <f>"Economie d'énergie de "&amp;G3*100&amp;"% par rapport à "&amp;Accueil!$E$29</f>
        <v xml:space="preserve">Economie d'énergie de 2% par rapport à </v>
      </c>
      <c r="I3" s="157">
        <f t="shared" ref="I3:I66" si="0">G3</f>
        <v>0.02</v>
      </c>
      <c r="J3" t="s">
        <v>316</v>
      </c>
      <c r="K3" t="s">
        <v>1243</v>
      </c>
      <c r="L3" t="s">
        <v>784</v>
      </c>
      <c r="M3" t="s">
        <v>1297</v>
      </c>
      <c r="N3" t="s">
        <v>1254</v>
      </c>
      <c r="P3" t="s">
        <v>1243</v>
      </c>
      <c r="Q3" t="s">
        <v>1298</v>
      </c>
      <c r="S3">
        <v>2011</v>
      </c>
      <c r="U3" t="s">
        <v>1299</v>
      </c>
      <c r="Y3" s="157">
        <v>-0.02</v>
      </c>
      <c r="AA3" t="s">
        <v>870</v>
      </c>
      <c r="AB3" t="s">
        <v>1099</v>
      </c>
      <c r="AD3" s="881" t="s">
        <v>1300</v>
      </c>
      <c r="AE3" s="881" t="s">
        <v>1301</v>
      </c>
      <c r="AF3" s="881" t="s">
        <v>1302</v>
      </c>
      <c r="AG3" s="881" t="s">
        <v>1303</v>
      </c>
      <c r="AH3" s="881" t="s">
        <v>1304</v>
      </c>
      <c r="AJ3" t="s">
        <v>1305</v>
      </c>
      <c r="AL3" t="s">
        <v>2502</v>
      </c>
      <c r="AM3" t="s">
        <v>2503</v>
      </c>
      <c r="AN3" t="s">
        <v>2504</v>
      </c>
      <c r="AP3" t="s">
        <v>2505</v>
      </c>
      <c r="AQ3" t="s">
        <v>2506</v>
      </c>
      <c r="AS3" t="s">
        <v>2507</v>
      </c>
      <c r="AU3" t="s">
        <v>775</v>
      </c>
    </row>
    <row r="4" spans="1:47" ht="28.8">
      <c r="A4" s="1297" t="s">
        <v>203</v>
      </c>
      <c r="B4" t="s">
        <v>1306</v>
      </c>
      <c r="C4">
        <v>1992</v>
      </c>
      <c r="G4" s="157">
        <v>0.03</v>
      </c>
      <c r="H4" t="str">
        <f>"Economie d'énergie de "&amp;G4*100&amp;"% par rapport à "&amp;Accueil!$E$29</f>
        <v xml:space="preserve">Economie d'énergie de 3% par rapport à </v>
      </c>
      <c r="I4" s="157">
        <f t="shared" si="0"/>
        <v>0.03</v>
      </c>
      <c r="J4" t="s">
        <v>154</v>
      </c>
      <c r="K4" t="s">
        <v>1307</v>
      </c>
      <c r="L4" t="s">
        <v>794</v>
      </c>
      <c r="P4" t="s">
        <v>1307</v>
      </c>
      <c r="Q4" t="s">
        <v>1308</v>
      </c>
      <c r="S4">
        <v>2012</v>
      </c>
      <c r="U4" t="s">
        <v>1309</v>
      </c>
      <c r="Y4" s="157">
        <v>-0.03</v>
      </c>
      <c r="AA4" t="s">
        <v>876</v>
      </c>
      <c r="AD4" s="881" t="s">
        <v>1310</v>
      </c>
      <c r="AE4" s="881" t="s">
        <v>1311</v>
      </c>
      <c r="AF4" s="881" t="s">
        <v>1312</v>
      </c>
      <c r="AG4" s="881" t="s">
        <v>1313</v>
      </c>
      <c r="AJ4" t="s">
        <v>1314</v>
      </c>
      <c r="AL4" t="s">
        <v>2508</v>
      </c>
      <c r="AM4" t="s">
        <v>2509</v>
      </c>
      <c r="AN4" t="s">
        <v>1241</v>
      </c>
      <c r="AP4" t="s">
        <v>2510</v>
      </c>
      <c r="AQ4" t="s">
        <v>2511</v>
      </c>
      <c r="AS4" t="s">
        <v>2512</v>
      </c>
      <c r="AU4" t="s">
        <v>2800</v>
      </c>
    </row>
    <row r="5" spans="1:47" ht="28.8">
      <c r="A5" s="1297" t="s">
        <v>1315</v>
      </c>
      <c r="B5" t="s">
        <v>417</v>
      </c>
      <c r="C5">
        <v>1993</v>
      </c>
      <c r="G5" s="157">
        <v>0.04</v>
      </c>
      <c r="H5" t="str">
        <f>"Economie d'énergie de "&amp;G5*100&amp;"% par rapport à "&amp;Accueil!$E$29</f>
        <v xml:space="preserve">Economie d'énergie de 4% par rapport à </v>
      </c>
      <c r="I5" s="157">
        <f t="shared" si="0"/>
        <v>0.04</v>
      </c>
      <c r="J5" t="s">
        <v>319</v>
      </c>
      <c r="K5" t="s">
        <v>2</v>
      </c>
      <c r="L5" t="s">
        <v>805</v>
      </c>
      <c r="P5" t="s">
        <v>2</v>
      </c>
      <c r="Q5" t="s">
        <v>1316</v>
      </c>
      <c r="S5">
        <v>2013</v>
      </c>
      <c r="U5" t="s">
        <v>1317</v>
      </c>
      <c r="Y5" s="157">
        <v>-0.04</v>
      </c>
      <c r="AA5" t="s">
        <v>881</v>
      </c>
      <c r="AD5" s="881" t="s">
        <v>1318</v>
      </c>
      <c r="AE5" s="881" t="s">
        <v>1319</v>
      </c>
      <c r="AF5" s="881" t="s">
        <v>1320</v>
      </c>
      <c r="AG5" s="881" t="s">
        <v>1321</v>
      </c>
      <c r="AJ5" t="s">
        <v>1322</v>
      </c>
      <c r="AM5" t="s">
        <v>2513</v>
      </c>
      <c r="AN5" t="s">
        <v>2514</v>
      </c>
      <c r="AP5" t="s">
        <v>2515</v>
      </c>
      <c r="AQ5" t="s">
        <v>2516</v>
      </c>
      <c r="AS5" t="s">
        <v>2517</v>
      </c>
      <c r="AU5" t="s">
        <v>2794</v>
      </c>
    </row>
    <row r="6" spans="1:47">
      <c r="A6" s="1297" t="s">
        <v>202</v>
      </c>
      <c r="B6" t="s">
        <v>571</v>
      </c>
      <c r="C6">
        <v>1994</v>
      </c>
      <c r="G6" s="157">
        <v>0.05</v>
      </c>
      <c r="H6" t="str">
        <f>"Economie d'énergie de "&amp;G6*100&amp;"% par rapport à "&amp;Accueil!$E$29</f>
        <v xml:space="preserve">Economie d'énergie de 5% par rapport à </v>
      </c>
      <c r="I6" s="157">
        <f t="shared" si="0"/>
        <v>0.05</v>
      </c>
      <c r="J6" t="s">
        <v>323</v>
      </c>
      <c r="K6" t="s">
        <v>1323</v>
      </c>
      <c r="P6" t="s">
        <v>1323</v>
      </c>
      <c r="Q6" t="s">
        <v>1324</v>
      </c>
      <c r="S6">
        <v>2014</v>
      </c>
      <c r="U6" t="s">
        <v>1325</v>
      </c>
      <c r="Y6" s="157">
        <v>-0.05</v>
      </c>
      <c r="AA6" t="s">
        <v>884</v>
      </c>
      <c r="AD6" s="881" t="s">
        <v>1326</v>
      </c>
      <c r="AE6" s="881" t="s">
        <v>1327</v>
      </c>
      <c r="AF6" s="881" t="s">
        <v>1328</v>
      </c>
      <c r="AG6" s="892" t="s">
        <v>1329</v>
      </c>
      <c r="AP6" t="s">
        <v>2518</v>
      </c>
      <c r="AQ6" t="s">
        <v>853</v>
      </c>
      <c r="AS6" t="s">
        <v>2519</v>
      </c>
      <c r="AU6" t="s">
        <v>2795</v>
      </c>
    </row>
    <row r="7" spans="1:47">
      <c r="A7" s="1297"/>
      <c r="B7" t="s">
        <v>459</v>
      </c>
      <c r="C7">
        <v>1995</v>
      </c>
      <c r="G7" s="157">
        <v>0.06</v>
      </c>
      <c r="H7" t="str">
        <f>"Economie d'énergie de "&amp;G7*100&amp;"% par rapport à "&amp;Accueil!$E$29</f>
        <v xml:space="preserve">Economie d'énergie de 6% par rapport à </v>
      </c>
      <c r="I7" s="157">
        <f t="shared" si="0"/>
        <v>0.06</v>
      </c>
      <c r="J7" t="s">
        <v>321</v>
      </c>
      <c r="S7">
        <v>2015</v>
      </c>
      <c r="U7" t="s">
        <v>1330</v>
      </c>
      <c r="Y7" s="157">
        <v>-0.06</v>
      </c>
      <c r="AA7" t="s">
        <v>887</v>
      </c>
      <c r="AD7" s="881" t="s">
        <v>1331</v>
      </c>
      <c r="AE7" s="881" t="s">
        <v>1332</v>
      </c>
      <c r="AF7" s="881" t="s">
        <v>1333</v>
      </c>
      <c r="AG7" s="892" t="s">
        <v>1334</v>
      </c>
      <c r="AP7" t="s">
        <v>2520</v>
      </c>
      <c r="AU7" t="s">
        <v>2796</v>
      </c>
    </row>
    <row r="8" spans="1:47">
      <c r="B8" t="s">
        <v>456</v>
      </c>
      <c r="C8">
        <v>1996</v>
      </c>
      <c r="G8" s="157">
        <v>7.0000000000000007E-2</v>
      </c>
      <c r="H8" t="str">
        <f>"Economie d'énergie de "&amp;G8*100&amp;"% par rapport à "&amp;Accueil!$E$29</f>
        <v xml:space="preserve">Economie d'énergie de 7% par rapport à </v>
      </c>
      <c r="I8" s="157">
        <f t="shared" si="0"/>
        <v>7.0000000000000007E-2</v>
      </c>
      <c r="S8">
        <v>2016</v>
      </c>
      <c r="U8" t="s">
        <v>1335</v>
      </c>
      <c r="Y8" s="157">
        <v>-7.0000000000000007E-2</v>
      </c>
      <c r="AA8" t="s">
        <v>889</v>
      </c>
      <c r="AD8" s="881" t="s">
        <v>1336</v>
      </c>
      <c r="AE8" s="881" t="s">
        <v>157</v>
      </c>
      <c r="AF8" s="881" t="s">
        <v>1337</v>
      </c>
      <c r="AP8" t="s">
        <v>853</v>
      </c>
      <c r="AU8" t="s">
        <v>2797</v>
      </c>
    </row>
    <row r="9" spans="1:47">
      <c r="B9" t="s">
        <v>431</v>
      </c>
      <c r="C9">
        <v>1997</v>
      </c>
      <c r="G9" s="157">
        <v>0.08</v>
      </c>
      <c r="H9" t="str">
        <f>"Economie d'énergie de "&amp;G9*100&amp;"% par rapport à "&amp;Accueil!$E$29</f>
        <v xml:space="preserve">Economie d'énergie de 8% par rapport à </v>
      </c>
      <c r="I9" s="157">
        <f t="shared" si="0"/>
        <v>0.08</v>
      </c>
      <c r="S9">
        <v>2017</v>
      </c>
      <c r="U9" t="s">
        <v>1338</v>
      </c>
      <c r="Y9" s="157">
        <v>-0.08</v>
      </c>
      <c r="AA9" t="s">
        <v>891</v>
      </c>
      <c r="AD9" s="881" t="s">
        <v>775</v>
      </c>
      <c r="AF9" s="881" t="s">
        <v>1339</v>
      </c>
      <c r="AG9" s="881"/>
      <c r="AU9" t="s">
        <v>2798</v>
      </c>
    </row>
    <row r="10" spans="1:47">
      <c r="B10" t="s">
        <v>1340</v>
      </c>
      <c r="C10">
        <v>1998</v>
      </c>
      <c r="G10" s="157">
        <v>0.09</v>
      </c>
      <c r="H10" t="str">
        <f>"Economie d'énergie de "&amp;G10*100&amp;"% par rapport à "&amp;Accueil!$E$29</f>
        <v xml:space="preserve">Economie d'énergie de 9% par rapport à </v>
      </c>
      <c r="I10" s="157">
        <f t="shared" si="0"/>
        <v>0.09</v>
      </c>
      <c r="S10">
        <v>2018</v>
      </c>
      <c r="U10" t="s">
        <v>1341</v>
      </c>
      <c r="Y10" s="157">
        <v>-0.09</v>
      </c>
      <c r="AA10" t="s">
        <v>892</v>
      </c>
      <c r="AF10" s="881" t="s">
        <v>1342</v>
      </c>
      <c r="AG10" s="881"/>
      <c r="AU10" t="s">
        <v>2799</v>
      </c>
    </row>
    <row r="11" spans="1:47">
      <c r="B11" t="s">
        <v>1343</v>
      </c>
      <c r="C11">
        <v>1999</v>
      </c>
      <c r="G11" s="157">
        <v>0.1</v>
      </c>
      <c r="H11" t="str">
        <f>"Economie d'énergie de "&amp;G11*100&amp;"% par rapport à "&amp;Accueil!$E$29</f>
        <v xml:space="preserve">Economie d'énergie de 10% par rapport à </v>
      </c>
      <c r="I11" s="157">
        <f t="shared" si="0"/>
        <v>0.1</v>
      </c>
      <c r="S11">
        <v>2019</v>
      </c>
      <c r="U11" t="s">
        <v>1344</v>
      </c>
      <c r="Y11" s="157">
        <v>-0.1</v>
      </c>
      <c r="AA11" t="s">
        <v>898</v>
      </c>
      <c r="AF11" s="881" t="s">
        <v>1345</v>
      </c>
      <c r="AG11" s="881"/>
      <c r="AU11" t="s">
        <v>661</v>
      </c>
    </row>
    <row r="12" spans="1:47">
      <c r="B12" t="s">
        <v>1346</v>
      </c>
      <c r="C12">
        <v>2000</v>
      </c>
      <c r="G12" s="157">
        <v>0.11</v>
      </c>
      <c r="H12" t="str">
        <f>"Economie d'énergie de "&amp;G12*100&amp;"% par rapport à "&amp;Accueil!$E$29</f>
        <v xml:space="preserve">Economie d'énergie de 11% par rapport à </v>
      </c>
      <c r="I12" s="157">
        <f t="shared" si="0"/>
        <v>0.11</v>
      </c>
      <c r="S12">
        <v>2020</v>
      </c>
      <c r="U12" t="s">
        <v>1347</v>
      </c>
      <c r="Y12" s="157">
        <v>-0.11</v>
      </c>
      <c r="AA12" t="s">
        <v>904</v>
      </c>
      <c r="AF12" s="881" t="s">
        <v>157</v>
      </c>
    </row>
    <row r="13" spans="1:47">
      <c r="B13" t="s">
        <v>526</v>
      </c>
      <c r="C13">
        <v>2001</v>
      </c>
      <c r="G13" s="157">
        <v>0.12</v>
      </c>
      <c r="H13" t="str">
        <f>"Economie d'énergie de "&amp;G13*100&amp;"% par rapport à "&amp;Accueil!$E$29</f>
        <v xml:space="preserve">Economie d'énergie de 12% par rapport à </v>
      </c>
      <c r="I13" s="157">
        <f t="shared" si="0"/>
        <v>0.12</v>
      </c>
      <c r="S13">
        <v>2021</v>
      </c>
      <c r="U13" t="s">
        <v>1348</v>
      </c>
      <c r="Y13" s="157">
        <v>-0.12</v>
      </c>
      <c r="AA13" t="s">
        <v>909</v>
      </c>
    </row>
    <row r="14" spans="1:47">
      <c r="B14" t="s">
        <v>1146</v>
      </c>
      <c r="C14">
        <v>2002</v>
      </c>
      <c r="G14" s="157">
        <v>0.13</v>
      </c>
      <c r="H14" t="str">
        <f>"Economie d'énergie de "&amp;G14*100&amp;"% par rapport à "&amp;Accueil!$E$29</f>
        <v xml:space="preserve">Economie d'énergie de 13% par rapport à </v>
      </c>
      <c r="I14" s="157">
        <f t="shared" si="0"/>
        <v>0.13</v>
      </c>
      <c r="S14">
        <v>2022</v>
      </c>
      <c r="U14" t="s">
        <v>1349</v>
      </c>
      <c r="Y14" s="157">
        <v>-0.13</v>
      </c>
      <c r="AA14" t="s">
        <v>914</v>
      </c>
    </row>
    <row r="15" spans="1:47">
      <c r="B15" t="s">
        <v>1350</v>
      </c>
      <c r="C15">
        <v>2003</v>
      </c>
      <c r="G15" s="157">
        <v>0.14000000000000001</v>
      </c>
      <c r="H15" t="str">
        <f>"Economie d'énergie de "&amp;G15*100&amp;"% par rapport à "&amp;Accueil!$E$29</f>
        <v xml:space="preserve">Economie d'énergie de 14% par rapport à </v>
      </c>
      <c r="I15" s="157">
        <f t="shared" si="0"/>
        <v>0.14000000000000001</v>
      </c>
      <c r="S15">
        <v>2023</v>
      </c>
      <c r="U15" t="s">
        <v>1351</v>
      </c>
      <c r="Y15" s="157">
        <v>-0.14000000000000001</v>
      </c>
    </row>
    <row r="16" spans="1:47">
      <c r="B16" t="s">
        <v>1352</v>
      </c>
      <c r="C16">
        <v>2004</v>
      </c>
      <c r="G16" s="157">
        <v>0.15</v>
      </c>
      <c r="H16" t="str">
        <f>"Economie d'énergie de "&amp;G16*100&amp;"% par rapport à "&amp;Accueil!$E$29</f>
        <v xml:space="preserve">Economie d'énergie de 15% par rapport à </v>
      </c>
      <c r="I16" s="157">
        <f t="shared" si="0"/>
        <v>0.15</v>
      </c>
      <c r="S16">
        <v>2024</v>
      </c>
      <c r="U16" t="s">
        <v>1353</v>
      </c>
      <c r="Y16" s="157">
        <v>-0.15</v>
      </c>
    </row>
    <row r="17" spans="2:25">
      <c r="B17" t="s">
        <v>588</v>
      </c>
      <c r="C17">
        <v>2005</v>
      </c>
      <c r="G17" s="157">
        <v>0.16</v>
      </c>
      <c r="H17" t="str">
        <f>"Economie d'énergie de "&amp;G17*100&amp;"% par rapport à "&amp;Accueil!$E$29</f>
        <v xml:space="preserve">Economie d'énergie de 16% par rapport à </v>
      </c>
      <c r="I17" s="157">
        <f t="shared" si="0"/>
        <v>0.16</v>
      </c>
      <c r="S17">
        <v>2025</v>
      </c>
      <c r="U17" t="s">
        <v>1354</v>
      </c>
      <c r="Y17" s="157">
        <v>-0.16</v>
      </c>
    </row>
    <row r="18" spans="2:25">
      <c r="B18" t="s">
        <v>371</v>
      </c>
      <c r="C18">
        <v>2006</v>
      </c>
      <c r="G18" s="157">
        <v>0.17</v>
      </c>
      <c r="H18" t="str">
        <f>"Economie d'énergie de "&amp;G18*100&amp;"% par rapport à "&amp;Accueil!$E$29</f>
        <v xml:space="preserve">Economie d'énergie de 17% par rapport à </v>
      </c>
      <c r="I18" s="157">
        <f t="shared" si="0"/>
        <v>0.17</v>
      </c>
      <c r="S18">
        <v>2026</v>
      </c>
      <c r="U18" t="s">
        <v>1355</v>
      </c>
      <c r="Y18" s="157">
        <v>-0.17</v>
      </c>
    </row>
    <row r="19" spans="2:25">
      <c r="B19" t="s">
        <v>528</v>
      </c>
      <c r="C19">
        <v>2007</v>
      </c>
      <c r="G19" s="157">
        <v>0.18</v>
      </c>
      <c r="H19" t="str">
        <f>"Economie d'énergie de "&amp;G19*100&amp;"% par rapport à "&amp;Accueil!$E$29</f>
        <v xml:space="preserve">Economie d'énergie de 18% par rapport à </v>
      </c>
      <c r="I19" s="157">
        <f t="shared" si="0"/>
        <v>0.18</v>
      </c>
      <c r="S19">
        <v>2027</v>
      </c>
      <c r="Y19" s="157">
        <v>-0.18</v>
      </c>
    </row>
    <row r="20" spans="2:25">
      <c r="B20" t="s">
        <v>529</v>
      </c>
      <c r="C20">
        <v>2008</v>
      </c>
      <c r="G20" s="157">
        <v>0.19</v>
      </c>
      <c r="H20" t="str">
        <f>"Economie d'énergie de "&amp;G20*100&amp;"% par rapport à "&amp;Accueil!$E$29</f>
        <v xml:space="preserve">Economie d'énergie de 19% par rapport à </v>
      </c>
      <c r="I20" s="157">
        <f t="shared" si="0"/>
        <v>0.19</v>
      </c>
      <c r="S20">
        <v>2028</v>
      </c>
      <c r="Y20" s="157">
        <v>-0.19</v>
      </c>
    </row>
    <row r="21" spans="2:25">
      <c r="B21" t="s">
        <v>484</v>
      </c>
      <c r="C21">
        <v>2009</v>
      </c>
      <c r="G21" s="157">
        <v>0.2</v>
      </c>
      <c r="H21" t="str">
        <f>"Economie d'énergie de "&amp;G21*100&amp;"% par rapport à "&amp;Accueil!$E$29</f>
        <v xml:space="preserve">Economie d'énergie de 20% par rapport à </v>
      </c>
      <c r="I21" s="157">
        <f t="shared" si="0"/>
        <v>0.2</v>
      </c>
      <c r="S21">
        <v>2029</v>
      </c>
      <c r="Y21" s="157">
        <v>-0.2</v>
      </c>
    </row>
    <row r="22" spans="2:25">
      <c r="B22" t="s">
        <v>1356</v>
      </c>
      <c r="C22">
        <v>2010</v>
      </c>
      <c r="G22" s="157">
        <v>0.21</v>
      </c>
      <c r="H22" t="str">
        <f>"Economie d'énergie de "&amp;G22*100&amp;"% par rapport à "&amp;Accueil!$E$29</f>
        <v xml:space="preserve">Economie d'énergie de 21% par rapport à </v>
      </c>
      <c r="I22" s="157">
        <f t="shared" si="0"/>
        <v>0.21</v>
      </c>
      <c r="S22">
        <v>2030</v>
      </c>
      <c r="Y22" s="157">
        <v>-0.21</v>
      </c>
    </row>
    <row r="23" spans="2:25">
      <c r="B23" t="s">
        <v>1357</v>
      </c>
      <c r="C23">
        <v>2011</v>
      </c>
      <c r="G23" s="157">
        <v>0.22</v>
      </c>
      <c r="H23" t="str">
        <f>"Economie d'énergie de "&amp;G23*100&amp;"% par rapport à "&amp;Accueil!$E$29</f>
        <v xml:space="preserve">Economie d'énergie de 22% par rapport à </v>
      </c>
      <c r="I23" s="157">
        <f t="shared" si="0"/>
        <v>0.22</v>
      </c>
      <c r="Y23" s="157">
        <v>-0.22</v>
      </c>
    </row>
    <row r="24" spans="2:25">
      <c r="B24" t="s">
        <v>460</v>
      </c>
      <c r="C24">
        <v>2012</v>
      </c>
      <c r="G24" s="157">
        <v>0.23</v>
      </c>
      <c r="H24" t="str">
        <f>"Economie d'énergie de "&amp;G24*100&amp;"% par rapport à "&amp;Accueil!$E$29</f>
        <v xml:space="preserve">Economie d'énergie de 23% par rapport à </v>
      </c>
      <c r="I24" s="157">
        <f t="shared" si="0"/>
        <v>0.23</v>
      </c>
      <c r="Y24" s="157">
        <v>-0.23</v>
      </c>
    </row>
    <row r="25" spans="2:25">
      <c r="B25" t="s">
        <v>461</v>
      </c>
      <c r="C25">
        <v>2013</v>
      </c>
      <c r="G25" s="157">
        <v>0.24</v>
      </c>
      <c r="H25" t="str">
        <f>"Economie d'énergie de "&amp;G25*100&amp;"% par rapport à "&amp;Accueil!$E$29</f>
        <v xml:space="preserve">Economie d'énergie de 24% par rapport à </v>
      </c>
      <c r="I25" s="157">
        <f t="shared" si="0"/>
        <v>0.24</v>
      </c>
      <c r="Y25" s="157">
        <v>-0.24</v>
      </c>
    </row>
    <row r="26" spans="2:25">
      <c r="B26" t="s">
        <v>1358</v>
      </c>
      <c r="C26">
        <v>2014</v>
      </c>
      <c r="G26" s="157">
        <v>0.25</v>
      </c>
      <c r="H26" t="str">
        <f>"Economie d'énergie de "&amp;G26*100&amp;"% par rapport à "&amp;Accueil!$E$29</f>
        <v xml:space="preserve">Economie d'énergie de 25% par rapport à </v>
      </c>
      <c r="I26" s="157">
        <f t="shared" si="0"/>
        <v>0.25</v>
      </c>
      <c r="Y26" s="157">
        <v>-0.25</v>
      </c>
    </row>
    <row r="27" spans="2:25">
      <c r="B27" t="s">
        <v>485</v>
      </c>
      <c r="C27">
        <v>2015</v>
      </c>
      <c r="G27" s="157">
        <v>0.26</v>
      </c>
      <c r="H27" t="str">
        <f>"Economie d'énergie de "&amp;G27*100&amp;"% par rapport à "&amp;Accueil!$E$29</f>
        <v xml:space="preserve">Economie d'énergie de 26% par rapport à </v>
      </c>
      <c r="I27" s="157">
        <f t="shared" si="0"/>
        <v>0.26</v>
      </c>
      <c r="Y27" s="157">
        <v>-0.26</v>
      </c>
    </row>
    <row r="28" spans="2:25">
      <c r="B28" t="s">
        <v>1359</v>
      </c>
      <c r="C28">
        <v>2016</v>
      </c>
      <c r="G28" s="157">
        <v>0.27</v>
      </c>
      <c r="H28" t="str">
        <f>"Economie d'énergie de "&amp;G28*100&amp;"% par rapport à "&amp;Accueil!$E$29</f>
        <v xml:space="preserve">Economie d'énergie de 27% par rapport à </v>
      </c>
      <c r="I28" s="157">
        <f t="shared" si="0"/>
        <v>0.27</v>
      </c>
      <c r="Y28" s="157">
        <v>-0.27</v>
      </c>
    </row>
    <row r="29" spans="2:25">
      <c r="B29" t="s">
        <v>462</v>
      </c>
      <c r="C29">
        <v>2017</v>
      </c>
      <c r="G29" s="157">
        <v>0.28000000000000003</v>
      </c>
      <c r="H29" t="str">
        <f>"Economie d'énergie de "&amp;G29*100&amp;"% par rapport à "&amp;Accueil!$E$29</f>
        <v xml:space="preserve">Economie d'énergie de 28% par rapport à </v>
      </c>
      <c r="I29" s="157">
        <f t="shared" si="0"/>
        <v>0.28000000000000003</v>
      </c>
      <c r="Y29" s="157">
        <v>-0.28000000000000003</v>
      </c>
    </row>
    <row r="30" spans="2:25">
      <c r="B30" t="s">
        <v>532</v>
      </c>
      <c r="C30">
        <v>2018</v>
      </c>
      <c r="G30" s="157">
        <v>0.28999999999999998</v>
      </c>
      <c r="H30" t="str">
        <f>"Economie d'énergie de "&amp;G30*100&amp;"% par rapport à "&amp;Accueil!$E$29</f>
        <v xml:space="preserve">Economie d'énergie de 29% par rapport à </v>
      </c>
      <c r="I30" s="157">
        <f t="shared" si="0"/>
        <v>0.28999999999999998</v>
      </c>
      <c r="Y30" s="157">
        <v>-0.28999999999999998</v>
      </c>
    </row>
    <row r="31" spans="2:25">
      <c r="B31" t="s">
        <v>418</v>
      </c>
      <c r="C31">
        <v>2019</v>
      </c>
      <c r="G31" s="157">
        <v>0.3</v>
      </c>
      <c r="H31" t="str">
        <f>"Economie d'énergie de "&amp;G31*100&amp;"% par rapport à "&amp;Accueil!$E$29</f>
        <v xml:space="preserve">Economie d'énergie de 30% par rapport à </v>
      </c>
      <c r="I31" s="157">
        <f t="shared" si="0"/>
        <v>0.3</v>
      </c>
      <c r="Y31" s="157">
        <v>-0.3</v>
      </c>
    </row>
    <row r="32" spans="2:25">
      <c r="B32" t="s">
        <v>573</v>
      </c>
      <c r="C32">
        <v>2020</v>
      </c>
      <c r="G32" s="157">
        <v>0.31</v>
      </c>
      <c r="H32" t="str">
        <f>"Economie d'énergie de "&amp;G32*100&amp;"% par rapport à "&amp;Accueil!$E$29</f>
        <v xml:space="preserve">Economie d'énergie de 31% par rapport à </v>
      </c>
      <c r="I32" s="157">
        <f t="shared" si="0"/>
        <v>0.31</v>
      </c>
      <c r="Y32" s="157">
        <v>-0.31</v>
      </c>
    </row>
    <row r="33" spans="2:25">
      <c r="B33" t="s">
        <v>343</v>
      </c>
      <c r="C33">
        <v>2021</v>
      </c>
      <c r="G33" s="157">
        <v>0.32</v>
      </c>
      <c r="H33" t="str">
        <f>"Economie d'énergie de "&amp;G33*100&amp;"% par rapport à "&amp;Accueil!$E$29</f>
        <v xml:space="preserve">Economie d'énergie de 32% par rapport à </v>
      </c>
      <c r="I33" s="157">
        <f t="shared" si="0"/>
        <v>0.32</v>
      </c>
      <c r="Y33" s="157">
        <v>-0.32</v>
      </c>
    </row>
    <row r="34" spans="2:25">
      <c r="B34" t="s">
        <v>1360</v>
      </c>
      <c r="C34">
        <v>2022</v>
      </c>
      <c r="G34" s="157">
        <v>0.33</v>
      </c>
      <c r="H34" t="str">
        <f>"Economie d'énergie de "&amp;G34*100&amp;"% par rapport à "&amp;Accueil!$E$29</f>
        <v xml:space="preserve">Economie d'énergie de 33% par rapport à </v>
      </c>
      <c r="I34" s="157">
        <f t="shared" si="0"/>
        <v>0.33</v>
      </c>
      <c r="Y34" s="157">
        <v>-0.33</v>
      </c>
    </row>
    <row r="35" spans="2:25">
      <c r="B35" t="s">
        <v>1361</v>
      </c>
      <c r="C35">
        <v>2023</v>
      </c>
      <c r="G35" s="157">
        <v>0.34</v>
      </c>
      <c r="H35" t="str">
        <f>"Economie d'énergie de "&amp;G35*100&amp;"% par rapport à "&amp;Accueil!$E$29</f>
        <v xml:space="preserve">Economie d'énergie de 34% par rapport à </v>
      </c>
      <c r="I35" s="157">
        <f t="shared" si="0"/>
        <v>0.34</v>
      </c>
      <c r="Y35" s="157">
        <v>-0.34</v>
      </c>
    </row>
    <row r="36" spans="2:25">
      <c r="B36" t="s">
        <v>1362</v>
      </c>
      <c r="C36">
        <v>2024</v>
      </c>
      <c r="G36" s="157">
        <v>0.35</v>
      </c>
      <c r="H36" t="str">
        <f>"Economie d'énergie de "&amp;G36*100&amp;"% par rapport à "&amp;Accueil!$E$29</f>
        <v xml:space="preserve">Economie d'énergie de 35% par rapport à </v>
      </c>
      <c r="I36" s="157">
        <f t="shared" si="0"/>
        <v>0.35</v>
      </c>
      <c r="Y36" s="157">
        <v>-0.35</v>
      </c>
    </row>
    <row r="37" spans="2:25">
      <c r="B37" t="s">
        <v>1363</v>
      </c>
      <c r="C37">
        <v>2025</v>
      </c>
      <c r="G37" s="157">
        <v>0.36</v>
      </c>
      <c r="H37" t="str">
        <f>"Economie d'énergie de "&amp;G37*100&amp;"% par rapport à "&amp;Accueil!$E$29</f>
        <v xml:space="preserve">Economie d'énergie de 36% par rapport à </v>
      </c>
      <c r="I37" s="157">
        <f t="shared" si="0"/>
        <v>0.36</v>
      </c>
      <c r="Y37" s="157">
        <v>-0.36</v>
      </c>
    </row>
    <row r="38" spans="2:25">
      <c r="B38" t="s">
        <v>1364</v>
      </c>
      <c r="C38">
        <v>2026</v>
      </c>
      <c r="G38" s="157">
        <v>0.37</v>
      </c>
      <c r="H38" t="str">
        <f>"Economie d'énergie de "&amp;G38*100&amp;"% par rapport à "&amp;Accueil!$E$29</f>
        <v xml:space="preserve">Economie d'énergie de 37% par rapport à </v>
      </c>
      <c r="I38" s="157">
        <f t="shared" si="0"/>
        <v>0.37</v>
      </c>
      <c r="Y38" s="157">
        <v>-0.37</v>
      </c>
    </row>
    <row r="39" spans="2:25">
      <c r="B39" t="s">
        <v>373</v>
      </c>
      <c r="C39">
        <v>2027</v>
      </c>
      <c r="G39" s="157">
        <v>0.38</v>
      </c>
      <c r="H39" t="str">
        <f>"Economie d'énergie de "&amp;G39*100&amp;"% par rapport à "&amp;Accueil!$E$29</f>
        <v xml:space="preserve">Economie d'énergie de 38% par rapport à </v>
      </c>
      <c r="I39" s="157">
        <f t="shared" si="0"/>
        <v>0.38</v>
      </c>
      <c r="Y39" s="157">
        <v>-0.38</v>
      </c>
    </row>
    <row r="40" spans="2:25">
      <c r="B40" t="s">
        <v>1365</v>
      </c>
      <c r="C40">
        <v>2028</v>
      </c>
      <c r="G40" s="157">
        <v>0.39</v>
      </c>
      <c r="H40" t="str">
        <f>"Economie d'énergie de "&amp;G40*100&amp;"% par rapport à "&amp;Accueil!$E$29</f>
        <v xml:space="preserve">Economie d'énergie de 39% par rapport à </v>
      </c>
      <c r="I40" s="157">
        <f t="shared" si="0"/>
        <v>0.39</v>
      </c>
      <c r="Y40" s="157">
        <v>-0.39</v>
      </c>
    </row>
    <row r="41" spans="2:25">
      <c r="B41" t="s">
        <v>1366</v>
      </c>
      <c r="C41">
        <v>2029</v>
      </c>
      <c r="G41" s="157">
        <v>0.4</v>
      </c>
      <c r="H41" t="str">
        <f>"Economie d'énergie de "&amp;G41*100&amp;"% par rapport à "&amp;Accueil!$E$29</f>
        <v xml:space="preserve">Economie d'énergie de 40% par rapport à </v>
      </c>
      <c r="I41" s="157">
        <f t="shared" si="0"/>
        <v>0.4</v>
      </c>
      <c r="Y41" s="157">
        <v>-0.4</v>
      </c>
    </row>
    <row r="42" spans="2:25">
      <c r="B42" t="s">
        <v>1367</v>
      </c>
      <c r="C42">
        <v>2030</v>
      </c>
      <c r="G42" s="157">
        <v>0.41</v>
      </c>
      <c r="H42" t="str">
        <f>"Economie d'énergie de "&amp;G42*100&amp;"% par rapport à "&amp;Accueil!$E$29</f>
        <v xml:space="preserve">Economie d'énergie de 41% par rapport à </v>
      </c>
      <c r="I42" s="157">
        <f t="shared" si="0"/>
        <v>0.41</v>
      </c>
      <c r="Y42" s="157">
        <v>-0.41</v>
      </c>
    </row>
    <row r="43" spans="2:25">
      <c r="B43" t="s">
        <v>1368</v>
      </c>
      <c r="G43" s="157">
        <v>0.42</v>
      </c>
      <c r="H43" t="str">
        <f>"Economie d'énergie de "&amp;G43*100&amp;"% par rapport à "&amp;Accueil!$E$29</f>
        <v xml:space="preserve">Economie d'énergie de 42% par rapport à </v>
      </c>
      <c r="I43" s="157">
        <f t="shared" si="0"/>
        <v>0.42</v>
      </c>
      <c r="Y43" s="157">
        <v>-0.42</v>
      </c>
    </row>
    <row r="44" spans="2:25">
      <c r="B44" t="s">
        <v>512</v>
      </c>
      <c r="G44" s="157">
        <v>0.43</v>
      </c>
      <c r="H44" t="str">
        <f>"Economie d'énergie de "&amp;G44*100&amp;"% par rapport à "&amp;Accueil!$E$29</f>
        <v xml:space="preserve">Economie d'énergie de 43% par rapport à </v>
      </c>
      <c r="I44" s="157">
        <f t="shared" si="0"/>
        <v>0.43</v>
      </c>
      <c r="Y44" s="157">
        <v>-0.43</v>
      </c>
    </row>
    <row r="45" spans="2:25">
      <c r="B45" t="s">
        <v>374</v>
      </c>
      <c r="G45" s="157">
        <v>0.44</v>
      </c>
      <c r="H45" t="str">
        <f>"Economie d'énergie de "&amp;G45*100&amp;"% par rapport à "&amp;Accueil!$E$29</f>
        <v xml:space="preserve">Economie d'énergie de 44% par rapport à </v>
      </c>
      <c r="I45" s="157">
        <f t="shared" si="0"/>
        <v>0.44</v>
      </c>
      <c r="Y45" s="157">
        <v>-0.44</v>
      </c>
    </row>
    <row r="46" spans="2:25">
      <c r="B46" t="s">
        <v>1369</v>
      </c>
      <c r="G46" s="157">
        <v>0.45</v>
      </c>
      <c r="H46" t="str">
        <f>"Economie d'énergie de "&amp;G46*100&amp;"% par rapport à "&amp;Accueil!$E$29</f>
        <v xml:space="preserve">Economie d'énergie de 45% par rapport à </v>
      </c>
      <c r="I46" s="157">
        <f t="shared" si="0"/>
        <v>0.45</v>
      </c>
      <c r="Y46" s="157">
        <v>-0.45</v>
      </c>
    </row>
    <row r="47" spans="2:25">
      <c r="B47" t="s">
        <v>533</v>
      </c>
      <c r="G47" s="157">
        <v>0.46</v>
      </c>
      <c r="H47" t="str">
        <f>"Economie d'énergie de "&amp;G47*100&amp;"% par rapport à "&amp;Accueil!$E$29</f>
        <v xml:space="preserve">Economie d'énergie de 46% par rapport à </v>
      </c>
      <c r="I47" s="157">
        <f t="shared" si="0"/>
        <v>0.46</v>
      </c>
      <c r="Y47" s="157">
        <v>-0.46</v>
      </c>
    </row>
    <row r="48" spans="2:25">
      <c r="B48" t="s">
        <v>549</v>
      </c>
      <c r="G48" s="157">
        <v>0.47</v>
      </c>
      <c r="H48" t="str">
        <f>"Economie d'énergie de "&amp;G48*100&amp;"% par rapport à "&amp;Accueil!$E$29</f>
        <v xml:space="preserve">Economie d'énergie de 47% par rapport à </v>
      </c>
      <c r="I48" s="157">
        <f t="shared" si="0"/>
        <v>0.47</v>
      </c>
      <c r="Y48" s="157">
        <v>-0.47</v>
      </c>
    </row>
    <row r="49" spans="2:25">
      <c r="B49" t="s">
        <v>1370</v>
      </c>
      <c r="G49" s="157">
        <v>0.48</v>
      </c>
      <c r="H49" t="str">
        <f>"Economie d'énergie de "&amp;G49*100&amp;"% par rapport à "&amp;Accueil!$E$29</f>
        <v xml:space="preserve">Economie d'énergie de 48% par rapport à </v>
      </c>
      <c r="I49" s="157">
        <f t="shared" si="0"/>
        <v>0.48</v>
      </c>
      <c r="Y49" s="157">
        <v>-0.48</v>
      </c>
    </row>
    <row r="50" spans="2:25">
      <c r="B50" t="s">
        <v>1371</v>
      </c>
      <c r="G50" s="157">
        <v>0.49</v>
      </c>
      <c r="H50" t="str">
        <f>"Economie d'énergie de "&amp;G50*100&amp;"% par rapport à "&amp;Accueil!$E$29</f>
        <v xml:space="preserve">Economie d'énergie de 49% par rapport à </v>
      </c>
      <c r="I50" s="157">
        <f t="shared" si="0"/>
        <v>0.49</v>
      </c>
      <c r="Y50" s="157">
        <v>-0.49</v>
      </c>
    </row>
    <row r="51" spans="2:25">
      <c r="B51" t="s">
        <v>463</v>
      </c>
      <c r="G51" s="157">
        <v>0.5</v>
      </c>
      <c r="H51" t="str">
        <f>"Economie d'énergie de "&amp;G51*100&amp;"% par rapport à "&amp;Accueil!$E$29</f>
        <v xml:space="preserve">Economie d'énergie de 50% par rapport à </v>
      </c>
      <c r="I51" s="157">
        <f t="shared" si="0"/>
        <v>0.5</v>
      </c>
      <c r="Y51" s="157">
        <v>-0.5</v>
      </c>
    </row>
    <row r="52" spans="2:25">
      <c r="B52" t="s">
        <v>1372</v>
      </c>
      <c r="G52" s="157">
        <v>0.51</v>
      </c>
      <c r="H52" t="str">
        <f>"Economie d'énergie de "&amp;G52*100&amp;"% par rapport à "&amp;Accueil!$E$29</f>
        <v xml:space="preserve">Economie d'énergie de 51% par rapport à </v>
      </c>
      <c r="I52" s="157">
        <f t="shared" si="0"/>
        <v>0.51</v>
      </c>
      <c r="Y52" s="157">
        <v>-0.51</v>
      </c>
    </row>
    <row r="53" spans="2:25">
      <c r="B53" t="s">
        <v>574</v>
      </c>
      <c r="G53" s="157">
        <v>0.52</v>
      </c>
      <c r="H53" t="str">
        <f>"Economie d'énergie de "&amp;G53*100&amp;"% par rapport à "&amp;Accueil!$E$29</f>
        <v xml:space="preserve">Economie d'énergie de 52% par rapport à </v>
      </c>
      <c r="I53" s="157">
        <f t="shared" si="0"/>
        <v>0.52</v>
      </c>
      <c r="Y53" s="157">
        <v>-0.52</v>
      </c>
    </row>
    <row r="54" spans="2:25">
      <c r="B54" t="s">
        <v>1373</v>
      </c>
      <c r="G54" s="157">
        <v>0.53</v>
      </c>
      <c r="H54" t="str">
        <f>"Economie d'énergie de "&amp;G54*100&amp;"% par rapport à "&amp;Accueil!$E$29</f>
        <v xml:space="preserve">Economie d'énergie de 53% par rapport à </v>
      </c>
      <c r="I54" s="157">
        <f t="shared" si="0"/>
        <v>0.53</v>
      </c>
      <c r="Y54" s="157">
        <v>-0.53</v>
      </c>
    </row>
    <row r="55" spans="2:25">
      <c r="B55" t="s">
        <v>419</v>
      </c>
      <c r="G55" s="157">
        <v>0.54</v>
      </c>
      <c r="H55" t="str">
        <f>"Economie d'énergie de "&amp;G55*100&amp;"% par rapport à "&amp;Accueil!$E$29</f>
        <v xml:space="preserve">Economie d'énergie de 54% par rapport à </v>
      </c>
      <c r="I55" s="157">
        <f t="shared" si="0"/>
        <v>0.54</v>
      </c>
      <c r="Y55" s="157">
        <v>-0.54</v>
      </c>
    </row>
    <row r="56" spans="2:25">
      <c r="B56" t="s">
        <v>1374</v>
      </c>
      <c r="G56" s="157">
        <v>0.55000000000000004</v>
      </c>
      <c r="H56" t="str">
        <f>"Economie d'énergie de "&amp;G56*100&amp;"% par rapport à "&amp;Accueil!$E$29</f>
        <v xml:space="preserve">Economie d'énergie de 55% par rapport à </v>
      </c>
      <c r="I56" s="157">
        <f t="shared" si="0"/>
        <v>0.55000000000000004</v>
      </c>
      <c r="Y56" s="157">
        <v>-0.55000000000000004</v>
      </c>
    </row>
    <row r="57" spans="2:25">
      <c r="B57" t="s">
        <v>479</v>
      </c>
      <c r="G57" s="157">
        <v>0.56000000000000005</v>
      </c>
      <c r="H57" t="str">
        <f>"Economie d'énergie de "&amp;G57*100&amp;"% par rapport à "&amp;Accueil!$E$29</f>
        <v xml:space="preserve">Economie d'énergie de 56% par rapport à </v>
      </c>
      <c r="I57" s="157">
        <f t="shared" si="0"/>
        <v>0.56000000000000005</v>
      </c>
      <c r="Y57" s="157">
        <v>-0.56000000000000005</v>
      </c>
    </row>
    <row r="58" spans="2:25">
      <c r="B58" t="s">
        <v>1375</v>
      </c>
      <c r="G58" s="157">
        <v>0.56999999999999995</v>
      </c>
      <c r="H58" t="str">
        <f>"Economie d'énergie de "&amp;G58*100&amp;"% par rapport à "&amp;Accueil!$E$29</f>
        <v xml:space="preserve">Economie d'énergie de 57% par rapport à </v>
      </c>
      <c r="I58" s="157">
        <f t="shared" si="0"/>
        <v>0.56999999999999995</v>
      </c>
      <c r="Y58" s="157">
        <v>-0.56999999999999995</v>
      </c>
    </row>
    <row r="59" spans="2:25">
      <c r="B59" t="s">
        <v>1376</v>
      </c>
      <c r="G59" s="157">
        <v>0.57999999999999996</v>
      </c>
      <c r="H59" t="str">
        <f>"Economie d'énergie de "&amp;G59*100&amp;"% par rapport à "&amp;Accueil!$E$29</f>
        <v xml:space="preserve">Economie d'énergie de 58% par rapport à </v>
      </c>
      <c r="I59" s="157">
        <f t="shared" si="0"/>
        <v>0.57999999999999996</v>
      </c>
      <c r="Y59" s="157">
        <v>-0.57999999999999996</v>
      </c>
    </row>
    <row r="60" spans="2:25">
      <c r="B60" t="s">
        <v>1377</v>
      </c>
      <c r="G60" s="157">
        <v>0.59</v>
      </c>
      <c r="H60" t="str">
        <f>"Economie d'énergie de "&amp;G60*100&amp;"% par rapport à "&amp;Accueil!$E$29</f>
        <v xml:space="preserve">Economie d'énergie de 59% par rapport à </v>
      </c>
      <c r="I60" s="157">
        <f t="shared" si="0"/>
        <v>0.59</v>
      </c>
      <c r="Y60" s="157">
        <v>-0.59</v>
      </c>
    </row>
    <row r="61" spans="2:25">
      <c r="B61" t="s">
        <v>1378</v>
      </c>
      <c r="G61" s="157">
        <v>0.6</v>
      </c>
      <c r="H61" t="str">
        <f>"Economie d'énergie de "&amp;G61*100&amp;"% par rapport à "&amp;Accueil!$E$29</f>
        <v xml:space="preserve">Economie d'énergie de 60% par rapport à </v>
      </c>
      <c r="I61" s="157">
        <f t="shared" si="0"/>
        <v>0.6</v>
      </c>
      <c r="Y61" s="157">
        <v>-0.6</v>
      </c>
    </row>
    <row r="62" spans="2:25">
      <c r="B62" t="s">
        <v>1379</v>
      </c>
      <c r="G62" s="157">
        <v>0.61</v>
      </c>
      <c r="H62" t="str">
        <f>"Economie d'énergie de "&amp;G62*100&amp;"% par rapport à "&amp;Accueil!$E$29</f>
        <v xml:space="preserve">Economie d'énergie de 61% par rapport à </v>
      </c>
      <c r="I62" s="157">
        <f t="shared" si="0"/>
        <v>0.61</v>
      </c>
      <c r="Y62" s="157">
        <v>-0.61</v>
      </c>
    </row>
    <row r="63" spans="2:25">
      <c r="B63" t="s">
        <v>1380</v>
      </c>
      <c r="G63" s="157">
        <v>0.62</v>
      </c>
      <c r="H63" t="str">
        <f>"Economie d'énergie de "&amp;G63*100&amp;"% par rapport à "&amp;Accueil!$E$29</f>
        <v xml:space="preserve">Economie d'énergie de 62% par rapport à </v>
      </c>
      <c r="I63" s="157">
        <f t="shared" si="0"/>
        <v>0.62</v>
      </c>
      <c r="Y63" s="157">
        <v>-0.62</v>
      </c>
    </row>
    <row r="64" spans="2:25">
      <c r="B64" t="s">
        <v>1381</v>
      </c>
      <c r="G64" s="157">
        <v>0.63</v>
      </c>
      <c r="H64" t="str">
        <f>"Economie d'énergie de "&amp;G64*100&amp;"% par rapport à "&amp;Accueil!$E$29</f>
        <v xml:space="preserve">Economie d'énergie de 63% par rapport à </v>
      </c>
      <c r="I64" s="157">
        <f t="shared" si="0"/>
        <v>0.63</v>
      </c>
      <c r="Y64" s="157">
        <v>-0.63</v>
      </c>
    </row>
    <row r="65" spans="2:25">
      <c r="B65" t="s">
        <v>1382</v>
      </c>
      <c r="G65" s="157">
        <v>0.64</v>
      </c>
      <c r="H65" t="str">
        <f>"Economie d'énergie de "&amp;G65*100&amp;"% par rapport à "&amp;Accueil!$E$29</f>
        <v xml:space="preserve">Economie d'énergie de 64% par rapport à </v>
      </c>
      <c r="I65" s="157">
        <f t="shared" si="0"/>
        <v>0.64</v>
      </c>
      <c r="Y65" s="157">
        <v>-0.64</v>
      </c>
    </row>
    <row r="66" spans="2:25">
      <c r="B66" t="s">
        <v>550</v>
      </c>
      <c r="G66" s="157">
        <v>0.65</v>
      </c>
      <c r="H66" t="str">
        <f>"Economie d'énergie de "&amp;G66*100&amp;"% par rapport à "&amp;Accueil!$E$29</f>
        <v xml:space="preserve">Economie d'énergie de 65% par rapport à </v>
      </c>
      <c r="I66" s="157">
        <f t="shared" si="0"/>
        <v>0.65</v>
      </c>
      <c r="Y66" s="157">
        <v>-0.65</v>
      </c>
    </row>
    <row r="67" spans="2:25">
      <c r="B67" t="s">
        <v>394</v>
      </c>
      <c r="G67" s="157">
        <v>0.66</v>
      </c>
      <c r="H67" t="str">
        <f>"Economie d'énergie de "&amp;G67*100&amp;"% par rapport à "&amp;Accueil!$E$29</f>
        <v xml:space="preserve">Economie d'énergie de 66% par rapport à </v>
      </c>
      <c r="I67" s="157">
        <f t="shared" ref="I67:I101" si="1">G67</f>
        <v>0.66</v>
      </c>
      <c r="Y67" s="157">
        <v>-0.66</v>
      </c>
    </row>
    <row r="68" spans="2:25">
      <c r="B68" t="s">
        <v>1383</v>
      </c>
      <c r="G68" s="157">
        <v>0.67</v>
      </c>
      <c r="H68" t="str">
        <f>"Economie d'énergie de "&amp;G68*100&amp;"% par rapport à "&amp;Accueil!$E$29</f>
        <v xml:space="preserve">Economie d'énergie de 67% par rapport à </v>
      </c>
      <c r="I68" s="157">
        <f t="shared" si="1"/>
        <v>0.67</v>
      </c>
      <c r="Y68" s="157">
        <v>-0.67</v>
      </c>
    </row>
    <row r="69" spans="2:25">
      <c r="B69" t="s">
        <v>1384</v>
      </c>
      <c r="G69" s="157">
        <v>0.68</v>
      </c>
      <c r="H69" t="str">
        <f>"Economie d'énergie de "&amp;G69*100&amp;"% par rapport à "&amp;Accueil!$E$29</f>
        <v xml:space="preserve">Economie d'énergie de 68% par rapport à </v>
      </c>
      <c r="I69" s="157">
        <f t="shared" si="1"/>
        <v>0.68</v>
      </c>
      <c r="Y69" s="157">
        <v>-0.68</v>
      </c>
    </row>
    <row r="70" spans="2:25">
      <c r="B70" t="s">
        <v>346</v>
      </c>
      <c r="G70" s="157">
        <v>0.69</v>
      </c>
      <c r="H70" t="str">
        <f>"Economie d'énergie de "&amp;G70*100&amp;"% par rapport à "&amp;Accueil!$E$29</f>
        <v xml:space="preserve">Economie d'énergie de 69% par rapport à </v>
      </c>
      <c r="I70" s="157">
        <f t="shared" si="1"/>
        <v>0.69</v>
      </c>
      <c r="Y70" s="157">
        <v>-0.69</v>
      </c>
    </row>
    <row r="71" spans="2:25">
      <c r="B71" t="s">
        <v>409</v>
      </c>
      <c r="G71" s="157">
        <v>0.7</v>
      </c>
      <c r="H71" t="str">
        <f>"Economie d'énergie de "&amp;G71*100&amp;"% par rapport à "&amp;Accueil!$E$29</f>
        <v xml:space="preserve">Economie d'énergie de 70% par rapport à </v>
      </c>
      <c r="I71" s="157">
        <f t="shared" si="1"/>
        <v>0.7</v>
      </c>
      <c r="Y71" s="157">
        <v>-0.7</v>
      </c>
    </row>
    <row r="72" spans="2:25">
      <c r="B72" t="s">
        <v>513</v>
      </c>
      <c r="G72" s="157">
        <v>0.71</v>
      </c>
      <c r="H72" t="str">
        <f>"Economie d'énergie de "&amp;G72*100&amp;"% par rapport à "&amp;Accueil!$E$29</f>
        <v xml:space="preserve">Economie d'énergie de 71% par rapport à </v>
      </c>
      <c r="I72" s="157">
        <f t="shared" si="1"/>
        <v>0.71</v>
      </c>
      <c r="Y72" s="157">
        <v>-0.71</v>
      </c>
    </row>
    <row r="73" spans="2:25">
      <c r="B73" t="s">
        <v>1385</v>
      </c>
      <c r="G73" s="157">
        <v>0.72</v>
      </c>
      <c r="H73" t="str">
        <f>"Economie d'énergie de "&amp;G73*100&amp;"% par rapport à "&amp;Accueil!$E$29</f>
        <v xml:space="preserve">Economie d'énergie de 72% par rapport à </v>
      </c>
      <c r="I73" s="157">
        <f t="shared" si="1"/>
        <v>0.72</v>
      </c>
      <c r="Y73" s="157">
        <v>-0.72</v>
      </c>
    </row>
    <row r="74" spans="2:25">
      <c r="B74" t="s">
        <v>1386</v>
      </c>
      <c r="G74" s="157">
        <v>0.73</v>
      </c>
      <c r="H74" t="str">
        <f>"Economie d'énergie de "&amp;G74*100&amp;"% par rapport à "&amp;Accueil!$E$29</f>
        <v xml:space="preserve">Economie d'énergie de 73% par rapport à </v>
      </c>
      <c r="I74" s="157">
        <f t="shared" si="1"/>
        <v>0.73</v>
      </c>
      <c r="Y74" s="157">
        <v>-0.73</v>
      </c>
    </row>
    <row r="75" spans="2:25">
      <c r="B75" t="s">
        <v>1387</v>
      </c>
      <c r="G75" s="157">
        <v>0.74</v>
      </c>
      <c r="H75" t="str">
        <f>"Economie d'énergie de "&amp;G75*100&amp;"% par rapport à "&amp;Accueil!$E$29</f>
        <v xml:space="preserve">Economie d'énergie de 74% par rapport à </v>
      </c>
      <c r="I75" s="157">
        <f t="shared" si="1"/>
        <v>0.74</v>
      </c>
      <c r="Y75" s="157">
        <v>-0.74</v>
      </c>
    </row>
    <row r="76" spans="2:25">
      <c r="B76" t="s">
        <v>1388</v>
      </c>
      <c r="G76" s="157">
        <v>0.75</v>
      </c>
      <c r="H76" t="str">
        <f>"Economie d'énergie de "&amp;G76*100&amp;"% par rapport à "&amp;Accueil!$E$29</f>
        <v xml:space="preserve">Economie d'énergie de 75% par rapport à </v>
      </c>
      <c r="I76" s="157">
        <f t="shared" si="1"/>
        <v>0.75</v>
      </c>
      <c r="Y76" s="157">
        <v>-0.75</v>
      </c>
    </row>
    <row r="77" spans="2:25">
      <c r="B77" t="s">
        <v>1389</v>
      </c>
      <c r="G77" s="157">
        <v>0.76</v>
      </c>
      <c r="H77" t="str">
        <f>"Economie d'énergie de "&amp;G77*100&amp;"% par rapport à "&amp;Accueil!$E$29</f>
        <v xml:space="preserve">Economie d'énergie de 76% par rapport à </v>
      </c>
      <c r="I77" s="157">
        <f t="shared" si="1"/>
        <v>0.76</v>
      </c>
      <c r="Y77" s="157">
        <v>-0.76</v>
      </c>
    </row>
    <row r="78" spans="2:25">
      <c r="B78" t="s">
        <v>375</v>
      </c>
      <c r="G78" s="157">
        <v>0.77</v>
      </c>
      <c r="H78" t="str">
        <f>"Economie d'énergie de "&amp;G78*100&amp;"% par rapport à "&amp;Accueil!$E$29</f>
        <v xml:space="preserve">Economie d'énergie de 77% par rapport à </v>
      </c>
      <c r="I78" s="157">
        <f t="shared" si="1"/>
        <v>0.77</v>
      </c>
      <c r="Y78" s="157">
        <v>-0.77</v>
      </c>
    </row>
    <row r="79" spans="2:25">
      <c r="B79" t="s">
        <v>1390</v>
      </c>
      <c r="G79" s="157">
        <v>0.78</v>
      </c>
      <c r="H79" t="str">
        <f>"Economie d'énergie de "&amp;G79*100&amp;"% par rapport à "&amp;Accueil!$E$29</f>
        <v xml:space="preserve">Economie d'énergie de 78% par rapport à </v>
      </c>
      <c r="I79" s="157">
        <f t="shared" si="1"/>
        <v>0.78</v>
      </c>
      <c r="Y79" s="157">
        <v>-0.78</v>
      </c>
    </row>
    <row r="80" spans="2:25">
      <c r="B80" t="s">
        <v>438</v>
      </c>
      <c r="G80" s="157">
        <v>0.79</v>
      </c>
      <c r="H80" t="str">
        <f>"Economie d'énergie de "&amp;G80*100&amp;"% par rapport à "&amp;Accueil!$E$29</f>
        <v xml:space="preserve">Economie d'énergie de 79% par rapport à </v>
      </c>
      <c r="I80" s="157">
        <f t="shared" si="1"/>
        <v>0.79</v>
      </c>
      <c r="Y80" s="157">
        <v>-0.79</v>
      </c>
    </row>
    <row r="81" spans="2:25">
      <c r="B81" t="s">
        <v>1391</v>
      </c>
      <c r="G81" s="157">
        <v>0.8</v>
      </c>
      <c r="H81" t="str">
        <f>"Economie d'énergie de "&amp;G81*100&amp;"% par rapport à "&amp;Accueil!$E$29</f>
        <v xml:space="preserve">Economie d'énergie de 80% par rapport à </v>
      </c>
      <c r="I81" s="157">
        <f t="shared" si="1"/>
        <v>0.8</v>
      </c>
      <c r="Y81" s="157">
        <v>-0.8</v>
      </c>
    </row>
    <row r="82" spans="2:25">
      <c r="B82" t="s">
        <v>1392</v>
      </c>
      <c r="G82" s="157">
        <v>0.81</v>
      </c>
      <c r="H82" t="str">
        <f>"Economie d'énergie de "&amp;G82*100&amp;"% par rapport à "&amp;Accueil!$E$29</f>
        <v xml:space="preserve">Economie d'énergie de 81% par rapport à </v>
      </c>
      <c r="I82" s="157">
        <f t="shared" si="1"/>
        <v>0.81</v>
      </c>
      <c r="Y82" s="157">
        <v>-0.81</v>
      </c>
    </row>
    <row r="83" spans="2:25">
      <c r="B83" t="s">
        <v>1393</v>
      </c>
      <c r="G83" s="157">
        <v>0.82</v>
      </c>
      <c r="H83" t="str">
        <f>"Economie d'énergie de "&amp;G83*100&amp;"% par rapport à "&amp;Accueil!$E$29</f>
        <v xml:space="preserve">Economie d'énergie de 82% par rapport à </v>
      </c>
      <c r="I83" s="157">
        <f t="shared" si="1"/>
        <v>0.82</v>
      </c>
      <c r="Y83" s="157">
        <v>-0.82</v>
      </c>
    </row>
    <row r="84" spans="2:25">
      <c r="B84" t="s">
        <v>443</v>
      </c>
      <c r="G84" s="157">
        <v>0.83</v>
      </c>
      <c r="H84" t="str">
        <f>"Economie d'énergie de "&amp;G84*100&amp;"% par rapport à "&amp;Accueil!$E$29</f>
        <v xml:space="preserve">Economie d'énergie de 83% par rapport à </v>
      </c>
      <c r="I84" s="157">
        <f t="shared" si="1"/>
        <v>0.83</v>
      </c>
      <c r="Y84" s="157">
        <v>-0.83</v>
      </c>
    </row>
    <row r="85" spans="2:25">
      <c r="B85" t="s">
        <v>509</v>
      </c>
      <c r="G85" s="157">
        <v>0.84</v>
      </c>
      <c r="H85" t="str">
        <f>"Economie d'énergie de "&amp;G85*100&amp;"% par rapport à "&amp;Accueil!$E$29</f>
        <v xml:space="preserve">Economie d'énergie de 84% par rapport à </v>
      </c>
      <c r="I85" s="157">
        <f t="shared" si="1"/>
        <v>0.84</v>
      </c>
      <c r="Y85" s="157">
        <v>-0.84</v>
      </c>
    </row>
    <row r="86" spans="2:25">
      <c r="B86" t="s">
        <v>1394</v>
      </c>
      <c r="G86" s="157">
        <v>0.85</v>
      </c>
      <c r="H86" t="str">
        <f>"Economie d'énergie de "&amp;G86*100&amp;"% par rapport à "&amp;Accueil!$E$29</f>
        <v xml:space="preserve">Economie d'énergie de 85% par rapport à </v>
      </c>
      <c r="I86" s="157">
        <f t="shared" si="1"/>
        <v>0.85</v>
      </c>
      <c r="Y86" s="157">
        <v>-0.85</v>
      </c>
    </row>
    <row r="87" spans="2:25">
      <c r="B87" t="s">
        <v>432</v>
      </c>
      <c r="G87" s="157">
        <v>0.86</v>
      </c>
      <c r="H87" t="str">
        <f>"Economie d'énergie de "&amp;G87*100&amp;"% par rapport à "&amp;Accueil!$E$29</f>
        <v xml:space="preserve">Economie d'énergie de 86% par rapport à </v>
      </c>
      <c r="I87" s="157">
        <f t="shared" si="1"/>
        <v>0.86</v>
      </c>
      <c r="Y87" s="157">
        <v>-0.86</v>
      </c>
    </row>
    <row r="88" spans="2:25">
      <c r="B88" t="s">
        <v>603</v>
      </c>
      <c r="G88" s="157">
        <v>0.87</v>
      </c>
      <c r="H88" t="str">
        <f>"Economie d'énergie de "&amp;G88*100&amp;"% par rapport à "&amp;Accueil!$E$29</f>
        <v xml:space="preserve">Economie d'énergie de 87% par rapport à </v>
      </c>
      <c r="I88" s="157">
        <f t="shared" si="1"/>
        <v>0.87</v>
      </c>
      <c r="Y88" s="157">
        <v>-0.87</v>
      </c>
    </row>
    <row r="89" spans="2:25">
      <c r="B89" t="s">
        <v>380</v>
      </c>
      <c r="G89" s="157">
        <v>0.88</v>
      </c>
      <c r="H89" t="str">
        <f>"Economie d'énergie de "&amp;G89*100&amp;"% par rapport à "&amp;Accueil!$E$29</f>
        <v xml:space="preserve">Economie d'énergie de 88% par rapport à </v>
      </c>
      <c r="I89" s="157">
        <f t="shared" si="1"/>
        <v>0.88</v>
      </c>
      <c r="Y89" s="157">
        <v>-0.88</v>
      </c>
    </row>
    <row r="90" spans="2:25">
      <c r="B90" t="s">
        <v>381</v>
      </c>
      <c r="G90" s="157">
        <v>0.89</v>
      </c>
      <c r="H90" t="str">
        <f>"Economie d'énergie de "&amp;G90*100&amp;"% par rapport à "&amp;Accueil!$E$29</f>
        <v xml:space="preserve">Economie d'énergie de 89% par rapport à </v>
      </c>
      <c r="I90" s="157">
        <f t="shared" si="1"/>
        <v>0.89</v>
      </c>
      <c r="Y90" s="157">
        <v>-0.89</v>
      </c>
    </row>
    <row r="91" spans="2:25">
      <c r="B91" t="s">
        <v>363</v>
      </c>
      <c r="G91" s="157">
        <v>0.9</v>
      </c>
      <c r="H91" t="str">
        <f>"Economie d'énergie de "&amp;G91*100&amp;"% par rapport à "&amp;Accueil!$E$29</f>
        <v xml:space="preserve">Economie d'énergie de 90% par rapport à </v>
      </c>
      <c r="I91" s="157">
        <f t="shared" si="1"/>
        <v>0.9</v>
      </c>
      <c r="Y91" s="157">
        <v>-0.9</v>
      </c>
    </row>
    <row r="92" spans="2:25">
      <c r="B92" t="s">
        <v>382</v>
      </c>
      <c r="G92" s="157">
        <v>0.91</v>
      </c>
      <c r="H92" t="str">
        <f>"Economie d'énergie de "&amp;G92*100&amp;"% par rapport à "&amp;Accueil!$E$29</f>
        <v xml:space="preserve">Economie d'énergie de 91% par rapport à </v>
      </c>
      <c r="I92" s="157">
        <f t="shared" si="1"/>
        <v>0.91</v>
      </c>
      <c r="Y92" s="157">
        <v>-0.91</v>
      </c>
    </row>
    <row r="93" spans="2:25">
      <c r="B93" t="s">
        <v>464</v>
      </c>
      <c r="G93" s="157">
        <v>0.92</v>
      </c>
      <c r="H93" t="str">
        <f>"Economie d'énergie de "&amp;G93*100&amp;"% par rapport à "&amp;Accueil!$E$29</f>
        <v xml:space="preserve">Economie d'énergie de 92% par rapport à </v>
      </c>
      <c r="I93" s="157">
        <f t="shared" si="1"/>
        <v>0.92</v>
      </c>
      <c r="Y93" s="157">
        <v>-0.92</v>
      </c>
    </row>
    <row r="94" spans="2:25">
      <c r="B94" t="s">
        <v>347</v>
      </c>
      <c r="G94" s="157">
        <v>0.93</v>
      </c>
      <c r="H94" t="str">
        <f>"Economie d'énergie de "&amp;G94*100&amp;"% par rapport à "&amp;Accueil!$E$29</f>
        <v xml:space="preserve">Economie d'énergie de 93% par rapport à </v>
      </c>
      <c r="I94" s="157">
        <f t="shared" si="1"/>
        <v>0.93</v>
      </c>
      <c r="Y94" s="157">
        <v>-0.93</v>
      </c>
    </row>
    <row r="95" spans="2:25">
      <c r="B95" t="s">
        <v>376</v>
      </c>
      <c r="G95" s="157">
        <v>0.94</v>
      </c>
      <c r="H95" t="str">
        <f>"Economie d'énergie de "&amp;G95*100&amp;"% par rapport à "&amp;Accueil!$E$29</f>
        <v xml:space="preserve">Economie d'énergie de 94% par rapport à </v>
      </c>
      <c r="I95" s="157">
        <f t="shared" si="1"/>
        <v>0.94</v>
      </c>
      <c r="Y95" s="157">
        <v>-0.94</v>
      </c>
    </row>
    <row r="96" spans="2:25">
      <c r="B96" t="s">
        <v>420</v>
      </c>
      <c r="G96" s="157">
        <v>0.95</v>
      </c>
      <c r="H96" t="str">
        <f>"Economie d'énergie de "&amp;G96*100&amp;"% par rapport à "&amp;Accueil!$E$29</f>
        <v xml:space="preserve">Economie d'énergie de 95% par rapport à </v>
      </c>
      <c r="I96" s="157">
        <f t="shared" si="1"/>
        <v>0.95</v>
      </c>
      <c r="Y96" s="157">
        <v>-0.95</v>
      </c>
    </row>
    <row r="97" spans="2:25">
      <c r="B97" t="s">
        <v>561</v>
      </c>
      <c r="G97" s="157">
        <v>0.96</v>
      </c>
      <c r="H97" t="str">
        <f>"Economie d'énergie de "&amp;G97*100&amp;"% par rapport à "&amp;Accueil!$E$29</f>
        <v xml:space="preserve">Economie d'énergie de 96% par rapport à </v>
      </c>
      <c r="I97" s="157">
        <f t="shared" si="1"/>
        <v>0.96</v>
      </c>
      <c r="Y97" s="157">
        <v>-0.96</v>
      </c>
    </row>
    <row r="98" spans="2:25">
      <c r="B98" t="s">
        <v>575</v>
      </c>
      <c r="G98" s="157">
        <v>0.97</v>
      </c>
      <c r="H98" t="str">
        <f>"Economie d'énergie de "&amp;G98*100&amp;"% par rapport à "&amp;Accueil!$E$29</f>
        <v xml:space="preserve">Economie d'énergie de 97% par rapport à </v>
      </c>
      <c r="I98" s="157">
        <f t="shared" si="1"/>
        <v>0.97</v>
      </c>
      <c r="Y98" s="157">
        <v>-0.97</v>
      </c>
    </row>
    <row r="99" spans="2:25">
      <c r="B99" t="s">
        <v>444</v>
      </c>
      <c r="G99" s="157">
        <v>0.98</v>
      </c>
      <c r="H99" t="str">
        <f>"Economie d'énergie de "&amp;G99*100&amp;"% par rapport à "&amp;Accueil!$E$29</f>
        <v xml:space="preserve">Economie d'énergie de 98% par rapport à </v>
      </c>
      <c r="I99" s="157">
        <f t="shared" si="1"/>
        <v>0.98</v>
      </c>
      <c r="Y99" s="157">
        <v>-0.98</v>
      </c>
    </row>
    <row r="100" spans="2:25">
      <c r="B100" t="s">
        <v>404</v>
      </c>
      <c r="G100" s="157">
        <v>0.99</v>
      </c>
      <c r="H100" t="str">
        <f>"Economie d'énergie de "&amp;G100*100&amp;"% par rapport à "&amp;Accueil!$E$29</f>
        <v xml:space="preserve">Economie d'énergie de 99% par rapport à </v>
      </c>
      <c r="I100" s="157">
        <f t="shared" si="1"/>
        <v>0.99</v>
      </c>
      <c r="Y100" s="157">
        <v>-0.99</v>
      </c>
    </row>
    <row r="101" spans="2:25">
      <c r="B101" t="s">
        <v>465</v>
      </c>
      <c r="G101" s="157">
        <v>1</v>
      </c>
      <c r="H101" t="str">
        <f>"Economie d'énergie de "&amp;G101*100&amp;"% par rapport à "&amp;Accueil!$E$29</f>
        <v xml:space="preserve">Economie d'énergie de 100% par rapport à </v>
      </c>
      <c r="I101" s="157">
        <f t="shared" si="1"/>
        <v>1</v>
      </c>
      <c r="Y101" s="157">
        <v>-1</v>
      </c>
    </row>
    <row r="102" spans="2:25">
      <c r="B102" t="s">
        <v>408</v>
      </c>
    </row>
    <row r="103" spans="2:25">
      <c r="B103" t="s">
        <v>1395</v>
      </c>
    </row>
    <row r="104" spans="2:25">
      <c r="B104" t="s">
        <v>1396</v>
      </c>
    </row>
    <row r="105" spans="2:25">
      <c r="B105" t="s">
        <v>383</v>
      </c>
    </row>
    <row r="106" spans="2:25">
      <c r="B106" t="s">
        <v>348</v>
      </c>
    </row>
    <row r="107" spans="2:25">
      <c r="B107" t="s">
        <v>604</v>
      </c>
    </row>
    <row r="108" spans="2:25">
      <c r="B108" t="s">
        <v>514</v>
      </c>
    </row>
    <row r="109" spans="2:25">
      <c r="B109" t="s">
        <v>466</v>
      </c>
    </row>
    <row r="110" spans="2:25">
      <c r="B110" t="s">
        <v>1397</v>
      </c>
    </row>
    <row r="111" spans="2:25">
      <c r="B111" t="s">
        <v>551</v>
      </c>
    </row>
    <row r="112" spans="2:25">
      <c r="B112" t="s">
        <v>1398</v>
      </c>
    </row>
    <row r="113" spans="2:2">
      <c r="B113" t="s">
        <v>1399</v>
      </c>
    </row>
    <row r="114" spans="2:2">
      <c r="B114" t="s">
        <v>1400</v>
      </c>
    </row>
    <row r="115" spans="2:2">
      <c r="B115" t="s">
        <v>1401</v>
      </c>
    </row>
    <row r="116" spans="2:2">
      <c r="B116" t="s">
        <v>1402</v>
      </c>
    </row>
    <row r="117" spans="2:2">
      <c r="B117" t="s">
        <v>1403</v>
      </c>
    </row>
    <row r="118" spans="2:2">
      <c r="B118" t="s">
        <v>1404</v>
      </c>
    </row>
    <row r="119" spans="2:2">
      <c r="B119" t="s">
        <v>1405</v>
      </c>
    </row>
    <row r="120" spans="2:2">
      <c r="B120" t="s">
        <v>1406</v>
      </c>
    </row>
    <row r="121" spans="2:2">
      <c r="B121" t="s">
        <v>1407</v>
      </c>
    </row>
    <row r="122" spans="2:2">
      <c r="B122" t="s">
        <v>1408</v>
      </c>
    </row>
    <row r="123" spans="2:2">
      <c r="B123" t="s">
        <v>1409</v>
      </c>
    </row>
    <row r="124" spans="2:2">
      <c r="B124" t="s">
        <v>1410</v>
      </c>
    </row>
    <row r="125" spans="2:2">
      <c r="B125" t="s">
        <v>1411</v>
      </c>
    </row>
    <row r="126" spans="2:2">
      <c r="B126" t="s">
        <v>1412</v>
      </c>
    </row>
    <row r="127" spans="2:2">
      <c r="B127" t="s">
        <v>576</v>
      </c>
    </row>
    <row r="128" spans="2:2">
      <c r="B128" t="s">
        <v>488</v>
      </c>
    </row>
    <row r="129" spans="2:2">
      <c r="B129" t="s">
        <v>605</v>
      </c>
    </row>
    <row r="130" spans="2:2">
      <c r="B130" t="s">
        <v>515</v>
      </c>
    </row>
    <row r="131" spans="2:2">
      <c r="B131" t="s">
        <v>395</v>
      </c>
    </row>
    <row r="132" spans="2:2">
      <c r="B132" t="s">
        <v>1413</v>
      </c>
    </row>
    <row r="133" spans="2:2">
      <c r="B133" t="s">
        <v>1414</v>
      </c>
    </row>
    <row r="134" spans="2:2">
      <c r="B134" t="s">
        <v>540</v>
      </c>
    </row>
    <row r="135" spans="2:2">
      <c r="B135" t="s">
        <v>1415</v>
      </c>
    </row>
    <row r="136" spans="2:2">
      <c r="B136" t="s">
        <v>1416</v>
      </c>
    </row>
    <row r="137" spans="2:2">
      <c r="B137" t="s">
        <v>1417</v>
      </c>
    </row>
    <row r="138" spans="2:2">
      <c r="B138" t="s">
        <v>589</v>
      </c>
    </row>
    <row r="139" spans="2:2">
      <c r="B139" t="s">
        <v>377</v>
      </c>
    </row>
    <row r="140" spans="2:2">
      <c r="B140" t="s">
        <v>410</v>
      </c>
    </row>
    <row r="141" spans="2:2">
      <c r="B141" t="s">
        <v>457</v>
      </c>
    </row>
    <row r="142" spans="2:2">
      <c r="B142" t="s">
        <v>541</v>
      </c>
    </row>
    <row r="143" spans="2:2">
      <c r="B143" t="s">
        <v>1418</v>
      </c>
    </row>
    <row r="144" spans="2:2">
      <c r="B144" t="s">
        <v>421</v>
      </c>
    </row>
    <row r="145" spans="2:2">
      <c r="B145" t="s">
        <v>467</v>
      </c>
    </row>
    <row r="146" spans="2:2">
      <c r="B146" t="s">
        <v>1419</v>
      </c>
    </row>
    <row r="147" spans="2:2">
      <c r="B147" t="s">
        <v>433</v>
      </c>
    </row>
    <row r="148" spans="2:2">
      <c r="B148" t="s">
        <v>427</v>
      </c>
    </row>
    <row r="149" spans="2:2">
      <c r="B149" t="s">
        <v>562</v>
      </c>
    </row>
    <row r="150" spans="2:2">
      <c r="B150" t="s">
        <v>1420</v>
      </c>
    </row>
    <row r="151" spans="2:2">
      <c r="B151" t="s">
        <v>489</v>
      </c>
    </row>
    <row r="152" spans="2:2">
      <c r="B152" t="s">
        <v>1421</v>
      </c>
    </row>
    <row r="153" spans="2:2">
      <c r="B153" t="s">
        <v>1422</v>
      </c>
    </row>
    <row r="154" spans="2:2">
      <c r="B154" t="s">
        <v>525</v>
      </c>
    </row>
    <row r="155" spans="2:2">
      <c r="B155" t="s">
        <v>384</v>
      </c>
    </row>
    <row r="156" spans="2:2">
      <c r="B156" t="s">
        <v>534</v>
      </c>
    </row>
    <row r="157" spans="2:2">
      <c r="B157" t="s">
        <v>599</v>
      </c>
    </row>
    <row r="158" spans="2:2">
      <c r="B158" t="s">
        <v>445</v>
      </c>
    </row>
    <row r="159" spans="2:2">
      <c r="B159" t="s">
        <v>516</v>
      </c>
    </row>
    <row r="160" spans="2:2">
      <c r="B160" t="s">
        <v>480</v>
      </c>
    </row>
    <row r="161" spans="2:2">
      <c r="B161" t="s">
        <v>468</v>
      </c>
    </row>
    <row r="162" spans="2:2">
      <c r="B162" t="s">
        <v>385</v>
      </c>
    </row>
    <row r="163" spans="2:2">
      <c r="B163" t="s">
        <v>378</v>
      </c>
    </row>
    <row r="164" spans="2:2">
      <c r="B164" t="s">
        <v>590</v>
      </c>
    </row>
    <row r="165" spans="2:2">
      <c r="B165" t="s">
        <v>606</v>
      </c>
    </row>
    <row r="166" spans="2:2">
      <c r="B166" t="s">
        <v>563</v>
      </c>
    </row>
    <row r="167" spans="2:2">
      <c r="B167" t="s">
        <v>386</v>
      </c>
    </row>
    <row r="168" spans="2:2">
      <c r="B168" t="s">
        <v>1423</v>
      </c>
    </row>
    <row r="169" spans="2:2">
      <c r="B169" t="s">
        <v>591</v>
      </c>
    </row>
    <row r="170" spans="2:2">
      <c r="B170" t="s">
        <v>396</v>
      </c>
    </row>
    <row r="171" spans="2:2">
      <c r="B171" t="s">
        <v>379</v>
      </c>
    </row>
    <row r="172" spans="2:2">
      <c r="B172" t="s">
        <v>1424</v>
      </c>
    </row>
    <row r="173" spans="2:2">
      <c r="B173" t="s">
        <v>1425</v>
      </c>
    </row>
    <row r="174" spans="2:2">
      <c r="B174" t="s">
        <v>1426</v>
      </c>
    </row>
    <row r="175" spans="2:2">
      <c r="B175" t="s">
        <v>1427</v>
      </c>
    </row>
    <row r="176" spans="2:2">
      <c r="B176" t="s">
        <v>577</v>
      </c>
    </row>
    <row r="177" spans="2:2">
      <c r="B177" t="s">
        <v>1428</v>
      </c>
    </row>
    <row r="178" spans="2:2">
      <c r="B178" t="s">
        <v>517</v>
      </c>
    </row>
    <row r="179" spans="2:2">
      <c r="B179" t="s">
        <v>1429</v>
      </c>
    </row>
    <row r="180" spans="2:2">
      <c r="B180" t="s">
        <v>602</v>
      </c>
    </row>
    <row r="181" spans="2:2">
      <c r="B181" t="s">
        <v>349</v>
      </c>
    </row>
    <row r="182" spans="2:2">
      <c r="B182" t="s">
        <v>1430</v>
      </c>
    </row>
    <row r="183" spans="2:2">
      <c r="B183" t="s">
        <v>1431</v>
      </c>
    </row>
    <row r="184" spans="2:2">
      <c r="B184" t="s">
        <v>1432</v>
      </c>
    </row>
    <row r="185" spans="2:2">
      <c r="B185" t="s">
        <v>387</v>
      </c>
    </row>
    <row r="186" spans="2:2">
      <c r="B186" t="s">
        <v>592</v>
      </c>
    </row>
    <row r="187" spans="2:2">
      <c r="B187" t="s">
        <v>1433</v>
      </c>
    </row>
    <row r="188" spans="2:2">
      <c r="B188" t="s">
        <v>1434</v>
      </c>
    </row>
    <row r="189" spans="2:2">
      <c r="B189" t="s">
        <v>1435</v>
      </c>
    </row>
    <row r="190" spans="2:2">
      <c r="B190" t="s">
        <v>1436</v>
      </c>
    </row>
    <row r="191" spans="2:2">
      <c r="B191" t="s">
        <v>538</v>
      </c>
    </row>
    <row r="192" spans="2:2">
      <c r="B192" t="s">
        <v>478</v>
      </c>
    </row>
    <row r="193" spans="2:2">
      <c r="B193" t="s">
        <v>350</v>
      </c>
    </row>
    <row r="194" spans="2:2">
      <c r="B194" t="s">
        <v>1437</v>
      </c>
    </row>
    <row r="195" spans="2:2">
      <c r="B195" t="s">
        <v>1438</v>
      </c>
    </row>
    <row r="196" spans="2:2">
      <c r="B196" t="s">
        <v>1439</v>
      </c>
    </row>
    <row r="197" spans="2:2">
      <c r="B197" t="s">
        <v>1440</v>
      </c>
    </row>
    <row r="198" spans="2:2">
      <c r="B198" t="s">
        <v>1441</v>
      </c>
    </row>
    <row r="199" spans="2:2">
      <c r="B199" t="s">
        <v>569</v>
      </c>
    </row>
    <row r="200" spans="2:2">
      <c r="B200" t="s">
        <v>1442</v>
      </c>
    </row>
    <row r="201" spans="2:2">
      <c r="B201" t="s">
        <v>1443</v>
      </c>
    </row>
    <row r="202" spans="2:2">
      <c r="B202" t="s">
        <v>1444</v>
      </c>
    </row>
    <row r="203" spans="2:2">
      <c r="B203" t="s">
        <v>1445</v>
      </c>
    </row>
    <row r="204" spans="2:2">
      <c r="B204" t="s">
        <v>446</v>
      </c>
    </row>
    <row r="205" spans="2:2">
      <c r="B205" t="s">
        <v>578</v>
      </c>
    </row>
    <row r="206" spans="2:2">
      <c r="B206" t="s">
        <v>1446</v>
      </c>
    </row>
    <row r="207" spans="2:2">
      <c r="B207" t="s">
        <v>428</v>
      </c>
    </row>
    <row r="208" spans="2:2">
      <c r="B208" t="s">
        <v>518</v>
      </c>
    </row>
    <row r="209" spans="2:2">
      <c r="B209" t="s">
        <v>1447</v>
      </c>
    </row>
    <row r="210" spans="2:2">
      <c r="B210" t="s">
        <v>1448</v>
      </c>
    </row>
    <row r="211" spans="2:2">
      <c r="B211" t="s">
        <v>585</v>
      </c>
    </row>
    <row r="212" spans="2:2">
      <c r="B212" t="s">
        <v>579</v>
      </c>
    </row>
    <row r="213" spans="2:2">
      <c r="B213" t="s">
        <v>1449</v>
      </c>
    </row>
    <row r="214" spans="2:2">
      <c r="B214" t="s">
        <v>1450</v>
      </c>
    </row>
    <row r="215" spans="2:2">
      <c r="B215" t="s">
        <v>1451</v>
      </c>
    </row>
    <row r="216" spans="2:2">
      <c r="B216" t="s">
        <v>364</v>
      </c>
    </row>
    <row r="217" spans="2:2">
      <c r="B217" t="s">
        <v>1452</v>
      </c>
    </row>
    <row r="218" spans="2:2">
      <c r="B218" t="s">
        <v>397</v>
      </c>
    </row>
    <row r="219" spans="2:2">
      <c r="B219" t="s">
        <v>552</v>
      </c>
    </row>
    <row r="220" spans="2:2">
      <c r="B220" t="s">
        <v>1453</v>
      </c>
    </row>
    <row r="221" spans="2:2">
      <c r="B221" t="s">
        <v>1454</v>
      </c>
    </row>
    <row r="222" spans="2:2">
      <c r="B222" t="s">
        <v>1455</v>
      </c>
    </row>
    <row r="223" spans="2:2">
      <c r="B223" t="s">
        <v>1456</v>
      </c>
    </row>
    <row r="224" spans="2:2">
      <c r="B224" t="s">
        <v>1457</v>
      </c>
    </row>
    <row r="225" spans="2:2">
      <c r="B225" t="s">
        <v>447</v>
      </c>
    </row>
    <row r="226" spans="2:2">
      <c r="B226" t="s">
        <v>1458</v>
      </c>
    </row>
    <row r="227" spans="2:2">
      <c r="B227" t="s">
        <v>469</v>
      </c>
    </row>
    <row r="228" spans="2:2">
      <c r="B228" t="s">
        <v>1459</v>
      </c>
    </row>
    <row r="229" spans="2:2">
      <c r="B229" t="s">
        <v>490</v>
      </c>
    </row>
    <row r="230" spans="2:2">
      <c r="B230" t="s">
        <v>1460</v>
      </c>
    </row>
    <row r="231" spans="2:2">
      <c r="B231" t="s">
        <v>1461</v>
      </c>
    </row>
    <row r="232" spans="2:2">
      <c r="B232" t="s">
        <v>1462</v>
      </c>
    </row>
    <row r="233" spans="2:2">
      <c r="B233" t="s">
        <v>1463</v>
      </c>
    </row>
    <row r="234" spans="2:2">
      <c r="B234" t="s">
        <v>1464</v>
      </c>
    </row>
    <row r="235" spans="2:2">
      <c r="B235" t="s">
        <v>1465</v>
      </c>
    </row>
    <row r="236" spans="2:2">
      <c r="B236" t="s">
        <v>1466</v>
      </c>
    </row>
    <row r="237" spans="2:2">
      <c r="B237" t="s">
        <v>405</v>
      </c>
    </row>
    <row r="238" spans="2:2">
      <c r="B238" t="s">
        <v>1467</v>
      </c>
    </row>
    <row r="239" spans="2:2">
      <c r="B239" t="s">
        <v>1468</v>
      </c>
    </row>
    <row r="240" spans="2:2">
      <c r="B240" t="s">
        <v>1469</v>
      </c>
    </row>
    <row r="241" spans="2:2">
      <c r="B241" t="s">
        <v>542</v>
      </c>
    </row>
    <row r="242" spans="2:2">
      <c r="B242" t="s">
        <v>535</v>
      </c>
    </row>
    <row r="243" spans="2:2">
      <c r="B243" t="s">
        <v>1470</v>
      </c>
    </row>
    <row r="244" spans="2:2">
      <c r="B244" t="s">
        <v>1471</v>
      </c>
    </row>
    <row r="245" spans="2:2">
      <c r="B245" t="s">
        <v>580</v>
      </c>
    </row>
    <row r="246" spans="2:2">
      <c r="B246" t="s">
        <v>1472</v>
      </c>
    </row>
    <row r="247" spans="2:2">
      <c r="B247" t="s">
        <v>1473</v>
      </c>
    </row>
    <row r="248" spans="2:2">
      <c r="B248" t="s">
        <v>1474</v>
      </c>
    </row>
    <row r="249" spans="2:2">
      <c r="B249" t="s">
        <v>448</v>
      </c>
    </row>
    <row r="250" spans="2:2">
      <c r="B250" t="s">
        <v>1475</v>
      </c>
    </row>
    <row r="251" spans="2:2">
      <c r="B251" t="s">
        <v>1476</v>
      </c>
    </row>
    <row r="252" spans="2:2">
      <c r="B252" t="s">
        <v>351</v>
      </c>
    </row>
    <row r="253" spans="2:2">
      <c r="B253" t="s">
        <v>1477</v>
      </c>
    </row>
    <row r="254" spans="2:2">
      <c r="B254" t="s">
        <v>352</v>
      </c>
    </row>
    <row r="255" spans="2:2">
      <c r="B255" t="s">
        <v>1478</v>
      </c>
    </row>
    <row r="256" spans="2:2">
      <c r="B256" t="s">
        <v>1479</v>
      </c>
    </row>
    <row r="257" spans="2:2">
      <c r="B257" t="s">
        <v>1480</v>
      </c>
    </row>
    <row r="258" spans="2:2">
      <c r="B258" t="s">
        <v>491</v>
      </c>
    </row>
    <row r="259" spans="2:2">
      <c r="B259" t="s">
        <v>600</v>
      </c>
    </row>
    <row r="260" spans="2:2">
      <c r="B260" t="s">
        <v>1481</v>
      </c>
    </row>
    <row r="261" spans="2:2">
      <c r="B261" t="s">
        <v>353</v>
      </c>
    </row>
    <row r="262" spans="2:2">
      <c r="B262" t="s">
        <v>470</v>
      </c>
    </row>
    <row r="263" spans="2:2">
      <c r="B263" t="s">
        <v>398</v>
      </c>
    </row>
    <row r="264" spans="2:2">
      <c r="B264" t="s">
        <v>1482</v>
      </c>
    </row>
    <row r="265" spans="2:2">
      <c r="B265" t="s">
        <v>1483</v>
      </c>
    </row>
    <row r="266" spans="2:2">
      <c r="B266" t="s">
        <v>1484</v>
      </c>
    </row>
    <row r="267" spans="2:2">
      <c r="B267" t="s">
        <v>1485</v>
      </c>
    </row>
    <row r="268" spans="2:2">
      <c r="B268" t="s">
        <v>1486</v>
      </c>
    </row>
    <row r="269" spans="2:2">
      <c r="B269" t="s">
        <v>1487</v>
      </c>
    </row>
    <row r="270" spans="2:2">
      <c r="B270" t="s">
        <v>1488</v>
      </c>
    </row>
    <row r="271" spans="2:2">
      <c r="B271" t="s">
        <v>1489</v>
      </c>
    </row>
    <row r="272" spans="2:2">
      <c r="B272" t="s">
        <v>1490</v>
      </c>
    </row>
    <row r="273" spans="2:2">
      <c r="B273" t="s">
        <v>1491</v>
      </c>
    </row>
    <row r="274" spans="2:2">
      <c r="B274" t="s">
        <v>1492</v>
      </c>
    </row>
    <row r="275" spans="2:2">
      <c r="B275" t="s">
        <v>1493</v>
      </c>
    </row>
    <row r="276" spans="2:2">
      <c r="B276" t="s">
        <v>1494</v>
      </c>
    </row>
    <row r="277" spans="2:2">
      <c r="B277" t="s">
        <v>1495</v>
      </c>
    </row>
    <row r="278" spans="2:2">
      <c r="B278" t="s">
        <v>1496</v>
      </c>
    </row>
    <row r="279" spans="2:2">
      <c r="B279" t="s">
        <v>1497</v>
      </c>
    </row>
    <row r="280" spans="2:2">
      <c r="B280" t="s">
        <v>1498</v>
      </c>
    </row>
    <row r="281" spans="2:2">
      <c r="B281" t="s">
        <v>1499</v>
      </c>
    </row>
    <row r="282" spans="2:2">
      <c r="B282" t="s">
        <v>1500</v>
      </c>
    </row>
    <row r="283" spans="2:2">
      <c r="B283" t="s">
        <v>1501</v>
      </c>
    </row>
    <row r="284" spans="2:2">
      <c r="B284" t="s">
        <v>1502</v>
      </c>
    </row>
    <row r="285" spans="2:2">
      <c r="B285" t="s">
        <v>1503</v>
      </c>
    </row>
    <row r="286" spans="2:2">
      <c r="B286" t="s">
        <v>1504</v>
      </c>
    </row>
    <row r="287" spans="2:2">
      <c r="B287" t="s">
        <v>1505</v>
      </c>
    </row>
    <row r="288" spans="2:2">
      <c r="B288" t="s">
        <v>1506</v>
      </c>
    </row>
    <row r="289" spans="2:2">
      <c r="B289" t="s">
        <v>601</v>
      </c>
    </row>
    <row r="290" spans="2:2">
      <c r="B290" t="s">
        <v>354</v>
      </c>
    </row>
    <row r="291" spans="2:2">
      <c r="B291" t="s">
        <v>411</v>
      </c>
    </row>
    <row r="292" spans="2:2">
      <c r="B292" t="s">
        <v>1507</v>
      </c>
    </row>
    <row r="293" spans="2:2">
      <c r="B293" t="s">
        <v>1508</v>
      </c>
    </row>
    <row r="294" spans="2:2">
      <c r="B294" t="s">
        <v>1509</v>
      </c>
    </row>
    <row r="295" spans="2:2">
      <c r="B295" t="s">
        <v>1510</v>
      </c>
    </row>
    <row r="296" spans="2:2">
      <c r="B296" t="s">
        <v>1511</v>
      </c>
    </row>
    <row r="297" spans="2:2">
      <c r="B297" t="s">
        <v>1512</v>
      </c>
    </row>
    <row r="298" spans="2:2">
      <c r="B298" t="s">
        <v>365</v>
      </c>
    </row>
    <row r="299" spans="2:2">
      <c r="B299" t="s">
        <v>413</v>
      </c>
    </row>
    <row r="300" spans="2:2">
      <c r="B300" t="s">
        <v>1513</v>
      </c>
    </row>
    <row r="301" spans="2:2">
      <c r="B301" t="s">
        <v>1514</v>
      </c>
    </row>
    <row r="302" spans="2:2">
      <c r="B302" t="s">
        <v>1515</v>
      </c>
    </row>
    <row r="303" spans="2:2">
      <c r="B303" t="s">
        <v>553</v>
      </c>
    </row>
    <row r="304" spans="2:2">
      <c r="B304" t="s">
        <v>1516</v>
      </c>
    </row>
    <row r="305" spans="2:2">
      <c r="B305" t="s">
        <v>1517</v>
      </c>
    </row>
    <row r="306" spans="2:2">
      <c r="B306" t="s">
        <v>399</v>
      </c>
    </row>
    <row r="307" spans="2:2">
      <c r="B307" t="s">
        <v>1518</v>
      </c>
    </row>
    <row r="308" spans="2:2">
      <c r="B308" t="s">
        <v>393</v>
      </c>
    </row>
    <row r="309" spans="2:2">
      <c r="B309" t="s">
        <v>412</v>
      </c>
    </row>
    <row r="310" spans="2:2">
      <c r="B310" t="s">
        <v>1519</v>
      </c>
    </row>
    <row r="311" spans="2:2">
      <c r="B311" t="s">
        <v>439</v>
      </c>
    </row>
    <row r="312" spans="2:2">
      <c r="B312" t="s">
        <v>554</v>
      </c>
    </row>
    <row r="313" spans="2:2">
      <c r="B313" t="s">
        <v>560</v>
      </c>
    </row>
    <row r="314" spans="2:2">
      <c r="B314" t="s">
        <v>1520</v>
      </c>
    </row>
    <row r="315" spans="2:2">
      <c r="B315" t="s">
        <v>1521</v>
      </c>
    </row>
    <row r="316" spans="2:2">
      <c r="B316" t="s">
        <v>471</v>
      </c>
    </row>
    <row r="317" spans="2:2">
      <c r="B317" t="s">
        <v>1522</v>
      </c>
    </row>
    <row r="318" spans="2:2">
      <c r="B318" t="s">
        <v>1523</v>
      </c>
    </row>
    <row r="319" spans="2:2">
      <c r="B319" t="s">
        <v>493</v>
      </c>
    </row>
    <row r="320" spans="2:2">
      <c r="B320" t="s">
        <v>1524</v>
      </c>
    </row>
    <row r="321" spans="2:2">
      <c r="B321" t="s">
        <v>494</v>
      </c>
    </row>
    <row r="322" spans="2:2">
      <c r="B322" t="s">
        <v>519</v>
      </c>
    </row>
    <row r="323" spans="2:2">
      <c r="B323" t="s">
        <v>1525</v>
      </c>
    </row>
    <row r="324" spans="2:2">
      <c r="B324" t="s">
        <v>1526</v>
      </c>
    </row>
    <row r="325" spans="2:2">
      <c r="B325" t="s">
        <v>1527</v>
      </c>
    </row>
    <row r="326" spans="2:2">
      <c r="B326" t="s">
        <v>423</v>
      </c>
    </row>
    <row r="327" spans="2:2">
      <c r="B327" t="s">
        <v>1528</v>
      </c>
    </row>
    <row r="328" spans="2:2">
      <c r="B328" t="s">
        <v>1529</v>
      </c>
    </row>
    <row r="329" spans="2:2">
      <c r="B329" t="s">
        <v>1530</v>
      </c>
    </row>
    <row r="330" spans="2:2">
      <c r="B330" t="s">
        <v>495</v>
      </c>
    </row>
    <row r="331" spans="2:2">
      <c r="B331" t="s">
        <v>1531</v>
      </c>
    </row>
    <row r="332" spans="2:2">
      <c r="B332" t="s">
        <v>1532</v>
      </c>
    </row>
    <row r="333" spans="2:2">
      <c r="B333" t="s">
        <v>1533</v>
      </c>
    </row>
    <row r="334" spans="2:2">
      <c r="B334" t="s">
        <v>1534</v>
      </c>
    </row>
    <row r="335" spans="2:2">
      <c r="B335" t="s">
        <v>1535</v>
      </c>
    </row>
    <row r="336" spans="2:2">
      <c r="B336" t="s">
        <v>1536</v>
      </c>
    </row>
    <row r="337" spans="2:2">
      <c r="B337" t="s">
        <v>1537</v>
      </c>
    </row>
    <row r="338" spans="2:2">
      <c r="B338" t="s">
        <v>1538</v>
      </c>
    </row>
    <row r="339" spans="2:2">
      <c r="B339" t="s">
        <v>1539</v>
      </c>
    </row>
    <row r="340" spans="2:2">
      <c r="B340" t="s">
        <v>1540</v>
      </c>
    </row>
    <row r="341" spans="2:2">
      <c r="B341" t="s">
        <v>496</v>
      </c>
    </row>
    <row r="342" spans="2:2">
      <c r="B342" t="s">
        <v>388</v>
      </c>
    </row>
    <row r="343" spans="2:2">
      <c r="B343" t="s">
        <v>548</v>
      </c>
    </row>
    <row r="344" spans="2:2">
      <c r="B344" t="s">
        <v>544</v>
      </c>
    </row>
    <row r="345" spans="2:2">
      <c r="B345" t="s">
        <v>449</v>
      </c>
    </row>
    <row r="346" spans="2:2">
      <c r="B346" t="s">
        <v>530</v>
      </c>
    </row>
    <row r="347" spans="2:2">
      <c r="B347" t="s">
        <v>1541</v>
      </c>
    </row>
    <row r="348" spans="2:2">
      <c r="B348" t="s">
        <v>1542</v>
      </c>
    </row>
    <row r="349" spans="2:2">
      <c r="B349" t="s">
        <v>1543</v>
      </c>
    </row>
    <row r="350" spans="2:2">
      <c r="B350" t="s">
        <v>1544</v>
      </c>
    </row>
    <row r="351" spans="2:2">
      <c r="B351" t="s">
        <v>564</v>
      </c>
    </row>
    <row r="352" spans="2:2">
      <c r="B352" t="s">
        <v>1545</v>
      </c>
    </row>
    <row r="353" spans="2:2">
      <c r="B353" t="s">
        <v>1546</v>
      </c>
    </row>
    <row r="354" spans="2:2">
      <c r="B354" t="s">
        <v>424</v>
      </c>
    </row>
    <row r="355" spans="2:2">
      <c r="B355" t="s">
        <v>1547</v>
      </c>
    </row>
    <row r="356" spans="2:2">
      <c r="B356" t="s">
        <v>1548</v>
      </c>
    </row>
    <row r="357" spans="2:2">
      <c r="B357" t="s">
        <v>1549</v>
      </c>
    </row>
    <row r="358" spans="2:2">
      <c r="B358" t="s">
        <v>1550</v>
      </c>
    </row>
    <row r="359" spans="2:2">
      <c r="B359" t="s">
        <v>531</v>
      </c>
    </row>
    <row r="360" spans="2:2">
      <c r="B360" t="s">
        <v>593</v>
      </c>
    </row>
    <row r="361" spans="2:2">
      <c r="B361" t="s">
        <v>1551</v>
      </c>
    </row>
    <row r="362" spans="2:2">
      <c r="B362" t="s">
        <v>1552</v>
      </c>
    </row>
    <row r="363" spans="2:2">
      <c r="B363" t="s">
        <v>450</v>
      </c>
    </row>
    <row r="364" spans="2:2">
      <c r="B364" t="s">
        <v>1553</v>
      </c>
    </row>
    <row r="365" spans="2:2">
      <c r="B365" t="s">
        <v>1554</v>
      </c>
    </row>
    <row r="366" spans="2:2">
      <c r="B366" t="s">
        <v>1555</v>
      </c>
    </row>
    <row r="367" spans="2:2">
      <c r="B367" t="s">
        <v>425</v>
      </c>
    </row>
    <row r="368" spans="2:2">
      <c r="B368" t="s">
        <v>400</v>
      </c>
    </row>
    <row r="369" spans="2:2">
      <c r="B369" t="s">
        <v>1556</v>
      </c>
    </row>
    <row r="370" spans="2:2">
      <c r="B370" t="s">
        <v>389</v>
      </c>
    </row>
    <row r="371" spans="2:2">
      <c r="B371" t="s">
        <v>355</v>
      </c>
    </row>
    <row r="372" spans="2:2">
      <c r="B372" t="s">
        <v>1557</v>
      </c>
    </row>
    <row r="373" spans="2:2">
      <c r="B373" t="s">
        <v>429</v>
      </c>
    </row>
    <row r="374" spans="2:2">
      <c r="B374" t="s">
        <v>1558</v>
      </c>
    </row>
    <row r="375" spans="2:2">
      <c r="B375" t="s">
        <v>407</v>
      </c>
    </row>
    <row r="376" spans="2:2">
      <c r="B376" t="s">
        <v>565</v>
      </c>
    </row>
    <row r="377" spans="2:2">
      <c r="B377" t="s">
        <v>594</v>
      </c>
    </row>
    <row r="378" spans="2:2">
      <c r="B378" t="s">
        <v>451</v>
      </c>
    </row>
    <row r="379" spans="2:2">
      <c r="B379" t="s">
        <v>545</v>
      </c>
    </row>
    <row r="380" spans="2:2">
      <c r="B380" t="s">
        <v>1559</v>
      </c>
    </row>
    <row r="381" spans="2:2">
      <c r="B381" t="s">
        <v>1560</v>
      </c>
    </row>
    <row r="382" spans="2:2">
      <c r="B382" t="s">
        <v>555</v>
      </c>
    </row>
    <row r="383" spans="2:2">
      <c r="B383" t="s">
        <v>481</v>
      </c>
    </row>
    <row r="384" spans="2:2">
      <c r="B384" t="s">
        <v>1561</v>
      </c>
    </row>
    <row r="385" spans="2:2">
      <c r="B385" t="s">
        <v>1562</v>
      </c>
    </row>
    <row r="386" spans="2:2">
      <c r="B386" t="s">
        <v>1563</v>
      </c>
    </row>
    <row r="387" spans="2:2">
      <c r="B387" t="s">
        <v>1564</v>
      </c>
    </row>
    <row r="388" spans="2:2">
      <c r="B388" t="s">
        <v>1565</v>
      </c>
    </row>
    <row r="389" spans="2:2">
      <c r="B389" t="s">
        <v>1566</v>
      </c>
    </row>
    <row r="390" spans="2:2">
      <c r="B390" t="s">
        <v>356</v>
      </c>
    </row>
    <row r="391" spans="2:2">
      <c r="B391" t="s">
        <v>595</v>
      </c>
    </row>
    <row r="392" spans="2:2">
      <c r="B392" t="s">
        <v>1567</v>
      </c>
    </row>
    <row r="393" spans="2:2">
      <c r="B393" t="s">
        <v>497</v>
      </c>
    </row>
    <row r="394" spans="2:2">
      <c r="B394" t="s">
        <v>581</v>
      </c>
    </row>
    <row r="395" spans="2:2">
      <c r="B395" t="s">
        <v>1568</v>
      </c>
    </row>
    <row r="396" spans="2:2">
      <c r="B396" t="s">
        <v>1569</v>
      </c>
    </row>
    <row r="397" spans="2:2">
      <c r="B397" t="s">
        <v>1570</v>
      </c>
    </row>
    <row r="398" spans="2:2">
      <c r="B398" t="s">
        <v>1571</v>
      </c>
    </row>
    <row r="399" spans="2:2">
      <c r="B399" t="s">
        <v>1572</v>
      </c>
    </row>
    <row r="400" spans="2:2">
      <c r="B400" t="s">
        <v>1573</v>
      </c>
    </row>
    <row r="401" spans="2:2">
      <c r="B401" t="s">
        <v>520</v>
      </c>
    </row>
    <row r="402" spans="2:2">
      <c r="B402" t="s">
        <v>366</v>
      </c>
    </row>
    <row r="403" spans="2:2">
      <c r="B403" t="s">
        <v>367</v>
      </c>
    </row>
    <row r="404" spans="2:2">
      <c r="B404" t="s">
        <v>1574</v>
      </c>
    </row>
    <row r="405" spans="2:2">
      <c r="B405" t="s">
        <v>1575</v>
      </c>
    </row>
    <row r="406" spans="2:2">
      <c r="B406" t="s">
        <v>1576</v>
      </c>
    </row>
    <row r="407" spans="2:2">
      <c r="B407" t="s">
        <v>1577</v>
      </c>
    </row>
    <row r="408" spans="2:2">
      <c r="B408" t="s">
        <v>452</v>
      </c>
    </row>
    <row r="409" spans="2:2">
      <c r="B409" t="s">
        <v>472</v>
      </c>
    </row>
    <row r="410" spans="2:2">
      <c r="B410" t="s">
        <v>1578</v>
      </c>
    </row>
    <row r="411" spans="2:2">
      <c r="B411" t="s">
        <v>1579</v>
      </c>
    </row>
    <row r="412" spans="2:2">
      <c r="B412" t="s">
        <v>556</v>
      </c>
    </row>
    <row r="413" spans="2:2">
      <c r="B413" t="s">
        <v>1580</v>
      </c>
    </row>
    <row r="414" spans="2:2">
      <c r="B414" t="s">
        <v>434</v>
      </c>
    </row>
    <row r="415" spans="2:2">
      <c r="B415" t="s">
        <v>1581</v>
      </c>
    </row>
    <row r="416" spans="2:2">
      <c r="B416" t="s">
        <v>1582</v>
      </c>
    </row>
    <row r="417" spans="2:2">
      <c r="B417" t="s">
        <v>498</v>
      </c>
    </row>
    <row r="418" spans="2:2">
      <c r="B418" t="s">
        <v>435</v>
      </c>
    </row>
    <row r="419" spans="2:2">
      <c r="B419" t="s">
        <v>357</v>
      </c>
    </row>
    <row r="420" spans="2:2">
      <c r="B420" t="s">
        <v>607</v>
      </c>
    </row>
    <row r="421" spans="2:2">
      <c r="B421" t="s">
        <v>1583</v>
      </c>
    </row>
    <row r="422" spans="2:2">
      <c r="B422" t="s">
        <v>510</v>
      </c>
    </row>
    <row r="423" spans="2:2">
      <c r="B423" t="s">
        <v>390</v>
      </c>
    </row>
    <row r="424" spans="2:2">
      <c r="B424" t="s">
        <v>1584</v>
      </c>
    </row>
    <row r="425" spans="2:2">
      <c r="B425" t="s">
        <v>596</v>
      </c>
    </row>
    <row r="426" spans="2:2">
      <c r="B426" t="s">
        <v>1585</v>
      </c>
    </row>
    <row r="427" spans="2:2">
      <c r="B427" t="s">
        <v>1586</v>
      </c>
    </row>
    <row r="428" spans="2:2">
      <c r="B428" t="s">
        <v>1587</v>
      </c>
    </row>
    <row r="429" spans="2:2">
      <c r="B429" t="s">
        <v>1588</v>
      </c>
    </row>
    <row r="430" spans="2:2">
      <c r="B430" t="s">
        <v>401</v>
      </c>
    </row>
    <row r="431" spans="2:2">
      <c r="B431" t="s">
        <v>406</v>
      </c>
    </row>
    <row r="432" spans="2:2">
      <c r="B432" t="s">
        <v>402</v>
      </c>
    </row>
    <row r="433" spans="2:2">
      <c r="B433" t="s">
        <v>499</v>
      </c>
    </row>
    <row r="434" spans="2:2">
      <c r="B434" t="s">
        <v>368</v>
      </c>
    </row>
    <row r="435" spans="2:2">
      <c r="B435" t="s">
        <v>1589</v>
      </c>
    </row>
    <row r="436" spans="2:2">
      <c r="B436" t="s">
        <v>1590</v>
      </c>
    </row>
    <row r="437" spans="2:2">
      <c r="B437" t="s">
        <v>369</v>
      </c>
    </row>
    <row r="438" spans="2:2">
      <c r="B438" t="s">
        <v>521</v>
      </c>
    </row>
    <row r="439" spans="2:2">
      <c r="B439" t="s">
        <v>546</v>
      </c>
    </row>
    <row r="440" spans="2:2">
      <c r="B440" t="s">
        <v>1591</v>
      </c>
    </row>
    <row r="441" spans="2:2">
      <c r="B441" t="s">
        <v>1592</v>
      </c>
    </row>
    <row r="442" spans="2:2">
      <c r="B442" t="s">
        <v>1593</v>
      </c>
    </row>
    <row r="443" spans="2:2">
      <c r="B443" t="s">
        <v>358</v>
      </c>
    </row>
    <row r="444" spans="2:2">
      <c r="B444" t="s">
        <v>582</v>
      </c>
    </row>
    <row r="445" spans="2:2">
      <c r="B445" t="s">
        <v>1594</v>
      </c>
    </row>
    <row r="446" spans="2:2">
      <c r="B446" t="s">
        <v>1595</v>
      </c>
    </row>
    <row r="447" spans="2:2">
      <c r="B447" t="s">
        <v>1596</v>
      </c>
    </row>
    <row r="448" spans="2:2">
      <c r="B448" t="s">
        <v>1597</v>
      </c>
    </row>
    <row r="449" spans="2:2">
      <c r="B449" t="s">
        <v>570</v>
      </c>
    </row>
    <row r="450" spans="2:2">
      <c r="B450" t="s">
        <v>1598</v>
      </c>
    </row>
    <row r="451" spans="2:2">
      <c r="B451" t="s">
        <v>436</v>
      </c>
    </row>
    <row r="452" spans="2:2">
      <c r="B452" t="s">
        <v>1599</v>
      </c>
    </row>
    <row r="453" spans="2:2">
      <c r="B453" t="s">
        <v>539</v>
      </c>
    </row>
    <row r="454" spans="2:2">
      <c r="B454" t="s">
        <v>522</v>
      </c>
    </row>
    <row r="455" spans="2:2">
      <c r="B455" t="s">
        <v>403</v>
      </c>
    </row>
    <row r="456" spans="2:2">
      <c r="B456" t="s">
        <v>1600</v>
      </c>
    </row>
    <row r="457" spans="2:2">
      <c r="B457" t="s">
        <v>557</v>
      </c>
    </row>
    <row r="458" spans="2:2">
      <c r="B458" t="s">
        <v>1601</v>
      </c>
    </row>
    <row r="459" spans="2:2">
      <c r="B459" t="s">
        <v>566</v>
      </c>
    </row>
    <row r="460" spans="2:2">
      <c r="B460" t="s">
        <v>473</v>
      </c>
    </row>
    <row r="461" spans="2:2">
      <c r="B461" t="s">
        <v>598</v>
      </c>
    </row>
    <row r="462" spans="2:2">
      <c r="B462" t="s">
        <v>1602</v>
      </c>
    </row>
    <row r="463" spans="2:2">
      <c r="B463" t="s">
        <v>1603</v>
      </c>
    </row>
    <row r="464" spans="2:2">
      <c r="B464" t="s">
        <v>1604</v>
      </c>
    </row>
    <row r="465" spans="2:2">
      <c r="B465" t="s">
        <v>1605</v>
      </c>
    </row>
    <row r="466" spans="2:2">
      <c r="B466" t="s">
        <v>1606</v>
      </c>
    </row>
    <row r="467" spans="2:2">
      <c r="B467" t="s">
        <v>1607</v>
      </c>
    </row>
    <row r="468" spans="2:2">
      <c r="B468" t="s">
        <v>391</v>
      </c>
    </row>
    <row r="469" spans="2:2">
      <c r="B469" t="s">
        <v>474</v>
      </c>
    </row>
    <row r="470" spans="2:2">
      <c r="B470" t="s">
        <v>414</v>
      </c>
    </row>
    <row r="471" spans="2:2">
      <c r="B471" t="s">
        <v>1608</v>
      </c>
    </row>
    <row r="472" spans="2:2">
      <c r="B472" t="s">
        <v>1609</v>
      </c>
    </row>
    <row r="473" spans="2:2">
      <c r="B473" t="s">
        <v>1610</v>
      </c>
    </row>
    <row r="474" spans="2:2">
      <c r="B474" t="s">
        <v>1611</v>
      </c>
    </row>
    <row r="475" spans="2:2">
      <c r="B475" t="s">
        <v>1612</v>
      </c>
    </row>
    <row r="476" spans="2:2">
      <c r="B476" t="s">
        <v>1613</v>
      </c>
    </row>
    <row r="477" spans="2:2">
      <c r="B477" t="s">
        <v>1614</v>
      </c>
    </row>
    <row r="478" spans="2:2">
      <c r="B478" t="s">
        <v>1615</v>
      </c>
    </row>
    <row r="479" spans="2:2">
      <c r="B479" t="s">
        <v>1616</v>
      </c>
    </row>
    <row r="480" spans="2:2">
      <c r="B480" t="s">
        <v>1617</v>
      </c>
    </row>
    <row r="481" spans="2:2">
      <c r="B481" t="s">
        <v>430</v>
      </c>
    </row>
    <row r="482" spans="2:2">
      <c r="B482" t="s">
        <v>415</v>
      </c>
    </row>
    <row r="483" spans="2:2">
      <c r="B483" t="s">
        <v>597</v>
      </c>
    </row>
    <row r="484" spans="2:2">
      <c r="B484" t="s">
        <v>583</v>
      </c>
    </row>
    <row r="485" spans="2:2">
      <c r="B485" t="s">
        <v>475</v>
      </c>
    </row>
    <row r="486" spans="2:2">
      <c r="B486" t="s">
        <v>501</v>
      </c>
    </row>
    <row r="487" spans="2:2">
      <c r="B487" t="s">
        <v>1618</v>
      </c>
    </row>
    <row r="488" spans="2:2">
      <c r="B488" t="s">
        <v>476</v>
      </c>
    </row>
    <row r="489" spans="2:2">
      <c r="B489" t="s">
        <v>1619</v>
      </c>
    </row>
    <row r="490" spans="2:2">
      <c r="B490" t="s">
        <v>1620</v>
      </c>
    </row>
    <row r="491" spans="2:2">
      <c r="B491" t="s">
        <v>502</v>
      </c>
    </row>
    <row r="492" spans="2:2">
      <c r="B492" t="s">
        <v>1621</v>
      </c>
    </row>
    <row r="493" spans="2:2">
      <c r="B493" t="s">
        <v>1622</v>
      </c>
    </row>
    <row r="494" spans="2:2">
      <c r="B494" t="s">
        <v>503</v>
      </c>
    </row>
    <row r="495" spans="2:2">
      <c r="B495" t="s">
        <v>558</v>
      </c>
    </row>
    <row r="496" spans="2:2">
      <c r="B496" t="s">
        <v>1623</v>
      </c>
    </row>
    <row r="497" spans="2:2">
      <c r="B497" t="s">
        <v>547</v>
      </c>
    </row>
    <row r="498" spans="2:2">
      <c r="B498" t="s">
        <v>1624</v>
      </c>
    </row>
    <row r="499" spans="2:2">
      <c r="B499" t="s">
        <v>1625</v>
      </c>
    </row>
    <row r="500" spans="2:2">
      <c r="B500" t="s">
        <v>1626</v>
      </c>
    </row>
    <row r="501" spans="2:2">
      <c r="B501" t="s">
        <v>504</v>
      </c>
    </row>
    <row r="502" spans="2:2">
      <c r="B502" t="s">
        <v>511</v>
      </c>
    </row>
    <row r="503" spans="2:2">
      <c r="B503" t="s">
        <v>426</v>
      </c>
    </row>
    <row r="504" spans="2:2">
      <c r="B504" t="s">
        <v>1627</v>
      </c>
    </row>
    <row r="505" spans="2:2">
      <c r="B505" t="s">
        <v>1628</v>
      </c>
    </row>
    <row r="506" spans="2:2">
      <c r="B506" t="s">
        <v>1629</v>
      </c>
    </row>
    <row r="507" spans="2:2">
      <c r="B507" t="s">
        <v>458</v>
      </c>
    </row>
    <row r="508" spans="2:2">
      <c r="B508" t="s">
        <v>567</v>
      </c>
    </row>
    <row r="509" spans="2:2">
      <c r="B509" t="s">
        <v>1630</v>
      </c>
    </row>
    <row r="510" spans="2:2">
      <c r="B510" t="s">
        <v>1631</v>
      </c>
    </row>
    <row r="511" spans="2:2">
      <c r="B511" t="s">
        <v>437</v>
      </c>
    </row>
    <row r="512" spans="2:2">
      <c r="B512" t="s">
        <v>1632</v>
      </c>
    </row>
    <row r="513" spans="2:2">
      <c r="B513" t="s">
        <v>508</v>
      </c>
    </row>
    <row r="514" spans="2:2">
      <c r="B514" t="s">
        <v>482</v>
      </c>
    </row>
    <row r="515" spans="2:2">
      <c r="B515" t="s">
        <v>359</v>
      </c>
    </row>
    <row r="516" spans="2:2">
      <c r="B516" t="s">
        <v>1633</v>
      </c>
    </row>
    <row r="517" spans="2:2">
      <c r="B517" t="s">
        <v>1634</v>
      </c>
    </row>
    <row r="518" spans="2:2">
      <c r="B518" t="s">
        <v>537</v>
      </c>
    </row>
    <row r="519" spans="2:2">
      <c r="B519" t="s">
        <v>453</v>
      </c>
    </row>
    <row r="520" spans="2:2">
      <c r="B520" t="s">
        <v>505</v>
      </c>
    </row>
    <row r="521" spans="2:2">
      <c r="B521" t="s">
        <v>1635</v>
      </c>
    </row>
    <row r="522" spans="2:2">
      <c r="B522" t="s">
        <v>536</v>
      </c>
    </row>
    <row r="523" spans="2:2">
      <c r="B523" t="s">
        <v>360</v>
      </c>
    </row>
    <row r="524" spans="2:2">
      <c r="B524" t="s">
        <v>454</v>
      </c>
    </row>
    <row r="525" spans="2:2">
      <c r="B525" t="s">
        <v>1636</v>
      </c>
    </row>
    <row r="526" spans="2:2">
      <c r="B526" t="s">
        <v>609</v>
      </c>
    </row>
    <row r="527" spans="2:2">
      <c r="B527" t="s">
        <v>568</v>
      </c>
    </row>
    <row r="528" spans="2:2">
      <c r="B528" t="s">
        <v>477</v>
      </c>
    </row>
    <row r="529" spans="2:2">
      <c r="B529" t="s">
        <v>1637</v>
      </c>
    </row>
    <row r="530" spans="2:2">
      <c r="B530" t="s">
        <v>1638</v>
      </c>
    </row>
    <row r="531" spans="2:2">
      <c r="B531" t="s">
        <v>1639</v>
      </c>
    </row>
    <row r="532" spans="2:2">
      <c r="B532" t="s">
        <v>1640</v>
      </c>
    </row>
    <row r="533" spans="2:2">
      <c r="B533" t="s">
        <v>586</v>
      </c>
    </row>
    <row r="534" spans="2:2">
      <c r="B534" t="s">
        <v>1641</v>
      </c>
    </row>
    <row r="535" spans="2:2">
      <c r="B535" t="s">
        <v>1642</v>
      </c>
    </row>
    <row r="536" spans="2:2">
      <c r="B536" t="s">
        <v>1643</v>
      </c>
    </row>
    <row r="537" spans="2:2">
      <c r="B537" t="s">
        <v>506</v>
      </c>
    </row>
    <row r="538" spans="2:2">
      <c r="B538" t="s">
        <v>608</v>
      </c>
    </row>
    <row r="539" spans="2:2">
      <c r="B539" t="s">
        <v>370</v>
      </c>
    </row>
    <row r="540" spans="2:2">
      <c r="B540" t="s">
        <v>455</v>
      </c>
    </row>
    <row r="541" spans="2:2">
      <c r="B541" t="s">
        <v>1644</v>
      </c>
    </row>
    <row r="542" spans="2:2">
      <c r="B542" t="s">
        <v>523</v>
      </c>
    </row>
    <row r="543" spans="2:2">
      <c r="B543" t="s">
        <v>524</v>
      </c>
    </row>
    <row r="544" spans="2:2">
      <c r="B544" t="s">
        <v>361</v>
      </c>
    </row>
    <row r="545" spans="2:2">
      <c r="B545" t="s">
        <v>1645</v>
      </c>
    </row>
    <row r="546" spans="2:2">
      <c r="B546" t="s">
        <v>362</v>
      </c>
    </row>
    <row r="547" spans="2:2">
      <c r="B547" t="s">
        <v>507</v>
      </c>
    </row>
    <row r="548" spans="2:2">
      <c r="B548" t="s">
        <v>1646</v>
      </c>
    </row>
    <row r="549" spans="2:2">
      <c r="B549" t="s">
        <v>559</v>
      </c>
    </row>
    <row r="550" spans="2:2">
      <c r="B550" t="s">
        <v>1647</v>
      </c>
    </row>
    <row r="551" spans="2:2">
      <c r="B551" t="s">
        <v>1648</v>
      </c>
    </row>
    <row r="552" spans="2:2">
      <c r="B552" t="s">
        <v>1649</v>
      </c>
    </row>
    <row r="553" spans="2:2">
      <c r="B553" t="s">
        <v>1650</v>
      </c>
    </row>
    <row r="554" spans="2:2">
      <c r="B554" t="s">
        <v>1651</v>
      </c>
    </row>
    <row r="555" spans="2:2">
      <c r="B555" t="s">
        <v>1652</v>
      </c>
    </row>
    <row r="556" spans="2:2">
      <c r="B556" t="s">
        <v>1653</v>
      </c>
    </row>
    <row r="557" spans="2:2">
      <c r="B557" t="s">
        <v>1654</v>
      </c>
    </row>
    <row r="558" spans="2:2">
      <c r="B558" t="s">
        <v>1655</v>
      </c>
    </row>
    <row r="559" spans="2:2">
      <c r="B559" t="s">
        <v>1656</v>
      </c>
    </row>
    <row r="560" spans="2:2">
      <c r="B560" t="s">
        <v>1657</v>
      </c>
    </row>
    <row r="561" spans="2:2">
      <c r="B561" t="s">
        <v>1658</v>
      </c>
    </row>
    <row r="562" spans="2:2">
      <c r="B562" t="s">
        <v>1659</v>
      </c>
    </row>
    <row r="563" spans="2:2">
      <c r="B563" t="s">
        <v>1660</v>
      </c>
    </row>
    <row r="564" spans="2:2">
      <c r="B564" t="s">
        <v>1661</v>
      </c>
    </row>
    <row r="565" spans="2:2">
      <c r="B565" t="s">
        <v>1662</v>
      </c>
    </row>
    <row r="566" spans="2:2">
      <c r="B566" t="s">
        <v>584</v>
      </c>
    </row>
    <row r="567" spans="2:2">
      <c r="B567" t="s">
        <v>1663</v>
      </c>
    </row>
    <row r="568" spans="2:2">
      <c r="B568" t="s">
        <v>1664</v>
      </c>
    </row>
    <row r="569" spans="2:2">
      <c r="B569" t="s">
        <v>1665</v>
      </c>
    </row>
    <row r="570" spans="2:2">
      <c r="B570" t="s">
        <v>1666</v>
      </c>
    </row>
    <row r="571" spans="2:2">
      <c r="B571" t="s">
        <v>1667</v>
      </c>
    </row>
    <row r="572" spans="2:2">
      <c r="B572" t="s">
        <v>1668</v>
      </c>
    </row>
    <row r="573" spans="2:2">
      <c r="B573" t="s">
        <v>1669</v>
      </c>
    </row>
    <row r="574" spans="2:2">
      <c r="B574" t="s">
        <v>1670</v>
      </c>
    </row>
    <row r="575" spans="2:2">
      <c r="B575" t="s">
        <v>1671</v>
      </c>
    </row>
    <row r="576" spans="2:2">
      <c r="B576" t="s">
        <v>1672</v>
      </c>
    </row>
    <row r="577" spans="2:2">
      <c r="B577" t="s">
        <v>1673</v>
      </c>
    </row>
    <row r="578" spans="2:2">
      <c r="B578" t="s">
        <v>1674</v>
      </c>
    </row>
    <row r="579" spans="2:2">
      <c r="B579" t="s">
        <v>1675</v>
      </c>
    </row>
    <row r="580" spans="2:2">
      <c r="B580" t="s">
        <v>1676</v>
      </c>
    </row>
    <row r="581" spans="2:2">
      <c r="B581" t="s">
        <v>1677</v>
      </c>
    </row>
    <row r="582" spans="2:2">
      <c r="B582" t="s">
        <v>1678</v>
      </c>
    </row>
    <row r="583" spans="2:2">
      <c r="B583" t="s">
        <v>1679</v>
      </c>
    </row>
    <row r="584" spans="2:2">
      <c r="B584" t="s">
        <v>1680</v>
      </c>
    </row>
    <row r="585" spans="2:2">
      <c r="B585" t="s">
        <v>1681</v>
      </c>
    </row>
  </sheetData>
  <sheetProtection formatRows="0"/>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7D3B-B5EE-470C-B0E7-29D67718E565}">
  <sheetPr codeName="Feuil28">
    <tabColor theme="8" tint="-0.249977111117893"/>
    <pageSetUpPr fitToPage="1"/>
  </sheetPr>
  <dimension ref="A1:R302"/>
  <sheetViews>
    <sheetView showGridLines="0" zoomScale="80" zoomScaleNormal="80" workbookViewId="0">
      <selection activeCell="G4" sqref="G4"/>
    </sheetView>
  </sheetViews>
  <sheetFormatPr baseColWidth="10" defaultColWidth="9.109375" defaultRowHeight="14.4"/>
  <cols>
    <col min="1" max="1" width="32.44140625" style="1" customWidth="1"/>
    <col min="2" max="2" width="34.44140625" style="1" customWidth="1"/>
    <col min="3" max="3" width="30" style="1" customWidth="1"/>
    <col min="4" max="4" width="27.5546875" style="1" customWidth="1"/>
    <col min="5" max="5" width="22.44140625" style="1" customWidth="1"/>
    <col min="6" max="6" width="20.88671875" style="1" customWidth="1"/>
    <col min="7" max="7" width="15.44140625" style="38" customWidth="1"/>
    <col min="8" max="8" width="7.5546875" style="38" bestFit="1" customWidth="1"/>
    <col min="9" max="9" width="37.5546875" style="1" customWidth="1"/>
    <col min="10" max="10" width="22.5546875" style="1" customWidth="1"/>
    <col min="11" max="11" width="3.44140625" style="1" bestFit="1" customWidth="1"/>
    <col min="12" max="12" width="15.44140625" style="1" customWidth="1"/>
    <col min="13" max="13" width="63.88671875" style="1" hidden="1" customWidth="1"/>
    <col min="14" max="14" width="20.5546875" style="1" hidden="1" customWidth="1"/>
    <col min="15" max="15" width="22" style="1" hidden="1" customWidth="1"/>
    <col min="16" max="16" width="8.5546875" style="1" hidden="1" customWidth="1"/>
    <col min="17" max="17" width="49.88671875" style="1" hidden="1" customWidth="1"/>
    <col min="18" max="18" width="25.44140625" style="1" hidden="1" customWidth="1"/>
    <col min="19" max="20" width="9.109375" style="1" customWidth="1"/>
    <col min="21" max="16384" width="9.109375" style="1"/>
  </cols>
  <sheetData>
    <row r="1" spans="1:18" ht="38.4" customHeight="1">
      <c r="A1" s="805" t="s">
        <v>704</v>
      </c>
      <c r="B1" s="806">
        <f>Accueil!E27</f>
        <v>0</v>
      </c>
      <c r="C1" s="806"/>
      <c r="D1" s="806"/>
      <c r="E1" s="807"/>
      <c r="F1" s="808"/>
      <c r="G1" s="55"/>
      <c r="H1" s="243"/>
      <c r="I1" s="233"/>
      <c r="J1" s="233"/>
      <c r="K1" s="233"/>
      <c r="L1" s="233"/>
      <c r="M1" s="169" t="s">
        <v>705</v>
      </c>
      <c r="N1" s="169" t="s">
        <v>706</v>
      </c>
      <c r="O1" s="169"/>
    </row>
    <row r="2" spans="1:18" ht="25.8">
      <c r="A2" s="809"/>
      <c r="B2" s="850" t="s">
        <v>707</v>
      </c>
      <c r="C2" s="809"/>
      <c r="D2" s="809"/>
      <c r="E2" s="837">
        <v>1</v>
      </c>
      <c r="F2" s="851" t="s">
        <v>708</v>
      </c>
      <c r="G2" s="55"/>
      <c r="H2" s="243"/>
      <c r="I2" s="233"/>
      <c r="J2" s="233"/>
      <c r="K2" s="233"/>
      <c r="L2" s="233"/>
      <c r="M2" s="169" t="str">
        <f>IF('Suivi objectifs'!B3='A1'!$A$5,'Suivi objectifs'!D3,"")</f>
        <v/>
      </c>
      <c r="N2" s="169" t="str">
        <f>IF(M2&lt;&gt;"","o","")</f>
        <v/>
      </c>
      <c r="O2" s="169">
        <f t="array" aca="1" ref="O2" ca="1">IF(ROWS($1:1)&lt;=COUNTIF(cond,"o"),INDEX(champ,SMALL(IF(cond="o",ROW(INDIRECT("1:"&amp;ROWS(champ)))),ROWS($1:1))),"")</f>
        <v>0</v>
      </c>
    </row>
    <row r="3" spans="1:18" ht="44.4" customHeight="1" thickBot="1">
      <c r="A3" s="1010" t="s">
        <v>709</v>
      </c>
      <c r="B3" s="855" t="b">
        <v>0</v>
      </c>
      <c r="C3" s="1010" t="s">
        <v>710</v>
      </c>
      <c r="D3" s="1011" t="b">
        <v>0</v>
      </c>
      <c r="E3" s="855" t="b">
        <v>0</v>
      </c>
      <c r="F3" s="852" t="s">
        <v>711</v>
      </c>
      <c r="G3" s="55"/>
      <c r="H3" s="243"/>
      <c r="I3" s="233"/>
      <c r="J3" s="233"/>
      <c r="K3" s="233"/>
      <c r="L3" s="233"/>
      <c r="M3" s="169">
        <f>IF('Suivi objectifs'!B4='A1'!$A$5,'Suivi objectifs'!D4,"")</f>
        <v>0</v>
      </c>
      <c r="N3" s="169" t="str">
        <f>IF(M3&lt;&gt;"","o","")</f>
        <v>o</v>
      </c>
      <c r="O3" s="169">
        <f t="array" aca="1" ref="O3" ca="1">IF(ROWS($1:2)&lt;=COUNTIF(cond,"o"),INDEX(champ,SMALL(IF(cond="o",ROW(INDIRECT("1:"&amp;ROWS(champ)))),ROWS($1:2))),"")</f>
        <v>0</v>
      </c>
    </row>
    <row r="4" spans="1:18" ht="47.4" thickBot="1">
      <c r="A4" s="834" t="s">
        <v>103</v>
      </c>
      <c r="B4" s="835" t="s">
        <v>712</v>
      </c>
      <c r="C4" s="836" t="s">
        <v>713</v>
      </c>
      <c r="D4" s="836" t="s">
        <v>714</v>
      </c>
      <c r="E4" s="810" t="s">
        <v>715</v>
      </c>
      <c r="F4" s="811">
        <v>1</v>
      </c>
      <c r="G4" s="1748" t="s">
        <v>3112</v>
      </c>
      <c r="H4" s="243"/>
      <c r="I4" s="234" t="s">
        <v>716</v>
      </c>
      <c r="J4" s="235"/>
      <c r="K4" s="236"/>
      <c r="L4" s="233"/>
      <c r="M4" s="169">
        <f>IF('Suivi objectifs'!B5='A1'!$A$5,'Suivi objectifs'!D5,"")</f>
        <v>0</v>
      </c>
      <c r="N4" s="169" t="str">
        <f t="shared" ref="N4:N15" si="0">IF(M4&lt;&gt;"","o","")</f>
        <v>o</v>
      </c>
      <c r="O4" s="169">
        <f t="array" aca="1" ref="O4" ca="1">IF(ROWS($1:3)&lt;=COUNTIF(cond,"o"),INDEX(champ,SMALL(IF(cond="o",ROW(INDIRECT("1:"&amp;ROWS(champ)))),ROWS($1:3))),"")</f>
        <v>0</v>
      </c>
    </row>
    <row r="5" spans="1:18" ht="16.2" thickBot="1">
      <c r="A5" s="1003"/>
      <c r="B5" s="1003"/>
      <c r="C5" s="1004"/>
      <c r="D5" s="1004"/>
      <c r="E5" s="2097" t="s">
        <v>717</v>
      </c>
      <c r="F5" s="2098"/>
      <c r="G5" s="1749"/>
      <c r="H5" s="243"/>
      <c r="I5" s="237"/>
      <c r="J5" s="233"/>
      <c r="K5" s="238"/>
      <c r="L5" s="233"/>
      <c r="M5" s="169">
        <f>IF('Suivi objectifs'!B6='A1'!$A$5,'Suivi objectifs'!D6,"")</f>
        <v>0</v>
      </c>
      <c r="N5" s="169" t="str">
        <f t="shared" si="0"/>
        <v>o</v>
      </c>
      <c r="O5" s="169">
        <f t="array" aca="1" ref="O5" ca="1">IF(ROWS($1:4)&lt;=COUNTIF(cond,"o"),INDEX(champ,SMALL(IF(cond="o",ROW(INDIRECT("1:"&amp;ROWS(champ)))),ROWS($1:4))),"")</f>
        <v>0</v>
      </c>
    </row>
    <row r="6" spans="1:18" ht="16.2" thickBot="1">
      <c r="A6" s="812"/>
      <c r="B6" s="813"/>
      <c r="C6" s="813"/>
      <c r="D6" s="813"/>
      <c r="E6" s="2099"/>
      <c r="F6" s="2100"/>
      <c r="G6" s="55"/>
      <c r="H6" s="243"/>
      <c r="I6" s="239" t="s">
        <v>718</v>
      </c>
      <c r="J6" s="814"/>
      <c r="K6" s="238"/>
      <c r="L6" s="233"/>
      <c r="M6" s="169">
        <f>IF('Suivi objectifs'!B7='A1'!$A$5,'Suivi objectifs'!D7,"")</f>
        <v>0</v>
      </c>
      <c r="N6" s="169" t="str">
        <f t="shared" si="0"/>
        <v>o</v>
      </c>
      <c r="O6" s="169">
        <f t="array" aca="1" ref="O6" ca="1">IF(ROWS($1:5)&lt;=COUNTIF(cond,"o"),INDEX(champ,SMALL(IF(cond="o",ROW(INDIRECT("1:"&amp;ROWS(champ)))),ROWS($1:5))),"")</f>
        <v>0</v>
      </c>
    </row>
    <row r="7" spans="1:18" ht="16.2" thickBot="1">
      <c r="A7" s="780" t="s">
        <v>696</v>
      </c>
      <c r="B7" s="815"/>
      <c r="C7" s="815"/>
      <c r="D7" s="816"/>
      <c r="E7" s="813"/>
      <c r="F7" s="817"/>
      <c r="G7" s="55"/>
      <c r="H7" s="243"/>
      <c r="I7" s="237"/>
      <c r="J7" s="233"/>
      <c r="K7" s="238"/>
      <c r="L7" s="233"/>
      <c r="M7" s="169">
        <f>IF('Suivi objectifs'!B8='A1'!$A$5,'Suivi objectifs'!D8,"")</f>
        <v>0</v>
      </c>
      <c r="N7" s="169" t="str">
        <f t="shared" si="0"/>
        <v>o</v>
      </c>
      <c r="O7" s="169">
        <f t="array" aca="1" ref="O7" ca="1">IF(ROWS($1:6)&lt;=COUNTIF(cond,"o"),INDEX(champ,SMALL(IF(cond="o",ROW(INDIRECT("1:"&amp;ROWS(champ)))),ROWS($1:6))),"")</f>
        <v>0</v>
      </c>
      <c r="Q7" s="1" t="s">
        <v>719</v>
      </c>
      <c r="R7" s="1" t="s">
        <v>720</v>
      </c>
    </row>
    <row r="8" spans="1:18" ht="39.6" customHeight="1" thickBot="1">
      <c r="A8" s="812"/>
      <c r="B8" s="388"/>
      <c r="C8" s="813"/>
      <c r="D8" s="813"/>
      <c r="E8" s="387"/>
      <c r="F8" s="818"/>
      <c r="G8" s="55"/>
      <c r="H8" s="243"/>
      <c r="I8" s="240"/>
      <c r="J8" s="241"/>
      <c r="K8" s="242"/>
      <c r="L8" s="233"/>
      <c r="M8" s="169">
        <f>IF('Suivi objectifs'!B9='A1'!$A$5,'Suivi objectifs'!D9,"")</f>
        <v>0</v>
      </c>
      <c r="N8" s="169" t="str">
        <f t="shared" si="0"/>
        <v>o</v>
      </c>
      <c r="O8" s="169">
        <f t="array" aca="1" ref="O8" ca="1">IF(ROWS($1:7)&lt;=COUNTIF(cond,"o"),INDEX(champ,SMALL(IF(cond="o",ROW(INDIRECT("1:"&amp;ROWS(champ)))),ROWS($1:7))),"")</f>
        <v>0</v>
      </c>
      <c r="Q8" s="1" t="str">
        <f>""</f>
        <v/>
      </c>
    </row>
    <row r="9" spans="1:18" ht="16.2" thickBot="1">
      <c r="A9" s="780" t="str">
        <f>IF(E2=1,"Domaine d'intervention","Principal risque climatique ciblé")</f>
        <v>Domaine d'intervention</v>
      </c>
      <c r="B9" s="231"/>
      <c r="C9" s="780" t="s">
        <v>721</v>
      </c>
      <c r="D9" s="232"/>
      <c r="E9" s="2101" t="s">
        <v>722</v>
      </c>
      <c r="F9" s="2102"/>
      <c r="G9" s="55"/>
      <c r="H9" s="243"/>
      <c r="I9" s="235"/>
      <c r="J9" s="243"/>
      <c r="K9" s="233"/>
      <c r="L9" s="233"/>
      <c r="M9" s="169">
        <f>IF('Suivi objectifs'!B10='A1'!$A$5,'Suivi objectifs'!D10,"")</f>
        <v>0</v>
      </c>
      <c r="N9" s="169" t="str">
        <f t="shared" si="0"/>
        <v>o</v>
      </c>
      <c r="O9" s="169">
        <f t="array" aca="1" ref="O9" ca="1">IF(ROWS($1:8)&lt;=COUNTIF(cond,"o"),INDEX(champ,SMALL(IF(cond="o",ROW(INDIRECT("1:"&amp;ROWS(champ)))),ROWS($1:8))),"")</f>
        <v>0</v>
      </c>
      <c r="Q9" s="1" t="str">
        <f>IF(IF($A$5=Categories!$Z$8,Categories!C21,IF($A$5=Categories!$Z$9,Categories!C29,IF(OR($A$5=Categories!$Z$10,$A$5=Categories!$Z$14),Categories!C40,IF($A$5=Categories!$Z$11,Categories!C53,IF($A$5=Categories!$Z$12,Categories!C65,IF(OR($A$5=Categories!$Z$16,$A$5=Categories!$Z$17,$A$5=Categories!$Z$18),Categories!C75,Categories!C7))))))=0,"",IF($A$5=Categories!$Z$8,Categories!C21,IF($A$5=Categories!$Z$9,Categories!C29,IF(OR($A$5=Categories!$Z$10,$A$5=Categories!$Z$14),Categories!C40,IF($A$5=Categories!$Z$11,Categories!C53,IF($A$5=Categories!$Z$12,Categories!C65, IF(OR($A$5=Categories!$Z$16,$A$5=Categories!$Z$17,$A$5=Categories!$Z$18),Categories!C75,Categories!C7)))))))</f>
        <v>Enveloppe bâtiment</v>
      </c>
      <c r="R9" s="1" t="str">
        <f>IF(IF($A$5=Categories!$Z$8,Categories!J21,IF($A$5=Categories!$Z$9,Categories!J29,IF(OR($A$5=Categories!$Z$10,$A$5=Categories!$Z$14),Categories!J40,IF($A$5=Categories!$Z$11,Categories!J53,IF($A$5=Categories!$Z$12,Categories!J65,Categories!C7)))))=0,"",IF($A$5=Categories!$Z$8,Categories!J21,IF($A$5=Categories!$Z$9,Categories!J29,IF(OR($A$5=Categories!$Z$10,$A$5=Categories!$Z$14),Categories!J40,IF($A$5=Categories!$Z$11,Categories!J53,IF($A$5=Categories!$Z$12,Categories!J65,Categories!J7))))))</f>
        <v>Sensibilisation/information</v>
      </c>
    </row>
    <row r="10" spans="1:18" ht="16.2" thickBot="1">
      <c r="A10" s="812"/>
      <c r="B10" s="813"/>
      <c r="C10" s="813"/>
      <c r="D10" s="813"/>
      <c r="E10" s="2099"/>
      <c r="F10" s="2100"/>
      <c r="G10" s="55"/>
      <c r="H10" s="243"/>
      <c r="I10" s="243" t="s">
        <v>103</v>
      </c>
      <c r="J10" s="243" t="str">
        <f>IF(ISNA(VLOOKUP($J$6,'Bonnes pratiques'!$B$2:$L$29,K10,0)),"",VLOOKUP($J$6,'Bonnes pratiques'!$B$2:$L$29,K10,0))</f>
        <v/>
      </c>
      <c r="K10" s="243">
        <v>2</v>
      </c>
      <c r="L10" s="243"/>
      <c r="M10" s="169">
        <f>IF('Suivi objectifs'!B11='A1'!$A$5,'Suivi objectifs'!D11,"")</f>
        <v>0</v>
      </c>
      <c r="N10" s="169" t="str">
        <f t="shared" si="0"/>
        <v>o</v>
      </c>
      <c r="O10" s="169">
        <f t="array" aca="1" ref="O10" ca="1">IF(ROWS($1:9)&lt;=COUNTIF(cond,"o"),INDEX(champ,SMALL(IF(cond="o",ROW(INDIRECT("1:"&amp;ROWS(champ)))),ROWS($1:9))),"")</f>
        <v>0</v>
      </c>
      <c r="Q10" s="1" t="str">
        <f>IF(IF($A$5=Categories!$Z$8,Categories!C22,IF($A$5=Categories!$Z$9,Categories!C30,IF(OR($A$5=Categories!$Z$10,$A$5=Categories!$Z$14),Categories!C41,IF($A$5=Categories!$Z$11,Categories!C54,IF($A$5=Categories!$Z$12,Categories!C66,IF(OR($A$5=Categories!$Z$16,$A$5=Categories!$Z$17,$A$5=Categories!$Z$18),Categories!C76,Categories!C8))))))=0,"",IF($A$5=Categories!$Z$8,Categories!C22,IF($A$5=Categories!$Z$9,Categories!C30,IF(OR($A$5=Categories!$Z$10,$A$5=Categories!$Z$14),Categories!C41,IF($A$5=Categories!$Z$11,Categories!C54,IF($A$5=Categories!$Z$12,Categories!C66, IF(OR($A$5=Categories!$Z$16,$A$5=Categories!$Z$17,$A$5=Categories!$Z$18),Categories!C76,Categories!C8)))))))</f>
        <v>Energie renouvelable pour le chauffage et l'eau chaude sanitaire</v>
      </c>
      <c r="R10" s="1" t="str">
        <f>IF(IF($A$5=Categories!$Z$8,Categories!J22,IF($A$5=Categories!$Z$9,Categories!J30,IF(OR($A$5=Categories!$Z$10,$A$5=Categories!$Z$14),Categories!J41,IF($A$5=Categories!$Z$11,Categories!J54,IF($A$5=Categories!$Z$12,Categories!J66,Categories!C8)))))=0,"",IF($A$5=Categories!$Z$8,Categories!J22,IF($A$5=Categories!$Z$9,Categories!J30,IF(OR($A$5=Categories!$Z$10,$A$5=Categories!$Z$14),Categories!J41,IF($A$5=Categories!$Z$11,Categories!J54,IF($A$5=Categories!$Z$12,Categories!J66,Categories!J8))))))</f>
        <v>Gestion de l'énergie</v>
      </c>
    </row>
    <row r="11" spans="1:18" ht="16.2" thickBot="1">
      <c r="A11" s="780" t="s">
        <v>723</v>
      </c>
      <c r="B11" s="232"/>
      <c r="C11" s="813"/>
      <c r="D11" s="813"/>
      <c r="E11" s="813"/>
      <c r="F11" s="817"/>
      <c r="G11" s="55"/>
      <c r="H11" s="243"/>
      <c r="I11" s="243"/>
      <c r="J11" s="243" t="str">
        <f>IF(ISNA(VLOOKUP($J$6,'Bonnes pratiques'!$B$2:$L$29,K11,0)),"",VLOOKUP($J$6,'Bonnes pratiques'!$B$2:$L$29,K11,0))</f>
        <v/>
      </c>
      <c r="K11" s="243">
        <v>3</v>
      </c>
      <c r="L11" s="243"/>
      <c r="M11" s="169">
        <f>IF('Suivi objectifs'!B12='A1'!$A$5,'Suivi objectifs'!D12,"")</f>
        <v>0</v>
      </c>
      <c r="N11" s="169" t="str">
        <f t="shared" si="0"/>
        <v>o</v>
      </c>
      <c r="O11" s="169">
        <f t="array" aca="1" ref="O11" ca="1">IF(ROWS($1:10)&lt;=COUNTIF(cond,"o"),INDEX(champ,SMALL(IF(cond="o",ROW(INDIRECT("1:"&amp;ROWS(champ)))),ROWS($1:10))),"")</f>
        <v>0</v>
      </c>
      <c r="Q11" s="1" t="str">
        <f>IF(IF($A$5=Categories!$Z$8,Categories!C23,IF($A$5=Categories!$Z$9,Categories!C31,IF(OR($A$5=Categories!$Z$10,$A$5=Categories!$Z$14),Categories!C42,IF($A$5=Categories!$Z$11,Categories!C55,IF($A$5=Categories!$Z$12,Categories!C67,IF(OR($A$5=Categories!$Z$16,$A$5=Categories!$Z$17,$A$5=Categories!$Z$18),Categories!C77,Categories!C9))))))=0,"",IF($A$5=Categories!$Z$8,Categories!C23,IF($A$5=Categories!$Z$9,Categories!C31,IF(OR($A$5=Categories!$Z$10,$A$5=Categories!$Z$14),Categories!C42,IF($A$5=Categories!$Z$11,Categories!C55,IF($A$5=Categories!$Z$12,Categories!C67, IF(OR($A$5=Categories!$Z$16,$A$5=Categories!$Z$17,$A$5=Categories!$Z$18),Categories!C77,Categories!C9)))))))</f>
        <v>Efficacité énergétique dans le chauffage et l'eau chaude sanitaire</v>
      </c>
      <c r="R11" s="1" t="str">
        <f>IF(IF($A$5=Categories!$Z$8,Categories!J23,IF($A$5=Categories!$Z$9,Categories!J31,IF(OR($A$5=Categories!$Z$10,$A$5=Categories!$Z$14),Categories!J42,IF($A$5=Categories!$Z$11,Categories!J55,IF($A$5=Categories!$Z$12,Categories!J67,Categories!C9)))))=0,"",IF($A$5=Categories!$Z$8,Categories!J23,IF($A$5=Categories!$Z$9,Categories!J31,IF(OR($A$5=Categories!$Z$10,$A$5=Categories!$Z$14),Categories!J42,IF($A$5=Categories!$Z$11,Categories!J55,IF($A$5=Categories!$Z$12,Categories!J67,Categories!J9))))))</f>
        <v>Certification / Labélisation</v>
      </c>
    </row>
    <row r="12" spans="1:18" ht="16.2" thickBot="1">
      <c r="A12" s="812"/>
      <c r="B12" s="813"/>
      <c r="C12" s="813"/>
      <c r="D12" s="813"/>
      <c r="E12" s="813"/>
      <c r="F12" s="817"/>
      <c r="G12" s="55"/>
      <c r="H12" s="243"/>
      <c r="I12" s="243"/>
      <c r="J12" s="243" t="str">
        <f>IF(ISNA(VLOOKUP($J$6,'Bonnes pratiques'!$B$2:$L$29,K12,0)),"",VLOOKUP($J$6,'Bonnes pratiques'!$B$2:$L$29,K12,0))</f>
        <v/>
      </c>
      <c r="K12" s="243">
        <v>4</v>
      </c>
      <c r="L12" s="243"/>
      <c r="M12" s="169">
        <f>IF('Suivi objectifs'!B13='A1'!$A$5,'Suivi objectifs'!D13,"")</f>
        <v>0</v>
      </c>
      <c r="N12" s="169" t="str">
        <f t="shared" si="0"/>
        <v>o</v>
      </c>
      <c r="O12" s="169">
        <f t="array" aca="1" ref="O12" ca="1">IF(ROWS($1:11)&lt;=COUNTIF(cond,"o"),INDEX(champ,SMALL(IF(cond="o",ROW(INDIRECT("1:"&amp;ROWS(champ)))),ROWS($1:11))),"")</f>
        <v>0</v>
      </c>
      <c r="Q12" s="1" t="str">
        <f>IF(IF($A$5=Categories!$Z$8,Categories!C24,IF($A$5=Categories!$Z$9,Categories!C32,IF(OR($A$5=Categories!$Z$10,$A$5=Categories!$Z$14),Categories!C43,IF($A$5=Categories!$Z$11,Categories!C56,IF($A$5=Categories!$Z$12,Categories!C68,IF(OR($A$5=Categories!$Z$16,$A$5=Categories!$Z$17,$A$5=Categories!$Z$18),Categories!C78,Categories!C10))))))=0,"",IF($A$5=Categories!$Z$8,Categories!C24,IF($A$5=Categories!$Z$9,Categories!C32,IF(OR($A$5=Categories!$Z$10,$A$5=Categories!$Z$14),Categories!C43,IF($A$5=Categories!$Z$11,Categories!C56,IF($A$5=Categories!$Z$12,Categories!C68, IF(OR($A$5=Categories!$Z$16,$A$5=Categories!$Z$17,$A$5=Categories!$Z$18),Categories!C78,Categories!C10)))))))</f>
        <v>Efficacité énergétique des systèmes d'éclairage</v>
      </c>
      <c r="R12" s="1" t="str">
        <f>IF(IF($A$5=Categories!$Z$8,Categories!J24,IF($A$5=Categories!$Z$9,Categories!J32,IF(OR($A$5=Categories!$Z$10,$A$5=Categories!$Z$14),Categories!J43,IF($A$5=Categories!$Z$11,Categories!J56,IF($A$5=Categories!$Z$12,Categories!J68,Categories!C10)))))=0,"",IF($A$5=Categories!$Z$8,Categories!J24,IF($A$5=Categories!$Z$9,Categories!J32,IF(OR($A$5=Categories!$Z$10,$A$5=Categories!$Z$14),Categories!J43,IF($A$5=Categories!$Z$11,Categories!J56,IF($A$5=Categories!$Z$12,Categories!J68,Categories!J10))))))</f>
        <v>Obligations de services publics</v>
      </c>
    </row>
    <row r="13" spans="1:18" ht="16.2" thickBot="1">
      <c r="A13" s="819" t="s">
        <v>724</v>
      </c>
      <c r="B13" s="2103"/>
      <c r="C13" s="2104"/>
      <c r="D13" s="2104"/>
      <c r="E13" s="2104"/>
      <c r="F13" s="2105"/>
      <c r="G13" s="55"/>
      <c r="H13" s="243"/>
      <c r="I13" s="243"/>
      <c r="J13" s="243" t="str">
        <f>IF(ISNA(VLOOKUP($J$6,'Bonnes pratiques'!$B$2:$L$29,K13,0)),"",VLOOKUP($J$6,'Bonnes pratiques'!$B$2:$L$29,K13,0))</f>
        <v/>
      </c>
      <c r="K13" s="243">
        <v>5</v>
      </c>
      <c r="L13" s="243"/>
      <c r="M13" s="169">
        <f>IF('Suivi objectifs'!B14='A1'!$A$5,'Suivi objectifs'!D14,"")</f>
        <v>0</v>
      </c>
      <c r="N13" s="169" t="str">
        <f t="shared" si="0"/>
        <v>o</v>
      </c>
      <c r="O13" s="169">
        <f t="array" aca="1" ref="O13" ca="1">IF(ROWS($1:12)&lt;=COUNTIF(cond,"o"),INDEX(champ,SMALL(IF(cond="o",ROW(INDIRECT("1:"&amp;ROWS(champ)))),ROWS($1:12))),"")</f>
        <v>0</v>
      </c>
      <c r="Q13" s="1" t="str">
        <f>IF(IF($A$5=Categories!$Z$8,Categories!C25,IF($A$5=Categories!$Z$9,Categories!C33,IF(OR($A$5=Categories!$Z$10,$A$5=Categories!$Z$14),Categories!C44,IF($A$5=Categories!$Z$11,Categories!C57,IF($A$5=Categories!$Z$12,Categories!C69,IF(OR($A$5=Categories!$Z$16,$A$5=Categories!$Z$17,$A$5=Categories!$Z$18),Categories!C79,Categories!C11))))))=0,"",IF($A$5=Categories!$Z$8,Categories!C25,IF($A$5=Categories!$Z$9,Categories!C33,IF(OR($A$5=Categories!$Z$10,$A$5=Categories!$Z$14),Categories!C44,IF($A$5=Categories!$Z$11,Categories!C57,IF($A$5=Categories!$Z$12,Categories!C69, IF(OR($A$5=Categories!$Z$16,$A$5=Categories!$Z$17,$A$5=Categories!$Z$18),Categories!C79,Categories!C11)))))))</f>
        <v>Efficacité énergétique des équipements électriques</v>
      </c>
      <c r="R13" s="1" t="str">
        <f>IF(IF($A$5=Categories!$Z$8,Categories!J25,IF($A$5=Categories!$Z$9,Categories!J33,IF(OR($A$5=Categories!$Z$10,$A$5=Categories!$Z$14),Categories!J44,IF($A$5=Categories!$Z$11,Categories!J57,IF($A$5=Categories!$Z$12,Categories!J69,Categories!C11)))))=0,"",IF($A$5=Categories!$Z$8,Categories!J25,IF($A$5=Categories!$Z$9,Categories!J33,IF(OR($A$5=Categories!$Z$10,$A$5=Categories!$Z$14),Categories!J44,IF($A$5=Categories!$Z$11,Categories!J57,IF($A$5=Categories!$Z$12,Categories!J69,Categories!J11))))))</f>
        <v>Taxe carbone</v>
      </c>
    </row>
    <row r="14" spans="1:18" ht="15.6">
      <c r="A14" s="820" t="s">
        <v>725</v>
      </c>
      <c r="B14" s="2106"/>
      <c r="C14" s="2107"/>
      <c r="D14" s="2107"/>
      <c r="E14" s="2107"/>
      <c r="F14" s="2108"/>
      <c r="G14" s="55"/>
      <c r="H14" s="243"/>
      <c r="I14" s="243"/>
      <c r="J14" s="243" t="str">
        <f>IF(ISNA(VLOOKUP($J$6,'Bonnes pratiques'!$B$2:$L$29,K14,0)),"",VLOOKUP($J$6,'Bonnes pratiques'!$B$2:$L$29,K14,0))</f>
        <v/>
      </c>
      <c r="K14" s="243">
        <v>6</v>
      </c>
      <c r="L14" s="243"/>
      <c r="M14" s="169">
        <f>IF('Suivi objectifs'!B15='A1'!$A$5,'Suivi objectifs'!D15,"")</f>
        <v>0</v>
      </c>
      <c r="N14" s="169" t="str">
        <f t="shared" si="0"/>
        <v>o</v>
      </c>
      <c r="O14" s="169">
        <f t="array" aca="1" ref="O14" ca="1">IF(ROWS($1:13)&lt;=COUNTIF(cond,"o"),INDEX(champ,SMALL(IF(cond="o",ROW(INDIRECT("1:"&amp;ROWS(champ)))),ROWS($1:13))),"")</f>
        <v>0</v>
      </c>
      <c r="Q14" s="1" t="str">
        <f>IF(IF($A$5=Categories!$Z$8,Categories!C26,IF($A$5=Categories!$Z$9,Categories!C34,IF(OR($A$5=Categories!$Z$10,$A$5=Categories!$Z$14),Categories!C45,IF($A$5=Categories!$Z$11,Categories!C58,IF($A$5=Categories!$Z$12,Categories!C70,IF(OR($A$5=Categories!$Z$16,$A$5=Categories!$Z$17,$A$5=Categories!$Z$18),Categories!C80,Categories!C12))))))=0,"",IF($A$5=Categories!$Z$8,Categories!C26,IF($A$5=Categories!$Z$9,Categories!C34,IF(OR($A$5=Categories!$Z$10,$A$5=Categories!$Z$14),Categories!C45,IF($A$5=Categories!$Z$11,Categories!C58,IF($A$5=Categories!$Z$12,Categories!C70, IF(OR($A$5=Categories!$Z$16,$A$5=Categories!$Z$17,$A$5=Categories!$Z$18),Categories!C80,Categories!C12)))))))</f>
        <v>Action intégrée (tout ci-dessus)</v>
      </c>
      <c r="R14" s="1" t="str">
        <f>IF(IF($A$5=Categories!$Z$8,Categories!J26,IF($A$5=Categories!$Z$9,Categories!J34,IF(OR($A$5=Categories!$Z$10,$A$5=Categories!$Z$14),Categories!J45,IF($A$5=Categories!$Z$11,Categories!J58,IF($A$5=Categories!$Z$12,Categories!J70,Categories!C12)))))=0,"",IF($A$5=Categories!$Z$8,Categories!J26,IF($A$5=Categories!$Z$9,Categories!J34,IF(OR($A$5=Categories!$Z$10,$A$5=Categories!$Z$14),Categories!J45,IF($A$5=Categories!$Z$11,Categories!J58,IF($A$5=Categories!$Z$12,Categories!J70,Categories!J12))))))</f>
        <v>Primes et subventions</v>
      </c>
    </row>
    <row r="15" spans="1:18" ht="62.4">
      <c r="A15" s="820" t="s">
        <v>726</v>
      </c>
      <c r="B15" s="2109"/>
      <c r="C15" s="2110"/>
      <c r="D15" s="2110"/>
      <c r="E15" s="2110"/>
      <c r="F15" s="2111"/>
      <c r="G15" s="55"/>
      <c r="H15" s="243"/>
      <c r="I15" s="243"/>
      <c r="J15" s="243" t="str">
        <f>IF(ISNA(VLOOKUP($J$6,'Bonnes pratiques'!$B$2:$L$29,K15,0)),"",VLOOKUP($J$6,'Bonnes pratiques'!$B$2:$L$29,K15,0))</f>
        <v/>
      </c>
      <c r="K15" s="243">
        <v>7</v>
      </c>
      <c r="L15" s="243"/>
      <c r="M15" s="169">
        <f>IF('Suivi objectifs'!B16='A1'!$A$5,'Suivi objectifs'!D16,"")</f>
        <v>0</v>
      </c>
      <c r="N15" s="169" t="str">
        <f t="shared" si="0"/>
        <v>o</v>
      </c>
      <c r="O15" s="169">
        <f t="array" aca="1" ref="O15" ca="1">IF(ROWS($1:14)&lt;=COUNTIF(cond,"o"),INDEX(champ,SMALL(IF(cond="o",ROW(INDIRECT("1:"&amp;ROWS(champ)))),ROWS($1:14))),"")</f>
        <v>0</v>
      </c>
      <c r="Q15" s="1" t="str">
        <f>IF(IF($A$5=Categories!$Z$8,Categories!C27,IF($A$5=Categories!$Z$9,Categories!C35,IF(OR($A$5=Categories!$Z$10,$A$5=Categories!$Z$14),Categories!C46,IF($A$5=Categories!$Z$11,Categories!C59,IF($A$5=Categories!$Z$12,Categories!C71,IF(OR($A$5=Categories!$Z$16,$A$5=Categories!$Z$17,$A$5=Categories!$Z$18),Categories!C81,Categories!C13))))))=0,"",IF($A$5=Categories!$Z$8,Categories!C27,IF($A$5=Categories!$Z$9,Categories!C35,IF(OR($A$5=Categories!$Z$10,$A$5=Categories!$Z$14),Categories!C46,IF($A$5=Categories!$Z$11,Categories!C59,IF($A$5=Categories!$Z$12,Categories!C71, IF(OR($A$5=Categories!$Z$16,$A$5=Categories!$Z$17,$A$5=Categories!$Z$18),Categories!C81,Categories!C13)))))))</f>
        <v>Technologies de l'Information et de la Communication</v>
      </c>
      <c r="R15" s="1" t="str">
        <f>IF(IF($A$5=Categories!$Z$8,Categories!J27,IF($A$5=Categories!$Z$9,Categories!J35,IF(OR($A$5=Categories!$Z$10,$A$5=Categories!$Z$14),Categories!J46,IF($A$5=Categories!$Z$11,Categories!J59,IF($A$5=Categories!$Z$12,Categories!J71,Categories!C13)))))=0,"",IF($A$5=Categories!$Z$8,Categories!J27,IF($A$5=Categories!$Z$9,Categories!J35,IF(OR($A$5=Categories!$Z$10,$A$5=Categories!$Z$14),Categories!J46,IF($A$5=Categories!$Z$11,Categories!J59,IF($A$5=Categories!$Z$12,Categories!J71,Categories!J13))))))</f>
        <v>Tiers financement, partenariat public-privé</v>
      </c>
    </row>
    <row r="16" spans="1:18" ht="15.6">
      <c r="A16" s="820" t="s">
        <v>2793</v>
      </c>
      <c r="B16" s="1751"/>
      <c r="C16" s="1752"/>
      <c r="D16" s="1752"/>
      <c r="E16" s="1752"/>
      <c r="F16" s="1753"/>
      <c r="G16" s="55"/>
      <c r="H16" s="243"/>
      <c r="I16" s="243"/>
      <c r="J16" s="243"/>
      <c r="K16" s="243"/>
      <c r="L16" s="243"/>
      <c r="M16" s="169"/>
      <c r="N16" s="169"/>
      <c r="O16" s="169"/>
    </row>
    <row r="17" spans="1:18" ht="31.2">
      <c r="A17" s="1380" t="s">
        <v>727</v>
      </c>
      <c r="B17" s="2112"/>
      <c r="C17" s="2113"/>
      <c r="D17" s="2113"/>
      <c r="E17" s="2113"/>
      <c r="F17" s="2114"/>
      <c r="G17" s="55"/>
      <c r="H17" s="243"/>
      <c r="I17" s="243"/>
      <c r="J17" s="243" t="str">
        <f>IF(ISNA(VLOOKUP($J$6,'Bonnes pratiques'!$B$2:$L$29,K17,0)),"",VLOOKUP($J$6,'Bonnes pratiques'!$B$2:$L$29,K17,0))</f>
        <v/>
      </c>
      <c r="K17" s="243">
        <v>8</v>
      </c>
      <c r="L17" s="243"/>
      <c r="M17" s="169">
        <f>IF('Suivi objectifs'!B17='A1'!$A$5,'Suivi objectifs'!D17,"")</f>
        <v>0</v>
      </c>
      <c r="N17" s="169" t="str">
        <f t="shared" ref="N17:N32" si="1">IF(M17&lt;&gt;"","o","")</f>
        <v>o</v>
      </c>
      <c r="O17" s="169">
        <f t="array" aca="1" ref="O17" ca="1">IF(ROWS($1:15)&lt;=COUNTIF(cond,"o"),INDEX(champ,SMALL(IF(cond="o",ROW(INDIRECT("1:"&amp;ROWS(champ)))),ROWS($1:15))),"")</f>
        <v>0</v>
      </c>
      <c r="Q17" s="1" t="str">
        <f>IF(IF($A$5=Categories!$Z$8,Categories!C28,IF($A$5=Categories!$Z$9,Categories!C36,IF(OR($A$5=Categories!$Z$10,$A$5=Categories!$Z$14),Categories!C47,IF($A$5=Categories!$Z$11,Categories!C60,IF($A$5=Categories!$Z$12,Categories!C72,IF(OR($A$5=Categories!$Z$16,$A$5=Categories!$Z$17,$A$5=Categories!$Z$18),Categories!C82,Categories!C14))))))=0,"",IF($A$5=Categories!$Z$8,Categories!C28,IF($A$5=Categories!$Z$9,Categories!C36,IF(OR($A$5=Categories!$Z$10,$A$5=Categories!$Z$14),Categories!C47,IF($A$5=Categories!$Z$11,Categories!C60,IF($A$5=Categories!$Z$12,Categories!C72, IF(OR($A$5=Categories!$Z$16,$A$5=Categories!$Z$17,$A$5=Categories!$Z$18),Categories!C82,Categories!C14)))))))</f>
        <v>Changements de comportements</v>
      </c>
      <c r="R17" s="1" t="str">
        <f>IF(IF($A$5=Categories!$Z$8,Categories!J28,IF($A$5=Categories!$Z$9,Categories!J36,IF(OR($A$5=Categories!$Z$10,$A$5=Categories!$Z$14),Categories!J47,IF($A$5=Categories!$Z$11,Categories!J60,IF($A$5=Categories!$Z$12,Categories!J72,Categories!C14)))))=0,"",IF($A$5=Categories!$Z$8,Categories!J28,IF($A$5=Categories!$Z$9,Categories!J36,IF(OR($A$5=Categories!$Z$10,$A$5=Categories!$Z$14),Categories!J47,IF($A$5=Categories!$Z$11,Categories!J60,IF($A$5=Categories!$Z$12,Categories!J72,Categories!J14))))))</f>
        <v>Marchés publics</v>
      </c>
    </row>
    <row r="18" spans="1:18" ht="15.6">
      <c r="A18" s="1380" t="s">
        <v>728</v>
      </c>
      <c r="B18" s="2112"/>
      <c r="C18" s="2113"/>
      <c r="D18" s="2113"/>
      <c r="E18" s="2113"/>
      <c r="F18" s="2114"/>
      <c r="G18" s="55"/>
      <c r="H18" s="243"/>
      <c r="I18" s="243"/>
      <c r="J18" s="243" t="str">
        <f>IF(ISNA(VLOOKUP($J$6,'Bonnes pratiques'!$B$2:$L$29,K18,0)),"",VLOOKUP($J$6,'Bonnes pratiques'!$B$2:$L$29,K18,0))</f>
        <v/>
      </c>
      <c r="K18" s="243">
        <v>9</v>
      </c>
      <c r="L18" s="243"/>
      <c r="M18" s="169">
        <f>IF('Suivi objectifs'!B18='A1'!$A$5,'Suivi objectifs'!D18,"")</f>
        <v>0</v>
      </c>
      <c r="N18" s="169" t="str">
        <f t="shared" si="1"/>
        <v>o</v>
      </c>
      <c r="O18" s="169">
        <f t="array" aca="1" ref="O18" ca="1">IF(ROWS($1:17)&lt;=COUNTIF(cond,"o"),INDEX(champ,SMALL(IF(cond="o",ROW(INDIRECT("1:"&amp;ROWS(champ)))),ROWS($1:17))),"")</f>
        <v>0</v>
      </c>
      <c r="Q18" s="1" t="str">
        <f>IF(IF($A$5=Categories!$Z$8,Categories!C29,IF($A$5=Categories!$Z$9,Categories!C37,IF(OR($A$5=Categories!$Z$10,$A$5=Categories!$Z$14),Categories!C48,IF($A$5=Categories!$Z$11,Categories!C61,IF($A$5=Categories!$Z$12,Categories!C73,IF(OR($A$5=Categories!$Z$16,$A$5=Categories!$Z$17,$A$5=Categories!$Z$18),Categories!C83,Categories!C15))))))=0,"",IF($A$5=Categories!$Z$8,Categories!C29,IF($A$5=Categories!$Z$9,Categories!C37,IF(OR($A$5=Categories!$Z$10,$A$5=Categories!$Z$14),Categories!C48,IF($A$5=Categories!$Z$11,Categories!C61,IF($A$5=Categories!$Z$12,Categories!C73, IF(OR($A$5=Categories!$Z$16,$A$5=Categories!$Z$17,$A$5=Categories!$Z$18),Categories!C83,Categories!C15)))))))</f>
        <v>Autre</v>
      </c>
      <c r="R18" s="1" t="str">
        <f>IF(IF($A$5=Categories!$Z$8,Categories!J29,IF($A$5=Categories!$Z$9,Categories!J37,IF(OR($A$5=Categories!$Z$10,$A$5=Categories!$Z$14),Categories!J48,IF($A$5=Categories!$Z$11,Categories!J61,IF($A$5=Categories!$Z$12,Categories!J73,Categories!C15)))))=0,"",IF($A$5=Categories!$Z$8,Categories!J29,IF($A$5=Categories!$Z$9,Categories!J37,IF(OR($A$5=Categories!$Z$10,$A$5=Categories!$Z$14),Categories!J48,IF($A$5=Categories!$Z$11,Categories!J61,IF($A$5=Categories!$Z$12,Categories!J73,Categories!J15))))))</f>
        <v>Normes de construction</v>
      </c>
    </row>
    <row r="19" spans="1:18" ht="15.6">
      <c r="A19" s="1380" t="s">
        <v>729</v>
      </c>
      <c r="B19" s="2112"/>
      <c r="C19" s="2113"/>
      <c r="D19" s="2113"/>
      <c r="E19" s="2113"/>
      <c r="F19" s="2114"/>
      <c r="G19" s="55"/>
      <c r="H19" s="243"/>
      <c r="I19" s="243"/>
      <c r="J19" s="243" t="str">
        <f>IF(ISNA(VLOOKUP($J$6,'Bonnes pratiques'!$B$2:$L$29,K19,0)),"",VLOOKUP($J$6,'Bonnes pratiques'!$B$2:$L$29,K19,0))</f>
        <v/>
      </c>
      <c r="K19" s="243">
        <v>10</v>
      </c>
      <c r="L19" s="243"/>
      <c r="M19" s="169">
        <f>IF('Suivi objectifs'!B19='A1'!$A$5,'Suivi objectifs'!D19,"")</f>
        <v>0</v>
      </c>
      <c r="N19" s="169" t="str">
        <f t="shared" si="1"/>
        <v>o</v>
      </c>
      <c r="O19" s="169">
        <f t="array" aca="1" ref="O19" ca="1">IF(ROWS($1:18)&lt;=COUNTIF(cond,"o"),INDEX(champ,SMALL(IF(cond="o",ROW(INDIRECT("1:"&amp;ROWS(champ)))),ROWS($1:18))),"")</f>
        <v>0</v>
      </c>
      <c r="R19" s="1" t="str">
        <f>IF(IF($A$5=Categories!$Z$8,Categories!J30,IF($A$5=Categories!$Z$9,Categories!J38,IF(OR($A$5=Categories!$Z$10,$A$5=Categories!$Z$14),Categories!J49,IF($A$5=Categories!$Z$11,Categories!J62,IF($A$5=Categories!$Z$12,Categories!J74,Categories!C16)))))=0,"",IF($A$5=Categories!$Z$8,Categories!J30,IF($A$5=Categories!$Z$9,Categories!J38,IF(OR($A$5=Categories!$Z$10,$A$5=Categories!$Z$14),Categories!J49,IF($A$5=Categories!$Z$11,Categories!J62,IF($A$5=Categories!$Z$12,Categories!J74,Categories!J16))))))</f>
        <v/>
      </c>
    </row>
    <row r="20" spans="1:18" ht="15.6">
      <c r="A20" s="1380" t="s">
        <v>6</v>
      </c>
      <c r="B20" s="2094"/>
      <c r="C20" s="2095"/>
      <c r="D20" s="2095"/>
      <c r="E20" s="2095"/>
      <c r="F20" s="2096"/>
      <c r="G20" s="55"/>
      <c r="H20" s="2093" t="s">
        <v>731</v>
      </c>
      <c r="I20" s="821"/>
      <c r="J20" s="243" t="s">
        <v>732</v>
      </c>
      <c r="K20" s="243">
        <v>11</v>
      </c>
      <c r="L20" s="243"/>
      <c r="M20" s="169">
        <f>IF('Suivi objectifs'!B20='A1'!$A$5,'Suivi objectifs'!D20,"")</f>
        <v>0</v>
      </c>
      <c r="N20" s="169" t="str">
        <f t="shared" si="1"/>
        <v>o</v>
      </c>
      <c r="O20" s="169">
        <f t="array" aca="1" ref="O20" ca="1">IF(ROWS($1:19)&lt;=COUNTIF(cond,"o"),INDEX(champ,SMALL(IF(cond="o",ROW(INDIRECT("1:"&amp;ROWS(champ)))),ROWS($1:19))),"")</f>
        <v>0</v>
      </c>
      <c r="R20" s="1" t="str">
        <f>IF(IF($A$5=Categories!$Z$8,Categories!J31,IF($A$5=Categories!$Z$9,Categories!J39,IF(OR($A$5=Categories!$Z$10,$A$5=Categories!$Z$14),Categories!J50,IF($A$5=Categories!$Z$11,Categories!J63,IF($A$5=Categories!$Z$12,Categories!J75,Categories!C17)))))=0,"",IF($A$5=Categories!$Z$8,Categories!J31,IF($A$5=Categories!$Z$9,Categories!J39,IF(OR($A$5=Categories!$Z$10,$A$5=Categories!$Z$14),Categories!J50,IF($A$5=Categories!$Z$11,Categories!J63,IF($A$5=Categories!$Z$12,Categories!J75,Categories!J17))))))</f>
        <v/>
      </c>
    </row>
    <row r="21" spans="1:18" ht="15.6">
      <c r="A21" s="1380" t="s">
        <v>2159</v>
      </c>
      <c r="B21" s="2094"/>
      <c r="C21" s="2095"/>
      <c r="D21" s="2095"/>
      <c r="E21" s="2095"/>
      <c r="F21" s="2096"/>
      <c r="G21" s="55"/>
      <c r="H21" s="2093"/>
      <c r="I21" s="821"/>
      <c r="J21" s="607"/>
      <c r="K21" s="243"/>
      <c r="L21" s="243"/>
      <c r="M21" s="169">
        <f>IF('Suivi objectifs'!B21='A1'!$A$5,'Suivi objectifs'!D21,"")</f>
        <v>0</v>
      </c>
      <c r="N21" s="169" t="str">
        <f t="shared" si="1"/>
        <v>o</v>
      </c>
      <c r="O21" s="169">
        <f t="array" aca="1" ref="O21" ca="1">IF(ROWS($1:20)&lt;=COUNTIF(cond,"o"),INDEX(champ,SMALL(IF(cond="o",ROW(INDIRECT("1:"&amp;ROWS(champ)))),ROWS($1:20))),"")</f>
        <v>0</v>
      </c>
      <c r="R21" s="1" t="str">
        <f>IF(IF($A$5=Categories!$Z$8,Categories!J32,IF($A$5=Categories!$Z$9,Categories!J40,IF(OR($A$5=Categories!$Z$10,$A$5=Categories!$Z$14),Categories!J51,IF($A$5=Categories!$Z$11,Categories!J64,IF($A$5=Categories!$Z$12,Categories!J76,Categories!C18)))))=0,"",IF($A$5=Categories!$Z$8,Categories!J32,IF($A$5=Categories!$Z$9,Categories!J40,IF(OR($A$5=Categories!$Z$10,$A$5=Categories!$Z$14),Categories!J51,IF($A$5=Categories!$Z$11,Categories!J64,IF($A$5=Categories!$Z$12,Categories!J76,Categories!J18))))))</f>
        <v/>
      </c>
    </row>
    <row r="22" spans="1:18" ht="31.2">
      <c r="A22" s="1380" t="s">
        <v>734</v>
      </c>
      <c r="B22" s="2075"/>
      <c r="C22" s="2076"/>
      <c r="D22" s="2076"/>
      <c r="E22" s="2076"/>
      <c r="F22" s="2077"/>
      <c r="G22" s="55"/>
      <c r="H22" s="821"/>
      <c r="I22" s="244"/>
      <c r="J22" s="244"/>
      <c r="K22" s="233"/>
      <c r="L22" s="233"/>
      <c r="M22" s="169">
        <f>IF('Suivi objectifs'!B22='A1'!$A$5,'Suivi objectifs'!D22,"")</f>
        <v>0</v>
      </c>
      <c r="N22" s="169" t="str">
        <f t="shared" si="1"/>
        <v>o</v>
      </c>
      <c r="O22" s="169">
        <f t="array" aca="1" ref="O22" ca="1">IF(ROWS($1:21)&lt;=COUNTIF(cond,"o"),INDEX(champ,SMALL(IF(cond="o",ROW(INDIRECT("1:"&amp;ROWS(champ)))),ROWS($1:21))),"")</f>
        <v>0</v>
      </c>
    </row>
    <row r="23" spans="1:18" ht="15.6">
      <c r="A23" s="1380" t="s">
        <v>735</v>
      </c>
      <c r="B23" s="1389"/>
      <c r="C23" s="1390" t="s">
        <v>736</v>
      </c>
      <c r="D23" s="2078"/>
      <c r="E23" s="2079"/>
      <c r="F23" s="2080"/>
      <c r="G23" s="55"/>
      <c r="H23" s="604"/>
      <c r="I23" s="245"/>
      <c r="J23" s="245"/>
      <c r="K23" s="233"/>
      <c r="L23" s="233"/>
      <c r="M23" s="169">
        <f>IF('Suivi objectifs'!B23='A1'!$A$5,'Suivi objectifs'!D23,"")</f>
        <v>0</v>
      </c>
      <c r="N23" s="169" t="str">
        <f t="shared" si="1"/>
        <v>o</v>
      </c>
      <c r="O23" s="169">
        <f t="array" aca="1" ref="O23" ca="1">IF(ROWS($1:22)&lt;=COUNTIF(cond,"o"),INDEX(champ,SMALL(IF(cond="o",ROW(INDIRECT("1:"&amp;ROWS(champ)))),ROWS($1:22))),"")</f>
        <v>0</v>
      </c>
      <c r="R23" s="1" t="s">
        <v>732</v>
      </c>
    </row>
    <row r="24" spans="1:18" ht="15.6">
      <c r="A24" s="1380" t="s">
        <v>737</v>
      </c>
      <c r="B24" s="2081"/>
      <c r="C24" s="2082"/>
      <c r="D24" s="2082"/>
      <c r="E24" s="2082"/>
      <c r="F24" s="2083"/>
      <c r="G24" s="55"/>
      <c r="H24" s="604"/>
      <c r="I24" s="245"/>
      <c r="J24" s="245"/>
      <c r="K24" s="233"/>
      <c r="L24" s="233"/>
      <c r="M24" s="169">
        <f>IF('Suivi objectifs'!B24='A1'!$A$5,'Suivi objectifs'!D24,"")</f>
        <v>0</v>
      </c>
      <c r="N24" s="169" t="str">
        <f t="shared" si="1"/>
        <v>o</v>
      </c>
      <c r="O24" s="169">
        <f t="array" aca="1" ref="O24" ca="1">IF(ROWS($1:23)&lt;=COUNTIF(cond,"o"),INDEX(champ,SMALL(IF(cond="o",ROW(INDIRECT("1:"&amp;ROWS(champ)))),ROWS($1:23))),"")</f>
        <v>0</v>
      </c>
    </row>
    <row r="25" spans="1:18" ht="15.6">
      <c r="A25" s="1380" t="s">
        <v>738</v>
      </c>
      <c r="B25" s="2084"/>
      <c r="C25" s="2085"/>
      <c r="D25" s="2085"/>
      <c r="E25" s="2085"/>
      <c r="F25" s="2086"/>
      <c r="G25" s="55"/>
      <c r="H25" s="243"/>
      <c r="I25" s="233"/>
      <c r="J25" s="233"/>
      <c r="K25" s="233"/>
      <c r="L25" s="233"/>
      <c r="M25" s="169">
        <f>IF('Suivi objectifs'!B25='A1'!$A$5,'Suivi objectifs'!D25,"")</f>
        <v>0</v>
      </c>
      <c r="N25" s="169" t="str">
        <f t="shared" si="1"/>
        <v>o</v>
      </c>
      <c r="O25" s="169">
        <f t="array" aca="1" ref="O25" ca="1">IF(ROWS($1:24)&lt;=COUNTIF(cond,"o"),INDEX(champ,SMALL(IF(cond="o",ROW(INDIRECT("1:"&amp;ROWS(champ)))),ROWS($1:24))),"")</f>
        <v>0</v>
      </c>
    </row>
    <row r="26" spans="1:18" ht="15.6">
      <c r="A26" s="1380" t="s">
        <v>739</v>
      </c>
      <c r="B26" s="1391"/>
      <c r="C26" s="1392" t="s">
        <v>740</v>
      </c>
      <c r="D26" s="1393"/>
      <c r="E26" s="1392" t="s">
        <v>741</v>
      </c>
      <c r="F26" s="1394"/>
      <c r="G26" s="55"/>
      <c r="H26" s="243"/>
      <c r="I26" s="233"/>
      <c r="J26" s="233"/>
      <c r="K26" s="233"/>
      <c r="L26" s="233"/>
      <c r="M26" s="169">
        <f>IF('Suivi objectifs'!B26='A1'!$A$5,'Suivi objectifs'!D26,"")</f>
        <v>0</v>
      </c>
      <c r="N26" s="169" t="str">
        <f t="shared" si="1"/>
        <v>o</v>
      </c>
      <c r="O26" s="169">
        <f t="array" aca="1" ref="O26" ca="1">IF(ROWS($1:25)&lt;=COUNTIF(cond,"o"),INDEX(champ,SMALL(IF(cond="o",ROW(INDIRECT("1:"&amp;ROWS(champ)))),ROWS($1:25))),"")</f>
        <v>0</v>
      </c>
    </row>
    <row r="27" spans="1:18" ht="15.6">
      <c r="A27" s="1379" t="s">
        <v>742</v>
      </c>
      <c r="B27" s="2087"/>
      <c r="C27" s="2088"/>
      <c r="D27" s="2088"/>
      <c r="E27" s="2088"/>
      <c r="F27" s="2089"/>
      <c r="G27" s="55"/>
      <c r="H27" s="243"/>
      <c r="I27" s="233"/>
      <c r="J27" s="233"/>
      <c r="K27" s="233"/>
      <c r="L27" s="233"/>
      <c r="M27" s="169">
        <f>IF('Suivi objectifs'!B27='A1'!$A$5,'Suivi objectifs'!D27,"")</f>
        <v>0</v>
      </c>
      <c r="N27" s="169" t="str">
        <f t="shared" si="1"/>
        <v>o</v>
      </c>
      <c r="O27" s="169">
        <f t="array" aca="1" ref="O27" ca="1">IF(ROWS($1:26)&lt;=COUNTIF(cond,"o"),INDEX(champ,SMALL(IF(cond="o",ROW(INDIRECT("1:"&amp;ROWS(champ)))),ROWS($1:26))),"")</f>
        <v>0</v>
      </c>
    </row>
    <row r="28" spans="1:18" ht="16.2" thickBot="1">
      <c r="A28" s="896" t="s">
        <v>743</v>
      </c>
      <c r="B28" s="2090"/>
      <c r="C28" s="2091"/>
      <c r="D28" s="2091"/>
      <c r="E28" s="2091"/>
      <c r="F28" s="2092"/>
      <c r="G28" s="55"/>
      <c r="H28" s="243"/>
      <c r="I28" s="233"/>
      <c r="J28" s="233"/>
      <c r="K28" s="233"/>
      <c r="L28" s="233"/>
      <c r="M28" s="169">
        <f>IF('Suivi objectifs'!B28='A1'!$A$5,'Suivi objectifs'!D28,"")</f>
        <v>0</v>
      </c>
      <c r="N28" s="169" t="str">
        <f t="shared" si="1"/>
        <v>o</v>
      </c>
      <c r="O28" s="169">
        <f t="array" aca="1" ref="O28" ca="1">IF(ROWS($1:27)&lt;=COUNTIF(cond,"o"),INDEX(champ,SMALL(IF(cond="o",ROW(INDIRECT("1:"&amp;ROWS(champ)))),ROWS($1:27))),"")</f>
        <v>0</v>
      </c>
    </row>
    <row r="29" spans="1:18">
      <c r="A29"/>
      <c r="B29"/>
      <c r="C29"/>
      <c r="D29"/>
      <c r="E29"/>
      <c r="F29"/>
      <c r="G29" s="55"/>
      <c r="H29" s="243"/>
      <c r="I29" s="233"/>
      <c r="J29" s="233"/>
      <c r="K29" s="233"/>
      <c r="L29" s="233"/>
      <c r="M29" s="169" t="str">
        <f>IF('Suivi objectifs'!B29='A1'!$A$5,'Suivi objectifs'!D29,"")</f>
        <v/>
      </c>
      <c r="N29" s="169" t="str">
        <f t="shared" si="1"/>
        <v/>
      </c>
      <c r="O29" s="169">
        <f t="array" aca="1" ref="O29" ca="1">IF(ROWS($1:28)&lt;=COUNTIF(cond,"o"),INDEX(champ,SMALL(IF(cond="o",ROW(INDIRECT("1:"&amp;ROWS(champ)))),ROWS($1:28))),"")</f>
        <v>0</v>
      </c>
    </row>
    <row r="30" spans="1:18">
      <c r="A30"/>
      <c r="B30"/>
      <c r="C30"/>
      <c r="D30"/>
      <c r="E30"/>
      <c r="F30"/>
      <c r="G30" s="55"/>
      <c r="H30" s="55"/>
      <c r="I30"/>
      <c r="J30"/>
      <c r="K30"/>
      <c r="L30"/>
      <c r="M30" s="169" t="str">
        <f>IF('Suivi objectifs'!B30='A1'!$A$5,'Suivi objectifs'!D30,"")</f>
        <v/>
      </c>
      <c r="N30" s="169" t="str">
        <f t="shared" si="1"/>
        <v/>
      </c>
      <c r="O30" s="169">
        <f t="array" aca="1" ref="O30" ca="1">IF(ROWS($1:29)&lt;=COUNTIF(cond,"o"),INDEX(champ,SMALL(IF(cond="o",ROW(INDIRECT("1:"&amp;ROWS(champ)))),ROWS($1:29))),"")</f>
        <v>0</v>
      </c>
    </row>
    <row r="31" spans="1:18" ht="28.8">
      <c r="A31" s="822" t="s">
        <v>744</v>
      </c>
      <c r="B31" s="190"/>
      <c r="C31" s="190"/>
      <c r="D31" s="190"/>
      <c r="E31" s="190"/>
      <c r="F31" s="190"/>
      <c r="G31" s="55"/>
      <c r="H31" s="55"/>
      <c r="I31"/>
      <c r="J31"/>
      <c r="K31"/>
      <c r="L31"/>
      <c r="M31" s="169" t="str">
        <f>IF('Suivi objectifs'!B31='A1'!$A$5,'Suivi objectifs'!D31,"")</f>
        <v/>
      </c>
      <c r="N31" s="169" t="str">
        <f t="shared" si="1"/>
        <v/>
      </c>
      <c r="O31" s="169" t="str">
        <f t="array" aca="1" ref="O31" ca="1">IF(ROWS($1:30)&lt;=COUNTIF(cond,"o"),INDEX(champ,SMALL(IF(cond="o",ROW(INDIRECT("1:"&amp;ROWS(champ)))),ROWS($1:30))),"")</f>
        <v/>
      </c>
    </row>
    <row r="32" spans="1:18" ht="18">
      <c r="A32" s="823" t="s">
        <v>745</v>
      </c>
      <c r="B32" s="246" t="str">
        <f>IF(B5=0,"-",B5)</f>
        <v>-</v>
      </c>
      <c r="C32"/>
      <c r="D32"/>
      <c r="E32"/>
      <c r="F32"/>
      <c r="G32" s="55"/>
      <c r="H32" s="55"/>
      <c r="I32"/>
      <c r="J32"/>
      <c r="K32"/>
      <c r="L32"/>
      <c r="M32" s="169" t="str">
        <f>IF('Suivi objectifs'!B32='A1'!$A$5,'Suivi objectifs'!D32,"")</f>
        <v/>
      </c>
      <c r="N32" s="169" t="str">
        <f t="shared" si="1"/>
        <v/>
      </c>
      <c r="O32" s="169" t="str">
        <f t="array" aca="1" ref="O32" ca="1">IF(ROWS($1:31)&lt;=COUNTIF(cond,"o"),INDEX(champ,SMALL(IF(cond="o",ROW(INDIRECT("1:"&amp;ROWS(champ)))),ROWS($1:31))),"")</f>
        <v/>
      </c>
    </row>
    <row r="33" spans="1:15" ht="18">
      <c r="A33" s="823"/>
      <c r="B33" s="246"/>
      <c r="C33"/>
      <c r="D33"/>
      <c r="E33"/>
      <c r="F33"/>
      <c r="G33" s="55"/>
      <c r="H33" s="55"/>
      <c r="I33"/>
      <c r="J33"/>
      <c r="K33"/>
      <c r="L33"/>
      <c r="M33" s="169" t="str">
        <f>IF('Suivi objectifs'!B33='A1'!$A$5,'Suivi objectifs'!D33,"")</f>
        <v/>
      </c>
      <c r="N33" s="169"/>
      <c r="O33" s="169" t="str">
        <f t="array" aca="1" ref="O33" ca="1">IF(ROWS($1:32)&lt;=COUNTIF(cond,"o"),INDEX(champ,SMALL(IF(cond="o",ROW(INDIRECT("1:"&amp;ROWS(champ)))),ROWS($1:32))),"")</f>
        <v/>
      </c>
    </row>
    <row r="34" spans="1:15" ht="28.8">
      <c r="A34"/>
      <c r="B34" s="217" t="s">
        <v>676</v>
      </c>
      <c r="C34" s="217" t="s">
        <v>746</v>
      </c>
      <c r="D34" s="218" t="s">
        <v>747</v>
      </c>
      <c r="E34"/>
      <c r="F34"/>
      <c r="G34" s="900"/>
      <c r="H34" s="900"/>
      <c r="I34" s="1957" t="s">
        <v>748</v>
      </c>
      <c r="J34" s="1957"/>
      <c r="K34"/>
      <c r="L34"/>
      <c r="M34" s="169" t="str">
        <f>IF('Suivi objectifs'!B34='A1'!$A$5,'Suivi objectifs'!D34,"")</f>
        <v/>
      </c>
      <c r="N34" s="169" t="str">
        <f t="shared" ref="N34:N41" si="2">IF(M34&lt;&gt;"","o","")</f>
        <v/>
      </c>
      <c r="O34" s="169" t="str">
        <f t="array" aca="1" ref="O34" ca="1">IF(ROWS($1:33)&lt;=COUNTIF(cond,"o"),INDEX(champ,SMALL(IF(cond="o",ROW(INDIRECT("1:"&amp;ROWS(champ)))),ROWS($1:33))),"")</f>
        <v/>
      </c>
    </row>
    <row r="35" spans="1:15">
      <c r="A35">
        <v>1</v>
      </c>
      <c r="B35" s="187" t="str">
        <f>IF(ISNA(IF(OR(VLOOKUP(B$32&amp;"_"&amp;A35,Scénarios!$A$10:$F$590,2,0)="Sélectionnez un indicateur prédéfini…",VLOOKUP(B$32&amp;"_"&amp;A35,Scénarios!$A$10:$F$590,2,0)="Encoder votre indicateur…"),"-",VLOOKUP(B$32&amp;"_"&amp;A35,Scénarios!$A$10:$F$590,2,0))),"-",IF(OR(VLOOKUP(B$32&amp;"_"&amp;A35,Scénarios!$A$10:$F$590,2,0)="Sélectionnez un indicateur prédéfini…",VLOOKUP(B$32&amp;"_"&amp;A35,Scénarios!$A$10:$F$590,2,0)="Encoder votre indicateur…"),"-",VLOOKUP(B$32&amp;"_"&amp;A35,Scénarios!$A$10:$F$590,2,0)))</f>
        <v>-</v>
      </c>
      <c r="C35" s="824">
        <f>IF(ISNA(VLOOKUP(B$32&amp;"_"&amp;A35,Scénarios!$A$10:$F$590,3,0)),,VLOOKUP(B$32&amp;"_"&amp;A35,Scénarios!$A$10:$F$590,3,0))</f>
        <v>0</v>
      </c>
      <c r="D35" s="825"/>
      <c r="E35"/>
      <c r="F35" s="55"/>
      <c r="G35" s="901">
        <f>IF(ISNA(VLOOKUP(B$32&amp;"_"&amp;A35,Scénarios!$A$10:$F$590,5,0)),,VLOOKUP(B$32&amp;"_"&amp;A35,Scénarios!$A$10:$F$590,IF(ISNA(VLOOKUP($A$5,Categories!$Z$16:$AA$31,2,0)),5,4),0))</f>
        <v>0</v>
      </c>
      <c r="H35" s="901">
        <f t="shared" ref="H35:H49" si="3">IF(C35=0,0,G35/C35*D35)</f>
        <v>0</v>
      </c>
      <c r="I35" s="1957"/>
      <c r="J35" s="1957"/>
      <c r="K35"/>
      <c r="L35"/>
      <c r="M35" s="169" t="str">
        <f>IF('Suivi objectifs'!B35='A1'!$A$5,'Suivi objectifs'!D35,"")</f>
        <v/>
      </c>
      <c r="N35" s="169" t="str">
        <f t="shared" si="2"/>
        <v/>
      </c>
      <c r="O35" s="169" t="str">
        <f t="array" aca="1" ref="O35" ca="1">IF(ROWS($1:34)&lt;=COUNTIF(cond,"o"),INDEX(champ,SMALL(IF(cond="o",ROW(INDIRECT("1:"&amp;ROWS(champ)))),ROWS($1:34))),"")</f>
        <v/>
      </c>
    </row>
    <row r="36" spans="1:15">
      <c r="A36">
        <v>2</v>
      </c>
      <c r="B36" s="187" t="str">
        <f>IF(ISNA(IF(OR(VLOOKUP(B$32&amp;"_"&amp;A36,Scénarios!$A$10:$F$590,2,0)="Sélectionnez un indicateur prédéfini…",VLOOKUP(B$32&amp;"_"&amp;A36,Scénarios!$A$10:$F$590,2,0)="Encoder votre indicateur…"),"-",VLOOKUP(B$32&amp;"_"&amp;A36,Scénarios!$A$10:$F$590,2,0))),"-",IF(OR(VLOOKUP(B$32&amp;"_"&amp;A36,Scénarios!$A$10:$F$590,2,0)="Sélectionnez un indicateur prédéfini…",VLOOKUP(B$32&amp;"_"&amp;A36,Scénarios!$A$10:$F$590,2,0)="Encoder votre indicateur…"),"-",VLOOKUP(B$32&amp;"_"&amp;A36,Scénarios!$A$10:$F$590,2,0)))</f>
        <v>-</v>
      </c>
      <c r="C36" s="824">
        <f>IF(ISNA(VLOOKUP(B$32&amp;"_"&amp;A36,Scénarios!$A$10:$F$590,3,0)),,VLOOKUP(B$32&amp;"_"&amp;A36,Scénarios!$A$10:$F$590,3,0))</f>
        <v>0</v>
      </c>
      <c r="D36" s="825"/>
      <c r="E36"/>
      <c r="F36" s="55"/>
      <c r="G36" s="901">
        <f>IF(ISNA(VLOOKUP(B$32&amp;"_"&amp;A36,Scénarios!$A$10:$F$590,5,0)),,VLOOKUP(B$32&amp;"_"&amp;A36,Scénarios!$A$10:$F$590,IF(ISNA(VLOOKUP($A$5,Categories!$Z$16:$AA$31,2,0)),5,4),0))</f>
        <v>0</v>
      </c>
      <c r="H36" s="901">
        <f t="shared" si="3"/>
        <v>0</v>
      </c>
      <c r="I36" s="1957"/>
      <c r="J36" s="1957"/>
      <c r="K36"/>
      <c r="L36"/>
      <c r="M36" s="169" t="str">
        <f>IF('Suivi objectifs'!B36='A1'!$A$5,'Suivi objectifs'!D36,"")</f>
        <v/>
      </c>
      <c r="N36" s="169" t="str">
        <f t="shared" si="2"/>
        <v/>
      </c>
      <c r="O36" s="169" t="str">
        <f t="array" aca="1" ref="O36" ca="1">IF(ROWS($1:35)&lt;=COUNTIF(cond,"o"),INDEX(champ,SMALL(IF(cond="o",ROW(INDIRECT("1:"&amp;ROWS(champ)))),ROWS($1:35))),"")</f>
        <v/>
      </c>
    </row>
    <row r="37" spans="1:15">
      <c r="A37">
        <v>3</v>
      </c>
      <c r="B37" s="187" t="str">
        <f>IF(ISNA(IF(OR(VLOOKUP(B$32&amp;"_"&amp;A37,Scénarios!$A$10:$F$590,2,0)="Sélectionnez un indicateur prédéfini…",VLOOKUP(B$32&amp;"_"&amp;A37,Scénarios!$A$10:$F$590,2,0)="Encoder votre indicateur…"),"-",VLOOKUP(B$32&amp;"_"&amp;A37,Scénarios!$A$10:$F$590,2,0))),"-",IF(OR(VLOOKUP(B$32&amp;"_"&amp;A37,Scénarios!$A$10:$F$590,2,0)="Sélectionnez un indicateur prédéfini…",VLOOKUP(B$32&amp;"_"&amp;A37,Scénarios!$A$10:$F$590,2,0)="Encoder votre indicateur…"),"-",VLOOKUP(B$32&amp;"_"&amp;A37,Scénarios!$A$10:$F$590,2,0)))</f>
        <v>-</v>
      </c>
      <c r="C37" s="824">
        <f>IF(ISNA(VLOOKUP(B$32&amp;"_"&amp;A37,Scénarios!$A$10:$F$590,3,0)),,VLOOKUP(B$32&amp;"_"&amp;A37,Scénarios!$A$10:$F$590,3,0))</f>
        <v>0</v>
      </c>
      <c r="D37" s="825"/>
      <c r="E37"/>
      <c r="F37" s="55"/>
      <c r="G37" s="901">
        <f>IF(ISNA(VLOOKUP(B$32&amp;"_"&amp;A37,Scénarios!$A$10:$F$590,5,0)),,VLOOKUP(B$32&amp;"_"&amp;A37,Scénarios!$A$10:$F$590,IF(ISNA(VLOOKUP($A$5,Categories!$Z$16:$AA$31,2,0)),5,4),0))</f>
        <v>0</v>
      </c>
      <c r="H37" s="901">
        <f t="shared" si="3"/>
        <v>0</v>
      </c>
      <c r="I37" s="1957"/>
      <c r="J37" s="1957"/>
      <c r="K37"/>
      <c r="L37"/>
      <c r="M37" s="169" t="str">
        <f>IF('Suivi objectifs'!B37='A1'!$A$5,'Suivi objectifs'!D37,"")</f>
        <v/>
      </c>
      <c r="N37" s="169" t="str">
        <f t="shared" si="2"/>
        <v/>
      </c>
      <c r="O37" s="169" t="str">
        <f t="array" aca="1" ref="O37" ca="1">IF(ROWS($1:36)&lt;=COUNTIF(cond,"o"),INDEX(champ,SMALL(IF(cond="o",ROW(INDIRECT("1:"&amp;ROWS(champ)))),ROWS($1:36))),"")</f>
        <v/>
      </c>
    </row>
    <row r="38" spans="1:15">
      <c r="A38">
        <v>4</v>
      </c>
      <c r="B38" s="187" t="str">
        <f>IF(ISNA(IF(OR(VLOOKUP(B$32&amp;"_"&amp;A38,Scénarios!$A$10:$F$590,2,0)="Sélectionnez un indicateur prédéfini…",VLOOKUP(B$32&amp;"_"&amp;A38,Scénarios!$A$10:$F$590,2,0)="Encoder votre indicateur…"),"-",VLOOKUP(B$32&amp;"_"&amp;A38,Scénarios!$A$10:$F$590,2,0))),"-",IF(OR(VLOOKUP(B$32&amp;"_"&amp;A38,Scénarios!$A$10:$F$590,2,0)="Sélectionnez un indicateur prédéfini…",VLOOKUP(B$32&amp;"_"&amp;A38,Scénarios!$A$10:$F$590,2,0)="Encoder votre indicateur…"),"-",VLOOKUP(B$32&amp;"_"&amp;A38,Scénarios!$A$10:$F$590,2,0)))</f>
        <v>-</v>
      </c>
      <c r="C38" s="824">
        <f>IF(ISNA(VLOOKUP(B$32&amp;"_"&amp;A38,Scénarios!$A$10:$F$590,3,0)),,VLOOKUP(B$32&amp;"_"&amp;A38,Scénarios!$A$10:$F$590,3,0))</f>
        <v>0</v>
      </c>
      <c r="D38" s="825"/>
      <c r="E38"/>
      <c r="F38" s="55"/>
      <c r="G38" s="901">
        <f>IF(ISNA(VLOOKUP(B$32&amp;"_"&amp;A38,Scénarios!$A$10:$F$590,5,0)),,VLOOKUP(B$32&amp;"_"&amp;A38,Scénarios!$A$10:$F$590,IF(ISNA(VLOOKUP($A$5,Categories!$Z$16:$AA$31,2,0)),5,4),0))</f>
        <v>0</v>
      </c>
      <c r="H38" s="901">
        <f t="shared" si="3"/>
        <v>0</v>
      </c>
      <c r="I38"/>
      <c r="J38"/>
      <c r="K38"/>
      <c r="L38"/>
      <c r="M38" s="169" t="str">
        <f>IF('Suivi objectifs'!B38='A1'!$A$5,'Suivi objectifs'!D38,"")</f>
        <v/>
      </c>
      <c r="N38" s="169" t="str">
        <f t="shared" si="2"/>
        <v/>
      </c>
      <c r="O38" s="169" t="str">
        <f t="array" aca="1" ref="O38" ca="1">IF(ROWS($1:37)&lt;=COUNTIF(cond,"o"),INDEX(champ,SMALL(IF(cond="o",ROW(INDIRECT("1:"&amp;ROWS(champ)))),ROWS($1:37))),"")</f>
        <v/>
      </c>
    </row>
    <row r="39" spans="1:15">
      <c r="A39">
        <v>5</v>
      </c>
      <c r="B39" s="187" t="str">
        <f>IF(ISNA(IF(OR(VLOOKUP(B$32&amp;"_"&amp;A39,Scénarios!$A$10:$F$590,2,0)="Sélectionnez un indicateur prédéfini…",VLOOKUP(B$32&amp;"_"&amp;A39,Scénarios!$A$10:$F$590,2,0)="Encoder votre indicateur…"),"-",VLOOKUP(B$32&amp;"_"&amp;A39,Scénarios!$A$10:$F$590,2,0))),"-",IF(OR(VLOOKUP(B$32&amp;"_"&amp;A39,Scénarios!$A$10:$F$590,2,0)="Sélectionnez un indicateur prédéfini…",VLOOKUP(B$32&amp;"_"&amp;A39,Scénarios!$A$10:$F$590,2,0)="Encoder votre indicateur…"),"-",VLOOKUP(B$32&amp;"_"&amp;A39,Scénarios!$A$10:$F$590,2,0)))</f>
        <v>-</v>
      </c>
      <c r="C39" s="824">
        <f>IF(ISNA(VLOOKUP(B$32&amp;"_"&amp;A39,Scénarios!$A$10:$F$590,3,0)),,VLOOKUP(B$32&amp;"_"&amp;A39,Scénarios!$A$10:$F$590,3,0))</f>
        <v>0</v>
      </c>
      <c r="D39" s="825"/>
      <c r="E39"/>
      <c r="F39" s="55"/>
      <c r="G39" s="901">
        <f>IF(ISNA(VLOOKUP(B$32&amp;"_"&amp;A39,Scénarios!$A$10:$F$590,5,0)),,VLOOKUP(B$32&amp;"_"&amp;A39,Scénarios!$A$10:$F$590,IF(ISNA(VLOOKUP($A$5,Categories!$Z$16:$AA$31,2,0)),5,4),0))</f>
        <v>0</v>
      </c>
      <c r="H39" s="901">
        <f t="shared" si="3"/>
        <v>0</v>
      </c>
      <c r="I39"/>
      <c r="J39"/>
      <c r="K39"/>
      <c r="L39"/>
      <c r="M39" s="169">
        <f>IF('Suivi objectifs'!B39='A1'!$A$5,'Suivi objectifs'!D39,"")</f>
        <v>0</v>
      </c>
      <c r="N39" s="169" t="str">
        <f t="shared" si="2"/>
        <v>o</v>
      </c>
      <c r="O39" s="169" t="str">
        <f t="array" aca="1" ref="O39" ca="1">IF(ROWS($1:38)&lt;=COUNTIF(cond,"o"),INDEX(champ,SMALL(IF(cond="o",ROW(INDIRECT("1:"&amp;ROWS(champ)))),ROWS($1:38))),"")</f>
        <v/>
      </c>
    </row>
    <row r="40" spans="1:15">
      <c r="A40">
        <v>6</v>
      </c>
      <c r="B40" s="187" t="str">
        <f>IF(ISNA(IF(OR(VLOOKUP(B$32&amp;"_"&amp;A40,Scénarios!$A$10:$F$590,2,0)="Sélectionnez un indicateur prédéfini…",VLOOKUP(B$32&amp;"_"&amp;A40,Scénarios!$A$10:$F$590,2,0)="Encoder votre indicateur…"),"-",VLOOKUP(B$32&amp;"_"&amp;A40,Scénarios!$A$10:$F$590,2,0))),"-",IF(OR(VLOOKUP(B$32&amp;"_"&amp;A40,Scénarios!$A$10:$F$590,2,0)="Sélectionnez un indicateur prédéfini…",VLOOKUP(B$32&amp;"_"&amp;A40,Scénarios!$A$10:$F$590,2,0)="Encoder votre indicateur…"),"-",VLOOKUP(B$32&amp;"_"&amp;A40,Scénarios!$A$10:$F$590,2,0)))</f>
        <v>-</v>
      </c>
      <c r="C40" s="824">
        <f>IF(ISNA(VLOOKUP(B$32&amp;"_"&amp;A40,Scénarios!$A$10:$F$590,3,0)),,VLOOKUP(B$32&amp;"_"&amp;A40,Scénarios!$A$10:$F$590,3,0))</f>
        <v>0</v>
      </c>
      <c r="D40" s="825"/>
      <c r="E40"/>
      <c r="F40" s="55"/>
      <c r="G40" s="901">
        <f>IF(ISNA(VLOOKUP(B$32&amp;"_"&amp;A40,Scénarios!$A$10:$F$590,5,0)),,VLOOKUP(B$32&amp;"_"&amp;A40,Scénarios!$A$10:$F$590,IF(ISNA(VLOOKUP($A$5,Categories!$Z$16:$AA$31,2,0)),5,4),0))</f>
        <v>0</v>
      </c>
      <c r="H40" s="901">
        <f t="shared" si="3"/>
        <v>0</v>
      </c>
      <c r="I40"/>
      <c r="J40"/>
      <c r="K40"/>
      <c r="L40"/>
      <c r="M40" s="169">
        <f>IF('Suivi objectifs'!B40='A1'!$A$5,'Suivi objectifs'!D40,"")</f>
        <v>0</v>
      </c>
      <c r="N40" s="169" t="str">
        <f t="shared" si="2"/>
        <v>o</v>
      </c>
      <c r="O40" s="169" t="str">
        <f t="array" aca="1" ref="O40" ca="1">IF(ROWS($1:39)&lt;=COUNTIF(cond,"o"),INDEX(champ,SMALL(IF(cond="o",ROW(INDIRECT("1:"&amp;ROWS(champ)))),ROWS($1:39))),"")</f>
        <v/>
      </c>
    </row>
    <row r="41" spans="1:15">
      <c r="A41">
        <v>7</v>
      </c>
      <c r="B41" s="187" t="str">
        <f>IF(ISNA(IF(OR(VLOOKUP(B$32&amp;"_"&amp;A41,Scénarios!$A$10:$F$590,2,0)="Sélectionnez un indicateur prédéfini…",VLOOKUP(B$32&amp;"_"&amp;A41,Scénarios!$A$10:$F$590,2,0)="Encoder votre indicateur…"),"-",VLOOKUP(B$32&amp;"_"&amp;A41,Scénarios!$A$10:$F$590,2,0))),"-",IF(OR(VLOOKUP(B$32&amp;"_"&amp;A41,Scénarios!$A$10:$F$590,2,0)="Sélectionnez un indicateur prédéfini…",VLOOKUP(B$32&amp;"_"&amp;A41,Scénarios!$A$10:$F$590,2,0)="Encoder votre indicateur…"),"-",VLOOKUP(B$32&amp;"_"&amp;A41,Scénarios!$A$10:$F$590,2,0)))</f>
        <v>-</v>
      </c>
      <c r="C41" s="824">
        <f>IF(ISNA(VLOOKUP(B$32&amp;"_"&amp;A41,Scénarios!$A$10:$F$590,3,0)),,VLOOKUP(B$32&amp;"_"&amp;A41,Scénarios!$A$10:$F$590,3,0))</f>
        <v>0</v>
      </c>
      <c r="D41" s="825"/>
      <c r="E41"/>
      <c r="F41" s="55"/>
      <c r="G41" s="901">
        <f>IF(ISNA(VLOOKUP(B$32&amp;"_"&amp;A41,Scénarios!$A$10:$F$590,5,0)),,VLOOKUP(B$32&amp;"_"&amp;A41,Scénarios!$A$10:$F$590,IF(ISNA(VLOOKUP($A$5,Categories!$Z$16:$AA$31,2,0)),5,4),0))</f>
        <v>0</v>
      </c>
      <c r="H41" s="901">
        <f t="shared" si="3"/>
        <v>0</v>
      </c>
      <c r="I41"/>
      <c r="J41"/>
      <c r="K41"/>
      <c r="L41"/>
      <c r="M41" s="169">
        <f>IF('Suivi objectifs'!B41='A1'!$A$5,'Suivi objectifs'!D41,"")</f>
        <v>0</v>
      </c>
      <c r="N41" s="169" t="str">
        <f t="shared" si="2"/>
        <v>o</v>
      </c>
      <c r="O41" s="169" t="str">
        <f t="array" aca="1" ref="O41" ca="1">IF(ROWS($1:40)&lt;=COUNTIF(cond,"o"),INDEX(champ,SMALL(IF(cond="o",ROW(INDIRECT("1:"&amp;ROWS(champ)))),ROWS($1:40))),"")</f>
        <v/>
      </c>
    </row>
    <row r="42" spans="1:15">
      <c r="A42">
        <v>8</v>
      </c>
      <c r="B42" s="187" t="str">
        <f>IF(ISNA(IF(OR(VLOOKUP(B$32&amp;"_"&amp;A42,Scénarios!$A$10:$F$590,2,0)="Sélectionnez un indicateur prédéfini…",VLOOKUP(B$32&amp;"_"&amp;A42,Scénarios!$A$10:$F$590,2,0)="Encoder votre indicateur…"),"-",VLOOKUP(B$32&amp;"_"&amp;A42,Scénarios!$A$10:$F$590,2,0))),"-",IF(OR(VLOOKUP(B$32&amp;"_"&amp;A42,Scénarios!$A$10:$F$590,2,0)="Sélectionnez un indicateur prédéfini…",VLOOKUP(B$32&amp;"_"&amp;A42,Scénarios!$A$10:$F$590,2,0)="Encoder votre indicateur…"),"-",VLOOKUP(B$32&amp;"_"&amp;A42,Scénarios!$A$10:$F$590,2,0)))</f>
        <v>-</v>
      </c>
      <c r="C42" s="824">
        <f>IF(ISNA(VLOOKUP(B$32&amp;"_"&amp;A42,Scénarios!$A$10:$F$590,3,0)),,VLOOKUP(B$32&amp;"_"&amp;A42,Scénarios!$A$10:$F$590,3,0))</f>
        <v>0</v>
      </c>
      <c r="D42" s="825"/>
      <c r="E42"/>
      <c r="F42" s="55"/>
      <c r="G42" s="901">
        <f>IF(ISNA(VLOOKUP(B$32&amp;"_"&amp;A42,Scénarios!$A$10:$F$590,5,0)),,VLOOKUP(B$32&amp;"_"&amp;A42,Scénarios!$A$10:$F$590,IF(ISNA(VLOOKUP($A$5,Categories!$Z$16:$AA$31,2,0)),5,4),0))</f>
        <v>0</v>
      </c>
      <c r="H42" s="901">
        <f t="shared" si="3"/>
        <v>0</v>
      </c>
      <c r="I42"/>
      <c r="J42"/>
      <c r="K42"/>
      <c r="L42"/>
      <c r="M42" s="169">
        <f>IF('Suivi objectifs'!B42='A1'!$A$5,'Suivi objectifs'!D42,"")</f>
        <v>0</v>
      </c>
      <c r="N42" s="169"/>
      <c r="O42" s="169"/>
    </row>
    <row r="43" spans="1:15">
      <c r="A43">
        <v>9</v>
      </c>
      <c r="B43" s="187" t="str">
        <f>IF(ISNA(IF(OR(VLOOKUP(B$32&amp;"_"&amp;A43,Scénarios!$A$10:$F$590,2,0)="Sélectionnez un indicateur prédéfini…",VLOOKUP(B$32&amp;"_"&amp;A43,Scénarios!$A$10:$F$590,2,0)="Encoder votre indicateur…"),"-",VLOOKUP(B$32&amp;"_"&amp;A43,Scénarios!$A$10:$F$590,2,0))),"-",IF(OR(VLOOKUP(B$32&amp;"_"&amp;A43,Scénarios!$A$10:$F$590,2,0)="Sélectionnez un indicateur prédéfini…",VLOOKUP(B$32&amp;"_"&amp;A43,Scénarios!$A$10:$F$590,2,0)="Encoder votre indicateur…"),"-",VLOOKUP(B$32&amp;"_"&amp;A43,Scénarios!$A$10:$F$590,2,0)))</f>
        <v>-</v>
      </c>
      <c r="C43" s="824">
        <f>IF(ISNA(VLOOKUP(B$32&amp;"_"&amp;A43,Scénarios!$A$10:$F$590,3,0)),,VLOOKUP(B$32&amp;"_"&amp;A43,Scénarios!$A$10:$F$590,3,0))</f>
        <v>0</v>
      </c>
      <c r="D43" s="825"/>
      <c r="E43"/>
      <c r="F43" s="55"/>
      <c r="G43" s="901">
        <f>IF(ISNA(VLOOKUP(B$32&amp;"_"&amp;A43,Scénarios!$A$10:$F$590,5,0)),,VLOOKUP(B$32&amp;"_"&amp;A43,Scénarios!$A$10:$F$590,IF(ISNA(VLOOKUP($A$5,Categories!$Z$16:$AA$31,2,0)),5,4),0))</f>
        <v>0</v>
      </c>
      <c r="H43" s="901">
        <f t="shared" si="3"/>
        <v>0</v>
      </c>
      <c r="I43"/>
      <c r="J43"/>
      <c r="K43"/>
      <c r="L43"/>
      <c r="M43" s="169">
        <f>IF('Suivi objectifs'!B43='A1'!$A$5,'Suivi objectifs'!D43,"")</f>
        <v>0</v>
      </c>
      <c r="N43" s="169"/>
      <c r="O43" s="169"/>
    </row>
    <row r="44" spans="1:15">
      <c r="A44">
        <v>10</v>
      </c>
      <c r="B44" s="187" t="str">
        <f>IF(ISNA(IF(OR(VLOOKUP(B$32&amp;"_"&amp;A44,Scénarios!$A$10:$F$590,2,0)="Sélectionnez un indicateur prédéfini…",VLOOKUP(B$32&amp;"_"&amp;A44,Scénarios!$A$10:$F$590,2,0)="Encoder votre indicateur…"),"-",VLOOKUP(B$32&amp;"_"&amp;A44,Scénarios!$A$10:$F$590,2,0))),"-",IF(OR(VLOOKUP(B$32&amp;"_"&amp;A44,Scénarios!$A$10:$F$590,2,0)="Sélectionnez un indicateur prédéfini…",VLOOKUP(B$32&amp;"_"&amp;A44,Scénarios!$A$10:$F$590,2,0)="Encoder votre indicateur…"),"-",VLOOKUP(B$32&amp;"_"&amp;A44,Scénarios!$A$10:$F$590,2,0)))</f>
        <v>-</v>
      </c>
      <c r="C44" s="824">
        <f>IF(ISNA(VLOOKUP(B$32&amp;"_"&amp;A44,Scénarios!$A$10:$F$590,3,0)),,VLOOKUP(B$32&amp;"_"&amp;A44,Scénarios!$A$10:$F$590,3,0))</f>
        <v>0</v>
      </c>
      <c r="D44" s="825"/>
      <c r="E44"/>
      <c r="F44" s="55"/>
      <c r="G44" s="901">
        <f>IF(ISNA(VLOOKUP(B$32&amp;"_"&amp;A44,Scénarios!$A$10:$F$590,5,0)),,VLOOKUP(B$32&amp;"_"&amp;A44,Scénarios!$A$10:$F$590,IF(ISNA(VLOOKUP($A$5,Categories!$Z$16:$AA$31,2,0)),5,4),0))</f>
        <v>0</v>
      </c>
      <c r="H44" s="901">
        <f t="shared" si="3"/>
        <v>0</v>
      </c>
      <c r="I44"/>
      <c r="J44"/>
      <c r="K44"/>
      <c r="L44"/>
      <c r="M44" s="169">
        <f>IF('Suivi objectifs'!B44='A1'!$A$5,'Suivi objectifs'!D44,"")</f>
        <v>0</v>
      </c>
      <c r="N44" s="169"/>
      <c r="O44" s="169"/>
    </row>
    <row r="45" spans="1:15">
      <c r="A45">
        <v>11</v>
      </c>
      <c r="B45" s="187" t="str">
        <f>IF(ISNA(IF(OR(VLOOKUP(B$32&amp;"_"&amp;A45,Scénarios!$A$10:$F$590,2,0)="Sélectionnez un indicateur prédéfini…",VLOOKUP(B$32&amp;"_"&amp;A45,Scénarios!$A$10:$F$590,2,0)="Encoder votre indicateur…"),"-",VLOOKUP(B$32&amp;"_"&amp;A45,Scénarios!$A$10:$F$590,2,0))),"-",IF(OR(VLOOKUP(B$32&amp;"_"&amp;A45,Scénarios!$A$10:$F$590,2,0)="Sélectionnez un indicateur prédéfini…",VLOOKUP(B$32&amp;"_"&amp;A45,Scénarios!$A$10:$F$590,2,0)="Encoder votre indicateur…"),"-",VLOOKUP(B$32&amp;"_"&amp;A45,Scénarios!$A$10:$F$590,2,0)))</f>
        <v>-</v>
      </c>
      <c r="C45" s="824">
        <f>IF(ISNA(VLOOKUP(B$32&amp;"_"&amp;A45,Scénarios!$A$10:$F$590,3,0)),,VLOOKUP(B$32&amp;"_"&amp;A45,Scénarios!$A$10:$F$590,3,0))</f>
        <v>0</v>
      </c>
      <c r="D45" s="825"/>
      <c r="E45"/>
      <c r="F45" s="55"/>
      <c r="G45" s="901">
        <f>IF(ISNA(VLOOKUP(B$32&amp;"_"&amp;A45,Scénarios!$A$10:$F$590,5,0)),,VLOOKUP(B$32&amp;"_"&amp;A45,Scénarios!$A$10:$F$590,IF(ISNA(VLOOKUP($A$5,Categories!$Z$16:$AA$31,2,0)),5,4),0))</f>
        <v>0</v>
      </c>
      <c r="H45" s="901">
        <f t="shared" si="3"/>
        <v>0</v>
      </c>
      <c r="I45"/>
      <c r="J45"/>
      <c r="K45"/>
      <c r="L45"/>
      <c r="M45" s="169">
        <f>IF('Suivi objectifs'!B45='A1'!$A$5,'Suivi objectifs'!D45,"")</f>
        <v>0</v>
      </c>
      <c r="N45" s="169"/>
      <c r="O45" s="169"/>
    </row>
    <row r="46" spans="1:15">
      <c r="A46">
        <v>12</v>
      </c>
      <c r="B46" s="187" t="str">
        <f>IF(ISNA(IF(OR(VLOOKUP(B$32&amp;"_"&amp;A46,Scénarios!$A$10:$F$590,2,0)="Sélectionnez un indicateur prédéfini…",VLOOKUP(B$32&amp;"_"&amp;A46,Scénarios!$A$10:$F$590,2,0)="Encoder votre indicateur…"),"-",VLOOKUP(B$32&amp;"_"&amp;A46,Scénarios!$A$10:$F$590,2,0))),"-",IF(OR(VLOOKUP(B$32&amp;"_"&amp;A46,Scénarios!$A$10:$F$590,2,0)="Sélectionnez un indicateur prédéfini…",VLOOKUP(B$32&amp;"_"&amp;A46,Scénarios!$A$10:$F$590,2,0)="Encoder votre indicateur…"),"-",VLOOKUP(B$32&amp;"_"&amp;A46,Scénarios!$A$10:$F$590,2,0)))</f>
        <v>-</v>
      </c>
      <c r="C46" s="824">
        <f>IF(ISNA(VLOOKUP(B$32&amp;"_"&amp;A46,Scénarios!$A$10:$F$590,3,0)),,VLOOKUP(B$32&amp;"_"&amp;A46,Scénarios!$A$10:$F$590,3,0))</f>
        <v>0</v>
      </c>
      <c r="D46" s="825"/>
      <c r="E46"/>
      <c r="F46" s="55"/>
      <c r="G46" s="901">
        <f>IF(ISNA(VLOOKUP(B$32&amp;"_"&amp;A46,Scénarios!$A$10:$F$590,5,0)),,VLOOKUP(B$32&amp;"_"&amp;A46,Scénarios!$A$10:$F$590,IF(ISNA(VLOOKUP($A$5,Categories!$Z$16:$AA$31,2,0)),5,4),0))</f>
        <v>0</v>
      </c>
      <c r="H46" s="901">
        <f t="shared" si="3"/>
        <v>0</v>
      </c>
      <c r="I46"/>
      <c r="J46"/>
      <c r="K46"/>
      <c r="L46"/>
      <c r="M46" s="169">
        <f>IF('Suivi objectifs'!B46='A1'!$A$5,'Suivi objectifs'!D46,"")</f>
        <v>0</v>
      </c>
      <c r="N46" s="169"/>
      <c r="O46" s="169"/>
    </row>
    <row r="47" spans="1:15">
      <c r="A47">
        <v>13</v>
      </c>
      <c r="B47" s="187" t="str">
        <f>IF(ISNA(IF(OR(VLOOKUP(B$32&amp;"_"&amp;A47,Scénarios!$A$10:$F$590,2,0)="Sélectionnez un indicateur prédéfini…",VLOOKUP(B$32&amp;"_"&amp;A47,Scénarios!$A$10:$F$590,2,0)="Encoder votre indicateur…"),"-",VLOOKUP(B$32&amp;"_"&amp;A47,Scénarios!$A$10:$F$590,2,0))),"-",IF(OR(VLOOKUP(B$32&amp;"_"&amp;A47,Scénarios!$A$10:$F$590,2,0)="Sélectionnez un indicateur prédéfini…",VLOOKUP(B$32&amp;"_"&amp;A47,Scénarios!$A$10:$F$590,2,0)="Encoder votre indicateur…"),"-",VLOOKUP(B$32&amp;"_"&amp;A47,Scénarios!$A$10:$F$590,2,0)))</f>
        <v>-</v>
      </c>
      <c r="C47" s="824">
        <f>IF(ISNA(VLOOKUP(B$32&amp;"_"&amp;A47,Scénarios!$A$10:$F$590,3,0)),,VLOOKUP(B$32&amp;"_"&amp;A47,Scénarios!$A$10:$F$590,3,0))</f>
        <v>0</v>
      </c>
      <c r="D47" s="825"/>
      <c r="E47"/>
      <c r="F47" s="55"/>
      <c r="G47" s="901">
        <f>IF(ISNA(VLOOKUP(B$32&amp;"_"&amp;A47,Scénarios!$A$10:$F$590,5,0)),,VLOOKUP(B$32&amp;"_"&amp;A47,Scénarios!$A$10:$F$590,IF(ISNA(VLOOKUP($A$5,Categories!$Z$16:$AA$31,2,0)),5,4),0))</f>
        <v>0</v>
      </c>
      <c r="H47" s="901">
        <f t="shared" si="3"/>
        <v>0</v>
      </c>
      <c r="I47"/>
      <c r="J47"/>
      <c r="K47"/>
      <c r="L47"/>
      <c r="M47" s="169">
        <f>IF('Suivi objectifs'!B47='A1'!$A$5,'Suivi objectifs'!D47,"")</f>
        <v>0</v>
      </c>
      <c r="N47" s="169" t="str">
        <f t="shared" ref="N47" si="4">IF(M47&lt;&gt;"","o","")</f>
        <v>o</v>
      </c>
      <c r="O47" s="169" t="str">
        <f t="array" aca="1" ref="O47" ca="1">IF(ROWS($1:41)&lt;=COUNTIF(cond,"o"),INDEX(champ,SMALL(IF(cond="o",ROW(INDIRECT("1:"&amp;ROWS(champ)))),ROWS($1:41))),"")</f>
        <v/>
      </c>
    </row>
    <row r="48" spans="1:15">
      <c r="A48">
        <v>14</v>
      </c>
      <c r="B48" s="187" t="str">
        <f>IF(ISNA(IF(OR(VLOOKUP(B$32&amp;"_"&amp;A48,Scénarios!$A$10:$F$590,2,0)="Sélectionnez un indicateur prédéfini…",VLOOKUP(B$32&amp;"_"&amp;A48,Scénarios!$A$10:$F$590,2,0)="Encoder votre indicateur…"),"-",VLOOKUP(B$32&amp;"_"&amp;A48,Scénarios!$A$10:$F$590,2,0))),"-",IF(OR(VLOOKUP(B$32&amp;"_"&amp;A48,Scénarios!$A$10:$F$590,2,0)="Sélectionnez un indicateur prédéfini…",VLOOKUP(B$32&amp;"_"&amp;A48,Scénarios!$A$10:$F$590,2,0)="Encoder votre indicateur…"),"-",VLOOKUP(B$32&amp;"_"&amp;A48,Scénarios!$A$10:$F$590,2,0)))</f>
        <v>-</v>
      </c>
      <c r="C48" s="824">
        <f>IF(ISNA(VLOOKUP(B$32&amp;"_"&amp;A48,Scénarios!$A$10:$F$590,3,0)),,VLOOKUP(B$32&amp;"_"&amp;A48,Scénarios!$A$10:$F$590,3,0))</f>
        <v>0</v>
      </c>
      <c r="D48" s="825"/>
      <c r="E48"/>
      <c r="F48" s="55"/>
      <c r="G48" s="901">
        <f>IF(ISNA(VLOOKUP(B$32&amp;"_"&amp;A48,Scénarios!$A$10:$F$590,5,0)),,VLOOKUP(B$32&amp;"_"&amp;A48,Scénarios!$A$10:$F$590,IF(ISNA(VLOOKUP($A$5,Categories!$Z$16:$AA$31,2,0)),5,4),0))</f>
        <v>0</v>
      </c>
      <c r="H48" s="901">
        <f t="shared" si="3"/>
        <v>0</v>
      </c>
      <c r="I48"/>
      <c r="J48"/>
      <c r="K48"/>
      <c r="L48"/>
      <c r="M48" s="169">
        <f>IF('Suivi objectifs'!B47='A1'!$A$5,'Suivi objectifs'!D47,"")</f>
        <v>0</v>
      </c>
    </row>
    <row r="49" spans="1:12">
      <c r="A49">
        <v>15</v>
      </c>
      <c r="B49" s="187" t="str">
        <f>IF(ISNA(IF(OR(VLOOKUP(B$32&amp;"_"&amp;A49,Scénarios!$A$10:$F$590,2,0)="Sélectionnez un indicateur prédéfini…",VLOOKUP(B$32&amp;"_"&amp;A49,Scénarios!$A$10:$F$590,2,0)="Encoder votre indicateur…"),"-",VLOOKUP(B$32&amp;"_"&amp;A49,Scénarios!$A$10:$F$590,2,0))),"-",IF(OR(VLOOKUP(B$32&amp;"_"&amp;A49,Scénarios!$A$10:$F$590,2,0)="Sélectionnez un indicateur prédéfini…",VLOOKUP(B$32&amp;"_"&amp;A49,Scénarios!$A$10:$F$590,2,0)="Encoder votre indicateur…"),"-",VLOOKUP(B$32&amp;"_"&amp;A49,Scénarios!$A$10:$F$590,2,0)))</f>
        <v>-</v>
      </c>
      <c r="C49" s="824">
        <f>IF(ISNA(VLOOKUP(B$32&amp;"_"&amp;A49,Scénarios!$A$10:$F$590,3,0)),,VLOOKUP(B$32&amp;"_"&amp;A49,Scénarios!$A$10:$F$590,3,0))</f>
        <v>0</v>
      </c>
      <c r="D49" s="825"/>
      <c r="E49"/>
      <c r="F49" s="55"/>
      <c r="G49" s="901">
        <f>IF(ISNA(VLOOKUP(B$32&amp;"_"&amp;A49,Scénarios!$A$10:$F$590,5,0)),,VLOOKUP(B$32&amp;"_"&amp;A49,Scénarios!$A$10:$F$590,IF(ISNA(VLOOKUP($A$5,Categories!$Z$16:$AA$31,2,0)),5,4),0))</f>
        <v>0</v>
      </c>
      <c r="H49" s="901">
        <f t="shared" si="3"/>
        <v>0</v>
      </c>
      <c r="I49"/>
      <c r="J49"/>
      <c r="K49"/>
      <c r="L49"/>
    </row>
    <row r="50" spans="1:12">
      <c r="A50"/>
      <c r="B50"/>
      <c r="C50"/>
      <c r="D50"/>
      <c r="E50"/>
      <c r="F50" s="55"/>
      <c r="G50" s="55"/>
      <c r="H50" s="55"/>
      <c r="I50" s="1879"/>
      <c r="J50" s="1879"/>
      <c r="K50"/>
      <c r="L50"/>
    </row>
    <row r="51" spans="1:12" ht="15.6">
      <c r="A51"/>
      <c r="B51" s="827" t="s">
        <v>749</v>
      </c>
      <c r="C51" s="828">
        <f>IF(SUM(G35:G49)=0,0,SUM(H35:H49)/SUM(G35:G49))</f>
        <v>0</v>
      </c>
      <c r="D51" s="829"/>
      <c r="E51"/>
      <c r="F51" s="55"/>
      <c r="G51" s="55"/>
      <c r="H51" s="55"/>
      <c r="I51" s="1879"/>
      <c r="J51" s="1879"/>
      <c r="K51"/>
      <c r="L51"/>
    </row>
    <row r="52" spans="1:12">
      <c r="A52" s="190"/>
      <c r="B52" s="190"/>
      <c r="C52" s="190"/>
      <c r="D52" s="190"/>
      <c r="E52" s="190"/>
      <c r="F52" s="159"/>
      <c r="G52" s="55"/>
      <c r="H52" s="55"/>
      <c r="I52" s="43"/>
      <c r="J52" s="43"/>
      <c r="K52"/>
      <c r="L52"/>
    </row>
    <row r="53" spans="1:12" ht="18">
      <c r="A53" s="823" t="s">
        <v>750</v>
      </c>
      <c r="B53" s="246" t="str">
        <f>IF(C5=0,"-",C5)</f>
        <v>-</v>
      </c>
      <c r="C53"/>
      <c r="D53"/>
      <c r="E53"/>
      <c r="F53" s="55"/>
      <c r="G53" s="55"/>
      <c r="H53" s="55"/>
      <c r="I53"/>
      <c r="J53"/>
      <c r="K53"/>
      <c r="L53"/>
    </row>
    <row r="54" spans="1:12" ht="18">
      <c r="A54" s="823"/>
      <c r="B54" s="246"/>
      <c r="C54"/>
      <c r="D54"/>
      <c r="E54"/>
      <c r="F54" s="55"/>
      <c r="G54" s="55"/>
      <c r="H54" s="55"/>
      <c r="I54"/>
      <c r="J54"/>
      <c r="K54"/>
      <c r="L54"/>
    </row>
    <row r="55" spans="1:12" ht="28.8">
      <c r="A55"/>
      <c r="B55" s="217" t="s">
        <v>676</v>
      </c>
      <c r="C55" s="217" t="s">
        <v>746</v>
      </c>
      <c r="D55" s="218" t="s">
        <v>747</v>
      </c>
      <c r="E55"/>
      <c r="F55" s="55"/>
      <c r="G55" s="55"/>
      <c r="H55" s="55"/>
      <c r="I55"/>
      <c r="J55"/>
      <c r="K55"/>
      <c r="L55"/>
    </row>
    <row r="56" spans="1:12">
      <c r="A56">
        <v>1</v>
      </c>
      <c r="B56" s="187" t="str">
        <f>IF(ISNA(IF(OR(VLOOKUP(B$53&amp;"_"&amp;A56,Scénarios!$A$10:$F$590,2,0)="Sélectionnez un indicateur prédéfini…",VLOOKUP(B$53&amp;"_"&amp;A56,Scénarios!$A$10:$F$590,2,0)="Encoder votre indicateur…"),"-",VLOOKUP(B$53&amp;"_"&amp;A56,Scénarios!$A$10:$F$590,2,0))),"-",IF(OR(VLOOKUP(B$53&amp;"_"&amp;A56,Scénarios!$A$10:$F$590,2,0)="Sélectionnez un indicateur prédéfini…",VLOOKUP(B$53&amp;"_"&amp;A56,Scénarios!$A$10:$F$590,2,0)="Encoder votre indicateur…"),"-",VLOOKUP(B$53&amp;"_"&amp;A56,Scénarios!$A$10:$F$590,2,0)))</f>
        <v>-</v>
      </c>
      <c r="C56" s="824">
        <f>IF(ISNA(VLOOKUP(B$53&amp;"_"&amp;A56,Scénarios!$A$10:$F$590,3,0)),,VLOOKUP(B$53&amp;"_"&amp;A56,Scénarios!$A$10:$F$590,3,0))</f>
        <v>0</v>
      </c>
      <c r="D56" s="825"/>
      <c r="E56"/>
      <c r="F56" s="55"/>
      <c r="G56" s="901">
        <f>IF(ISNA(VLOOKUP(B$53&amp;"_"&amp;A56,Scénarios!$A$10:$F$590,5,0)),,VLOOKUP(B$53&amp;"_"&amp;A56,Scénarios!$A$10:$F$590,IF(ISNA(VLOOKUP($A$5,Categories!$Z$16:$AA$31,2,0)),5,4),0))</f>
        <v>0</v>
      </c>
      <c r="H56" s="901">
        <f t="shared" ref="H56:H70" si="5">IF(C56=0,0,G56/C56*D56)</f>
        <v>0</v>
      </c>
      <c r="I56"/>
      <c r="J56"/>
      <c r="K56"/>
      <c r="L56"/>
    </row>
    <row r="57" spans="1:12">
      <c r="A57">
        <v>2</v>
      </c>
      <c r="B57" s="187" t="str">
        <f>IF(ISNA(IF(OR(VLOOKUP(B$53&amp;"_"&amp;A57,Scénarios!$A$10:$F$590,2,0)="Sélectionnez un indicateur prédéfini…",VLOOKUP(B$53&amp;"_"&amp;A57,Scénarios!$A$10:$F$590,2,0)="Encoder votre indicateur…"),"-",VLOOKUP(B$53&amp;"_"&amp;A57,Scénarios!$A$10:$F$590,2,0))),"-",IF(OR(VLOOKUP(B$53&amp;"_"&amp;A57,Scénarios!$A$10:$F$590,2,0)="Sélectionnez un indicateur prédéfini…",VLOOKUP(B$53&amp;"_"&amp;A57,Scénarios!$A$10:$F$590,2,0)="Encoder votre indicateur…"),"-",VLOOKUP(B$53&amp;"_"&amp;A57,Scénarios!$A$10:$F$590,2,0)))</f>
        <v>-</v>
      </c>
      <c r="C57" s="824">
        <f>IF(ISNA(VLOOKUP(B$53&amp;"_"&amp;A57,Scénarios!$A$10:$F$590,3,0)),,VLOOKUP(B$53&amp;"_"&amp;A57,Scénarios!$A$10:$F$590,3,0))</f>
        <v>0</v>
      </c>
      <c r="D57" s="825"/>
      <c r="E57"/>
      <c r="F57" s="55"/>
      <c r="G57" s="901">
        <f>IF(ISNA(VLOOKUP(B$53&amp;"_"&amp;A57,Scénarios!$A$10:$F$590,5,0)),,VLOOKUP(B$53&amp;"_"&amp;A57,Scénarios!$A$10:$F$590,IF(ISNA(VLOOKUP($A$5,Categories!$Z$16:$AA$31,2,0)),5,4),0))</f>
        <v>0</v>
      </c>
      <c r="H57" s="901">
        <f t="shared" si="5"/>
        <v>0</v>
      </c>
      <c r="I57"/>
      <c r="J57"/>
      <c r="K57"/>
      <c r="L57"/>
    </row>
    <row r="58" spans="1:12">
      <c r="A58">
        <v>3</v>
      </c>
      <c r="B58" s="187" t="str">
        <f>IF(ISNA(IF(OR(VLOOKUP(B$53&amp;"_"&amp;A58,Scénarios!$A$10:$F$590,2,0)="Sélectionnez un indicateur prédéfini…",VLOOKUP(B$53&amp;"_"&amp;A58,Scénarios!$A$10:$F$590,2,0)="Encoder votre indicateur…"),"-",VLOOKUP(B$53&amp;"_"&amp;A58,Scénarios!$A$10:$F$590,2,0))),"-",IF(OR(VLOOKUP(B$53&amp;"_"&amp;A58,Scénarios!$A$10:$F$590,2,0)="Sélectionnez un indicateur prédéfini…",VLOOKUP(B$53&amp;"_"&amp;A58,Scénarios!$A$10:$F$590,2,0)="Encoder votre indicateur…"),"-",VLOOKUP(B$53&amp;"_"&amp;A58,Scénarios!$A$10:$F$590,2,0)))</f>
        <v>-</v>
      </c>
      <c r="C58" s="824">
        <f>IF(ISNA(VLOOKUP(B$53&amp;"_"&amp;A58,Scénarios!$A$10:$F$590,3,0)),,VLOOKUP(B$53&amp;"_"&amp;A58,Scénarios!$A$10:$F$590,3,0))</f>
        <v>0</v>
      </c>
      <c r="D58" s="825"/>
      <c r="E58"/>
      <c r="F58" s="55"/>
      <c r="G58" s="901">
        <f>IF(ISNA(VLOOKUP(B$53&amp;"_"&amp;A58,Scénarios!$A$10:$F$590,5,0)),,VLOOKUP(B$53&amp;"_"&amp;A58,Scénarios!$A$10:$F$590,IF(ISNA(VLOOKUP($A$5,Categories!$Z$16:$AA$31,2,0)),5,4),0))</f>
        <v>0</v>
      </c>
      <c r="H58" s="901">
        <f t="shared" si="5"/>
        <v>0</v>
      </c>
      <c r="I58"/>
      <c r="J58"/>
      <c r="K58"/>
      <c r="L58"/>
    </row>
    <row r="59" spans="1:12">
      <c r="A59">
        <v>4</v>
      </c>
      <c r="B59" s="187" t="str">
        <f>IF(ISNA(IF(OR(VLOOKUP(B$53&amp;"_"&amp;A59,Scénarios!$A$10:$F$590,2,0)="Sélectionnez un indicateur prédéfini…",VLOOKUP(B$53&amp;"_"&amp;A59,Scénarios!$A$10:$F$590,2,0)="Encoder votre indicateur…"),"-",VLOOKUP(B$53&amp;"_"&amp;A59,Scénarios!$A$10:$F$590,2,0))),"-",IF(OR(VLOOKUP(B$53&amp;"_"&amp;A59,Scénarios!$A$10:$F$590,2,0)="Sélectionnez un indicateur prédéfini…",VLOOKUP(B$53&amp;"_"&amp;A59,Scénarios!$A$10:$F$590,2,0)="Encoder votre indicateur…"),"-",VLOOKUP(B$53&amp;"_"&amp;A59,Scénarios!$A$10:$F$590,2,0)))</f>
        <v>-</v>
      </c>
      <c r="C59" s="824">
        <f>IF(ISNA(VLOOKUP(B$53&amp;"_"&amp;A59,Scénarios!$A$10:$F$590,3,0)),,VLOOKUP(B$53&amp;"_"&amp;A59,Scénarios!$A$10:$F$590,3,0))</f>
        <v>0</v>
      </c>
      <c r="D59" s="825"/>
      <c r="E59"/>
      <c r="F59" s="55"/>
      <c r="G59" s="901">
        <f>IF(ISNA(VLOOKUP(B$53&amp;"_"&amp;A59,Scénarios!$A$10:$F$590,5,0)),,VLOOKUP(B$53&amp;"_"&amp;A59,Scénarios!$A$10:$F$590,IF(ISNA(VLOOKUP($A$5,Categories!$Z$16:$AA$31,2,0)),5,4),0))</f>
        <v>0</v>
      </c>
      <c r="H59" s="901">
        <f t="shared" si="5"/>
        <v>0</v>
      </c>
      <c r="I59"/>
      <c r="J59"/>
      <c r="K59"/>
      <c r="L59"/>
    </row>
    <row r="60" spans="1:12">
      <c r="A60">
        <v>5</v>
      </c>
      <c r="B60" s="187" t="str">
        <f>IF(ISNA(IF(OR(VLOOKUP(B$53&amp;"_"&amp;A60,Scénarios!$A$10:$F$590,2,0)="Sélectionnez un indicateur prédéfini…",VLOOKUP(B$53&amp;"_"&amp;A60,Scénarios!$A$10:$F$590,2,0)="Encoder votre indicateur…"),"-",VLOOKUP(B$53&amp;"_"&amp;A60,Scénarios!$A$10:$F$590,2,0))),"-",IF(OR(VLOOKUP(B$53&amp;"_"&amp;A60,Scénarios!$A$10:$F$590,2,0)="Sélectionnez un indicateur prédéfini…",VLOOKUP(B$53&amp;"_"&amp;A60,Scénarios!$A$10:$F$590,2,0)="Encoder votre indicateur…"),"-",VLOOKUP(B$53&amp;"_"&amp;A60,Scénarios!$A$10:$F$590,2,0)))</f>
        <v>-</v>
      </c>
      <c r="C60" s="824">
        <f>IF(ISNA(VLOOKUP(B$53&amp;"_"&amp;A60,Scénarios!$A$10:$F$590,3,0)),,VLOOKUP(B$53&amp;"_"&amp;A60,Scénarios!$A$10:$F$590,3,0))</f>
        <v>0</v>
      </c>
      <c r="D60" s="825"/>
      <c r="E60"/>
      <c r="F60" s="55"/>
      <c r="G60" s="901">
        <f>IF(ISNA(VLOOKUP(B$53&amp;"_"&amp;A60,Scénarios!$A$10:$F$590,5,0)),,VLOOKUP(B$53&amp;"_"&amp;A60,Scénarios!$A$10:$F$590,IF(ISNA(VLOOKUP($A$5,Categories!$Z$16:$AA$31,2,0)),5,4),0))</f>
        <v>0</v>
      </c>
      <c r="H60" s="901">
        <f t="shared" si="5"/>
        <v>0</v>
      </c>
      <c r="I60"/>
      <c r="J60"/>
      <c r="K60"/>
      <c r="L60"/>
    </row>
    <row r="61" spans="1:12">
      <c r="A61">
        <v>6</v>
      </c>
      <c r="B61" s="187" t="str">
        <f>IF(ISNA(IF(OR(VLOOKUP(B$53&amp;"_"&amp;A61,Scénarios!$A$10:$F$590,2,0)="Sélectionnez un indicateur prédéfini…",VLOOKUP(B$53&amp;"_"&amp;A61,Scénarios!$A$10:$F$590,2,0)="Encoder votre indicateur…"),"-",VLOOKUP(B$53&amp;"_"&amp;A61,Scénarios!$A$10:$F$590,2,0))),"-",IF(OR(VLOOKUP(B$53&amp;"_"&amp;A61,Scénarios!$A$10:$F$590,2,0)="Sélectionnez un indicateur prédéfini…",VLOOKUP(B$53&amp;"_"&amp;A61,Scénarios!$A$10:$F$590,2,0)="Encoder votre indicateur…"),"-",VLOOKUP(B$53&amp;"_"&amp;A61,Scénarios!$A$10:$F$590,2,0)))</f>
        <v>-</v>
      </c>
      <c r="C61" s="824">
        <f>IF(ISNA(VLOOKUP(B$53&amp;"_"&amp;A61,Scénarios!$A$10:$F$590,3,0)),,VLOOKUP(B$53&amp;"_"&amp;A61,Scénarios!$A$10:$F$590,3,0))</f>
        <v>0</v>
      </c>
      <c r="D61" s="825"/>
      <c r="E61"/>
      <c r="F61" s="55"/>
      <c r="G61" s="901">
        <f>IF(ISNA(VLOOKUP(B$53&amp;"_"&amp;A61,Scénarios!$A$10:$F$590,5,0)),,VLOOKUP(B$53&amp;"_"&amp;A61,Scénarios!$A$10:$F$590,IF(ISNA(VLOOKUP($A$5,Categories!$Z$16:$AA$31,2,0)),5,4),0))</f>
        <v>0</v>
      </c>
      <c r="H61" s="901">
        <f t="shared" si="5"/>
        <v>0</v>
      </c>
      <c r="I61"/>
      <c r="J61"/>
      <c r="K61"/>
      <c r="L61"/>
    </row>
    <row r="62" spans="1:12">
      <c r="A62">
        <v>7</v>
      </c>
      <c r="B62" s="187" t="str">
        <f>IF(ISNA(IF(OR(VLOOKUP(B$53&amp;"_"&amp;A62,Scénarios!$A$10:$F$590,2,0)="Sélectionnez un indicateur prédéfini…",VLOOKUP(B$53&amp;"_"&amp;A62,Scénarios!$A$10:$F$590,2,0)="Encoder votre indicateur…"),"-",VLOOKUP(B$53&amp;"_"&amp;A62,Scénarios!$A$10:$F$590,2,0))),"-",IF(OR(VLOOKUP(B$53&amp;"_"&amp;A62,Scénarios!$A$10:$F$590,2,0)="Sélectionnez un indicateur prédéfini…",VLOOKUP(B$53&amp;"_"&amp;A62,Scénarios!$A$10:$F$590,2,0)="Encoder votre indicateur…"),"-",VLOOKUP(B$53&amp;"_"&amp;A62,Scénarios!$A$10:$F$590,2,0)))</f>
        <v>-</v>
      </c>
      <c r="C62" s="824">
        <f>IF(ISNA(VLOOKUP(B$53&amp;"_"&amp;A62,Scénarios!$A$10:$F$590,3,0)),,VLOOKUP(B$53&amp;"_"&amp;A62,Scénarios!$A$10:$F$590,3,0))</f>
        <v>0</v>
      </c>
      <c r="D62" s="825"/>
      <c r="E62"/>
      <c r="F62" s="55"/>
      <c r="G62" s="901">
        <f>IF(ISNA(VLOOKUP(B$53&amp;"_"&amp;A62,Scénarios!$A$10:$F$590,5,0)),,VLOOKUP(B$53&amp;"_"&amp;A62,Scénarios!$A$10:$F$590,IF(ISNA(VLOOKUP($A$5,Categories!$Z$16:$AA$31,2,0)),5,4),0))</f>
        <v>0</v>
      </c>
      <c r="H62" s="901">
        <f t="shared" si="5"/>
        <v>0</v>
      </c>
      <c r="I62"/>
      <c r="J62"/>
      <c r="K62"/>
      <c r="L62"/>
    </row>
    <row r="63" spans="1:12">
      <c r="A63">
        <v>8</v>
      </c>
      <c r="B63" s="187" t="str">
        <f>IF(ISNA(IF(OR(VLOOKUP(B$53&amp;"_"&amp;A63,Scénarios!$A$10:$F$590,2,0)="Sélectionnez un indicateur prédéfini…",VLOOKUP(B$53&amp;"_"&amp;A63,Scénarios!$A$10:$F$590,2,0)="Encoder votre indicateur…"),"-",VLOOKUP(B$53&amp;"_"&amp;A63,Scénarios!$A$10:$F$590,2,0))),"-",IF(OR(VLOOKUP(B$53&amp;"_"&amp;A63,Scénarios!$A$10:$F$590,2,0)="Sélectionnez un indicateur prédéfini…",VLOOKUP(B$53&amp;"_"&amp;A63,Scénarios!$A$10:$F$590,2,0)="Encoder votre indicateur…"),"-",VLOOKUP(B$53&amp;"_"&amp;A63,Scénarios!$A$10:$F$590,2,0)))</f>
        <v>-</v>
      </c>
      <c r="C63" s="824">
        <f>IF(ISNA(VLOOKUP(B$53&amp;"_"&amp;A63,Scénarios!$A$10:$F$590,3,0)),,VLOOKUP(B$53&amp;"_"&amp;A63,Scénarios!$A$10:$F$590,3,0))</f>
        <v>0</v>
      </c>
      <c r="D63" s="825"/>
      <c r="E63"/>
      <c r="F63" s="55"/>
      <c r="G63" s="901">
        <f>IF(ISNA(VLOOKUP(B$53&amp;"_"&amp;A63,Scénarios!$A$10:$F$590,5,0)),,VLOOKUP(B$53&amp;"_"&amp;A63,Scénarios!$A$10:$F$590,IF(ISNA(VLOOKUP($A$5,Categories!$Z$16:$AA$31,2,0)),5,4),0))</f>
        <v>0</v>
      </c>
      <c r="H63" s="901">
        <f t="shared" si="5"/>
        <v>0</v>
      </c>
      <c r="I63"/>
      <c r="J63"/>
      <c r="K63"/>
      <c r="L63"/>
    </row>
    <row r="64" spans="1:12">
      <c r="A64">
        <v>9</v>
      </c>
      <c r="B64" s="187" t="str">
        <f>IF(ISNA(IF(OR(VLOOKUP(B$53&amp;"_"&amp;A64,Scénarios!$A$10:$F$590,2,0)="Sélectionnez un indicateur prédéfini…",VLOOKUP(B$53&amp;"_"&amp;A64,Scénarios!$A$10:$F$590,2,0)="Encoder votre indicateur…"),"-",VLOOKUP(B$53&amp;"_"&amp;A64,Scénarios!$A$10:$F$590,2,0))),"-",IF(OR(VLOOKUP(B$53&amp;"_"&amp;A64,Scénarios!$A$10:$F$590,2,0)="Sélectionnez un indicateur prédéfini…",VLOOKUP(B$53&amp;"_"&amp;A64,Scénarios!$A$10:$F$590,2,0)="Encoder votre indicateur…"),"-",VLOOKUP(B$53&amp;"_"&amp;A64,Scénarios!$A$10:$F$590,2,0)))</f>
        <v>-</v>
      </c>
      <c r="C64" s="824">
        <f>IF(ISNA(VLOOKUP(B$53&amp;"_"&amp;A64,Scénarios!$A$10:$F$590,3,0)),,VLOOKUP(B$53&amp;"_"&amp;A64,Scénarios!$A$10:$F$590,3,0))</f>
        <v>0</v>
      </c>
      <c r="D64" s="825"/>
      <c r="E64"/>
      <c r="F64" s="55"/>
      <c r="G64" s="901">
        <f>IF(ISNA(VLOOKUP(B$53&amp;"_"&amp;A64,Scénarios!$A$10:$F$590,5,0)),,VLOOKUP(B$53&amp;"_"&amp;A64,Scénarios!$A$10:$F$590,IF(ISNA(VLOOKUP($A$5,Categories!$Z$16:$AA$31,2,0)),5,4),0))</f>
        <v>0</v>
      </c>
      <c r="H64" s="901">
        <f t="shared" si="5"/>
        <v>0</v>
      </c>
      <c r="I64"/>
      <c r="J64"/>
      <c r="K64"/>
      <c r="L64"/>
    </row>
    <row r="65" spans="1:12">
      <c r="A65">
        <v>10</v>
      </c>
      <c r="B65" s="187" t="str">
        <f>IF(ISNA(IF(OR(VLOOKUP(B$53&amp;"_"&amp;A65,Scénarios!$A$10:$F$590,2,0)="Sélectionnez un indicateur prédéfini…",VLOOKUP(B$53&amp;"_"&amp;A65,Scénarios!$A$10:$F$590,2,0)="Encoder votre indicateur…"),"-",VLOOKUP(B$53&amp;"_"&amp;A65,Scénarios!$A$10:$F$590,2,0))),"-",IF(OR(VLOOKUP(B$53&amp;"_"&amp;A65,Scénarios!$A$10:$F$590,2,0)="Sélectionnez un indicateur prédéfini…",VLOOKUP(B$53&amp;"_"&amp;A65,Scénarios!$A$10:$F$590,2,0)="Encoder votre indicateur…"),"-",VLOOKUP(B$53&amp;"_"&amp;A65,Scénarios!$A$10:$F$590,2,0)))</f>
        <v>-</v>
      </c>
      <c r="C65" s="824">
        <f>IF(ISNA(VLOOKUP(B$53&amp;"_"&amp;A65,Scénarios!$A$10:$F$590,3,0)),,VLOOKUP(B$53&amp;"_"&amp;A65,Scénarios!$A$10:$F$590,3,0))</f>
        <v>0</v>
      </c>
      <c r="D65" s="825"/>
      <c r="E65"/>
      <c r="F65" s="55"/>
      <c r="G65" s="901">
        <f>IF(ISNA(VLOOKUP(B$53&amp;"_"&amp;A65,Scénarios!$A$10:$F$590,5,0)),,VLOOKUP(B$53&amp;"_"&amp;A65,Scénarios!$A$10:$F$590,IF(ISNA(VLOOKUP($A$5,Categories!$Z$16:$AA$31,2,0)),5,4),0))</f>
        <v>0</v>
      </c>
      <c r="H65" s="901">
        <f t="shared" si="5"/>
        <v>0</v>
      </c>
      <c r="I65"/>
      <c r="J65"/>
      <c r="K65"/>
      <c r="L65"/>
    </row>
    <row r="66" spans="1:12">
      <c r="A66">
        <v>11</v>
      </c>
      <c r="B66" s="187" t="str">
        <f>IF(ISNA(IF(OR(VLOOKUP(B$53&amp;"_"&amp;A66,Scénarios!$A$10:$F$590,2,0)="Sélectionnez un indicateur prédéfini…",VLOOKUP(B$53&amp;"_"&amp;A66,Scénarios!$A$10:$F$590,2,0)="Encoder votre indicateur…"),"-",VLOOKUP(B$53&amp;"_"&amp;A66,Scénarios!$A$10:$F$590,2,0))),"-",IF(OR(VLOOKUP(B$53&amp;"_"&amp;A66,Scénarios!$A$10:$F$590,2,0)="Sélectionnez un indicateur prédéfini…",VLOOKUP(B$53&amp;"_"&amp;A66,Scénarios!$A$10:$F$590,2,0)="Encoder votre indicateur…"),"-",VLOOKUP(B$53&amp;"_"&amp;A66,Scénarios!$A$10:$F$590,2,0)))</f>
        <v>-</v>
      </c>
      <c r="C66" s="824">
        <f>IF(ISNA(VLOOKUP(B$53&amp;"_"&amp;A66,Scénarios!$A$10:$F$590,3,0)),,VLOOKUP(B$53&amp;"_"&amp;A66,Scénarios!$A$10:$F$590,3,0))</f>
        <v>0</v>
      </c>
      <c r="D66" s="825"/>
      <c r="E66"/>
      <c r="F66" s="55"/>
      <c r="G66" s="901">
        <f>IF(ISNA(VLOOKUP(B$53&amp;"_"&amp;A66,Scénarios!$A$10:$F$590,5,0)),,VLOOKUP(B$53&amp;"_"&amp;A66,Scénarios!$A$10:$F$590,IF(ISNA(VLOOKUP($A$5,Categories!$Z$16:$AA$31,2,0)),5,4),0))</f>
        <v>0</v>
      </c>
      <c r="H66" s="901">
        <f t="shared" si="5"/>
        <v>0</v>
      </c>
      <c r="I66"/>
      <c r="J66"/>
      <c r="K66"/>
      <c r="L66"/>
    </row>
    <row r="67" spans="1:12">
      <c r="A67">
        <v>12</v>
      </c>
      <c r="B67" s="187" t="str">
        <f>IF(ISNA(IF(OR(VLOOKUP(B$53&amp;"_"&amp;A67,Scénarios!$A$10:$F$590,2,0)="Sélectionnez un indicateur prédéfini…",VLOOKUP(B$53&amp;"_"&amp;A67,Scénarios!$A$10:$F$590,2,0)="Encoder votre indicateur…"),"-",VLOOKUP(B$53&amp;"_"&amp;A67,Scénarios!$A$10:$F$590,2,0))),"-",IF(OR(VLOOKUP(B$53&amp;"_"&amp;A67,Scénarios!$A$10:$F$590,2,0)="Sélectionnez un indicateur prédéfini…",VLOOKUP(B$53&amp;"_"&amp;A67,Scénarios!$A$10:$F$590,2,0)="Encoder votre indicateur…"),"-",VLOOKUP(B$53&amp;"_"&amp;A67,Scénarios!$A$10:$F$590,2,0)))</f>
        <v>-</v>
      </c>
      <c r="C67" s="824">
        <f>IF(ISNA(VLOOKUP(B$53&amp;"_"&amp;A67,Scénarios!$A$10:$F$590,3,0)),,VLOOKUP(B$53&amp;"_"&amp;A67,Scénarios!$A$10:$F$590,3,0))</f>
        <v>0</v>
      </c>
      <c r="D67" s="825"/>
      <c r="E67"/>
      <c r="F67" s="55"/>
      <c r="G67" s="901">
        <f>IF(ISNA(VLOOKUP(B$53&amp;"_"&amp;A67,Scénarios!$A$10:$F$590,5,0)),,VLOOKUP(B$53&amp;"_"&amp;A67,Scénarios!$A$10:$F$590,IF(ISNA(VLOOKUP($A$5,Categories!$Z$16:$AA$31,2,0)),5,4),0))</f>
        <v>0</v>
      </c>
      <c r="H67" s="901">
        <f t="shared" si="5"/>
        <v>0</v>
      </c>
      <c r="I67"/>
      <c r="J67"/>
      <c r="K67"/>
      <c r="L67"/>
    </row>
    <row r="68" spans="1:12">
      <c r="A68">
        <v>13</v>
      </c>
      <c r="B68" s="187" t="str">
        <f>IF(ISNA(IF(OR(VLOOKUP(B$53&amp;"_"&amp;A68,Scénarios!$A$10:$F$590,2,0)="Sélectionnez un indicateur prédéfini…",VLOOKUP(B$53&amp;"_"&amp;A68,Scénarios!$A$10:$F$590,2,0)="Encoder votre indicateur…"),"-",VLOOKUP(B$53&amp;"_"&amp;A68,Scénarios!$A$10:$F$590,2,0))),"-",IF(OR(VLOOKUP(B$53&amp;"_"&amp;A68,Scénarios!$A$10:$F$590,2,0)="Sélectionnez un indicateur prédéfini…",VLOOKUP(B$53&amp;"_"&amp;A68,Scénarios!$A$10:$F$590,2,0)="Encoder votre indicateur…"),"-",VLOOKUP(B$53&amp;"_"&amp;A68,Scénarios!$A$10:$F$590,2,0)))</f>
        <v>-</v>
      </c>
      <c r="C68" s="824">
        <f>IF(ISNA(VLOOKUP(B$53&amp;"_"&amp;A68,Scénarios!$A$10:$F$590,3,0)),,VLOOKUP(B$53&amp;"_"&amp;A68,Scénarios!$A$10:$F$590,3,0))</f>
        <v>0</v>
      </c>
      <c r="D68" s="825"/>
      <c r="E68"/>
      <c r="F68" s="55"/>
      <c r="G68" s="901">
        <f>IF(ISNA(VLOOKUP(B$53&amp;"_"&amp;A68,Scénarios!$A$10:$F$590,5,0)),,VLOOKUP(B$53&amp;"_"&amp;A68,Scénarios!$A$10:$F$590,IF(ISNA(VLOOKUP($A$5,Categories!$Z$16:$AA$31,2,0)),5,4),0))</f>
        <v>0</v>
      </c>
      <c r="H68" s="901">
        <f t="shared" si="5"/>
        <v>0</v>
      </c>
      <c r="I68"/>
      <c r="J68"/>
      <c r="K68"/>
      <c r="L68"/>
    </row>
    <row r="69" spans="1:12">
      <c r="A69">
        <v>14</v>
      </c>
      <c r="B69" s="187" t="str">
        <f>IF(ISNA(IF(OR(VLOOKUP(B$53&amp;"_"&amp;A69,Scénarios!$A$10:$F$590,2,0)="Sélectionnez un indicateur prédéfini…",VLOOKUP(B$53&amp;"_"&amp;A69,Scénarios!$A$10:$F$590,2,0)="Encoder votre indicateur…"),"-",VLOOKUP(B$53&amp;"_"&amp;A69,Scénarios!$A$10:$F$590,2,0))),"-",IF(OR(VLOOKUP(B$53&amp;"_"&amp;A69,Scénarios!$A$10:$F$590,2,0)="Sélectionnez un indicateur prédéfini…",VLOOKUP(B$53&amp;"_"&amp;A69,Scénarios!$A$10:$F$590,2,0)="Encoder votre indicateur…"),"-",VLOOKUP(B$53&amp;"_"&amp;A69,Scénarios!$A$10:$F$590,2,0)))</f>
        <v>-</v>
      </c>
      <c r="C69" s="824">
        <f>IF(ISNA(VLOOKUP(B$53&amp;"_"&amp;A69,Scénarios!$A$10:$F$590,3,0)),,VLOOKUP(B$53&amp;"_"&amp;A69,Scénarios!$A$10:$F$590,3,0))</f>
        <v>0</v>
      </c>
      <c r="D69" s="825"/>
      <c r="E69"/>
      <c r="F69" s="55"/>
      <c r="G69" s="901">
        <f>IF(ISNA(VLOOKUP(B$53&amp;"_"&amp;A69,Scénarios!$A$10:$F$590,5,0)),,VLOOKUP(B$53&amp;"_"&amp;A69,Scénarios!$A$10:$F$590,IF(ISNA(VLOOKUP($A$5,Categories!$Z$16:$AA$31,2,0)),5,4),0))</f>
        <v>0</v>
      </c>
      <c r="H69" s="901">
        <f t="shared" si="5"/>
        <v>0</v>
      </c>
      <c r="I69"/>
      <c r="J69"/>
      <c r="K69"/>
      <c r="L69"/>
    </row>
    <row r="70" spans="1:12">
      <c r="A70">
        <v>15</v>
      </c>
      <c r="B70" s="187" t="str">
        <f>IF(ISNA(IF(OR(VLOOKUP(B$53&amp;"_"&amp;A70,Scénarios!$A$10:$F$590,2,0)="Sélectionnez un indicateur prédéfini…",VLOOKUP(B$53&amp;"_"&amp;A70,Scénarios!$A$10:$F$590,2,0)="Encoder votre indicateur…"),"-",VLOOKUP(B$53&amp;"_"&amp;A70,Scénarios!$A$10:$F$590,2,0))),"-",IF(OR(VLOOKUP(B$53&amp;"_"&amp;A70,Scénarios!$A$10:$F$590,2,0)="Sélectionnez un indicateur prédéfini…",VLOOKUP(B$53&amp;"_"&amp;A70,Scénarios!$A$10:$F$590,2,0)="Encoder votre indicateur…"),"-",VLOOKUP(B$53&amp;"_"&amp;A70,Scénarios!$A$10:$F$590,2,0)))</f>
        <v>-</v>
      </c>
      <c r="C70" s="824">
        <f>IF(ISNA(VLOOKUP(B$53&amp;"_"&amp;A70,Scénarios!$A$10:$F$590,3,0)),,VLOOKUP(B$53&amp;"_"&amp;A70,Scénarios!$A$10:$F$590,3,0))</f>
        <v>0</v>
      </c>
      <c r="D70" s="825"/>
      <c r="E70"/>
      <c r="F70" s="55"/>
      <c r="G70" s="901">
        <f>IF(ISNA(VLOOKUP(B$53&amp;"_"&amp;A70,Scénarios!$A$10:$F$590,5,0)),,VLOOKUP(B$53&amp;"_"&amp;A70,Scénarios!$A$10:$F$590,IF(ISNA(VLOOKUP($A$5,Categories!$Z$16:$AA$31,2,0)),5,4),0))</f>
        <v>0</v>
      </c>
      <c r="H70" s="901">
        <f t="shared" si="5"/>
        <v>0</v>
      </c>
      <c r="I70"/>
      <c r="J70"/>
      <c r="K70"/>
      <c r="L70"/>
    </row>
    <row r="71" spans="1:12">
      <c r="A71"/>
      <c r="B71"/>
      <c r="C71"/>
      <c r="D71"/>
      <c r="E71"/>
      <c r="F71" s="826"/>
      <c r="G71" s="55"/>
      <c r="H71" s="55"/>
      <c r="I71"/>
      <c r="J71"/>
      <c r="K71"/>
      <c r="L71"/>
    </row>
    <row r="72" spans="1:12" ht="15.6">
      <c r="A72"/>
      <c r="B72" s="827" t="s">
        <v>749</v>
      </c>
      <c r="C72" s="828">
        <f>IF(SUM(G56:G70)=0,0,SUM(H56:H70)/SUM(G56:G70))</f>
        <v>0</v>
      </c>
      <c r="D72" s="829"/>
      <c r="E72"/>
      <c r="F72" s="826"/>
      <c r="G72" s="55"/>
      <c r="H72" s="55"/>
      <c r="I72"/>
      <c r="J72"/>
      <c r="K72"/>
      <c r="L72"/>
    </row>
    <row r="73" spans="1:12">
      <c r="A73" s="190"/>
      <c r="B73" s="190"/>
      <c r="C73" s="190"/>
      <c r="D73" s="190"/>
      <c r="E73" s="190"/>
      <c r="F73" s="159"/>
      <c r="G73" s="55"/>
      <c r="H73" s="55"/>
      <c r="I73"/>
      <c r="J73"/>
      <c r="K73"/>
      <c r="L73"/>
    </row>
    <row r="74" spans="1:12" ht="18">
      <c r="A74" s="823" t="s">
        <v>751</v>
      </c>
      <c r="B74" s="246" t="str">
        <f>IF(D5=0,"-",D5)</f>
        <v>-</v>
      </c>
      <c r="C74"/>
      <c r="D74"/>
      <c r="E74"/>
      <c r="F74" s="55"/>
      <c r="G74" s="55"/>
      <c r="H74" s="55"/>
      <c r="I74"/>
      <c r="J74"/>
      <c r="K74"/>
      <c r="L74"/>
    </row>
    <row r="75" spans="1:12" ht="18">
      <c r="A75" s="823"/>
      <c r="B75" s="246"/>
      <c r="C75"/>
      <c r="D75"/>
      <c r="E75"/>
      <c r="F75" s="55"/>
      <c r="G75" s="55"/>
      <c r="H75" s="55"/>
      <c r="I75"/>
      <c r="J75"/>
      <c r="K75"/>
      <c r="L75"/>
    </row>
    <row r="76" spans="1:12" ht="28.8">
      <c r="A76"/>
      <c r="B76" s="217" t="s">
        <v>676</v>
      </c>
      <c r="C76" s="217" t="s">
        <v>746</v>
      </c>
      <c r="D76" s="218" t="s">
        <v>747</v>
      </c>
      <c r="E76"/>
      <c r="F76" s="55"/>
      <c r="G76" s="55"/>
      <c r="H76" s="55"/>
      <c r="I76"/>
      <c r="J76"/>
      <c r="K76"/>
      <c r="L76"/>
    </row>
    <row r="77" spans="1:12">
      <c r="A77">
        <v>1</v>
      </c>
      <c r="B77" s="187" t="str">
        <f>IF(ISNA(IF(OR(VLOOKUP(B$74&amp;"_"&amp;A77,Scénarios!$A$10:$F$590,2,0)="Sélectionnez un indicateur prédéfini…",VLOOKUP(B$74&amp;"_"&amp;A77,Scénarios!$A$10:$F$590,2,0)="Encoder votre indicateur…"),"-",VLOOKUP(B$74&amp;"_"&amp;A77,Scénarios!$A$10:$F$590,2,0))),"-",IF(OR(VLOOKUP(B$74&amp;"_"&amp;A77,Scénarios!$A$10:$F$590,2,0)="Sélectionnez un indicateur prédéfini…",VLOOKUP(B$74&amp;"_"&amp;A77,Scénarios!$A$10:$F$590,2,0)="Encoder votre indicateur…"),"-",VLOOKUP(B$74&amp;"_"&amp;A77,Scénarios!$A$10:$F$590,2,0)))</f>
        <v>-</v>
      </c>
      <c r="C77" s="824">
        <f>IF(ISNA(VLOOKUP(B$74&amp;"_"&amp;A77,Scénarios!$A$10:$F$590,3,0)),,VLOOKUP(B$74&amp;"_"&amp;A77,Scénarios!$A$10:$F$590,3,0))</f>
        <v>0</v>
      </c>
      <c r="D77" s="825"/>
      <c r="E77"/>
      <c r="F77" s="55"/>
      <c r="G77" s="901">
        <f>IF(ISNA(VLOOKUP(B$74&amp;"_"&amp;A77,Scénarios!$A$10:$F$590,5,0)),,VLOOKUP(B$74&amp;"_"&amp;A77,Scénarios!$A$10:$F$590,IF(ISNA(VLOOKUP($A$5,Categories!$Z$16:$AA$31,2,0)),5,4),0))</f>
        <v>0</v>
      </c>
      <c r="H77" s="901">
        <f t="shared" ref="H77:H91" si="6">IF(C77=0,0,G77/C77*D77)</f>
        <v>0</v>
      </c>
      <c r="I77"/>
      <c r="J77"/>
      <c r="K77"/>
      <c r="L77"/>
    </row>
    <row r="78" spans="1:12">
      <c r="A78">
        <v>2</v>
      </c>
      <c r="B78" s="187" t="str">
        <f>IF(ISNA(IF(OR(VLOOKUP(B$74&amp;"_"&amp;A78,Scénarios!$A$10:$F$590,2,0)="Sélectionnez un indicateur prédéfini…",VLOOKUP(B$74&amp;"_"&amp;A78,Scénarios!$A$10:$F$590,2,0)="Encoder votre indicateur…"),"-",VLOOKUP(B$74&amp;"_"&amp;A78,Scénarios!$A$10:$F$590,2,0))),"-",IF(OR(VLOOKUP(B$74&amp;"_"&amp;A78,Scénarios!$A$10:$F$590,2,0)="Sélectionnez un indicateur prédéfini…",VLOOKUP(B$74&amp;"_"&amp;A78,Scénarios!$A$10:$F$590,2,0)="Encoder votre indicateur…"),"-",VLOOKUP(B$74&amp;"_"&amp;A78,Scénarios!$A$10:$F$590,2,0)))</f>
        <v>-</v>
      </c>
      <c r="C78" s="824">
        <f>IF(ISNA(VLOOKUP(B$74&amp;"_"&amp;A78,Scénarios!$A$10:$F$590,3,0)),,VLOOKUP(B$74&amp;"_"&amp;A78,Scénarios!$A$10:$F$590,3,0))</f>
        <v>0</v>
      </c>
      <c r="D78" s="825"/>
      <c r="E78"/>
      <c r="F78" s="55"/>
      <c r="G78" s="901">
        <f>IF(ISNA(VLOOKUP(B$74&amp;"_"&amp;A78,Scénarios!$A$10:$F$590,5,0)),,VLOOKUP(B$74&amp;"_"&amp;A78,Scénarios!$A$10:$F$590,IF(ISNA(VLOOKUP($A$5,Categories!$Z$16:$AA$31,2,0)),5,4),0))</f>
        <v>0</v>
      </c>
      <c r="H78" s="901">
        <f t="shared" si="6"/>
        <v>0</v>
      </c>
      <c r="I78"/>
      <c r="J78"/>
      <c r="K78"/>
      <c r="L78"/>
    </row>
    <row r="79" spans="1:12">
      <c r="A79">
        <v>3</v>
      </c>
      <c r="B79" s="187" t="str">
        <f>IF(ISNA(IF(OR(VLOOKUP(B$74&amp;"_"&amp;A79,Scénarios!$A$10:$F$590,2,0)="Sélectionnez un indicateur prédéfini…",VLOOKUP(B$74&amp;"_"&amp;A79,Scénarios!$A$10:$F$590,2,0)="Encoder votre indicateur…"),"-",VLOOKUP(B$74&amp;"_"&amp;A79,Scénarios!$A$10:$F$590,2,0))),"-",IF(OR(VLOOKUP(B$74&amp;"_"&amp;A79,Scénarios!$A$10:$F$590,2,0)="Sélectionnez un indicateur prédéfini…",VLOOKUP(B$74&amp;"_"&amp;A79,Scénarios!$A$10:$F$590,2,0)="Encoder votre indicateur…"),"-",VLOOKUP(B$74&amp;"_"&amp;A79,Scénarios!$A$10:$F$590,2,0)))</f>
        <v>-</v>
      </c>
      <c r="C79" s="824">
        <f>IF(ISNA(VLOOKUP(B$74&amp;"_"&amp;A79,Scénarios!$A$10:$F$590,3,0)),,VLOOKUP(B$74&amp;"_"&amp;A79,Scénarios!$A$10:$F$590,3,0))</f>
        <v>0</v>
      </c>
      <c r="D79" s="825"/>
      <c r="E79"/>
      <c r="F79" s="55"/>
      <c r="G79" s="901">
        <f>IF(ISNA(VLOOKUP(B$74&amp;"_"&amp;A79,Scénarios!$A$10:$F$590,5,0)),,VLOOKUP(B$74&amp;"_"&amp;A79,Scénarios!$A$10:$F$590,IF(ISNA(VLOOKUP($A$5,Categories!$Z$16:$AA$31,2,0)),5,4),0))</f>
        <v>0</v>
      </c>
      <c r="H79" s="901">
        <f t="shared" si="6"/>
        <v>0</v>
      </c>
      <c r="I79"/>
      <c r="J79"/>
      <c r="K79"/>
      <c r="L79"/>
    </row>
    <row r="80" spans="1:12">
      <c r="A80">
        <v>4</v>
      </c>
      <c r="B80" s="187" t="str">
        <f>IF(ISNA(IF(OR(VLOOKUP(B$74&amp;"_"&amp;A80,Scénarios!$A$10:$F$590,2,0)="Sélectionnez un indicateur prédéfini…",VLOOKUP(B$74&amp;"_"&amp;A80,Scénarios!$A$10:$F$590,2,0)="Encoder votre indicateur…"),"-",VLOOKUP(B$74&amp;"_"&amp;A80,Scénarios!$A$10:$F$590,2,0))),"-",IF(OR(VLOOKUP(B$74&amp;"_"&amp;A80,Scénarios!$A$10:$F$590,2,0)="Sélectionnez un indicateur prédéfini…",VLOOKUP(B$74&amp;"_"&amp;A80,Scénarios!$A$10:$F$590,2,0)="Encoder votre indicateur…"),"-",VLOOKUP(B$74&amp;"_"&amp;A80,Scénarios!$A$10:$F$590,2,0)))</f>
        <v>-</v>
      </c>
      <c r="C80" s="824">
        <f>IF(ISNA(VLOOKUP(B$74&amp;"_"&amp;A80,Scénarios!$A$10:$F$590,3,0)),,VLOOKUP(B$74&amp;"_"&amp;A80,Scénarios!$A$10:$F$590,3,0))</f>
        <v>0</v>
      </c>
      <c r="D80" s="825"/>
      <c r="E80"/>
      <c r="F80" s="55"/>
      <c r="G80" s="901">
        <f>IF(ISNA(VLOOKUP(B$74&amp;"_"&amp;A80,Scénarios!$A$10:$F$590,5,0)),,VLOOKUP(B$74&amp;"_"&amp;A80,Scénarios!$A$10:$F$590,IF(ISNA(VLOOKUP($A$5,Categories!$Z$16:$AA$31,2,0)),5,4),0))</f>
        <v>0</v>
      </c>
      <c r="H80" s="901">
        <f t="shared" si="6"/>
        <v>0</v>
      </c>
      <c r="I80"/>
      <c r="J80"/>
      <c r="K80"/>
      <c r="L80"/>
    </row>
    <row r="81" spans="1:12">
      <c r="A81">
        <v>5</v>
      </c>
      <c r="B81" s="187" t="str">
        <f>IF(ISNA(IF(OR(VLOOKUP(B$74&amp;"_"&amp;A81,Scénarios!$A$10:$F$590,2,0)="Sélectionnez un indicateur prédéfini…",VLOOKUP(B$74&amp;"_"&amp;A81,Scénarios!$A$10:$F$590,2,0)="Encoder votre indicateur…"),"-",VLOOKUP(B$74&amp;"_"&amp;A81,Scénarios!$A$10:$F$590,2,0))),"-",IF(OR(VLOOKUP(B$74&amp;"_"&amp;A81,Scénarios!$A$10:$F$590,2,0)="Sélectionnez un indicateur prédéfini…",VLOOKUP(B$74&amp;"_"&amp;A81,Scénarios!$A$10:$F$590,2,0)="Encoder votre indicateur…"),"-",VLOOKUP(B$74&amp;"_"&amp;A81,Scénarios!$A$10:$F$590,2,0)))</f>
        <v>-</v>
      </c>
      <c r="C81" s="824">
        <f>IF(ISNA(VLOOKUP(B$74&amp;"_"&amp;A81,Scénarios!$A$10:$F$590,3,0)),,VLOOKUP(B$74&amp;"_"&amp;A81,Scénarios!$A$10:$F$590,3,0))</f>
        <v>0</v>
      </c>
      <c r="D81" s="825"/>
      <c r="E81"/>
      <c r="F81" s="55"/>
      <c r="G81" s="901">
        <f>IF(ISNA(VLOOKUP(B$74&amp;"_"&amp;A81,Scénarios!$A$10:$F$590,5,0)),,VLOOKUP(B$74&amp;"_"&amp;A81,Scénarios!$A$10:$F$590,IF(ISNA(VLOOKUP($A$5,Categories!$Z$16:$AA$31,2,0)),5,4),0))</f>
        <v>0</v>
      </c>
      <c r="H81" s="901">
        <f t="shared" si="6"/>
        <v>0</v>
      </c>
      <c r="I81"/>
      <c r="J81"/>
      <c r="K81"/>
      <c r="L81"/>
    </row>
    <row r="82" spans="1:12">
      <c r="A82">
        <v>6</v>
      </c>
      <c r="B82" s="187" t="str">
        <f>IF(ISNA(IF(OR(VLOOKUP(B$74&amp;"_"&amp;A82,Scénarios!$A$10:$F$590,2,0)="Sélectionnez un indicateur prédéfini…",VLOOKUP(B$74&amp;"_"&amp;A82,Scénarios!$A$10:$F$590,2,0)="Encoder votre indicateur…"),"-",VLOOKUP(B$74&amp;"_"&amp;A82,Scénarios!$A$10:$F$590,2,0))),"-",IF(OR(VLOOKUP(B$74&amp;"_"&amp;A82,Scénarios!$A$10:$F$590,2,0)="Sélectionnez un indicateur prédéfini…",VLOOKUP(B$74&amp;"_"&amp;A82,Scénarios!$A$10:$F$590,2,0)="Encoder votre indicateur…"),"-",VLOOKUP(B$74&amp;"_"&amp;A82,Scénarios!$A$10:$F$590,2,0)))</f>
        <v>-</v>
      </c>
      <c r="C82" s="824">
        <f>IF(ISNA(VLOOKUP(B$74&amp;"_"&amp;A82,Scénarios!$A$10:$F$590,3,0)),,VLOOKUP(B$74&amp;"_"&amp;A82,Scénarios!$A$10:$F$590,3,0))</f>
        <v>0</v>
      </c>
      <c r="D82" s="825"/>
      <c r="E82"/>
      <c r="F82" s="55"/>
      <c r="G82" s="901">
        <f>IF(ISNA(VLOOKUP(B$74&amp;"_"&amp;A82,Scénarios!$A$10:$F$590,5,0)),,VLOOKUP(B$74&amp;"_"&amp;A82,Scénarios!$A$10:$F$590,IF(ISNA(VLOOKUP($A$5,Categories!$Z$16:$AA$31,2,0)),5,4),0))</f>
        <v>0</v>
      </c>
      <c r="H82" s="901">
        <f t="shared" si="6"/>
        <v>0</v>
      </c>
      <c r="I82"/>
      <c r="J82"/>
      <c r="K82"/>
      <c r="L82"/>
    </row>
    <row r="83" spans="1:12">
      <c r="A83">
        <v>7</v>
      </c>
      <c r="B83" s="187" t="str">
        <f>IF(ISNA(IF(OR(VLOOKUP(B$74&amp;"_"&amp;A83,Scénarios!$A$10:$F$590,2,0)="Sélectionnez un indicateur prédéfini…",VLOOKUP(B$74&amp;"_"&amp;A83,Scénarios!$A$10:$F$590,2,0)="Encoder votre indicateur…"),"-",VLOOKUP(B$74&amp;"_"&amp;A83,Scénarios!$A$10:$F$590,2,0))),"-",IF(OR(VLOOKUP(B$74&amp;"_"&amp;A83,Scénarios!$A$10:$F$590,2,0)="Sélectionnez un indicateur prédéfini…",VLOOKUP(B$74&amp;"_"&amp;A83,Scénarios!$A$10:$F$590,2,0)="Encoder votre indicateur…"),"-",VLOOKUP(B$74&amp;"_"&amp;A83,Scénarios!$A$10:$F$590,2,0)))</f>
        <v>-</v>
      </c>
      <c r="C83" s="824">
        <f>IF(ISNA(VLOOKUP(B$74&amp;"_"&amp;A83,Scénarios!$A$10:$F$590,3,0)),,VLOOKUP(B$74&amp;"_"&amp;A83,Scénarios!$A$10:$F$590,3,0))</f>
        <v>0</v>
      </c>
      <c r="D83" s="825"/>
      <c r="E83"/>
      <c r="F83" s="55"/>
      <c r="G83" s="901">
        <f>IF(ISNA(VLOOKUP(B$74&amp;"_"&amp;A83,Scénarios!$A$10:$F$590,5,0)),,VLOOKUP(B$74&amp;"_"&amp;A83,Scénarios!$A$10:$F$590,IF(ISNA(VLOOKUP($A$5,Categories!$Z$16:$AA$31,2,0)),5,4),0))</f>
        <v>0</v>
      </c>
      <c r="H83" s="901">
        <f t="shared" si="6"/>
        <v>0</v>
      </c>
      <c r="I83"/>
      <c r="J83"/>
      <c r="K83"/>
      <c r="L83"/>
    </row>
    <row r="84" spans="1:12">
      <c r="A84">
        <v>8</v>
      </c>
      <c r="B84" s="187" t="str">
        <f>IF(ISNA(IF(OR(VLOOKUP(B$74&amp;"_"&amp;A84,Scénarios!$A$10:$F$590,2,0)="Sélectionnez un indicateur prédéfini…",VLOOKUP(B$74&amp;"_"&amp;A84,Scénarios!$A$10:$F$590,2,0)="Encoder votre indicateur…"),"-",VLOOKUP(B$74&amp;"_"&amp;A84,Scénarios!$A$10:$F$590,2,0))),"-",IF(OR(VLOOKUP(B$74&amp;"_"&amp;A84,Scénarios!$A$10:$F$590,2,0)="Sélectionnez un indicateur prédéfini…",VLOOKUP(B$74&amp;"_"&amp;A84,Scénarios!$A$10:$F$590,2,0)="Encoder votre indicateur…"),"-",VLOOKUP(B$74&amp;"_"&amp;A84,Scénarios!$A$10:$F$590,2,0)))</f>
        <v>-</v>
      </c>
      <c r="C84" s="824">
        <f>IF(ISNA(VLOOKUP(B$74&amp;"_"&amp;A84,Scénarios!$A$10:$F$590,3,0)),,VLOOKUP(B$74&amp;"_"&amp;A84,Scénarios!$A$10:$F$590,3,0))</f>
        <v>0</v>
      </c>
      <c r="D84" s="825"/>
      <c r="E84"/>
      <c r="F84" s="55"/>
      <c r="G84" s="901">
        <f>IF(ISNA(VLOOKUP(B$74&amp;"_"&amp;A84,Scénarios!$A$10:$F$590,5,0)),,VLOOKUP(B$74&amp;"_"&amp;A84,Scénarios!$A$10:$F$590,IF(ISNA(VLOOKUP($A$5,Categories!$Z$16:$AA$31,2,0)),5,4),0))</f>
        <v>0</v>
      </c>
      <c r="H84" s="901">
        <f t="shared" si="6"/>
        <v>0</v>
      </c>
      <c r="I84"/>
      <c r="J84"/>
      <c r="K84"/>
      <c r="L84"/>
    </row>
    <row r="85" spans="1:12">
      <c r="A85">
        <v>9</v>
      </c>
      <c r="B85" s="187" t="str">
        <f>IF(ISNA(IF(OR(VLOOKUP(B$74&amp;"_"&amp;A85,Scénarios!$A$10:$F$590,2,0)="Sélectionnez un indicateur prédéfini…",VLOOKUP(B$74&amp;"_"&amp;A85,Scénarios!$A$10:$F$590,2,0)="Encoder votre indicateur…"),"-",VLOOKUP(B$74&amp;"_"&amp;A85,Scénarios!$A$10:$F$590,2,0))),"-",IF(OR(VLOOKUP(B$74&amp;"_"&amp;A85,Scénarios!$A$10:$F$590,2,0)="Sélectionnez un indicateur prédéfini…",VLOOKUP(B$74&amp;"_"&amp;A85,Scénarios!$A$10:$F$590,2,0)="Encoder votre indicateur…"),"-",VLOOKUP(B$74&amp;"_"&amp;A85,Scénarios!$A$10:$F$590,2,0)))</f>
        <v>-</v>
      </c>
      <c r="C85" s="824">
        <f>IF(ISNA(VLOOKUP(B$74&amp;"_"&amp;A85,Scénarios!$A$10:$F$590,3,0)),,VLOOKUP(B$74&amp;"_"&amp;A85,Scénarios!$A$10:$F$590,3,0))</f>
        <v>0</v>
      </c>
      <c r="D85" s="825"/>
      <c r="E85"/>
      <c r="F85" s="55"/>
      <c r="G85" s="901">
        <f>IF(ISNA(VLOOKUP(B$74&amp;"_"&amp;A85,Scénarios!$A$10:$F$590,5,0)),,VLOOKUP(B$74&amp;"_"&amp;A85,Scénarios!$A$10:$F$590,IF(ISNA(VLOOKUP($A$5,Categories!$Z$16:$AA$31,2,0)),5,4),0))</f>
        <v>0</v>
      </c>
      <c r="H85" s="901">
        <f t="shared" si="6"/>
        <v>0</v>
      </c>
      <c r="I85"/>
      <c r="J85"/>
      <c r="K85"/>
      <c r="L85"/>
    </row>
    <row r="86" spans="1:12">
      <c r="A86">
        <v>10</v>
      </c>
      <c r="B86" s="187" t="str">
        <f>IF(ISNA(IF(OR(VLOOKUP(B$74&amp;"_"&amp;A86,Scénarios!$A$10:$F$590,2,0)="Sélectionnez un indicateur prédéfini…",VLOOKUP(B$74&amp;"_"&amp;A86,Scénarios!$A$10:$F$590,2,0)="Encoder votre indicateur…"),"-",VLOOKUP(B$74&amp;"_"&amp;A86,Scénarios!$A$10:$F$590,2,0))),"-",IF(OR(VLOOKUP(B$74&amp;"_"&amp;A86,Scénarios!$A$10:$F$590,2,0)="Sélectionnez un indicateur prédéfini…",VLOOKUP(B$74&amp;"_"&amp;A86,Scénarios!$A$10:$F$590,2,0)="Encoder votre indicateur…"),"-",VLOOKUP(B$74&amp;"_"&amp;A86,Scénarios!$A$10:$F$590,2,0)))</f>
        <v>-</v>
      </c>
      <c r="C86" s="824">
        <f>IF(ISNA(VLOOKUP(B$74&amp;"_"&amp;A86,Scénarios!$A$10:$F$590,3,0)),,VLOOKUP(B$74&amp;"_"&amp;A86,Scénarios!$A$10:$F$590,3,0))</f>
        <v>0</v>
      </c>
      <c r="D86" s="825"/>
      <c r="E86"/>
      <c r="F86" s="55"/>
      <c r="G86" s="901">
        <f>IF(ISNA(VLOOKUP(B$74&amp;"_"&amp;A86,Scénarios!$A$10:$F$590,5,0)),,VLOOKUP(B$74&amp;"_"&amp;A86,Scénarios!$A$10:$F$590,IF(ISNA(VLOOKUP($A$5,Categories!$Z$16:$AA$31,2,0)),5,4),0))</f>
        <v>0</v>
      </c>
      <c r="H86" s="901">
        <f t="shared" si="6"/>
        <v>0</v>
      </c>
      <c r="I86"/>
      <c r="J86"/>
      <c r="K86"/>
      <c r="L86"/>
    </row>
    <row r="87" spans="1:12">
      <c r="A87">
        <v>11</v>
      </c>
      <c r="B87" s="187" t="str">
        <f>IF(ISNA(IF(OR(VLOOKUP(B$74&amp;"_"&amp;A87,Scénarios!$A$10:$F$590,2,0)="Sélectionnez un indicateur prédéfini…",VLOOKUP(B$74&amp;"_"&amp;A87,Scénarios!$A$10:$F$590,2,0)="Encoder votre indicateur…"),"-",VLOOKUP(B$74&amp;"_"&amp;A87,Scénarios!$A$10:$F$590,2,0))),"-",IF(OR(VLOOKUP(B$74&amp;"_"&amp;A87,Scénarios!$A$10:$F$590,2,0)="Sélectionnez un indicateur prédéfini…",VLOOKUP(B$74&amp;"_"&amp;A87,Scénarios!$A$10:$F$590,2,0)="Encoder votre indicateur…"),"-",VLOOKUP(B$74&amp;"_"&amp;A87,Scénarios!$A$10:$F$590,2,0)))</f>
        <v>-</v>
      </c>
      <c r="C87" s="824">
        <f>IF(ISNA(VLOOKUP(B$74&amp;"_"&amp;A87,Scénarios!$A$10:$F$590,3,0)),,VLOOKUP(B$74&amp;"_"&amp;A87,Scénarios!$A$10:$F$590,3,0))</f>
        <v>0</v>
      </c>
      <c r="D87" s="825"/>
      <c r="E87"/>
      <c r="F87" s="55"/>
      <c r="G87" s="901">
        <f>IF(ISNA(VLOOKUP(B$74&amp;"_"&amp;A87,Scénarios!$A$10:$F$590,5,0)),,VLOOKUP(B$74&amp;"_"&amp;A87,Scénarios!$A$10:$F$590,IF(ISNA(VLOOKUP($A$5,Categories!$Z$16:$AA$31,2,0)),5,4),0))</f>
        <v>0</v>
      </c>
      <c r="H87" s="901">
        <f t="shared" si="6"/>
        <v>0</v>
      </c>
      <c r="I87"/>
      <c r="J87"/>
      <c r="K87"/>
      <c r="L87"/>
    </row>
    <row r="88" spans="1:12">
      <c r="A88">
        <v>12</v>
      </c>
      <c r="B88" s="187" t="str">
        <f>IF(ISNA(IF(OR(VLOOKUP(B$74&amp;"_"&amp;A88,Scénarios!$A$10:$F$590,2,0)="Sélectionnez un indicateur prédéfini…",VLOOKUP(B$74&amp;"_"&amp;A88,Scénarios!$A$10:$F$590,2,0)="Encoder votre indicateur…"),"-",VLOOKUP(B$74&amp;"_"&amp;A88,Scénarios!$A$10:$F$590,2,0))),"-",IF(OR(VLOOKUP(B$74&amp;"_"&amp;A88,Scénarios!$A$10:$F$590,2,0)="Sélectionnez un indicateur prédéfini…",VLOOKUP(B$74&amp;"_"&amp;A88,Scénarios!$A$10:$F$590,2,0)="Encoder votre indicateur…"),"-",VLOOKUP(B$74&amp;"_"&amp;A88,Scénarios!$A$10:$F$590,2,0)))</f>
        <v>-</v>
      </c>
      <c r="C88" s="824">
        <f>IF(ISNA(VLOOKUP(B$74&amp;"_"&amp;A88,Scénarios!$A$10:$F$590,3,0)),,VLOOKUP(B$74&amp;"_"&amp;A88,Scénarios!$A$10:$F$590,3,0))</f>
        <v>0</v>
      </c>
      <c r="D88" s="825"/>
      <c r="E88"/>
      <c r="F88" s="55"/>
      <c r="G88" s="901">
        <f>IF(ISNA(VLOOKUP(B$74&amp;"_"&amp;A88,Scénarios!$A$10:$F$590,5,0)),,VLOOKUP(B$74&amp;"_"&amp;A88,Scénarios!$A$10:$F$590,IF(ISNA(VLOOKUP($A$5,Categories!$Z$16:$AA$31,2,0)),5,4),0))</f>
        <v>0</v>
      </c>
      <c r="H88" s="901">
        <f t="shared" si="6"/>
        <v>0</v>
      </c>
      <c r="I88"/>
      <c r="J88"/>
      <c r="K88"/>
      <c r="L88"/>
    </row>
    <row r="89" spans="1:12">
      <c r="A89">
        <v>13</v>
      </c>
      <c r="B89" s="187" t="str">
        <f>IF(ISNA(IF(OR(VLOOKUP(B$74&amp;"_"&amp;A89,Scénarios!$A$10:$F$590,2,0)="Sélectionnez un indicateur prédéfini…",VLOOKUP(B$74&amp;"_"&amp;A89,Scénarios!$A$10:$F$590,2,0)="Encoder votre indicateur…"),"-",VLOOKUP(B$74&amp;"_"&amp;A89,Scénarios!$A$10:$F$590,2,0))),"-",IF(OR(VLOOKUP(B$74&amp;"_"&amp;A89,Scénarios!$A$10:$F$590,2,0)="Sélectionnez un indicateur prédéfini…",VLOOKUP(B$74&amp;"_"&amp;A89,Scénarios!$A$10:$F$590,2,0)="Encoder votre indicateur…"),"-",VLOOKUP(B$74&amp;"_"&amp;A89,Scénarios!$A$10:$F$590,2,0)))</f>
        <v>-</v>
      </c>
      <c r="C89" s="824">
        <f>IF(ISNA(VLOOKUP(B$74&amp;"_"&amp;A89,Scénarios!$A$10:$F$590,3,0)),,VLOOKUP(B$74&amp;"_"&amp;A89,Scénarios!$A$10:$F$590,3,0))</f>
        <v>0</v>
      </c>
      <c r="D89" s="825"/>
      <c r="E89"/>
      <c r="F89" s="55"/>
      <c r="G89" s="901">
        <f>IF(ISNA(VLOOKUP(B$74&amp;"_"&amp;A89,Scénarios!$A$10:$F$590,5,0)),,VLOOKUP(B$74&amp;"_"&amp;A89,Scénarios!$A$10:$F$590,IF(ISNA(VLOOKUP($A$5,Categories!$Z$16:$AA$31,2,0)),5,4),0))</f>
        <v>0</v>
      </c>
      <c r="H89" s="901">
        <f t="shared" si="6"/>
        <v>0</v>
      </c>
      <c r="I89"/>
      <c r="J89"/>
      <c r="K89"/>
      <c r="L89"/>
    </row>
    <row r="90" spans="1:12">
      <c r="A90">
        <v>14</v>
      </c>
      <c r="B90" s="187" t="str">
        <f>IF(ISNA(IF(OR(VLOOKUP(B$74&amp;"_"&amp;A90,Scénarios!$A$10:$F$590,2,0)="Sélectionnez un indicateur prédéfini…",VLOOKUP(B$74&amp;"_"&amp;A90,Scénarios!$A$10:$F$590,2,0)="Encoder votre indicateur…"),"-",VLOOKUP(B$74&amp;"_"&amp;A90,Scénarios!$A$10:$F$590,2,0))),"-",IF(OR(VLOOKUP(B$74&amp;"_"&amp;A90,Scénarios!$A$10:$F$590,2,0)="Sélectionnez un indicateur prédéfini…",VLOOKUP(B$74&amp;"_"&amp;A90,Scénarios!$A$10:$F$590,2,0)="Encoder votre indicateur…"),"-",VLOOKUP(B$74&amp;"_"&amp;A90,Scénarios!$A$10:$F$590,2,0)))</f>
        <v>-</v>
      </c>
      <c r="C90" s="824">
        <f>IF(ISNA(VLOOKUP(B$74&amp;"_"&amp;A90,Scénarios!$A$10:$F$590,3,0)),,VLOOKUP(B$74&amp;"_"&amp;A90,Scénarios!$A$10:$F$590,3,0))</f>
        <v>0</v>
      </c>
      <c r="D90" s="825"/>
      <c r="E90"/>
      <c r="F90" s="55"/>
      <c r="G90" s="901">
        <f>IF(ISNA(VLOOKUP(B$74&amp;"_"&amp;A90,Scénarios!$A$10:$F$590,5,0)),,VLOOKUP(B$74&amp;"_"&amp;A90,Scénarios!$A$10:$F$590,IF(ISNA(VLOOKUP($A$5,Categories!$Z$16:$AA$31,2,0)),5,4),0))</f>
        <v>0</v>
      </c>
      <c r="H90" s="901">
        <f t="shared" si="6"/>
        <v>0</v>
      </c>
      <c r="I90"/>
      <c r="J90"/>
      <c r="K90"/>
      <c r="L90"/>
    </row>
    <row r="91" spans="1:12">
      <c r="A91">
        <v>15</v>
      </c>
      <c r="B91" s="187" t="str">
        <f>IF(ISNA(IF(OR(VLOOKUP(B$74&amp;"_"&amp;A91,Scénarios!$A$10:$F$590,2,0)="Sélectionnez un indicateur prédéfini…",VLOOKUP(B$74&amp;"_"&amp;A91,Scénarios!$A$10:$F$590,2,0)="Encoder votre indicateur…"),"-",VLOOKUP(B$74&amp;"_"&amp;A91,Scénarios!$A$10:$F$590,2,0))),"-",IF(OR(VLOOKUP(B$74&amp;"_"&amp;A91,Scénarios!$A$10:$F$590,2,0)="Sélectionnez un indicateur prédéfini…",VLOOKUP(B$74&amp;"_"&amp;A91,Scénarios!$A$10:$F$590,2,0)="Encoder votre indicateur…"),"-",VLOOKUP(B$74&amp;"_"&amp;A91,Scénarios!$A$10:$F$590,2,0)))</f>
        <v>-</v>
      </c>
      <c r="C91" s="824">
        <f>IF(ISNA(VLOOKUP(B$74&amp;"_"&amp;A91,Scénarios!$A$10:$F$590,3,0)),,VLOOKUP(B$74&amp;"_"&amp;A91,Scénarios!$A$10:$F$590,3,0))</f>
        <v>0</v>
      </c>
      <c r="D91" s="825"/>
      <c r="E91"/>
      <c r="F91" s="55"/>
      <c r="G91" s="901">
        <f>IF(ISNA(VLOOKUP(B$74&amp;"_"&amp;A91,Scénarios!$A$10:$F$590,5,0)),,VLOOKUP(B$74&amp;"_"&amp;A91,Scénarios!$A$10:$F$590,IF(ISNA(VLOOKUP($A$5,Categories!$Z$16:$AA$31,2,0)),5,4),0))</f>
        <v>0</v>
      </c>
      <c r="H91" s="901">
        <f t="shared" si="6"/>
        <v>0</v>
      </c>
      <c r="I91"/>
      <c r="J91"/>
      <c r="K91"/>
      <c r="L91"/>
    </row>
    <row r="92" spans="1:12">
      <c r="A92"/>
      <c r="B92"/>
      <c r="C92"/>
      <c r="D92"/>
      <c r="E92"/>
      <c r="F92" s="830"/>
      <c r="G92" s="55"/>
      <c r="H92" s="55"/>
      <c r="I92"/>
      <c r="J92"/>
      <c r="K92"/>
      <c r="L92"/>
    </row>
    <row r="93" spans="1:12" ht="15.6">
      <c r="A93"/>
      <c r="B93" s="827" t="s">
        <v>749</v>
      </c>
      <c r="C93" s="828">
        <f>IF(SUM(G77:G91)=0,0,SUM(H77:H91)/SUM(G77:G91))</f>
        <v>0</v>
      </c>
      <c r="D93" s="829"/>
      <c r="E93"/>
      <c r="F93" s="830"/>
      <c r="G93" s="55"/>
      <c r="H93" s="55"/>
      <c r="I93"/>
      <c r="J93"/>
      <c r="K93"/>
      <c r="L93"/>
    </row>
    <row r="94" spans="1:12">
      <c r="A94"/>
      <c r="B94"/>
      <c r="C94"/>
      <c r="D94"/>
      <c r="E94"/>
      <c r="F94"/>
      <c r="G94" s="55"/>
      <c r="H94" s="55"/>
      <c r="I94"/>
      <c r="J94"/>
      <c r="K94"/>
      <c r="L94"/>
    </row>
    <row r="139" spans="17:17">
      <c r="Q139" s="1" t="s">
        <v>732</v>
      </c>
    </row>
    <row r="140" spans="17:17">
      <c r="Q140" s="1" t="s">
        <v>732</v>
      </c>
    </row>
    <row r="141" spans="17:17">
      <c r="Q141" s="1" t="s">
        <v>732</v>
      </c>
    </row>
    <row r="142" spans="17:17">
      <c r="Q142" s="1" t="s">
        <v>732</v>
      </c>
    </row>
    <row r="143" spans="17:17">
      <c r="Q143" s="1" t="s">
        <v>732</v>
      </c>
    </row>
    <row r="144" spans="17:17">
      <c r="Q144" s="1" t="s">
        <v>732</v>
      </c>
    </row>
    <row r="145" spans="17:17">
      <c r="Q145" s="1" t="s">
        <v>732</v>
      </c>
    </row>
    <row r="146" spans="17:17">
      <c r="Q146" s="1" t="s">
        <v>732</v>
      </c>
    </row>
    <row r="147" spans="17:17">
      <c r="Q147" s="1" t="s">
        <v>732</v>
      </c>
    </row>
    <row r="148" spans="17:17">
      <c r="Q148" s="1" t="s">
        <v>732</v>
      </c>
    </row>
    <row r="149" spans="17:17">
      <c r="Q149" s="1" t="s">
        <v>732</v>
      </c>
    </row>
    <row r="150" spans="17:17">
      <c r="Q150" s="1" t="s">
        <v>732</v>
      </c>
    </row>
    <row r="151" spans="17:17">
      <c r="Q151" s="1" t="s">
        <v>732</v>
      </c>
    </row>
    <row r="152" spans="17:17">
      <c r="Q152" s="1" t="s">
        <v>732</v>
      </c>
    </row>
    <row r="153" spans="17:17">
      <c r="Q153" s="1" t="s">
        <v>732</v>
      </c>
    </row>
    <row r="154" spans="17:17">
      <c r="Q154" s="1" t="s">
        <v>732</v>
      </c>
    </row>
    <row r="155" spans="17:17">
      <c r="Q155" s="1" t="s">
        <v>732</v>
      </c>
    </row>
    <row r="156" spans="17:17">
      <c r="Q156" s="1" t="s">
        <v>732</v>
      </c>
    </row>
    <row r="157" spans="17:17">
      <c r="Q157" s="1" t="s">
        <v>732</v>
      </c>
    </row>
    <row r="158" spans="17:17">
      <c r="Q158" s="1" t="s">
        <v>732</v>
      </c>
    </row>
    <row r="159" spans="17:17">
      <c r="Q159" s="1" t="s">
        <v>732</v>
      </c>
    </row>
    <row r="160" spans="17:17">
      <c r="Q160" s="1" t="s">
        <v>732</v>
      </c>
    </row>
    <row r="161" spans="17:17">
      <c r="Q161" s="1" t="s">
        <v>732</v>
      </c>
    </row>
    <row r="162" spans="17:17">
      <c r="Q162" s="1" t="s">
        <v>732</v>
      </c>
    </row>
    <row r="163" spans="17:17">
      <c r="Q163" s="1" t="s">
        <v>732</v>
      </c>
    </row>
    <row r="164" spans="17:17">
      <c r="Q164" s="1" t="s">
        <v>732</v>
      </c>
    </row>
    <row r="165" spans="17:17">
      <c r="Q165" s="1" t="s">
        <v>732</v>
      </c>
    </row>
    <row r="166" spans="17:17">
      <c r="Q166" s="1" t="s">
        <v>732</v>
      </c>
    </row>
    <row r="167" spans="17:17">
      <c r="Q167" s="1" t="s">
        <v>732</v>
      </c>
    </row>
    <row r="168" spans="17:17">
      <c r="Q168" s="1" t="s">
        <v>732</v>
      </c>
    </row>
    <row r="169" spans="17:17">
      <c r="Q169" s="1" t="s">
        <v>732</v>
      </c>
    </row>
    <row r="170" spans="17:17">
      <c r="Q170" s="1" t="s">
        <v>732</v>
      </c>
    </row>
    <row r="171" spans="17:17">
      <c r="Q171" s="1" t="s">
        <v>732</v>
      </c>
    </row>
    <row r="172" spans="17:17">
      <c r="Q172" s="1" t="s">
        <v>732</v>
      </c>
    </row>
    <row r="173" spans="17:17">
      <c r="Q173" s="1" t="s">
        <v>732</v>
      </c>
    </row>
    <row r="174" spans="17:17">
      <c r="Q174" s="1" t="s">
        <v>732</v>
      </c>
    </row>
    <row r="175" spans="17:17">
      <c r="Q175" s="1" t="s">
        <v>732</v>
      </c>
    </row>
    <row r="176" spans="17:17">
      <c r="Q176" s="1" t="s">
        <v>732</v>
      </c>
    </row>
    <row r="177" spans="17:17">
      <c r="Q177" s="1" t="s">
        <v>732</v>
      </c>
    </row>
    <row r="178" spans="17:17">
      <c r="Q178" s="1" t="s">
        <v>732</v>
      </c>
    </row>
    <row r="179" spans="17:17">
      <c r="Q179" s="1" t="s">
        <v>732</v>
      </c>
    </row>
    <row r="180" spans="17:17">
      <c r="Q180" s="1" t="s">
        <v>732</v>
      </c>
    </row>
    <row r="181" spans="17:17">
      <c r="Q181" s="1" t="s">
        <v>732</v>
      </c>
    </row>
    <row r="182" spans="17:17">
      <c r="Q182" s="1" t="s">
        <v>732</v>
      </c>
    </row>
    <row r="183" spans="17:17">
      <c r="Q183" s="1" t="s">
        <v>732</v>
      </c>
    </row>
    <row r="184" spans="17:17">
      <c r="Q184" s="1" t="s">
        <v>732</v>
      </c>
    </row>
    <row r="185" spans="17:17">
      <c r="Q185" s="1" t="s">
        <v>732</v>
      </c>
    </row>
    <row r="186" spans="17:17">
      <c r="Q186" s="1" t="s">
        <v>732</v>
      </c>
    </row>
    <row r="187" spans="17:17">
      <c r="Q187" s="1" t="s">
        <v>732</v>
      </c>
    </row>
    <row r="188" spans="17:17">
      <c r="Q188" s="1" t="s">
        <v>732</v>
      </c>
    </row>
    <row r="189" spans="17:17">
      <c r="Q189" s="1" t="s">
        <v>732</v>
      </c>
    </row>
    <row r="190" spans="17:17">
      <c r="Q190" s="1" t="s">
        <v>732</v>
      </c>
    </row>
    <row r="191" spans="17:17">
      <c r="Q191" s="1" t="s">
        <v>732</v>
      </c>
    </row>
    <row r="192" spans="17:17">
      <c r="Q192" s="1" t="s">
        <v>732</v>
      </c>
    </row>
    <row r="193" spans="17:17">
      <c r="Q193" s="1" t="s">
        <v>732</v>
      </c>
    </row>
    <row r="194" spans="17:17">
      <c r="Q194" s="1" t="s">
        <v>732</v>
      </c>
    </row>
    <row r="195" spans="17:17">
      <c r="Q195" s="1" t="s">
        <v>732</v>
      </c>
    </row>
    <row r="196" spans="17:17">
      <c r="Q196" s="1" t="s">
        <v>732</v>
      </c>
    </row>
    <row r="197" spans="17:17">
      <c r="Q197" s="1" t="s">
        <v>732</v>
      </c>
    </row>
    <row r="198" spans="17:17">
      <c r="Q198" s="1" t="s">
        <v>732</v>
      </c>
    </row>
    <row r="199" spans="17:17">
      <c r="Q199" s="1" t="s">
        <v>732</v>
      </c>
    </row>
    <row r="200" spans="17:17">
      <c r="Q200" s="1" t="s">
        <v>732</v>
      </c>
    </row>
    <row r="201" spans="17:17">
      <c r="Q201" s="1" t="s">
        <v>732</v>
      </c>
    </row>
    <row r="202" spans="17:17">
      <c r="Q202" s="1" t="s">
        <v>732</v>
      </c>
    </row>
    <row r="203" spans="17:17">
      <c r="Q203" s="1" t="s">
        <v>732</v>
      </c>
    </row>
    <row r="204" spans="17:17">
      <c r="Q204" s="1" t="s">
        <v>732</v>
      </c>
    </row>
    <row r="205" spans="17:17">
      <c r="Q205" s="1" t="s">
        <v>732</v>
      </c>
    </row>
    <row r="206" spans="17:17">
      <c r="Q206" s="1" t="s">
        <v>732</v>
      </c>
    </row>
    <row r="207" spans="17:17">
      <c r="Q207" s="1" t="s">
        <v>732</v>
      </c>
    </row>
    <row r="208" spans="17:17">
      <c r="Q208" s="1" t="s">
        <v>732</v>
      </c>
    </row>
    <row r="209" spans="17:17">
      <c r="Q209" s="1" t="s">
        <v>732</v>
      </c>
    </row>
    <row r="210" spans="17:17">
      <c r="Q210" s="1" t="s">
        <v>732</v>
      </c>
    </row>
    <row r="211" spans="17:17">
      <c r="Q211" s="1" t="s">
        <v>732</v>
      </c>
    </row>
    <row r="212" spans="17:17">
      <c r="Q212" s="1" t="s">
        <v>732</v>
      </c>
    </row>
    <row r="213" spans="17:17">
      <c r="Q213" s="1" t="s">
        <v>732</v>
      </c>
    </row>
    <row r="214" spans="17:17">
      <c r="Q214" s="1" t="s">
        <v>732</v>
      </c>
    </row>
    <row r="215" spans="17:17">
      <c r="Q215" s="1" t="s">
        <v>732</v>
      </c>
    </row>
    <row r="216" spans="17:17">
      <c r="Q216" s="1" t="s">
        <v>732</v>
      </c>
    </row>
    <row r="217" spans="17:17">
      <c r="Q217" s="1" t="s">
        <v>732</v>
      </c>
    </row>
    <row r="218" spans="17:17">
      <c r="Q218" s="1" t="s">
        <v>732</v>
      </c>
    </row>
    <row r="219" spans="17:17">
      <c r="Q219" s="1" t="s">
        <v>732</v>
      </c>
    </row>
    <row r="220" spans="17:17">
      <c r="Q220" s="1" t="s">
        <v>732</v>
      </c>
    </row>
    <row r="221" spans="17:17">
      <c r="Q221" s="1" t="s">
        <v>732</v>
      </c>
    </row>
    <row r="222" spans="17:17">
      <c r="Q222" s="1" t="s">
        <v>732</v>
      </c>
    </row>
    <row r="223" spans="17:17">
      <c r="Q223" s="1" t="s">
        <v>732</v>
      </c>
    </row>
    <row r="224" spans="17:17">
      <c r="Q224" s="1" t="s">
        <v>732</v>
      </c>
    </row>
    <row r="225" spans="17:17">
      <c r="Q225" s="1" t="s">
        <v>732</v>
      </c>
    </row>
    <row r="226" spans="17:17">
      <c r="Q226" s="1" t="s">
        <v>732</v>
      </c>
    </row>
    <row r="227" spans="17:17">
      <c r="Q227" s="1" t="s">
        <v>732</v>
      </c>
    </row>
    <row r="228" spans="17:17">
      <c r="Q228" s="1" t="s">
        <v>732</v>
      </c>
    </row>
    <row r="229" spans="17:17">
      <c r="Q229" s="1" t="s">
        <v>732</v>
      </c>
    </row>
    <row r="230" spans="17:17">
      <c r="Q230" s="1" t="s">
        <v>732</v>
      </c>
    </row>
    <row r="231" spans="17:17">
      <c r="Q231" s="1" t="s">
        <v>732</v>
      </c>
    </row>
    <row r="232" spans="17:17">
      <c r="Q232" s="1" t="s">
        <v>732</v>
      </c>
    </row>
    <row r="233" spans="17:17">
      <c r="Q233" s="1" t="s">
        <v>732</v>
      </c>
    </row>
    <row r="234" spans="17:17">
      <c r="Q234" s="1" t="s">
        <v>732</v>
      </c>
    </row>
    <row r="235" spans="17:17">
      <c r="Q235" s="1" t="s">
        <v>732</v>
      </c>
    </row>
    <row r="236" spans="17:17">
      <c r="Q236" s="1" t="s">
        <v>732</v>
      </c>
    </row>
    <row r="237" spans="17:17">
      <c r="Q237" s="1" t="s">
        <v>732</v>
      </c>
    </row>
    <row r="238" spans="17:17">
      <c r="Q238" s="1" t="s">
        <v>732</v>
      </c>
    </row>
    <row r="239" spans="17:17">
      <c r="Q239" s="1" t="s">
        <v>732</v>
      </c>
    </row>
    <row r="240" spans="17:17">
      <c r="Q240" s="1" t="s">
        <v>732</v>
      </c>
    </row>
    <row r="241" spans="17:17">
      <c r="Q241" s="1" t="s">
        <v>732</v>
      </c>
    </row>
    <row r="242" spans="17:17">
      <c r="Q242" s="1" t="s">
        <v>732</v>
      </c>
    </row>
    <row r="243" spans="17:17">
      <c r="Q243" s="1" t="s">
        <v>732</v>
      </c>
    </row>
    <row r="244" spans="17:17">
      <c r="Q244" s="1" t="s">
        <v>732</v>
      </c>
    </row>
    <row r="245" spans="17:17">
      <c r="Q245" s="1" t="s">
        <v>732</v>
      </c>
    </row>
    <row r="246" spans="17:17">
      <c r="Q246" s="1" t="s">
        <v>732</v>
      </c>
    </row>
    <row r="247" spans="17:17">
      <c r="Q247" s="1" t="s">
        <v>732</v>
      </c>
    </row>
    <row r="248" spans="17:17">
      <c r="Q248" s="1" t="s">
        <v>732</v>
      </c>
    </row>
    <row r="249" spans="17:17">
      <c r="Q249" s="1" t="s">
        <v>732</v>
      </c>
    </row>
    <row r="250" spans="17:17">
      <c r="Q250" s="1" t="s">
        <v>732</v>
      </c>
    </row>
    <row r="251" spans="17:17">
      <c r="Q251" s="1" t="s">
        <v>732</v>
      </c>
    </row>
    <row r="252" spans="17:17">
      <c r="Q252" s="1" t="s">
        <v>732</v>
      </c>
    </row>
    <row r="253" spans="17:17">
      <c r="Q253" s="1" t="s">
        <v>732</v>
      </c>
    </row>
    <row r="254" spans="17:17">
      <c r="Q254" s="1" t="s">
        <v>732</v>
      </c>
    </row>
    <row r="255" spans="17:17">
      <c r="Q255" s="1" t="s">
        <v>732</v>
      </c>
    </row>
    <row r="256" spans="17:17">
      <c r="Q256" s="1" t="s">
        <v>732</v>
      </c>
    </row>
    <row r="257" spans="17:17">
      <c r="Q257" s="1" t="s">
        <v>732</v>
      </c>
    </row>
    <row r="258" spans="17:17">
      <c r="Q258" s="1" t="s">
        <v>732</v>
      </c>
    </row>
    <row r="259" spans="17:17">
      <c r="Q259" s="1" t="s">
        <v>732</v>
      </c>
    </row>
    <row r="260" spans="17:17">
      <c r="Q260" s="1" t="s">
        <v>732</v>
      </c>
    </row>
    <row r="261" spans="17:17">
      <c r="Q261" s="1" t="s">
        <v>732</v>
      </c>
    </row>
    <row r="262" spans="17:17">
      <c r="Q262" s="1" t="s">
        <v>732</v>
      </c>
    </row>
    <row r="263" spans="17:17">
      <c r="Q263" s="1" t="s">
        <v>732</v>
      </c>
    </row>
    <row r="264" spans="17:17">
      <c r="Q264" s="1" t="s">
        <v>732</v>
      </c>
    </row>
    <row r="265" spans="17:17">
      <c r="Q265" s="1" t="s">
        <v>732</v>
      </c>
    </row>
    <row r="266" spans="17:17">
      <c r="Q266" s="1" t="s">
        <v>732</v>
      </c>
    </row>
    <row r="267" spans="17:17">
      <c r="Q267" s="1" t="s">
        <v>732</v>
      </c>
    </row>
    <row r="268" spans="17:17">
      <c r="Q268" s="1" t="s">
        <v>732</v>
      </c>
    </row>
    <row r="269" spans="17:17">
      <c r="Q269" s="1" t="s">
        <v>732</v>
      </c>
    </row>
    <row r="270" spans="17:17">
      <c r="Q270" s="1" t="s">
        <v>732</v>
      </c>
    </row>
    <row r="271" spans="17:17">
      <c r="Q271" s="1" t="s">
        <v>732</v>
      </c>
    </row>
    <row r="272" spans="17:17">
      <c r="Q272" s="1" t="s">
        <v>732</v>
      </c>
    </row>
    <row r="273" spans="17:17">
      <c r="Q273" s="1" t="s">
        <v>732</v>
      </c>
    </row>
    <row r="274" spans="17:17">
      <c r="Q274" s="1" t="s">
        <v>732</v>
      </c>
    </row>
    <row r="275" spans="17:17">
      <c r="Q275" s="1" t="s">
        <v>732</v>
      </c>
    </row>
    <row r="276" spans="17:17">
      <c r="Q276" s="1" t="s">
        <v>732</v>
      </c>
    </row>
    <row r="277" spans="17:17">
      <c r="Q277" s="1" t="s">
        <v>732</v>
      </c>
    </row>
    <row r="278" spans="17:17">
      <c r="Q278" s="1" t="s">
        <v>732</v>
      </c>
    </row>
    <row r="279" spans="17:17">
      <c r="Q279" s="1" t="s">
        <v>732</v>
      </c>
    </row>
    <row r="280" spans="17:17">
      <c r="Q280" s="1" t="s">
        <v>732</v>
      </c>
    </row>
    <row r="281" spans="17:17">
      <c r="Q281" s="1" t="s">
        <v>732</v>
      </c>
    </row>
    <row r="282" spans="17:17">
      <c r="Q282" s="1" t="s">
        <v>732</v>
      </c>
    </row>
    <row r="283" spans="17:17">
      <c r="Q283" s="1" t="s">
        <v>732</v>
      </c>
    </row>
    <row r="284" spans="17:17">
      <c r="Q284" s="1" t="s">
        <v>732</v>
      </c>
    </row>
    <row r="285" spans="17:17">
      <c r="Q285" s="1" t="s">
        <v>732</v>
      </c>
    </row>
    <row r="286" spans="17:17">
      <c r="Q286" s="1" t="s">
        <v>732</v>
      </c>
    </row>
    <row r="287" spans="17:17">
      <c r="Q287" s="1" t="s">
        <v>732</v>
      </c>
    </row>
    <row r="288" spans="17:17">
      <c r="Q288" s="1" t="s">
        <v>732</v>
      </c>
    </row>
    <row r="289" spans="17:17">
      <c r="Q289" s="1" t="s">
        <v>732</v>
      </c>
    </row>
    <row r="290" spans="17:17">
      <c r="Q290" s="1" t="s">
        <v>732</v>
      </c>
    </row>
    <row r="291" spans="17:17">
      <c r="Q291" s="1" t="s">
        <v>732</v>
      </c>
    </row>
    <row r="292" spans="17:17">
      <c r="Q292" s="1" t="s">
        <v>732</v>
      </c>
    </row>
    <row r="293" spans="17:17">
      <c r="Q293" s="1" t="s">
        <v>732</v>
      </c>
    </row>
    <row r="294" spans="17:17">
      <c r="Q294" s="1" t="s">
        <v>732</v>
      </c>
    </row>
    <row r="295" spans="17:17">
      <c r="Q295" s="1" t="s">
        <v>732</v>
      </c>
    </row>
    <row r="296" spans="17:17">
      <c r="Q296" s="1" t="s">
        <v>732</v>
      </c>
    </row>
    <row r="297" spans="17:17">
      <c r="Q297" s="1" t="s">
        <v>732</v>
      </c>
    </row>
    <row r="298" spans="17:17">
      <c r="Q298" s="1" t="s">
        <v>732</v>
      </c>
    </row>
    <row r="299" spans="17:17">
      <c r="Q299" s="1" t="s">
        <v>732</v>
      </c>
    </row>
    <row r="300" spans="17:17">
      <c r="Q300" s="1" t="s">
        <v>732</v>
      </c>
    </row>
    <row r="301" spans="17:17">
      <c r="Q301" s="1" t="s">
        <v>732</v>
      </c>
    </row>
    <row r="302" spans="17:17">
      <c r="Q302" s="1" t="s">
        <v>732</v>
      </c>
    </row>
  </sheetData>
  <sheetProtection sheet="1" formatRows="0"/>
  <mergeCells count="21">
    <mergeCell ref="H20:H21"/>
    <mergeCell ref="B21:F21"/>
    <mergeCell ref="E5:F5"/>
    <mergeCell ref="E6:F6"/>
    <mergeCell ref="E9:F9"/>
    <mergeCell ref="E10:F10"/>
    <mergeCell ref="B13:F13"/>
    <mergeCell ref="B14:F14"/>
    <mergeCell ref="B15:F15"/>
    <mergeCell ref="B17:F17"/>
    <mergeCell ref="B18:F18"/>
    <mergeCell ref="B19:F19"/>
    <mergeCell ref="B20:F20"/>
    <mergeCell ref="I34:J37"/>
    <mergeCell ref="I50:J51"/>
    <mergeCell ref="B22:F22"/>
    <mergeCell ref="D23:F23"/>
    <mergeCell ref="B24:F24"/>
    <mergeCell ref="B25:F25"/>
    <mergeCell ref="B27:F27"/>
    <mergeCell ref="B28:F28"/>
  </mergeCells>
  <conditionalFormatting sqref="A5:D5">
    <cfRule type="expression" dxfId="314" priority="26" stopIfTrue="1">
      <formula>ISBLANK(A5)</formula>
    </cfRule>
  </conditionalFormatting>
  <conditionalFormatting sqref="B7:D7">
    <cfRule type="expression" dxfId="313" priority="25" stopIfTrue="1">
      <formula>ISBLANK(B7)</formula>
    </cfRule>
  </conditionalFormatting>
  <conditionalFormatting sqref="E6:F6">
    <cfRule type="expression" dxfId="312" priority="24" stopIfTrue="1">
      <formula>ISBLANK($E$6)</formula>
    </cfRule>
  </conditionalFormatting>
  <conditionalFormatting sqref="B9">
    <cfRule type="expression" dxfId="311" priority="23" stopIfTrue="1">
      <formula>ISBLANK($B$9)</formula>
    </cfRule>
  </conditionalFormatting>
  <conditionalFormatting sqref="D9">
    <cfRule type="expression" dxfId="310" priority="22" stopIfTrue="1">
      <formula>ISBLANK($D$9)</formula>
    </cfRule>
  </conditionalFormatting>
  <conditionalFormatting sqref="E10:F10">
    <cfRule type="expression" dxfId="309" priority="3" stopIfTrue="1">
      <formula>$E$2=2</formula>
    </cfRule>
    <cfRule type="expression" dxfId="308" priority="21" stopIfTrue="1">
      <formula>ISBLANK($E$10)</formula>
    </cfRule>
  </conditionalFormatting>
  <conditionalFormatting sqref="B11">
    <cfRule type="expression" dxfId="307" priority="20" stopIfTrue="1">
      <formula>ISBLANK($B$11)</formula>
    </cfRule>
  </conditionalFormatting>
  <conditionalFormatting sqref="B13:F21 B22">
    <cfRule type="expression" dxfId="306" priority="19">
      <formula>ISBLANK(B13)</formula>
    </cfRule>
  </conditionalFormatting>
  <conditionalFormatting sqref="B23:B24">
    <cfRule type="expression" dxfId="305" priority="18" stopIfTrue="1">
      <formula>ISBLANK($B$23)</formula>
    </cfRule>
  </conditionalFormatting>
  <conditionalFormatting sqref="D23:F23">
    <cfRule type="expression" dxfId="304" priority="17" stopIfTrue="1">
      <formula>ISBLANK($D$23)</formula>
    </cfRule>
  </conditionalFormatting>
  <conditionalFormatting sqref="B25:F25">
    <cfRule type="expression" dxfId="303" priority="16" stopIfTrue="1">
      <formula>ISBLANK($B$25)</formula>
    </cfRule>
  </conditionalFormatting>
  <conditionalFormatting sqref="B26">
    <cfRule type="expression" dxfId="302" priority="15" stopIfTrue="1">
      <formula>ISBLANK($B$26)</formula>
    </cfRule>
  </conditionalFormatting>
  <conditionalFormatting sqref="D26">
    <cfRule type="expression" dxfId="301" priority="14" stopIfTrue="1">
      <formula>ISBLANK($D$26)</formula>
    </cfRule>
  </conditionalFormatting>
  <conditionalFormatting sqref="F26">
    <cfRule type="expression" dxfId="300" priority="13" stopIfTrue="1">
      <formula>ISBLANK($F$26)</formula>
    </cfRule>
  </conditionalFormatting>
  <conditionalFormatting sqref="H20:I20">
    <cfRule type="expression" dxfId="299" priority="12" stopIfTrue="1">
      <formula>AND($B$21&lt;$B$20,B21&gt;0)</formula>
    </cfRule>
  </conditionalFormatting>
  <conditionalFormatting sqref="H23:J24">
    <cfRule type="expression" dxfId="298" priority="27" stopIfTrue="1">
      <formula>AND($B$21&lt;$B$20,B25&gt;0)</formula>
    </cfRule>
  </conditionalFormatting>
  <conditionalFormatting sqref="A24:F24">
    <cfRule type="expression" dxfId="297" priority="5" stopIfTrue="1">
      <formula>OR($B$11&lt;&gt;"Commune",$D$23&lt;&gt;"Investissement")</formula>
    </cfRule>
  </conditionalFormatting>
  <conditionalFormatting sqref="A22:F22">
    <cfRule type="expression" dxfId="296" priority="4" stopIfTrue="1">
      <formula>$B$11&lt;&gt;"Commune"</formula>
    </cfRule>
  </conditionalFormatting>
  <conditionalFormatting sqref="J6">
    <cfRule type="expression" dxfId="295" priority="9" stopIfTrue="1">
      <formula>ISBLANK(J6)</formula>
    </cfRule>
  </conditionalFormatting>
  <conditionalFormatting sqref="C9:F9">
    <cfRule type="expression" dxfId="294" priority="7" stopIfTrue="1">
      <formula>$E$2=2</formula>
    </cfRule>
  </conditionalFormatting>
  <conditionalFormatting sqref="B27:F28">
    <cfRule type="expression" dxfId="293" priority="6">
      <formula>ISBLANK(B27)</formula>
    </cfRule>
  </conditionalFormatting>
  <conditionalFormatting sqref="B26 D26 F26 B23 D23:F23 B13:F22 B24:F25 B11 B9 D9 E10:F10">
    <cfRule type="expression" dxfId="292" priority="10">
      <formula>$D$3=TRUE</formula>
    </cfRule>
    <cfRule type="expression" dxfId="291" priority="11">
      <formula>$B$3=TRUE</formula>
    </cfRule>
  </conditionalFormatting>
  <conditionalFormatting sqref="B9 B11 D9 E10:F10 B13:F21 D23:F23 B25:F25 B26 D26 F26 B22:B23">
    <cfRule type="cellIs" priority="8" stopIfTrue="1" operator="notEqual">
      <formula>0</formula>
    </cfRule>
  </conditionalFormatting>
  <conditionalFormatting sqref="G4">
    <cfRule type="expression" dxfId="290" priority="2">
      <formula>$B$3=TRUE</formula>
    </cfRule>
  </conditionalFormatting>
  <conditionalFormatting sqref="G5">
    <cfRule type="expression" dxfId="289" priority="1">
      <formula>$B$3=TRUE</formula>
    </cfRule>
  </conditionalFormatting>
  <dataValidations count="17">
    <dataValidation type="list" allowBlank="1" showInputMessage="1" showErrorMessage="1" sqref="B16:F16" xr:uid="{4CD83294-AA26-4287-8A14-6CDB8504D56D}">
      <formula1>Public</formula1>
    </dataValidation>
    <dataValidation type="list" allowBlank="1" showInputMessage="1" showErrorMessage="1" sqref="G5" xr:uid="{D03C95A7-A6FB-4E18-9151-42F73583B93B}">
      <formula1>"1,2,3,4,5,6"</formula1>
    </dataValidation>
    <dataValidation type="decimal" operator="greaterThanOrEqual" showInputMessage="1" showErrorMessage="1" sqref="B23" xr:uid="{6D1E96F6-5C63-4478-9FFA-42B28297820C}">
      <formula1>0</formula1>
    </dataValidation>
    <dataValidation type="list" showInputMessage="1" showErrorMessage="1" sqref="A5" xr:uid="{1622DDE4-5292-42E5-A099-88F9EAED4ED3}">
      <formula1>IF(E2=1,secteuraction,Secteurs_adaptation)</formula1>
    </dataValidation>
    <dataValidation type="list" showInputMessage="1" showErrorMessage="1" sqref="B5:D5" xr:uid="{557AFBBE-B518-4B75-954F-C0CC96D2D831}">
      <formula1>objsects</formula1>
    </dataValidation>
    <dataValidation type="list" showInputMessage="1" showErrorMessage="1" sqref="D9" xr:uid="{1E81F96B-C57E-487E-8119-12C4D6099EF4}">
      <formula1>$R$8:$R$25</formula1>
    </dataValidation>
    <dataValidation type="decimal" operator="greaterThanOrEqual" allowBlank="1" showInputMessage="1" showErrorMessage="1" sqref="B24:F25 B26 D35:D49 D56:D70 D77:D91" xr:uid="{2249D1B1-1CE4-49D6-948E-42E98EC6F28D}">
      <formula1>0</formula1>
    </dataValidation>
    <dataValidation type="list" showInputMessage="1" showErrorMessage="1" sqref="E6:F6" xr:uid="{7953D1E4-E849-4E51-82D2-B7FEE5465D69}">
      <formula1>Avancement</formula1>
    </dataValidation>
    <dataValidation type="list" showInputMessage="1" showErrorMessage="1" sqref="B11" xr:uid="{A79832F7-521E-4F0F-A847-D02B3E05B3E8}">
      <formula1>Structure</formula1>
    </dataValidation>
    <dataValidation type="decimal" operator="greaterThan" showInputMessage="1" showErrorMessage="1" sqref="B22:F22" xr:uid="{85883EDE-B98C-4BFB-B0C3-184CFC3BB376}">
      <formula1>0</formula1>
    </dataValidation>
    <dataValidation type="list" showInputMessage="1" showErrorMessage="1" sqref="B7:D7" xr:uid="{2C14E5BA-0DD8-4B94-9DDB-B041570DD57C}">
      <formula1>Pourcent</formula1>
    </dataValidation>
    <dataValidation type="list" allowBlank="1" showInputMessage="1" showErrorMessage="1" sqref="F1 J6" xr:uid="{35593352-0788-4945-90D4-C4DF252716A7}">
      <formula1>Bonnes_pratiques</formula1>
    </dataValidation>
    <dataValidation type="list" showInputMessage="1" showErrorMessage="1" sqref="E10:F10" xr:uid="{41B1D0C8-3DE5-4906-9BB0-9E6B84375AC7}">
      <formula1>Choix</formula1>
    </dataValidation>
    <dataValidation type="list" showInputMessage="1" showErrorMessage="1" sqref="F26" xr:uid="{924100C3-AD66-4C07-8FCF-A6DDD4C16F1A}">
      <formula1>Source_subvention</formula1>
    </dataValidation>
    <dataValidation type="list" allowBlank="1" showInputMessage="1" showErrorMessage="1" sqref="B20:F21" xr:uid="{DD2EA04E-C0B9-4AAA-9978-13003EBE58DF}">
      <formula1>Année</formula1>
    </dataValidation>
    <dataValidation type="list" showInputMessage="1" showErrorMessage="1" sqref="D23:F23" xr:uid="{786DD9A3-1250-4BEF-B477-CD714EC3727F}">
      <formula1>Type_depense</formula1>
    </dataValidation>
    <dataValidation type="list" showInputMessage="1" showErrorMessage="1" sqref="B9" xr:uid="{049C5662-DE61-4C96-A16A-93BEAFCF6B0D}">
      <formula1>IF($E$2=2,Risque,IF($A$5="Administration communale",UREBA,$Q$8:$Q$20))</formula1>
    </dataValidation>
  </dataValidations>
  <printOptions horizontalCentered="1"/>
  <pageMargins left="0.7" right="0.7" top="0.75" bottom="0.75" header="0.3" footer="0.3"/>
  <pageSetup paperSize="9" scale="5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619841" r:id="rId4" name="Button 1">
              <controlPr defaultSize="0" print="0" autoFill="0" autoPict="0" macro="[0]!Nouveauformulaireaction_insert">
                <anchor moveWithCells="1">
                  <from>
                    <xdr:col>4</xdr:col>
                    <xdr:colOff>480060</xdr:colOff>
                    <xdr:row>0</xdr:row>
                    <xdr:rowOff>175260</xdr:rowOff>
                  </from>
                  <to>
                    <xdr:col>5</xdr:col>
                    <xdr:colOff>1112520</xdr:colOff>
                    <xdr:row>1</xdr:row>
                    <xdr:rowOff>30480</xdr:rowOff>
                  </to>
                </anchor>
              </controlPr>
            </control>
          </mc:Choice>
        </mc:AlternateContent>
        <mc:AlternateContent xmlns:mc="http://schemas.openxmlformats.org/markup-compatibility/2006">
          <mc:Choice Requires="x14">
            <control shapeId="51619842" r:id="rId5" name="Button 2">
              <controlPr defaultSize="0" print="0" autoFill="0" autoPict="0" macro="[0]!ImportBP">
                <anchor moveWithCells="1">
                  <from>
                    <xdr:col>9</xdr:col>
                    <xdr:colOff>60960</xdr:colOff>
                    <xdr:row>6</xdr:row>
                    <xdr:rowOff>106680</xdr:rowOff>
                  </from>
                  <to>
                    <xdr:col>10</xdr:col>
                    <xdr:colOff>7620</xdr:colOff>
                    <xdr:row>7</xdr:row>
                    <xdr:rowOff>312420</xdr:rowOff>
                  </to>
                </anchor>
              </controlPr>
            </control>
          </mc:Choice>
        </mc:AlternateContent>
        <mc:AlternateContent xmlns:mc="http://schemas.openxmlformats.org/markup-compatibility/2006">
          <mc:Choice Requires="x14">
            <control shapeId="51619843" r:id="rId6" name="Button 3">
              <controlPr defaultSize="0" print="0" autoFill="0" autoPict="0" macro="[0]!Supprimerformulaire">
                <anchor moveWithCells="1">
                  <from>
                    <xdr:col>8</xdr:col>
                    <xdr:colOff>2118360</xdr:colOff>
                    <xdr:row>0</xdr:row>
                    <xdr:rowOff>190500</xdr:rowOff>
                  </from>
                  <to>
                    <xdr:col>11</xdr:col>
                    <xdr:colOff>0</xdr:colOff>
                    <xdr:row>1</xdr:row>
                    <xdr:rowOff>60960</xdr:rowOff>
                  </to>
                </anchor>
              </controlPr>
            </control>
          </mc:Choice>
        </mc:AlternateContent>
        <mc:AlternateContent xmlns:mc="http://schemas.openxmlformats.org/markup-compatibility/2006">
          <mc:Choice Requires="x14">
            <control shapeId="51619844" r:id="rId7" name="Button 4">
              <controlPr defaultSize="0" print="0" autoFill="0" autoPict="0" macro="[0]!scrolldown">
                <anchor moveWithCells="1">
                  <from>
                    <xdr:col>4</xdr:col>
                    <xdr:colOff>342900</xdr:colOff>
                    <xdr:row>6</xdr:row>
                    <xdr:rowOff>144780</xdr:rowOff>
                  </from>
                  <to>
                    <xdr:col>5</xdr:col>
                    <xdr:colOff>1150620</xdr:colOff>
                    <xdr:row>7</xdr:row>
                    <xdr:rowOff>381000</xdr:rowOff>
                  </to>
                </anchor>
              </controlPr>
            </control>
          </mc:Choice>
        </mc:AlternateContent>
        <mc:AlternateContent xmlns:mc="http://schemas.openxmlformats.org/markup-compatibility/2006">
          <mc:Choice Requires="x14">
            <control shapeId="51619845" r:id="rId8" name="Button 5">
              <controlPr defaultSize="0" print="0" autoFill="0" autoPict="0" macro="[0]!scrollup1">
                <anchor moveWithCells="1">
                  <from>
                    <xdr:col>2</xdr:col>
                    <xdr:colOff>876300</xdr:colOff>
                    <xdr:row>49</xdr:row>
                    <xdr:rowOff>121920</xdr:rowOff>
                  </from>
                  <to>
                    <xdr:col>4</xdr:col>
                    <xdr:colOff>914400</xdr:colOff>
                    <xdr:row>51</xdr:row>
                    <xdr:rowOff>106680</xdr:rowOff>
                  </to>
                </anchor>
              </controlPr>
            </control>
          </mc:Choice>
        </mc:AlternateContent>
        <mc:AlternateContent xmlns:mc="http://schemas.openxmlformats.org/markup-compatibility/2006">
          <mc:Choice Requires="x14">
            <control shapeId="51619846" r:id="rId9" name="Button 6">
              <controlPr defaultSize="0" print="0" autoFill="0" autoPict="0" macro="[0]!scrollup3">
                <anchor moveWithCells="1">
                  <from>
                    <xdr:col>2</xdr:col>
                    <xdr:colOff>746760</xdr:colOff>
                    <xdr:row>91</xdr:row>
                    <xdr:rowOff>106680</xdr:rowOff>
                  </from>
                  <to>
                    <xdr:col>4</xdr:col>
                    <xdr:colOff>784860</xdr:colOff>
                    <xdr:row>93</xdr:row>
                    <xdr:rowOff>76200</xdr:rowOff>
                  </to>
                </anchor>
              </controlPr>
            </control>
          </mc:Choice>
        </mc:AlternateContent>
        <mc:AlternateContent xmlns:mc="http://schemas.openxmlformats.org/markup-compatibility/2006">
          <mc:Choice Requires="x14">
            <control shapeId="51619847" r:id="rId10" name="Button 7">
              <controlPr defaultSize="0" print="0" autoFill="0" autoPict="0" macro="[0]!scrollup2">
                <anchor moveWithCells="1">
                  <from>
                    <xdr:col>2</xdr:col>
                    <xdr:colOff>800100</xdr:colOff>
                    <xdr:row>70</xdr:row>
                    <xdr:rowOff>121920</xdr:rowOff>
                  </from>
                  <to>
                    <xdr:col>4</xdr:col>
                    <xdr:colOff>838200</xdr:colOff>
                    <xdr:row>72</xdr:row>
                    <xdr:rowOff>99060</xdr:rowOff>
                  </to>
                </anchor>
              </controlPr>
            </control>
          </mc:Choice>
        </mc:AlternateContent>
        <mc:AlternateContent xmlns:mc="http://schemas.openxmlformats.org/markup-compatibility/2006">
          <mc:Choice Requires="x14">
            <control shapeId="51619848" r:id="rId11" name="Button 8">
              <controlPr defaultSize="0" print="0" autoFill="0" autoPict="0" macro="[0]!Reset_action">
                <anchor moveWithCells="1">
                  <from>
                    <xdr:col>5</xdr:col>
                    <xdr:colOff>1257300</xdr:colOff>
                    <xdr:row>0</xdr:row>
                    <xdr:rowOff>175260</xdr:rowOff>
                  </from>
                  <to>
                    <xdr:col>6</xdr:col>
                    <xdr:colOff>868680</xdr:colOff>
                    <xdr:row>1</xdr:row>
                    <xdr:rowOff>22860</xdr:rowOff>
                  </to>
                </anchor>
              </controlPr>
            </control>
          </mc:Choice>
        </mc:AlternateContent>
        <mc:AlternateContent xmlns:mc="http://schemas.openxmlformats.org/markup-compatibility/2006">
          <mc:Choice Requires="x14">
            <control shapeId="51619849" r:id="rId12" name="Option Button 9">
              <controlPr defaultSize="0" autoFill="0" autoLine="0" autoPict="0">
                <anchor moveWithCells="1">
                  <from>
                    <xdr:col>4</xdr:col>
                    <xdr:colOff>1242060</xdr:colOff>
                    <xdr:row>1</xdr:row>
                    <xdr:rowOff>99060</xdr:rowOff>
                  </from>
                  <to>
                    <xdr:col>5</xdr:col>
                    <xdr:colOff>0</xdr:colOff>
                    <xdr:row>1</xdr:row>
                    <xdr:rowOff>312420</xdr:rowOff>
                  </to>
                </anchor>
              </controlPr>
            </control>
          </mc:Choice>
        </mc:AlternateContent>
        <mc:AlternateContent xmlns:mc="http://schemas.openxmlformats.org/markup-compatibility/2006">
          <mc:Choice Requires="x14">
            <control shapeId="51619850" r:id="rId13" name="Option Button 10">
              <controlPr defaultSize="0" autoFill="0" autoLine="0" autoPict="0">
                <anchor moveWithCells="1">
                  <from>
                    <xdr:col>4</xdr:col>
                    <xdr:colOff>1242060</xdr:colOff>
                    <xdr:row>2</xdr:row>
                    <xdr:rowOff>0</xdr:rowOff>
                  </from>
                  <to>
                    <xdr:col>5</xdr:col>
                    <xdr:colOff>0</xdr:colOff>
                    <xdr:row>2</xdr:row>
                    <xdr:rowOff>213360</xdr:rowOff>
                  </to>
                </anchor>
              </controlPr>
            </control>
          </mc:Choice>
        </mc:AlternateContent>
        <mc:AlternateContent xmlns:mc="http://schemas.openxmlformats.org/markup-compatibility/2006">
          <mc:Choice Requires="x14">
            <control shapeId="51619851" r:id="rId14" name="Check Box 11">
              <controlPr locked="0" defaultSize="0" autoFill="0" autoLine="0" autoPict="0">
                <anchor>
                  <from>
                    <xdr:col>4</xdr:col>
                    <xdr:colOff>1249680</xdr:colOff>
                    <xdr:row>2</xdr:row>
                    <xdr:rowOff>220980</xdr:rowOff>
                  </from>
                  <to>
                    <xdr:col>5</xdr:col>
                    <xdr:colOff>7620</xdr:colOff>
                    <xdr:row>2</xdr:row>
                    <xdr:rowOff>441960</xdr:rowOff>
                  </to>
                </anchor>
              </controlPr>
            </control>
          </mc:Choice>
        </mc:AlternateContent>
        <mc:AlternateContent xmlns:mc="http://schemas.openxmlformats.org/markup-compatibility/2006">
          <mc:Choice Requires="x14">
            <control shapeId="51619852" r:id="rId15" name="Check Box 12">
              <controlPr locked="0" defaultSize="0" autoFill="0" autoLine="0" autoPict="0">
                <anchor>
                  <from>
                    <xdr:col>1</xdr:col>
                    <xdr:colOff>175260</xdr:colOff>
                    <xdr:row>2</xdr:row>
                    <xdr:rowOff>213360</xdr:rowOff>
                  </from>
                  <to>
                    <xdr:col>1</xdr:col>
                    <xdr:colOff>457200</xdr:colOff>
                    <xdr:row>2</xdr:row>
                    <xdr:rowOff>441960</xdr:rowOff>
                  </to>
                </anchor>
              </controlPr>
            </control>
          </mc:Choice>
        </mc:AlternateContent>
        <mc:AlternateContent xmlns:mc="http://schemas.openxmlformats.org/markup-compatibility/2006">
          <mc:Choice Requires="x14">
            <control shapeId="51619853" r:id="rId16" name="Check Box 13">
              <controlPr locked="0" defaultSize="0" autoFill="0" autoLine="0" autoPict="0">
                <anchor moveWithCells="1">
                  <from>
                    <xdr:col>3</xdr:col>
                    <xdr:colOff>114300</xdr:colOff>
                    <xdr:row>2</xdr:row>
                    <xdr:rowOff>213360</xdr:rowOff>
                  </from>
                  <to>
                    <xdr:col>3</xdr:col>
                    <xdr:colOff>411480</xdr:colOff>
                    <xdr:row>2</xdr:row>
                    <xdr:rowOff>441960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30">
    <tabColor rgb="FF92CDDC"/>
  </sheetPr>
  <dimension ref="A1:CY364"/>
  <sheetViews>
    <sheetView zoomScale="80" zoomScaleNormal="80" workbookViewId="0">
      <pane xSplit="7" ySplit="1" topLeftCell="H2" activePane="bottomRight" state="frozen"/>
      <selection pane="topRight" activeCell="D90" sqref="D90"/>
      <selection pane="bottomLeft" activeCell="D90" sqref="D90"/>
      <selection pane="bottomRight" activeCell="B2" sqref="B2:B70"/>
    </sheetView>
  </sheetViews>
  <sheetFormatPr baseColWidth="10" defaultColWidth="9.109375" defaultRowHeight="82.35" customHeight="1"/>
  <cols>
    <col min="1" max="1" width="9.109375" style="14" hidden="1" customWidth="1"/>
    <col min="2" max="2" width="9.21875" style="14" customWidth="1"/>
    <col min="3" max="3" width="9.109375" style="14" customWidth="1"/>
    <col min="4" max="4" width="24.5546875" style="14" customWidth="1"/>
    <col min="5" max="5" width="10.6640625" style="14" customWidth="1"/>
    <col min="6" max="6" width="6.5546875" style="14" bestFit="1" customWidth="1"/>
    <col min="7" max="7" width="36.5546875" style="14" bestFit="1" customWidth="1"/>
    <col min="8" max="8" width="13" style="14" bestFit="1" customWidth="1"/>
    <col min="9" max="9" width="30.44140625" style="14" customWidth="1"/>
    <col min="10" max="10" width="24.88671875" style="14" customWidth="1"/>
    <col min="11" max="11" width="21.5546875" style="14" bestFit="1" customWidth="1"/>
    <col min="12" max="12" width="24.88671875" style="17" customWidth="1"/>
    <col min="13" max="13" width="19.44140625" style="14" bestFit="1" customWidth="1"/>
    <col min="14" max="14" width="24.88671875" style="17" customWidth="1"/>
    <col min="15" max="15" width="47.6640625" style="14" customWidth="1"/>
    <col min="16" max="16" width="20.44140625" style="14" bestFit="1" customWidth="1"/>
    <col min="17" max="21" width="20.44140625" style="14" customWidth="1"/>
    <col min="22" max="22" width="18.77734375" style="14" customWidth="1"/>
    <col min="23" max="23" width="36.44140625" style="14" bestFit="1" customWidth="1"/>
    <col min="24" max="24" width="23.88671875" style="14" bestFit="1" customWidth="1"/>
    <col min="25" max="25" width="11.5546875" style="14" bestFit="1" customWidth="1"/>
    <col min="26" max="26" width="9.109375" style="14" bestFit="1" customWidth="1"/>
    <col min="27" max="27" width="22.5546875" style="14" bestFit="1" customWidth="1"/>
    <col min="28" max="28" width="20.44140625" style="14" bestFit="1" customWidth="1"/>
    <col min="29" max="29" width="16.88671875" style="14" bestFit="1" customWidth="1"/>
    <col min="30" max="30" width="21.44140625" style="14" bestFit="1" customWidth="1"/>
    <col min="31" max="31" width="13.44140625" style="14" bestFit="1" customWidth="1"/>
    <col min="32" max="32" width="11.109375" style="14" bestFit="1" customWidth="1"/>
    <col min="33" max="33" width="24.5546875" style="14" hidden="1" customWidth="1"/>
    <col min="34" max="34" width="27.88671875" style="14" hidden="1" customWidth="1"/>
    <col min="35" max="35" width="24.109375" style="14" hidden="1" customWidth="1"/>
    <col min="36" max="36" width="21.44140625" style="14" customWidth="1"/>
    <col min="37" max="37" width="16.88671875" style="14" hidden="1" customWidth="1"/>
    <col min="38" max="38" width="16.109375" style="14" hidden="1" customWidth="1"/>
    <col min="39" max="39" width="11.44140625" style="14" hidden="1" customWidth="1"/>
    <col min="40" max="43" width="11.44140625" style="4" hidden="1" customWidth="1"/>
    <col min="44" max="44" width="8.5546875" style="28" hidden="1" customWidth="1"/>
    <col min="45" max="45" width="10.109375" style="28" hidden="1" customWidth="1"/>
    <col min="46" max="46" width="18.44140625" style="28" hidden="1" customWidth="1"/>
    <col min="47" max="48" width="11.44140625" style="4" hidden="1" customWidth="1"/>
    <col min="49" max="54" width="9.109375" style="4" hidden="1" customWidth="1"/>
    <col min="55" max="55" width="9.109375" style="374" customWidth="1"/>
    <col min="56" max="103" width="9.109375" style="4" customWidth="1"/>
    <col min="104" max="16384" width="9.109375" style="14"/>
  </cols>
  <sheetData>
    <row r="1" spans="1:55" ht="109.35" customHeight="1" thickBot="1">
      <c r="A1" s="1171" t="s">
        <v>3110</v>
      </c>
      <c r="B1" s="1012" t="s">
        <v>1064</v>
      </c>
      <c r="C1" s="375" t="s">
        <v>1065</v>
      </c>
      <c r="D1" s="1013" t="s">
        <v>1066</v>
      </c>
      <c r="E1" s="1013" t="s">
        <v>1067</v>
      </c>
      <c r="F1" s="1013" t="s">
        <v>77</v>
      </c>
      <c r="G1" s="375" t="s">
        <v>1068</v>
      </c>
      <c r="H1" s="375" t="s">
        <v>103</v>
      </c>
      <c r="I1" s="375" t="s">
        <v>712</v>
      </c>
      <c r="J1" s="375" t="s">
        <v>1069</v>
      </c>
      <c r="K1" s="375" t="s">
        <v>713</v>
      </c>
      <c r="L1" s="376" t="s">
        <v>1070</v>
      </c>
      <c r="M1" s="375" t="s">
        <v>714</v>
      </c>
      <c r="N1" s="376" t="s">
        <v>1071</v>
      </c>
      <c r="O1" s="375" t="s">
        <v>1072</v>
      </c>
      <c r="P1" s="375" t="s">
        <v>721</v>
      </c>
      <c r="Q1" s="375" t="s">
        <v>2801</v>
      </c>
      <c r="R1" s="375" t="s">
        <v>2802</v>
      </c>
      <c r="S1" s="375" t="s">
        <v>2803</v>
      </c>
      <c r="T1" s="375" t="s">
        <v>2804</v>
      </c>
      <c r="U1" s="375" t="s">
        <v>2805</v>
      </c>
      <c r="V1" s="375" t="s">
        <v>1073</v>
      </c>
      <c r="W1" s="377" t="s">
        <v>1074</v>
      </c>
      <c r="X1" s="378" t="s">
        <v>1075</v>
      </c>
      <c r="Y1" s="375" t="s">
        <v>1076</v>
      </c>
      <c r="Z1" s="375" t="s">
        <v>1077</v>
      </c>
      <c r="AA1" s="375" t="s">
        <v>717</v>
      </c>
      <c r="AB1" s="375" t="s">
        <v>738</v>
      </c>
      <c r="AC1" s="375" t="s">
        <v>1078</v>
      </c>
      <c r="AD1" s="379" t="s">
        <v>736</v>
      </c>
      <c r="AE1" s="379" t="s">
        <v>739</v>
      </c>
      <c r="AF1" s="379" t="s">
        <v>1079</v>
      </c>
      <c r="AG1" s="379" t="s">
        <v>1080</v>
      </c>
      <c r="AH1" s="375" t="s">
        <v>1081</v>
      </c>
      <c r="AI1" s="380" t="s">
        <v>292</v>
      </c>
      <c r="AJ1" s="379" t="s">
        <v>1056</v>
      </c>
      <c r="AK1" s="375" t="s">
        <v>1082</v>
      </c>
      <c r="AL1" s="853" t="s">
        <v>1083</v>
      </c>
      <c r="AM1" s="1171" t="s">
        <v>1084</v>
      </c>
      <c r="AN1" s="28" t="s">
        <v>739</v>
      </c>
      <c r="AO1" s="28" t="s">
        <v>1085</v>
      </c>
      <c r="AP1" s="28"/>
      <c r="AQ1" s="28" t="s">
        <v>1086</v>
      </c>
      <c r="AR1" s="28" t="s">
        <v>1087</v>
      </c>
      <c r="AS1" s="28" t="s">
        <v>1088</v>
      </c>
      <c r="AT1" s="28" t="s">
        <v>1089</v>
      </c>
      <c r="AU1" s="28" t="s">
        <v>1090</v>
      </c>
      <c r="AV1" s="28" t="s">
        <v>1091</v>
      </c>
      <c r="AW1" s="28" t="s">
        <v>1092</v>
      </c>
      <c r="AX1" s="28" t="s">
        <v>1093</v>
      </c>
      <c r="AY1" s="28" t="s">
        <v>1094</v>
      </c>
      <c r="AZ1" s="28" t="s">
        <v>1095</v>
      </c>
      <c r="BA1" s="28" t="s">
        <v>1067</v>
      </c>
      <c r="BB1" s="28" t="s">
        <v>1096</v>
      </c>
      <c r="BC1" s="1255"/>
    </row>
    <row r="2" spans="1:55" ht="14.4">
      <c r="A2" s="1171" t="str">
        <f>"A"&amp;F2</f>
        <v>A1</v>
      </c>
      <c r="B2" s="1256" t="str">
        <f ca="1">IF(IF(ISERROR(INDIRECT("'"&amp;A2&amp;"'!b$3")),0,INDIRECT("'"&amp;A2&amp;"'!b$3"))=TRUE,"X","")</f>
        <v/>
      </c>
      <c r="C2" s="1256" t="str">
        <f ca="1">IF(IF(ISERROR(INDIRECT("'"&amp;A2&amp;"'!d$3")),0,INDIRECT("'"&amp;A2&amp;"'!D$3"))=TRUE,"X","")</f>
        <v/>
      </c>
      <c r="D2" s="1256" t="str">
        <f ca="1">IF(ISERROR(INDIRECT("'"&amp;A2&amp;"'!e$2")),"",IF(INDIRECT("'"&amp;A2&amp;"'!e$2")=1,"Atténuation","Adaptation"))</f>
        <v>Atténuation</v>
      </c>
      <c r="E2" s="1256" t="str">
        <f ca="1">IF(IF(ISERROR(INDIRECT("'"&amp;A2&amp;"'!e$3")),0,INDIRECT("'"&amp;A2&amp;"'!e$3"))=TRUE,"X","")</f>
        <v/>
      </c>
      <c r="F2" s="1256">
        <v>1</v>
      </c>
      <c r="G2" s="1257">
        <f ca="1">IF(ISERROR(INDIRECT("'"&amp;A2&amp;"'!b$13")),0,INDIRECT("'"&amp;A2&amp;"'!b$13"))</f>
        <v>0</v>
      </c>
      <c r="H2" s="1257">
        <f ca="1">IF(ISERROR(INDIRECT("'"&amp;A2&amp;"'!a$5")),0,INDIRECT("'"&amp;A2&amp;"'!a$5"))</f>
        <v>0</v>
      </c>
      <c r="I2" s="1257">
        <f ca="1">IF(ISERROR(INDIRECT("'"&amp;A2&amp;"'!b$5")),"-",INDIRECT("'"&amp;A2&amp;"'!b$5"))</f>
        <v>0</v>
      </c>
      <c r="J2" s="1258">
        <f ca="1">IF(ISERROR(INDIRECT("'"&amp;A2&amp;"'!b$7")),0,INDIRECT("'"&amp;A2&amp;"'!b$7"))</f>
        <v>0</v>
      </c>
      <c r="K2" s="1257">
        <f ca="1">IF(ISERROR(INDIRECT("'"&amp;A2&amp;"'!c$5")),"-",INDIRECT("'"&amp;A2&amp;"'!c$5"))</f>
        <v>0</v>
      </c>
      <c r="L2" s="1258">
        <f ca="1">IF(ISERROR(INDIRECT("'"&amp;A2&amp;"'!c7")),0,INDIRECT("'"&amp;A2&amp;"'!c7"))</f>
        <v>0</v>
      </c>
      <c r="M2" s="1257">
        <f ca="1">IF(ISERROR(INDIRECT("'"&amp;A2&amp;"'!d$5")),"-",INDIRECT("'"&amp;A2&amp;"'!d$5"))</f>
        <v>0</v>
      </c>
      <c r="N2" s="1258">
        <f ca="1">IF(ISERROR(INDIRECT("'"&amp;A2&amp;"'!d7")),0,INDIRECT("'"&amp;A2&amp;"'!d7"))</f>
        <v>0</v>
      </c>
      <c r="O2" s="1257">
        <f ca="1">IF(ISERROR(INDIRECT("'"&amp;A2&amp;"'!b$9")),0,INDIRECT("'"&amp;A2&amp;"'!b$9"))</f>
        <v>0</v>
      </c>
      <c r="P2" s="1257">
        <f ca="1">IF(ISERROR(INDIRECT("'"&amp;A2&amp;"'!d$9")),0,INDIRECT("'"&amp;A2&amp;"'!d$9"))</f>
        <v>0</v>
      </c>
      <c r="Q2" s="1257">
        <f ca="1">IF(ISERROR(INDIRECT("'"&amp;A2&amp;"'!b$16")),0,INDIRECT("'"&amp;A2&amp;"'!b$16"))</f>
        <v>0</v>
      </c>
      <c r="R2" s="1257">
        <f ca="1">IF(ISERROR(INDIRECT("'"&amp;A2&amp;"'!c$16")),0,INDIRECT("'"&amp;A2&amp;"'!c$16"))</f>
        <v>0</v>
      </c>
      <c r="S2" s="1257">
        <f ca="1">IF(ISERROR(INDIRECT("'"&amp;A2&amp;"'!d$16")),0,INDIRECT("'"&amp;A2&amp;"'!d$16"))</f>
        <v>0</v>
      </c>
      <c r="T2" s="1257">
        <f ca="1">IF(ISERROR(INDIRECT("'"&amp;A2&amp;"'!e$16")),0,INDIRECT("'"&amp;A2&amp;"'!e$16"))</f>
        <v>0</v>
      </c>
      <c r="U2" s="1257">
        <f ca="1">IF(ISERROR(INDIRECT("'"&amp;A2&amp;"'!f$16")),0,INDIRECT("'"&amp;A2&amp;"'!f$16"))</f>
        <v>0</v>
      </c>
      <c r="V2" s="1257">
        <f t="shared" ref="V2:V46" ca="1" si="0">IF(ISERROR(INDIRECT("'"&amp;A2&amp;"'!b$11")),0,INDIRECT("'"&amp;A2&amp;"'!b$11"))</f>
        <v>0</v>
      </c>
      <c r="W2" s="1257" t="str">
        <f ca="1">IF(ISERROR(IF(INDIRECT("'"&amp;A2&amp;"'!b$17")=0,"Commune",INDIRECT("'"&amp;A2&amp;"'!b$17"))),0,IF(INDIRECT("'"&amp;A2&amp;"'!b$17")=0,"Commune",INDIRECT("'"&amp;A2&amp;"'!b$17")))</f>
        <v>Commune</v>
      </c>
      <c r="X2" s="1257">
        <f ca="1">IF(ISERROR(INDIRECT("'"&amp;A2&amp;"'!b$18")),0,INDIRECT("'"&amp;A2&amp;"'!b$18"))</f>
        <v>0</v>
      </c>
      <c r="Y2" s="1259">
        <f ca="1">IF(ISERROR(INDIRECT("'"&amp;A2&amp;"'!b$20")),0,INDIRECT("'"&amp;A2&amp;"'!b$20"))</f>
        <v>0</v>
      </c>
      <c r="Z2" s="1259">
        <f ca="1">IF(ISERROR(INDIRECT("'"&amp;A2&amp;"'!b$21")),0,INDIRECT("'"&amp;A2&amp;"'!b$21"))</f>
        <v>0</v>
      </c>
      <c r="AA2" s="1257">
        <f ca="1">IF(ISERROR(INDIRECT("'"&amp;A2&amp;"'!e$6")),0,INDIRECT("'"&amp;A2&amp;"'!e$6"))</f>
        <v>0</v>
      </c>
      <c r="AB2" s="1260">
        <f ca="1">IF(ISERROR(INDIRECT("'"&amp;A2&amp;"'!b$25")),0,INDIRECT("'"&amp;A2&amp;"'!b$25"))</f>
        <v>0</v>
      </c>
      <c r="AC2" s="1260">
        <f ca="1">IF(ISERROR(INDIRECT("'"&amp;A2&amp;"'!b$23")),0,INDIRECT("'"&amp;A2&amp;"'!b$23"))</f>
        <v>0</v>
      </c>
      <c r="AD2" s="1261">
        <f ca="1">IF(ISERROR(INDIRECT("'"&amp;A2&amp;"'!d$23")),0,INDIRECT("'"&amp;A2&amp;"'!d$23"))</f>
        <v>0</v>
      </c>
      <c r="AE2" s="1262">
        <f ca="1">IF(ISERROR(INDIRECT("'"&amp;A2&amp;"'!b$26")),0,INDIRECT("'"&amp;A2&amp;"'!b$26"))</f>
        <v>0</v>
      </c>
      <c r="AF2" s="1257">
        <f ca="1">IF(ISERROR(INDIRECT("'"&amp;A2&amp;"'!f$26")),0,INDIRECT("'"&amp;A2&amp;"'!f$26"))</f>
        <v>0</v>
      </c>
      <c r="AG2" s="1263">
        <f ca="1">(IF(ISNA(VLOOKUP($I2,'Suivi objectifs'!$D$1:$H$38,3,0)),0,VLOOKUP($I2,'Suivi objectifs'!$D$1:$H$38,3,0))*$J2+IF(ISNA(VLOOKUP($K2,'Suivi objectifs'!$D$1:$H$38,3,0)),0,VLOOKUP($K2,'Suivi objectifs'!$D$1:$H$38,3,0))*$L2+IF(ISNA(VLOOKUP($M2,'Suivi objectifs'!$D$1:$H$38,3,0)),0,VLOOKUP($M2,'Suivi objectifs'!$D$1:$H$38,3,0))*$N2)*1000</f>
        <v>0</v>
      </c>
      <c r="AH2" s="1263">
        <f ca="1">(IF(ISNA(VLOOKUP($I2,'Suivi objectifs'!$D$1:$H$38,4,0)),0,VLOOKUP($I2,'Suivi objectifs'!$D$1:$H$38,4,0))*$J2+IF(ISNA(VLOOKUP($K2,'Suivi objectifs'!$D$1:$H$38,3,0)),0,VLOOKUP($K2,'Suivi objectifs'!$D$1:$H$38,4,0))*$L2+IF(ISNA(VLOOKUP($M2,'Suivi objectifs'!$D$1:$H$38,4,0)),0,VLOOKUP($M2,'Suivi objectifs'!$D$1:$H$38,4,0))*$N2)*1000</f>
        <v>0</v>
      </c>
      <c r="AI2" s="1263">
        <f ca="1">(IF(ISNA(VLOOKUP($I2,'Suivi objectifs'!$D$1:$I$38,6,0)),0,VLOOKUP($I2,'Suivi objectifs'!$D$1:$I$38,6,0))*$J2+IF(ISNA(VLOOKUP($K2,'Suivi objectifs'!$D$1:$I$38,6,0)),0,VLOOKUP($K2,'Suivi objectifs'!$D$1:$I$38,6,0))*$L2+IF(ISNA(VLOOKUP($M2,'Suivi objectifs'!$D$1:$I$38,6,0)),0,VLOOKUP($M2,'Suivi objectifs'!$D$1:$I$38,6,0))*$N2)</f>
        <v>0</v>
      </c>
      <c r="AJ2" s="1837">
        <f ca="1">IF(ISERROR(INDIRECT("'"&amp;A2&amp;"'!b$24")),0,INDIRECT("'"&amp;A2&amp;"'!b$24"))</f>
        <v>0</v>
      </c>
      <c r="AK2" s="1264" t="str">
        <f t="shared" ref="AK2:AK46" ca="1" si="1">IF(ISERROR(IF(INDIRECT("'"&amp;A2&amp;"'!e$10")="OUI","X","")),"",IF(INDIRECT("'"&amp;A2&amp;"'!e$10")="OUI","X",""))</f>
        <v/>
      </c>
      <c r="AL2" s="854" t="str">
        <f t="shared" ref="AL2:AL46" ca="1" si="2">IF(ISERROR(IF(INDIRECT("'"&amp;A2&amp;"'!e$3")=TRUE,"X","")),"",IF(INDIRECT("'"&amp;A2&amp;"'!e$3")=TRUE,"X",""))</f>
        <v/>
      </c>
      <c r="AM2" s="1171" t="str">
        <f ca="1">IF(V2="A2","Autre",IF(V2="Commune",V2,"Autre"))</f>
        <v>Autre</v>
      </c>
      <c r="AN2" s="28">
        <f ca="1">IF(AA2="Finalisée",AE2,0)</f>
        <v>0</v>
      </c>
      <c r="AO2" s="28" t="str">
        <f t="shared" ref="AO2" ca="1" si="3">CONCATENATE(AD2,"_",AF2)</f>
        <v>0_0</v>
      </c>
      <c r="AP2" s="28" t="str">
        <f t="shared" ref="AP2:AP46" si="4">CONCATENATE("A",F2)</f>
        <v>A1</v>
      </c>
      <c r="AQ2" s="28">
        <f ca="1">IF(ISERROR(INDIRECT("'"&amp;A2&amp;"'!b$22")),0,INDIRECT("'"&amp;A2&amp;"'!b$22"))</f>
        <v>0</v>
      </c>
      <c r="AR2" s="28">
        <f t="shared" ref="AR2:AR46" ca="1" si="5">IF(ISERROR(INDIRECT("'"&amp;A2&amp;"'!b$7")),0,IF(AND(I2&lt;&gt;0,INDIRECT("'"&amp;A2&amp;"'!b$7")=0),1,0)+IF(AND(K2&lt;&gt;0,INDIRECT("'"&amp;A2&amp;"'!c$7")=0),1,0)+IF(AND(M2&lt;&gt;0,INDIRECT("'"&amp;A2&amp;"'!b$7")=0),1,0))</f>
        <v>0</v>
      </c>
      <c r="AS2" s="28">
        <f ca="1">IF(AR2&lt;&gt;0,1,0)</f>
        <v>0</v>
      </c>
      <c r="AT2" s="28">
        <f ca="1">IF(ISERROR(INDIRECT("'"&amp;A2&amp;"'!b$29")),0,IF(INDIRECT("'"&amp;A2&amp;"'!b$29")=0,1,0))</f>
        <v>1</v>
      </c>
      <c r="AU2" s="28">
        <f ca="1">IF(IF(ISERROR(INDIRECT("'"&amp;A2&amp;"'!b$29")),0,INDIRECT("'"&amp;A2&amp;"'!b$29"))=0,0,IF(ISERROR(INDIRECT("'"&amp;A2&amp;"'!b$30")),0,INDIRECT("'"&amp;A2&amp;"'!b$30"))/IF(ISERROR(INDIRECT("'"&amp;A2&amp;"'!b$29")),0,INDIRECT("'"&amp;A2&amp;"'!b$29")))</f>
        <v>0</v>
      </c>
      <c r="AV2" s="28">
        <f t="shared" ref="AV2:AV46" ca="1" si="6">IF(ISERROR(INDIRECT("'"&amp;A2&amp;"'!E$2")),0,INDIRECT("'"&amp;A2&amp;"'!E$2"))</f>
        <v>1</v>
      </c>
      <c r="AW2" s="28">
        <f ca="1">IF(AC2=0,0,AE2/AC2)</f>
        <v>0</v>
      </c>
      <c r="AX2" s="28">
        <f t="shared" ref="AX2:AX46" ca="1" si="7">IF(ISERROR(INDIRECT("'"&amp;A2&amp;"'!e$2")),0,INDIRECT("'"&amp;A2&amp;"'!e$2"))</f>
        <v>1</v>
      </c>
      <c r="AY2" s="28" t="b">
        <f t="shared" ref="AY2:AY46" ca="1" si="8">IF(ISERROR(INDIRECT("'"&amp;A2&amp;"'!B$3")),0,INDIRECT("'"&amp;A2&amp;"'!B$3"))</f>
        <v>0</v>
      </c>
      <c r="AZ2" s="28">
        <f t="shared" ref="AZ2:AZ46" ca="1" si="9">IF(ISERROR(INDIRECT("'"&amp;A2&amp;"'!G$5")),0,INDIRECT("'"&amp;A2&amp;"'!G$5"))</f>
        <v>0</v>
      </c>
      <c r="BA2" s="28" t="b">
        <f t="shared" ref="BA2:BA46" ca="1" si="10">IF(ISERROR(INDIRECT("'"&amp;A2&amp;"'!e$3")),0,INDIRECT("'"&amp;A2&amp;"'!e$3"))</f>
        <v>0</v>
      </c>
      <c r="BB2" s="28">
        <f ca="1">IF(C2="x",1,0)</f>
        <v>0</v>
      </c>
      <c r="BC2" s="1255"/>
    </row>
    <row r="3" spans="1:55" ht="14.4">
      <c r="A3" s="1171" t="str">
        <f t="shared" ref="A3:A46" si="11">"A"&amp;F3</f>
        <v>A2</v>
      </c>
      <c r="B3" s="1256" t="str">
        <f t="shared" ref="B3:B46" ca="1" si="12">IF(IF(ISERROR(INDIRECT("'"&amp;A3&amp;"'!b$3")),0,INDIRECT("'"&amp;A3&amp;"'!b$3"))=TRUE,"X","")</f>
        <v/>
      </c>
      <c r="C3" s="1256" t="str">
        <f t="shared" ref="C3:C46" ca="1" si="13">IF(IF(ISERROR(INDIRECT("'"&amp;A3&amp;"'!d$3")),0,INDIRECT("'"&amp;A3&amp;"'!D$3"))=TRUE,"X","")</f>
        <v/>
      </c>
      <c r="D3" s="1256" t="str">
        <f ca="1">IF(ISERROR(INDIRECT("'"&amp;A3&amp;"'!e$2")),"",IF(INDIRECT("'"&amp;A3&amp;"'!e$2")=1,"Atténuation","Adaptation"))</f>
        <v/>
      </c>
      <c r="E3" s="1256" t="str">
        <f t="shared" ref="E3:E46" ca="1" si="14">IF(IF(ISERROR(INDIRECT("'"&amp;A3&amp;"'!e$3")),0,INDIRECT("'"&amp;A3&amp;"'!e$3"))=TRUE,"X","")</f>
        <v/>
      </c>
      <c r="F3" s="1265">
        <v>2</v>
      </c>
      <c r="G3" s="1257">
        <f t="shared" ref="G3:G46" ca="1" si="15">IF(ISERROR(INDIRECT("'"&amp;A3&amp;"'!b$13")),0,INDIRECT("'"&amp;A3&amp;"'!b$13"))</f>
        <v>0</v>
      </c>
      <c r="H3" s="1257">
        <f t="shared" ref="H3:H46" ca="1" si="16">IF(ISERROR(INDIRECT("'"&amp;A3&amp;"'!a$5")),0,INDIRECT("'"&amp;A3&amp;"'!a$5"))</f>
        <v>0</v>
      </c>
      <c r="I3" s="1257" t="str">
        <f t="shared" ref="I3:I46" ca="1" si="17">IF(ISERROR(INDIRECT("'"&amp;A3&amp;"'!b$5")),"-",INDIRECT("'"&amp;A3&amp;"'!b$5"))</f>
        <v>-</v>
      </c>
      <c r="J3" s="1258">
        <f t="shared" ref="J3:J46" ca="1" si="18">IF(ISERROR(INDIRECT("'"&amp;A3&amp;"'!b$7")),0,INDIRECT("'"&amp;A3&amp;"'!b$7"))</f>
        <v>0</v>
      </c>
      <c r="K3" s="1257" t="str">
        <f t="shared" ref="K3:K46" ca="1" si="19">IF(ISERROR(INDIRECT("'"&amp;A3&amp;"'!c$5")),"-",INDIRECT("'"&amp;A3&amp;"'!c$5"))</f>
        <v>-</v>
      </c>
      <c r="L3" s="1258">
        <f t="shared" ref="L3:L46" ca="1" si="20">IF(ISERROR(INDIRECT("'"&amp;A3&amp;"'!c7")),0,INDIRECT("'"&amp;A3&amp;"'!c7"))</f>
        <v>0</v>
      </c>
      <c r="M3" s="1257" t="str">
        <f t="shared" ref="M3:M46" ca="1" si="21">IF(ISERROR(INDIRECT("'"&amp;A3&amp;"'!d$5")),"-",INDIRECT("'"&amp;A3&amp;"'!d$5"))</f>
        <v>-</v>
      </c>
      <c r="N3" s="1258">
        <f t="shared" ref="N3:N46" ca="1" si="22">IF(ISERROR(INDIRECT("'"&amp;A3&amp;"'!d7")),0,INDIRECT("'"&amp;A3&amp;"'!d7"))</f>
        <v>0</v>
      </c>
      <c r="O3" s="1257">
        <f t="shared" ref="O3:O46" ca="1" si="23">IF(ISERROR(INDIRECT("'"&amp;A3&amp;"'!b$9")),0,INDIRECT("'"&amp;A3&amp;"'!b$9"))</f>
        <v>0</v>
      </c>
      <c r="P3" s="1257">
        <f t="shared" ref="P3:P46" ca="1" si="24">IF(ISERROR(INDIRECT("'"&amp;A3&amp;"'!d$9")),0,INDIRECT("'"&amp;A3&amp;"'!d$9"))</f>
        <v>0</v>
      </c>
      <c r="Q3" s="1257">
        <f t="shared" ref="Q3:Q46" ca="1" si="25">IF(ISERROR(INDIRECT("'"&amp;A3&amp;"'!b$16")),0,INDIRECT("'"&amp;A3&amp;"'!b$16"))</f>
        <v>0</v>
      </c>
      <c r="R3" s="1257">
        <f t="shared" ref="R3:R46" ca="1" si="26">IF(ISERROR(INDIRECT("'"&amp;A3&amp;"'!c$16")),0,INDIRECT("'"&amp;A3&amp;"'!c$16"))</f>
        <v>0</v>
      </c>
      <c r="S3" s="1257">
        <f t="shared" ref="S3:S46" ca="1" si="27">IF(ISERROR(INDIRECT("'"&amp;A3&amp;"'!d$16")),0,INDIRECT("'"&amp;A3&amp;"'!d$16"))</f>
        <v>0</v>
      </c>
      <c r="T3" s="1257">
        <f t="shared" ref="T3:T46" ca="1" si="28">IF(ISERROR(INDIRECT("'"&amp;A3&amp;"'!e$16")),0,INDIRECT("'"&amp;A3&amp;"'!e$16"))</f>
        <v>0</v>
      </c>
      <c r="U3" s="1257">
        <f t="shared" ref="U3:U46" ca="1" si="29">IF(ISERROR(INDIRECT("'"&amp;A3&amp;"'!f$16")),0,INDIRECT("'"&amp;A3&amp;"'!f$16"))</f>
        <v>0</v>
      </c>
      <c r="V3" s="1257">
        <f t="shared" ca="1" si="0"/>
        <v>0</v>
      </c>
      <c r="W3" s="1257">
        <f t="shared" ref="W3:W46" ca="1" si="30">IF(ISERROR(IF(INDIRECT("'"&amp;A3&amp;"'!b$17")=0,"Commune",INDIRECT("'"&amp;A3&amp;"'!b$17"))),0,IF(INDIRECT("'"&amp;A3&amp;"'!b$17")=0,"Commune",INDIRECT("'"&amp;A3&amp;"'!b$17")))</f>
        <v>0</v>
      </c>
      <c r="X3" s="1257">
        <f t="shared" ref="X3:X46" ca="1" si="31">IF(ISERROR(INDIRECT("'"&amp;A3&amp;"'!b$18")),0,INDIRECT("'"&amp;A3&amp;"'!b$18"))</f>
        <v>0</v>
      </c>
      <c r="Y3" s="1259">
        <f t="shared" ref="Y3:Y46" ca="1" si="32">IF(ISERROR(INDIRECT("'"&amp;A3&amp;"'!b$20")),0,INDIRECT("'"&amp;A3&amp;"'!b$20"))</f>
        <v>0</v>
      </c>
      <c r="Z3" s="1259">
        <f t="shared" ref="Z3:Z46" ca="1" si="33">IF(ISERROR(INDIRECT("'"&amp;A3&amp;"'!b$21")),0,INDIRECT("'"&amp;A3&amp;"'!b$21"))</f>
        <v>0</v>
      </c>
      <c r="AA3" s="1257">
        <f t="shared" ref="AA3:AA46" ca="1" si="34">IF(ISERROR(INDIRECT("'"&amp;A3&amp;"'!e$6")),0,INDIRECT("'"&amp;A3&amp;"'!e$6"))</f>
        <v>0</v>
      </c>
      <c r="AB3" s="1260">
        <f t="shared" ref="AB3:AB46" ca="1" si="35">IF(ISERROR(INDIRECT("'"&amp;A3&amp;"'!b$25")),0,INDIRECT("'"&amp;A3&amp;"'!b$25"))</f>
        <v>0</v>
      </c>
      <c r="AC3" s="1260">
        <f t="shared" ref="AC3:AC46" ca="1" si="36">IF(ISERROR(INDIRECT("'"&amp;A3&amp;"'!b$23")),0,INDIRECT("'"&amp;A3&amp;"'!b$23"))</f>
        <v>0</v>
      </c>
      <c r="AD3" s="1261">
        <f t="shared" ref="AD3:AD46" ca="1" si="37">IF(ISERROR(INDIRECT("'"&amp;A3&amp;"'!d$23")),0,INDIRECT("'"&amp;A3&amp;"'!d$23"))</f>
        <v>0</v>
      </c>
      <c r="AE3" s="1262">
        <f t="shared" ref="AE3:AE46" ca="1" si="38">IF(ISERROR(INDIRECT("'"&amp;A3&amp;"'!b$26")),0,INDIRECT("'"&amp;A3&amp;"'!b$26"))</f>
        <v>0</v>
      </c>
      <c r="AF3" s="1257">
        <f t="shared" ref="AF3:AF46" ca="1" si="39">IF(ISERROR(INDIRECT("'"&amp;A3&amp;"'!f$26")),0,INDIRECT("'"&amp;A3&amp;"'!f$26"))</f>
        <v>0</v>
      </c>
      <c r="AG3" s="1263">
        <f ca="1">(IF(ISNA(VLOOKUP($I3,'Suivi objectifs'!$D$1:$H$38,3,0)),0,VLOOKUP($I3,'Suivi objectifs'!$D$1:$H$38,3,0))*$J3+IF(ISNA(VLOOKUP($K3,'Suivi objectifs'!$D$1:$H$38,3,0)),0,VLOOKUP($K3,'Suivi objectifs'!$D$1:$H$38,3,0))*$L3+IF(ISNA(VLOOKUP($M3,'Suivi objectifs'!$D$1:$H$38,3,0)),0,VLOOKUP($M3,'Suivi objectifs'!$D$1:$H$38,3,0))*$N3)*1000</f>
        <v>0</v>
      </c>
      <c r="AH3" s="1263">
        <f ca="1">(IF(ISNA(VLOOKUP($I3,'Suivi objectifs'!$D$1:$H$38,4,0)),0,VLOOKUP($I3,'Suivi objectifs'!$D$1:$H$38,4,0))*$J3+IF(ISNA(VLOOKUP($K3,'Suivi objectifs'!$D$1:$H$38,3,0)),0,VLOOKUP($K3,'Suivi objectifs'!$D$1:$H$38,4,0))*$L3+IF(ISNA(VLOOKUP($M3,'Suivi objectifs'!$D$1:$H$38,4,0)),0,VLOOKUP($M3,'Suivi objectifs'!$D$1:$H$38,4,0))*$N3)*1000</f>
        <v>0</v>
      </c>
      <c r="AI3" s="1263">
        <f ca="1">(IF(ISNA(VLOOKUP($I3,'Suivi objectifs'!$D$1:$I$38,6,0)),0,VLOOKUP($I3,'Suivi objectifs'!$D$1:$I$38,6,0))*$J3+IF(ISNA(VLOOKUP($K3,'Suivi objectifs'!$D$1:$I$38,6,0)),0,VLOOKUP($K3,'Suivi objectifs'!$D$1:$I$38,6,0))*$L3+IF(ISNA(VLOOKUP($M3,'Suivi objectifs'!$D$1:$I$38,6,0)),0,VLOOKUP($M3,'Suivi objectifs'!$D$1:$I$38,6,0))*$N3)</f>
        <v>0</v>
      </c>
      <c r="AJ3" s="1837">
        <f t="shared" ref="AJ3:AJ46" ca="1" si="40">IF(ISERROR(INDIRECT("'"&amp;A3&amp;"'!b$24")),0,INDIRECT("'"&amp;A3&amp;"'!b$24"))</f>
        <v>0</v>
      </c>
      <c r="AK3" s="1264" t="str">
        <f t="shared" ca="1" si="1"/>
        <v/>
      </c>
      <c r="AL3" s="854" t="str">
        <f t="shared" ca="1" si="2"/>
        <v/>
      </c>
      <c r="AM3" s="1171" t="str">
        <f t="shared" ref="AM3:AM46" ca="1" si="41">IF(V3="A2","Autre",IF(V3="Commune",V3,"Autre"))</f>
        <v>Autre</v>
      </c>
      <c r="AN3" s="28">
        <f t="shared" ref="AN3:AN46" ca="1" si="42">IF(AA3="Finalisée",AE3,0)</f>
        <v>0</v>
      </c>
      <c r="AO3" s="28" t="str">
        <f t="shared" ref="AO3:AO46" ca="1" si="43">CONCATENATE(AD3,"_",AF3)</f>
        <v>0_0</v>
      </c>
      <c r="AP3" s="28" t="str">
        <f t="shared" si="4"/>
        <v>A2</v>
      </c>
      <c r="AQ3" s="28">
        <f t="shared" ref="AQ3:AQ46" ca="1" si="44">IF(ISERROR(INDIRECT("'"&amp;A3&amp;"'!b$22")),0,INDIRECT("'"&amp;A3&amp;"'!b$22"))</f>
        <v>0</v>
      </c>
      <c r="AR3" s="28">
        <f t="shared" ca="1" si="5"/>
        <v>0</v>
      </c>
      <c r="AS3" s="28">
        <f t="shared" ref="AS3:AS46" ca="1" si="45">IF(AR3&lt;&gt;0,1,0)</f>
        <v>0</v>
      </c>
      <c r="AT3" s="28">
        <f t="shared" ref="AT3:AT46" ca="1" si="46">IF(ISERROR(INDIRECT("'"&amp;A3&amp;"'!b$29")),0,IF(INDIRECT("'"&amp;A3&amp;"'!b$29")=0,1,0))</f>
        <v>0</v>
      </c>
      <c r="AU3" s="28">
        <f t="shared" ref="AU3:AU46" ca="1" si="47">IF(IF(ISERROR(INDIRECT("'"&amp;A3&amp;"'!b$29")),0,INDIRECT("'"&amp;A3&amp;"'!b$29"))=0,0,IF(ISERROR(INDIRECT("'"&amp;A3&amp;"'!b$30")),0,INDIRECT("'"&amp;A3&amp;"'!b$30"))/IF(ISERROR(INDIRECT("'"&amp;A3&amp;"'!b$29")),0,INDIRECT("'"&amp;A3&amp;"'!b$29")))</f>
        <v>0</v>
      </c>
      <c r="AV3" s="28">
        <f t="shared" ca="1" si="6"/>
        <v>0</v>
      </c>
      <c r="AW3" s="28">
        <f t="shared" ref="AW3:AW46" ca="1" si="48">IF(AC3=0,0,AE3/AC3)</f>
        <v>0</v>
      </c>
      <c r="AX3" s="28">
        <f t="shared" ca="1" si="7"/>
        <v>0</v>
      </c>
      <c r="AY3" s="28">
        <f t="shared" ca="1" si="8"/>
        <v>0</v>
      </c>
      <c r="AZ3" s="28">
        <f t="shared" ca="1" si="9"/>
        <v>0</v>
      </c>
      <c r="BA3" s="28">
        <f t="shared" ca="1" si="10"/>
        <v>0</v>
      </c>
      <c r="BB3" s="28">
        <f ca="1">IF(C3="x",COUNTIF(BB$2:BB2,"&gt;0")+1,0)</f>
        <v>0</v>
      </c>
      <c r="BC3" s="1255"/>
    </row>
    <row r="4" spans="1:55" ht="14.4">
      <c r="A4" s="1171" t="str">
        <f t="shared" si="11"/>
        <v>A3</v>
      </c>
      <c r="B4" s="1256" t="str">
        <f t="shared" ca="1" si="12"/>
        <v/>
      </c>
      <c r="C4" s="1256" t="str">
        <f t="shared" ca="1" si="13"/>
        <v/>
      </c>
      <c r="D4" s="1256" t="str">
        <f t="shared" ref="D4:D46" ca="1" si="49">IF(ISERROR(INDIRECT("'"&amp;A4&amp;"'!e$2")),"",IF(INDIRECT("'"&amp;A4&amp;"'!e$2")=1,"Atténuation","Adaptation"))</f>
        <v/>
      </c>
      <c r="E4" s="1256" t="str">
        <f t="shared" ca="1" si="14"/>
        <v/>
      </c>
      <c r="F4" s="1265">
        <v>3</v>
      </c>
      <c r="G4" s="1257">
        <f t="shared" ca="1" si="15"/>
        <v>0</v>
      </c>
      <c r="H4" s="1257">
        <f t="shared" ca="1" si="16"/>
        <v>0</v>
      </c>
      <c r="I4" s="1257" t="str">
        <f t="shared" ca="1" si="17"/>
        <v>-</v>
      </c>
      <c r="J4" s="1258">
        <f t="shared" ca="1" si="18"/>
        <v>0</v>
      </c>
      <c r="K4" s="1257" t="str">
        <f t="shared" ca="1" si="19"/>
        <v>-</v>
      </c>
      <c r="L4" s="1258">
        <f t="shared" ca="1" si="20"/>
        <v>0</v>
      </c>
      <c r="M4" s="1257" t="str">
        <f t="shared" ca="1" si="21"/>
        <v>-</v>
      </c>
      <c r="N4" s="1258">
        <f t="shared" ca="1" si="22"/>
        <v>0</v>
      </c>
      <c r="O4" s="1257">
        <f t="shared" ca="1" si="23"/>
        <v>0</v>
      </c>
      <c r="P4" s="1257">
        <f t="shared" ca="1" si="24"/>
        <v>0</v>
      </c>
      <c r="Q4" s="1257">
        <f t="shared" ca="1" si="25"/>
        <v>0</v>
      </c>
      <c r="R4" s="1257">
        <f t="shared" ca="1" si="26"/>
        <v>0</v>
      </c>
      <c r="S4" s="1257">
        <f t="shared" ca="1" si="27"/>
        <v>0</v>
      </c>
      <c r="T4" s="1257">
        <f t="shared" ca="1" si="28"/>
        <v>0</v>
      </c>
      <c r="U4" s="1257">
        <f t="shared" ca="1" si="29"/>
        <v>0</v>
      </c>
      <c r="V4" s="1257">
        <f t="shared" ca="1" si="0"/>
        <v>0</v>
      </c>
      <c r="W4" s="1257">
        <f t="shared" ca="1" si="30"/>
        <v>0</v>
      </c>
      <c r="X4" s="1257">
        <f t="shared" ca="1" si="31"/>
        <v>0</v>
      </c>
      <c r="Y4" s="1259">
        <f t="shared" ca="1" si="32"/>
        <v>0</v>
      </c>
      <c r="Z4" s="1259">
        <f t="shared" ca="1" si="33"/>
        <v>0</v>
      </c>
      <c r="AA4" s="1257">
        <f t="shared" ca="1" si="34"/>
        <v>0</v>
      </c>
      <c r="AB4" s="1260">
        <f t="shared" ca="1" si="35"/>
        <v>0</v>
      </c>
      <c r="AC4" s="1260">
        <f t="shared" ca="1" si="36"/>
        <v>0</v>
      </c>
      <c r="AD4" s="1261">
        <f t="shared" ca="1" si="37"/>
        <v>0</v>
      </c>
      <c r="AE4" s="1262">
        <f t="shared" ca="1" si="38"/>
        <v>0</v>
      </c>
      <c r="AF4" s="1257">
        <f t="shared" ca="1" si="39"/>
        <v>0</v>
      </c>
      <c r="AG4" s="1263">
        <f ca="1">(IF(ISNA(VLOOKUP($I4,'Suivi objectifs'!$D$1:$H$38,3,0)),0,VLOOKUP($I4,'Suivi objectifs'!$D$1:$H$38,3,0))*$J4+IF(ISNA(VLOOKUP($K4,'Suivi objectifs'!$D$1:$H$38,3,0)),0,VLOOKUP($K4,'Suivi objectifs'!$D$1:$H$38,3,0))*$L4+IF(ISNA(VLOOKUP($M4,'Suivi objectifs'!$D$1:$H$38,3,0)),0,VLOOKUP($M4,'Suivi objectifs'!$D$1:$H$38,3,0))*$N4)*1000</f>
        <v>0</v>
      </c>
      <c r="AH4" s="1263">
        <f ca="1">(IF(ISNA(VLOOKUP($I4,'Suivi objectifs'!$D$1:$H$38,4,0)),0,VLOOKUP($I4,'Suivi objectifs'!$D$1:$H$38,4,0))*$J4+IF(ISNA(VLOOKUP($K4,'Suivi objectifs'!$D$1:$H$38,3,0)),0,VLOOKUP($K4,'Suivi objectifs'!$D$1:$H$38,4,0))*$L4+IF(ISNA(VLOOKUP($M4,'Suivi objectifs'!$D$1:$H$38,4,0)),0,VLOOKUP($M4,'Suivi objectifs'!$D$1:$H$38,4,0))*$N4)*1000</f>
        <v>0</v>
      </c>
      <c r="AI4" s="1263">
        <f ca="1">(IF(ISNA(VLOOKUP($I4,'Suivi objectifs'!$D$1:$I$38,6,0)),0,VLOOKUP($I4,'Suivi objectifs'!$D$1:$I$38,6,0))*$J4+IF(ISNA(VLOOKUP($K4,'Suivi objectifs'!$D$1:$I$38,6,0)),0,VLOOKUP($K4,'Suivi objectifs'!$D$1:$I$38,6,0))*$L4+IF(ISNA(VLOOKUP($M4,'Suivi objectifs'!$D$1:$I$38,6,0)),0,VLOOKUP($M4,'Suivi objectifs'!$D$1:$I$38,6,0))*$N4)</f>
        <v>0</v>
      </c>
      <c r="AJ4" s="1837">
        <f t="shared" ca="1" si="40"/>
        <v>0</v>
      </c>
      <c r="AK4" s="1264" t="str">
        <f t="shared" ca="1" si="1"/>
        <v/>
      </c>
      <c r="AL4" s="854" t="str">
        <f t="shared" ca="1" si="2"/>
        <v/>
      </c>
      <c r="AM4" s="1171" t="str">
        <f t="shared" ca="1" si="41"/>
        <v>Autre</v>
      </c>
      <c r="AN4" s="28">
        <f t="shared" ca="1" si="42"/>
        <v>0</v>
      </c>
      <c r="AO4" s="28" t="str">
        <f t="shared" ca="1" si="43"/>
        <v>0_0</v>
      </c>
      <c r="AP4" s="28" t="str">
        <f t="shared" si="4"/>
        <v>A3</v>
      </c>
      <c r="AQ4" s="28">
        <f t="shared" ca="1" si="44"/>
        <v>0</v>
      </c>
      <c r="AR4" s="28">
        <f t="shared" ca="1" si="5"/>
        <v>0</v>
      </c>
      <c r="AS4" s="28">
        <f t="shared" ca="1" si="45"/>
        <v>0</v>
      </c>
      <c r="AT4" s="28">
        <f t="shared" ca="1" si="46"/>
        <v>0</v>
      </c>
      <c r="AU4" s="28">
        <f t="shared" ca="1" si="47"/>
        <v>0</v>
      </c>
      <c r="AV4" s="28">
        <f t="shared" ca="1" si="6"/>
        <v>0</v>
      </c>
      <c r="AW4" s="28">
        <f t="shared" ca="1" si="48"/>
        <v>0</v>
      </c>
      <c r="AX4" s="28">
        <f t="shared" ca="1" si="7"/>
        <v>0</v>
      </c>
      <c r="AY4" s="28">
        <f t="shared" ca="1" si="8"/>
        <v>0</v>
      </c>
      <c r="AZ4" s="28">
        <f t="shared" ca="1" si="9"/>
        <v>0</v>
      </c>
      <c r="BA4" s="28">
        <f t="shared" ca="1" si="10"/>
        <v>0</v>
      </c>
      <c r="BB4" s="28">
        <f ca="1">IF(C4="x",COUNTIF(BB$2:BB3,"&gt;0")+1,0)</f>
        <v>0</v>
      </c>
      <c r="BC4" s="1255"/>
    </row>
    <row r="5" spans="1:55" ht="14.4">
      <c r="A5" s="1171" t="str">
        <f t="shared" si="11"/>
        <v>A4</v>
      </c>
      <c r="B5" s="1256" t="str">
        <f t="shared" ca="1" si="12"/>
        <v/>
      </c>
      <c r="C5" s="1256" t="str">
        <f t="shared" ca="1" si="13"/>
        <v/>
      </c>
      <c r="D5" s="1256" t="str">
        <f t="shared" ca="1" si="49"/>
        <v/>
      </c>
      <c r="E5" s="1256" t="str">
        <f t="shared" ca="1" si="14"/>
        <v/>
      </c>
      <c r="F5" s="1265">
        <v>4</v>
      </c>
      <c r="G5" s="1257">
        <f t="shared" ca="1" si="15"/>
        <v>0</v>
      </c>
      <c r="H5" s="1257">
        <f t="shared" ca="1" si="16"/>
        <v>0</v>
      </c>
      <c r="I5" s="1257" t="str">
        <f t="shared" ca="1" si="17"/>
        <v>-</v>
      </c>
      <c r="J5" s="1258">
        <f t="shared" ca="1" si="18"/>
        <v>0</v>
      </c>
      <c r="K5" s="1257" t="str">
        <f t="shared" ca="1" si="19"/>
        <v>-</v>
      </c>
      <c r="L5" s="1258">
        <f t="shared" ca="1" si="20"/>
        <v>0</v>
      </c>
      <c r="M5" s="1257" t="str">
        <f t="shared" ca="1" si="21"/>
        <v>-</v>
      </c>
      <c r="N5" s="1258">
        <f t="shared" ca="1" si="22"/>
        <v>0</v>
      </c>
      <c r="O5" s="1257">
        <f t="shared" ca="1" si="23"/>
        <v>0</v>
      </c>
      <c r="P5" s="1257">
        <f t="shared" ca="1" si="24"/>
        <v>0</v>
      </c>
      <c r="Q5" s="1257">
        <f t="shared" ca="1" si="25"/>
        <v>0</v>
      </c>
      <c r="R5" s="1257">
        <f t="shared" ca="1" si="26"/>
        <v>0</v>
      </c>
      <c r="S5" s="1257">
        <f t="shared" ca="1" si="27"/>
        <v>0</v>
      </c>
      <c r="T5" s="1257">
        <f t="shared" ca="1" si="28"/>
        <v>0</v>
      </c>
      <c r="U5" s="1257">
        <f t="shared" ca="1" si="29"/>
        <v>0</v>
      </c>
      <c r="V5" s="1257">
        <f t="shared" ca="1" si="0"/>
        <v>0</v>
      </c>
      <c r="W5" s="1257">
        <f t="shared" ca="1" si="30"/>
        <v>0</v>
      </c>
      <c r="X5" s="1257">
        <f t="shared" ca="1" si="31"/>
        <v>0</v>
      </c>
      <c r="Y5" s="1259">
        <f t="shared" ca="1" si="32"/>
        <v>0</v>
      </c>
      <c r="Z5" s="1259">
        <f t="shared" ca="1" si="33"/>
        <v>0</v>
      </c>
      <c r="AA5" s="1257">
        <f t="shared" ca="1" si="34"/>
        <v>0</v>
      </c>
      <c r="AB5" s="1260">
        <f t="shared" ca="1" si="35"/>
        <v>0</v>
      </c>
      <c r="AC5" s="1260">
        <f t="shared" ca="1" si="36"/>
        <v>0</v>
      </c>
      <c r="AD5" s="1261">
        <f t="shared" ca="1" si="37"/>
        <v>0</v>
      </c>
      <c r="AE5" s="1262">
        <f t="shared" ca="1" si="38"/>
        <v>0</v>
      </c>
      <c r="AF5" s="1257">
        <f t="shared" ca="1" si="39"/>
        <v>0</v>
      </c>
      <c r="AG5" s="1263">
        <f ca="1">(IF(ISNA(VLOOKUP($I5,'Suivi objectifs'!$D$1:$H$38,3,0)),0,VLOOKUP($I5,'Suivi objectifs'!$D$1:$H$38,3,0))*$J5+IF(ISNA(VLOOKUP($K5,'Suivi objectifs'!$D$1:$H$38,3,0)),0,VLOOKUP($K5,'Suivi objectifs'!$D$1:$H$38,3,0))*$L5+IF(ISNA(VLOOKUP($M5,'Suivi objectifs'!$D$1:$H$38,3,0)),0,VLOOKUP($M5,'Suivi objectifs'!$D$1:$H$38,3,0))*$N5)*1000</f>
        <v>0</v>
      </c>
      <c r="AH5" s="1263">
        <f ca="1">(IF(ISNA(VLOOKUP($I5,'Suivi objectifs'!$D$1:$H$38,4,0)),0,VLOOKUP($I5,'Suivi objectifs'!$D$1:$H$38,4,0))*$J5+IF(ISNA(VLOOKUP($K5,'Suivi objectifs'!$D$1:$H$38,3,0)),0,VLOOKUP($K5,'Suivi objectifs'!$D$1:$H$38,4,0))*$L5+IF(ISNA(VLOOKUP($M5,'Suivi objectifs'!$D$1:$H$38,4,0)),0,VLOOKUP($M5,'Suivi objectifs'!$D$1:$H$38,4,0))*$N5)*1000</f>
        <v>0</v>
      </c>
      <c r="AI5" s="1263">
        <f ca="1">(IF(ISNA(VLOOKUP($I5,'Suivi objectifs'!$D$1:$I$38,6,0)),0,VLOOKUP($I5,'Suivi objectifs'!$D$1:$I$38,6,0))*$J5+IF(ISNA(VLOOKUP($K5,'Suivi objectifs'!$D$1:$I$38,6,0)),0,VLOOKUP($K5,'Suivi objectifs'!$D$1:$I$38,6,0))*$L5+IF(ISNA(VLOOKUP($M5,'Suivi objectifs'!$D$1:$I$38,6,0)),0,VLOOKUP($M5,'Suivi objectifs'!$D$1:$I$38,6,0))*$N5)</f>
        <v>0</v>
      </c>
      <c r="AJ5" s="1837">
        <f t="shared" ca="1" si="40"/>
        <v>0</v>
      </c>
      <c r="AK5" s="1264" t="str">
        <f t="shared" ca="1" si="1"/>
        <v/>
      </c>
      <c r="AL5" s="854" t="str">
        <f t="shared" ca="1" si="2"/>
        <v/>
      </c>
      <c r="AM5" s="1171" t="str">
        <f t="shared" ca="1" si="41"/>
        <v>Autre</v>
      </c>
      <c r="AN5" s="28">
        <f t="shared" ca="1" si="42"/>
        <v>0</v>
      </c>
      <c r="AO5" s="28" t="str">
        <f t="shared" ca="1" si="43"/>
        <v>0_0</v>
      </c>
      <c r="AP5" s="28" t="str">
        <f t="shared" si="4"/>
        <v>A4</v>
      </c>
      <c r="AQ5" s="28">
        <f t="shared" ca="1" si="44"/>
        <v>0</v>
      </c>
      <c r="AR5" s="28">
        <f t="shared" ca="1" si="5"/>
        <v>0</v>
      </c>
      <c r="AS5" s="28">
        <f t="shared" ca="1" si="45"/>
        <v>0</v>
      </c>
      <c r="AT5" s="28">
        <f t="shared" ca="1" si="46"/>
        <v>0</v>
      </c>
      <c r="AU5" s="28">
        <f t="shared" ca="1" si="47"/>
        <v>0</v>
      </c>
      <c r="AV5" s="28">
        <f t="shared" ca="1" si="6"/>
        <v>0</v>
      </c>
      <c r="AW5" s="28">
        <f t="shared" ca="1" si="48"/>
        <v>0</v>
      </c>
      <c r="AX5" s="28">
        <f t="shared" ca="1" si="7"/>
        <v>0</v>
      </c>
      <c r="AY5" s="28">
        <f t="shared" ca="1" si="8"/>
        <v>0</v>
      </c>
      <c r="AZ5" s="28">
        <f t="shared" ca="1" si="9"/>
        <v>0</v>
      </c>
      <c r="BA5" s="28">
        <f t="shared" ca="1" si="10"/>
        <v>0</v>
      </c>
      <c r="BB5" s="28">
        <f ca="1">IF(C5="x",COUNTIF(BB$2:BB4,"&gt;0")+1,0)</f>
        <v>0</v>
      </c>
      <c r="BC5" s="1255"/>
    </row>
    <row r="6" spans="1:55" ht="14.4">
      <c r="A6" s="1171" t="str">
        <f t="shared" si="11"/>
        <v>A5</v>
      </c>
      <c r="B6" s="1256" t="str">
        <f t="shared" ca="1" si="12"/>
        <v/>
      </c>
      <c r="C6" s="1256" t="str">
        <f t="shared" ca="1" si="13"/>
        <v/>
      </c>
      <c r="D6" s="1256" t="str">
        <f t="shared" ca="1" si="49"/>
        <v/>
      </c>
      <c r="E6" s="1256" t="str">
        <f t="shared" ca="1" si="14"/>
        <v/>
      </c>
      <c r="F6" s="1265">
        <v>5</v>
      </c>
      <c r="G6" s="1257">
        <f t="shared" ca="1" si="15"/>
        <v>0</v>
      </c>
      <c r="H6" s="1257">
        <f t="shared" ca="1" si="16"/>
        <v>0</v>
      </c>
      <c r="I6" s="1257" t="str">
        <f t="shared" ca="1" si="17"/>
        <v>-</v>
      </c>
      <c r="J6" s="1258">
        <f t="shared" ca="1" si="18"/>
        <v>0</v>
      </c>
      <c r="K6" s="1257" t="str">
        <f t="shared" ca="1" si="19"/>
        <v>-</v>
      </c>
      <c r="L6" s="1258">
        <f t="shared" ca="1" si="20"/>
        <v>0</v>
      </c>
      <c r="M6" s="1257" t="str">
        <f t="shared" ca="1" si="21"/>
        <v>-</v>
      </c>
      <c r="N6" s="1258">
        <f t="shared" ca="1" si="22"/>
        <v>0</v>
      </c>
      <c r="O6" s="1257">
        <f t="shared" ca="1" si="23"/>
        <v>0</v>
      </c>
      <c r="P6" s="1257">
        <f t="shared" ca="1" si="24"/>
        <v>0</v>
      </c>
      <c r="Q6" s="1257">
        <f t="shared" ca="1" si="25"/>
        <v>0</v>
      </c>
      <c r="R6" s="1257">
        <f t="shared" ca="1" si="26"/>
        <v>0</v>
      </c>
      <c r="S6" s="1257">
        <f t="shared" ca="1" si="27"/>
        <v>0</v>
      </c>
      <c r="T6" s="1257">
        <f t="shared" ca="1" si="28"/>
        <v>0</v>
      </c>
      <c r="U6" s="1257">
        <f t="shared" ca="1" si="29"/>
        <v>0</v>
      </c>
      <c r="V6" s="1257">
        <f t="shared" ca="1" si="0"/>
        <v>0</v>
      </c>
      <c r="W6" s="1257">
        <f t="shared" ca="1" si="30"/>
        <v>0</v>
      </c>
      <c r="X6" s="1257">
        <f t="shared" ca="1" si="31"/>
        <v>0</v>
      </c>
      <c r="Y6" s="1259">
        <f t="shared" ca="1" si="32"/>
        <v>0</v>
      </c>
      <c r="Z6" s="1259">
        <f t="shared" ca="1" si="33"/>
        <v>0</v>
      </c>
      <c r="AA6" s="1257">
        <f t="shared" ca="1" si="34"/>
        <v>0</v>
      </c>
      <c r="AB6" s="1260">
        <f t="shared" ca="1" si="35"/>
        <v>0</v>
      </c>
      <c r="AC6" s="1260">
        <f t="shared" ca="1" si="36"/>
        <v>0</v>
      </c>
      <c r="AD6" s="1261">
        <f t="shared" ca="1" si="37"/>
        <v>0</v>
      </c>
      <c r="AE6" s="1262">
        <f t="shared" ca="1" si="38"/>
        <v>0</v>
      </c>
      <c r="AF6" s="1257">
        <f t="shared" ca="1" si="39"/>
        <v>0</v>
      </c>
      <c r="AG6" s="1263">
        <f ca="1">(IF(ISNA(VLOOKUP($I6,'Suivi objectifs'!$D$1:$H$38,3,0)),0,VLOOKUP($I6,'Suivi objectifs'!$D$1:$H$38,3,0))*$J6+IF(ISNA(VLOOKUP($K6,'Suivi objectifs'!$D$1:$H$38,3,0)),0,VLOOKUP($K6,'Suivi objectifs'!$D$1:$H$38,3,0))*$L6+IF(ISNA(VLOOKUP($M6,'Suivi objectifs'!$D$1:$H$38,3,0)),0,VLOOKUP($M6,'Suivi objectifs'!$D$1:$H$38,3,0))*$N6)*1000</f>
        <v>0</v>
      </c>
      <c r="AH6" s="1263">
        <f ca="1">(IF(ISNA(VLOOKUP($I6,'Suivi objectifs'!$D$1:$H$38,4,0)),0,VLOOKUP($I6,'Suivi objectifs'!$D$1:$H$38,4,0))*$J6+IF(ISNA(VLOOKUP($K6,'Suivi objectifs'!$D$1:$H$38,3,0)),0,VLOOKUP($K6,'Suivi objectifs'!$D$1:$H$38,4,0))*$L6+IF(ISNA(VLOOKUP($M6,'Suivi objectifs'!$D$1:$H$38,4,0)),0,VLOOKUP($M6,'Suivi objectifs'!$D$1:$H$38,4,0))*$N6)*1000</f>
        <v>0</v>
      </c>
      <c r="AI6" s="1263">
        <f ca="1">(IF(ISNA(VLOOKUP($I6,'Suivi objectifs'!$D$1:$I$38,6,0)),0,VLOOKUP($I6,'Suivi objectifs'!$D$1:$I$38,6,0))*$J6+IF(ISNA(VLOOKUP($K6,'Suivi objectifs'!$D$1:$I$38,6,0)),0,VLOOKUP($K6,'Suivi objectifs'!$D$1:$I$38,6,0))*$L6+IF(ISNA(VLOOKUP($M6,'Suivi objectifs'!$D$1:$I$38,6,0)),0,VLOOKUP($M6,'Suivi objectifs'!$D$1:$I$38,6,0))*$N6)</f>
        <v>0</v>
      </c>
      <c r="AJ6" s="1837">
        <f t="shared" ca="1" si="40"/>
        <v>0</v>
      </c>
      <c r="AK6" s="1264" t="str">
        <f t="shared" ca="1" si="1"/>
        <v/>
      </c>
      <c r="AL6" s="854" t="str">
        <f t="shared" ca="1" si="2"/>
        <v/>
      </c>
      <c r="AM6" s="1171" t="str">
        <f t="shared" ca="1" si="41"/>
        <v>Autre</v>
      </c>
      <c r="AN6" s="28">
        <f t="shared" ca="1" si="42"/>
        <v>0</v>
      </c>
      <c r="AO6" s="28" t="str">
        <f t="shared" ca="1" si="43"/>
        <v>0_0</v>
      </c>
      <c r="AP6" s="28" t="str">
        <f t="shared" si="4"/>
        <v>A5</v>
      </c>
      <c r="AQ6" s="28">
        <f t="shared" ca="1" si="44"/>
        <v>0</v>
      </c>
      <c r="AR6" s="28">
        <f t="shared" ca="1" si="5"/>
        <v>0</v>
      </c>
      <c r="AS6" s="28">
        <f t="shared" ca="1" si="45"/>
        <v>0</v>
      </c>
      <c r="AT6" s="28">
        <f t="shared" ca="1" si="46"/>
        <v>0</v>
      </c>
      <c r="AU6" s="28">
        <f t="shared" ca="1" si="47"/>
        <v>0</v>
      </c>
      <c r="AV6" s="28">
        <f t="shared" ca="1" si="6"/>
        <v>0</v>
      </c>
      <c r="AW6" s="28">
        <f t="shared" ca="1" si="48"/>
        <v>0</v>
      </c>
      <c r="AX6" s="28">
        <f t="shared" ca="1" si="7"/>
        <v>0</v>
      </c>
      <c r="AY6" s="28">
        <f t="shared" ca="1" si="8"/>
        <v>0</v>
      </c>
      <c r="AZ6" s="28">
        <f t="shared" ca="1" si="9"/>
        <v>0</v>
      </c>
      <c r="BA6" s="28">
        <f t="shared" ca="1" si="10"/>
        <v>0</v>
      </c>
      <c r="BB6" s="28">
        <f ca="1">IF(C6="x",COUNTIF(BB$2:BB5,"&gt;0")+1,0)</f>
        <v>0</v>
      </c>
      <c r="BC6" s="1255"/>
    </row>
    <row r="7" spans="1:55" ht="14.4">
      <c r="A7" s="1171" t="str">
        <f t="shared" si="11"/>
        <v>A6</v>
      </c>
      <c r="B7" s="1256" t="str">
        <f t="shared" ca="1" si="12"/>
        <v/>
      </c>
      <c r="C7" s="1256" t="str">
        <f t="shared" ca="1" si="13"/>
        <v/>
      </c>
      <c r="D7" s="1256" t="str">
        <f t="shared" ca="1" si="49"/>
        <v/>
      </c>
      <c r="E7" s="1256" t="str">
        <f t="shared" ca="1" si="14"/>
        <v/>
      </c>
      <c r="F7" s="1265">
        <v>6</v>
      </c>
      <c r="G7" s="1257">
        <f t="shared" ca="1" si="15"/>
        <v>0</v>
      </c>
      <c r="H7" s="1257">
        <f t="shared" ca="1" si="16"/>
        <v>0</v>
      </c>
      <c r="I7" s="1257" t="str">
        <f t="shared" ca="1" si="17"/>
        <v>-</v>
      </c>
      <c r="J7" s="1258">
        <f t="shared" ca="1" si="18"/>
        <v>0</v>
      </c>
      <c r="K7" s="1257" t="str">
        <f t="shared" ca="1" si="19"/>
        <v>-</v>
      </c>
      <c r="L7" s="1258">
        <f t="shared" ca="1" si="20"/>
        <v>0</v>
      </c>
      <c r="M7" s="1257" t="str">
        <f t="shared" ca="1" si="21"/>
        <v>-</v>
      </c>
      <c r="N7" s="1258">
        <f t="shared" ca="1" si="22"/>
        <v>0</v>
      </c>
      <c r="O7" s="1257">
        <f t="shared" ca="1" si="23"/>
        <v>0</v>
      </c>
      <c r="P7" s="1257">
        <f t="shared" ca="1" si="24"/>
        <v>0</v>
      </c>
      <c r="Q7" s="1257">
        <f t="shared" ca="1" si="25"/>
        <v>0</v>
      </c>
      <c r="R7" s="1257">
        <f t="shared" ca="1" si="26"/>
        <v>0</v>
      </c>
      <c r="S7" s="1257">
        <f t="shared" ca="1" si="27"/>
        <v>0</v>
      </c>
      <c r="T7" s="1257">
        <f t="shared" ca="1" si="28"/>
        <v>0</v>
      </c>
      <c r="U7" s="1257">
        <f t="shared" ca="1" si="29"/>
        <v>0</v>
      </c>
      <c r="V7" s="1257">
        <f t="shared" ca="1" si="0"/>
        <v>0</v>
      </c>
      <c r="W7" s="1257">
        <f t="shared" ca="1" si="30"/>
        <v>0</v>
      </c>
      <c r="X7" s="1257">
        <f t="shared" ca="1" si="31"/>
        <v>0</v>
      </c>
      <c r="Y7" s="1259">
        <f t="shared" ca="1" si="32"/>
        <v>0</v>
      </c>
      <c r="Z7" s="1259">
        <f t="shared" ca="1" si="33"/>
        <v>0</v>
      </c>
      <c r="AA7" s="1257">
        <f t="shared" ca="1" si="34"/>
        <v>0</v>
      </c>
      <c r="AB7" s="1260">
        <f t="shared" ca="1" si="35"/>
        <v>0</v>
      </c>
      <c r="AC7" s="1260">
        <f t="shared" ca="1" si="36"/>
        <v>0</v>
      </c>
      <c r="AD7" s="1261">
        <f t="shared" ca="1" si="37"/>
        <v>0</v>
      </c>
      <c r="AE7" s="1262">
        <f t="shared" ca="1" si="38"/>
        <v>0</v>
      </c>
      <c r="AF7" s="1257">
        <f t="shared" ca="1" si="39"/>
        <v>0</v>
      </c>
      <c r="AG7" s="1263">
        <f ca="1">(IF(ISNA(VLOOKUP($I7,'Suivi objectifs'!$D$1:$H$38,3,0)),0,VLOOKUP($I7,'Suivi objectifs'!$D$1:$H$38,3,0))*$J7+IF(ISNA(VLOOKUP($K7,'Suivi objectifs'!$D$1:$H$38,3,0)),0,VLOOKUP($K7,'Suivi objectifs'!$D$1:$H$38,3,0))*$L7+IF(ISNA(VLOOKUP($M7,'Suivi objectifs'!$D$1:$H$38,3,0)),0,VLOOKUP($M7,'Suivi objectifs'!$D$1:$H$38,3,0))*$N7)*1000</f>
        <v>0</v>
      </c>
      <c r="AH7" s="1263">
        <f ca="1">(IF(ISNA(VLOOKUP($I7,'Suivi objectifs'!$D$1:$H$38,4,0)),0,VLOOKUP($I7,'Suivi objectifs'!$D$1:$H$38,4,0))*$J7+IF(ISNA(VLOOKUP($K7,'Suivi objectifs'!$D$1:$H$38,3,0)),0,VLOOKUP($K7,'Suivi objectifs'!$D$1:$H$38,4,0))*$L7+IF(ISNA(VLOOKUP($M7,'Suivi objectifs'!$D$1:$H$38,4,0)),0,VLOOKUP($M7,'Suivi objectifs'!$D$1:$H$38,4,0))*$N7)*1000</f>
        <v>0</v>
      </c>
      <c r="AI7" s="1263">
        <f ca="1">(IF(ISNA(VLOOKUP($I7,'Suivi objectifs'!$D$1:$I$38,6,0)),0,VLOOKUP($I7,'Suivi objectifs'!$D$1:$I$38,6,0))*$J7+IF(ISNA(VLOOKUP($K7,'Suivi objectifs'!$D$1:$I$38,6,0)),0,VLOOKUP($K7,'Suivi objectifs'!$D$1:$I$38,6,0))*$L7+IF(ISNA(VLOOKUP($M7,'Suivi objectifs'!$D$1:$I$38,6,0)),0,VLOOKUP($M7,'Suivi objectifs'!$D$1:$I$38,6,0))*$N7)</f>
        <v>0</v>
      </c>
      <c r="AJ7" s="1837">
        <f t="shared" ca="1" si="40"/>
        <v>0</v>
      </c>
      <c r="AK7" s="1264" t="str">
        <f t="shared" ca="1" si="1"/>
        <v/>
      </c>
      <c r="AL7" s="854" t="str">
        <f t="shared" ca="1" si="2"/>
        <v/>
      </c>
      <c r="AM7" s="1171" t="str">
        <f t="shared" ca="1" si="41"/>
        <v>Autre</v>
      </c>
      <c r="AN7" s="28">
        <f t="shared" ca="1" si="42"/>
        <v>0</v>
      </c>
      <c r="AO7" s="28" t="str">
        <f t="shared" ca="1" si="43"/>
        <v>0_0</v>
      </c>
      <c r="AP7" s="28" t="str">
        <f t="shared" si="4"/>
        <v>A6</v>
      </c>
      <c r="AQ7" s="28">
        <f t="shared" ca="1" si="44"/>
        <v>0</v>
      </c>
      <c r="AR7" s="28">
        <f t="shared" ca="1" si="5"/>
        <v>0</v>
      </c>
      <c r="AS7" s="28">
        <f t="shared" ca="1" si="45"/>
        <v>0</v>
      </c>
      <c r="AT7" s="28">
        <f t="shared" ca="1" si="46"/>
        <v>0</v>
      </c>
      <c r="AU7" s="28">
        <f t="shared" ca="1" si="47"/>
        <v>0</v>
      </c>
      <c r="AV7" s="28">
        <f t="shared" ca="1" si="6"/>
        <v>0</v>
      </c>
      <c r="AW7" s="28">
        <f t="shared" ca="1" si="48"/>
        <v>0</v>
      </c>
      <c r="AX7" s="28">
        <f t="shared" ca="1" si="7"/>
        <v>0</v>
      </c>
      <c r="AY7" s="28">
        <f t="shared" ca="1" si="8"/>
        <v>0</v>
      </c>
      <c r="AZ7" s="28">
        <f t="shared" ca="1" si="9"/>
        <v>0</v>
      </c>
      <c r="BA7" s="28">
        <f t="shared" ca="1" si="10"/>
        <v>0</v>
      </c>
      <c r="BB7" s="28">
        <f ca="1">IF(C7="x",COUNTIF(BB$2:BB6,"&gt;0")+1,0)</f>
        <v>0</v>
      </c>
      <c r="BC7" s="1255"/>
    </row>
    <row r="8" spans="1:55" ht="14.4">
      <c r="A8" s="1171" t="str">
        <f t="shared" si="11"/>
        <v>A7</v>
      </c>
      <c r="B8" s="1256" t="str">
        <f t="shared" ca="1" si="12"/>
        <v/>
      </c>
      <c r="C8" s="1256" t="str">
        <f t="shared" ca="1" si="13"/>
        <v/>
      </c>
      <c r="D8" s="1256" t="str">
        <f t="shared" ca="1" si="49"/>
        <v/>
      </c>
      <c r="E8" s="1256" t="str">
        <f t="shared" ca="1" si="14"/>
        <v/>
      </c>
      <c r="F8" s="1265">
        <v>7</v>
      </c>
      <c r="G8" s="1257">
        <f t="shared" ca="1" si="15"/>
        <v>0</v>
      </c>
      <c r="H8" s="1257">
        <f t="shared" ca="1" si="16"/>
        <v>0</v>
      </c>
      <c r="I8" s="1257" t="str">
        <f t="shared" ca="1" si="17"/>
        <v>-</v>
      </c>
      <c r="J8" s="1258">
        <f t="shared" ca="1" si="18"/>
        <v>0</v>
      </c>
      <c r="K8" s="1257" t="str">
        <f t="shared" ca="1" si="19"/>
        <v>-</v>
      </c>
      <c r="L8" s="1258">
        <f t="shared" ca="1" si="20"/>
        <v>0</v>
      </c>
      <c r="M8" s="1257" t="str">
        <f t="shared" ca="1" si="21"/>
        <v>-</v>
      </c>
      <c r="N8" s="1258">
        <f t="shared" ca="1" si="22"/>
        <v>0</v>
      </c>
      <c r="O8" s="1257">
        <f t="shared" ca="1" si="23"/>
        <v>0</v>
      </c>
      <c r="P8" s="1257">
        <f t="shared" ca="1" si="24"/>
        <v>0</v>
      </c>
      <c r="Q8" s="1257">
        <f t="shared" ca="1" si="25"/>
        <v>0</v>
      </c>
      <c r="R8" s="1257">
        <f t="shared" ca="1" si="26"/>
        <v>0</v>
      </c>
      <c r="S8" s="1257">
        <f t="shared" ca="1" si="27"/>
        <v>0</v>
      </c>
      <c r="T8" s="1257">
        <f t="shared" ca="1" si="28"/>
        <v>0</v>
      </c>
      <c r="U8" s="1257">
        <f t="shared" ca="1" si="29"/>
        <v>0</v>
      </c>
      <c r="V8" s="1257">
        <f t="shared" ca="1" si="0"/>
        <v>0</v>
      </c>
      <c r="W8" s="1257">
        <f t="shared" ca="1" si="30"/>
        <v>0</v>
      </c>
      <c r="X8" s="1257">
        <f t="shared" ca="1" si="31"/>
        <v>0</v>
      </c>
      <c r="Y8" s="1259">
        <f t="shared" ca="1" si="32"/>
        <v>0</v>
      </c>
      <c r="Z8" s="1259">
        <f t="shared" ca="1" si="33"/>
        <v>0</v>
      </c>
      <c r="AA8" s="1257">
        <f t="shared" ca="1" si="34"/>
        <v>0</v>
      </c>
      <c r="AB8" s="1260">
        <f t="shared" ca="1" si="35"/>
        <v>0</v>
      </c>
      <c r="AC8" s="1260">
        <f t="shared" ca="1" si="36"/>
        <v>0</v>
      </c>
      <c r="AD8" s="1261">
        <f t="shared" ca="1" si="37"/>
        <v>0</v>
      </c>
      <c r="AE8" s="1262">
        <f t="shared" ca="1" si="38"/>
        <v>0</v>
      </c>
      <c r="AF8" s="1257">
        <f t="shared" ca="1" si="39"/>
        <v>0</v>
      </c>
      <c r="AG8" s="1263">
        <f ca="1">(IF(ISNA(VLOOKUP($I8,'Suivi objectifs'!$D$1:$H$38,3,0)),0,VLOOKUP($I8,'Suivi objectifs'!$D$1:$H$38,3,0))*$J8+IF(ISNA(VLOOKUP($K8,'Suivi objectifs'!$D$1:$H$38,3,0)),0,VLOOKUP($K8,'Suivi objectifs'!$D$1:$H$38,3,0))*$L8+IF(ISNA(VLOOKUP($M8,'Suivi objectifs'!$D$1:$H$38,3,0)),0,VLOOKUP($M8,'Suivi objectifs'!$D$1:$H$38,3,0))*$N8)*1000</f>
        <v>0</v>
      </c>
      <c r="AH8" s="1263">
        <f ca="1">(IF(ISNA(VLOOKUP($I8,'Suivi objectifs'!$D$1:$H$38,4,0)),0,VLOOKUP($I8,'Suivi objectifs'!$D$1:$H$38,4,0))*$J8+IF(ISNA(VLOOKUP($K8,'Suivi objectifs'!$D$1:$H$38,3,0)),0,VLOOKUP($K8,'Suivi objectifs'!$D$1:$H$38,4,0))*$L8+IF(ISNA(VLOOKUP($M8,'Suivi objectifs'!$D$1:$H$38,4,0)),0,VLOOKUP($M8,'Suivi objectifs'!$D$1:$H$38,4,0))*$N8)*1000</f>
        <v>0</v>
      </c>
      <c r="AI8" s="1263">
        <f ca="1">(IF(ISNA(VLOOKUP($I8,'Suivi objectifs'!$D$1:$I$38,6,0)),0,VLOOKUP($I8,'Suivi objectifs'!$D$1:$I$38,6,0))*$J8+IF(ISNA(VLOOKUP($K8,'Suivi objectifs'!$D$1:$I$38,6,0)),0,VLOOKUP($K8,'Suivi objectifs'!$D$1:$I$38,6,0))*$L8+IF(ISNA(VLOOKUP($M8,'Suivi objectifs'!$D$1:$I$38,6,0)),0,VLOOKUP($M8,'Suivi objectifs'!$D$1:$I$38,6,0))*$N8)</f>
        <v>0</v>
      </c>
      <c r="AJ8" s="1837">
        <f t="shared" ca="1" si="40"/>
        <v>0</v>
      </c>
      <c r="AK8" s="1264" t="str">
        <f t="shared" ca="1" si="1"/>
        <v/>
      </c>
      <c r="AL8" s="854" t="str">
        <f t="shared" ca="1" si="2"/>
        <v/>
      </c>
      <c r="AM8" s="1171" t="str">
        <f t="shared" ca="1" si="41"/>
        <v>Autre</v>
      </c>
      <c r="AN8" s="28">
        <f t="shared" ca="1" si="42"/>
        <v>0</v>
      </c>
      <c r="AO8" s="28" t="str">
        <f t="shared" ca="1" si="43"/>
        <v>0_0</v>
      </c>
      <c r="AP8" s="28" t="str">
        <f t="shared" si="4"/>
        <v>A7</v>
      </c>
      <c r="AQ8" s="28">
        <f t="shared" ca="1" si="44"/>
        <v>0</v>
      </c>
      <c r="AR8" s="28">
        <f t="shared" ca="1" si="5"/>
        <v>0</v>
      </c>
      <c r="AS8" s="28">
        <f t="shared" ca="1" si="45"/>
        <v>0</v>
      </c>
      <c r="AT8" s="28">
        <f t="shared" ca="1" si="46"/>
        <v>0</v>
      </c>
      <c r="AU8" s="28">
        <f t="shared" ca="1" si="47"/>
        <v>0</v>
      </c>
      <c r="AV8" s="28">
        <f t="shared" ca="1" si="6"/>
        <v>0</v>
      </c>
      <c r="AW8" s="28">
        <f t="shared" ca="1" si="48"/>
        <v>0</v>
      </c>
      <c r="AX8" s="28">
        <f t="shared" ca="1" si="7"/>
        <v>0</v>
      </c>
      <c r="AY8" s="28">
        <f t="shared" ca="1" si="8"/>
        <v>0</v>
      </c>
      <c r="AZ8" s="28">
        <f t="shared" ca="1" si="9"/>
        <v>0</v>
      </c>
      <c r="BA8" s="28">
        <f t="shared" ca="1" si="10"/>
        <v>0</v>
      </c>
      <c r="BB8" s="28">
        <f ca="1">IF(C8="x",COUNTIF(BB$2:BB7,"&gt;0")+1,0)</f>
        <v>0</v>
      </c>
      <c r="BC8" s="1255"/>
    </row>
    <row r="9" spans="1:55" ht="14.4">
      <c r="A9" s="1171" t="str">
        <f t="shared" si="11"/>
        <v>A8</v>
      </c>
      <c r="B9" s="1256" t="str">
        <f t="shared" ca="1" si="12"/>
        <v/>
      </c>
      <c r="C9" s="1256" t="str">
        <f t="shared" ca="1" si="13"/>
        <v/>
      </c>
      <c r="D9" s="1256" t="str">
        <f t="shared" ca="1" si="49"/>
        <v/>
      </c>
      <c r="E9" s="1256" t="str">
        <f t="shared" ca="1" si="14"/>
        <v/>
      </c>
      <c r="F9" s="1265">
        <v>8</v>
      </c>
      <c r="G9" s="1257">
        <f t="shared" ca="1" si="15"/>
        <v>0</v>
      </c>
      <c r="H9" s="1257">
        <f t="shared" ca="1" si="16"/>
        <v>0</v>
      </c>
      <c r="I9" s="1257" t="str">
        <f t="shared" ca="1" si="17"/>
        <v>-</v>
      </c>
      <c r="J9" s="1258">
        <f t="shared" ca="1" si="18"/>
        <v>0</v>
      </c>
      <c r="K9" s="1257" t="str">
        <f t="shared" ca="1" si="19"/>
        <v>-</v>
      </c>
      <c r="L9" s="1258">
        <f t="shared" ca="1" si="20"/>
        <v>0</v>
      </c>
      <c r="M9" s="1257" t="str">
        <f t="shared" ca="1" si="21"/>
        <v>-</v>
      </c>
      <c r="N9" s="1258">
        <f t="shared" ca="1" si="22"/>
        <v>0</v>
      </c>
      <c r="O9" s="1257">
        <f t="shared" ca="1" si="23"/>
        <v>0</v>
      </c>
      <c r="P9" s="1257">
        <f t="shared" ca="1" si="24"/>
        <v>0</v>
      </c>
      <c r="Q9" s="1257">
        <f t="shared" ca="1" si="25"/>
        <v>0</v>
      </c>
      <c r="R9" s="1257">
        <f t="shared" ca="1" si="26"/>
        <v>0</v>
      </c>
      <c r="S9" s="1257">
        <f t="shared" ca="1" si="27"/>
        <v>0</v>
      </c>
      <c r="T9" s="1257">
        <f t="shared" ca="1" si="28"/>
        <v>0</v>
      </c>
      <c r="U9" s="1257">
        <f t="shared" ca="1" si="29"/>
        <v>0</v>
      </c>
      <c r="V9" s="1257">
        <f t="shared" ca="1" si="0"/>
        <v>0</v>
      </c>
      <c r="W9" s="1257">
        <f t="shared" ca="1" si="30"/>
        <v>0</v>
      </c>
      <c r="X9" s="1257">
        <f t="shared" ca="1" si="31"/>
        <v>0</v>
      </c>
      <c r="Y9" s="1259">
        <f t="shared" ca="1" si="32"/>
        <v>0</v>
      </c>
      <c r="Z9" s="1259">
        <f t="shared" ca="1" si="33"/>
        <v>0</v>
      </c>
      <c r="AA9" s="1257">
        <f t="shared" ca="1" si="34"/>
        <v>0</v>
      </c>
      <c r="AB9" s="1260">
        <f t="shared" ca="1" si="35"/>
        <v>0</v>
      </c>
      <c r="AC9" s="1260">
        <f t="shared" ca="1" si="36"/>
        <v>0</v>
      </c>
      <c r="AD9" s="1261">
        <f t="shared" ca="1" si="37"/>
        <v>0</v>
      </c>
      <c r="AE9" s="1262">
        <f t="shared" ca="1" si="38"/>
        <v>0</v>
      </c>
      <c r="AF9" s="1257">
        <f t="shared" ca="1" si="39"/>
        <v>0</v>
      </c>
      <c r="AG9" s="1263">
        <f ca="1">(IF(ISNA(VLOOKUP($I9,'Suivi objectifs'!$D$1:$H$38,3,0)),0,VLOOKUP($I9,'Suivi objectifs'!$D$1:$H$38,3,0))*$J9+IF(ISNA(VLOOKUP($K9,'Suivi objectifs'!$D$1:$H$38,3,0)),0,VLOOKUP($K9,'Suivi objectifs'!$D$1:$H$38,3,0))*$L9+IF(ISNA(VLOOKUP($M9,'Suivi objectifs'!$D$1:$H$38,3,0)),0,VLOOKUP($M9,'Suivi objectifs'!$D$1:$H$38,3,0))*$N9)*1000</f>
        <v>0</v>
      </c>
      <c r="AH9" s="1263">
        <f ca="1">(IF(ISNA(VLOOKUP($I9,'Suivi objectifs'!$D$1:$H$38,4,0)),0,VLOOKUP($I9,'Suivi objectifs'!$D$1:$H$38,4,0))*$J9+IF(ISNA(VLOOKUP($K9,'Suivi objectifs'!$D$1:$H$38,3,0)),0,VLOOKUP($K9,'Suivi objectifs'!$D$1:$H$38,4,0))*$L9+IF(ISNA(VLOOKUP($M9,'Suivi objectifs'!$D$1:$H$38,4,0)),0,VLOOKUP($M9,'Suivi objectifs'!$D$1:$H$38,4,0))*$N9)*1000</f>
        <v>0</v>
      </c>
      <c r="AI9" s="1263">
        <f ca="1">(IF(ISNA(VLOOKUP($I9,'Suivi objectifs'!$D$1:$I$38,6,0)),0,VLOOKUP($I9,'Suivi objectifs'!$D$1:$I$38,6,0))*$J9+IF(ISNA(VLOOKUP($K9,'Suivi objectifs'!$D$1:$I$38,6,0)),0,VLOOKUP($K9,'Suivi objectifs'!$D$1:$I$38,6,0))*$L9+IF(ISNA(VLOOKUP($M9,'Suivi objectifs'!$D$1:$I$38,6,0)),0,VLOOKUP($M9,'Suivi objectifs'!$D$1:$I$38,6,0))*$N9)</f>
        <v>0</v>
      </c>
      <c r="AJ9" s="1837">
        <f t="shared" ca="1" si="40"/>
        <v>0</v>
      </c>
      <c r="AK9" s="1264" t="str">
        <f t="shared" ca="1" si="1"/>
        <v/>
      </c>
      <c r="AL9" s="854" t="str">
        <f t="shared" ca="1" si="2"/>
        <v/>
      </c>
      <c r="AM9" s="1171" t="str">
        <f t="shared" ca="1" si="41"/>
        <v>Autre</v>
      </c>
      <c r="AN9" s="28">
        <f t="shared" ca="1" si="42"/>
        <v>0</v>
      </c>
      <c r="AO9" s="28" t="str">
        <f t="shared" ca="1" si="43"/>
        <v>0_0</v>
      </c>
      <c r="AP9" s="28" t="str">
        <f t="shared" si="4"/>
        <v>A8</v>
      </c>
      <c r="AQ9" s="28">
        <f t="shared" ca="1" si="44"/>
        <v>0</v>
      </c>
      <c r="AR9" s="28">
        <f t="shared" ca="1" si="5"/>
        <v>0</v>
      </c>
      <c r="AS9" s="28">
        <f t="shared" ca="1" si="45"/>
        <v>0</v>
      </c>
      <c r="AT9" s="28">
        <f t="shared" ca="1" si="46"/>
        <v>0</v>
      </c>
      <c r="AU9" s="28">
        <f t="shared" ca="1" si="47"/>
        <v>0</v>
      </c>
      <c r="AV9" s="28">
        <f t="shared" ca="1" si="6"/>
        <v>0</v>
      </c>
      <c r="AW9" s="28">
        <f t="shared" ca="1" si="48"/>
        <v>0</v>
      </c>
      <c r="AX9" s="28">
        <f t="shared" ca="1" si="7"/>
        <v>0</v>
      </c>
      <c r="AY9" s="28">
        <f t="shared" ca="1" si="8"/>
        <v>0</v>
      </c>
      <c r="AZ9" s="28">
        <f t="shared" ca="1" si="9"/>
        <v>0</v>
      </c>
      <c r="BA9" s="28">
        <f t="shared" ca="1" si="10"/>
        <v>0</v>
      </c>
      <c r="BB9" s="28">
        <f ca="1">IF(C9="x",COUNTIF(BB$2:BB8,"&gt;0")+1,0)</f>
        <v>0</v>
      </c>
      <c r="BC9" s="1255"/>
    </row>
    <row r="10" spans="1:55" ht="14.4">
      <c r="A10" s="1171" t="str">
        <f t="shared" si="11"/>
        <v>A9</v>
      </c>
      <c r="B10" s="1256" t="str">
        <f t="shared" ca="1" si="12"/>
        <v/>
      </c>
      <c r="C10" s="1256" t="str">
        <f t="shared" ca="1" si="13"/>
        <v/>
      </c>
      <c r="D10" s="1256" t="str">
        <f t="shared" ca="1" si="49"/>
        <v/>
      </c>
      <c r="E10" s="1256" t="str">
        <f t="shared" ca="1" si="14"/>
        <v/>
      </c>
      <c r="F10" s="1265">
        <v>9</v>
      </c>
      <c r="G10" s="1257">
        <f t="shared" ca="1" si="15"/>
        <v>0</v>
      </c>
      <c r="H10" s="1257">
        <f t="shared" ca="1" si="16"/>
        <v>0</v>
      </c>
      <c r="I10" s="1257" t="str">
        <f t="shared" ca="1" si="17"/>
        <v>-</v>
      </c>
      <c r="J10" s="1258">
        <f t="shared" ca="1" si="18"/>
        <v>0</v>
      </c>
      <c r="K10" s="1257" t="str">
        <f t="shared" ca="1" si="19"/>
        <v>-</v>
      </c>
      <c r="L10" s="1258">
        <f t="shared" ca="1" si="20"/>
        <v>0</v>
      </c>
      <c r="M10" s="1257" t="str">
        <f t="shared" ca="1" si="21"/>
        <v>-</v>
      </c>
      <c r="N10" s="1258">
        <f t="shared" ca="1" si="22"/>
        <v>0</v>
      </c>
      <c r="O10" s="1257">
        <f t="shared" ca="1" si="23"/>
        <v>0</v>
      </c>
      <c r="P10" s="1257">
        <f t="shared" ca="1" si="24"/>
        <v>0</v>
      </c>
      <c r="Q10" s="1257">
        <f t="shared" ca="1" si="25"/>
        <v>0</v>
      </c>
      <c r="R10" s="1257">
        <f t="shared" ca="1" si="26"/>
        <v>0</v>
      </c>
      <c r="S10" s="1257">
        <f t="shared" ca="1" si="27"/>
        <v>0</v>
      </c>
      <c r="T10" s="1257">
        <f t="shared" ca="1" si="28"/>
        <v>0</v>
      </c>
      <c r="U10" s="1257">
        <f t="shared" ca="1" si="29"/>
        <v>0</v>
      </c>
      <c r="V10" s="1257">
        <f t="shared" ca="1" si="0"/>
        <v>0</v>
      </c>
      <c r="W10" s="1257">
        <f t="shared" ca="1" si="30"/>
        <v>0</v>
      </c>
      <c r="X10" s="1257">
        <f t="shared" ca="1" si="31"/>
        <v>0</v>
      </c>
      <c r="Y10" s="1259">
        <f t="shared" ca="1" si="32"/>
        <v>0</v>
      </c>
      <c r="Z10" s="1259">
        <f t="shared" ca="1" si="33"/>
        <v>0</v>
      </c>
      <c r="AA10" s="1257">
        <f t="shared" ca="1" si="34"/>
        <v>0</v>
      </c>
      <c r="AB10" s="1260">
        <f t="shared" ca="1" si="35"/>
        <v>0</v>
      </c>
      <c r="AC10" s="1260">
        <f t="shared" ca="1" si="36"/>
        <v>0</v>
      </c>
      <c r="AD10" s="1261">
        <f t="shared" ca="1" si="37"/>
        <v>0</v>
      </c>
      <c r="AE10" s="1262">
        <f t="shared" ca="1" si="38"/>
        <v>0</v>
      </c>
      <c r="AF10" s="1257">
        <f t="shared" ca="1" si="39"/>
        <v>0</v>
      </c>
      <c r="AG10" s="1263">
        <f ca="1">(IF(ISNA(VLOOKUP($I10,'Suivi objectifs'!$D$1:$H$38,3,0)),0,VLOOKUP($I10,'Suivi objectifs'!$D$1:$H$38,3,0))*$J10+IF(ISNA(VLOOKUP($K10,'Suivi objectifs'!$D$1:$H$38,3,0)),0,VLOOKUP($K10,'Suivi objectifs'!$D$1:$H$38,3,0))*$L10+IF(ISNA(VLOOKUP($M10,'Suivi objectifs'!$D$1:$H$38,3,0)),0,VLOOKUP($M10,'Suivi objectifs'!$D$1:$H$38,3,0))*$N10)*1000</f>
        <v>0</v>
      </c>
      <c r="AH10" s="1263">
        <f ca="1">(IF(ISNA(VLOOKUP($I10,'Suivi objectifs'!$D$1:$H$38,4,0)),0,VLOOKUP($I10,'Suivi objectifs'!$D$1:$H$38,4,0))*$J10+IF(ISNA(VLOOKUP($K10,'Suivi objectifs'!$D$1:$H$38,3,0)),0,VLOOKUP($K10,'Suivi objectifs'!$D$1:$H$38,4,0))*$L10+IF(ISNA(VLOOKUP($M10,'Suivi objectifs'!$D$1:$H$38,4,0)),0,VLOOKUP($M10,'Suivi objectifs'!$D$1:$H$38,4,0))*$N10)*1000</f>
        <v>0</v>
      </c>
      <c r="AI10" s="1263">
        <f ca="1">(IF(ISNA(VLOOKUP($I10,'Suivi objectifs'!$D$1:$I$38,6,0)),0,VLOOKUP($I10,'Suivi objectifs'!$D$1:$I$38,6,0))*$J10+IF(ISNA(VLOOKUP($K10,'Suivi objectifs'!$D$1:$I$38,6,0)),0,VLOOKUP($K10,'Suivi objectifs'!$D$1:$I$38,6,0))*$L10+IF(ISNA(VLOOKUP($M10,'Suivi objectifs'!$D$1:$I$38,6,0)),0,VLOOKUP($M10,'Suivi objectifs'!$D$1:$I$38,6,0))*$N10)</f>
        <v>0</v>
      </c>
      <c r="AJ10" s="1837">
        <f t="shared" ca="1" si="40"/>
        <v>0</v>
      </c>
      <c r="AK10" s="1264" t="str">
        <f t="shared" ca="1" si="1"/>
        <v/>
      </c>
      <c r="AL10" s="854" t="str">
        <f t="shared" ca="1" si="2"/>
        <v/>
      </c>
      <c r="AM10" s="1171" t="str">
        <f t="shared" ca="1" si="41"/>
        <v>Autre</v>
      </c>
      <c r="AN10" s="28">
        <f t="shared" ca="1" si="42"/>
        <v>0</v>
      </c>
      <c r="AO10" s="28" t="str">
        <f t="shared" ca="1" si="43"/>
        <v>0_0</v>
      </c>
      <c r="AP10" s="28" t="str">
        <f t="shared" si="4"/>
        <v>A9</v>
      </c>
      <c r="AQ10" s="28">
        <f t="shared" ca="1" si="44"/>
        <v>0</v>
      </c>
      <c r="AR10" s="28">
        <f t="shared" ca="1" si="5"/>
        <v>0</v>
      </c>
      <c r="AS10" s="28">
        <f t="shared" ca="1" si="45"/>
        <v>0</v>
      </c>
      <c r="AT10" s="28">
        <f t="shared" ca="1" si="46"/>
        <v>0</v>
      </c>
      <c r="AU10" s="28">
        <f t="shared" ca="1" si="47"/>
        <v>0</v>
      </c>
      <c r="AV10" s="28">
        <f t="shared" ca="1" si="6"/>
        <v>0</v>
      </c>
      <c r="AW10" s="28">
        <f t="shared" ca="1" si="48"/>
        <v>0</v>
      </c>
      <c r="AX10" s="28">
        <f t="shared" ca="1" si="7"/>
        <v>0</v>
      </c>
      <c r="AY10" s="28">
        <f t="shared" ca="1" si="8"/>
        <v>0</v>
      </c>
      <c r="AZ10" s="28">
        <f t="shared" ca="1" si="9"/>
        <v>0</v>
      </c>
      <c r="BA10" s="28">
        <f t="shared" ca="1" si="10"/>
        <v>0</v>
      </c>
      <c r="BB10" s="28">
        <f ca="1">IF(C10="x",COUNTIF(BB$2:BB9,"&gt;0")+1,0)</f>
        <v>0</v>
      </c>
      <c r="BC10" s="1255"/>
    </row>
    <row r="11" spans="1:55" ht="14.4">
      <c r="A11" s="1171" t="str">
        <f t="shared" si="11"/>
        <v>A10</v>
      </c>
      <c r="B11" s="1256" t="str">
        <f t="shared" ca="1" si="12"/>
        <v/>
      </c>
      <c r="C11" s="1256" t="str">
        <f t="shared" ca="1" si="13"/>
        <v/>
      </c>
      <c r="D11" s="1256" t="str">
        <f t="shared" ca="1" si="49"/>
        <v/>
      </c>
      <c r="E11" s="1256" t="str">
        <f t="shared" ca="1" si="14"/>
        <v/>
      </c>
      <c r="F11" s="1265">
        <v>10</v>
      </c>
      <c r="G11" s="1257">
        <f t="shared" ca="1" si="15"/>
        <v>0</v>
      </c>
      <c r="H11" s="1257">
        <f t="shared" ca="1" si="16"/>
        <v>0</v>
      </c>
      <c r="I11" s="1257" t="str">
        <f t="shared" ca="1" si="17"/>
        <v>-</v>
      </c>
      <c r="J11" s="1258">
        <f t="shared" ca="1" si="18"/>
        <v>0</v>
      </c>
      <c r="K11" s="1257" t="str">
        <f t="shared" ca="1" si="19"/>
        <v>-</v>
      </c>
      <c r="L11" s="1258">
        <f t="shared" ca="1" si="20"/>
        <v>0</v>
      </c>
      <c r="M11" s="1257" t="str">
        <f t="shared" ca="1" si="21"/>
        <v>-</v>
      </c>
      <c r="N11" s="1258">
        <f t="shared" ca="1" si="22"/>
        <v>0</v>
      </c>
      <c r="O11" s="1257">
        <f t="shared" ca="1" si="23"/>
        <v>0</v>
      </c>
      <c r="P11" s="1257">
        <f t="shared" ca="1" si="24"/>
        <v>0</v>
      </c>
      <c r="Q11" s="1257">
        <f t="shared" ca="1" si="25"/>
        <v>0</v>
      </c>
      <c r="R11" s="1257">
        <f t="shared" ca="1" si="26"/>
        <v>0</v>
      </c>
      <c r="S11" s="1257">
        <f t="shared" ca="1" si="27"/>
        <v>0</v>
      </c>
      <c r="T11" s="1257">
        <f t="shared" ca="1" si="28"/>
        <v>0</v>
      </c>
      <c r="U11" s="1257">
        <f t="shared" ca="1" si="29"/>
        <v>0</v>
      </c>
      <c r="V11" s="1257">
        <f t="shared" ca="1" si="0"/>
        <v>0</v>
      </c>
      <c r="W11" s="1257">
        <f t="shared" ca="1" si="30"/>
        <v>0</v>
      </c>
      <c r="X11" s="1257">
        <f t="shared" ca="1" si="31"/>
        <v>0</v>
      </c>
      <c r="Y11" s="1259">
        <f t="shared" ca="1" si="32"/>
        <v>0</v>
      </c>
      <c r="Z11" s="1259">
        <f t="shared" ca="1" si="33"/>
        <v>0</v>
      </c>
      <c r="AA11" s="1257">
        <f t="shared" ca="1" si="34"/>
        <v>0</v>
      </c>
      <c r="AB11" s="1260">
        <f t="shared" ca="1" si="35"/>
        <v>0</v>
      </c>
      <c r="AC11" s="1260">
        <f t="shared" ca="1" si="36"/>
        <v>0</v>
      </c>
      <c r="AD11" s="1261">
        <f t="shared" ca="1" si="37"/>
        <v>0</v>
      </c>
      <c r="AE11" s="1262">
        <f t="shared" ca="1" si="38"/>
        <v>0</v>
      </c>
      <c r="AF11" s="1257">
        <f t="shared" ca="1" si="39"/>
        <v>0</v>
      </c>
      <c r="AG11" s="1263">
        <f ca="1">(IF(ISNA(VLOOKUP($I11,'Suivi objectifs'!$D$1:$H$38,3,0)),0,VLOOKUP($I11,'Suivi objectifs'!$D$1:$H$38,3,0))*$J11+IF(ISNA(VLOOKUP($K11,'Suivi objectifs'!$D$1:$H$38,3,0)),0,VLOOKUP($K11,'Suivi objectifs'!$D$1:$H$38,3,0))*$L11+IF(ISNA(VLOOKUP($M11,'Suivi objectifs'!$D$1:$H$38,3,0)),0,VLOOKUP($M11,'Suivi objectifs'!$D$1:$H$38,3,0))*$N11)*1000</f>
        <v>0</v>
      </c>
      <c r="AH11" s="1263">
        <f ca="1">(IF(ISNA(VLOOKUP($I11,'Suivi objectifs'!$D$1:$H$38,4,0)),0,VLOOKUP($I11,'Suivi objectifs'!$D$1:$H$38,4,0))*$J11+IF(ISNA(VLOOKUP($K11,'Suivi objectifs'!$D$1:$H$38,3,0)),0,VLOOKUP($K11,'Suivi objectifs'!$D$1:$H$38,4,0))*$L11+IF(ISNA(VLOOKUP($M11,'Suivi objectifs'!$D$1:$H$38,4,0)),0,VLOOKUP($M11,'Suivi objectifs'!$D$1:$H$38,4,0))*$N11)*1000</f>
        <v>0</v>
      </c>
      <c r="AI11" s="1263">
        <f ca="1">(IF(ISNA(VLOOKUP($I11,'Suivi objectifs'!$D$1:$I$38,6,0)),0,VLOOKUP($I11,'Suivi objectifs'!$D$1:$I$38,6,0))*$J11+IF(ISNA(VLOOKUP($K11,'Suivi objectifs'!$D$1:$I$38,6,0)),0,VLOOKUP($K11,'Suivi objectifs'!$D$1:$I$38,6,0))*$L11+IF(ISNA(VLOOKUP($M11,'Suivi objectifs'!$D$1:$I$38,6,0)),0,VLOOKUP($M11,'Suivi objectifs'!$D$1:$I$38,6,0))*$N11)</f>
        <v>0</v>
      </c>
      <c r="AJ11" s="1837">
        <f t="shared" ca="1" si="40"/>
        <v>0</v>
      </c>
      <c r="AK11" s="1264" t="str">
        <f t="shared" ca="1" si="1"/>
        <v/>
      </c>
      <c r="AL11" s="854" t="str">
        <f t="shared" ca="1" si="2"/>
        <v/>
      </c>
      <c r="AM11" s="1171" t="str">
        <f t="shared" ca="1" si="41"/>
        <v>Autre</v>
      </c>
      <c r="AN11" s="28">
        <f t="shared" ca="1" si="42"/>
        <v>0</v>
      </c>
      <c r="AO11" s="28" t="str">
        <f t="shared" ca="1" si="43"/>
        <v>0_0</v>
      </c>
      <c r="AP11" s="28" t="str">
        <f t="shared" si="4"/>
        <v>A10</v>
      </c>
      <c r="AQ11" s="28">
        <f t="shared" ca="1" si="44"/>
        <v>0</v>
      </c>
      <c r="AR11" s="28">
        <f t="shared" ca="1" si="5"/>
        <v>0</v>
      </c>
      <c r="AS11" s="28">
        <f t="shared" ca="1" si="45"/>
        <v>0</v>
      </c>
      <c r="AT11" s="28">
        <f t="shared" ca="1" si="46"/>
        <v>0</v>
      </c>
      <c r="AU11" s="28">
        <f t="shared" ca="1" si="47"/>
        <v>0</v>
      </c>
      <c r="AV11" s="28">
        <f t="shared" ca="1" si="6"/>
        <v>0</v>
      </c>
      <c r="AW11" s="28">
        <f t="shared" ca="1" si="48"/>
        <v>0</v>
      </c>
      <c r="AX11" s="28">
        <f t="shared" ca="1" si="7"/>
        <v>0</v>
      </c>
      <c r="AY11" s="28">
        <f t="shared" ca="1" si="8"/>
        <v>0</v>
      </c>
      <c r="AZ11" s="28">
        <f t="shared" ca="1" si="9"/>
        <v>0</v>
      </c>
      <c r="BA11" s="28">
        <f t="shared" ca="1" si="10"/>
        <v>0</v>
      </c>
      <c r="BB11" s="28">
        <f ca="1">IF(C11="x",COUNTIF(BB$2:BB10,"&gt;0")+1,0)</f>
        <v>0</v>
      </c>
      <c r="BC11" s="1255"/>
    </row>
    <row r="12" spans="1:55" ht="14.4">
      <c r="A12" s="1171" t="str">
        <f t="shared" si="11"/>
        <v>A11</v>
      </c>
      <c r="B12" s="1256" t="str">
        <f t="shared" ca="1" si="12"/>
        <v/>
      </c>
      <c r="C12" s="1256" t="str">
        <f t="shared" ca="1" si="13"/>
        <v/>
      </c>
      <c r="D12" s="1256" t="str">
        <f t="shared" ca="1" si="49"/>
        <v/>
      </c>
      <c r="E12" s="1256" t="str">
        <f t="shared" ca="1" si="14"/>
        <v/>
      </c>
      <c r="F12" s="1265">
        <v>11</v>
      </c>
      <c r="G12" s="1257">
        <f t="shared" ca="1" si="15"/>
        <v>0</v>
      </c>
      <c r="H12" s="1257">
        <f t="shared" ca="1" si="16"/>
        <v>0</v>
      </c>
      <c r="I12" s="1257" t="str">
        <f t="shared" ca="1" si="17"/>
        <v>-</v>
      </c>
      <c r="J12" s="1258">
        <f t="shared" ca="1" si="18"/>
        <v>0</v>
      </c>
      <c r="K12" s="1257" t="str">
        <f t="shared" ca="1" si="19"/>
        <v>-</v>
      </c>
      <c r="L12" s="1258">
        <f t="shared" ca="1" si="20"/>
        <v>0</v>
      </c>
      <c r="M12" s="1257" t="str">
        <f t="shared" ca="1" si="21"/>
        <v>-</v>
      </c>
      <c r="N12" s="1258">
        <f t="shared" ca="1" si="22"/>
        <v>0</v>
      </c>
      <c r="O12" s="1257">
        <f t="shared" ca="1" si="23"/>
        <v>0</v>
      </c>
      <c r="P12" s="1257">
        <f t="shared" ca="1" si="24"/>
        <v>0</v>
      </c>
      <c r="Q12" s="1257">
        <f t="shared" ca="1" si="25"/>
        <v>0</v>
      </c>
      <c r="R12" s="1257">
        <f t="shared" ca="1" si="26"/>
        <v>0</v>
      </c>
      <c r="S12" s="1257">
        <f t="shared" ca="1" si="27"/>
        <v>0</v>
      </c>
      <c r="T12" s="1257">
        <f t="shared" ca="1" si="28"/>
        <v>0</v>
      </c>
      <c r="U12" s="1257">
        <f t="shared" ca="1" si="29"/>
        <v>0</v>
      </c>
      <c r="V12" s="1257">
        <f t="shared" ca="1" si="0"/>
        <v>0</v>
      </c>
      <c r="W12" s="1257">
        <f t="shared" ca="1" si="30"/>
        <v>0</v>
      </c>
      <c r="X12" s="1257">
        <f t="shared" ca="1" si="31"/>
        <v>0</v>
      </c>
      <c r="Y12" s="1259">
        <f t="shared" ca="1" si="32"/>
        <v>0</v>
      </c>
      <c r="Z12" s="1259">
        <f t="shared" ca="1" si="33"/>
        <v>0</v>
      </c>
      <c r="AA12" s="1257">
        <f t="shared" ca="1" si="34"/>
        <v>0</v>
      </c>
      <c r="AB12" s="1260">
        <f t="shared" ca="1" si="35"/>
        <v>0</v>
      </c>
      <c r="AC12" s="1260">
        <f t="shared" ca="1" si="36"/>
        <v>0</v>
      </c>
      <c r="AD12" s="1261">
        <f t="shared" ca="1" si="37"/>
        <v>0</v>
      </c>
      <c r="AE12" s="1262">
        <f t="shared" ca="1" si="38"/>
        <v>0</v>
      </c>
      <c r="AF12" s="1257">
        <f t="shared" ca="1" si="39"/>
        <v>0</v>
      </c>
      <c r="AG12" s="1263">
        <f ca="1">(IF(ISNA(VLOOKUP($I12,'Suivi objectifs'!$D$1:$H$38,3,0)),0,VLOOKUP($I12,'Suivi objectifs'!$D$1:$H$38,3,0))*$J12+IF(ISNA(VLOOKUP($K12,'Suivi objectifs'!$D$1:$H$38,3,0)),0,VLOOKUP($K12,'Suivi objectifs'!$D$1:$H$38,3,0))*$L12+IF(ISNA(VLOOKUP($M12,'Suivi objectifs'!$D$1:$H$38,3,0)),0,VLOOKUP($M12,'Suivi objectifs'!$D$1:$H$38,3,0))*$N12)*1000</f>
        <v>0</v>
      </c>
      <c r="AH12" s="1263">
        <f ca="1">(IF(ISNA(VLOOKUP($I12,'Suivi objectifs'!$D$1:$H$38,4,0)),0,VLOOKUP($I12,'Suivi objectifs'!$D$1:$H$38,4,0))*$J12+IF(ISNA(VLOOKUP($K12,'Suivi objectifs'!$D$1:$H$38,3,0)),0,VLOOKUP($K12,'Suivi objectifs'!$D$1:$H$38,4,0))*$L12+IF(ISNA(VLOOKUP($M12,'Suivi objectifs'!$D$1:$H$38,4,0)),0,VLOOKUP($M12,'Suivi objectifs'!$D$1:$H$38,4,0))*$N12)*1000</f>
        <v>0</v>
      </c>
      <c r="AI12" s="1263">
        <f ca="1">(IF(ISNA(VLOOKUP($I12,'Suivi objectifs'!$D$1:$I$38,6,0)),0,VLOOKUP($I12,'Suivi objectifs'!$D$1:$I$38,6,0))*$J12+IF(ISNA(VLOOKUP($K12,'Suivi objectifs'!$D$1:$I$38,6,0)),0,VLOOKUP($K12,'Suivi objectifs'!$D$1:$I$38,6,0))*$L12+IF(ISNA(VLOOKUP($M12,'Suivi objectifs'!$D$1:$I$38,6,0)),0,VLOOKUP($M12,'Suivi objectifs'!$D$1:$I$38,6,0))*$N12)</f>
        <v>0</v>
      </c>
      <c r="AJ12" s="1837">
        <f t="shared" ca="1" si="40"/>
        <v>0</v>
      </c>
      <c r="AK12" s="1264" t="str">
        <f t="shared" ca="1" si="1"/>
        <v/>
      </c>
      <c r="AL12" s="854" t="str">
        <f t="shared" ca="1" si="2"/>
        <v/>
      </c>
      <c r="AM12" s="1171" t="str">
        <f t="shared" ca="1" si="41"/>
        <v>Autre</v>
      </c>
      <c r="AN12" s="28">
        <f t="shared" ca="1" si="42"/>
        <v>0</v>
      </c>
      <c r="AO12" s="28" t="str">
        <f t="shared" ca="1" si="43"/>
        <v>0_0</v>
      </c>
      <c r="AP12" s="28" t="str">
        <f t="shared" si="4"/>
        <v>A11</v>
      </c>
      <c r="AQ12" s="28">
        <f t="shared" ca="1" si="44"/>
        <v>0</v>
      </c>
      <c r="AR12" s="28">
        <f t="shared" ca="1" si="5"/>
        <v>0</v>
      </c>
      <c r="AS12" s="28">
        <f t="shared" ca="1" si="45"/>
        <v>0</v>
      </c>
      <c r="AT12" s="28">
        <f t="shared" ca="1" si="46"/>
        <v>0</v>
      </c>
      <c r="AU12" s="28">
        <f t="shared" ca="1" si="47"/>
        <v>0</v>
      </c>
      <c r="AV12" s="28">
        <f t="shared" ca="1" si="6"/>
        <v>0</v>
      </c>
      <c r="AW12" s="28">
        <f t="shared" ca="1" si="48"/>
        <v>0</v>
      </c>
      <c r="AX12" s="28">
        <f t="shared" ca="1" si="7"/>
        <v>0</v>
      </c>
      <c r="AY12" s="28">
        <f t="shared" ca="1" si="8"/>
        <v>0</v>
      </c>
      <c r="AZ12" s="28">
        <f t="shared" ca="1" si="9"/>
        <v>0</v>
      </c>
      <c r="BA12" s="28">
        <f t="shared" ca="1" si="10"/>
        <v>0</v>
      </c>
      <c r="BB12" s="28">
        <f ca="1">IF(C12="x",COUNTIF(BB$2:BB11,"&gt;0")+1,0)</f>
        <v>0</v>
      </c>
      <c r="BC12" s="1255"/>
    </row>
    <row r="13" spans="1:55" ht="14.4">
      <c r="A13" s="1171" t="str">
        <f t="shared" si="11"/>
        <v>A12</v>
      </c>
      <c r="B13" s="1256" t="str">
        <f t="shared" ca="1" si="12"/>
        <v/>
      </c>
      <c r="C13" s="1256" t="str">
        <f t="shared" ca="1" si="13"/>
        <v/>
      </c>
      <c r="D13" s="1256" t="str">
        <f t="shared" ca="1" si="49"/>
        <v/>
      </c>
      <c r="E13" s="1256" t="str">
        <f t="shared" ca="1" si="14"/>
        <v/>
      </c>
      <c r="F13" s="1265">
        <v>12</v>
      </c>
      <c r="G13" s="1257">
        <f t="shared" ca="1" si="15"/>
        <v>0</v>
      </c>
      <c r="H13" s="1257">
        <f t="shared" ca="1" si="16"/>
        <v>0</v>
      </c>
      <c r="I13" s="1257" t="str">
        <f t="shared" ca="1" si="17"/>
        <v>-</v>
      </c>
      <c r="J13" s="1258">
        <f t="shared" ca="1" si="18"/>
        <v>0</v>
      </c>
      <c r="K13" s="1257" t="str">
        <f t="shared" ca="1" si="19"/>
        <v>-</v>
      </c>
      <c r="L13" s="1258">
        <f t="shared" ca="1" si="20"/>
        <v>0</v>
      </c>
      <c r="M13" s="1257" t="str">
        <f t="shared" ca="1" si="21"/>
        <v>-</v>
      </c>
      <c r="N13" s="1258">
        <f t="shared" ca="1" si="22"/>
        <v>0</v>
      </c>
      <c r="O13" s="1257">
        <f t="shared" ca="1" si="23"/>
        <v>0</v>
      </c>
      <c r="P13" s="1257">
        <f t="shared" ca="1" si="24"/>
        <v>0</v>
      </c>
      <c r="Q13" s="1257">
        <f t="shared" ca="1" si="25"/>
        <v>0</v>
      </c>
      <c r="R13" s="1257">
        <f t="shared" ca="1" si="26"/>
        <v>0</v>
      </c>
      <c r="S13" s="1257">
        <f t="shared" ca="1" si="27"/>
        <v>0</v>
      </c>
      <c r="T13" s="1257">
        <f t="shared" ca="1" si="28"/>
        <v>0</v>
      </c>
      <c r="U13" s="1257">
        <f t="shared" ca="1" si="29"/>
        <v>0</v>
      </c>
      <c r="V13" s="1257">
        <f t="shared" ca="1" si="0"/>
        <v>0</v>
      </c>
      <c r="W13" s="1257">
        <f t="shared" ca="1" si="30"/>
        <v>0</v>
      </c>
      <c r="X13" s="1257">
        <f t="shared" ca="1" si="31"/>
        <v>0</v>
      </c>
      <c r="Y13" s="1259">
        <f t="shared" ca="1" si="32"/>
        <v>0</v>
      </c>
      <c r="Z13" s="1259">
        <f t="shared" ca="1" si="33"/>
        <v>0</v>
      </c>
      <c r="AA13" s="1257">
        <f t="shared" ca="1" si="34"/>
        <v>0</v>
      </c>
      <c r="AB13" s="1260">
        <f t="shared" ca="1" si="35"/>
        <v>0</v>
      </c>
      <c r="AC13" s="1260">
        <f t="shared" ca="1" si="36"/>
        <v>0</v>
      </c>
      <c r="AD13" s="1261">
        <f t="shared" ca="1" si="37"/>
        <v>0</v>
      </c>
      <c r="AE13" s="1262">
        <f t="shared" ca="1" si="38"/>
        <v>0</v>
      </c>
      <c r="AF13" s="1257">
        <f t="shared" ca="1" si="39"/>
        <v>0</v>
      </c>
      <c r="AG13" s="1263">
        <f ca="1">(IF(ISNA(VLOOKUP($I13,'Suivi objectifs'!$D$1:$H$38,3,0)),0,VLOOKUP($I13,'Suivi objectifs'!$D$1:$H$38,3,0))*$J13+IF(ISNA(VLOOKUP($K13,'Suivi objectifs'!$D$1:$H$38,3,0)),0,VLOOKUP($K13,'Suivi objectifs'!$D$1:$H$38,3,0))*$L13+IF(ISNA(VLOOKUP($M13,'Suivi objectifs'!$D$1:$H$38,3,0)),0,VLOOKUP($M13,'Suivi objectifs'!$D$1:$H$38,3,0))*$N13)*1000</f>
        <v>0</v>
      </c>
      <c r="AH13" s="1263">
        <f ca="1">(IF(ISNA(VLOOKUP($I13,'Suivi objectifs'!$D$1:$H$38,4,0)),0,VLOOKUP($I13,'Suivi objectifs'!$D$1:$H$38,4,0))*$J13+IF(ISNA(VLOOKUP($K13,'Suivi objectifs'!$D$1:$H$38,3,0)),0,VLOOKUP($K13,'Suivi objectifs'!$D$1:$H$38,4,0))*$L13+IF(ISNA(VLOOKUP($M13,'Suivi objectifs'!$D$1:$H$38,4,0)),0,VLOOKUP($M13,'Suivi objectifs'!$D$1:$H$38,4,0))*$N13)*1000</f>
        <v>0</v>
      </c>
      <c r="AI13" s="1263">
        <f ca="1">(IF(ISNA(VLOOKUP($I13,'Suivi objectifs'!$D$1:$I$38,6,0)),0,VLOOKUP($I13,'Suivi objectifs'!$D$1:$I$38,6,0))*$J13+IF(ISNA(VLOOKUP($K13,'Suivi objectifs'!$D$1:$I$38,6,0)),0,VLOOKUP($K13,'Suivi objectifs'!$D$1:$I$38,6,0))*$L13+IF(ISNA(VLOOKUP($M13,'Suivi objectifs'!$D$1:$I$38,6,0)),0,VLOOKUP($M13,'Suivi objectifs'!$D$1:$I$38,6,0))*$N13)</f>
        <v>0</v>
      </c>
      <c r="AJ13" s="1837">
        <f t="shared" ca="1" si="40"/>
        <v>0</v>
      </c>
      <c r="AK13" s="1264" t="str">
        <f t="shared" ca="1" si="1"/>
        <v/>
      </c>
      <c r="AL13" s="854" t="str">
        <f t="shared" ca="1" si="2"/>
        <v/>
      </c>
      <c r="AM13" s="1171" t="str">
        <f t="shared" ca="1" si="41"/>
        <v>Autre</v>
      </c>
      <c r="AN13" s="28">
        <f t="shared" ca="1" si="42"/>
        <v>0</v>
      </c>
      <c r="AO13" s="28" t="str">
        <f t="shared" ca="1" si="43"/>
        <v>0_0</v>
      </c>
      <c r="AP13" s="28" t="str">
        <f t="shared" si="4"/>
        <v>A12</v>
      </c>
      <c r="AQ13" s="28">
        <f t="shared" ca="1" si="44"/>
        <v>0</v>
      </c>
      <c r="AR13" s="28">
        <f t="shared" ca="1" si="5"/>
        <v>0</v>
      </c>
      <c r="AS13" s="28">
        <f t="shared" ca="1" si="45"/>
        <v>0</v>
      </c>
      <c r="AT13" s="28">
        <f t="shared" ca="1" si="46"/>
        <v>0</v>
      </c>
      <c r="AU13" s="28">
        <f t="shared" ca="1" si="47"/>
        <v>0</v>
      </c>
      <c r="AV13" s="28">
        <f t="shared" ca="1" si="6"/>
        <v>0</v>
      </c>
      <c r="AW13" s="28">
        <f t="shared" ca="1" si="48"/>
        <v>0</v>
      </c>
      <c r="AX13" s="28">
        <f t="shared" ca="1" si="7"/>
        <v>0</v>
      </c>
      <c r="AY13" s="28">
        <f t="shared" ca="1" si="8"/>
        <v>0</v>
      </c>
      <c r="AZ13" s="28">
        <f t="shared" ca="1" si="9"/>
        <v>0</v>
      </c>
      <c r="BA13" s="28">
        <f t="shared" ca="1" si="10"/>
        <v>0</v>
      </c>
      <c r="BB13" s="28">
        <f ca="1">IF(C13="x",COUNTIF(BB$2:BB12,"&gt;0")+1,0)</f>
        <v>0</v>
      </c>
      <c r="BC13" s="1255"/>
    </row>
    <row r="14" spans="1:55" ht="14.4">
      <c r="A14" s="1171" t="str">
        <f t="shared" si="11"/>
        <v>A13</v>
      </c>
      <c r="B14" s="1256" t="str">
        <f t="shared" ca="1" si="12"/>
        <v/>
      </c>
      <c r="C14" s="1256" t="str">
        <f t="shared" ca="1" si="13"/>
        <v/>
      </c>
      <c r="D14" s="1256" t="str">
        <f t="shared" ca="1" si="49"/>
        <v/>
      </c>
      <c r="E14" s="1256" t="str">
        <f t="shared" ca="1" si="14"/>
        <v/>
      </c>
      <c r="F14" s="1265">
        <v>13</v>
      </c>
      <c r="G14" s="1257">
        <f t="shared" ca="1" si="15"/>
        <v>0</v>
      </c>
      <c r="H14" s="1257">
        <f t="shared" ca="1" si="16"/>
        <v>0</v>
      </c>
      <c r="I14" s="1257" t="str">
        <f t="shared" ca="1" si="17"/>
        <v>-</v>
      </c>
      <c r="J14" s="1258">
        <f t="shared" ca="1" si="18"/>
        <v>0</v>
      </c>
      <c r="K14" s="1257" t="str">
        <f t="shared" ca="1" si="19"/>
        <v>-</v>
      </c>
      <c r="L14" s="1258">
        <f t="shared" ca="1" si="20"/>
        <v>0</v>
      </c>
      <c r="M14" s="1257" t="str">
        <f t="shared" ca="1" si="21"/>
        <v>-</v>
      </c>
      <c r="N14" s="1258">
        <f t="shared" ca="1" si="22"/>
        <v>0</v>
      </c>
      <c r="O14" s="1257">
        <f t="shared" ca="1" si="23"/>
        <v>0</v>
      </c>
      <c r="P14" s="1257">
        <f t="shared" ca="1" si="24"/>
        <v>0</v>
      </c>
      <c r="Q14" s="1257">
        <f t="shared" ca="1" si="25"/>
        <v>0</v>
      </c>
      <c r="R14" s="1257">
        <f t="shared" ca="1" si="26"/>
        <v>0</v>
      </c>
      <c r="S14" s="1257">
        <f t="shared" ca="1" si="27"/>
        <v>0</v>
      </c>
      <c r="T14" s="1257">
        <f t="shared" ca="1" si="28"/>
        <v>0</v>
      </c>
      <c r="U14" s="1257">
        <f t="shared" ca="1" si="29"/>
        <v>0</v>
      </c>
      <c r="V14" s="1257">
        <f t="shared" ca="1" si="0"/>
        <v>0</v>
      </c>
      <c r="W14" s="1257">
        <f t="shared" ca="1" si="30"/>
        <v>0</v>
      </c>
      <c r="X14" s="1257">
        <f t="shared" ca="1" si="31"/>
        <v>0</v>
      </c>
      <c r="Y14" s="1259">
        <f t="shared" ca="1" si="32"/>
        <v>0</v>
      </c>
      <c r="Z14" s="1259">
        <f t="shared" ca="1" si="33"/>
        <v>0</v>
      </c>
      <c r="AA14" s="1257">
        <f t="shared" ca="1" si="34"/>
        <v>0</v>
      </c>
      <c r="AB14" s="1260">
        <f t="shared" ca="1" si="35"/>
        <v>0</v>
      </c>
      <c r="AC14" s="1260">
        <f t="shared" ca="1" si="36"/>
        <v>0</v>
      </c>
      <c r="AD14" s="1261">
        <f t="shared" ca="1" si="37"/>
        <v>0</v>
      </c>
      <c r="AE14" s="1262">
        <f t="shared" ca="1" si="38"/>
        <v>0</v>
      </c>
      <c r="AF14" s="1257">
        <f t="shared" ca="1" si="39"/>
        <v>0</v>
      </c>
      <c r="AG14" s="1263">
        <f ca="1">(IF(ISNA(VLOOKUP($I14,'Suivi objectifs'!$D$1:$H$38,3,0)),0,VLOOKUP($I14,'Suivi objectifs'!$D$1:$H$38,3,0))*$J14+IF(ISNA(VLOOKUP($K14,'Suivi objectifs'!$D$1:$H$38,3,0)),0,VLOOKUP($K14,'Suivi objectifs'!$D$1:$H$38,3,0))*$L14+IF(ISNA(VLOOKUP($M14,'Suivi objectifs'!$D$1:$H$38,3,0)),0,VLOOKUP($M14,'Suivi objectifs'!$D$1:$H$38,3,0))*$N14)*1000</f>
        <v>0</v>
      </c>
      <c r="AH14" s="1263">
        <f ca="1">(IF(ISNA(VLOOKUP($I14,'Suivi objectifs'!$D$1:$H$38,4,0)),0,VLOOKUP($I14,'Suivi objectifs'!$D$1:$H$38,4,0))*$J14+IF(ISNA(VLOOKUP($K14,'Suivi objectifs'!$D$1:$H$38,3,0)),0,VLOOKUP($K14,'Suivi objectifs'!$D$1:$H$38,4,0))*$L14+IF(ISNA(VLOOKUP($M14,'Suivi objectifs'!$D$1:$H$38,4,0)),0,VLOOKUP($M14,'Suivi objectifs'!$D$1:$H$38,4,0))*$N14)*1000</f>
        <v>0</v>
      </c>
      <c r="AI14" s="1263">
        <f ca="1">(IF(ISNA(VLOOKUP($I14,'Suivi objectifs'!$D$1:$I$38,6,0)),0,VLOOKUP($I14,'Suivi objectifs'!$D$1:$I$38,6,0))*$J14+IF(ISNA(VLOOKUP($K14,'Suivi objectifs'!$D$1:$I$38,6,0)),0,VLOOKUP($K14,'Suivi objectifs'!$D$1:$I$38,6,0))*$L14+IF(ISNA(VLOOKUP($M14,'Suivi objectifs'!$D$1:$I$38,6,0)),0,VLOOKUP($M14,'Suivi objectifs'!$D$1:$I$38,6,0))*$N14)</f>
        <v>0</v>
      </c>
      <c r="AJ14" s="1837">
        <f t="shared" ca="1" si="40"/>
        <v>0</v>
      </c>
      <c r="AK14" s="1264" t="str">
        <f t="shared" ca="1" si="1"/>
        <v/>
      </c>
      <c r="AL14" s="854" t="str">
        <f t="shared" ca="1" si="2"/>
        <v/>
      </c>
      <c r="AM14" s="1171" t="str">
        <f t="shared" ca="1" si="41"/>
        <v>Autre</v>
      </c>
      <c r="AN14" s="28">
        <f t="shared" ca="1" si="42"/>
        <v>0</v>
      </c>
      <c r="AO14" s="28" t="str">
        <f t="shared" ca="1" si="43"/>
        <v>0_0</v>
      </c>
      <c r="AP14" s="28" t="str">
        <f t="shared" si="4"/>
        <v>A13</v>
      </c>
      <c r="AQ14" s="28">
        <f t="shared" ca="1" si="44"/>
        <v>0</v>
      </c>
      <c r="AR14" s="28">
        <f t="shared" ca="1" si="5"/>
        <v>0</v>
      </c>
      <c r="AS14" s="28">
        <f t="shared" ca="1" si="45"/>
        <v>0</v>
      </c>
      <c r="AT14" s="28">
        <f t="shared" ca="1" si="46"/>
        <v>0</v>
      </c>
      <c r="AU14" s="28">
        <f t="shared" ca="1" si="47"/>
        <v>0</v>
      </c>
      <c r="AV14" s="28">
        <f t="shared" ca="1" si="6"/>
        <v>0</v>
      </c>
      <c r="AW14" s="28">
        <f t="shared" ca="1" si="48"/>
        <v>0</v>
      </c>
      <c r="AX14" s="28">
        <f t="shared" ca="1" si="7"/>
        <v>0</v>
      </c>
      <c r="AY14" s="28">
        <f t="shared" ca="1" si="8"/>
        <v>0</v>
      </c>
      <c r="AZ14" s="28">
        <f t="shared" ca="1" si="9"/>
        <v>0</v>
      </c>
      <c r="BA14" s="28">
        <f t="shared" ca="1" si="10"/>
        <v>0</v>
      </c>
      <c r="BB14" s="28">
        <f ca="1">IF(C14="x",COUNTIF(BB$2:BB13,"&gt;0")+1,0)</f>
        <v>0</v>
      </c>
      <c r="BC14" s="1255"/>
    </row>
    <row r="15" spans="1:55" ht="14.4">
      <c r="A15" s="1171" t="str">
        <f t="shared" si="11"/>
        <v>A14</v>
      </c>
      <c r="B15" s="1256" t="str">
        <f t="shared" ca="1" si="12"/>
        <v/>
      </c>
      <c r="C15" s="1256" t="str">
        <f t="shared" ca="1" si="13"/>
        <v/>
      </c>
      <c r="D15" s="1256" t="str">
        <f t="shared" ca="1" si="49"/>
        <v/>
      </c>
      <c r="E15" s="1256" t="str">
        <f t="shared" ca="1" si="14"/>
        <v/>
      </c>
      <c r="F15" s="1265">
        <v>14</v>
      </c>
      <c r="G15" s="1257">
        <f t="shared" ca="1" si="15"/>
        <v>0</v>
      </c>
      <c r="H15" s="1257">
        <f t="shared" ca="1" si="16"/>
        <v>0</v>
      </c>
      <c r="I15" s="1257" t="str">
        <f t="shared" ca="1" si="17"/>
        <v>-</v>
      </c>
      <c r="J15" s="1258">
        <f t="shared" ca="1" si="18"/>
        <v>0</v>
      </c>
      <c r="K15" s="1257" t="str">
        <f t="shared" ca="1" si="19"/>
        <v>-</v>
      </c>
      <c r="L15" s="1258">
        <f t="shared" ca="1" si="20"/>
        <v>0</v>
      </c>
      <c r="M15" s="1257" t="str">
        <f t="shared" ca="1" si="21"/>
        <v>-</v>
      </c>
      <c r="N15" s="1258">
        <f t="shared" ca="1" si="22"/>
        <v>0</v>
      </c>
      <c r="O15" s="1257">
        <f t="shared" ca="1" si="23"/>
        <v>0</v>
      </c>
      <c r="P15" s="1257">
        <f t="shared" ca="1" si="24"/>
        <v>0</v>
      </c>
      <c r="Q15" s="1257">
        <f t="shared" ca="1" si="25"/>
        <v>0</v>
      </c>
      <c r="R15" s="1257">
        <f t="shared" ca="1" si="26"/>
        <v>0</v>
      </c>
      <c r="S15" s="1257">
        <f t="shared" ca="1" si="27"/>
        <v>0</v>
      </c>
      <c r="T15" s="1257">
        <f t="shared" ca="1" si="28"/>
        <v>0</v>
      </c>
      <c r="U15" s="1257">
        <f t="shared" ca="1" si="29"/>
        <v>0</v>
      </c>
      <c r="V15" s="1257">
        <f t="shared" ca="1" si="0"/>
        <v>0</v>
      </c>
      <c r="W15" s="1257">
        <f t="shared" ca="1" si="30"/>
        <v>0</v>
      </c>
      <c r="X15" s="1257">
        <f t="shared" ca="1" si="31"/>
        <v>0</v>
      </c>
      <c r="Y15" s="1259">
        <f t="shared" ca="1" si="32"/>
        <v>0</v>
      </c>
      <c r="Z15" s="1259">
        <f t="shared" ca="1" si="33"/>
        <v>0</v>
      </c>
      <c r="AA15" s="1257">
        <f t="shared" ca="1" si="34"/>
        <v>0</v>
      </c>
      <c r="AB15" s="1260">
        <f t="shared" ca="1" si="35"/>
        <v>0</v>
      </c>
      <c r="AC15" s="1260">
        <f t="shared" ca="1" si="36"/>
        <v>0</v>
      </c>
      <c r="AD15" s="1261">
        <f t="shared" ca="1" si="37"/>
        <v>0</v>
      </c>
      <c r="AE15" s="1262">
        <f t="shared" ca="1" si="38"/>
        <v>0</v>
      </c>
      <c r="AF15" s="1257">
        <f t="shared" ca="1" si="39"/>
        <v>0</v>
      </c>
      <c r="AG15" s="1263">
        <f ca="1">(IF(ISNA(VLOOKUP($I15,'Suivi objectifs'!$D$1:$H$38,3,0)),0,VLOOKUP($I15,'Suivi objectifs'!$D$1:$H$38,3,0))*$J15+IF(ISNA(VLOOKUP($K15,'Suivi objectifs'!$D$1:$H$38,3,0)),0,VLOOKUP($K15,'Suivi objectifs'!$D$1:$H$38,3,0))*$L15+IF(ISNA(VLOOKUP($M15,'Suivi objectifs'!$D$1:$H$38,3,0)),0,VLOOKUP($M15,'Suivi objectifs'!$D$1:$H$38,3,0))*$N15)*1000</f>
        <v>0</v>
      </c>
      <c r="AH15" s="1263">
        <f ca="1">(IF(ISNA(VLOOKUP($I15,'Suivi objectifs'!$D$1:$H$38,4,0)),0,VLOOKUP($I15,'Suivi objectifs'!$D$1:$H$38,4,0))*$J15+IF(ISNA(VLOOKUP($K15,'Suivi objectifs'!$D$1:$H$38,3,0)),0,VLOOKUP($K15,'Suivi objectifs'!$D$1:$H$38,4,0))*$L15+IF(ISNA(VLOOKUP($M15,'Suivi objectifs'!$D$1:$H$38,4,0)),0,VLOOKUP($M15,'Suivi objectifs'!$D$1:$H$38,4,0))*$N15)*1000</f>
        <v>0</v>
      </c>
      <c r="AI15" s="1263">
        <f ca="1">(IF(ISNA(VLOOKUP($I15,'Suivi objectifs'!$D$1:$I$38,6,0)),0,VLOOKUP($I15,'Suivi objectifs'!$D$1:$I$38,6,0))*$J15+IF(ISNA(VLOOKUP($K15,'Suivi objectifs'!$D$1:$I$38,6,0)),0,VLOOKUP($K15,'Suivi objectifs'!$D$1:$I$38,6,0))*$L15+IF(ISNA(VLOOKUP($M15,'Suivi objectifs'!$D$1:$I$38,6,0)),0,VLOOKUP($M15,'Suivi objectifs'!$D$1:$I$38,6,0))*$N15)</f>
        <v>0</v>
      </c>
      <c r="AJ15" s="1837">
        <f t="shared" ca="1" si="40"/>
        <v>0</v>
      </c>
      <c r="AK15" s="1264" t="str">
        <f t="shared" ca="1" si="1"/>
        <v/>
      </c>
      <c r="AL15" s="854" t="str">
        <f t="shared" ca="1" si="2"/>
        <v/>
      </c>
      <c r="AM15" s="1171" t="str">
        <f t="shared" ca="1" si="41"/>
        <v>Autre</v>
      </c>
      <c r="AN15" s="28">
        <f t="shared" ca="1" si="42"/>
        <v>0</v>
      </c>
      <c r="AO15" s="28" t="str">
        <f t="shared" ca="1" si="43"/>
        <v>0_0</v>
      </c>
      <c r="AP15" s="28" t="str">
        <f t="shared" si="4"/>
        <v>A14</v>
      </c>
      <c r="AQ15" s="28">
        <f t="shared" ca="1" si="44"/>
        <v>0</v>
      </c>
      <c r="AR15" s="28">
        <f t="shared" ca="1" si="5"/>
        <v>0</v>
      </c>
      <c r="AS15" s="28">
        <f t="shared" ca="1" si="45"/>
        <v>0</v>
      </c>
      <c r="AT15" s="28">
        <f t="shared" ca="1" si="46"/>
        <v>0</v>
      </c>
      <c r="AU15" s="28">
        <f t="shared" ca="1" si="47"/>
        <v>0</v>
      </c>
      <c r="AV15" s="28">
        <f t="shared" ca="1" si="6"/>
        <v>0</v>
      </c>
      <c r="AW15" s="28">
        <f t="shared" ca="1" si="48"/>
        <v>0</v>
      </c>
      <c r="AX15" s="28">
        <f t="shared" ca="1" si="7"/>
        <v>0</v>
      </c>
      <c r="AY15" s="28">
        <f t="shared" ca="1" si="8"/>
        <v>0</v>
      </c>
      <c r="AZ15" s="28">
        <f t="shared" ca="1" si="9"/>
        <v>0</v>
      </c>
      <c r="BA15" s="28">
        <f t="shared" ca="1" si="10"/>
        <v>0</v>
      </c>
      <c r="BB15" s="28">
        <f ca="1">IF(C15="x",COUNTIF(BB$2:BB14,"&gt;0")+1,0)</f>
        <v>0</v>
      </c>
      <c r="BC15" s="1255"/>
    </row>
    <row r="16" spans="1:55" ht="14.4">
      <c r="A16" s="1171" t="str">
        <f t="shared" si="11"/>
        <v>A15</v>
      </c>
      <c r="B16" s="1256" t="str">
        <f t="shared" ca="1" si="12"/>
        <v/>
      </c>
      <c r="C16" s="1256" t="str">
        <f t="shared" ca="1" si="13"/>
        <v/>
      </c>
      <c r="D16" s="1256" t="str">
        <f t="shared" ca="1" si="49"/>
        <v/>
      </c>
      <c r="E16" s="1256" t="str">
        <f t="shared" ca="1" si="14"/>
        <v/>
      </c>
      <c r="F16" s="1265">
        <v>15</v>
      </c>
      <c r="G16" s="1257">
        <f t="shared" ca="1" si="15"/>
        <v>0</v>
      </c>
      <c r="H16" s="1257">
        <f t="shared" ca="1" si="16"/>
        <v>0</v>
      </c>
      <c r="I16" s="1257" t="str">
        <f t="shared" ca="1" si="17"/>
        <v>-</v>
      </c>
      <c r="J16" s="1258">
        <f t="shared" ca="1" si="18"/>
        <v>0</v>
      </c>
      <c r="K16" s="1257" t="str">
        <f t="shared" ca="1" si="19"/>
        <v>-</v>
      </c>
      <c r="L16" s="1258">
        <f t="shared" ca="1" si="20"/>
        <v>0</v>
      </c>
      <c r="M16" s="1257" t="str">
        <f t="shared" ca="1" si="21"/>
        <v>-</v>
      </c>
      <c r="N16" s="1258">
        <f t="shared" ca="1" si="22"/>
        <v>0</v>
      </c>
      <c r="O16" s="1257">
        <f t="shared" ca="1" si="23"/>
        <v>0</v>
      </c>
      <c r="P16" s="1257">
        <f t="shared" ca="1" si="24"/>
        <v>0</v>
      </c>
      <c r="Q16" s="1257">
        <f t="shared" ca="1" si="25"/>
        <v>0</v>
      </c>
      <c r="R16" s="1257">
        <f t="shared" ca="1" si="26"/>
        <v>0</v>
      </c>
      <c r="S16" s="1257">
        <f t="shared" ca="1" si="27"/>
        <v>0</v>
      </c>
      <c r="T16" s="1257">
        <f t="shared" ca="1" si="28"/>
        <v>0</v>
      </c>
      <c r="U16" s="1257">
        <f t="shared" ca="1" si="29"/>
        <v>0</v>
      </c>
      <c r="V16" s="1257">
        <f t="shared" ca="1" si="0"/>
        <v>0</v>
      </c>
      <c r="W16" s="1257">
        <f t="shared" ca="1" si="30"/>
        <v>0</v>
      </c>
      <c r="X16" s="1257">
        <f t="shared" ca="1" si="31"/>
        <v>0</v>
      </c>
      <c r="Y16" s="1259">
        <f t="shared" ca="1" si="32"/>
        <v>0</v>
      </c>
      <c r="Z16" s="1259">
        <f t="shared" ca="1" si="33"/>
        <v>0</v>
      </c>
      <c r="AA16" s="1257">
        <f t="shared" ca="1" si="34"/>
        <v>0</v>
      </c>
      <c r="AB16" s="1260">
        <f t="shared" ca="1" si="35"/>
        <v>0</v>
      </c>
      <c r="AC16" s="1260">
        <f t="shared" ca="1" si="36"/>
        <v>0</v>
      </c>
      <c r="AD16" s="1261">
        <f t="shared" ca="1" si="37"/>
        <v>0</v>
      </c>
      <c r="AE16" s="1262">
        <f t="shared" ca="1" si="38"/>
        <v>0</v>
      </c>
      <c r="AF16" s="1257">
        <f t="shared" ca="1" si="39"/>
        <v>0</v>
      </c>
      <c r="AG16" s="1263">
        <f ca="1">(IF(ISNA(VLOOKUP($I16,'Suivi objectifs'!$D$1:$H$38,3,0)),0,VLOOKUP($I16,'Suivi objectifs'!$D$1:$H$38,3,0))*$J16+IF(ISNA(VLOOKUP($K16,'Suivi objectifs'!$D$1:$H$38,3,0)),0,VLOOKUP($K16,'Suivi objectifs'!$D$1:$H$38,3,0))*$L16+IF(ISNA(VLOOKUP($M16,'Suivi objectifs'!$D$1:$H$38,3,0)),0,VLOOKUP($M16,'Suivi objectifs'!$D$1:$H$38,3,0))*$N16)*1000</f>
        <v>0</v>
      </c>
      <c r="AH16" s="1263">
        <f ca="1">(IF(ISNA(VLOOKUP($I16,'Suivi objectifs'!$D$1:$H$38,4,0)),0,VLOOKUP($I16,'Suivi objectifs'!$D$1:$H$38,4,0))*$J16+IF(ISNA(VLOOKUP($K16,'Suivi objectifs'!$D$1:$H$38,3,0)),0,VLOOKUP($K16,'Suivi objectifs'!$D$1:$H$38,4,0))*$L16+IF(ISNA(VLOOKUP($M16,'Suivi objectifs'!$D$1:$H$38,4,0)),0,VLOOKUP($M16,'Suivi objectifs'!$D$1:$H$38,4,0))*$N16)*1000</f>
        <v>0</v>
      </c>
      <c r="AI16" s="1263">
        <f ca="1">(IF(ISNA(VLOOKUP($I16,'Suivi objectifs'!$D$1:$I$38,6,0)),0,VLOOKUP($I16,'Suivi objectifs'!$D$1:$I$38,6,0))*$J16+IF(ISNA(VLOOKUP($K16,'Suivi objectifs'!$D$1:$I$38,6,0)),0,VLOOKUP($K16,'Suivi objectifs'!$D$1:$I$38,6,0))*$L16+IF(ISNA(VLOOKUP($M16,'Suivi objectifs'!$D$1:$I$38,6,0)),0,VLOOKUP($M16,'Suivi objectifs'!$D$1:$I$38,6,0))*$N16)</f>
        <v>0</v>
      </c>
      <c r="AJ16" s="1837">
        <f t="shared" ca="1" si="40"/>
        <v>0</v>
      </c>
      <c r="AK16" s="1264" t="str">
        <f t="shared" ca="1" si="1"/>
        <v/>
      </c>
      <c r="AL16" s="854" t="str">
        <f t="shared" ca="1" si="2"/>
        <v/>
      </c>
      <c r="AM16" s="1171" t="str">
        <f t="shared" ca="1" si="41"/>
        <v>Autre</v>
      </c>
      <c r="AN16" s="28">
        <f t="shared" ca="1" si="42"/>
        <v>0</v>
      </c>
      <c r="AO16" s="28" t="str">
        <f t="shared" ca="1" si="43"/>
        <v>0_0</v>
      </c>
      <c r="AP16" s="28" t="str">
        <f t="shared" si="4"/>
        <v>A15</v>
      </c>
      <c r="AQ16" s="28">
        <f t="shared" ca="1" si="44"/>
        <v>0</v>
      </c>
      <c r="AR16" s="28">
        <f t="shared" ca="1" si="5"/>
        <v>0</v>
      </c>
      <c r="AS16" s="28">
        <f t="shared" ca="1" si="45"/>
        <v>0</v>
      </c>
      <c r="AT16" s="28">
        <f t="shared" ca="1" si="46"/>
        <v>0</v>
      </c>
      <c r="AU16" s="28">
        <f t="shared" ca="1" si="47"/>
        <v>0</v>
      </c>
      <c r="AV16" s="28">
        <f t="shared" ca="1" si="6"/>
        <v>0</v>
      </c>
      <c r="AW16" s="28">
        <f t="shared" ca="1" si="48"/>
        <v>0</v>
      </c>
      <c r="AX16" s="28">
        <f t="shared" ca="1" si="7"/>
        <v>0</v>
      </c>
      <c r="AY16" s="28">
        <f t="shared" ca="1" si="8"/>
        <v>0</v>
      </c>
      <c r="AZ16" s="28">
        <f t="shared" ca="1" si="9"/>
        <v>0</v>
      </c>
      <c r="BA16" s="28">
        <f t="shared" ca="1" si="10"/>
        <v>0</v>
      </c>
      <c r="BB16" s="28">
        <f ca="1">IF(C16="x",COUNTIF(BB$2:BB15,"&gt;0")+1,0)</f>
        <v>0</v>
      </c>
      <c r="BC16" s="1255"/>
    </row>
    <row r="17" spans="1:55" ht="14.4">
      <c r="A17" s="1171" t="str">
        <f t="shared" si="11"/>
        <v>A16</v>
      </c>
      <c r="B17" s="1256" t="str">
        <f t="shared" ca="1" si="12"/>
        <v/>
      </c>
      <c r="C17" s="1256" t="str">
        <f t="shared" ca="1" si="13"/>
        <v/>
      </c>
      <c r="D17" s="1256" t="str">
        <f t="shared" ca="1" si="49"/>
        <v/>
      </c>
      <c r="E17" s="1256" t="str">
        <f t="shared" ca="1" si="14"/>
        <v/>
      </c>
      <c r="F17" s="1265">
        <v>16</v>
      </c>
      <c r="G17" s="1257">
        <f t="shared" ca="1" si="15"/>
        <v>0</v>
      </c>
      <c r="H17" s="1257">
        <f t="shared" ca="1" si="16"/>
        <v>0</v>
      </c>
      <c r="I17" s="1257" t="str">
        <f t="shared" ca="1" si="17"/>
        <v>-</v>
      </c>
      <c r="J17" s="1258">
        <f t="shared" ca="1" si="18"/>
        <v>0</v>
      </c>
      <c r="K17" s="1257" t="str">
        <f t="shared" ca="1" si="19"/>
        <v>-</v>
      </c>
      <c r="L17" s="1258">
        <f t="shared" ca="1" si="20"/>
        <v>0</v>
      </c>
      <c r="M17" s="1257" t="str">
        <f t="shared" ca="1" si="21"/>
        <v>-</v>
      </c>
      <c r="N17" s="1258">
        <f t="shared" ca="1" si="22"/>
        <v>0</v>
      </c>
      <c r="O17" s="1257">
        <f t="shared" ca="1" si="23"/>
        <v>0</v>
      </c>
      <c r="P17" s="1257">
        <f t="shared" ca="1" si="24"/>
        <v>0</v>
      </c>
      <c r="Q17" s="1257">
        <f t="shared" ca="1" si="25"/>
        <v>0</v>
      </c>
      <c r="R17" s="1257">
        <f t="shared" ca="1" si="26"/>
        <v>0</v>
      </c>
      <c r="S17" s="1257">
        <f t="shared" ca="1" si="27"/>
        <v>0</v>
      </c>
      <c r="T17" s="1257">
        <f t="shared" ca="1" si="28"/>
        <v>0</v>
      </c>
      <c r="U17" s="1257">
        <f t="shared" ca="1" si="29"/>
        <v>0</v>
      </c>
      <c r="V17" s="1257">
        <f t="shared" ca="1" si="0"/>
        <v>0</v>
      </c>
      <c r="W17" s="1257">
        <f t="shared" ca="1" si="30"/>
        <v>0</v>
      </c>
      <c r="X17" s="1257">
        <f t="shared" ca="1" si="31"/>
        <v>0</v>
      </c>
      <c r="Y17" s="1259">
        <f t="shared" ca="1" si="32"/>
        <v>0</v>
      </c>
      <c r="Z17" s="1259">
        <f t="shared" ca="1" si="33"/>
        <v>0</v>
      </c>
      <c r="AA17" s="1257">
        <f t="shared" ca="1" si="34"/>
        <v>0</v>
      </c>
      <c r="AB17" s="1260">
        <f t="shared" ca="1" si="35"/>
        <v>0</v>
      </c>
      <c r="AC17" s="1260">
        <f t="shared" ca="1" si="36"/>
        <v>0</v>
      </c>
      <c r="AD17" s="1261">
        <f t="shared" ca="1" si="37"/>
        <v>0</v>
      </c>
      <c r="AE17" s="1262">
        <f t="shared" ca="1" si="38"/>
        <v>0</v>
      </c>
      <c r="AF17" s="1257">
        <f t="shared" ca="1" si="39"/>
        <v>0</v>
      </c>
      <c r="AG17" s="1263">
        <f ca="1">(IF(ISNA(VLOOKUP($I17,'Suivi objectifs'!$D$1:$H$38,3,0)),0,VLOOKUP($I17,'Suivi objectifs'!$D$1:$H$38,3,0))*$J17+IF(ISNA(VLOOKUP($K17,'Suivi objectifs'!$D$1:$H$38,3,0)),0,VLOOKUP($K17,'Suivi objectifs'!$D$1:$H$38,3,0))*$L17+IF(ISNA(VLOOKUP($M17,'Suivi objectifs'!$D$1:$H$38,3,0)),0,VLOOKUP($M17,'Suivi objectifs'!$D$1:$H$38,3,0))*$N17)*1000</f>
        <v>0</v>
      </c>
      <c r="AH17" s="1263">
        <f ca="1">(IF(ISNA(VLOOKUP($I17,'Suivi objectifs'!$D$1:$H$38,4,0)),0,VLOOKUP($I17,'Suivi objectifs'!$D$1:$H$38,4,0))*$J17+IF(ISNA(VLOOKUP($K17,'Suivi objectifs'!$D$1:$H$38,3,0)),0,VLOOKUP($K17,'Suivi objectifs'!$D$1:$H$38,4,0))*$L17+IF(ISNA(VLOOKUP($M17,'Suivi objectifs'!$D$1:$H$38,4,0)),0,VLOOKUP($M17,'Suivi objectifs'!$D$1:$H$38,4,0))*$N17)*1000</f>
        <v>0</v>
      </c>
      <c r="AI17" s="1263">
        <f ca="1">(IF(ISNA(VLOOKUP($I17,'Suivi objectifs'!$D$1:$I$38,6,0)),0,VLOOKUP($I17,'Suivi objectifs'!$D$1:$I$38,6,0))*$J17+IF(ISNA(VLOOKUP($K17,'Suivi objectifs'!$D$1:$I$38,6,0)),0,VLOOKUP($K17,'Suivi objectifs'!$D$1:$I$38,6,0))*$L17+IF(ISNA(VLOOKUP($M17,'Suivi objectifs'!$D$1:$I$38,6,0)),0,VLOOKUP($M17,'Suivi objectifs'!$D$1:$I$38,6,0))*$N17)</f>
        <v>0</v>
      </c>
      <c r="AJ17" s="1837">
        <f t="shared" ca="1" si="40"/>
        <v>0</v>
      </c>
      <c r="AK17" s="1264" t="str">
        <f t="shared" ca="1" si="1"/>
        <v/>
      </c>
      <c r="AL17" s="854" t="str">
        <f t="shared" ca="1" si="2"/>
        <v/>
      </c>
      <c r="AM17" s="1171" t="str">
        <f t="shared" ca="1" si="41"/>
        <v>Autre</v>
      </c>
      <c r="AN17" s="28">
        <f t="shared" ca="1" si="42"/>
        <v>0</v>
      </c>
      <c r="AO17" s="28" t="str">
        <f t="shared" ca="1" si="43"/>
        <v>0_0</v>
      </c>
      <c r="AP17" s="28" t="str">
        <f t="shared" si="4"/>
        <v>A16</v>
      </c>
      <c r="AQ17" s="28">
        <f t="shared" ca="1" si="44"/>
        <v>0</v>
      </c>
      <c r="AR17" s="28">
        <f t="shared" ca="1" si="5"/>
        <v>0</v>
      </c>
      <c r="AS17" s="28">
        <f t="shared" ca="1" si="45"/>
        <v>0</v>
      </c>
      <c r="AT17" s="28">
        <f t="shared" ca="1" si="46"/>
        <v>0</v>
      </c>
      <c r="AU17" s="28">
        <f t="shared" ca="1" si="47"/>
        <v>0</v>
      </c>
      <c r="AV17" s="28">
        <f t="shared" ca="1" si="6"/>
        <v>0</v>
      </c>
      <c r="AW17" s="28">
        <f t="shared" ca="1" si="48"/>
        <v>0</v>
      </c>
      <c r="AX17" s="28">
        <f t="shared" ca="1" si="7"/>
        <v>0</v>
      </c>
      <c r="AY17" s="28">
        <f t="shared" ca="1" si="8"/>
        <v>0</v>
      </c>
      <c r="AZ17" s="28">
        <f t="shared" ca="1" si="9"/>
        <v>0</v>
      </c>
      <c r="BA17" s="28">
        <f t="shared" ca="1" si="10"/>
        <v>0</v>
      </c>
      <c r="BB17" s="28">
        <f ca="1">IF(C17="x",COUNTIF(BB$2:BB16,"&gt;0")+1,0)</f>
        <v>0</v>
      </c>
      <c r="BC17" s="1255"/>
    </row>
    <row r="18" spans="1:55" ht="14.4">
      <c r="A18" s="1171" t="str">
        <f t="shared" si="11"/>
        <v>A17</v>
      </c>
      <c r="B18" s="1256" t="str">
        <f t="shared" ca="1" si="12"/>
        <v/>
      </c>
      <c r="C18" s="1256" t="str">
        <f t="shared" ca="1" si="13"/>
        <v/>
      </c>
      <c r="D18" s="1256" t="str">
        <f t="shared" ca="1" si="49"/>
        <v/>
      </c>
      <c r="E18" s="1256" t="str">
        <f t="shared" ca="1" si="14"/>
        <v/>
      </c>
      <c r="F18" s="1265">
        <v>17</v>
      </c>
      <c r="G18" s="1257">
        <f t="shared" ca="1" si="15"/>
        <v>0</v>
      </c>
      <c r="H18" s="1257">
        <f t="shared" ca="1" si="16"/>
        <v>0</v>
      </c>
      <c r="I18" s="1257" t="str">
        <f t="shared" ca="1" si="17"/>
        <v>-</v>
      </c>
      <c r="J18" s="1258">
        <f t="shared" ca="1" si="18"/>
        <v>0</v>
      </c>
      <c r="K18" s="1257" t="str">
        <f t="shared" ca="1" si="19"/>
        <v>-</v>
      </c>
      <c r="L18" s="1258">
        <f t="shared" ca="1" si="20"/>
        <v>0</v>
      </c>
      <c r="M18" s="1257" t="str">
        <f t="shared" ca="1" si="21"/>
        <v>-</v>
      </c>
      <c r="N18" s="1258">
        <f t="shared" ca="1" si="22"/>
        <v>0</v>
      </c>
      <c r="O18" s="1257">
        <f t="shared" ca="1" si="23"/>
        <v>0</v>
      </c>
      <c r="P18" s="1257">
        <f t="shared" ca="1" si="24"/>
        <v>0</v>
      </c>
      <c r="Q18" s="1257">
        <f t="shared" ca="1" si="25"/>
        <v>0</v>
      </c>
      <c r="R18" s="1257">
        <f t="shared" ca="1" si="26"/>
        <v>0</v>
      </c>
      <c r="S18" s="1257">
        <f t="shared" ca="1" si="27"/>
        <v>0</v>
      </c>
      <c r="T18" s="1257">
        <f t="shared" ca="1" si="28"/>
        <v>0</v>
      </c>
      <c r="U18" s="1257">
        <f t="shared" ca="1" si="29"/>
        <v>0</v>
      </c>
      <c r="V18" s="1257">
        <f t="shared" ca="1" si="0"/>
        <v>0</v>
      </c>
      <c r="W18" s="1257">
        <f t="shared" ca="1" si="30"/>
        <v>0</v>
      </c>
      <c r="X18" s="1257">
        <f t="shared" ca="1" si="31"/>
        <v>0</v>
      </c>
      <c r="Y18" s="1259">
        <f t="shared" ca="1" si="32"/>
        <v>0</v>
      </c>
      <c r="Z18" s="1259">
        <f t="shared" ca="1" si="33"/>
        <v>0</v>
      </c>
      <c r="AA18" s="1257">
        <f t="shared" ca="1" si="34"/>
        <v>0</v>
      </c>
      <c r="AB18" s="1260">
        <f t="shared" ca="1" si="35"/>
        <v>0</v>
      </c>
      <c r="AC18" s="1260">
        <f t="shared" ca="1" si="36"/>
        <v>0</v>
      </c>
      <c r="AD18" s="1261">
        <f t="shared" ca="1" si="37"/>
        <v>0</v>
      </c>
      <c r="AE18" s="1262">
        <f t="shared" ca="1" si="38"/>
        <v>0</v>
      </c>
      <c r="AF18" s="1257">
        <f t="shared" ca="1" si="39"/>
        <v>0</v>
      </c>
      <c r="AG18" s="1263">
        <f ca="1">(IF(ISNA(VLOOKUP($I18,'Suivi objectifs'!$D$1:$H$38,3,0)),0,VLOOKUP($I18,'Suivi objectifs'!$D$1:$H$38,3,0))*$J18+IF(ISNA(VLOOKUP($K18,'Suivi objectifs'!$D$1:$H$38,3,0)),0,VLOOKUP($K18,'Suivi objectifs'!$D$1:$H$38,3,0))*$L18+IF(ISNA(VLOOKUP($M18,'Suivi objectifs'!$D$1:$H$38,3,0)),0,VLOOKUP($M18,'Suivi objectifs'!$D$1:$H$38,3,0))*$N18)*1000</f>
        <v>0</v>
      </c>
      <c r="AH18" s="1263">
        <f ca="1">(IF(ISNA(VLOOKUP($I18,'Suivi objectifs'!$D$1:$H$38,4,0)),0,VLOOKUP($I18,'Suivi objectifs'!$D$1:$H$38,4,0))*$J18+IF(ISNA(VLOOKUP($K18,'Suivi objectifs'!$D$1:$H$38,3,0)),0,VLOOKUP($K18,'Suivi objectifs'!$D$1:$H$38,4,0))*$L18+IF(ISNA(VLOOKUP($M18,'Suivi objectifs'!$D$1:$H$38,4,0)),0,VLOOKUP($M18,'Suivi objectifs'!$D$1:$H$38,4,0))*$N18)*1000</f>
        <v>0</v>
      </c>
      <c r="AI18" s="1263">
        <f ca="1">(IF(ISNA(VLOOKUP($I18,'Suivi objectifs'!$D$1:$I$38,6,0)),0,VLOOKUP($I18,'Suivi objectifs'!$D$1:$I$38,6,0))*$J18+IF(ISNA(VLOOKUP($K18,'Suivi objectifs'!$D$1:$I$38,6,0)),0,VLOOKUP($K18,'Suivi objectifs'!$D$1:$I$38,6,0))*$L18+IF(ISNA(VLOOKUP($M18,'Suivi objectifs'!$D$1:$I$38,6,0)),0,VLOOKUP($M18,'Suivi objectifs'!$D$1:$I$38,6,0))*$N18)</f>
        <v>0</v>
      </c>
      <c r="AJ18" s="1837">
        <f t="shared" ca="1" si="40"/>
        <v>0</v>
      </c>
      <c r="AK18" s="1264" t="str">
        <f t="shared" ca="1" si="1"/>
        <v/>
      </c>
      <c r="AL18" s="854" t="str">
        <f t="shared" ca="1" si="2"/>
        <v/>
      </c>
      <c r="AM18" s="1171" t="str">
        <f t="shared" ca="1" si="41"/>
        <v>Autre</v>
      </c>
      <c r="AN18" s="28">
        <f t="shared" ca="1" si="42"/>
        <v>0</v>
      </c>
      <c r="AO18" s="28" t="str">
        <f t="shared" ca="1" si="43"/>
        <v>0_0</v>
      </c>
      <c r="AP18" s="28" t="str">
        <f t="shared" si="4"/>
        <v>A17</v>
      </c>
      <c r="AQ18" s="28">
        <f t="shared" ca="1" si="44"/>
        <v>0</v>
      </c>
      <c r="AR18" s="28">
        <f t="shared" ca="1" si="5"/>
        <v>0</v>
      </c>
      <c r="AS18" s="28">
        <f t="shared" ca="1" si="45"/>
        <v>0</v>
      </c>
      <c r="AT18" s="28">
        <f t="shared" ca="1" si="46"/>
        <v>0</v>
      </c>
      <c r="AU18" s="28">
        <f t="shared" ca="1" si="47"/>
        <v>0</v>
      </c>
      <c r="AV18" s="28">
        <f t="shared" ca="1" si="6"/>
        <v>0</v>
      </c>
      <c r="AW18" s="28">
        <f t="shared" ca="1" si="48"/>
        <v>0</v>
      </c>
      <c r="AX18" s="28">
        <f t="shared" ca="1" si="7"/>
        <v>0</v>
      </c>
      <c r="AY18" s="28">
        <f t="shared" ca="1" si="8"/>
        <v>0</v>
      </c>
      <c r="AZ18" s="28">
        <f t="shared" ca="1" si="9"/>
        <v>0</v>
      </c>
      <c r="BA18" s="28">
        <f t="shared" ca="1" si="10"/>
        <v>0</v>
      </c>
      <c r="BB18" s="28">
        <f ca="1">IF(C18="x",COUNTIF(BB$2:BB17,"&gt;0")+1,0)</f>
        <v>0</v>
      </c>
      <c r="BC18" s="1255"/>
    </row>
    <row r="19" spans="1:55" ht="14.4">
      <c r="A19" s="1171" t="str">
        <f t="shared" si="11"/>
        <v>A18</v>
      </c>
      <c r="B19" s="1256" t="str">
        <f t="shared" ca="1" si="12"/>
        <v/>
      </c>
      <c r="C19" s="1256" t="str">
        <f t="shared" ca="1" si="13"/>
        <v/>
      </c>
      <c r="D19" s="1256" t="str">
        <f t="shared" ca="1" si="49"/>
        <v/>
      </c>
      <c r="E19" s="1256" t="str">
        <f t="shared" ca="1" si="14"/>
        <v/>
      </c>
      <c r="F19" s="1265">
        <v>18</v>
      </c>
      <c r="G19" s="1257">
        <f t="shared" ca="1" si="15"/>
        <v>0</v>
      </c>
      <c r="H19" s="1257">
        <f t="shared" ca="1" si="16"/>
        <v>0</v>
      </c>
      <c r="I19" s="1257" t="str">
        <f t="shared" ca="1" si="17"/>
        <v>-</v>
      </c>
      <c r="J19" s="1258">
        <f t="shared" ca="1" si="18"/>
        <v>0</v>
      </c>
      <c r="K19" s="1257" t="str">
        <f t="shared" ca="1" si="19"/>
        <v>-</v>
      </c>
      <c r="L19" s="1258">
        <f t="shared" ca="1" si="20"/>
        <v>0</v>
      </c>
      <c r="M19" s="1257" t="str">
        <f t="shared" ca="1" si="21"/>
        <v>-</v>
      </c>
      <c r="N19" s="1258">
        <f t="shared" ca="1" si="22"/>
        <v>0</v>
      </c>
      <c r="O19" s="1257">
        <f t="shared" ca="1" si="23"/>
        <v>0</v>
      </c>
      <c r="P19" s="1257">
        <f t="shared" ca="1" si="24"/>
        <v>0</v>
      </c>
      <c r="Q19" s="1257">
        <f t="shared" ca="1" si="25"/>
        <v>0</v>
      </c>
      <c r="R19" s="1257">
        <f t="shared" ca="1" si="26"/>
        <v>0</v>
      </c>
      <c r="S19" s="1257">
        <f t="shared" ca="1" si="27"/>
        <v>0</v>
      </c>
      <c r="T19" s="1257">
        <f t="shared" ca="1" si="28"/>
        <v>0</v>
      </c>
      <c r="U19" s="1257">
        <f t="shared" ca="1" si="29"/>
        <v>0</v>
      </c>
      <c r="V19" s="1257">
        <f t="shared" ca="1" si="0"/>
        <v>0</v>
      </c>
      <c r="W19" s="1257">
        <f t="shared" ca="1" si="30"/>
        <v>0</v>
      </c>
      <c r="X19" s="1257">
        <f t="shared" ca="1" si="31"/>
        <v>0</v>
      </c>
      <c r="Y19" s="1259">
        <f t="shared" ca="1" si="32"/>
        <v>0</v>
      </c>
      <c r="Z19" s="1259">
        <f t="shared" ca="1" si="33"/>
        <v>0</v>
      </c>
      <c r="AA19" s="1257">
        <f t="shared" ca="1" si="34"/>
        <v>0</v>
      </c>
      <c r="AB19" s="1260">
        <f t="shared" ca="1" si="35"/>
        <v>0</v>
      </c>
      <c r="AC19" s="1260">
        <f t="shared" ca="1" si="36"/>
        <v>0</v>
      </c>
      <c r="AD19" s="1261">
        <f t="shared" ca="1" si="37"/>
        <v>0</v>
      </c>
      <c r="AE19" s="1262">
        <f t="shared" ca="1" si="38"/>
        <v>0</v>
      </c>
      <c r="AF19" s="1257">
        <f t="shared" ca="1" si="39"/>
        <v>0</v>
      </c>
      <c r="AG19" s="1263">
        <f ca="1">(IF(ISNA(VLOOKUP($I19,'Suivi objectifs'!$D$1:$H$38,3,0)),0,VLOOKUP($I19,'Suivi objectifs'!$D$1:$H$38,3,0))*$J19+IF(ISNA(VLOOKUP($K19,'Suivi objectifs'!$D$1:$H$38,3,0)),0,VLOOKUP($K19,'Suivi objectifs'!$D$1:$H$38,3,0))*$L19+IF(ISNA(VLOOKUP($M19,'Suivi objectifs'!$D$1:$H$38,3,0)),0,VLOOKUP($M19,'Suivi objectifs'!$D$1:$H$38,3,0))*$N19)*1000</f>
        <v>0</v>
      </c>
      <c r="AH19" s="1263">
        <f ca="1">(IF(ISNA(VLOOKUP($I19,'Suivi objectifs'!$D$1:$H$38,4,0)),0,VLOOKUP($I19,'Suivi objectifs'!$D$1:$H$38,4,0))*$J19+IF(ISNA(VLOOKUP($K19,'Suivi objectifs'!$D$1:$H$38,3,0)),0,VLOOKUP($K19,'Suivi objectifs'!$D$1:$H$38,4,0))*$L19+IF(ISNA(VLOOKUP($M19,'Suivi objectifs'!$D$1:$H$38,4,0)),0,VLOOKUP($M19,'Suivi objectifs'!$D$1:$H$38,4,0))*$N19)*1000</f>
        <v>0</v>
      </c>
      <c r="AI19" s="1263">
        <f ca="1">(IF(ISNA(VLOOKUP($I19,'Suivi objectifs'!$D$1:$I$38,6,0)),0,VLOOKUP($I19,'Suivi objectifs'!$D$1:$I$38,6,0))*$J19+IF(ISNA(VLOOKUP($K19,'Suivi objectifs'!$D$1:$I$38,6,0)),0,VLOOKUP($K19,'Suivi objectifs'!$D$1:$I$38,6,0))*$L19+IF(ISNA(VLOOKUP($M19,'Suivi objectifs'!$D$1:$I$38,6,0)),0,VLOOKUP($M19,'Suivi objectifs'!$D$1:$I$38,6,0))*$N19)</f>
        <v>0</v>
      </c>
      <c r="AJ19" s="1837">
        <f t="shared" ca="1" si="40"/>
        <v>0</v>
      </c>
      <c r="AK19" s="1264" t="str">
        <f t="shared" ca="1" si="1"/>
        <v/>
      </c>
      <c r="AL19" s="854" t="str">
        <f t="shared" ca="1" si="2"/>
        <v/>
      </c>
      <c r="AM19" s="1171" t="str">
        <f t="shared" ca="1" si="41"/>
        <v>Autre</v>
      </c>
      <c r="AN19" s="28">
        <f t="shared" ca="1" si="42"/>
        <v>0</v>
      </c>
      <c r="AO19" s="28" t="str">
        <f t="shared" ca="1" si="43"/>
        <v>0_0</v>
      </c>
      <c r="AP19" s="28" t="str">
        <f t="shared" si="4"/>
        <v>A18</v>
      </c>
      <c r="AQ19" s="28">
        <f t="shared" ca="1" si="44"/>
        <v>0</v>
      </c>
      <c r="AR19" s="28">
        <f t="shared" ca="1" si="5"/>
        <v>0</v>
      </c>
      <c r="AS19" s="28">
        <f t="shared" ca="1" si="45"/>
        <v>0</v>
      </c>
      <c r="AT19" s="28">
        <f t="shared" ca="1" si="46"/>
        <v>0</v>
      </c>
      <c r="AU19" s="28">
        <f t="shared" ca="1" si="47"/>
        <v>0</v>
      </c>
      <c r="AV19" s="28">
        <f t="shared" ca="1" si="6"/>
        <v>0</v>
      </c>
      <c r="AW19" s="28">
        <f t="shared" ca="1" si="48"/>
        <v>0</v>
      </c>
      <c r="AX19" s="28">
        <f t="shared" ca="1" si="7"/>
        <v>0</v>
      </c>
      <c r="AY19" s="28">
        <f t="shared" ca="1" si="8"/>
        <v>0</v>
      </c>
      <c r="AZ19" s="28">
        <f t="shared" ca="1" si="9"/>
        <v>0</v>
      </c>
      <c r="BA19" s="28">
        <f t="shared" ca="1" si="10"/>
        <v>0</v>
      </c>
      <c r="BB19" s="28">
        <f ca="1">IF(C19="x",COUNTIF(BB$2:BB18,"&gt;0")+1,0)</f>
        <v>0</v>
      </c>
      <c r="BC19" s="1255"/>
    </row>
    <row r="20" spans="1:55" ht="14.4">
      <c r="A20" s="1171" t="str">
        <f t="shared" si="11"/>
        <v>A19</v>
      </c>
      <c r="B20" s="1256" t="str">
        <f t="shared" ca="1" si="12"/>
        <v/>
      </c>
      <c r="C20" s="1256" t="str">
        <f t="shared" ca="1" si="13"/>
        <v/>
      </c>
      <c r="D20" s="1256" t="str">
        <f t="shared" ca="1" si="49"/>
        <v/>
      </c>
      <c r="E20" s="1256" t="str">
        <f t="shared" ca="1" si="14"/>
        <v/>
      </c>
      <c r="F20" s="1265">
        <v>19</v>
      </c>
      <c r="G20" s="1257">
        <f t="shared" ca="1" si="15"/>
        <v>0</v>
      </c>
      <c r="H20" s="1257">
        <f t="shared" ca="1" si="16"/>
        <v>0</v>
      </c>
      <c r="I20" s="1257" t="str">
        <f t="shared" ca="1" si="17"/>
        <v>-</v>
      </c>
      <c r="J20" s="1258">
        <f t="shared" ca="1" si="18"/>
        <v>0</v>
      </c>
      <c r="K20" s="1257" t="str">
        <f t="shared" ca="1" si="19"/>
        <v>-</v>
      </c>
      <c r="L20" s="1258">
        <f t="shared" ca="1" si="20"/>
        <v>0</v>
      </c>
      <c r="M20" s="1257" t="str">
        <f t="shared" ca="1" si="21"/>
        <v>-</v>
      </c>
      <c r="N20" s="1258">
        <f t="shared" ca="1" si="22"/>
        <v>0</v>
      </c>
      <c r="O20" s="1257">
        <f t="shared" ca="1" si="23"/>
        <v>0</v>
      </c>
      <c r="P20" s="1257">
        <f t="shared" ca="1" si="24"/>
        <v>0</v>
      </c>
      <c r="Q20" s="1257">
        <f t="shared" ca="1" si="25"/>
        <v>0</v>
      </c>
      <c r="R20" s="1257">
        <f t="shared" ca="1" si="26"/>
        <v>0</v>
      </c>
      <c r="S20" s="1257">
        <f t="shared" ca="1" si="27"/>
        <v>0</v>
      </c>
      <c r="T20" s="1257">
        <f t="shared" ca="1" si="28"/>
        <v>0</v>
      </c>
      <c r="U20" s="1257">
        <f t="shared" ca="1" si="29"/>
        <v>0</v>
      </c>
      <c r="V20" s="1257">
        <f t="shared" ca="1" si="0"/>
        <v>0</v>
      </c>
      <c r="W20" s="1257">
        <f t="shared" ca="1" si="30"/>
        <v>0</v>
      </c>
      <c r="X20" s="1257">
        <f t="shared" ca="1" si="31"/>
        <v>0</v>
      </c>
      <c r="Y20" s="1259">
        <f t="shared" ca="1" si="32"/>
        <v>0</v>
      </c>
      <c r="Z20" s="1259">
        <f t="shared" ca="1" si="33"/>
        <v>0</v>
      </c>
      <c r="AA20" s="1257">
        <f t="shared" ca="1" si="34"/>
        <v>0</v>
      </c>
      <c r="AB20" s="1260">
        <f t="shared" ca="1" si="35"/>
        <v>0</v>
      </c>
      <c r="AC20" s="1260">
        <f t="shared" ca="1" si="36"/>
        <v>0</v>
      </c>
      <c r="AD20" s="1261">
        <f t="shared" ca="1" si="37"/>
        <v>0</v>
      </c>
      <c r="AE20" s="1262">
        <f t="shared" ca="1" si="38"/>
        <v>0</v>
      </c>
      <c r="AF20" s="1257">
        <f t="shared" ca="1" si="39"/>
        <v>0</v>
      </c>
      <c r="AG20" s="1263">
        <f ca="1">(IF(ISNA(VLOOKUP($I20,'Suivi objectifs'!$D$1:$H$38,3,0)),0,VLOOKUP($I20,'Suivi objectifs'!$D$1:$H$38,3,0))*$J20+IF(ISNA(VLOOKUP($K20,'Suivi objectifs'!$D$1:$H$38,3,0)),0,VLOOKUP($K20,'Suivi objectifs'!$D$1:$H$38,3,0))*$L20+IF(ISNA(VLOOKUP($M20,'Suivi objectifs'!$D$1:$H$38,3,0)),0,VLOOKUP($M20,'Suivi objectifs'!$D$1:$H$38,3,0))*$N20)*1000</f>
        <v>0</v>
      </c>
      <c r="AH20" s="1263">
        <f ca="1">(IF(ISNA(VLOOKUP($I20,'Suivi objectifs'!$D$1:$H$38,4,0)),0,VLOOKUP($I20,'Suivi objectifs'!$D$1:$H$38,4,0))*$J20+IF(ISNA(VLOOKUP($K20,'Suivi objectifs'!$D$1:$H$38,3,0)),0,VLOOKUP($K20,'Suivi objectifs'!$D$1:$H$38,4,0))*$L20+IF(ISNA(VLOOKUP($M20,'Suivi objectifs'!$D$1:$H$38,4,0)),0,VLOOKUP($M20,'Suivi objectifs'!$D$1:$H$38,4,0))*$N20)*1000</f>
        <v>0</v>
      </c>
      <c r="AI20" s="1263">
        <f ca="1">(IF(ISNA(VLOOKUP($I20,'Suivi objectifs'!$D$1:$I$38,6,0)),0,VLOOKUP($I20,'Suivi objectifs'!$D$1:$I$38,6,0))*$J20+IF(ISNA(VLOOKUP($K20,'Suivi objectifs'!$D$1:$I$38,6,0)),0,VLOOKUP($K20,'Suivi objectifs'!$D$1:$I$38,6,0))*$L20+IF(ISNA(VLOOKUP($M20,'Suivi objectifs'!$D$1:$I$38,6,0)),0,VLOOKUP($M20,'Suivi objectifs'!$D$1:$I$38,6,0))*$N20)</f>
        <v>0</v>
      </c>
      <c r="AJ20" s="1837">
        <f t="shared" ca="1" si="40"/>
        <v>0</v>
      </c>
      <c r="AK20" s="1264" t="str">
        <f t="shared" ca="1" si="1"/>
        <v/>
      </c>
      <c r="AL20" s="854" t="str">
        <f t="shared" ca="1" si="2"/>
        <v/>
      </c>
      <c r="AM20" s="1171" t="str">
        <f t="shared" ca="1" si="41"/>
        <v>Autre</v>
      </c>
      <c r="AN20" s="28">
        <f t="shared" ca="1" si="42"/>
        <v>0</v>
      </c>
      <c r="AO20" s="28" t="str">
        <f t="shared" ca="1" si="43"/>
        <v>0_0</v>
      </c>
      <c r="AP20" s="28" t="str">
        <f t="shared" si="4"/>
        <v>A19</v>
      </c>
      <c r="AQ20" s="28">
        <f t="shared" ca="1" si="44"/>
        <v>0</v>
      </c>
      <c r="AR20" s="28">
        <f t="shared" ca="1" si="5"/>
        <v>0</v>
      </c>
      <c r="AS20" s="28">
        <f t="shared" ca="1" si="45"/>
        <v>0</v>
      </c>
      <c r="AT20" s="28">
        <f t="shared" ca="1" si="46"/>
        <v>0</v>
      </c>
      <c r="AU20" s="28">
        <f t="shared" ca="1" si="47"/>
        <v>0</v>
      </c>
      <c r="AV20" s="28">
        <f t="shared" ca="1" si="6"/>
        <v>0</v>
      </c>
      <c r="AW20" s="28">
        <f t="shared" ca="1" si="48"/>
        <v>0</v>
      </c>
      <c r="AX20" s="28">
        <f t="shared" ca="1" si="7"/>
        <v>0</v>
      </c>
      <c r="AY20" s="28">
        <f t="shared" ca="1" si="8"/>
        <v>0</v>
      </c>
      <c r="AZ20" s="28">
        <f t="shared" ca="1" si="9"/>
        <v>0</v>
      </c>
      <c r="BA20" s="28">
        <f t="shared" ca="1" si="10"/>
        <v>0</v>
      </c>
      <c r="BB20" s="28">
        <f ca="1">IF(C20="x",COUNTIF(BB$2:BB19,"&gt;0")+1,0)</f>
        <v>0</v>
      </c>
      <c r="BC20" s="1255"/>
    </row>
    <row r="21" spans="1:55" ht="14.4">
      <c r="A21" s="1171" t="str">
        <f t="shared" si="11"/>
        <v>A20</v>
      </c>
      <c r="B21" s="1256" t="str">
        <f t="shared" ca="1" si="12"/>
        <v/>
      </c>
      <c r="C21" s="1256" t="str">
        <f t="shared" ca="1" si="13"/>
        <v/>
      </c>
      <c r="D21" s="1256" t="str">
        <f t="shared" ca="1" si="49"/>
        <v/>
      </c>
      <c r="E21" s="1256" t="str">
        <f t="shared" ca="1" si="14"/>
        <v/>
      </c>
      <c r="F21" s="1265">
        <v>20</v>
      </c>
      <c r="G21" s="1257">
        <f t="shared" ca="1" si="15"/>
        <v>0</v>
      </c>
      <c r="H21" s="1257">
        <f t="shared" ca="1" si="16"/>
        <v>0</v>
      </c>
      <c r="I21" s="1257" t="str">
        <f t="shared" ca="1" si="17"/>
        <v>-</v>
      </c>
      <c r="J21" s="1258">
        <f t="shared" ca="1" si="18"/>
        <v>0</v>
      </c>
      <c r="K21" s="1257" t="str">
        <f t="shared" ca="1" si="19"/>
        <v>-</v>
      </c>
      <c r="L21" s="1258">
        <f t="shared" ca="1" si="20"/>
        <v>0</v>
      </c>
      <c r="M21" s="1257" t="str">
        <f t="shared" ca="1" si="21"/>
        <v>-</v>
      </c>
      <c r="N21" s="1258">
        <f t="shared" ca="1" si="22"/>
        <v>0</v>
      </c>
      <c r="O21" s="1257">
        <f t="shared" ca="1" si="23"/>
        <v>0</v>
      </c>
      <c r="P21" s="1257">
        <f t="shared" ca="1" si="24"/>
        <v>0</v>
      </c>
      <c r="Q21" s="1257">
        <f t="shared" ca="1" si="25"/>
        <v>0</v>
      </c>
      <c r="R21" s="1257">
        <f t="shared" ca="1" si="26"/>
        <v>0</v>
      </c>
      <c r="S21" s="1257">
        <f t="shared" ca="1" si="27"/>
        <v>0</v>
      </c>
      <c r="T21" s="1257">
        <f t="shared" ca="1" si="28"/>
        <v>0</v>
      </c>
      <c r="U21" s="1257">
        <f t="shared" ca="1" si="29"/>
        <v>0</v>
      </c>
      <c r="V21" s="1257">
        <f t="shared" ca="1" si="0"/>
        <v>0</v>
      </c>
      <c r="W21" s="1257">
        <f t="shared" ca="1" si="30"/>
        <v>0</v>
      </c>
      <c r="X21" s="1257">
        <f t="shared" ca="1" si="31"/>
        <v>0</v>
      </c>
      <c r="Y21" s="1259">
        <f t="shared" ca="1" si="32"/>
        <v>0</v>
      </c>
      <c r="Z21" s="1259">
        <f t="shared" ca="1" si="33"/>
        <v>0</v>
      </c>
      <c r="AA21" s="1257">
        <f t="shared" ca="1" si="34"/>
        <v>0</v>
      </c>
      <c r="AB21" s="1260">
        <f t="shared" ca="1" si="35"/>
        <v>0</v>
      </c>
      <c r="AC21" s="1260">
        <f t="shared" ca="1" si="36"/>
        <v>0</v>
      </c>
      <c r="AD21" s="1261">
        <f t="shared" ca="1" si="37"/>
        <v>0</v>
      </c>
      <c r="AE21" s="1262">
        <f t="shared" ca="1" si="38"/>
        <v>0</v>
      </c>
      <c r="AF21" s="1257">
        <f t="shared" ca="1" si="39"/>
        <v>0</v>
      </c>
      <c r="AG21" s="1263">
        <f ca="1">(IF(ISNA(VLOOKUP($I21,'Suivi objectifs'!$D$1:$H$38,3,0)),0,VLOOKUP($I21,'Suivi objectifs'!$D$1:$H$38,3,0))*$J21+IF(ISNA(VLOOKUP($K21,'Suivi objectifs'!$D$1:$H$38,3,0)),0,VLOOKUP($K21,'Suivi objectifs'!$D$1:$H$38,3,0))*$L21+IF(ISNA(VLOOKUP($M21,'Suivi objectifs'!$D$1:$H$38,3,0)),0,VLOOKUP($M21,'Suivi objectifs'!$D$1:$H$38,3,0))*$N21)*1000</f>
        <v>0</v>
      </c>
      <c r="AH21" s="1263">
        <f ca="1">(IF(ISNA(VLOOKUP($I21,'Suivi objectifs'!$D$1:$H$38,4,0)),0,VLOOKUP($I21,'Suivi objectifs'!$D$1:$H$38,4,0))*$J21+IF(ISNA(VLOOKUP($K21,'Suivi objectifs'!$D$1:$H$38,3,0)),0,VLOOKUP($K21,'Suivi objectifs'!$D$1:$H$38,4,0))*$L21+IF(ISNA(VLOOKUP($M21,'Suivi objectifs'!$D$1:$H$38,4,0)),0,VLOOKUP($M21,'Suivi objectifs'!$D$1:$H$38,4,0))*$N21)*1000</f>
        <v>0</v>
      </c>
      <c r="AI21" s="1263">
        <f ca="1">(IF(ISNA(VLOOKUP($I21,'Suivi objectifs'!$D$1:$I$38,6,0)),0,VLOOKUP($I21,'Suivi objectifs'!$D$1:$I$38,6,0))*$J21+IF(ISNA(VLOOKUP($K21,'Suivi objectifs'!$D$1:$I$38,6,0)),0,VLOOKUP($K21,'Suivi objectifs'!$D$1:$I$38,6,0))*$L21+IF(ISNA(VLOOKUP($M21,'Suivi objectifs'!$D$1:$I$38,6,0)),0,VLOOKUP($M21,'Suivi objectifs'!$D$1:$I$38,6,0))*$N21)</f>
        <v>0</v>
      </c>
      <c r="AJ21" s="1837">
        <f t="shared" ca="1" si="40"/>
        <v>0</v>
      </c>
      <c r="AK21" s="1264" t="str">
        <f t="shared" ca="1" si="1"/>
        <v/>
      </c>
      <c r="AL21" s="854" t="str">
        <f t="shared" ca="1" si="2"/>
        <v/>
      </c>
      <c r="AM21" s="1171" t="str">
        <f t="shared" ca="1" si="41"/>
        <v>Autre</v>
      </c>
      <c r="AN21" s="28">
        <f t="shared" ca="1" si="42"/>
        <v>0</v>
      </c>
      <c r="AO21" s="28" t="str">
        <f t="shared" ca="1" si="43"/>
        <v>0_0</v>
      </c>
      <c r="AP21" s="28" t="str">
        <f t="shared" si="4"/>
        <v>A20</v>
      </c>
      <c r="AQ21" s="28">
        <f t="shared" ca="1" si="44"/>
        <v>0</v>
      </c>
      <c r="AR21" s="28">
        <f t="shared" ca="1" si="5"/>
        <v>0</v>
      </c>
      <c r="AS21" s="28">
        <f t="shared" ca="1" si="45"/>
        <v>0</v>
      </c>
      <c r="AT21" s="28">
        <f t="shared" ca="1" si="46"/>
        <v>0</v>
      </c>
      <c r="AU21" s="28">
        <f t="shared" ca="1" si="47"/>
        <v>0</v>
      </c>
      <c r="AV21" s="28">
        <f t="shared" ca="1" si="6"/>
        <v>0</v>
      </c>
      <c r="AW21" s="28">
        <f t="shared" ca="1" si="48"/>
        <v>0</v>
      </c>
      <c r="AX21" s="28">
        <f t="shared" ca="1" si="7"/>
        <v>0</v>
      </c>
      <c r="AY21" s="28">
        <f t="shared" ca="1" si="8"/>
        <v>0</v>
      </c>
      <c r="AZ21" s="28">
        <f t="shared" ca="1" si="9"/>
        <v>0</v>
      </c>
      <c r="BA21" s="28">
        <f t="shared" ca="1" si="10"/>
        <v>0</v>
      </c>
      <c r="BB21" s="28">
        <f ca="1">IF(C21="x",COUNTIF(BB$2:BB20,"&gt;0")+1,0)</f>
        <v>0</v>
      </c>
      <c r="BC21" s="1255"/>
    </row>
    <row r="22" spans="1:55" ht="14.4">
      <c r="A22" s="1171" t="str">
        <f t="shared" si="11"/>
        <v>A21</v>
      </c>
      <c r="B22" s="1256" t="str">
        <f t="shared" ca="1" si="12"/>
        <v/>
      </c>
      <c r="C22" s="1256" t="str">
        <f t="shared" ca="1" si="13"/>
        <v/>
      </c>
      <c r="D22" s="1256" t="str">
        <f t="shared" ca="1" si="49"/>
        <v/>
      </c>
      <c r="E22" s="1256" t="str">
        <f t="shared" ca="1" si="14"/>
        <v/>
      </c>
      <c r="F22" s="1265">
        <v>21</v>
      </c>
      <c r="G22" s="1257">
        <f t="shared" ca="1" si="15"/>
        <v>0</v>
      </c>
      <c r="H22" s="1257">
        <f t="shared" ca="1" si="16"/>
        <v>0</v>
      </c>
      <c r="I22" s="1257" t="str">
        <f t="shared" ca="1" si="17"/>
        <v>-</v>
      </c>
      <c r="J22" s="1258">
        <f t="shared" ca="1" si="18"/>
        <v>0</v>
      </c>
      <c r="K22" s="1257" t="str">
        <f t="shared" ca="1" si="19"/>
        <v>-</v>
      </c>
      <c r="L22" s="1258">
        <f t="shared" ca="1" si="20"/>
        <v>0</v>
      </c>
      <c r="M22" s="1257" t="str">
        <f t="shared" ca="1" si="21"/>
        <v>-</v>
      </c>
      <c r="N22" s="1258">
        <f t="shared" ca="1" si="22"/>
        <v>0</v>
      </c>
      <c r="O22" s="1257">
        <f t="shared" ca="1" si="23"/>
        <v>0</v>
      </c>
      <c r="P22" s="1257">
        <f t="shared" ca="1" si="24"/>
        <v>0</v>
      </c>
      <c r="Q22" s="1257">
        <f t="shared" ca="1" si="25"/>
        <v>0</v>
      </c>
      <c r="R22" s="1257">
        <f t="shared" ca="1" si="26"/>
        <v>0</v>
      </c>
      <c r="S22" s="1257">
        <f t="shared" ca="1" si="27"/>
        <v>0</v>
      </c>
      <c r="T22" s="1257">
        <f t="shared" ca="1" si="28"/>
        <v>0</v>
      </c>
      <c r="U22" s="1257">
        <f t="shared" ca="1" si="29"/>
        <v>0</v>
      </c>
      <c r="V22" s="1257">
        <f t="shared" ca="1" si="0"/>
        <v>0</v>
      </c>
      <c r="W22" s="1257">
        <f t="shared" ca="1" si="30"/>
        <v>0</v>
      </c>
      <c r="X22" s="1257">
        <f t="shared" ca="1" si="31"/>
        <v>0</v>
      </c>
      <c r="Y22" s="1259">
        <f t="shared" ca="1" si="32"/>
        <v>0</v>
      </c>
      <c r="Z22" s="1259">
        <f t="shared" ca="1" si="33"/>
        <v>0</v>
      </c>
      <c r="AA22" s="1257">
        <f t="shared" ca="1" si="34"/>
        <v>0</v>
      </c>
      <c r="AB22" s="1260">
        <f t="shared" ca="1" si="35"/>
        <v>0</v>
      </c>
      <c r="AC22" s="1260">
        <f t="shared" ca="1" si="36"/>
        <v>0</v>
      </c>
      <c r="AD22" s="1261">
        <f t="shared" ca="1" si="37"/>
        <v>0</v>
      </c>
      <c r="AE22" s="1262">
        <f t="shared" ca="1" si="38"/>
        <v>0</v>
      </c>
      <c r="AF22" s="1257">
        <f t="shared" ca="1" si="39"/>
        <v>0</v>
      </c>
      <c r="AG22" s="1263">
        <f ca="1">(IF(ISNA(VLOOKUP($I22,'Suivi objectifs'!$D$1:$H$38,3,0)),0,VLOOKUP($I22,'Suivi objectifs'!$D$1:$H$38,3,0))*$J22+IF(ISNA(VLOOKUP($K22,'Suivi objectifs'!$D$1:$H$38,3,0)),0,VLOOKUP($K22,'Suivi objectifs'!$D$1:$H$38,3,0))*$L22+IF(ISNA(VLOOKUP($M22,'Suivi objectifs'!$D$1:$H$38,3,0)),0,VLOOKUP($M22,'Suivi objectifs'!$D$1:$H$38,3,0))*$N22)*1000</f>
        <v>0</v>
      </c>
      <c r="AH22" s="1263">
        <f ca="1">(IF(ISNA(VLOOKUP($I22,'Suivi objectifs'!$D$1:$H$38,4,0)),0,VLOOKUP($I22,'Suivi objectifs'!$D$1:$H$38,4,0))*$J22+IF(ISNA(VLOOKUP($K22,'Suivi objectifs'!$D$1:$H$38,3,0)),0,VLOOKUP($K22,'Suivi objectifs'!$D$1:$H$38,4,0))*$L22+IF(ISNA(VLOOKUP($M22,'Suivi objectifs'!$D$1:$H$38,4,0)),0,VLOOKUP($M22,'Suivi objectifs'!$D$1:$H$38,4,0))*$N22)*1000</f>
        <v>0</v>
      </c>
      <c r="AI22" s="1263">
        <f ca="1">(IF(ISNA(VLOOKUP($I22,'Suivi objectifs'!$D$1:$I$38,6,0)),0,VLOOKUP($I22,'Suivi objectifs'!$D$1:$I$38,6,0))*$J22+IF(ISNA(VLOOKUP($K22,'Suivi objectifs'!$D$1:$I$38,6,0)),0,VLOOKUP($K22,'Suivi objectifs'!$D$1:$I$38,6,0))*$L22+IF(ISNA(VLOOKUP($M22,'Suivi objectifs'!$D$1:$I$38,6,0)),0,VLOOKUP($M22,'Suivi objectifs'!$D$1:$I$38,6,0))*$N22)</f>
        <v>0</v>
      </c>
      <c r="AJ22" s="1837">
        <f t="shared" ca="1" si="40"/>
        <v>0</v>
      </c>
      <c r="AK22" s="1264" t="str">
        <f t="shared" ca="1" si="1"/>
        <v/>
      </c>
      <c r="AL22" s="854" t="str">
        <f t="shared" ca="1" si="2"/>
        <v/>
      </c>
      <c r="AM22" s="1171" t="str">
        <f t="shared" ca="1" si="41"/>
        <v>Autre</v>
      </c>
      <c r="AN22" s="28">
        <f t="shared" ca="1" si="42"/>
        <v>0</v>
      </c>
      <c r="AO22" s="28" t="str">
        <f t="shared" ca="1" si="43"/>
        <v>0_0</v>
      </c>
      <c r="AP22" s="28" t="str">
        <f t="shared" si="4"/>
        <v>A21</v>
      </c>
      <c r="AQ22" s="28">
        <f t="shared" ca="1" si="44"/>
        <v>0</v>
      </c>
      <c r="AR22" s="28">
        <f t="shared" ca="1" si="5"/>
        <v>0</v>
      </c>
      <c r="AS22" s="28">
        <f t="shared" ca="1" si="45"/>
        <v>0</v>
      </c>
      <c r="AT22" s="28">
        <f t="shared" ca="1" si="46"/>
        <v>0</v>
      </c>
      <c r="AU22" s="28">
        <f t="shared" ca="1" si="47"/>
        <v>0</v>
      </c>
      <c r="AV22" s="28">
        <f t="shared" ca="1" si="6"/>
        <v>0</v>
      </c>
      <c r="AW22" s="28">
        <f t="shared" ca="1" si="48"/>
        <v>0</v>
      </c>
      <c r="AX22" s="28">
        <f t="shared" ca="1" si="7"/>
        <v>0</v>
      </c>
      <c r="AY22" s="28">
        <f t="shared" ca="1" si="8"/>
        <v>0</v>
      </c>
      <c r="AZ22" s="28">
        <f t="shared" ca="1" si="9"/>
        <v>0</v>
      </c>
      <c r="BA22" s="28">
        <f t="shared" ca="1" si="10"/>
        <v>0</v>
      </c>
      <c r="BB22" s="28">
        <f ca="1">IF(C22="x",COUNTIF(BB$2:BB21,"&gt;0")+1,0)</f>
        <v>0</v>
      </c>
      <c r="BC22" s="1255"/>
    </row>
    <row r="23" spans="1:55" ht="14.4">
      <c r="A23" s="1171" t="str">
        <f t="shared" si="11"/>
        <v>A22</v>
      </c>
      <c r="B23" s="1256" t="str">
        <f t="shared" ca="1" si="12"/>
        <v/>
      </c>
      <c r="C23" s="1256" t="str">
        <f t="shared" ca="1" si="13"/>
        <v/>
      </c>
      <c r="D23" s="1256" t="str">
        <f t="shared" ca="1" si="49"/>
        <v/>
      </c>
      <c r="E23" s="1256" t="str">
        <f t="shared" ca="1" si="14"/>
        <v/>
      </c>
      <c r="F23" s="1265">
        <v>22</v>
      </c>
      <c r="G23" s="1257">
        <f t="shared" ca="1" si="15"/>
        <v>0</v>
      </c>
      <c r="H23" s="1257">
        <f t="shared" ca="1" si="16"/>
        <v>0</v>
      </c>
      <c r="I23" s="1257" t="str">
        <f t="shared" ca="1" si="17"/>
        <v>-</v>
      </c>
      <c r="J23" s="1258">
        <f t="shared" ca="1" si="18"/>
        <v>0</v>
      </c>
      <c r="K23" s="1257" t="str">
        <f t="shared" ca="1" si="19"/>
        <v>-</v>
      </c>
      <c r="L23" s="1258">
        <f t="shared" ca="1" si="20"/>
        <v>0</v>
      </c>
      <c r="M23" s="1257" t="str">
        <f t="shared" ca="1" si="21"/>
        <v>-</v>
      </c>
      <c r="N23" s="1258">
        <f t="shared" ca="1" si="22"/>
        <v>0</v>
      </c>
      <c r="O23" s="1257">
        <f t="shared" ca="1" si="23"/>
        <v>0</v>
      </c>
      <c r="P23" s="1257">
        <f t="shared" ca="1" si="24"/>
        <v>0</v>
      </c>
      <c r="Q23" s="1257">
        <f t="shared" ca="1" si="25"/>
        <v>0</v>
      </c>
      <c r="R23" s="1257">
        <f t="shared" ca="1" si="26"/>
        <v>0</v>
      </c>
      <c r="S23" s="1257">
        <f t="shared" ca="1" si="27"/>
        <v>0</v>
      </c>
      <c r="T23" s="1257">
        <f t="shared" ca="1" si="28"/>
        <v>0</v>
      </c>
      <c r="U23" s="1257">
        <f t="shared" ca="1" si="29"/>
        <v>0</v>
      </c>
      <c r="V23" s="1257">
        <f t="shared" ca="1" si="0"/>
        <v>0</v>
      </c>
      <c r="W23" s="1257">
        <f t="shared" ca="1" si="30"/>
        <v>0</v>
      </c>
      <c r="X23" s="1257">
        <f t="shared" ca="1" si="31"/>
        <v>0</v>
      </c>
      <c r="Y23" s="1259">
        <f t="shared" ca="1" si="32"/>
        <v>0</v>
      </c>
      <c r="Z23" s="1259">
        <f t="shared" ca="1" si="33"/>
        <v>0</v>
      </c>
      <c r="AA23" s="1257">
        <f t="shared" ca="1" si="34"/>
        <v>0</v>
      </c>
      <c r="AB23" s="1260">
        <f t="shared" ca="1" si="35"/>
        <v>0</v>
      </c>
      <c r="AC23" s="1260">
        <f t="shared" ca="1" si="36"/>
        <v>0</v>
      </c>
      <c r="AD23" s="1261">
        <f t="shared" ca="1" si="37"/>
        <v>0</v>
      </c>
      <c r="AE23" s="1262">
        <f t="shared" ca="1" si="38"/>
        <v>0</v>
      </c>
      <c r="AF23" s="1257">
        <f t="shared" ca="1" si="39"/>
        <v>0</v>
      </c>
      <c r="AG23" s="1263">
        <f ca="1">(IF(ISNA(VLOOKUP($I23,'Suivi objectifs'!$D$1:$H$38,3,0)),0,VLOOKUP($I23,'Suivi objectifs'!$D$1:$H$38,3,0))*$J23+IF(ISNA(VLOOKUP($K23,'Suivi objectifs'!$D$1:$H$38,3,0)),0,VLOOKUP($K23,'Suivi objectifs'!$D$1:$H$38,3,0))*$L23+IF(ISNA(VLOOKUP($M23,'Suivi objectifs'!$D$1:$H$38,3,0)),0,VLOOKUP($M23,'Suivi objectifs'!$D$1:$H$38,3,0))*$N23)*1000</f>
        <v>0</v>
      </c>
      <c r="AH23" s="1263">
        <f ca="1">(IF(ISNA(VLOOKUP($I23,'Suivi objectifs'!$D$1:$H$38,4,0)),0,VLOOKUP($I23,'Suivi objectifs'!$D$1:$H$38,4,0))*$J23+IF(ISNA(VLOOKUP($K23,'Suivi objectifs'!$D$1:$H$38,3,0)),0,VLOOKUP($K23,'Suivi objectifs'!$D$1:$H$38,4,0))*$L23+IF(ISNA(VLOOKUP($M23,'Suivi objectifs'!$D$1:$H$38,4,0)),0,VLOOKUP($M23,'Suivi objectifs'!$D$1:$H$38,4,0))*$N23)*1000</f>
        <v>0</v>
      </c>
      <c r="AI23" s="1263">
        <f ca="1">(IF(ISNA(VLOOKUP($I23,'Suivi objectifs'!$D$1:$I$38,6,0)),0,VLOOKUP($I23,'Suivi objectifs'!$D$1:$I$38,6,0))*$J23+IF(ISNA(VLOOKUP($K23,'Suivi objectifs'!$D$1:$I$38,6,0)),0,VLOOKUP($K23,'Suivi objectifs'!$D$1:$I$38,6,0))*$L23+IF(ISNA(VLOOKUP($M23,'Suivi objectifs'!$D$1:$I$38,6,0)),0,VLOOKUP($M23,'Suivi objectifs'!$D$1:$I$38,6,0))*$N23)</f>
        <v>0</v>
      </c>
      <c r="AJ23" s="1837">
        <f t="shared" ca="1" si="40"/>
        <v>0</v>
      </c>
      <c r="AK23" s="1264" t="str">
        <f t="shared" ca="1" si="1"/>
        <v/>
      </c>
      <c r="AL23" s="854" t="str">
        <f t="shared" ca="1" si="2"/>
        <v/>
      </c>
      <c r="AM23" s="1171" t="str">
        <f t="shared" ca="1" si="41"/>
        <v>Autre</v>
      </c>
      <c r="AN23" s="28">
        <f t="shared" ca="1" si="42"/>
        <v>0</v>
      </c>
      <c r="AO23" s="28" t="str">
        <f t="shared" ca="1" si="43"/>
        <v>0_0</v>
      </c>
      <c r="AP23" s="28" t="str">
        <f t="shared" si="4"/>
        <v>A22</v>
      </c>
      <c r="AQ23" s="28">
        <f t="shared" ca="1" si="44"/>
        <v>0</v>
      </c>
      <c r="AR23" s="28">
        <f t="shared" ca="1" si="5"/>
        <v>0</v>
      </c>
      <c r="AS23" s="28">
        <f t="shared" ca="1" si="45"/>
        <v>0</v>
      </c>
      <c r="AT23" s="28">
        <f t="shared" ca="1" si="46"/>
        <v>0</v>
      </c>
      <c r="AU23" s="28">
        <f t="shared" ca="1" si="47"/>
        <v>0</v>
      </c>
      <c r="AV23" s="28">
        <f t="shared" ca="1" si="6"/>
        <v>0</v>
      </c>
      <c r="AW23" s="28">
        <f t="shared" ca="1" si="48"/>
        <v>0</v>
      </c>
      <c r="AX23" s="28">
        <f t="shared" ca="1" si="7"/>
        <v>0</v>
      </c>
      <c r="AY23" s="28">
        <f t="shared" ca="1" si="8"/>
        <v>0</v>
      </c>
      <c r="AZ23" s="28">
        <f t="shared" ca="1" si="9"/>
        <v>0</v>
      </c>
      <c r="BA23" s="28">
        <f t="shared" ca="1" si="10"/>
        <v>0</v>
      </c>
      <c r="BB23" s="28">
        <f ca="1">IF(C23="x",COUNTIF(BB$2:BB22,"&gt;0")+1,0)</f>
        <v>0</v>
      </c>
      <c r="BC23" s="1255"/>
    </row>
    <row r="24" spans="1:55" ht="14.4">
      <c r="A24" s="1171" t="str">
        <f t="shared" si="11"/>
        <v>A23</v>
      </c>
      <c r="B24" s="1256" t="str">
        <f t="shared" ca="1" si="12"/>
        <v/>
      </c>
      <c r="C24" s="1256" t="str">
        <f t="shared" ca="1" si="13"/>
        <v/>
      </c>
      <c r="D24" s="1256" t="str">
        <f t="shared" ca="1" si="49"/>
        <v/>
      </c>
      <c r="E24" s="1256" t="str">
        <f t="shared" ca="1" si="14"/>
        <v/>
      </c>
      <c r="F24" s="1265">
        <v>23</v>
      </c>
      <c r="G24" s="1257">
        <f t="shared" ca="1" si="15"/>
        <v>0</v>
      </c>
      <c r="H24" s="1257">
        <f t="shared" ca="1" si="16"/>
        <v>0</v>
      </c>
      <c r="I24" s="1257" t="str">
        <f t="shared" ca="1" si="17"/>
        <v>-</v>
      </c>
      <c r="J24" s="1258">
        <f t="shared" ca="1" si="18"/>
        <v>0</v>
      </c>
      <c r="K24" s="1257" t="str">
        <f t="shared" ca="1" si="19"/>
        <v>-</v>
      </c>
      <c r="L24" s="1258">
        <f t="shared" ca="1" si="20"/>
        <v>0</v>
      </c>
      <c r="M24" s="1257" t="str">
        <f t="shared" ca="1" si="21"/>
        <v>-</v>
      </c>
      <c r="N24" s="1258">
        <f t="shared" ca="1" si="22"/>
        <v>0</v>
      </c>
      <c r="O24" s="1257">
        <f t="shared" ca="1" si="23"/>
        <v>0</v>
      </c>
      <c r="P24" s="1257">
        <f t="shared" ca="1" si="24"/>
        <v>0</v>
      </c>
      <c r="Q24" s="1257">
        <f t="shared" ca="1" si="25"/>
        <v>0</v>
      </c>
      <c r="R24" s="1257">
        <f t="shared" ca="1" si="26"/>
        <v>0</v>
      </c>
      <c r="S24" s="1257">
        <f t="shared" ca="1" si="27"/>
        <v>0</v>
      </c>
      <c r="T24" s="1257">
        <f t="shared" ca="1" si="28"/>
        <v>0</v>
      </c>
      <c r="U24" s="1257">
        <f t="shared" ca="1" si="29"/>
        <v>0</v>
      </c>
      <c r="V24" s="1257">
        <f t="shared" ca="1" si="0"/>
        <v>0</v>
      </c>
      <c r="W24" s="1257">
        <f t="shared" ca="1" si="30"/>
        <v>0</v>
      </c>
      <c r="X24" s="1257">
        <f t="shared" ca="1" si="31"/>
        <v>0</v>
      </c>
      <c r="Y24" s="1259">
        <f t="shared" ca="1" si="32"/>
        <v>0</v>
      </c>
      <c r="Z24" s="1259">
        <f t="shared" ca="1" si="33"/>
        <v>0</v>
      </c>
      <c r="AA24" s="1257">
        <f t="shared" ca="1" si="34"/>
        <v>0</v>
      </c>
      <c r="AB24" s="1260">
        <f t="shared" ca="1" si="35"/>
        <v>0</v>
      </c>
      <c r="AC24" s="1260">
        <f t="shared" ca="1" si="36"/>
        <v>0</v>
      </c>
      <c r="AD24" s="1261">
        <f t="shared" ca="1" si="37"/>
        <v>0</v>
      </c>
      <c r="AE24" s="1262">
        <f t="shared" ca="1" si="38"/>
        <v>0</v>
      </c>
      <c r="AF24" s="1257">
        <f t="shared" ca="1" si="39"/>
        <v>0</v>
      </c>
      <c r="AG24" s="1263">
        <f ca="1">(IF(ISNA(VLOOKUP($I24,'Suivi objectifs'!$D$1:$H$38,3,0)),0,VLOOKUP($I24,'Suivi objectifs'!$D$1:$H$38,3,0))*$J24+IF(ISNA(VLOOKUP($K24,'Suivi objectifs'!$D$1:$H$38,3,0)),0,VLOOKUP($K24,'Suivi objectifs'!$D$1:$H$38,3,0))*$L24+IF(ISNA(VLOOKUP($M24,'Suivi objectifs'!$D$1:$H$38,3,0)),0,VLOOKUP($M24,'Suivi objectifs'!$D$1:$H$38,3,0))*$N24)*1000</f>
        <v>0</v>
      </c>
      <c r="AH24" s="1263">
        <f ca="1">(IF(ISNA(VLOOKUP($I24,'Suivi objectifs'!$D$1:$H$38,4,0)),0,VLOOKUP($I24,'Suivi objectifs'!$D$1:$H$38,4,0))*$J24+IF(ISNA(VLOOKUP($K24,'Suivi objectifs'!$D$1:$H$38,3,0)),0,VLOOKUP($K24,'Suivi objectifs'!$D$1:$H$38,4,0))*$L24+IF(ISNA(VLOOKUP($M24,'Suivi objectifs'!$D$1:$H$38,4,0)),0,VLOOKUP($M24,'Suivi objectifs'!$D$1:$H$38,4,0))*$N24)*1000</f>
        <v>0</v>
      </c>
      <c r="AI24" s="1263">
        <f ca="1">(IF(ISNA(VLOOKUP($I24,'Suivi objectifs'!$D$1:$I$38,6,0)),0,VLOOKUP($I24,'Suivi objectifs'!$D$1:$I$38,6,0))*$J24+IF(ISNA(VLOOKUP($K24,'Suivi objectifs'!$D$1:$I$38,6,0)),0,VLOOKUP($K24,'Suivi objectifs'!$D$1:$I$38,6,0))*$L24+IF(ISNA(VLOOKUP($M24,'Suivi objectifs'!$D$1:$I$38,6,0)),0,VLOOKUP($M24,'Suivi objectifs'!$D$1:$I$38,6,0))*$N24)</f>
        <v>0</v>
      </c>
      <c r="AJ24" s="1837">
        <f t="shared" ca="1" si="40"/>
        <v>0</v>
      </c>
      <c r="AK24" s="1264" t="str">
        <f t="shared" ca="1" si="1"/>
        <v/>
      </c>
      <c r="AL24" s="854" t="str">
        <f t="shared" ca="1" si="2"/>
        <v/>
      </c>
      <c r="AM24" s="1171" t="str">
        <f t="shared" ca="1" si="41"/>
        <v>Autre</v>
      </c>
      <c r="AN24" s="28">
        <f t="shared" ca="1" si="42"/>
        <v>0</v>
      </c>
      <c r="AO24" s="28" t="str">
        <f t="shared" ca="1" si="43"/>
        <v>0_0</v>
      </c>
      <c r="AP24" s="28" t="str">
        <f t="shared" si="4"/>
        <v>A23</v>
      </c>
      <c r="AQ24" s="28">
        <f t="shared" ca="1" si="44"/>
        <v>0</v>
      </c>
      <c r="AR24" s="28">
        <f t="shared" ca="1" si="5"/>
        <v>0</v>
      </c>
      <c r="AS24" s="28">
        <f t="shared" ca="1" si="45"/>
        <v>0</v>
      </c>
      <c r="AT24" s="28">
        <f t="shared" ca="1" si="46"/>
        <v>0</v>
      </c>
      <c r="AU24" s="28">
        <f t="shared" ca="1" si="47"/>
        <v>0</v>
      </c>
      <c r="AV24" s="28">
        <f t="shared" ca="1" si="6"/>
        <v>0</v>
      </c>
      <c r="AW24" s="28">
        <f t="shared" ca="1" si="48"/>
        <v>0</v>
      </c>
      <c r="AX24" s="28">
        <f t="shared" ca="1" si="7"/>
        <v>0</v>
      </c>
      <c r="AY24" s="28">
        <f t="shared" ca="1" si="8"/>
        <v>0</v>
      </c>
      <c r="AZ24" s="28">
        <f t="shared" ca="1" si="9"/>
        <v>0</v>
      </c>
      <c r="BA24" s="28">
        <f t="shared" ca="1" si="10"/>
        <v>0</v>
      </c>
      <c r="BB24" s="28">
        <f ca="1">IF(C24="x",COUNTIF(BB$2:BB23,"&gt;0")+1,0)</f>
        <v>0</v>
      </c>
      <c r="BC24" s="1255"/>
    </row>
    <row r="25" spans="1:55" ht="14.4">
      <c r="A25" s="1171" t="str">
        <f t="shared" si="11"/>
        <v>A24</v>
      </c>
      <c r="B25" s="1256" t="str">
        <f t="shared" ca="1" si="12"/>
        <v/>
      </c>
      <c r="C25" s="1256" t="str">
        <f t="shared" ca="1" si="13"/>
        <v/>
      </c>
      <c r="D25" s="1256" t="str">
        <f t="shared" ca="1" si="49"/>
        <v/>
      </c>
      <c r="E25" s="1256" t="str">
        <f t="shared" ca="1" si="14"/>
        <v/>
      </c>
      <c r="F25" s="1265">
        <v>24</v>
      </c>
      <c r="G25" s="1257">
        <f t="shared" ca="1" si="15"/>
        <v>0</v>
      </c>
      <c r="H25" s="1257">
        <f t="shared" ca="1" si="16"/>
        <v>0</v>
      </c>
      <c r="I25" s="1257" t="str">
        <f t="shared" ca="1" si="17"/>
        <v>-</v>
      </c>
      <c r="J25" s="1258">
        <f t="shared" ca="1" si="18"/>
        <v>0</v>
      </c>
      <c r="K25" s="1257" t="str">
        <f t="shared" ca="1" si="19"/>
        <v>-</v>
      </c>
      <c r="L25" s="1258">
        <f t="shared" ca="1" si="20"/>
        <v>0</v>
      </c>
      <c r="M25" s="1257" t="str">
        <f t="shared" ca="1" si="21"/>
        <v>-</v>
      </c>
      <c r="N25" s="1258">
        <f t="shared" ca="1" si="22"/>
        <v>0</v>
      </c>
      <c r="O25" s="1257">
        <f t="shared" ca="1" si="23"/>
        <v>0</v>
      </c>
      <c r="P25" s="1257">
        <f t="shared" ca="1" si="24"/>
        <v>0</v>
      </c>
      <c r="Q25" s="1257">
        <f t="shared" ca="1" si="25"/>
        <v>0</v>
      </c>
      <c r="R25" s="1257">
        <f t="shared" ca="1" si="26"/>
        <v>0</v>
      </c>
      <c r="S25" s="1257">
        <f t="shared" ca="1" si="27"/>
        <v>0</v>
      </c>
      <c r="T25" s="1257">
        <f t="shared" ca="1" si="28"/>
        <v>0</v>
      </c>
      <c r="U25" s="1257">
        <f t="shared" ca="1" si="29"/>
        <v>0</v>
      </c>
      <c r="V25" s="1257">
        <f t="shared" ca="1" si="0"/>
        <v>0</v>
      </c>
      <c r="W25" s="1257">
        <f t="shared" ca="1" si="30"/>
        <v>0</v>
      </c>
      <c r="X25" s="1257">
        <f t="shared" ca="1" si="31"/>
        <v>0</v>
      </c>
      <c r="Y25" s="1259">
        <f t="shared" ca="1" si="32"/>
        <v>0</v>
      </c>
      <c r="Z25" s="1259">
        <f t="shared" ca="1" si="33"/>
        <v>0</v>
      </c>
      <c r="AA25" s="1257">
        <f t="shared" ca="1" si="34"/>
        <v>0</v>
      </c>
      <c r="AB25" s="1260">
        <f t="shared" ca="1" si="35"/>
        <v>0</v>
      </c>
      <c r="AC25" s="1260">
        <f t="shared" ca="1" si="36"/>
        <v>0</v>
      </c>
      <c r="AD25" s="1261">
        <f t="shared" ca="1" si="37"/>
        <v>0</v>
      </c>
      <c r="AE25" s="1262">
        <f t="shared" ca="1" si="38"/>
        <v>0</v>
      </c>
      <c r="AF25" s="1257">
        <f t="shared" ca="1" si="39"/>
        <v>0</v>
      </c>
      <c r="AG25" s="1263">
        <f ca="1">(IF(ISNA(VLOOKUP($I25,'Suivi objectifs'!$D$1:$H$38,3,0)),0,VLOOKUP($I25,'Suivi objectifs'!$D$1:$H$38,3,0))*$J25+IF(ISNA(VLOOKUP($K25,'Suivi objectifs'!$D$1:$H$38,3,0)),0,VLOOKUP($K25,'Suivi objectifs'!$D$1:$H$38,3,0))*$L25+IF(ISNA(VLOOKUP($M25,'Suivi objectifs'!$D$1:$H$38,3,0)),0,VLOOKUP($M25,'Suivi objectifs'!$D$1:$H$38,3,0))*$N25)*1000</f>
        <v>0</v>
      </c>
      <c r="AH25" s="1263">
        <f ca="1">(IF(ISNA(VLOOKUP($I25,'Suivi objectifs'!$D$1:$H$38,4,0)),0,VLOOKUP($I25,'Suivi objectifs'!$D$1:$H$38,4,0))*$J25+IF(ISNA(VLOOKUP($K25,'Suivi objectifs'!$D$1:$H$38,3,0)),0,VLOOKUP($K25,'Suivi objectifs'!$D$1:$H$38,4,0))*$L25+IF(ISNA(VLOOKUP($M25,'Suivi objectifs'!$D$1:$H$38,4,0)),0,VLOOKUP($M25,'Suivi objectifs'!$D$1:$H$38,4,0))*$N25)*1000</f>
        <v>0</v>
      </c>
      <c r="AI25" s="1263">
        <f ca="1">(IF(ISNA(VLOOKUP($I25,'Suivi objectifs'!$D$1:$I$38,6,0)),0,VLOOKUP($I25,'Suivi objectifs'!$D$1:$I$38,6,0))*$J25+IF(ISNA(VLOOKUP($K25,'Suivi objectifs'!$D$1:$I$38,6,0)),0,VLOOKUP($K25,'Suivi objectifs'!$D$1:$I$38,6,0))*$L25+IF(ISNA(VLOOKUP($M25,'Suivi objectifs'!$D$1:$I$38,6,0)),0,VLOOKUP($M25,'Suivi objectifs'!$D$1:$I$38,6,0))*$N25)</f>
        <v>0</v>
      </c>
      <c r="AJ25" s="1837">
        <f t="shared" ca="1" si="40"/>
        <v>0</v>
      </c>
      <c r="AK25" s="1264" t="str">
        <f t="shared" ca="1" si="1"/>
        <v/>
      </c>
      <c r="AL25" s="854" t="str">
        <f t="shared" ca="1" si="2"/>
        <v/>
      </c>
      <c r="AM25" s="1171" t="str">
        <f t="shared" ca="1" si="41"/>
        <v>Autre</v>
      </c>
      <c r="AN25" s="28">
        <f t="shared" ca="1" si="42"/>
        <v>0</v>
      </c>
      <c r="AO25" s="28" t="str">
        <f t="shared" ca="1" si="43"/>
        <v>0_0</v>
      </c>
      <c r="AP25" s="28" t="str">
        <f t="shared" si="4"/>
        <v>A24</v>
      </c>
      <c r="AQ25" s="28">
        <f t="shared" ca="1" si="44"/>
        <v>0</v>
      </c>
      <c r="AR25" s="28">
        <f t="shared" ca="1" si="5"/>
        <v>0</v>
      </c>
      <c r="AS25" s="28">
        <f t="shared" ca="1" si="45"/>
        <v>0</v>
      </c>
      <c r="AT25" s="28">
        <f t="shared" ca="1" si="46"/>
        <v>0</v>
      </c>
      <c r="AU25" s="28">
        <f t="shared" ca="1" si="47"/>
        <v>0</v>
      </c>
      <c r="AV25" s="28">
        <f t="shared" ca="1" si="6"/>
        <v>0</v>
      </c>
      <c r="AW25" s="28">
        <f t="shared" ca="1" si="48"/>
        <v>0</v>
      </c>
      <c r="AX25" s="28">
        <f t="shared" ca="1" si="7"/>
        <v>0</v>
      </c>
      <c r="AY25" s="28">
        <f t="shared" ca="1" si="8"/>
        <v>0</v>
      </c>
      <c r="AZ25" s="28">
        <f t="shared" ca="1" si="9"/>
        <v>0</v>
      </c>
      <c r="BA25" s="28">
        <f t="shared" ca="1" si="10"/>
        <v>0</v>
      </c>
      <c r="BB25" s="28">
        <f ca="1">IF(C25="x",COUNTIF(BB$2:BB24,"&gt;0")+1,0)</f>
        <v>0</v>
      </c>
      <c r="BC25" s="1255"/>
    </row>
    <row r="26" spans="1:55" ht="14.4">
      <c r="A26" s="1171" t="str">
        <f t="shared" si="11"/>
        <v>A25</v>
      </c>
      <c r="B26" s="1256" t="str">
        <f t="shared" ca="1" si="12"/>
        <v/>
      </c>
      <c r="C26" s="1256" t="str">
        <f t="shared" ca="1" si="13"/>
        <v/>
      </c>
      <c r="D26" s="1256" t="str">
        <f t="shared" ca="1" si="49"/>
        <v/>
      </c>
      <c r="E26" s="1256" t="str">
        <f t="shared" ca="1" si="14"/>
        <v/>
      </c>
      <c r="F26" s="1265">
        <v>25</v>
      </c>
      <c r="G26" s="1257">
        <f t="shared" ca="1" si="15"/>
        <v>0</v>
      </c>
      <c r="H26" s="1257">
        <f t="shared" ca="1" si="16"/>
        <v>0</v>
      </c>
      <c r="I26" s="1257" t="str">
        <f t="shared" ca="1" si="17"/>
        <v>-</v>
      </c>
      <c r="J26" s="1258">
        <f t="shared" ca="1" si="18"/>
        <v>0</v>
      </c>
      <c r="K26" s="1257" t="str">
        <f t="shared" ca="1" si="19"/>
        <v>-</v>
      </c>
      <c r="L26" s="1258">
        <f t="shared" ca="1" si="20"/>
        <v>0</v>
      </c>
      <c r="M26" s="1257" t="str">
        <f t="shared" ca="1" si="21"/>
        <v>-</v>
      </c>
      <c r="N26" s="1258">
        <f t="shared" ca="1" si="22"/>
        <v>0</v>
      </c>
      <c r="O26" s="1257">
        <f t="shared" ca="1" si="23"/>
        <v>0</v>
      </c>
      <c r="P26" s="1257">
        <f t="shared" ca="1" si="24"/>
        <v>0</v>
      </c>
      <c r="Q26" s="1257">
        <f t="shared" ca="1" si="25"/>
        <v>0</v>
      </c>
      <c r="R26" s="1257">
        <f t="shared" ca="1" si="26"/>
        <v>0</v>
      </c>
      <c r="S26" s="1257">
        <f t="shared" ca="1" si="27"/>
        <v>0</v>
      </c>
      <c r="T26" s="1257">
        <f t="shared" ca="1" si="28"/>
        <v>0</v>
      </c>
      <c r="U26" s="1257">
        <f t="shared" ca="1" si="29"/>
        <v>0</v>
      </c>
      <c r="V26" s="1257">
        <f t="shared" ca="1" si="0"/>
        <v>0</v>
      </c>
      <c r="W26" s="1257">
        <f t="shared" ca="1" si="30"/>
        <v>0</v>
      </c>
      <c r="X26" s="1257">
        <f t="shared" ca="1" si="31"/>
        <v>0</v>
      </c>
      <c r="Y26" s="1259">
        <f t="shared" ca="1" si="32"/>
        <v>0</v>
      </c>
      <c r="Z26" s="1259">
        <f t="shared" ca="1" si="33"/>
        <v>0</v>
      </c>
      <c r="AA26" s="1257">
        <f t="shared" ca="1" si="34"/>
        <v>0</v>
      </c>
      <c r="AB26" s="1260">
        <f t="shared" ca="1" si="35"/>
        <v>0</v>
      </c>
      <c r="AC26" s="1260">
        <f t="shared" ca="1" si="36"/>
        <v>0</v>
      </c>
      <c r="AD26" s="1261">
        <f t="shared" ca="1" si="37"/>
        <v>0</v>
      </c>
      <c r="AE26" s="1262">
        <f t="shared" ca="1" si="38"/>
        <v>0</v>
      </c>
      <c r="AF26" s="1257">
        <f t="shared" ca="1" si="39"/>
        <v>0</v>
      </c>
      <c r="AG26" s="1263">
        <f ca="1">(IF(ISNA(VLOOKUP($I26,'Suivi objectifs'!$D$1:$H$38,3,0)),0,VLOOKUP($I26,'Suivi objectifs'!$D$1:$H$38,3,0))*$J26+IF(ISNA(VLOOKUP($K26,'Suivi objectifs'!$D$1:$H$38,3,0)),0,VLOOKUP($K26,'Suivi objectifs'!$D$1:$H$38,3,0))*$L26+IF(ISNA(VLOOKUP($M26,'Suivi objectifs'!$D$1:$H$38,3,0)),0,VLOOKUP($M26,'Suivi objectifs'!$D$1:$H$38,3,0))*$N26)*1000</f>
        <v>0</v>
      </c>
      <c r="AH26" s="1263">
        <f ca="1">(IF(ISNA(VLOOKUP($I26,'Suivi objectifs'!$D$1:$H$38,4,0)),0,VLOOKUP($I26,'Suivi objectifs'!$D$1:$H$38,4,0))*$J26+IF(ISNA(VLOOKUP($K26,'Suivi objectifs'!$D$1:$H$38,3,0)),0,VLOOKUP($K26,'Suivi objectifs'!$D$1:$H$38,4,0))*$L26+IF(ISNA(VLOOKUP($M26,'Suivi objectifs'!$D$1:$H$38,4,0)),0,VLOOKUP($M26,'Suivi objectifs'!$D$1:$H$38,4,0))*$N26)*1000</f>
        <v>0</v>
      </c>
      <c r="AI26" s="1263">
        <f ca="1">(IF(ISNA(VLOOKUP($I26,'Suivi objectifs'!$D$1:$I$38,6,0)),0,VLOOKUP($I26,'Suivi objectifs'!$D$1:$I$38,6,0))*$J26+IF(ISNA(VLOOKUP($K26,'Suivi objectifs'!$D$1:$I$38,6,0)),0,VLOOKUP($K26,'Suivi objectifs'!$D$1:$I$38,6,0))*$L26+IF(ISNA(VLOOKUP($M26,'Suivi objectifs'!$D$1:$I$38,6,0)),0,VLOOKUP($M26,'Suivi objectifs'!$D$1:$I$38,6,0))*$N26)</f>
        <v>0</v>
      </c>
      <c r="AJ26" s="1837">
        <f t="shared" ca="1" si="40"/>
        <v>0</v>
      </c>
      <c r="AK26" s="1264" t="str">
        <f t="shared" ca="1" si="1"/>
        <v/>
      </c>
      <c r="AL26" s="854" t="str">
        <f t="shared" ca="1" si="2"/>
        <v/>
      </c>
      <c r="AM26" s="1171" t="str">
        <f t="shared" ca="1" si="41"/>
        <v>Autre</v>
      </c>
      <c r="AN26" s="28">
        <f t="shared" ca="1" si="42"/>
        <v>0</v>
      </c>
      <c r="AO26" s="28" t="str">
        <f t="shared" ca="1" si="43"/>
        <v>0_0</v>
      </c>
      <c r="AP26" s="28" t="str">
        <f t="shared" si="4"/>
        <v>A25</v>
      </c>
      <c r="AQ26" s="28">
        <f t="shared" ca="1" si="44"/>
        <v>0</v>
      </c>
      <c r="AR26" s="28">
        <f t="shared" ca="1" si="5"/>
        <v>0</v>
      </c>
      <c r="AS26" s="28">
        <f t="shared" ca="1" si="45"/>
        <v>0</v>
      </c>
      <c r="AT26" s="28">
        <f t="shared" ca="1" si="46"/>
        <v>0</v>
      </c>
      <c r="AU26" s="28">
        <f t="shared" ca="1" si="47"/>
        <v>0</v>
      </c>
      <c r="AV26" s="28">
        <f t="shared" ca="1" si="6"/>
        <v>0</v>
      </c>
      <c r="AW26" s="28">
        <f t="shared" ca="1" si="48"/>
        <v>0</v>
      </c>
      <c r="AX26" s="28">
        <f t="shared" ca="1" si="7"/>
        <v>0</v>
      </c>
      <c r="AY26" s="28">
        <f t="shared" ca="1" si="8"/>
        <v>0</v>
      </c>
      <c r="AZ26" s="28">
        <f t="shared" ca="1" si="9"/>
        <v>0</v>
      </c>
      <c r="BA26" s="28">
        <f t="shared" ca="1" si="10"/>
        <v>0</v>
      </c>
      <c r="BB26" s="28">
        <f ca="1">IF(C26="x",COUNTIF(BB$2:BB25,"&gt;0")+1,0)</f>
        <v>0</v>
      </c>
      <c r="BC26" s="1255"/>
    </row>
    <row r="27" spans="1:55" ht="14.4">
      <c r="A27" s="1171" t="str">
        <f t="shared" si="11"/>
        <v>A26</v>
      </c>
      <c r="B27" s="1256" t="str">
        <f t="shared" ca="1" si="12"/>
        <v/>
      </c>
      <c r="C27" s="1256" t="str">
        <f t="shared" ca="1" si="13"/>
        <v/>
      </c>
      <c r="D27" s="1256" t="str">
        <f t="shared" ca="1" si="49"/>
        <v/>
      </c>
      <c r="E27" s="1256" t="str">
        <f t="shared" ca="1" si="14"/>
        <v/>
      </c>
      <c r="F27" s="1265">
        <v>26</v>
      </c>
      <c r="G27" s="1257">
        <f t="shared" ca="1" si="15"/>
        <v>0</v>
      </c>
      <c r="H27" s="1257">
        <f t="shared" ca="1" si="16"/>
        <v>0</v>
      </c>
      <c r="I27" s="1257" t="str">
        <f t="shared" ca="1" si="17"/>
        <v>-</v>
      </c>
      <c r="J27" s="1258">
        <f t="shared" ca="1" si="18"/>
        <v>0</v>
      </c>
      <c r="K27" s="1257" t="str">
        <f t="shared" ca="1" si="19"/>
        <v>-</v>
      </c>
      <c r="L27" s="1258">
        <f t="shared" ca="1" si="20"/>
        <v>0</v>
      </c>
      <c r="M27" s="1257" t="str">
        <f t="shared" ca="1" si="21"/>
        <v>-</v>
      </c>
      <c r="N27" s="1258">
        <f t="shared" ca="1" si="22"/>
        <v>0</v>
      </c>
      <c r="O27" s="1257">
        <f t="shared" ca="1" si="23"/>
        <v>0</v>
      </c>
      <c r="P27" s="1257">
        <f t="shared" ca="1" si="24"/>
        <v>0</v>
      </c>
      <c r="Q27" s="1257">
        <f t="shared" ca="1" si="25"/>
        <v>0</v>
      </c>
      <c r="R27" s="1257">
        <f t="shared" ca="1" si="26"/>
        <v>0</v>
      </c>
      <c r="S27" s="1257">
        <f t="shared" ca="1" si="27"/>
        <v>0</v>
      </c>
      <c r="T27" s="1257">
        <f t="shared" ca="1" si="28"/>
        <v>0</v>
      </c>
      <c r="U27" s="1257">
        <f t="shared" ca="1" si="29"/>
        <v>0</v>
      </c>
      <c r="V27" s="1257">
        <f t="shared" ca="1" si="0"/>
        <v>0</v>
      </c>
      <c r="W27" s="1257">
        <f t="shared" ca="1" si="30"/>
        <v>0</v>
      </c>
      <c r="X27" s="1257">
        <f t="shared" ca="1" si="31"/>
        <v>0</v>
      </c>
      <c r="Y27" s="1259">
        <f t="shared" ca="1" si="32"/>
        <v>0</v>
      </c>
      <c r="Z27" s="1259">
        <f t="shared" ca="1" si="33"/>
        <v>0</v>
      </c>
      <c r="AA27" s="1257">
        <f t="shared" ca="1" si="34"/>
        <v>0</v>
      </c>
      <c r="AB27" s="1260">
        <f t="shared" ca="1" si="35"/>
        <v>0</v>
      </c>
      <c r="AC27" s="1260">
        <f t="shared" ca="1" si="36"/>
        <v>0</v>
      </c>
      <c r="AD27" s="1261">
        <f t="shared" ca="1" si="37"/>
        <v>0</v>
      </c>
      <c r="AE27" s="1262">
        <f t="shared" ca="1" si="38"/>
        <v>0</v>
      </c>
      <c r="AF27" s="1257">
        <f t="shared" ca="1" si="39"/>
        <v>0</v>
      </c>
      <c r="AG27" s="1263">
        <f ca="1">(IF(ISNA(VLOOKUP($I27,'Suivi objectifs'!$D$1:$H$38,3,0)),0,VLOOKUP($I27,'Suivi objectifs'!$D$1:$H$38,3,0))*$J27+IF(ISNA(VLOOKUP($K27,'Suivi objectifs'!$D$1:$H$38,3,0)),0,VLOOKUP($K27,'Suivi objectifs'!$D$1:$H$38,3,0))*$L27+IF(ISNA(VLOOKUP($M27,'Suivi objectifs'!$D$1:$H$38,3,0)),0,VLOOKUP($M27,'Suivi objectifs'!$D$1:$H$38,3,0))*$N27)*1000</f>
        <v>0</v>
      </c>
      <c r="AH27" s="1263">
        <f ca="1">(IF(ISNA(VLOOKUP($I27,'Suivi objectifs'!$D$1:$H$38,4,0)),0,VLOOKUP($I27,'Suivi objectifs'!$D$1:$H$38,4,0))*$J27+IF(ISNA(VLOOKUP($K27,'Suivi objectifs'!$D$1:$H$38,3,0)),0,VLOOKUP($K27,'Suivi objectifs'!$D$1:$H$38,4,0))*$L27+IF(ISNA(VLOOKUP($M27,'Suivi objectifs'!$D$1:$H$38,4,0)),0,VLOOKUP($M27,'Suivi objectifs'!$D$1:$H$38,4,0))*$N27)*1000</f>
        <v>0</v>
      </c>
      <c r="AI27" s="1263">
        <f ca="1">(IF(ISNA(VLOOKUP($I27,'Suivi objectifs'!$D$1:$I$38,6,0)),0,VLOOKUP($I27,'Suivi objectifs'!$D$1:$I$38,6,0))*$J27+IF(ISNA(VLOOKUP($K27,'Suivi objectifs'!$D$1:$I$38,6,0)),0,VLOOKUP($K27,'Suivi objectifs'!$D$1:$I$38,6,0))*$L27+IF(ISNA(VLOOKUP($M27,'Suivi objectifs'!$D$1:$I$38,6,0)),0,VLOOKUP($M27,'Suivi objectifs'!$D$1:$I$38,6,0))*$N27)</f>
        <v>0</v>
      </c>
      <c r="AJ27" s="1837">
        <f t="shared" ca="1" si="40"/>
        <v>0</v>
      </c>
      <c r="AK27" s="1264" t="str">
        <f t="shared" ca="1" si="1"/>
        <v/>
      </c>
      <c r="AL27" s="854" t="str">
        <f t="shared" ca="1" si="2"/>
        <v/>
      </c>
      <c r="AM27" s="1171" t="str">
        <f t="shared" ca="1" si="41"/>
        <v>Autre</v>
      </c>
      <c r="AN27" s="28">
        <f t="shared" ca="1" si="42"/>
        <v>0</v>
      </c>
      <c r="AO27" s="28" t="str">
        <f t="shared" ca="1" si="43"/>
        <v>0_0</v>
      </c>
      <c r="AP27" s="28" t="str">
        <f t="shared" si="4"/>
        <v>A26</v>
      </c>
      <c r="AQ27" s="28">
        <f t="shared" ca="1" si="44"/>
        <v>0</v>
      </c>
      <c r="AR27" s="28">
        <f t="shared" ca="1" si="5"/>
        <v>0</v>
      </c>
      <c r="AS27" s="28">
        <f t="shared" ca="1" si="45"/>
        <v>0</v>
      </c>
      <c r="AT27" s="28">
        <f t="shared" ca="1" si="46"/>
        <v>0</v>
      </c>
      <c r="AU27" s="28">
        <f t="shared" ca="1" si="47"/>
        <v>0</v>
      </c>
      <c r="AV27" s="28">
        <f t="shared" ca="1" si="6"/>
        <v>0</v>
      </c>
      <c r="AW27" s="28">
        <f t="shared" ca="1" si="48"/>
        <v>0</v>
      </c>
      <c r="AX27" s="28">
        <f t="shared" ca="1" si="7"/>
        <v>0</v>
      </c>
      <c r="AY27" s="28">
        <f t="shared" ca="1" si="8"/>
        <v>0</v>
      </c>
      <c r="AZ27" s="28">
        <f t="shared" ca="1" si="9"/>
        <v>0</v>
      </c>
      <c r="BA27" s="28">
        <f t="shared" ca="1" si="10"/>
        <v>0</v>
      </c>
      <c r="BB27" s="28">
        <f ca="1">IF(C27="x",COUNTIF(BB$2:BB26,"&gt;0")+1,0)</f>
        <v>0</v>
      </c>
      <c r="BC27" s="1255"/>
    </row>
    <row r="28" spans="1:55" ht="14.4">
      <c r="A28" s="1171" t="str">
        <f t="shared" si="11"/>
        <v>A27</v>
      </c>
      <c r="B28" s="1256" t="str">
        <f t="shared" ca="1" si="12"/>
        <v/>
      </c>
      <c r="C28" s="1256" t="str">
        <f t="shared" ca="1" si="13"/>
        <v/>
      </c>
      <c r="D28" s="1256" t="str">
        <f t="shared" ca="1" si="49"/>
        <v/>
      </c>
      <c r="E28" s="1256" t="str">
        <f t="shared" ca="1" si="14"/>
        <v/>
      </c>
      <c r="F28" s="1265">
        <v>27</v>
      </c>
      <c r="G28" s="1257">
        <f t="shared" ca="1" si="15"/>
        <v>0</v>
      </c>
      <c r="H28" s="1257">
        <f t="shared" ca="1" si="16"/>
        <v>0</v>
      </c>
      <c r="I28" s="1257" t="str">
        <f t="shared" ca="1" si="17"/>
        <v>-</v>
      </c>
      <c r="J28" s="1258">
        <f t="shared" ca="1" si="18"/>
        <v>0</v>
      </c>
      <c r="K28" s="1257" t="str">
        <f t="shared" ca="1" si="19"/>
        <v>-</v>
      </c>
      <c r="L28" s="1258">
        <f t="shared" ca="1" si="20"/>
        <v>0</v>
      </c>
      <c r="M28" s="1257" t="str">
        <f t="shared" ca="1" si="21"/>
        <v>-</v>
      </c>
      <c r="N28" s="1258">
        <f t="shared" ca="1" si="22"/>
        <v>0</v>
      </c>
      <c r="O28" s="1257">
        <f t="shared" ca="1" si="23"/>
        <v>0</v>
      </c>
      <c r="P28" s="1257">
        <f t="shared" ca="1" si="24"/>
        <v>0</v>
      </c>
      <c r="Q28" s="1257">
        <f t="shared" ca="1" si="25"/>
        <v>0</v>
      </c>
      <c r="R28" s="1257">
        <f t="shared" ca="1" si="26"/>
        <v>0</v>
      </c>
      <c r="S28" s="1257">
        <f t="shared" ca="1" si="27"/>
        <v>0</v>
      </c>
      <c r="T28" s="1257">
        <f t="shared" ca="1" si="28"/>
        <v>0</v>
      </c>
      <c r="U28" s="1257">
        <f t="shared" ca="1" si="29"/>
        <v>0</v>
      </c>
      <c r="V28" s="1257">
        <f t="shared" ca="1" si="0"/>
        <v>0</v>
      </c>
      <c r="W28" s="1257">
        <f t="shared" ca="1" si="30"/>
        <v>0</v>
      </c>
      <c r="X28" s="1257">
        <f t="shared" ca="1" si="31"/>
        <v>0</v>
      </c>
      <c r="Y28" s="1259">
        <f t="shared" ca="1" si="32"/>
        <v>0</v>
      </c>
      <c r="Z28" s="1259">
        <f t="shared" ca="1" si="33"/>
        <v>0</v>
      </c>
      <c r="AA28" s="1257">
        <f t="shared" ca="1" si="34"/>
        <v>0</v>
      </c>
      <c r="AB28" s="1260">
        <f t="shared" ca="1" si="35"/>
        <v>0</v>
      </c>
      <c r="AC28" s="1260">
        <f t="shared" ca="1" si="36"/>
        <v>0</v>
      </c>
      <c r="AD28" s="1261">
        <f t="shared" ca="1" si="37"/>
        <v>0</v>
      </c>
      <c r="AE28" s="1262">
        <f t="shared" ca="1" si="38"/>
        <v>0</v>
      </c>
      <c r="AF28" s="1257">
        <f t="shared" ca="1" si="39"/>
        <v>0</v>
      </c>
      <c r="AG28" s="1263">
        <f ca="1">(IF(ISNA(VLOOKUP($I28,'Suivi objectifs'!$D$1:$H$38,3,0)),0,VLOOKUP($I28,'Suivi objectifs'!$D$1:$H$38,3,0))*$J28+IF(ISNA(VLOOKUP($K28,'Suivi objectifs'!$D$1:$H$38,3,0)),0,VLOOKUP($K28,'Suivi objectifs'!$D$1:$H$38,3,0))*$L28+IF(ISNA(VLOOKUP($M28,'Suivi objectifs'!$D$1:$H$38,3,0)),0,VLOOKUP($M28,'Suivi objectifs'!$D$1:$H$38,3,0))*$N28)*1000</f>
        <v>0</v>
      </c>
      <c r="AH28" s="1263">
        <f ca="1">(IF(ISNA(VLOOKUP($I28,'Suivi objectifs'!$D$1:$H$38,4,0)),0,VLOOKUP($I28,'Suivi objectifs'!$D$1:$H$38,4,0))*$J28+IF(ISNA(VLOOKUP($K28,'Suivi objectifs'!$D$1:$H$38,3,0)),0,VLOOKUP($K28,'Suivi objectifs'!$D$1:$H$38,4,0))*$L28+IF(ISNA(VLOOKUP($M28,'Suivi objectifs'!$D$1:$H$38,4,0)),0,VLOOKUP($M28,'Suivi objectifs'!$D$1:$H$38,4,0))*$N28)*1000</f>
        <v>0</v>
      </c>
      <c r="AI28" s="1263">
        <f ca="1">(IF(ISNA(VLOOKUP($I28,'Suivi objectifs'!$D$1:$I$38,6,0)),0,VLOOKUP($I28,'Suivi objectifs'!$D$1:$I$38,6,0))*$J28+IF(ISNA(VLOOKUP($K28,'Suivi objectifs'!$D$1:$I$38,6,0)),0,VLOOKUP($K28,'Suivi objectifs'!$D$1:$I$38,6,0))*$L28+IF(ISNA(VLOOKUP($M28,'Suivi objectifs'!$D$1:$I$38,6,0)),0,VLOOKUP($M28,'Suivi objectifs'!$D$1:$I$38,6,0))*$N28)</f>
        <v>0</v>
      </c>
      <c r="AJ28" s="1837">
        <f t="shared" ca="1" si="40"/>
        <v>0</v>
      </c>
      <c r="AK28" s="1264" t="str">
        <f t="shared" ca="1" si="1"/>
        <v/>
      </c>
      <c r="AL28" s="854" t="str">
        <f t="shared" ca="1" si="2"/>
        <v/>
      </c>
      <c r="AM28" s="1171" t="str">
        <f t="shared" ca="1" si="41"/>
        <v>Autre</v>
      </c>
      <c r="AN28" s="28">
        <f t="shared" ca="1" si="42"/>
        <v>0</v>
      </c>
      <c r="AO28" s="28" t="str">
        <f t="shared" ca="1" si="43"/>
        <v>0_0</v>
      </c>
      <c r="AP28" s="28" t="str">
        <f t="shared" si="4"/>
        <v>A27</v>
      </c>
      <c r="AQ28" s="28">
        <f t="shared" ca="1" si="44"/>
        <v>0</v>
      </c>
      <c r="AR28" s="28">
        <f t="shared" ca="1" si="5"/>
        <v>0</v>
      </c>
      <c r="AS28" s="28">
        <f t="shared" ca="1" si="45"/>
        <v>0</v>
      </c>
      <c r="AT28" s="28">
        <f t="shared" ca="1" si="46"/>
        <v>0</v>
      </c>
      <c r="AU28" s="28">
        <f t="shared" ca="1" si="47"/>
        <v>0</v>
      </c>
      <c r="AV28" s="28">
        <f t="shared" ca="1" si="6"/>
        <v>0</v>
      </c>
      <c r="AW28" s="28">
        <f t="shared" ca="1" si="48"/>
        <v>0</v>
      </c>
      <c r="AX28" s="28">
        <f t="shared" ca="1" si="7"/>
        <v>0</v>
      </c>
      <c r="AY28" s="28">
        <f t="shared" ca="1" si="8"/>
        <v>0</v>
      </c>
      <c r="AZ28" s="28">
        <f t="shared" ca="1" si="9"/>
        <v>0</v>
      </c>
      <c r="BA28" s="28">
        <f t="shared" ca="1" si="10"/>
        <v>0</v>
      </c>
      <c r="BB28" s="28">
        <f ca="1">IF(C28="x",COUNTIF(BB$2:BB27,"&gt;0")+1,0)</f>
        <v>0</v>
      </c>
      <c r="BC28" s="1255"/>
    </row>
    <row r="29" spans="1:55" ht="14.4">
      <c r="A29" s="1171" t="str">
        <f t="shared" si="11"/>
        <v>A28</v>
      </c>
      <c r="B29" s="1256" t="str">
        <f t="shared" ca="1" si="12"/>
        <v/>
      </c>
      <c r="C29" s="1256" t="str">
        <f t="shared" ca="1" si="13"/>
        <v/>
      </c>
      <c r="D29" s="1256" t="str">
        <f t="shared" ca="1" si="49"/>
        <v/>
      </c>
      <c r="E29" s="1256" t="str">
        <f t="shared" ca="1" si="14"/>
        <v/>
      </c>
      <c r="F29" s="1265">
        <v>28</v>
      </c>
      <c r="G29" s="1257">
        <f t="shared" ca="1" si="15"/>
        <v>0</v>
      </c>
      <c r="H29" s="1257">
        <f t="shared" ca="1" si="16"/>
        <v>0</v>
      </c>
      <c r="I29" s="1257" t="str">
        <f t="shared" ca="1" si="17"/>
        <v>-</v>
      </c>
      <c r="J29" s="1258">
        <f t="shared" ca="1" si="18"/>
        <v>0</v>
      </c>
      <c r="K29" s="1257" t="str">
        <f t="shared" ca="1" si="19"/>
        <v>-</v>
      </c>
      <c r="L29" s="1258">
        <f t="shared" ca="1" si="20"/>
        <v>0</v>
      </c>
      <c r="M29" s="1257" t="str">
        <f t="shared" ca="1" si="21"/>
        <v>-</v>
      </c>
      <c r="N29" s="1258">
        <f t="shared" ca="1" si="22"/>
        <v>0</v>
      </c>
      <c r="O29" s="1257">
        <f t="shared" ca="1" si="23"/>
        <v>0</v>
      </c>
      <c r="P29" s="1257">
        <f t="shared" ca="1" si="24"/>
        <v>0</v>
      </c>
      <c r="Q29" s="1257">
        <f t="shared" ca="1" si="25"/>
        <v>0</v>
      </c>
      <c r="R29" s="1257">
        <f t="shared" ca="1" si="26"/>
        <v>0</v>
      </c>
      <c r="S29" s="1257">
        <f t="shared" ca="1" si="27"/>
        <v>0</v>
      </c>
      <c r="T29" s="1257">
        <f t="shared" ca="1" si="28"/>
        <v>0</v>
      </c>
      <c r="U29" s="1257">
        <f t="shared" ca="1" si="29"/>
        <v>0</v>
      </c>
      <c r="V29" s="1257">
        <f t="shared" ca="1" si="0"/>
        <v>0</v>
      </c>
      <c r="W29" s="1257">
        <f t="shared" ca="1" si="30"/>
        <v>0</v>
      </c>
      <c r="X29" s="1257">
        <f t="shared" ca="1" si="31"/>
        <v>0</v>
      </c>
      <c r="Y29" s="1259">
        <f t="shared" ca="1" si="32"/>
        <v>0</v>
      </c>
      <c r="Z29" s="1259">
        <f t="shared" ca="1" si="33"/>
        <v>0</v>
      </c>
      <c r="AA29" s="1257">
        <f t="shared" ca="1" si="34"/>
        <v>0</v>
      </c>
      <c r="AB29" s="1260">
        <f t="shared" ca="1" si="35"/>
        <v>0</v>
      </c>
      <c r="AC29" s="1260">
        <f t="shared" ca="1" si="36"/>
        <v>0</v>
      </c>
      <c r="AD29" s="1261">
        <f t="shared" ca="1" si="37"/>
        <v>0</v>
      </c>
      <c r="AE29" s="1262">
        <f t="shared" ca="1" si="38"/>
        <v>0</v>
      </c>
      <c r="AF29" s="1257">
        <f t="shared" ca="1" si="39"/>
        <v>0</v>
      </c>
      <c r="AG29" s="1263">
        <f ca="1">(IF(ISNA(VLOOKUP($I29,'Suivi objectifs'!$D$1:$H$38,3,0)),0,VLOOKUP($I29,'Suivi objectifs'!$D$1:$H$38,3,0))*$J29+IF(ISNA(VLOOKUP($K29,'Suivi objectifs'!$D$1:$H$38,3,0)),0,VLOOKUP($K29,'Suivi objectifs'!$D$1:$H$38,3,0))*$L29+IF(ISNA(VLOOKUP($M29,'Suivi objectifs'!$D$1:$H$38,3,0)),0,VLOOKUP($M29,'Suivi objectifs'!$D$1:$H$38,3,0))*$N29)*1000</f>
        <v>0</v>
      </c>
      <c r="AH29" s="1263">
        <f ca="1">(IF(ISNA(VLOOKUP($I29,'Suivi objectifs'!$D$1:$H$38,4,0)),0,VLOOKUP($I29,'Suivi objectifs'!$D$1:$H$38,4,0))*$J29+IF(ISNA(VLOOKUP($K29,'Suivi objectifs'!$D$1:$H$38,3,0)),0,VLOOKUP($K29,'Suivi objectifs'!$D$1:$H$38,4,0))*$L29+IF(ISNA(VLOOKUP($M29,'Suivi objectifs'!$D$1:$H$38,4,0)),0,VLOOKUP($M29,'Suivi objectifs'!$D$1:$H$38,4,0))*$N29)*1000</f>
        <v>0</v>
      </c>
      <c r="AI29" s="1263">
        <f ca="1">(IF(ISNA(VLOOKUP($I29,'Suivi objectifs'!$D$1:$I$38,6,0)),0,VLOOKUP($I29,'Suivi objectifs'!$D$1:$I$38,6,0))*$J29+IF(ISNA(VLOOKUP($K29,'Suivi objectifs'!$D$1:$I$38,6,0)),0,VLOOKUP($K29,'Suivi objectifs'!$D$1:$I$38,6,0))*$L29+IF(ISNA(VLOOKUP($M29,'Suivi objectifs'!$D$1:$I$38,6,0)),0,VLOOKUP($M29,'Suivi objectifs'!$D$1:$I$38,6,0))*$N29)</f>
        <v>0</v>
      </c>
      <c r="AJ29" s="1837">
        <f t="shared" ca="1" si="40"/>
        <v>0</v>
      </c>
      <c r="AK29" s="1264" t="str">
        <f t="shared" ca="1" si="1"/>
        <v/>
      </c>
      <c r="AL29" s="854" t="str">
        <f t="shared" ca="1" si="2"/>
        <v/>
      </c>
      <c r="AM29" s="1171" t="str">
        <f t="shared" ca="1" si="41"/>
        <v>Autre</v>
      </c>
      <c r="AN29" s="28">
        <f t="shared" ca="1" si="42"/>
        <v>0</v>
      </c>
      <c r="AO29" s="28" t="str">
        <f t="shared" ca="1" si="43"/>
        <v>0_0</v>
      </c>
      <c r="AP29" s="28" t="str">
        <f t="shared" si="4"/>
        <v>A28</v>
      </c>
      <c r="AQ29" s="28">
        <f t="shared" ca="1" si="44"/>
        <v>0</v>
      </c>
      <c r="AR29" s="28">
        <f t="shared" ca="1" si="5"/>
        <v>0</v>
      </c>
      <c r="AS29" s="28">
        <f t="shared" ca="1" si="45"/>
        <v>0</v>
      </c>
      <c r="AT29" s="28">
        <f t="shared" ca="1" si="46"/>
        <v>0</v>
      </c>
      <c r="AU29" s="28">
        <f t="shared" ca="1" si="47"/>
        <v>0</v>
      </c>
      <c r="AV29" s="28">
        <f t="shared" ca="1" si="6"/>
        <v>0</v>
      </c>
      <c r="AW29" s="28">
        <f t="shared" ca="1" si="48"/>
        <v>0</v>
      </c>
      <c r="AX29" s="28">
        <f t="shared" ca="1" si="7"/>
        <v>0</v>
      </c>
      <c r="AY29" s="28">
        <f t="shared" ca="1" si="8"/>
        <v>0</v>
      </c>
      <c r="AZ29" s="28">
        <f t="shared" ca="1" si="9"/>
        <v>0</v>
      </c>
      <c r="BA29" s="28">
        <f t="shared" ca="1" si="10"/>
        <v>0</v>
      </c>
      <c r="BB29" s="28">
        <f ca="1">IF(C29="x",COUNTIF(BB$2:BB28,"&gt;0")+1,0)</f>
        <v>0</v>
      </c>
      <c r="BC29" s="1255"/>
    </row>
    <row r="30" spans="1:55" ht="14.4">
      <c r="A30" s="1171" t="str">
        <f t="shared" si="11"/>
        <v>A29</v>
      </c>
      <c r="B30" s="1256" t="str">
        <f t="shared" ca="1" si="12"/>
        <v/>
      </c>
      <c r="C30" s="1256" t="str">
        <f t="shared" ca="1" si="13"/>
        <v/>
      </c>
      <c r="D30" s="1256" t="str">
        <f t="shared" ca="1" si="49"/>
        <v/>
      </c>
      <c r="E30" s="1256" t="str">
        <f t="shared" ca="1" si="14"/>
        <v/>
      </c>
      <c r="F30" s="1265">
        <v>29</v>
      </c>
      <c r="G30" s="1257">
        <f t="shared" ca="1" si="15"/>
        <v>0</v>
      </c>
      <c r="H30" s="1257">
        <f t="shared" ca="1" si="16"/>
        <v>0</v>
      </c>
      <c r="I30" s="1257" t="str">
        <f t="shared" ca="1" si="17"/>
        <v>-</v>
      </c>
      <c r="J30" s="1258">
        <f t="shared" ca="1" si="18"/>
        <v>0</v>
      </c>
      <c r="K30" s="1257" t="str">
        <f t="shared" ca="1" si="19"/>
        <v>-</v>
      </c>
      <c r="L30" s="1258">
        <f t="shared" ca="1" si="20"/>
        <v>0</v>
      </c>
      <c r="M30" s="1257" t="str">
        <f t="shared" ca="1" si="21"/>
        <v>-</v>
      </c>
      <c r="N30" s="1258">
        <f t="shared" ca="1" si="22"/>
        <v>0</v>
      </c>
      <c r="O30" s="1257">
        <f t="shared" ca="1" si="23"/>
        <v>0</v>
      </c>
      <c r="P30" s="1257">
        <f t="shared" ca="1" si="24"/>
        <v>0</v>
      </c>
      <c r="Q30" s="1257">
        <f t="shared" ca="1" si="25"/>
        <v>0</v>
      </c>
      <c r="R30" s="1257">
        <f t="shared" ca="1" si="26"/>
        <v>0</v>
      </c>
      <c r="S30" s="1257">
        <f t="shared" ca="1" si="27"/>
        <v>0</v>
      </c>
      <c r="T30" s="1257">
        <f t="shared" ca="1" si="28"/>
        <v>0</v>
      </c>
      <c r="U30" s="1257">
        <f t="shared" ca="1" si="29"/>
        <v>0</v>
      </c>
      <c r="V30" s="1257">
        <f t="shared" ca="1" si="0"/>
        <v>0</v>
      </c>
      <c r="W30" s="1257">
        <f t="shared" ca="1" si="30"/>
        <v>0</v>
      </c>
      <c r="X30" s="1257">
        <f t="shared" ca="1" si="31"/>
        <v>0</v>
      </c>
      <c r="Y30" s="1259">
        <f t="shared" ca="1" si="32"/>
        <v>0</v>
      </c>
      <c r="Z30" s="1259">
        <f t="shared" ca="1" si="33"/>
        <v>0</v>
      </c>
      <c r="AA30" s="1257">
        <f t="shared" ca="1" si="34"/>
        <v>0</v>
      </c>
      <c r="AB30" s="1260">
        <f t="shared" ca="1" si="35"/>
        <v>0</v>
      </c>
      <c r="AC30" s="1260">
        <f t="shared" ca="1" si="36"/>
        <v>0</v>
      </c>
      <c r="AD30" s="1261">
        <f t="shared" ca="1" si="37"/>
        <v>0</v>
      </c>
      <c r="AE30" s="1262">
        <f t="shared" ca="1" si="38"/>
        <v>0</v>
      </c>
      <c r="AF30" s="1257">
        <f t="shared" ca="1" si="39"/>
        <v>0</v>
      </c>
      <c r="AG30" s="1263">
        <f ca="1">(IF(ISNA(VLOOKUP($I30,'Suivi objectifs'!$D$1:$H$38,3,0)),0,VLOOKUP($I30,'Suivi objectifs'!$D$1:$H$38,3,0))*$J30+IF(ISNA(VLOOKUP($K30,'Suivi objectifs'!$D$1:$H$38,3,0)),0,VLOOKUP($K30,'Suivi objectifs'!$D$1:$H$38,3,0))*$L30+IF(ISNA(VLOOKUP($M30,'Suivi objectifs'!$D$1:$H$38,3,0)),0,VLOOKUP($M30,'Suivi objectifs'!$D$1:$H$38,3,0))*$N30)*1000</f>
        <v>0</v>
      </c>
      <c r="AH30" s="1263">
        <f ca="1">(IF(ISNA(VLOOKUP($I30,'Suivi objectifs'!$D$1:$H$38,4,0)),0,VLOOKUP($I30,'Suivi objectifs'!$D$1:$H$38,4,0))*$J30+IF(ISNA(VLOOKUP($K30,'Suivi objectifs'!$D$1:$H$38,3,0)),0,VLOOKUP($K30,'Suivi objectifs'!$D$1:$H$38,4,0))*$L30+IF(ISNA(VLOOKUP($M30,'Suivi objectifs'!$D$1:$H$38,4,0)),0,VLOOKUP($M30,'Suivi objectifs'!$D$1:$H$38,4,0))*$N30)*1000</f>
        <v>0</v>
      </c>
      <c r="AI30" s="1263">
        <f ca="1">(IF(ISNA(VLOOKUP($I30,'Suivi objectifs'!$D$1:$I$38,6,0)),0,VLOOKUP($I30,'Suivi objectifs'!$D$1:$I$38,6,0))*$J30+IF(ISNA(VLOOKUP($K30,'Suivi objectifs'!$D$1:$I$38,6,0)),0,VLOOKUP($K30,'Suivi objectifs'!$D$1:$I$38,6,0))*$L30+IF(ISNA(VLOOKUP($M30,'Suivi objectifs'!$D$1:$I$38,6,0)),0,VLOOKUP($M30,'Suivi objectifs'!$D$1:$I$38,6,0))*$N30)</f>
        <v>0</v>
      </c>
      <c r="AJ30" s="1837">
        <f t="shared" ca="1" si="40"/>
        <v>0</v>
      </c>
      <c r="AK30" s="1264" t="str">
        <f t="shared" ca="1" si="1"/>
        <v/>
      </c>
      <c r="AL30" s="854" t="str">
        <f t="shared" ca="1" si="2"/>
        <v/>
      </c>
      <c r="AM30" s="1171" t="str">
        <f t="shared" ca="1" si="41"/>
        <v>Autre</v>
      </c>
      <c r="AN30" s="28">
        <f t="shared" ca="1" si="42"/>
        <v>0</v>
      </c>
      <c r="AO30" s="28" t="str">
        <f t="shared" ca="1" si="43"/>
        <v>0_0</v>
      </c>
      <c r="AP30" s="28" t="str">
        <f t="shared" si="4"/>
        <v>A29</v>
      </c>
      <c r="AQ30" s="28">
        <f t="shared" ca="1" si="44"/>
        <v>0</v>
      </c>
      <c r="AR30" s="28">
        <f t="shared" ca="1" si="5"/>
        <v>0</v>
      </c>
      <c r="AS30" s="28">
        <f t="shared" ca="1" si="45"/>
        <v>0</v>
      </c>
      <c r="AT30" s="28">
        <f t="shared" ca="1" si="46"/>
        <v>0</v>
      </c>
      <c r="AU30" s="28">
        <f t="shared" ca="1" si="47"/>
        <v>0</v>
      </c>
      <c r="AV30" s="28">
        <f t="shared" ca="1" si="6"/>
        <v>0</v>
      </c>
      <c r="AW30" s="28">
        <f t="shared" ca="1" si="48"/>
        <v>0</v>
      </c>
      <c r="AX30" s="28">
        <f t="shared" ca="1" si="7"/>
        <v>0</v>
      </c>
      <c r="AY30" s="28">
        <f t="shared" ca="1" si="8"/>
        <v>0</v>
      </c>
      <c r="AZ30" s="28">
        <f t="shared" ca="1" si="9"/>
        <v>0</v>
      </c>
      <c r="BA30" s="28">
        <f t="shared" ca="1" si="10"/>
        <v>0</v>
      </c>
      <c r="BB30" s="28">
        <f ca="1">IF(C30="x",COUNTIF(BB$2:BB29,"&gt;0")+1,0)</f>
        <v>0</v>
      </c>
      <c r="BC30" s="1255"/>
    </row>
    <row r="31" spans="1:55" ht="14.4">
      <c r="A31" s="1171" t="str">
        <f t="shared" si="11"/>
        <v>A30</v>
      </c>
      <c r="B31" s="1256" t="str">
        <f t="shared" ca="1" si="12"/>
        <v/>
      </c>
      <c r="C31" s="1256" t="str">
        <f t="shared" ca="1" si="13"/>
        <v/>
      </c>
      <c r="D31" s="1256" t="str">
        <f t="shared" ca="1" si="49"/>
        <v/>
      </c>
      <c r="E31" s="1256" t="str">
        <f t="shared" ca="1" si="14"/>
        <v/>
      </c>
      <c r="F31" s="1265">
        <v>30</v>
      </c>
      <c r="G31" s="1257">
        <f t="shared" ca="1" si="15"/>
        <v>0</v>
      </c>
      <c r="H31" s="1257">
        <f t="shared" ca="1" si="16"/>
        <v>0</v>
      </c>
      <c r="I31" s="1257" t="str">
        <f t="shared" ca="1" si="17"/>
        <v>-</v>
      </c>
      <c r="J31" s="1258">
        <f t="shared" ca="1" si="18"/>
        <v>0</v>
      </c>
      <c r="K31" s="1257" t="str">
        <f t="shared" ca="1" si="19"/>
        <v>-</v>
      </c>
      <c r="L31" s="1258">
        <f t="shared" ca="1" si="20"/>
        <v>0</v>
      </c>
      <c r="M31" s="1257" t="str">
        <f t="shared" ca="1" si="21"/>
        <v>-</v>
      </c>
      <c r="N31" s="1258">
        <f t="shared" ca="1" si="22"/>
        <v>0</v>
      </c>
      <c r="O31" s="1257">
        <f t="shared" ca="1" si="23"/>
        <v>0</v>
      </c>
      <c r="P31" s="1257">
        <f t="shared" ca="1" si="24"/>
        <v>0</v>
      </c>
      <c r="Q31" s="1257">
        <f t="shared" ca="1" si="25"/>
        <v>0</v>
      </c>
      <c r="R31" s="1257">
        <f t="shared" ca="1" si="26"/>
        <v>0</v>
      </c>
      <c r="S31" s="1257">
        <f t="shared" ca="1" si="27"/>
        <v>0</v>
      </c>
      <c r="T31" s="1257">
        <f t="shared" ca="1" si="28"/>
        <v>0</v>
      </c>
      <c r="U31" s="1257">
        <f t="shared" ca="1" si="29"/>
        <v>0</v>
      </c>
      <c r="V31" s="1257">
        <f t="shared" ca="1" si="0"/>
        <v>0</v>
      </c>
      <c r="W31" s="1257">
        <f t="shared" ca="1" si="30"/>
        <v>0</v>
      </c>
      <c r="X31" s="1257">
        <f t="shared" ca="1" si="31"/>
        <v>0</v>
      </c>
      <c r="Y31" s="1259">
        <f t="shared" ca="1" si="32"/>
        <v>0</v>
      </c>
      <c r="Z31" s="1259">
        <f t="shared" ca="1" si="33"/>
        <v>0</v>
      </c>
      <c r="AA31" s="1257">
        <f t="shared" ca="1" si="34"/>
        <v>0</v>
      </c>
      <c r="AB31" s="1260">
        <f t="shared" ca="1" si="35"/>
        <v>0</v>
      </c>
      <c r="AC31" s="1260">
        <f t="shared" ca="1" si="36"/>
        <v>0</v>
      </c>
      <c r="AD31" s="1261">
        <f t="shared" ca="1" si="37"/>
        <v>0</v>
      </c>
      <c r="AE31" s="1262">
        <f t="shared" ca="1" si="38"/>
        <v>0</v>
      </c>
      <c r="AF31" s="1257">
        <f t="shared" ca="1" si="39"/>
        <v>0</v>
      </c>
      <c r="AG31" s="1263">
        <f ca="1">(IF(ISNA(VLOOKUP($I31,'Suivi objectifs'!$D$1:$H$38,3,0)),0,VLOOKUP($I31,'Suivi objectifs'!$D$1:$H$38,3,0))*$J31+IF(ISNA(VLOOKUP($K31,'Suivi objectifs'!$D$1:$H$38,3,0)),0,VLOOKUP($K31,'Suivi objectifs'!$D$1:$H$38,3,0))*$L31+IF(ISNA(VLOOKUP($M31,'Suivi objectifs'!$D$1:$H$38,3,0)),0,VLOOKUP($M31,'Suivi objectifs'!$D$1:$H$38,3,0))*$N31)*1000</f>
        <v>0</v>
      </c>
      <c r="AH31" s="1263">
        <f ca="1">(IF(ISNA(VLOOKUP($I31,'Suivi objectifs'!$D$1:$H$38,4,0)),0,VLOOKUP($I31,'Suivi objectifs'!$D$1:$H$38,4,0))*$J31+IF(ISNA(VLOOKUP($K31,'Suivi objectifs'!$D$1:$H$38,3,0)),0,VLOOKUP($K31,'Suivi objectifs'!$D$1:$H$38,4,0))*$L31+IF(ISNA(VLOOKUP($M31,'Suivi objectifs'!$D$1:$H$38,4,0)),0,VLOOKUP($M31,'Suivi objectifs'!$D$1:$H$38,4,0))*$N31)*1000</f>
        <v>0</v>
      </c>
      <c r="AI31" s="1263">
        <f ca="1">(IF(ISNA(VLOOKUP($I31,'Suivi objectifs'!$D$1:$I$38,6,0)),0,VLOOKUP($I31,'Suivi objectifs'!$D$1:$I$38,6,0))*$J31+IF(ISNA(VLOOKUP($K31,'Suivi objectifs'!$D$1:$I$38,6,0)),0,VLOOKUP($K31,'Suivi objectifs'!$D$1:$I$38,6,0))*$L31+IF(ISNA(VLOOKUP($M31,'Suivi objectifs'!$D$1:$I$38,6,0)),0,VLOOKUP($M31,'Suivi objectifs'!$D$1:$I$38,6,0))*$N31)</f>
        <v>0</v>
      </c>
      <c r="AJ31" s="1837">
        <f t="shared" ca="1" si="40"/>
        <v>0</v>
      </c>
      <c r="AK31" s="1264" t="str">
        <f t="shared" ca="1" si="1"/>
        <v/>
      </c>
      <c r="AL31" s="854" t="str">
        <f t="shared" ca="1" si="2"/>
        <v/>
      </c>
      <c r="AM31" s="1171" t="str">
        <f t="shared" ca="1" si="41"/>
        <v>Autre</v>
      </c>
      <c r="AN31" s="28">
        <f t="shared" ca="1" si="42"/>
        <v>0</v>
      </c>
      <c r="AO31" s="28" t="str">
        <f t="shared" ca="1" si="43"/>
        <v>0_0</v>
      </c>
      <c r="AP31" s="28" t="str">
        <f t="shared" si="4"/>
        <v>A30</v>
      </c>
      <c r="AQ31" s="28">
        <f t="shared" ca="1" si="44"/>
        <v>0</v>
      </c>
      <c r="AR31" s="28">
        <f t="shared" ca="1" si="5"/>
        <v>0</v>
      </c>
      <c r="AS31" s="28">
        <f t="shared" ca="1" si="45"/>
        <v>0</v>
      </c>
      <c r="AT31" s="28">
        <f t="shared" ca="1" si="46"/>
        <v>0</v>
      </c>
      <c r="AU31" s="28">
        <f t="shared" ca="1" si="47"/>
        <v>0</v>
      </c>
      <c r="AV31" s="28">
        <f t="shared" ca="1" si="6"/>
        <v>0</v>
      </c>
      <c r="AW31" s="28">
        <f t="shared" ca="1" si="48"/>
        <v>0</v>
      </c>
      <c r="AX31" s="28">
        <f t="shared" ca="1" si="7"/>
        <v>0</v>
      </c>
      <c r="AY31" s="28">
        <f t="shared" ca="1" si="8"/>
        <v>0</v>
      </c>
      <c r="AZ31" s="28">
        <f t="shared" ca="1" si="9"/>
        <v>0</v>
      </c>
      <c r="BA31" s="28">
        <f t="shared" ca="1" si="10"/>
        <v>0</v>
      </c>
      <c r="BB31" s="28">
        <f ca="1">IF(C31="x",COUNTIF(BB$2:BB30,"&gt;0")+1,0)</f>
        <v>0</v>
      </c>
      <c r="BC31" s="1255"/>
    </row>
    <row r="32" spans="1:55" ht="14.4">
      <c r="A32" s="1171" t="str">
        <f t="shared" si="11"/>
        <v>A31</v>
      </c>
      <c r="B32" s="1256" t="str">
        <f t="shared" ca="1" si="12"/>
        <v/>
      </c>
      <c r="C32" s="1256" t="str">
        <f t="shared" ca="1" si="13"/>
        <v/>
      </c>
      <c r="D32" s="1256" t="str">
        <f t="shared" ca="1" si="49"/>
        <v/>
      </c>
      <c r="E32" s="1256" t="str">
        <f t="shared" ca="1" si="14"/>
        <v/>
      </c>
      <c r="F32" s="1265">
        <v>31</v>
      </c>
      <c r="G32" s="1257">
        <f t="shared" ca="1" si="15"/>
        <v>0</v>
      </c>
      <c r="H32" s="1257">
        <f t="shared" ca="1" si="16"/>
        <v>0</v>
      </c>
      <c r="I32" s="1257" t="str">
        <f t="shared" ca="1" si="17"/>
        <v>-</v>
      </c>
      <c r="J32" s="1258">
        <f t="shared" ca="1" si="18"/>
        <v>0</v>
      </c>
      <c r="K32" s="1257" t="str">
        <f t="shared" ca="1" si="19"/>
        <v>-</v>
      </c>
      <c r="L32" s="1258">
        <f t="shared" ca="1" si="20"/>
        <v>0</v>
      </c>
      <c r="M32" s="1257" t="str">
        <f t="shared" ca="1" si="21"/>
        <v>-</v>
      </c>
      <c r="N32" s="1258">
        <f t="shared" ca="1" si="22"/>
        <v>0</v>
      </c>
      <c r="O32" s="1257">
        <f t="shared" ca="1" si="23"/>
        <v>0</v>
      </c>
      <c r="P32" s="1257">
        <f t="shared" ca="1" si="24"/>
        <v>0</v>
      </c>
      <c r="Q32" s="1257">
        <f t="shared" ca="1" si="25"/>
        <v>0</v>
      </c>
      <c r="R32" s="1257">
        <f t="shared" ca="1" si="26"/>
        <v>0</v>
      </c>
      <c r="S32" s="1257">
        <f t="shared" ca="1" si="27"/>
        <v>0</v>
      </c>
      <c r="T32" s="1257">
        <f t="shared" ca="1" si="28"/>
        <v>0</v>
      </c>
      <c r="U32" s="1257">
        <f t="shared" ca="1" si="29"/>
        <v>0</v>
      </c>
      <c r="V32" s="1257">
        <f t="shared" ca="1" si="0"/>
        <v>0</v>
      </c>
      <c r="W32" s="1257">
        <f t="shared" ca="1" si="30"/>
        <v>0</v>
      </c>
      <c r="X32" s="1257">
        <f t="shared" ca="1" si="31"/>
        <v>0</v>
      </c>
      <c r="Y32" s="1259">
        <f t="shared" ca="1" si="32"/>
        <v>0</v>
      </c>
      <c r="Z32" s="1259">
        <f t="shared" ca="1" si="33"/>
        <v>0</v>
      </c>
      <c r="AA32" s="1257">
        <f t="shared" ca="1" si="34"/>
        <v>0</v>
      </c>
      <c r="AB32" s="1260">
        <f t="shared" ca="1" si="35"/>
        <v>0</v>
      </c>
      <c r="AC32" s="1260">
        <f t="shared" ca="1" si="36"/>
        <v>0</v>
      </c>
      <c r="AD32" s="1261">
        <f t="shared" ca="1" si="37"/>
        <v>0</v>
      </c>
      <c r="AE32" s="1262">
        <f t="shared" ca="1" si="38"/>
        <v>0</v>
      </c>
      <c r="AF32" s="1257">
        <f t="shared" ca="1" si="39"/>
        <v>0</v>
      </c>
      <c r="AG32" s="1263">
        <f ca="1">(IF(ISNA(VLOOKUP($I32,'Suivi objectifs'!$D$1:$H$38,3,0)),0,VLOOKUP($I32,'Suivi objectifs'!$D$1:$H$38,3,0))*$J32+IF(ISNA(VLOOKUP($K32,'Suivi objectifs'!$D$1:$H$38,3,0)),0,VLOOKUP($K32,'Suivi objectifs'!$D$1:$H$38,3,0))*$L32+IF(ISNA(VLOOKUP($M32,'Suivi objectifs'!$D$1:$H$38,3,0)),0,VLOOKUP($M32,'Suivi objectifs'!$D$1:$H$38,3,0))*$N32)*1000</f>
        <v>0</v>
      </c>
      <c r="AH32" s="1263">
        <f ca="1">(IF(ISNA(VLOOKUP($I32,'Suivi objectifs'!$D$1:$H$38,4,0)),0,VLOOKUP($I32,'Suivi objectifs'!$D$1:$H$38,4,0))*$J32+IF(ISNA(VLOOKUP($K32,'Suivi objectifs'!$D$1:$H$38,3,0)),0,VLOOKUP($K32,'Suivi objectifs'!$D$1:$H$38,4,0))*$L32+IF(ISNA(VLOOKUP($M32,'Suivi objectifs'!$D$1:$H$38,4,0)),0,VLOOKUP($M32,'Suivi objectifs'!$D$1:$H$38,4,0))*$N32)*1000</f>
        <v>0</v>
      </c>
      <c r="AI32" s="1263">
        <f ca="1">(IF(ISNA(VLOOKUP($I32,'Suivi objectifs'!$D$1:$I$38,6,0)),0,VLOOKUP($I32,'Suivi objectifs'!$D$1:$I$38,6,0))*$J32+IF(ISNA(VLOOKUP($K32,'Suivi objectifs'!$D$1:$I$38,6,0)),0,VLOOKUP($K32,'Suivi objectifs'!$D$1:$I$38,6,0))*$L32+IF(ISNA(VLOOKUP($M32,'Suivi objectifs'!$D$1:$I$38,6,0)),0,VLOOKUP($M32,'Suivi objectifs'!$D$1:$I$38,6,0))*$N32)</f>
        <v>0</v>
      </c>
      <c r="AJ32" s="1837">
        <f t="shared" ca="1" si="40"/>
        <v>0</v>
      </c>
      <c r="AK32" s="1264" t="str">
        <f t="shared" ca="1" si="1"/>
        <v/>
      </c>
      <c r="AL32" s="854" t="str">
        <f t="shared" ca="1" si="2"/>
        <v/>
      </c>
      <c r="AM32" s="1171" t="str">
        <f t="shared" ca="1" si="41"/>
        <v>Autre</v>
      </c>
      <c r="AN32" s="28">
        <f t="shared" ca="1" si="42"/>
        <v>0</v>
      </c>
      <c r="AO32" s="28" t="str">
        <f t="shared" ca="1" si="43"/>
        <v>0_0</v>
      </c>
      <c r="AP32" s="28" t="str">
        <f t="shared" si="4"/>
        <v>A31</v>
      </c>
      <c r="AQ32" s="28">
        <f t="shared" ca="1" si="44"/>
        <v>0</v>
      </c>
      <c r="AR32" s="28">
        <f t="shared" ca="1" si="5"/>
        <v>0</v>
      </c>
      <c r="AS32" s="28">
        <f t="shared" ca="1" si="45"/>
        <v>0</v>
      </c>
      <c r="AT32" s="28">
        <f t="shared" ca="1" si="46"/>
        <v>0</v>
      </c>
      <c r="AU32" s="28">
        <f t="shared" ca="1" si="47"/>
        <v>0</v>
      </c>
      <c r="AV32" s="28">
        <f t="shared" ca="1" si="6"/>
        <v>0</v>
      </c>
      <c r="AW32" s="28">
        <f t="shared" ca="1" si="48"/>
        <v>0</v>
      </c>
      <c r="AX32" s="28">
        <f t="shared" ca="1" si="7"/>
        <v>0</v>
      </c>
      <c r="AY32" s="28">
        <f t="shared" ca="1" si="8"/>
        <v>0</v>
      </c>
      <c r="AZ32" s="28">
        <f t="shared" ca="1" si="9"/>
        <v>0</v>
      </c>
      <c r="BA32" s="28">
        <f t="shared" ca="1" si="10"/>
        <v>0</v>
      </c>
      <c r="BB32" s="28">
        <f ca="1">IF(C32="x",COUNTIF(BB$2:BB31,"&gt;0")+1,0)</f>
        <v>0</v>
      </c>
      <c r="BC32" s="1255"/>
    </row>
    <row r="33" spans="1:55" ht="14.4">
      <c r="A33" s="1171" t="str">
        <f t="shared" si="11"/>
        <v>A32</v>
      </c>
      <c r="B33" s="1256" t="str">
        <f t="shared" ca="1" si="12"/>
        <v/>
      </c>
      <c r="C33" s="1256" t="str">
        <f t="shared" ca="1" si="13"/>
        <v/>
      </c>
      <c r="D33" s="1256" t="str">
        <f t="shared" ca="1" si="49"/>
        <v/>
      </c>
      <c r="E33" s="1256" t="str">
        <f t="shared" ca="1" si="14"/>
        <v/>
      </c>
      <c r="F33" s="1265">
        <v>32</v>
      </c>
      <c r="G33" s="1257">
        <f t="shared" ca="1" si="15"/>
        <v>0</v>
      </c>
      <c r="H33" s="1257">
        <f t="shared" ca="1" si="16"/>
        <v>0</v>
      </c>
      <c r="I33" s="1257" t="str">
        <f t="shared" ca="1" si="17"/>
        <v>-</v>
      </c>
      <c r="J33" s="1258">
        <f t="shared" ca="1" si="18"/>
        <v>0</v>
      </c>
      <c r="K33" s="1257" t="str">
        <f t="shared" ca="1" si="19"/>
        <v>-</v>
      </c>
      <c r="L33" s="1258">
        <f t="shared" ca="1" si="20"/>
        <v>0</v>
      </c>
      <c r="M33" s="1257" t="str">
        <f t="shared" ca="1" si="21"/>
        <v>-</v>
      </c>
      <c r="N33" s="1258">
        <f t="shared" ca="1" si="22"/>
        <v>0</v>
      </c>
      <c r="O33" s="1257">
        <f t="shared" ca="1" si="23"/>
        <v>0</v>
      </c>
      <c r="P33" s="1257">
        <f t="shared" ca="1" si="24"/>
        <v>0</v>
      </c>
      <c r="Q33" s="1257">
        <f t="shared" ca="1" si="25"/>
        <v>0</v>
      </c>
      <c r="R33" s="1257">
        <f t="shared" ca="1" si="26"/>
        <v>0</v>
      </c>
      <c r="S33" s="1257">
        <f t="shared" ca="1" si="27"/>
        <v>0</v>
      </c>
      <c r="T33" s="1257">
        <f t="shared" ca="1" si="28"/>
        <v>0</v>
      </c>
      <c r="U33" s="1257">
        <f t="shared" ca="1" si="29"/>
        <v>0</v>
      </c>
      <c r="V33" s="1257">
        <f t="shared" ca="1" si="0"/>
        <v>0</v>
      </c>
      <c r="W33" s="1257">
        <f t="shared" ca="1" si="30"/>
        <v>0</v>
      </c>
      <c r="X33" s="1257">
        <f t="shared" ca="1" si="31"/>
        <v>0</v>
      </c>
      <c r="Y33" s="1259">
        <f t="shared" ca="1" si="32"/>
        <v>0</v>
      </c>
      <c r="Z33" s="1259">
        <f t="shared" ca="1" si="33"/>
        <v>0</v>
      </c>
      <c r="AA33" s="1257">
        <f t="shared" ca="1" si="34"/>
        <v>0</v>
      </c>
      <c r="AB33" s="1260">
        <f t="shared" ca="1" si="35"/>
        <v>0</v>
      </c>
      <c r="AC33" s="1260">
        <f t="shared" ca="1" si="36"/>
        <v>0</v>
      </c>
      <c r="AD33" s="1261">
        <f t="shared" ca="1" si="37"/>
        <v>0</v>
      </c>
      <c r="AE33" s="1262">
        <f t="shared" ca="1" si="38"/>
        <v>0</v>
      </c>
      <c r="AF33" s="1257">
        <f t="shared" ca="1" si="39"/>
        <v>0</v>
      </c>
      <c r="AG33" s="1263">
        <f ca="1">(IF(ISNA(VLOOKUP($I33,'Suivi objectifs'!$D$1:$H$38,3,0)),0,VLOOKUP($I33,'Suivi objectifs'!$D$1:$H$38,3,0))*$J33+IF(ISNA(VLOOKUP($K33,'Suivi objectifs'!$D$1:$H$38,3,0)),0,VLOOKUP($K33,'Suivi objectifs'!$D$1:$H$38,3,0))*$L33+IF(ISNA(VLOOKUP($M33,'Suivi objectifs'!$D$1:$H$38,3,0)),0,VLOOKUP($M33,'Suivi objectifs'!$D$1:$H$38,3,0))*$N33)*1000</f>
        <v>0</v>
      </c>
      <c r="AH33" s="1263">
        <f ca="1">(IF(ISNA(VLOOKUP($I33,'Suivi objectifs'!$D$1:$H$38,4,0)),0,VLOOKUP($I33,'Suivi objectifs'!$D$1:$H$38,4,0))*$J33+IF(ISNA(VLOOKUP($K33,'Suivi objectifs'!$D$1:$H$38,3,0)),0,VLOOKUP($K33,'Suivi objectifs'!$D$1:$H$38,4,0))*$L33+IF(ISNA(VLOOKUP($M33,'Suivi objectifs'!$D$1:$H$38,4,0)),0,VLOOKUP($M33,'Suivi objectifs'!$D$1:$H$38,4,0))*$N33)*1000</f>
        <v>0</v>
      </c>
      <c r="AI33" s="1263">
        <f ca="1">(IF(ISNA(VLOOKUP($I33,'Suivi objectifs'!$D$1:$I$38,6,0)),0,VLOOKUP($I33,'Suivi objectifs'!$D$1:$I$38,6,0))*$J33+IF(ISNA(VLOOKUP($K33,'Suivi objectifs'!$D$1:$I$38,6,0)),0,VLOOKUP($K33,'Suivi objectifs'!$D$1:$I$38,6,0))*$L33+IF(ISNA(VLOOKUP($M33,'Suivi objectifs'!$D$1:$I$38,6,0)),0,VLOOKUP($M33,'Suivi objectifs'!$D$1:$I$38,6,0))*$N33)</f>
        <v>0</v>
      </c>
      <c r="AJ33" s="1837">
        <f t="shared" ca="1" si="40"/>
        <v>0</v>
      </c>
      <c r="AK33" s="1264" t="str">
        <f t="shared" ca="1" si="1"/>
        <v/>
      </c>
      <c r="AL33" s="854" t="str">
        <f t="shared" ca="1" si="2"/>
        <v/>
      </c>
      <c r="AM33" s="1171" t="str">
        <f t="shared" ca="1" si="41"/>
        <v>Autre</v>
      </c>
      <c r="AN33" s="28">
        <f t="shared" ca="1" si="42"/>
        <v>0</v>
      </c>
      <c r="AO33" s="28" t="str">
        <f t="shared" ca="1" si="43"/>
        <v>0_0</v>
      </c>
      <c r="AP33" s="28" t="str">
        <f t="shared" si="4"/>
        <v>A32</v>
      </c>
      <c r="AQ33" s="28">
        <f t="shared" ca="1" si="44"/>
        <v>0</v>
      </c>
      <c r="AR33" s="28">
        <f t="shared" ca="1" si="5"/>
        <v>0</v>
      </c>
      <c r="AS33" s="28">
        <f t="shared" ca="1" si="45"/>
        <v>0</v>
      </c>
      <c r="AT33" s="28">
        <f t="shared" ca="1" si="46"/>
        <v>0</v>
      </c>
      <c r="AU33" s="28">
        <f t="shared" ca="1" si="47"/>
        <v>0</v>
      </c>
      <c r="AV33" s="28">
        <f t="shared" ca="1" si="6"/>
        <v>0</v>
      </c>
      <c r="AW33" s="28">
        <f t="shared" ca="1" si="48"/>
        <v>0</v>
      </c>
      <c r="AX33" s="28">
        <f t="shared" ca="1" si="7"/>
        <v>0</v>
      </c>
      <c r="AY33" s="28">
        <f t="shared" ca="1" si="8"/>
        <v>0</v>
      </c>
      <c r="AZ33" s="28">
        <f t="shared" ca="1" si="9"/>
        <v>0</v>
      </c>
      <c r="BA33" s="28">
        <f t="shared" ca="1" si="10"/>
        <v>0</v>
      </c>
      <c r="BB33" s="28">
        <f ca="1">IF(C33="x",COUNTIF(BB$2:BB32,"&gt;0")+1,0)</f>
        <v>0</v>
      </c>
      <c r="BC33" s="1255"/>
    </row>
    <row r="34" spans="1:55" ht="14.4">
      <c r="A34" s="1171" t="str">
        <f t="shared" si="11"/>
        <v>A33</v>
      </c>
      <c r="B34" s="1256" t="str">
        <f t="shared" ca="1" si="12"/>
        <v/>
      </c>
      <c r="C34" s="1256" t="str">
        <f t="shared" ca="1" si="13"/>
        <v/>
      </c>
      <c r="D34" s="1256" t="str">
        <f t="shared" ca="1" si="49"/>
        <v/>
      </c>
      <c r="E34" s="1256" t="str">
        <f t="shared" ca="1" si="14"/>
        <v/>
      </c>
      <c r="F34" s="1265">
        <v>33</v>
      </c>
      <c r="G34" s="1257">
        <f t="shared" ca="1" si="15"/>
        <v>0</v>
      </c>
      <c r="H34" s="1257">
        <f t="shared" ca="1" si="16"/>
        <v>0</v>
      </c>
      <c r="I34" s="1257" t="str">
        <f t="shared" ca="1" si="17"/>
        <v>-</v>
      </c>
      <c r="J34" s="1258">
        <f t="shared" ca="1" si="18"/>
        <v>0</v>
      </c>
      <c r="K34" s="1257" t="str">
        <f t="shared" ca="1" si="19"/>
        <v>-</v>
      </c>
      <c r="L34" s="1258">
        <f t="shared" ca="1" si="20"/>
        <v>0</v>
      </c>
      <c r="M34" s="1257" t="str">
        <f t="shared" ca="1" si="21"/>
        <v>-</v>
      </c>
      <c r="N34" s="1258">
        <f t="shared" ca="1" si="22"/>
        <v>0</v>
      </c>
      <c r="O34" s="1257">
        <f t="shared" ca="1" si="23"/>
        <v>0</v>
      </c>
      <c r="P34" s="1257">
        <f t="shared" ca="1" si="24"/>
        <v>0</v>
      </c>
      <c r="Q34" s="1257">
        <f t="shared" ca="1" si="25"/>
        <v>0</v>
      </c>
      <c r="R34" s="1257">
        <f t="shared" ca="1" si="26"/>
        <v>0</v>
      </c>
      <c r="S34" s="1257">
        <f t="shared" ca="1" si="27"/>
        <v>0</v>
      </c>
      <c r="T34" s="1257">
        <f t="shared" ca="1" si="28"/>
        <v>0</v>
      </c>
      <c r="U34" s="1257">
        <f t="shared" ca="1" si="29"/>
        <v>0</v>
      </c>
      <c r="V34" s="1257">
        <f t="shared" ca="1" si="0"/>
        <v>0</v>
      </c>
      <c r="W34" s="1257">
        <f t="shared" ca="1" si="30"/>
        <v>0</v>
      </c>
      <c r="X34" s="1257">
        <f t="shared" ca="1" si="31"/>
        <v>0</v>
      </c>
      <c r="Y34" s="1259">
        <f t="shared" ca="1" si="32"/>
        <v>0</v>
      </c>
      <c r="Z34" s="1259">
        <f t="shared" ca="1" si="33"/>
        <v>0</v>
      </c>
      <c r="AA34" s="1257">
        <f t="shared" ca="1" si="34"/>
        <v>0</v>
      </c>
      <c r="AB34" s="1260">
        <f t="shared" ca="1" si="35"/>
        <v>0</v>
      </c>
      <c r="AC34" s="1260">
        <f t="shared" ca="1" si="36"/>
        <v>0</v>
      </c>
      <c r="AD34" s="1261">
        <f t="shared" ca="1" si="37"/>
        <v>0</v>
      </c>
      <c r="AE34" s="1262">
        <f t="shared" ca="1" si="38"/>
        <v>0</v>
      </c>
      <c r="AF34" s="1257">
        <f t="shared" ca="1" si="39"/>
        <v>0</v>
      </c>
      <c r="AG34" s="1263">
        <f ca="1">(IF(ISNA(VLOOKUP($I34,'Suivi objectifs'!$D$1:$H$38,3,0)),0,VLOOKUP($I34,'Suivi objectifs'!$D$1:$H$38,3,0))*$J34+IF(ISNA(VLOOKUP($K34,'Suivi objectifs'!$D$1:$H$38,3,0)),0,VLOOKUP($K34,'Suivi objectifs'!$D$1:$H$38,3,0))*$L34+IF(ISNA(VLOOKUP($M34,'Suivi objectifs'!$D$1:$H$38,3,0)),0,VLOOKUP($M34,'Suivi objectifs'!$D$1:$H$38,3,0))*$N34)*1000</f>
        <v>0</v>
      </c>
      <c r="AH34" s="1263">
        <f ca="1">(IF(ISNA(VLOOKUP($I34,'Suivi objectifs'!$D$1:$H$38,4,0)),0,VLOOKUP($I34,'Suivi objectifs'!$D$1:$H$38,4,0))*$J34+IF(ISNA(VLOOKUP($K34,'Suivi objectifs'!$D$1:$H$38,3,0)),0,VLOOKUP($K34,'Suivi objectifs'!$D$1:$H$38,4,0))*$L34+IF(ISNA(VLOOKUP($M34,'Suivi objectifs'!$D$1:$H$38,4,0)),0,VLOOKUP($M34,'Suivi objectifs'!$D$1:$H$38,4,0))*$N34)*1000</f>
        <v>0</v>
      </c>
      <c r="AI34" s="1263">
        <f ca="1">(IF(ISNA(VLOOKUP($I34,'Suivi objectifs'!$D$1:$I$38,6,0)),0,VLOOKUP($I34,'Suivi objectifs'!$D$1:$I$38,6,0))*$J34+IF(ISNA(VLOOKUP($K34,'Suivi objectifs'!$D$1:$I$38,6,0)),0,VLOOKUP($K34,'Suivi objectifs'!$D$1:$I$38,6,0))*$L34+IF(ISNA(VLOOKUP($M34,'Suivi objectifs'!$D$1:$I$38,6,0)),0,VLOOKUP($M34,'Suivi objectifs'!$D$1:$I$38,6,0))*$N34)</f>
        <v>0</v>
      </c>
      <c r="AJ34" s="1837">
        <f t="shared" ca="1" si="40"/>
        <v>0</v>
      </c>
      <c r="AK34" s="1264" t="str">
        <f t="shared" ca="1" si="1"/>
        <v/>
      </c>
      <c r="AL34" s="854" t="str">
        <f t="shared" ca="1" si="2"/>
        <v/>
      </c>
      <c r="AM34" s="1171" t="str">
        <f t="shared" ca="1" si="41"/>
        <v>Autre</v>
      </c>
      <c r="AN34" s="28">
        <f t="shared" ca="1" si="42"/>
        <v>0</v>
      </c>
      <c r="AO34" s="28" t="str">
        <f t="shared" ca="1" si="43"/>
        <v>0_0</v>
      </c>
      <c r="AP34" s="28" t="str">
        <f t="shared" si="4"/>
        <v>A33</v>
      </c>
      <c r="AQ34" s="28">
        <f t="shared" ca="1" si="44"/>
        <v>0</v>
      </c>
      <c r="AR34" s="28">
        <f t="shared" ca="1" si="5"/>
        <v>0</v>
      </c>
      <c r="AS34" s="28">
        <f t="shared" ca="1" si="45"/>
        <v>0</v>
      </c>
      <c r="AT34" s="28">
        <f t="shared" ca="1" si="46"/>
        <v>0</v>
      </c>
      <c r="AU34" s="28">
        <f t="shared" ca="1" si="47"/>
        <v>0</v>
      </c>
      <c r="AV34" s="28">
        <f t="shared" ca="1" si="6"/>
        <v>0</v>
      </c>
      <c r="AW34" s="28">
        <f t="shared" ca="1" si="48"/>
        <v>0</v>
      </c>
      <c r="AX34" s="28">
        <f t="shared" ca="1" si="7"/>
        <v>0</v>
      </c>
      <c r="AY34" s="28">
        <f t="shared" ca="1" si="8"/>
        <v>0</v>
      </c>
      <c r="AZ34" s="28">
        <f t="shared" ca="1" si="9"/>
        <v>0</v>
      </c>
      <c r="BA34" s="28">
        <f t="shared" ca="1" si="10"/>
        <v>0</v>
      </c>
      <c r="BB34" s="28">
        <f ca="1">IF(C34="x",COUNTIF(BB$2:BB33,"&gt;0")+1,0)</f>
        <v>0</v>
      </c>
      <c r="BC34" s="1255"/>
    </row>
    <row r="35" spans="1:55" ht="14.4">
      <c r="A35" s="1171" t="str">
        <f t="shared" si="11"/>
        <v>A34</v>
      </c>
      <c r="B35" s="1256" t="str">
        <f t="shared" ca="1" si="12"/>
        <v/>
      </c>
      <c r="C35" s="1256" t="str">
        <f t="shared" ca="1" si="13"/>
        <v/>
      </c>
      <c r="D35" s="1256" t="str">
        <f t="shared" ca="1" si="49"/>
        <v/>
      </c>
      <c r="E35" s="1256" t="str">
        <f t="shared" ca="1" si="14"/>
        <v/>
      </c>
      <c r="F35" s="1265">
        <v>34</v>
      </c>
      <c r="G35" s="1257">
        <f t="shared" ca="1" si="15"/>
        <v>0</v>
      </c>
      <c r="H35" s="1257">
        <f t="shared" ca="1" si="16"/>
        <v>0</v>
      </c>
      <c r="I35" s="1257" t="str">
        <f t="shared" ca="1" si="17"/>
        <v>-</v>
      </c>
      <c r="J35" s="1258">
        <f t="shared" ca="1" si="18"/>
        <v>0</v>
      </c>
      <c r="K35" s="1257" t="str">
        <f t="shared" ca="1" si="19"/>
        <v>-</v>
      </c>
      <c r="L35" s="1258">
        <f t="shared" ca="1" si="20"/>
        <v>0</v>
      </c>
      <c r="M35" s="1257" t="str">
        <f t="shared" ca="1" si="21"/>
        <v>-</v>
      </c>
      <c r="N35" s="1258">
        <f t="shared" ca="1" si="22"/>
        <v>0</v>
      </c>
      <c r="O35" s="1257">
        <f t="shared" ca="1" si="23"/>
        <v>0</v>
      </c>
      <c r="P35" s="1257">
        <f t="shared" ca="1" si="24"/>
        <v>0</v>
      </c>
      <c r="Q35" s="1257">
        <f t="shared" ca="1" si="25"/>
        <v>0</v>
      </c>
      <c r="R35" s="1257">
        <f t="shared" ca="1" si="26"/>
        <v>0</v>
      </c>
      <c r="S35" s="1257">
        <f t="shared" ca="1" si="27"/>
        <v>0</v>
      </c>
      <c r="T35" s="1257">
        <f t="shared" ca="1" si="28"/>
        <v>0</v>
      </c>
      <c r="U35" s="1257">
        <f t="shared" ca="1" si="29"/>
        <v>0</v>
      </c>
      <c r="V35" s="1257">
        <f t="shared" ca="1" si="0"/>
        <v>0</v>
      </c>
      <c r="W35" s="1257">
        <f t="shared" ca="1" si="30"/>
        <v>0</v>
      </c>
      <c r="X35" s="1257">
        <f t="shared" ca="1" si="31"/>
        <v>0</v>
      </c>
      <c r="Y35" s="1259">
        <f t="shared" ca="1" si="32"/>
        <v>0</v>
      </c>
      <c r="Z35" s="1259">
        <f t="shared" ca="1" si="33"/>
        <v>0</v>
      </c>
      <c r="AA35" s="1257">
        <f t="shared" ca="1" si="34"/>
        <v>0</v>
      </c>
      <c r="AB35" s="1260">
        <f t="shared" ca="1" si="35"/>
        <v>0</v>
      </c>
      <c r="AC35" s="1260">
        <f t="shared" ca="1" si="36"/>
        <v>0</v>
      </c>
      <c r="AD35" s="1261">
        <f t="shared" ca="1" si="37"/>
        <v>0</v>
      </c>
      <c r="AE35" s="1262">
        <f t="shared" ca="1" si="38"/>
        <v>0</v>
      </c>
      <c r="AF35" s="1257">
        <f t="shared" ca="1" si="39"/>
        <v>0</v>
      </c>
      <c r="AG35" s="1263">
        <f ca="1">(IF(ISNA(VLOOKUP($I35,'Suivi objectifs'!$D$1:$H$38,3,0)),0,VLOOKUP($I35,'Suivi objectifs'!$D$1:$H$38,3,0))*$J35+IF(ISNA(VLOOKUP($K35,'Suivi objectifs'!$D$1:$H$38,3,0)),0,VLOOKUP($K35,'Suivi objectifs'!$D$1:$H$38,3,0))*$L35+IF(ISNA(VLOOKUP($M35,'Suivi objectifs'!$D$1:$H$38,3,0)),0,VLOOKUP($M35,'Suivi objectifs'!$D$1:$H$38,3,0))*$N35)*1000</f>
        <v>0</v>
      </c>
      <c r="AH35" s="1263">
        <f ca="1">(IF(ISNA(VLOOKUP($I35,'Suivi objectifs'!$D$1:$H$38,4,0)),0,VLOOKUP($I35,'Suivi objectifs'!$D$1:$H$38,4,0))*$J35+IF(ISNA(VLOOKUP($K35,'Suivi objectifs'!$D$1:$H$38,3,0)),0,VLOOKUP($K35,'Suivi objectifs'!$D$1:$H$38,4,0))*$L35+IF(ISNA(VLOOKUP($M35,'Suivi objectifs'!$D$1:$H$38,4,0)),0,VLOOKUP($M35,'Suivi objectifs'!$D$1:$H$38,4,0))*$N35)*1000</f>
        <v>0</v>
      </c>
      <c r="AI35" s="1263">
        <f ca="1">(IF(ISNA(VLOOKUP($I35,'Suivi objectifs'!$D$1:$I$38,6,0)),0,VLOOKUP($I35,'Suivi objectifs'!$D$1:$I$38,6,0))*$J35+IF(ISNA(VLOOKUP($K35,'Suivi objectifs'!$D$1:$I$38,6,0)),0,VLOOKUP($K35,'Suivi objectifs'!$D$1:$I$38,6,0))*$L35+IF(ISNA(VLOOKUP($M35,'Suivi objectifs'!$D$1:$I$38,6,0)),0,VLOOKUP($M35,'Suivi objectifs'!$D$1:$I$38,6,0))*$N35)</f>
        <v>0</v>
      </c>
      <c r="AJ35" s="1837">
        <f t="shared" ca="1" si="40"/>
        <v>0</v>
      </c>
      <c r="AK35" s="1264" t="str">
        <f t="shared" ca="1" si="1"/>
        <v/>
      </c>
      <c r="AL35" s="854" t="str">
        <f t="shared" ca="1" si="2"/>
        <v/>
      </c>
      <c r="AM35" s="1171" t="str">
        <f t="shared" ca="1" si="41"/>
        <v>Autre</v>
      </c>
      <c r="AN35" s="28">
        <f t="shared" ca="1" si="42"/>
        <v>0</v>
      </c>
      <c r="AO35" s="28" t="str">
        <f t="shared" ca="1" si="43"/>
        <v>0_0</v>
      </c>
      <c r="AP35" s="28" t="str">
        <f t="shared" si="4"/>
        <v>A34</v>
      </c>
      <c r="AQ35" s="28">
        <f t="shared" ca="1" si="44"/>
        <v>0</v>
      </c>
      <c r="AR35" s="28">
        <f t="shared" ca="1" si="5"/>
        <v>0</v>
      </c>
      <c r="AS35" s="28">
        <f t="shared" ca="1" si="45"/>
        <v>0</v>
      </c>
      <c r="AT35" s="28">
        <f t="shared" ca="1" si="46"/>
        <v>0</v>
      </c>
      <c r="AU35" s="28">
        <f t="shared" ca="1" si="47"/>
        <v>0</v>
      </c>
      <c r="AV35" s="28">
        <f t="shared" ca="1" si="6"/>
        <v>0</v>
      </c>
      <c r="AW35" s="28">
        <f t="shared" ca="1" si="48"/>
        <v>0</v>
      </c>
      <c r="AX35" s="28">
        <f t="shared" ca="1" si="7"/>
        <v>0</v>
      </c>
      <c r="AY35" s="28">
        <f t="shared" ca="1" si="8"/>
        <v>0</v>
      </c>
      <c r="AZ35" s="28">
        <f t="shared" ca="1" si="9"/>
        <v>0</v>
      </c>
      <c r="BA35" s="28">
        <f t="shared" ca="1" si="10"/>
        <v>0</v>
      </c>
      <c r="BB35" s="28">
        <f ca="1">IF(C35="x",COUNTIF(BB$2:BB34,"&gt;0")+1,0)</f>
        <v>0</v>
      </c>
      <c r="BC35" s="1255"/>
    </row>
    <row r="36" spans="1:55" ht="14.4">
      <c r="A36" s="1171" t="str">
        <f t="shared" si="11"/>
        <v>A35</v>
      </c>
      <c r="B36" s="1256" t="str">
        <f t="shared" ca="1" si="12"/>
        <v/>
      </c>
      <c r="C36" s="1256" t="str">
        <f t="shared" ca="1" si="13"/>
        <v/>
      </c>
      <c r="D36" s="1256" t="str">
        <f t="shared" ca="1" si="49"/>
        <v/>
      </c>
      <c r="E36" s="1256" t="str">
        <f t="shared" ca="1" si="14"/>
        <v/>
      </c>
      <c r="F36" s="1265">
        <v>35</v>
      </c>
      <c r="G36" s="1257">
        <f t="shared" ca="1" si="15"/>
        <v>0</v>
      </c>
      <c r="H36" s="1257">
        <f t="shared" ca="1" si="16"/>
        <v>0</v>
      </c>
      <c r="I36" s="1257" t="str">
        <f t="shared" ca="1" si="17"/>
        <v>-</v>
      </c>
      <c r="J36" s="1258">
        <f t="shared" ca="1" si="18"/>
        <v>0</v>
      </c>
      <c r="K36" s="1257" t="str">
        <f t="shared" ca="1" si="19"/>
        <v>-</v>
      </c>
      <c r="L36" s="1258">
        <f t="shared" ca="1" si="20"/>
        <v>0</v>
      </c>
      <c r="M36" s="1257" t="str">
        <f t="shared" ca="1" si="21"/>
        <v>-</v>
      </c>
      <c r="N36" s="1258">
        <f t="shared" ca="1" si="22"/>
        <v>0</v>
      </c>
      <c r="O36" s="1257">
        <f t="shared" ca="1" si="23"/>
        <v>0</v>
      </c>
      <c r="P36" s="1257">
        <f t="shared" ca="1" si="24"/>
        <v>0</v>
      </c>
      <c r="Q36" s="1257">
        <f t="shared" ca="1" si="25"/>
        <v>0</v>
      </c>
      <c r="R36" s="1257">
        <f t="shared" ca="1" si="26"/>
        <v>0</v>
      </c>
      <c r="S36" s="1257">
        <f t="shared" ca="1" si="27"/>
        <v>0</v>
      </c>
      <c r="T36" s="1257">
        <f t="shared" ca="1" si="28"/>
        <v>0</v>
      </c>
      <c r="U36" s="1257">
        <f t="shared" ca="1" si="29"/>
        <v>0</v>
      </c>
      <c r="V36" s="1257">
        <f t="shared" ca="1" si="0"/>
        <v>0</v>
      </c>
      <c r="W36" s="1257">
        <f t="shared" ca="1" si="30"/>
        <v>0</v>
      </c>
      <c r="X36" s="1257">
        <f t="shared" ca="1" si="31"/>
        <v>0</v>
      </c>
      <c r="Y36" s="1259">
        <f t="shared" ca="1" si="32"/>
        <v>0</v>
      </c>
      <c r="Z36" s="1259">
        <f t="shared" ca="1" si="33"/>
        <v>0</v>
      </c>
      <c r="AA36" s="1257">
        <f t="shared" ca="1" si="34"/>
        <v>0</v>
      </c>
      <c r="AB36" s="1260">
        <f t="shared" ca="1" si="35"/>
        <v>0</v>
      </c>
      <c r="AC36" s="1260">
        <f t="shared" ca="1" si="36"/>
        <v>0</v>
      </c>
      <c r="AD36" s="1261">
        <f t="shared" ca="1" si="37"/>
        <v>0</v>
      </c>
      <c r="AE36" s="1262">
        <f t="shared" ca="1" si="38"/>
        <v>0</v>
      </c>
      <c r="AF36" s="1257">
        <f t="shared" ca="1" si="39"/>
        <v>0</v>
      </c>
      <c r="AG36" s="1263">
        <f ca="1">(IF(ISNA(VLOOKUP($I36,'Suivi objectifs'!$D$1:$H$38,3,0)),0,VLOOKUP($I36,'Suivi objectifs'!$D$1:$H$38,3,0))*$J36+IF(ISNA(VLOOKUP($K36,'Suivi objectifs'!$D$1:$H$38,3,0)),0,VLOOKUP($K36,'Suivi objectifs'!$D$1:$H$38,3,0))*$L36+IF(ISNA(VLOOKUP($M36,'Suivi objectifs'!$D$1:$H$38,3,0)),0,VLOOKUP($M36,'Suivi objectifs'!$D$1:$H$38,3,0))*$N36)*1000</f>
        <v>0</v>
      </c>
      <c r="AH36" s="1263">
        <f ca="1">(IF(ISNA(VLOOKUP($I36,'Suivi objectifs'!$D$1:$H$38,4,0)),0,VLOOKUP($I36,'Suivi objectifs'!$D$1:$H$38,4,0))*$J36+IF(ISNA(VLOOKUP($K36,'Suivi objectifs'!$D$1:$H$38,3,0)),0,VLOOKUP($K36,'Suivi objectifs'!$D$1:$H$38,4,0))*$L36+IF(ISNA(VLOOKUP($M36,'Suivi objectifs'!$D$1:$H$38,4,0)),0,VLOOKUP($M36,'Suivi objectifs'!$D$1:$H$38,4,0))*$N36)*1000</f>
        <v>0</v>
      </c>
      <c r="AI36" s="1263">
        <f ca="1">(IF(ISNA(VLOOKUP($I36,'Suivi objectifs'!$D$1:$I$38,6,0)),0,VLOOKUP($I36,'Suivi objectifs'!$D$1:$I$38,6,0))*$J36+IF(ISNA(VLOOKUP($K36,'Suivi objectifs'!$D$1:$I$38,6,0)),0,VLOOKUP($K36,'Suivi objectifs'!$D$1:$I$38,6,0))*$L36+IF(ISNA(VLOOKUP($M36,'Suivi objectifs'!$D$1:$I$38,6,0)),0,VLOOKUP($M36,'Suivi objectifs'!$D$1:$I$38,6,0))*$N36)</f>
        <v>0</v>
      </c>
      <c r="AJ36" s="1837">
        <f t="shared" ca="1" si="40"/>
        <v>0</v>
      </c>
      <c r="AK36" s="1264" t="str">
        <f t="shared" ca="1" si="1"/>
        <v/>
      </c>
      <c r="AL36" s="854" t="str">
        <f t="shared" ca="1" si="2"/>
        <v/>
      </c>
      <c r="AM36" s="1171" t="str">
        <f t="shared" ca="1" si="41"/>
        <v>Autre</v>
      </c>
      <c r="AN36" s="28">
        <f t="shared" ca="1" si="42"/>
        <v>0</v>
      </c>
      <c r="AO36" s="28" t="str">
        <f t="shared" ca="1" si="43"/>
        <v>0_0</v>
      </c>
      <c r="AP36" s="28" t="str">
        <f t="shared" si="4"/>
        <v>A35</v>
      </c>
      <c r="AQ36" s="28">
        <f t="shared" ca="1" si="44"/>
        <v>0</v>
      </c>
      <c r="AR36" s="28">
        <f t="shared" ca="1" si="5"/>
        <v>0</v>
      </c>
      <c r="AS36" s="28">
        <f t="shared" ca="1" si="45"/>
        <v>0</v>
      </c>
      <c r="AT36" s="28">
        <f t="shared" ca="1" si="46"/>
        <v>0</v>
      </c>
      <c r="AU36" s="28">
        <f t="shared" ca="1" si="47"/>
        <v>0</v>
      </c>
      <c r="AV36" s="28">
        <f t="shared" ca="1" si="6"/>
        <v>0</v>
      </c>
      <c r="AW36" s="28">
        <f t="shared" ca="1" si="48"/>
        <v>0</v>
      </c>
      <c r="AX36" s="28">
        <f t="shared" ca="1" si="7"/>
        <v>0</v>
      </c>
      <c r="AY36" s="28">
        <f t="shared" ca="1" si="8"/>
        <v>0</v>
      </c>
      <c r="AZ36" s="28">
        <f t="shared" ca="1" si="9"/>
        <v>0</v>
      </c>
      <c r="BA36" s="28">
        <f t="shared" ca="1" si="10"/>
        <v>0</v>
      </c>
      <c r="BB36" s="28">
        <f ca="1">IF(C36="x",COUNTIF(BB$2:BB35,"&gt;0")+1,0)</f>
        <v>0</v>
      </c>
      <c r="BC36" s="1255"/>
    </row>
    <row r="37" spans="1:55" ht="14.4">
      <c r="A37" s="1171" t="str">
        <f t="shared" si="11"/>
        <v>A36</v>
      </c>
      <c r="B37" s="1256" t="str">
        <f t="shared" ca="1" si="12"/>
        <v/>
      </c>
      <c r="C37" s="1256" t="str">
        <f t="shared" ca="1" si="13"/>
        <v/>
      </c>
      <c r="D37" s="1256" t="str">
        <f t="shared" ca="1" si="49"/>
        <v/>
      </c>
      <c r="E37" s="1256" t="str">
        <f t="shared" ca="1" si="14"/>
        <v/>
      </c>
      <c r="F37" s="1265">
        <v>36</v>
      </c>
      <c r="G37" s="1257">
        <f t="shared" ca="1" si="15"/>
        <v>0</v>
      </c>
      <c r="H37" s="1257">
        <f t="shared" ca="1" si="16"/>
        <v>0</v>
      </c>
      <c r="I37" s="1257" t="str">
        <f t="shared" ca="1" si="17"/>
        <v>-</v>
      </c>
      <c r="J37" s="1258">
        <f t="shared" ca="1" si="18"/>
        <v>0</v>
      </c>
      <c r="K37" s="1257" t="str">
        <f t="shared" ca="1" si="19"/>
        <v>-</v>
      </c>
      <c r="L37" s="1258">
        <f t="shared" ca="1" si="20"/>
        <v>0</v>
      </c>
      <c r="M37" s="1257" t="str">
        <f t="shared" ca="1" si="21"/>
        <v>-</v>
      </c>
      <c r="N37" s="1258">
        <f t="shared" ca="1" si="22"/>
        <v>0</v>
      </c>
      <c r="O37" s="1257">
        <f t="shared" ca="1" si="23"/>
        <v>0</v>
      </c>
      <c r="P37" s="1257">
        <f t="shared" ca="1" si="24"/>
        <v>0</v>
      </c>
      <c r="Q37" s="1257">
        <f t="shared" ca="1" si="25"/>
        <v>0</v>
      </c>
      <c r="R37" s="1257">
        <f t="shared" ca="1" si="26"/>
        <v>0</v>
      </c>
      <c r="S37" s="1257">
        <f t="shared" ca="1" si="27"/>
        <v>0</v>
      </c>
      <c r="T37" s="1257">
        <f t="shared" ca="1" si="28"/>
        <v>0</v>
      </c>
      <c r="U37" s="1257">
        <f t="shared" ca="1" si="29"/>
        <v>0</v>
      </c>
      <c r="V37" s="1257">
        <f t="shared" ca="1" si="0"/>
        <v>0</v>
      </c>
      <c r="W37" s="1257">
        <f t="shared" ca="1" si="30"/>
        <v>0</v>
      </c>
      <c r="X37" s="1257">
        <f t="shared" ca="1" si="31"/>
        <v>0</v>
      </c>
      <c r="Y37" s="1259">
        <f t="shared" ca="1" si="32"/>
        <v>0</v>
      </c>
      <c r="Z37" s="1259">
        <f t="shared" ca="1" si="33"/>
        <v>0</v>
      </c>
      <c r="AA37" s="1257">
        <f t="shared" ca="1" si="34"/>
        <v>0</v>
      </c>
      <c r="AB37" s="1260">
        <f t="shared" ca="1" si="35"/>
        <v>0</v>
      </c>
      <c r="AC37" s="1260">
        <f t="shared" ca="1" si="36"/>
        <v>0</v>
      </c>
      <c r="AD37" s="1261">
        <f t="shared" ca="1" si="37"/>
        <v>0</v>
      </c>
      <c r="AE37" s="1262">
        <f t="shared" ca="1" si="38"/>
        <v>0</v>
      </c>
      <c r="AF37" s="1257">
        <f t="shared" ca="1" si="39"/>
        <v>0</v>
      </c>
      <c r="AG37" s="1263">
        <f ca="1">(IF(ISNA(VLOOKUP($I37,'Suivi objectifs'!$D$1:$H$38,3,0)),0,VLOOKUP($I37,'Suivi objectifs'!$D$1:$H$38,3,0))*$J37+IF(ISNA(VLOOKUP($K37,'Suivi objectifs'!$D$1:$H$38,3,0)),0,VLOOKUP($K37,'Suivi objectifs'!$D$1:$H$38,3,0))*$L37+IF(ISNA(VLOOKUP($M37,'Suivi objectifs'!$D$1:$H$38,3,0)),0,VLOOKUP($M37,'Suivi objectifs'!$D$1:$H$38,3,0))*$N37)*1000</f>
        <v>0</v>
      </c>
      <c r="AH37" s="1263">
        <f ca="1">(IF(ISNA(VLOOKUP($I37,'Suivi objectifs'!$D$1:$H$38,4,0)),0,VLOOKUP($I37,'Suivi objectifs'!$D$1:$H$38,4,0))*$J37+IF(ISNA(VLOOKUP($K37,'Suivi objectifs'!$D$1:$H$38,3,0)),0,VLOOKUP($K37,'Suivi objectifs'!$D$1:$H$38,4,0))*$L37+IF(ISNA(VLOOKUP($M37,'Suivi objectifs'!$D$1:$H$38,4,0)),0,VLOOKUP($M37,'Suivi objectifs'!$D$1:$H$38,4,0))*$N37)*1000</f>
        <v>0</v>
      </c>
      <c r="AI37" s="1263">
        <f ca="1">(IF(ISNA(VLOOKUP($I37,'Suivi objectifs'!$D$1:$I$38,6,0)),0,VLOOKUP($I37,'Suivi objectifs'!$D$1:$I$38,6,0))*$J37+IF(ISNA(VLOOKUP($K37,'Suivi objectifs'!$D$1:$I$38,6,0)),0,VLOOKUP($K37,'Suivi objectifs'!$D$1:$I$38,6,0))*$L37+IF(ISNA(VLOOKUP($M37,'Suivi objectifs'!$D$1:$I$38,6,0)),0,VLOOKUP($M37,'Suivi objectifs'!$D$1:$I$38,6,0))*$N37)</f>
        <v>0</v>
      </c>
      <c r="AJ37" s="1837">
        <f t="shared" ca="1" si="40"/>
        <v>0</v>
      </c>
      <c r="AK37" s="1264" t="str">
        <f t="shared" ca="1" si="1"/>
        <v/>
      </c>
      <c r="AL37" s="854" t="str">
        <f t="shared" ca="1" si="2"/>
        <v/>
      </c>
      <c r="AM37" s="1171" t="str">
        <f t="shared" ca="1" si="41"/>
        <v>Autre</v>
      </c>
      <c r="AN37" s="28">
        <f t="shared" ca="1" si="42"/>
        <v>0</v>
      </c>
      <c r="AO37" s="28" t="str">
        <f t="shared" ca="1" si="43"/>
        <v>0_0</v>
      </c>
      <c r="AP37" s="28" t="str">
        <f t="shared" si="4"/>
        <v>A36</v>
      </c>
      <c r="AQ37" s="28">
        <f t="shared" ca="1" si="44"/>
        <v>0</v>
      </c>
      <c r="AR37" s="28">
        <f t="shared" ca="1" si="5"/>
        <v>0</v>
      </c>
      <c r="AS37" s="28">
        <f t="shared" ca="1" si="45"/>
        <v>0</v>
      </c>
      <c r="AT37" s="28">
        <f t="shared" ca="1" si="46"/>
        <v>0</v>
      </c>
      <c r="AU37" s="28">
        <f t="shared" ca="1" si="47"/>
        <v>0</v>
      </c>
      <c r="AV37" s="28">
        <f t="shared" ca="1" si="6"/>
        <v>0</v>
      </c>
      <c r="AW37" s="28">
        <f t="shared" ca="1" si="48"/>
        <v>0</v>
      </c>
      <c r="AX37" s="28">
        <f t="shared" ca="1" si="7"/>
        <v>0</v>
      </c>
      <c r="AY37" s="28">
        <f t="shared" ca="1" si="8"/>
        <v>0</v>
      </c>
      <c r="AZ37" s="28">
        <f t="shared" ca="1" si="9"/>
        <v>0</v>
      </c>
      <c r="BA37" s="28">
        <f t="shared" ca="1" si="10"/>
        <v>0</v>
      </c>
      <c r="BB37" s="28">
        <f ca="1">IF(C37="x",COUNTIF(BB$2:BB36,"&gt;0")+1,0)</f>
        <v>0</v>
      </c>
      <c r="BC37" s="1255"/>
    </row>
    <row r="38" spans="1:55" ht="14.4">
      <c r="A38" s="1171" t="str">
        <f t="shared" si="11"/>
        <v>A37</v>
      </c>
      <c r="B38" s="1256" t="str">
        <f t="shared" ca="1" si="12"/>
        <v/>
      </c>
      <c r="C38" s="1256" t="str">
        <f t="shared" ca="1" si="13"/>
        <v/>
      </c>
      <c r="D38" s="1256" t="str">
        <f t="shared" ca="1" si="49"/>
        <v/>
      </c>
      <c r="E38" s="1256" t="str">
        <f t="shared" ca="1" si="14"/>
        <v/>
      </c>
      <c r="F38" s="1265">
        <v>37</v>
      </c>
      <c r="G38" s="1257">
        <f t="shared" ca="1" si="15"/>
        <v>0</v>
      </c>
      <c r="H38" s="1257">
        <f t="shared" ca="1" si="16"/>
        <v>0</v>
      </c>
      <c r="I38" s="1257" t="str">
        <f t="shared" ca="1" si="17"/>
        <v>-</v>
      </c>
      <c r="J38" s="1258">
        <f t="shared" ca="1" si="18"/>
        <v>0</v>
      </c>
      <c r="K38" s="1257" t="str">
        <f t="shared" ca="1" si="19"/>
        <v>-</v>
      </c>
      <c r="L38" s="1258">
        <f t="shared" ca="1" si="20"/>
        <v>0</v>
      </c>
      <c r="M38" s="1257" t="str">
        <f t="shared" ca="1" si="21"/>
        <v>-</v>
      </c>
      <c r="N38" s="1258">
        <f t="shared" ca="1" si="22"/>
        <v>0</v>
      </c>
      <c r="O38" s="1257">
        <f t="shared" ca="1" si="23"/>
        <v>0</v>
      </c>
      <c r="P38" s="1257">
        <f t="shared" ca="1" si="24"/>
        <v>0</v>
      </c>
      <c r="Q38" s="1257">
        <f t="shared" ca="1" si="25"/>
        <v>0</v>
      </c>
      <c r="R38" s="1257">
        <f t="shared" ca="1" si="26"/>
        <v>0</v>
      </c>
      <c r="S38" s="1257">
        <f t="shared" ca="1" si="27"/>
        <v>0</v>
      </c>
      <c r="T38" s="1257">
        <f t="shared" ca="1" si="28"/>
        <v>0</v>
      </c>
      <c r="U38" s="1257">
        <f t="shared" ca="1" si="29"/>
        <v>0</v>
      </c>
      <c r="V38" s="1257">
        <f t="shared" ca="1" si="0"/>
        <v>0</v>
      </c>
      <c r="W38" s="1257">
        <f t="shared" ca="1" si="30"/>
        <v>0</v>
      </c>
      <c r="X38" s="1257">
        <f t="shared" ca="1" si="31"/>
        <v>0</v>
      </c>
      <c r="Y38" s="1259">
        <f t="shared" ca="1" si="32"/>
        <v>0</v>
      </c>
      <c r="Z38" s="1259">
        <f t="shared" ca="1" si="33"/>
        <v>0</v>
      </c>
      <c r="AA38" s="1257">
        <f t="shared" ca="1" si="34"/>
        <v>0</v>
      </c>
      <c r="AB38" s="1260">
        <f t="shared" ca="1" si="35"/>
        <v>0</v>
      </c>
      <c r="AC38" s="1260">
        <f t="shared" ca="1" si="36"/>
        <v>0</v>
      </c>
      <c r="AD38" s="1261">
        <f t="shared" ca="1" si="37"/>
        <v>0</v>
      </c>
      <c r="AE38" s="1262">
        <f t="shared" ca="1" si="38"/>
        <v>0</v>
      </c>
      <c r="AF38" s="1257">
        <f t="shared" ca="1" si="39"/>
        <v>0</v>
      </c>
      <c r="AG38" s="1263">
        <f ca="1">(IF(ISNA(VLOOKUP($I38,'Suivi objectifs'!$D$1:$H$38,3,0)),0,VLOOKUP($I38,'Suivi objectifs'!$D$1:$H$38,3,0))*$J38+IF(ISNA(VLOOKUP($K38,'Suivi objectifs'!$D$1:$H$38,3,0)),0,VLOOKUP($K38,'Suivi objectifs'!$D$1:$H$38,3,0))*$L38+IF(ISNA(VLOOKUP($M38,'Suivi objectifs'!$D$1:$H$38,3,0)),0,VLOOKUP($M38,'Suivi objectifs'!$D$1:$H$38,3,0))*$N38)*1000</f>
        <v>0</v>
      </c>
      <c r="AH38" s="1263">
        <f ca="1">(IF(ISNA(VLOOKUP($I38,'Suivi objectifs'!$D$1:$H$38,4,0)),0,VLOOKUP($I38,'Suivi objectifs'!$D$1:$H$38,4,0))*$J38+IF(ISNA(VLOOKUP($K38,'Suivi objectifs'!$D$1:$H$38,3,0)),0,VLOOKUP($K38,'Suivi objectifs'!$D$1:$H$38,4,0))*$L38+IF(ISNA(VLOOKUP($M38,'Suivi objectifs'!$D$1:$H$38,4,0)),0,VLOOKUP($M38,'Suivi objectifs'!$D$1:$H$38,4,0))*$N38)*1000</f>
        <v>0</v>
      </c>
      <c r="AI38" s="1263">
        <f ca="1">(IF(ISNA(VLOOKUP($I38,'Suivi objectifs'!$D$1:$I$38,6,0)),0,VLOOKUP($I38,'Suivi objectifs'!$D$1:$I$38,6,0))*$J38+IF(ISNA(VLOOKUP($K38,'Suivi objectifs'!$D$1:$I$38,6,0)),0,VLOOKUP($K38,'Suivi objectifs'!$D$1:$I$38,6,0))*$L38+IF(ISNA(VLOOKUP($M38,'Suivi objectifs'!$D$1:$I$38,6,0)),0,VLOOKUP($M38,'Suivi objectifs'!$D$1:$I$38,6,0))*$N38)</f>
        <v>0</v>
      </c>
      <c r="AJ38" s="1837">
        <f t="shared" ca="1" si="40"/>
        <v>0</v>
      </c>
      <c r="AK38" s="1264" t="str">
        <f t="shared" ca="1" si="1"/>
        <v/>
      </c>
      <c r="AL38" s="854" t="str">
        <f t="shared" ca="1" si="2"/>
        <v/>
      </c>
      <c r="AM38" s="1171" t="str">
        <f t="shared" ca="1" si="41"/>
        <v>Autre</v>
      </c>
      <c r="AN38" s="28">
        <f t="shared" ca="1" si="42"/>
        <v>0</v>
      </c>
      <c r="AO38" s="28" t="str">
        <f t="shared" ca="1" si="43"/>
        <v>0_0</v>
      </c>
      <c r="AP38" s="28" t="str">
        <f t="shared" si="4"/>
        <v>A37</v>
      </c>
      <c r="AQ38" s="28">
        <f t="shared" ca="1" si="44"/>
        <v>0</v>
      </c>
      <c r="AR38" s="28">
        <f t="shared" ca="1" si="5"/>
        <v>0</v>
      </c>
      <c r="AS38" s="28">
        <f t="shared" ca="1" si="45"/>
        <v>0</v>
      </c>
      <c r="AT38" s="28">
        <f t="shared" ca="1" si="46"/>
        <v>0</v>
      </c>
      <c r="AU38" s="28">
        <f t="shared" ca="1" si="47"/>
        <v>0</v>
      </c>
      <c r="AV38" s="28">
        <f t="shared" ca="1" si="6"/>
        <v>0</v>
      </c>
      <c r="AW38" s="28">
        <f t="shared" ca="1" si="48"/>
        <v>0</v>
      </c>
      <c r="AX38" s="28">
        <f t="shared" ca="1" si="7"/>
        <v>0</v>
      </c>
      <c r="AY38" s="28">
        <f t="shared" ca="1" si="8"/>
        <v>0</v>
      </c>
      <c r="AZ38" s="28">
        <f t="shared" ca="1" si="9"/>
        <v>0</v>
      </c>
      <c r="BA38" s="28">
        <f t="shared" ca="1" si="10"/>
        <v>0</v>
      </c>
      <c r="BB38" s="28">
        <f ca="1">IF(C38="x",COUNTIF(BB$2:BB37,"&gt;0")+1,0)</f>
        <v>0</v>
      </c>
      <c r="BC38" s="1255"/>
    </row>
    <row r="39" spans="1:55" ht="14.4">
      <c r="A39" s="1171" t="str">
        <f t="shared" si="11"/>
        <v>A38</v>
      </c>
      <c r="B39" s="1256" t="str">
        <f t="shared" ca="1" si="12"/>
        <v/>
      </c>
      <c r="C39" s="1256" t="str">
        <f t="shared" ca="1" si="13"/>
        <v/>
      </c>
      <c r="D39" s="1256" t="str">
        <f t="shared" ca="1" si="49"/>
        <v/>
      </c>
      <c r="E39" s="1256" t="str">
        <f t="shared" ca="1" si="14"/>
        <v/>
      </c>
      <c r="F39" s="1265">
        <v>38</v>
      </c>
      <c r="G39" s="1257">
        <f t="shared" ca="1" si="15"/>
        <v>0</v>
      </c>
      <c r="H39" s="1257">
        <f t="shared" ca="1" si="16"/>
        <v>0</v>
      </c>
      <c r="I39" s="1257" t="str">
        <f t="shared" ca="1" si="17"/>
        <v>-</v>
      </c>
      <c r="J39" s="1258">
        <f t="shared" ca="1" si="18"/>
        <v>0</v>
      </c>
      <c r="K39" s="1257" t="str">
        <f t="shared" ca="1" si="19"/>
        <v>-</v>
      </c>
      <c r="L39" s="1258">
        <f t="shared" ca="1" si="20"/>
        <v>0</v>
      </c>
      <c r="M39" s="1257" t="str">
        <f t="shared" ca="1" si="21"/>
        <v>-</v>
      </c>
      <c r="N39" s="1258">
        <f t="shared" ca="1" si="22"/>
        <v>0</v>
      </c>
      <c r="O39" s="1257">
        <f t="shared" ca="1" si="23"/>
        <v>0</v>
      </c>
      <c r="P39" s="1257">
        <f t="shared" ca="1" si="24"/>
        <v>0</v>
      </c>
      <c r="Q39" s="1257">
        <f t="shared" ca="1" si="25"/>
        <v>0</v>
      </c>
      <c r="R39" s="1257">
        <f t="shared" ca="1" si="26"/>
        <v>0</v>
      </c>
      <c r="S39" s="1257">
        <f t="shared" ca="1" si="27"/>
        <v>0</v>
      </c>
      <c r="T39" s="1257">
        <f t="shared" ca="1" si="28"/>
        <v>0</v>
      </c>
      <c r="U39" s="1257">
        <f t="shared" ca="1" si="29"/>
        <v>0</v>
      </c>
      <c r="V39" s="1257">
        <f t="shared" ca="1" si="0"/>
        <v>0</v>
      </c>
      <c r="W39" s="1257">
        <f t="shared" ca="1" si="30"/>
        <v>0</v>
      </c>
      <c r="X39" s="1257">
        <f t="shared" ca="1" si="31"/>
        <v>0</v>
      </c>
      <c r="Y39" s="1259">
        <f t="shared" ca="1" si="32"/>
        <v>0</v>
      </c>
      <c r="Z39" s="1259">
        <f t="shared" ca="1" si="33"/>
        <v>0</v>
      </c>
      <c r="AA39" s="1257">
        <f t="shared" ca="1" si="34"/>
        <v>0</v>
      </c>
      <c r="AB39" s="1260">
        <f t="shared" ca="1" si="35"/>
        <v>0</v>
      </c>
      <c r="AC39" s="1260">
        <f t="shared" ca="1" si="36"/>
        <v>0</v>
      </c>
      <c r="AD39" s="1261">
        <f t="shared" ca="1" si="37"/>
        <v>0</v>
      </c>
      <c r="AE39" s="1262">
        <f t="shared" ca="1" si="38"/>
        <v>0</v>
      </c>
      <c r="AF39" s="1257">
        <f t="shared" ca="1" si="39"/>
        <v>0</v>
      </c>
      <c r="AG39" s="1263">
        <f ca="1">(IF(ISNA(VLOOKUP($I39,'Suivi objectifs'!$D$1:$H$38,3,0)),0,VLOOKUP($I39,'Suivi objectifs'!$D$1:$H$38,3,0))*$J39+IF(ISNA(VLOOKUP($K39,'Suivi objectifs'!$D$1:$H$38,3,0)),0,VLOOKUP($K39,'Suivi objectifs'!$D$1:$H$38,3,0))*$L39+IF(ISNA(VLOOKUP($M39,'Suivi objectifs'!$D$1:$H$38,3,0)),0,VLOOKUP($M39,'Suivi objectifs'!$D$1:$H$38,3,0))*$N39)*1000</f>
        <v>0</v>
      </c>
      <c r="AH39" s="1263">
        <f ca="1">(IF(ISNA(VLOOKUP($I39,'Suivi objectifs'!$D$1:$H$38,4,0)),0,VLOOKUP($I39,'Suivi objectifs'!$D$1:$H$38,4,0))*$J39+IF(ISNA(VLOOKUP($K39,'Suivi objectifs'!$D$1:$H$38,3,0)),0,VLOOKUP($K39,'Suivi objectifs'!$D$1:$H$38,4,0))*$L39+IF(ISNA(VLOOKUP($M39,'Suivi objectifs'!$D$1:$H$38,4,0)),0,VLOOKUP($M39,'Suivi objectifs'!$D$1:$H$38,4,0))*$N39)*1000</f>
        <v>0</v>
      </c>
      <c r="AI39" s="1263">
        <f ca="1">(IF(ISNA(VLOOKUP($I39,'Suivi objectifs'!$D$1:$I$38,6,0)),0,VLOOKUP($I39,'Suivi objectifs'!$D$1:$I$38,6,0))*$J39+IF(ISNA(VLOOKUP($K39,'Suivi objectifs'!$D$1:$I$38,6,0)),0,VLOOKUP($K39,'Suivi objectifs'!$D$1:$I$38,6,0))*$L39+IF(ISNA(VLOOKUP($M39,'Suivi objectifs'!$D$1:$I$38,6,0)),0,VLOOKUP($M39,'Suivi objectifs'!$D$1:$I$38,6,0))*$N39)</f>
        <v>0</v>
      </c>
      <c r="AJ39" s="1837">
        <f t="shared" ca="1" si="40"/>
        <v>0</v>
      </c>
      <c r="AK39" s="1264" t="str">
        <f t="shared" ca="1" si="1"/>
        <v/>
      </c>
      <c r="AL39" s="854" t="str">
        <f t="shared" ca="1" si="2"/>
        <v/>
      </c>
      <c r="AM39" s="1171" t="str">
        <f t="shared" ca="1" si="41"/>
        <v>Autre</v>
      </c>
      <c r="AN39" s="28">
        <f t="shared" ca="1" si="42"/>
        <v>0</v>
      </c>
      <c r="AO39" s="28" t="str">
        <f t="shared" ca="1" si="43"/>
        <v>0_0</v>
      </c>
      <c r="AP39" s="28" t="str">
        <f t="shared" si="4"/>
        <v>A38</v>
      </c>
      <c r="AQ39" s="28">
        <f t="shared" ca="1" si="44"/>
        <v>0</v>
      </c>
      <c r="AR39" s="28">
        <f t="shared" ca="1" si="5"/>
        <v>0</v>
      </c>
      <c r="AS39" s="28">
        <f t="shared" ca="1" si="45"/>
        <v>0</v>
      </c>
      <c r="AT39" s="28">
        <f t="shared" ca="1" si="46"/>
        <v>0</v>
      </c>
      <c r="AU39" s="28">
        <f t="shared" ca="1" si="47"/>
        <v>0</v>
      </c>
      <c r="AV39" s="28">
        <f t="shared" ca="1" si="6"/>
        <v>0</v>
      </c>
      <c r="AW39" s="28">
        <f t="shared" ca="1" si="48"/>
        <v>0</v>
      </c>
      <c r="AX39" s="28">
        <f t="shared" ca="1" si="7"/>
        <v>0</v>
      </c>
      <c r="AY39" s="28">
        <f t="shared" ca="1" si="8"/>
        <v>0</v>
      </c>
      <c r="AZ39" s="28">
        <f t="shared" ca="1" si="9"/>
        <v>0</v>
      </c>
      <c r="BA39" s="28">
        <f t="shared" ca="1" si="10"/>
        <v>0</v>
      </c>
      <c r="BB39" s="28">
        <f ca="1">IF(C39="x",COUNTIF(BB$2:BB38,"&gt;0")+1,0)</f>
        <v>0</v>
      </c>
      <c r="BC39" s="1255"/>
    </row>
    <row r="40" spans="1:55" ht="14.4">
      <c r="A40" s="1171" t="str">
        <f t="shared" si="11"/>
        <v>A39</v>
      </c>
      <c r="B40" s="1256" t="str">
        <f t="shared" ca="1" si="12"/>
        <v/>
      </c>
      <c r="C40" s="1256" t="str">
        <f t="shared" ca="1" si="13"/>
        <v/>
      </c>
      <c r="D40" s="1256" t="str">
        <f t="shared" ca="1" si="49"/>
        <v/>
      </c>
      <c r="E40" s="1256" t="str">
        <f t="shared" ca="1" si="14"/>
        <v/>
      </c>
      <c r="F40" s="1265">
        <v>39</v>
      </c>
      <c r="G40" s="1257">
        <f t="shared" ca="1" si="15"/>
        <v>0</v>
      </c>
      <c r="H40" s="1257">
        <f t="shared" ca="1" si="16"/>
        <v>0</v>
      </c>
      <c r="I40" s="1257" t="str">
        <f t="shared" ca="1" si="17"/>
        <v>-</v>
      </c>
      <c r="J40" s="1258">
        <f t="shared" ca="1" si="18"/>
        <v>0</v>
      </c>
      <c r="K40" s="1257" t="str">
        <f t="shared" ca="1" si="19"/>
        <v>-</v>
      </c>
      <c r="L40" s="1258">
        <f t="shared" ca="1" si="20"/>
        <v>0</v>
      </c>
      <c r="M40" s="1257" t="str">
        <f t="shared" ca="1" si="21"/>
        <v>-</v>
      </c>
      <c r="N40" s="1258">
        <f t="shared" ca="1" si="22"/>
        <v>0</v>
      </c>
      <c r="O40" s="1257">
        <f t="shared" ca="1" si="23"/>
        <v>0</v>
      </c>
      <c r="P40" s="1257">
        <f t="shared" ca="1" si="24"/>
        <v>0</v>
      </c>
      <c r="Q40" s="1257">
        <f t="shared" ca="1" si="25"/>
        <v>0</v>
      </c>
      <c r="R40" s="1257">
        <f t="shared" ca="1" si="26"/>
        <v>0</v>
      </c>
      <c r="S40" s="1257">
        <f t="shared" ca="1" si="27"/>
        <v>0</v>
      </c>
      <c r="T40" s="1257">
        <f t="shared" ca="1" si="28"/>
        <v>0</v>
      </c>
      <c r="U40" s="1257">
        <f t="shared" ca="1" si="29"/>
        <v>0</v>
      </c>
      <c r="V40" s="1257">
        <f t="shared" ca="1" si="0"/>
        <v>0</v>
      </c>
      <c r="W40" s="1257">
        <f t="shared" ca="1" si="30"/>
        <v>0</v>
      </c>
      <c r="X40" s="1257">
        <f t="shared" ca="1" si="31"/>
        <v>0</v>
      </c>
      <c r="Y40" s="1259">
        <f t="shared" ca="1" si="32"/>
        <v>0</v>
      </c>
      <c r="Z40" s="1259">
        <f t="shared" ca="1" si="33"/>
        <v>0</v>
      </c>
      <c r="AA40" s="1257">
        <f t="shared" ca="1" si="34"/>
        <v>0</v>
      </c>
      <c r="AB40" s="1260">
        <f t="shared" ca="1" si="35"/>
        <v>0</v>
      </c>
      <c r="AC40" s="1260">
        <f t="shared" ca="1" si="36"/>
        <v>0</v>
      </c>
      <c r="AD40" s="1261">
        <f t="shared" ca="1" si="37"/>
        <v>0</v>
      </c>
      <c r="AE40" s="1262">
        <f t="shared" ca="1" si="38"/>
        <v>0</v>
      </c>
      <c r="AF40" s="1257">
        <f t="shared" ca="1" si="39"/>
        <v>0</v>
      </c>
      <c r="AG40" s="1263">
        <f ca="1">(IF(ISNA(VLOOKUP($I40,'Suivi objectifs'!$D$1:$H$38,3,0)),0,VLOOKUP($I40,'Suivi objectifs'!$D$1:$H$38,3,0))*$J40+IF(ISNA(VLOOKUP($K40,'Suivi objectifs'!$D$1:$H$38,3,0)),0,VLOOKUP($K40,'Suivi objectifs'!$D$1:$H$38,3,0))*$L40+IF(ISNA(VLOOKUP($M40,'Suivi objectifs'!$D$1:$H$38,3,0)),0,VLOOKUP($M40,'Suivi objectifs'!$D$1:$H$38,3,0))*$N40)*1000</f>
        <v>0</v>
      </c>
      <c r="AH40" s="1263">
        <f ca="1">(IF(ISNA(VLOOKUP($I40,'Suivi objectifs'!$D$1:$H$38,4,0)),0,VLOOKUP($I40,'Suivi objectifs'!$D$1:$H$38,4,0))*$J40+IF(ISNA(VLOOKUP($K40,'Suivi objectifs'!$D$1:$H$38,3,0)),0,VLOOKUP($K40,'Suivi objectifs'!$D$1:$H$38,4,0))*$L40+IF(ISNA(VLOOKUP($M40,'Suivi objectifs'!$D$1:$H$38,4,0)),0,VLOOKUP($M40,'Suivi objectifs'!$D$1:$H$38,4,0))*$N40)*1000</f>
        <v>0</v>
      </c>
      <c r="AI40" s="1263">
        <f ca="1">(IF(ISNA(VLOOKUP($I40,'Suivi objectifs'!$D$1:$I$38,6,0)),0,VLOOKUP($I40,'Suivi objectifs'!$D$1:$I$38,6,0))*$J40+IF(ISNA(VLOOKUP($K40,'Suivi objectifs'!$D$1:$I$38,6,0)),0,VLOOKUP($K40,'Suivi objectifs'!$D$1:$I$38,6,0))*$L40+IF(ISNA(VLOOKUP($M40,'Suivi objectifs'!$D$1:$I$38,6,0)),0,VLOOKUP($M40,'Suivi objectifs'!$D$1:$I$38,6,0))*$N40)</f>
        <v>0</v>
      </c>
      <c r="AJ40" s="1837">
        <f t="shared" ca="1" si="40"/>
        <v>0</v>
      </c>
      <c r="AK40" s="1264" t="str">
        <f t="shared" ca="1" si="1"/>
        <v/>
      </c>
      <c r="AL40" s="854" t="str">
        <f t="shared" ca="1" si="2"/>
        <v/>
      </c>
      <c r="AM40" s="1171" t="str">
        <f t="shared" ca="1" si="41"/>
        <v>Autre</v>
      </c>
      <c r="AN40" s="28">
        <f t="shared" ca="1" si="42"/>
        <v>0</v>
      </c>
      <c r="AO40" s="28" t="str">
        <f t="shared" ca="1" si="43"/>
        <v>0_0</v>
      </c>
      <c r="AP40" s="28" t="str">
        <f t="shared" si="4"/>
        <v>A39</v>
      </c>
      <c r="AQ40" s="28">
        <f t="shared" ca="1" si="44"/>
        <v>0</v>
      </c>
      <c r="AR40" s="28">
        <f t="shared" ca="1" si="5"/>
        <v>0</v>
      </c>
      <c r="AS40" s="28">
        <f t="shared" ca="1" si="45"/>
        <v>0</v>
      </c>
      <c r="AT40" s="28">
        <f t="shared" ca="1" si="46"/>
        <v>0</v>
      </c>
      <c r="AU40" s="28">
        <f t="shared" ca="1" si="47"/>
        <v>0</v>
      </c>
      <c r="AV40" s="28">
        <f t="shared" ca="1" si="6"/>
        <v>0</v>
      </c>
      <c r="AW40" s="28">
        <f t="shared" ca="1" si="48"/>
        <v>0</v>
      </c>
      <c r="AX40" s="28">
        <f t="shared" ca="1" si="7"/>
        <v>0</v>
      </c>
      <c r="AY40" s="28">
        <f t="shared" ca="1" si="8"/>
        <v>0</v>
      </c>
      <c r="AZ40" s="28">
        <f t="shared" ca="1" si="9"/>
        <v>0</v>
      </c>
      <c r="BA40" s="28">
        <f t="shared" ca="1" si="10"/>
        <v>0</v>
      </c>
      <c r="BB40" s="28">
        <f ca="1">IF(C40="x",COUNTIF(BB$2:BB39,"&gt;0")+1,0)</f>
        <v>0</v>
      </c>
      <c r="BC40" s="1255"/>
    </row>
    <row r="41" spans="1:55" ht="14.4">
      <c r="A41" s="1171" t="str">
        <f t="shared" si="11"/>
        <v>A40</v>
      </c>
      <c r="B41" s="1256" t="str">
        <f t="shared" ca="1" si="12"/>
        <v/>
      </c>
      <c r="C41" s="1256" t="str">
        <f t="shared" ca="1" si="13"/>
        <v/>
      </c>
      <c r="D41" s="1256" t="str">
        <f t="shared" ca="1" si="49"/>
        <v/>
      </c>
      <c r="E41" s="1256" t="str">
        <f t="shared" ca="1" si="14"/>
        <v/>
      </c>
      <c r="F41" s="1265">
        <v>40</v>
      </c>
      <c r="G41" s="1257">
        <f t="shared" ca="1" si="15"/>
        <v>0</v>
      </c>
      <c r="H41" s="1257">
        <f t="shared" ca="1" si="16"/>
        <v>0</v>
      </c>
      <c r="I41" s="1257" t="str">
        <f t="shared" ca="1" si="17"/>
        <v>-</v>
      </c>
      <c r="J41" s="1258">
        <f t="shared" ca="1" si="18"/>
        <v>0</v>
      </c>
      <c r="K41" s="1257" t="str">
        <f t="shared" ca="1" si="19"/>
        <v>-</v>
      </c>
      <c r="L41" s="1258">
        <f t="shared" ca="1" si="20"/>
        <v>0</v>
      </c>
      <c r="M41" s="1257" t="str">
        <f t="shared" ca="1" si="21"/>
        <v>-</v>
      </c>
      <c r="N41" s="1258">
        <f t="shared" ca="1" si="22"/>
        <v>0</v>
      </c>
      <c r="O41" s="1257">
        <f t="shared" ca="1" si="23"/>
        <v>0</v>
      </c>
      <c r="P41" s="1257">
        <f t="shared" ca="1" si="24"/>
        <v>0</v>
      </c>
      <c r="Q41" s="1257">
        <f t="shared" ca="1" si="25"/>
        <v>0</v>
      </c>
      <c r="R41" s="1257">
        <f t="shared" ca="1" si="26"/>
        <v>0</v>
      </c>
      <c r="S41" s="1257">
        <f t="shared" ca="1" si="27"/>
        <v>0</v>
      </c>
      <c r="T41" s="1257">
        <f t="shared" ca="1" si="28"/>
        <v>0</v>
      </c>
      <c r="U41" s="1257">
        <f t="shared" ca="1" si="29"/>
        <v>0</v>
      </c>
      <c r="V41" s="1257">
        <f t="shared" ca="1" si="0"/>
        <v>0</v>
      </c>
      <c r="W41" s="1257">
        <f t="shared" ca="1" si="30"/>
        <v>0</v>
      </c>
      <c r="X41" s="1257">
        <f t="shared" ca="1" si="31"/>
        <v>0</v>
      </c>
      <c r="Y41" s="1259">
        <f t="shared" ca="1" si="32"/>
        <v>0</v>
      </c>
      <c r="Z41" s="1259">
        <f t="shared" ca="1" si="33"/>
        <v>0</v>
      </c>
      <c r="AA41" s="1257">
        <f t="shared" ca="1" si="34"/>
        <v>0</v>
      </c>
      <c r="AB41" s="1260">
        <f t="shared" ca="1" si="35"/>
        <v>0</v>
      </c>
      <c r="AC41" s="1260">
        <f t="shared" ca="1" si="36"/>
        <v>0</v>
      </c>
      <c r="AD41" s="1261">
        <f t="shared" ca="1" si="37"/>
        <v>0</v>
      </c>
      <c r="AE41" s="1262">
        <f t="shared" ca="1" si="38"/>
        <v>0</v>
      </c>
      <c r="AF41" s="1257">
        <f t="shared" ca="1" si="39"/>
        <v>0</v>
      </c>
      <c r="AG41" s="1263">
        <f ca="1">(IF(ISNA(VLOOKUP($I41,'Suivi objectifs'!$D$1:$H$38,3,0)),0,VLOOKUP($I41,'Suivi objectifs'!$D$1:$H$38,3,0))*$J41+IF(ISNA(VLOOKUP($K41,'Suivi objectifs'!$D$1:$H$38,3,0)),0,VLOOKUP($K41,'Suivi objectifs'!$D$1:$H$38,3,0))*$L41+IF(ISNA(VLOOKUP($M41,'Suivi objectifs'!$D$1:$H$38,3,0)),0,VLOOKUP($M41,'Suivi objectifs'!$D$1:$H$38,3,0))*$N41)*1000</f>
        <v>0</v>
      </c>
      <c r="AH41" s="1263">
        <f ca="1">(IF(ISNA(VLOOKUP($I41,'Suivi objectifs'!$D$1:$H$38,4,0)),0,VLOOKUP($I41,'Suivi objectifs'!$D$1:$H$38,4,0))*$J41+IF(ISNA(VLOOKUP($K41,'Suivi objectifs'!$D$1:$H$38,3,0)),0,VLOOKUP($K41,'Suivi objectifs'!$D$1:$H$38,4,0))*$L41+IF(ISNA(VLOOKUP($M41,'Suivi objectifs'!$D$1:$H$38,4,0)),0,VLOOKUP($M41,'Suivi objectifs'!$D$1:$H$38,4,0))*$N41)*1000</f>
        <v>0</v>
      </c>
      <c r="AI41" s="1263">
        <f ca="1">(IF(ISNA(VLOOKUP($I41,'Suivi objectifs'!$D$1:$I$38,6,0)),0,VLOOKUP($I41,'Suivi objectifs'!$D$1:$I$38,6,0))*$J41+IF(ISNA(VLOOKUP($K41,'Suivi objectifs'!$D$1:$I$38,6,0)),0,VLOOKUP($K41,'Suivi objectifs'!$D$1:$I$38,6,0))*$L41+IF(ISNA(VLOOKUP($M41,'Suivi objectifs'!$D$1:$I$38,6,0)),0,VLOOKUP($M41,'Suivi objectifs'!$D$1:$I$38,6,0))*$N41)</f>
        <v>0</v>
      </c>
      <c r="AJ41" s="1837">
        <f t="shared" ca="1" si="40"/>
        <v>0</v>
      </c>
      <c r="AK41" s="1264" t="str">
        <f t="shared" ca="1" si="1"/>
        <v/>
      </c>
      <c r="AL41" s="854" t="str">
        <f t="shared" ca="1" si="2"/>
        <v/>
      </c>
      <c r="AM41" s="1171" t="str">
        <f t="shared" ca="1" si="41"/>
        <v>Autre</v>
      </c>
      <c r="AN41" s="28">
        <f t="shared" ca="1" si="42"/>
        <v>0</v>
      </c>
      <c r="AO41" s="28" t="str">
        <f t="shared" ca="1" si="43"/>
        <v>0_0</v>
      </c>
      <c r="AP41" s="28" t="str">
        <f t="shared" si="4"/>
        <v>A40</v>
      </c>
      <c r="AQ41" s="28">
        <f t="shared" ca="1" si="44"/>
        <v>0</v>
      </c>
      <c r="AR41" s="28">
        <f t="shared" ca="1" si="5"/>
        <v>0</v>
      </c>
      <c r="AS41" s="28">
        <f t="shared" ca="1" si="45"/>
        <v>0</v>
      </c>
      <c r="AT41" s="28">
        <f t="shared" ca="1" si="46"/>
        <v>0</v>
      </c>
      <c r="AU41" s="28">
        <f t="shared" ca="1" si="47"/>
        <v>0</v>
      </c>
      <c r="AV41" s="28">
        <f t="shared" ca="1" si="6"/>
        <v>0</v>
      </c>
      <c r="AW41" s="28">
        <f t="shared" ca="1" si="48"/>
        <v>0</v>
      </c>
      <c r="AX41" s="28">
        <f t="shared" ca="1" si="7"/>
        <v>0</v>
      </c>
      <c r="AY41" s="28">
        <f t="shared" ca="1" si="8"/>
        <v>0</v>
      </c>
      <c r="AZ41" s="28">
        <f t="shared" ca="1" si="9"/>
        <v>0</v>
      </c>
      <c r="BA41" s="28">
        <f t="shared" ca="1" si="10"/>
        <v>0</v>
      </c>
      <c r="BB41" s="28">
        <f ca="1">IF(C41="x",COUNTIF(BB$2:BB40,"&gt;0")+1,0)</f>
        <v>0</v>
      </c>
      <c r="BC41" s="1255"/>
    </row>
    <row r="42" spans="1:55" ht="14.4">
      <c r="A42" s="1171" t="str">
        <f t="shared" si="11"/>
        <v>A41</v>
      </c>
      <c r="B42" s="1256" t="str">
        <f t="shared" ca="1" si="12"/>
        <v/>
      </c>
      <c r="C42" s="1256" t="str">
        <f t="shared" ca="1" si="13"/>
        <v/>
      </c>
      <c r="D42" s="1256" t="str">
        <f t="shared" ca="1" si="49"/>
        <v/>
      </c>
      <c r="E42" s="1256" t="str">
        <f t="shared" ca="1" si="14"/>
        <v/>
      </c>
      <c r="F42" s="1265">
        <v>41</v>
      </c>
      <c r="G42" s="1257">
        <f t="shared" ca="1" si="15"/>
        <v>0</v>
      </c>
      <c r="H42" s="1257">
        <f t="shared" ca="1" si="16"/>
        <v>0</v>
      </c>
      <c r="I42" s="1257" t="str">
        <f t="shared" ca="1" si="17"/>
        <v>-</v>
      </c>
      <c r="J42" s="1258">
        <f t="shared" ca="1" si="18"/>
        <v>0</v>
      </c>
      <c r="K42" s="1257" t="str">
        <f t="shared" ca="1" si="19"/>
        <v>-</v>
      </c>
      <c r="L42" s="1258">
        <f t="shared" ca="1" si="20"/>
        <v>0</v>
      </c>
      <c r="M42" s="1257" t="str">
        <f t="shared" ca="1" si="21"/>
        <v>-</v>
      </c>
      <c r="N42" s="1258">
        <f t="shared" ca="1" si="22"/>
        <v>0</v>
      </c>
      <c r="O42" s="1257">
        <f t="shared" ca="1" si="23"/>
        <v>0</v>
      </c>
      <c r="P42" s="1257">
        <f t="shared" ca="1" si="24"/>
        <v>0</v>
      </c>
      <c r="Q42" s="1257">
        <f t="shared" ca="1" si="25"/>
        <v>0</v>
      </c>
      <c r="R42" s="1257">
        <f t="shared" ca="1" si="26"/>
        <v>0</v>
      </c>
      <c r="S42" s="1257">
        <f t="shared" ca="1" si="27"/>
        <v>0</v>
      </c>
      <c r="T42" s="1257">
        <f t="shared" ca="1" si="28"/>
        <v>0</v>
      </c>
      <c r="U42" s="1257">
        <f t="shared" ca="1" si="29"/>
        <v>0</v>
      </c>
      <c r="V42" s="1257">
        <f t="shared" ca="1" si="0"/>
        <v>0</v>
      </c>
      <c r="W42" s="1257">
        <f t="shared" ca="1" si="30"/>
        <v>0</v>
      </c>
      <c r="X42" s="1257">
        <f t="shared" ca="1" si="31"/>
        <v>0</v>
      </c>
      <c r="Y42" s="1259">
        <f t="shared" ca="1" si="32"/>
        <v>0</v>
      </c>
      <c r="Z42" s="1259">
        <f t="shared" ca="1" si="33"/>
        <v>0</v>
      </c>
      <c r="AA42" s="1257">
        <f t="shared" ca="1" si="34"/>
        <v>0</v>
      </c>
      <c r="AB42" s="1260">
        <f t="shared" ca="1" si="35"/>
        <v>0</v>
      </c>
      <c r="AC42" s="1260">
        <f t="shared" ca="1" si="36"/>
        <v>0</v>
      </c>
      <c r="AD42" s="1261">
        <f t="shared" ca="1" si="37"/>
        <v>0</v>
      </c>
      <c r="AE42" s="1262">
        <f t="shared" ca="1" si="38"/>
        <v>0</v>
      </c>
      <c r="AF42" s="1257">
        <f t="shared" ca="1" si="39"/>
        <v>0</v>
      </c>
      <c r="AG42" s="1263">
        <f ca="1">(IF(ISNA(VLOOKUP($I42,'Suivi objectifs'!$D$1:$H$38,3,0)),0,VLOOKUP($I42,'Suivi objectifs'!$D$1:$H$38,3,0))*$J42+IF(ISNA(VLOOKUP($K42,'Suivi objectifs'!$D$1:$H$38,3,0)),0,VLOOKUP($K42,'Suivi objectifs'!$D$1:$H$38,3,0))*$L42+IF(ISNA(VLOOKUP($M42,'Suivi objectifs'!$D$1:$H$38,3,0)),0,VLOOKUP($M42,'Suivi objectifs'!$D$1:$H$38,3,0))*$N42)*1000</f>
        <v>0</v>
      </c>
      <c r="AH42" s="1263">
        <f ca="1">(IF(ISNA(VLOOKUP($I42,'Suivi objectifs'!$D$1:$H$38,4,0)),0,VLOOKUP($I42,'Suivi objectifs'!$D$1:$H$38,4,0))*$J42+IF(ISNA(VLOOKUP($K42,'Suivi objectifs'!$D$1:$H$38,3,0)),0,VLOOKUP($K42,'Suivi objectifs'!$D$1:$H$38,4,0))*$L42+IF(ISNA(VLOOKUP($M42,'Suivi objectifs'!$D$1:$H$38,4,0)),0,VLOOKUP($M42,'Suivi objectifs'!$D$1:$H$38,4,0))*$N42)*1000</f>
        <v>0</v>
      </c>
      <c r="AI42" s="1263">
        <f ca="1">(IF(ISNA(VLOOKUP($I42,'Suivi objectifs'!$D$1:$I$38,6,0)),0,VLOOKUP($I42,'Suivi objectifs'!$D$1:$I$38,6,0))*$J42+IF(ISNA(VLOOKUP($K42,'Suivi objectifs'!$D$1:$I$38,6,0)),0,VLOOKUP($K42,'Suivi objectifs'!$D$1:$I$38,6,0))*$L42+IF(ISNA(VLOOKUP($M42,'Suivi objectifs'!$D$1:$I$38,6,0)),0,VLOOKUP($M42,'Suivi objectifs'!$D$1:$I$38,6,0))*$N42)</f>
        <v>0</v>
      </c>
      <c r="AJ42" s="1837">
        <f t="shared" ca="1" si="40"/>
        <v>0</v>
      </c>
      <c r="AK42" s="1264" t="str">
        <f t="shared" ca="1" si="1"/>
        <v/>
      </c>
      <c r="AL42" s="854" t="str">
        <f t="shared" ca="1" si="2"/>
        <v/>
      </c>
      <c r="AM42" s="1171" t="str">
        <f t="shared" ca="1" si="41"/>
        <v>Autre</v>
      </c>
      <c r="AN42" s="28">
        <f t="shared" ca="1" si="42"/>
        <v>0</v>
      </c>
      <c r="AO42" s="28" t="str">
        <f t="shared" ca="1" si="43"/>
        <v>0_0</v>
      </c>
      <c r="AP42" s="28" t="str">
        <f t="shared" si="4"/>
        <v>A41</v>
      </c>
      <c r="AQ42" s="28">
        <f t="shared" ca="1" si="44"/>
        <v>0</v>
      </c>
      <c r="AR42" s="28">
        <f t="shared" ca="1" si="5"/>
        <v>0</v>
      </c>
      <c r="AS42" s="28">
        <f t="shared" ca="1" si="45"/>
        <v>0</v>
      </c>
      <c r="AT42" s="28">
        <f t="shared" ca="1" si="46"/>
        <v>0</v>
      </c>
      <c r="AU42" s="28">
        <f t="shared" ca="1" si="47"/>
        <v>0</v>
      </c>
      <c r="AV42" s="28">
        <f t="shared" ca="1" si="6"/>
        <v>0</v>
      </c>
      <c r="AW42" s="28">
        <f t="shared" ca="1" si="48"/>
        <v>0</v>
      </c>
      <c r="AX42" s="28">
        <f t="shared" ca="1" si="7"/>
        <v>0</v>
      </c>
      <c r="AY42" s="28">
        <f t="shared" ca="1" si="8"/>
        <v>0</v>
      </c>
      <c r="AZ42" s="28">
        <f t="shared" ca="1" si="9"/>
        <v>0</v>
      </c>
      <c r="BA42" s="28">
        <f t="shared" ca="1" si="10"/>
        <v>0</v>
      </c>
      <c r="BB42" s="28">
        <f ca="1">IF(C42="x",COUNTIF(BB$2:BB41,"&gt;0")+1,0)</f>
        <v>0</v>
      </c>
      <c r="BC42" s="1255"/>
    </row>
    <row r="43" spans="1:55" ht="14.4">
      <c r="A43" s="1171" t="str">
        <f t="shared" si="11"/>
        <v>A42</v>
      </c>
      <c r="B43" s="1256" t="str">
        <f t="shared" ca="1" si="12"/>
        <v/>
      </c>
      <c r="C43" s="1256" t="str">
        <f t="shared" ca="1" si="13"/>
        <v/>
      </c>
      <c r="D43" s="1256" t="str">
        <f t="shared" ca="1" si="49"/>
        <v/>
      </c>
      <c r="E43" s="1256" t="str">
        <f t="shared" ca="1" si="14"/>
        <v/>
      </c>
      <c r="F43" s="1265">
        <v>42</v>
      </c>
      <c r="G43" s="1257">
        <f t="shared" ca="1" si="15"/>
        <v>0</v>
      </c>
      <c r="H43" s="1257">
        <f t="shared" ca="1" si="16"/>
        <v>0</v>
      </c>
      <c r="I43" s="1257" t="str">
        <f t="shared" ca="1" si="17"/>
        <v>-</v>
      </c>
      <c r="J43" s="1258">
        <f t="shared" ca="1" si="18"/>
        <v>0</v>
      </c>
      <c r="K43" s="1257" t="str">
        <f t="shared" ca="1" si="19"/>
        <v>-</v>
      </c>
      <c r="L43" s="1258">
        <f t="shared" ca="1" si="20"/>
        <v>0</v>
      </c>
      <c r="M43" s="1257" t="str">
        <f t="shared" ca="1" si="21"/>
        <v>-</v>
      </c>
      <c r="N43" s="1258">
        <f t="shared" ca="1" si="22"/>
        <v>0</v>
      </c>
      <c r="O43" s="1257">
        <f t="shared" ca="1" si="23"/>
        <v>0</v>
      </c>
      <c r="P43" s="1257">
        <f t="shared" ca="1" si="24"/>
        <v>0</v>
      </c>
      <c r="Q43" s="1257">
        <f t="shared" ca="1" si="25"/>
        <v>0</v>
      </c>
      <c r="R43" s="1257">
        <f t="shared" ca="1" si="26"/>
        <v>0</v>
      </c>
      <c r="S43" s="1257">
        <f t="shared" ca="1" si="27"/>
        <v>0</v>
      </c>
      <c r="T43" s="1257">
        <f t="shared" ca="1" si="28"/>
        <v>0</v>
      </c>
      <c r="U43" s="1257">
        <f t="shared" ca="1" si="29"/>
        <v>0</v>
      </c>
      <c r="V43" s="1257">
        <f t="shared" ca="1" si="0"/>
        <v>0</v>
      </c>
      <c r="W43" s="1257">
        <f t="shared" ca="1" si="30"/>
        <v>0</v>
      </c>
      <c r="X43" s="1257">
        <f t="shared" ca="1" si="31"/>
        <v>0</v>
      </c>
      <c r="Y43" s="1259">
        <f t="shared" ca="1" si="32"/>
        <v>0</v>
      </c>
      <c r="Z43" s="1259">
        <f t="shared" ca="1" si="33"/>
        <v>0</v>
      </c>
      <c r="AA43" s="1257">
        <f t="shared" ca="1" si="34"/>
        <v>0</v>
      </c>
      <c r="AB43" s="1260">
        <f t="shared" ca="1" si="35"/>
        <v>0</v>
      </c>
      <c r="AC43" s="1260">
        <f t="shared" ca="1" si="36"/>
        <v>0</v>
      </c>
      <c r="AD43" s="1261">
        <f t="shared" ca="1" si="37"/>
        <v>0</v>
      </c>
      <c r="AE43" s="1262">
        <f t="shared" ca="1" si="38"/>
        <v>0</v>
      </c>
      <c r="AF43" s="1257">
        <f t="shared" ca="1" si="39"/>
        <v>0</v>
      </c>
      <c r="AG43" s="1263">
        <f ca="1">(IF(ISNA(VLOOKUP($I43,'Suivi objectifs'!$D$1:$H$38,3,0)),0,VLOOKUP($I43,'Suivi objectifs'!$D$1:$H$38,3,0))*$J43+IF(ISNA(VLOOKUP($K43,'Suivi objectifs'!$D$1:$H$38,3,0)),0,VLOOKUP($K43,'Suivi objectifs'!$D$1:$H$38,3,0))*$L43+IF(ISNA(VLOOKUP($M43,'Suivi objectifs'!$D$1:$H$38,3,0)),0,VLOOKUP($M43,'Suivi objectifs'!$D$1:$H$38,3,0))*$N43)*1000</f>
        <v>0</v>
      </c>
      <c r="AH43" s="1263">
        <f ca="1">(IF(ISNA(VLOOKUP($I43,'Suivi objectifs'!$D$1:$H$38,4,0)),0,VLOOKUP($I43,'Suivi objectifs'!$D$1:$H$38,4,0))*$J43+IF(ISNA(VLOOKUP($K43,'Suivi objectifs'!$D$1:$H$38,3,0)),0,VLOOKUP($K43,'Suivi objectifs'!$D$1:$H$38,4,0))*$L43+IF(ISNA(VLOOKUP($M43,'Suivi objectifs'!$D$1:$H$38,4,0)),0,VLOOKUP($M43,'Suivi objectifs'!$D$1:$H$38,4,0))*$N43)*1000</f>
        <v>0</v>
      </c>
      <c r="AI43" s="1263">
        <f ca="1">(IF(ISNA(VLOOKUP($I43,'Suivi objectifs'!$D$1:$I$38,6,0)),0,VLOOKUP($I43,'Suivi objectifs'!$D$1:$I$38,6,0))*$J43+IF(ISNA(VLOOKUP($K43,'Suivi objectifs'!$D$1:$I$38,6,0)),0,VLOOKUP($K43,'Suivi objectifs'!$D$1:$I$38,6,0))*$L43+IF(ISNA(VLOOKUP($M43,'Suivi objectifs'!$D$1:$I$38,6,0)),0,VLOOKUP($M43,'Suivi objectifs'!$D$1:$I$38,6,0))*$N43)</f>
        <v>0</v>
      </c>
      <c r="AJ43" s="1837">
        <f t="shared" ca="1" si="40"/>
        <v>0</v>
      </c>
      <c r="AK43" s="1264" t="str">
        <f t="shared" ca="1" si="1"/>
        <v/>
      </c>
      <c r="AL43" s="854" t="str">
        <f t="shared" ca="1" si="2"/>
        <v/>
      </c>
      <c r="AM43" s="1171" t="str">
        <f t="shared" ca="1" si="41"/>
        <v>Autre</v>
      </c>
      <c r="AN43" s="28">
        <f t="shared" ca="1" si="42"/>
        <v>0</v>
      </c>
      <c r="AO43" s="28" t="str">
        <f t="shared" ca="1" si="43"/>
        <v>0_0</v>
      </c>
      <c r="AP43" s="28" t="str">
        <f t="shared" si="4"/>
        <v>A42</v>
      </c>
      <c r="AQ43" s="28">
        <f t="shared" ca="1" si="44"/>
        <v>0</v>
      </c>
      <c r="AR43" s="28">
        <f t="shared" ca="1" si="5"/>
        <v>0</v>
      </c>
      <c r="AS43" s="28">
        <f t="shared" ca="1" si="45"/>
        <v>0</v>
      </c>
      <c r="AT43" s="28">
        <f t="shared" ca="1" si="46"/>
        <v>0</v>
      </c>
      <c r="AU43" s="28">
        <f t="shared" ca="1" si="47"/>
        <v>0</v>
      </c>
      <c r="AV43" s="28">
        <f t="shared" ca="1" si="6"/>
        <v>0</v>
      </c>
      <c r="AW43" s="28">
        <f t="shared" ca="1" si="48"/>
        <v>0</v>
      </c>
      <c r="AX43" s="28">
        <f t="shared" ca="1" si="7"/>
        <v>0</v>
      </c>
      <c r="AY43" s="28">
        <f t="shared" ca="1" si="8"/>
        <v>0</v>
      </c>
      <c r="AZ43" s="28">
        <f t="shared" ca="1" si="9"/>
        <v>0</v>
      </c>
      <c r="BA43" s="28">
        <f t="shared" ca="1" si="10"/>
        <v>0</v>
      </c>
      <c r="BB43" s="28">
        <f ca="1">IF(C43="x",COUNTIF(BB$2:BB42,"&gt;0")+1,0)</f>
        <v>0</v>
      </c>
      <c r="BC43" s="1255"/>
    </row>
    <row r="44" spans="1:55" ht="14.4">
      <c r="A44" s="1171" t="str">
        <f t="shared" si="11"/>
        <v>A43</v>
      </c>
      <c r="B44" s="1256" t="str">
        <f t="shared" ca="1" si="12"/>
        <v/>
      </c>
      <c r="C44" s="1256" t="str">
        <f t="shared" ca="1" si="13"/>
        <v/>
      </c>
      <c r="D44" s="1256" t="str">
        <f t="shared" ca="1" si="49"/>
        <v/>
      </c>
      <c r="E44" s="1256" t="str">
        <f t="shared" ca="1" si="14"/>
        <v/>
      </c>
      <c r="F44" s="1265">
        <v>43</v>
      </c>
      <c r="G44" s="1257">
        <f t="shared" ca="1" si="15"/>
        <v>0</v>
      </c>
      <c r="H44" s="1257">
        <f t="shared" ca="1" si="16"/>
        <v>0</v>
      </c>
      <c r="I44" s="1257" t="str">
        <f t="shared" ca="1" si="17"/>
        <v>-</v>
      </c>
      <c r="J44" s="1258">
        <f t="shared" ca="1" si="18"/>
        <v>0</v>
      </c>
      <c r="K44" s="1257" t="str">
        <f t="shared" ca="1" si="19"/>
        <v>-</v>
      </c>
      <c r="L44" s="1258">
        <f t="shared" ca="1" si="20"/>
        <v>0</v>
      </c>
      <c r="M44" s="1257" t="str">
        <f t="shared" ca="1" si="21"/>
        <v>-</v>
      </c>
      <c r="N44" s="1258">
        <f t="shared" ca="1" si="22"/>
        <v>0</v>
      </c>
      <c r="O44" s="1257">
        <f t="shared" ca="1" si="23"/>
        <v>0</v>
      </c>
      <c r="P44" s="1257">
        <f t="shared" ca="1" si="24"/>
        <v>0</v>
      </c>
      <c r="Q44" s="1257">
        <f t="shared" ca="1" si="25"/>
        <v>0</v>
      </c>
      <c r="R44" s="1257">
        <f t="shared" ca="1" si="26"/>
        <v>0</v>
      </c>
      <c r="S44" s="1257">
        <f t="shared" ca="1" si="27"/>
        <v>0</v>
      </c>
      <c r="T44" s="1257">
        <f t="shared" ca="1" si="28"/>
        <v>0</v>
      </c>
      <c r="U44" s="1257">
        <f t="shared" ca="1" si="29"/>
        <v>0</v>
      </c>
      <c r="V44" s="1257">
        <f t="shared" ca="1" si="0"/>
        <v>0</v>
      </c>
      <c r="W44" s="1257">
        <f t="shared" ca="1" si="30"/>
        <v>0</v>
      </c>
      <c r="X44" s="1257">
        <f t="shared" ca="1" si="31"/>
        <v>0</v>
      </c>
      <c r="Y44" s="1259">
        <f t="shared" ca="1" si="32"/>
        <v>0</v>
      </c>
      <c r="Z44" s="1259">
        <f t="shared" ca="1" si="33"/>
        <v>0</v>
      </c>
      <c r="AA44" s="1257">
        <f t="shared" ca="1" si="34"/>
        <v>0</v>
      </c>
      <c r="AB44" s="1260">
        <f t="shared" ca="1" si="35"/>
        <v>0</v>
      </c>
      <c r="AC44" s="1260">
        <f t="shared" ca="1" si="36"/>
        <v>0</v>
      </c>
      <c r="AD44" s="1261">
        <f t="shared" ca="1" si="37"/>
        <v>0</v>
      </c>
      <c r="AE44" s="1262">
        <f t="shared" ca="1" si="38"/>
        <v>0</v>
      </c>
      <c r="AF44" s="1257">
        <f t="shared" ca="1" si="39"/>
        <v>0</v>
      </c>
      <c r="AG44" s="1263">
        <f ca="1">(IF(ISNA(VLOOKUP($I44,'Suivi objectifs'!$D$1:$H$38,3,0)),0,VLOOKUP($I44,'Suivi objectifs'!$D$1:$H$38,3,0))*$J44+IF(ISNA(VLOOKUP($K44,'Suivi objectifs'!$D$1:$H$38,3,0)),0,VLOOKUP($K44,'Suivi objectifs'!$D$1:$H$38,3,0))*$L44+IF(ISNA(VLOOKUP($M44,'Suivi objectifs'!$D$1:$H$38,3,0)),0,VLOOKUP($M44,'Suivi objectifs'!$D$1:$H$38,3,0))*$N44)*1000</f>
        <v>0</v>
      </c>
      <c r="AH44" s="1263">
        <f ca="1">(IF(ISNA(VLOOKUP($I44,'Suivi objectifs'!$D$1:$H$38,4,0)),0,VLOOKUP($I44,'Suivi objectifs'!$D$1:$H$38,4,0))*$J44+IF(ISNA(VLOOKUP($K44,'Suivi objectifs'!$D$1:$H$38,3,0)),0,VLOOKUP($K44,'Suivi objectifs'!$D$1:$H$38,4,0))*$L44+IF(ISNA(VLOOKUP($M44,'Suivi objectifs'!$D$1:$H$38,4,0)),0,VLOOKUP($M44,'Suivi objectifs'!$D$1:$H$38,4,0))*$N44)*1000</f>
        <v>0</v>
      </c>
      <c r="AI44" s="1263">
        <f ca="1">(IF(ISNA(VLOOKUP($I44,'Suivi objectifs'!$D$1:$I$38,6,0)),0,VLOOKUP($I44,'Suivi objectifs'!$D$1:$I$38,6,0))*$J44+IF(ISNA(VLOOKUP($K44,'Suivi objectifs'!$D$1:$I$38,6,0)),0,VLOOKUP($K44,'Suivi objectifs'!$D$1:$I$38,6,0))*$L44+IF(ISNA(VLOOKUP($M44,'Suivi objectifs'!$D$1:$I$38,6,0)),0,VLOOKUP($M44,'Suivi objectifs'!$D$1:$I$38,6,0))*$N44)</f>
        <v>0</v>
      </c>
      <c r="AJ44" s="1837">
        <f t="shared" ca="1" si="40"/>
        <v>0</v>
      </c>
      <c r="AK44" s="1264" t="str">
        <f t="shared" ca="1" si="1"/>
        <v/>
      </c>
      <c r="AL44" s="854" t="str">
        <f t="shared" ca="1" si="2"/>
        <v/>
      </c>
      <c r="AM44" s="1171" t="str">
        <f t="shared" ca="1" si="41"/>
        <v>Autre</v>
      </c>
      <c r="AN44" s="28">
        <f t="shared" ca="1" si="42"/>
        <v>0</v>
      </c>
      <c r="AO44" s="28" t="str">
        <f t="shared" ca="1" si="43"/>
        <v>0_0</v>
      </c>
      <c r="AP44" s="28" t="str">
        <f t="shared" si="4"/>
        <v>A43</v>
      </c>
      <c r="AQ44" s="28">
        <f t="shared" ca="1" si="44"/>
        <v>0</v>
      </c>
      <c r="AR44" s="28">
        <f t="shared" ca="1" si="5"/>
        <v>0</v>
      </c>
      <c r="AS44" s="28">
        <f t="shared" ca="1" si="45"/>
        <v>0</v>
      </c>
      <c r="AT44" s="28">
        <f t="shared" ca="1" si="46"/>
        <v>0</v>
      </c>
      <c r="AU44" s="28">
        <f t="shared" ca="1" si="47"/>
        <v>0</v>
      </c>
      <c r="AV44" s="28">
        <f t="shared" ca="1" si="6"/>
        <v>0</v>
      </c>
      <c r="AW44" s="28">
        <f t="shared" ca="1" si="48"/>
        <v>0</v>
      </c>
      <c r="AX44" s="28">
        <f t="shared" ca="1" si="7"/>
        <v>0</v>
      </c>
      <c r="AY44" s="28">
        <f t="shared" ca="1" si="8"/>
        <v>0</v>
      </c>
      <c r="AZ44" s="28">
        <f t="shared" ca="1" si="9"/>
        <v>0</v>
      </c>
      <c r="BA44" s="28">
        <f t="shared" ca="1" si="10"/>
        <v>0</v>
      </c>
      <c r="BB44" s="28">
        <f ca="1">IF(C44="x",COUNTIF(BB$2:BB43,"&gt;0")+1,0)</f>
        <v>0</v>
      </c>
      <c r="BC44" s="1255"/>
    </row>
    <row r="45" spans="1:55" ht="14.4">
      <c r="A45" s="1171" t="str">
        <f t="shared" si="11"/>
        <v>A44</v>
      </c>
      <c r="B45" s="1256" t="str">
        <f t="shared" ca="1" si="12"/>
        <v/>
      </c>
      <c r="C45" s="1256" t="str">
        <f t="shared" ca="1" si="13"/>
        <v/>
      </c>
      <c r="D45" s="1256" t="str">
        <f t="shared" ca="1" si="49"/>
        <v/>
      </c>
      <c r="E45" s="1256" t="str">
        <f t="shared" ca="1" si="14"/>
        <v/>
      </c>
      <c r="F45" s="1265">
        <v>44</v>
      </c>
      <c r="G45" s="1257">
        <f t="shared" ca="1" si="15"/>
        <v>0</v>
      </c>
      <c r="H45" s="1257">
        <f t="shared" ca="1" si="16"/>
        <v>0</v>
      </c>
      <c r="I45" s="1257" t="str">
        <f t="shared" ca="1" si="17"/>
        <v>-</v>
      </c>
      <c r="J45" s="1258">
        <f t="shared" ca="1" si="18"/>
        <v>0</v>
      </c>
      <c r="K45" s="1257" t="str">
        <f t="shared" ca="1" si="19"/>
        <v>-</v>
      </c>
      <c r="L45" s="1258">
        <f t="shared" ca="1" si="20"/>
        <v>0</v>
      </c>
      <c r="M45" s="1257" t="str">
        <f t="shared" ca="1" si="21"/>
        <v>-</v>
      </c>
      <c r="N45" s="1258">
        <f t="shared" ca="1" si="22"/>
        <v>0</v>
      </c>
      <c r="O45" s="1257">
        <f t="shared" ca="1" si="23"/>
        <v>0</v>
      </c>
      <c r="P45" s="1257">
        <f t="shared" ca="1" si="24"/>
        <v>0</v>
      </c>
      <c r="Q45" s="1257">
        <f t="shared" ca="1" si="25"/>
        <v>0</v>
      </c>
      <c r="R45" s="1257">
        <f t="shared" ca="1" si="26"/>
        <v>0</v>
      </c>
      <c r="S45" s="1257">
        <f t="shared" ca="1" si="27"/>
        <v>0</v>
      </c>
      <c r="T45" s="1257">
        <f t="shared" ca="1" si="28"/>
        <v>0</v>
      </c>
      <c r="U45" s="1257">
        <f t="shared" ca="1" si="29"/>
        <v>0</v>
      </c>
      <c r="V45" s="1257">
        <f t="shared" ca="1" si="0"/>
        <v>0</v>
      </c>
      <c r="W45" s="1257">
        <f t="shared" ca="1" si="30"/>
        <v>0</v>
      </c>
      <c r="X45" s="1257">
        <f t="shared" ca="1" si="31"/>
        <v>0</v>
      </c>
      <c r="Y45" s="1259">
        <f t="shared" ca="1" si="32"/>
        <v>0</v>
      </c>
      <c r="Z45" s="1259">
        <f t="shared" ca="1" si="33"/>
        <v>0</v>
      </c>
      <c r="AA45" s="1257">
        <f t="shared" ca="1" si="34"/>
        <v>0</v>
      </c>
      <c r="AB45" s="1260">
        <f t="shared" ca="1" si="35"/>
        <v>0</v>
      </c>
      <c r="AC45" s="1260">
        <f t="shared" ca="1" si="36"/>
        <v>0</v>
      </c>
      <c r="AD45" s="1261">
        <f t="shared" ca="1" si="37"/>
        <v>0</v>
      </c>
      <c r="AE45" s="1262">
        <f t="shared" ca="1" si="38"/>
        <v>0</v>
      </c>
      <c r="AF45" s="1257">
        <f t="shared" ca="1" si="39"/>
        <v>0</v>
      </c>
      <c r="AG45" s="1263">
        <f ca="1">(IF(ISNA(VLOOKUP($I45,'Suivi objectifs'!$D$1:$H$38,3,0)),0,VLOOKUP($I45,'Suivi objectifs'!$D$1:$H$38,3,0))*$J45+IF(ISNA(VLOOKUP($K45,'Suivi objectifs'!$D$1:$H$38,3,0)),0,VLOOKUP($K45,'Suivi objectifs'!$D$1:$H$38,3,0))*$L45+IF(ISNA(VLOOKUP($M45,'Suivi objectifs'!$D$1:$H$38,3,0)),0,VLOOKUP($M45,'Suivi objectifs'!$D$1:$H$38,3,0))*$N45)*1000</f>
        <v>0</v>
      </c>
      <c r="AH45" s="1263">
        <f ca="1">(IF(ISNA(VLOOKUP($I45,'Suivi objectifs'!$D$1:$H$38,4,0)),0,VLOOKUP($I45,'Suivi objectifs'!$D$1:$H$38,4,0))*$J45+IF(ISNA(VLOOKUP($K45,'Suivi objectifs'!$D$1:$H$38,3,0)),0,VLOOKUP($K45,'Suivi objectifs'!$D$1:$H$38,4,0))*$L45+IF(ISNA(VLOOKUP($M45,'Suivi objectifs'!$D$1:$H$38,4,0)),0,VLOOKUP($M45,'Suivi objectifs'!$D$1:$H$38,4,0))*$N45)*1000</f>
        <v>0</v>
      </c>
      <c r="AI45" s="1263">
        <f ca="1">(IF(ISNA(VLOOKUP($I45,'Suivi objectifs'!$D$1:$I$38,6,0)),0,VLOOKUP($I45,'Suivi objectifs'!$D$1:$I$38,6,0))*$J45+IF(ISNA(VLOOKUP($K45,'Suivi objectifs'!$D$1:$I$38,6,0)),0,VLOOKUP($K45,'Suivi objectifs'!$D$1:$I$38,6,0))*$L45+IF(ISNA(VLOOKUP($M45,'Suivi objectifs'!$D$1:$I$38,6,0)),0,VLOOKUP($M45,'Suivi objectifs'!$D$1:$I$38,6,0))*$N45)</f>
        <v>0</v>
      </c>
      <c r="AJ45" s="1837">
        <f t="shared" ca="1" si="40"/>
        <v>0</v>
      </c>
      <c r="AK45" s="1264" t="str">
        <f t="shared" ca="1" si="1"/>
        <v/>
      </c>
      <c r="AL45" s="854" t="str">
        <f t="shared" ca="1" si="2"/>
        <v/>
      </c>
      <c r="AM45" s="1171" t="str">
        <f t="shared" ca="1" si="41"/>
        <v>Autre</v>
      </c>
      <c r="AN45" s="28">
        <f t="shared" ca="1" si="42"/>
        <v>0</v>
      </c>
      <c r="AO45" s="28" t="str">
        <f t="shared" ca="1" si="43"/>
        <v>0_0</v>
      </c>
      <c r="AP45" s="28" t="str">
        <f t="shared" si="4"/>
        <v>A44</v>
      </c>
      <c r="AQ45" s="28">
        <f t="shared" ca="1" si="44"/>
        <v>0</v>
      </c>
      <c r="AR45" s="28">
        <f t="shared" ca="1" si="5"/>
        <v>0</v>
      </c>
      <c r="AS45" s="28">
        <f t="shared" ca="1" si="45"/>
        <v>0</v>
      </c>
      <c r="AT45" s="28">
        <f t="shared" ca="1" si="46"/>
        <v>0</v>
      </c>
      <c r="AU45" s="28">
        <f t="shared" ca="1" si="47"/>
        <v>0</v>
      </c>
      <c r="AV45" s="28">
        <f t="shared" ca="1" si="6"/>
        <v>0</v>
      </c>
      <c r="AW45" s="28">
        <f t="shared" ca="1" si="48"/>
        <v>0</v>
      </c>
      <c r="AX45" s="28">
        <f t="shared" ca="1" si="7"/>
        <v>0</v>
      </c>
      <c r="AY45" s="28">
        <f t="shared" ca="1" si="8"/>
        <v>0</v>
      </c>
      <c r="AZ45" s="28">
        <f t="shared" ca="1" si="9"/>
        <v>0</v>
      </c>
      <c r="BA45" s="28">
        <f t="shared" ca="1" si="10"/>
        <v>0</v>
      </c>
      <c r="BB45" s="28">
        <f ca="1">IF(C45="x",COUNTIF(BB$2:BB44,"&gt;0")+1,0)</f>
        <v>0</v>
      </c>
      <c r="BC45" s="1255"/>
    </row>
    <row r="46" spans="1:55" ht="14.4">
      <c r="A46" s="1171" t="str">
        <f t="shared" si="11"/>
        <v>A45</v>
      </c>
      <c r="B46" s="1256" t="str">
        <f t="shared" ca="1" si="12"/>
        <v/>
      </c>
      <c r="C46" s="1256" t="str">
        <f t="shared" ca="1" si="13"/>
        <v/>
      </c>
      <c r="D46" s="1256" t="str">
        <f t="shared" ca="1" si="49"/>
        <v/>
      </c>
      <c r="E46" s="1256" t="str">
        <f t="shared" ca="1" si="14"/>
        <v/>
      </c>
      <c r="F46" s="1265">
        <v>45</v>
      </c>
      <c r="G46" s="1257">
        <f t="shared" ca="1" si="15"/>
        <v>0</v>
      </c>
      <c r="H46" s="1257">
        <f t="shared" ca="1" si="16"/>
        <v>0</v>
      </c>
      <c r="I46" s="1257" t="str">
        <f t="shared" ca="1" si="17"/>
        <v>-</v>
      </c>
      <c r="J46" s="1258">
        <f t="shared" ca="1" si="18"/>
        <v>0</v>
      </c>
      <c r="K46" s="1257" t="str">
        <f t="shared" ca="1" si="19"/>
        <v>-</v>
      </c>
      <c r="L46" s="1258">
        <f t="shared" ca="1" si="20"/>
        <v>0</v>
      </c>
      <c r="M46" s="1257" t="str">
        <f t="shared" ca="1" si="21"/>
        <v>-</v>
      </c>
      <c r="N46" s="1258">
        <f t="shared" ca="1" si="22"/>
        <v>0</v>
      </c>
      <c r="O46" s="1257">
        <f t="shared" ca="1" si="23"/>
        <v>0</v>
      </c>
      <c r="P46" s="1257">
        <f t="shared" ca="1" si="24"/>
        <v>0</v>
      </c>
      <c r="Q46" s="1257">
        <f t="shared" ca="1" si="25"/>
        <v>0</v>
      </c>
      <c r="R46" s="1257">
        <f t="shared" ca="1" si="26"/>
        <v>0</v>
      </c>
      <c r="S46" s="1257">
        <f t="shared" ca="1" si="27"/>
        <v>0</v>
      </c>
      <c r="T46" s="1257">
        <f t="shared" ca="1" si="28"/>
        <v>0</v>
      </c>
      <c r="U46" s="1257">
        <f t="shared" ca="1" si="29"/>
        <v>0</v>
      </c>
      <c r="V46" s="1257">
        <f t="shared" ca="1" si="0"/>
        <v>0</v>
      </c>
      <c r="W46" s="1257">
        <f t="shared" ca="1" si="30"/>
        <v>0</v>
      </c>
      <c r="X46" s="1257">
        <f t="shared" ca="1" si="31"/>
        <v>0</v>
      </c>
      <c r="Y46" s="1259">
        <f t="shared" ca="1" si="32"/>
        <v>0</v>
      </c>
      <c r="Z46" s="1259">
        <f t="shared" ca="1" si="33"/>
        <v>0</v>
      </c>
      <c r="AA46" s="1257">
        <f t="shared" ca="1" si="34"/>
        <v>0</v>
      </c>
      <c r="AB46" s="1260">
        <f t="shared" ca="1" si="35"/>
        <v>0</v>
      </c>
      <c r="AC46" s="1260">
        <f t="shared" ca="1" si="36"/>
        <v>0</v>
      </c>
      <c r="AD46" s="1261">
        <f t="shared" ca="1" si="37"/>
        <v>0</v>
      </c>
      <c r="AE46" s="1262">
        <f t="shared" ca="1" si="38"/>
        <v>0</v>
      </c>
      <c r="AF46" s="1257">
        <f t="shared" ca="1" si="39"/>
        <v>0</v>
      </c>
      <c r="AG46" s="1263">
        <f ca="1">(IF(ISNA(VLOOKUP($I46,'Suivi objectifs'!$D$1:$H$38,3,0)),0,VLOOKUP($I46,'Suivi objectifs'!$D$1:$H$38,3,0))*$J46+IF(ISNA(VLOOKUP($K46,'Suivi objectifs'!$D$1:$H$38,3,0)),0,VLOOKUP($K46,'Suivi objectifs'!$D$1:$H$38,3,0))*$L46+IF(ISNA(VLOOKUP($M46,'Suivi objectifs'!$D$1:$H$38,3,0)),0,VLOOKUP($M46,'Suivi objectifs'!$D$1:$H$38,3,0))*$N46)*1000</f>
        <v>0</v>
      </c>
      <c r="AH46" s="1263">
        <f ca="1">(IF(ISNA(VLOOKUP($I46,'Suivi objectifs'!$D$1:$H$38,4,0)),0,VLOOKUP($I46,'Suivi objectifs'!$D$1:$H$38,4,0))*$J46+IF(ISNA(VLOOKUP($K46,'Suivi objectifs'!$D$1:$H$38,3,0)),0,VLOOKUP($K46,'Suivi objectifs'!$D$1:$H$38,4,0))*$L46+IF(ISNA(VLOOKUP($M46,'Suivi objectifs'!$D$1:$H$38,4,0)),0,VLOOKUP($M46,'Suivi objectifs'!$D$1:$H$38,4,0))*$N46)*1000</f>
        <v>0</v>
      </c>
      <c r="AI46" s="1263">
        <f ca="1">(IF(ISNA(VLOOKUP($I46,'Suivi objectifs'!$D$1:$I$38,6,0)),0,VLOOKUP($I46,'Suivi objectifs'!$D$1:$I$38,6,0))*$J46+IF(ISNA(VLOOKUP($K46,'Suivi objectifs'!$D$1:$I$38,6,0)),0,VLOOKUP($K46,'Suivi objectifs'!$D$1:$I$38,6,0))*$L46+IF(ISNA(VLOOKUP($M46,'Suivi objectifs'!$D$1:$I$38,6,0)),0,VLOOKUP($M46,'Suivi objectifs'!$D$1:$I$38,6,0))*$N46)</f>
        <v>0</v>
      </c>
      <c r="AJ46" s="1837">
        <f t="shared" ca="1" si="40"/>
        <v>0</v>
      </c>
      <c r="AK46" s="1264" t="str">
        <f t="shared" ca="1" si="1"/>
        <v/>
      </c>
      <c r="AL46" s="854" t="str">
        <f t="shared" ca="1" si="2"/>
        <v/>
      </c>
      <c r="AM46" s="1171" t="str">
        <f t="shared" ca="1" si="41"/>
        <v>Autre</v>
      </c>
      <c r="AN46" s="28">
        <f t="shared" ca="1" si="42"/>
        <v>0</v>
      </c>
      <c r="AO46" s="28" t="str">
        <f t="shared" ca="1" si="43"/>
        <v>0_0</v>
      </c>
      <c r="AP46" s="28" t="str">
        <f t="shared" si="4"/>
        <v>A45</v>
      </c>
      <c r="AQ46" s="28">
        <f t="shared" ca="1" si="44"/>
        <v>0</v>
      </c>
      <c r="AR46" s="28">
        <f t="shared" ca="1" si="5"/>
        <v>0</v>
      </c>
      <c r="AS46" s="28">
        <f t="shared" ca="1" si="45"/>
        <v>0</v>
      </c>
      <c r="AT46" s="28">
        <f t="shared" ca="1" si="46"/>
        <v>0</v>
      </c>
      <c r="AU46" s="28">
        <f t="shared" ca="1" si="47"/>
        <v>0</v>
      </c>
      <c r="AV46" s="28">
        <f t="shared" ca="1" si="6"/>
        <v>0</v>
      </c>
      <c r="AW46" s="28">
        <f t="shared" ca="1" si="48"/>
        <v>0</v>
      </c>
      <c r="AX46" s="28">
        <f t="shared" ca="1" si="7"/>
        <v>0</v>
      </c>
      <c r="AY46" s="28">
        <f t="shared" ca="1" si="8"/>
        <v>0</v>
      </c>
      <c r="AZ46" s="28">
        <f t="shared" ca="1" si="9"/>
        <v>0</v>
      </c>
      <c r="BA46" s="28">
        <f t="shared" ca="1" si="10"/>
        <v>0</v>
      </c>
      <c r="BB46" s="28">
        <f ca="1">IF(C46="x",COUNTIF(BB$2:BB45,"&gt;0")+1,0)</f>
        <v>0</v>
      </c>
      <c r="BC46" s="1255"/>
    </row>
    <row r="47" spans="1:55" ht="14.4">
      <c r="A47" s="1171"/>
      <c r="B47" s="1014"/>
      <c r="C47" s="1014"/>
      <c r="D47" s="1014" t="str">
        <f>IF(G47=0,"","Atténuation")</f>
        <v/>
      </c>
      <c r="E47" s="1014"/>
      <c r="F47" s="1014">
        <v>46</v>
      </c>
      <c r="G47" s="1266">
        <f>'Actions bâtiments communaux'!B4</f>
        <v>0</v>
      </c>
      <c r="H47" s="1266">
        <f>IF(G47=0,,Categories!$Z$5)</f>
        <v>0</v>
      </c>
      <c r="I47" s="1266">
        <f>Objectifs!$C$11</f>
        <v>0</v>
      </c>
      <c r="J47" s="1266" t="e">
        <f>'Actions bâtiments communaux'!N4/'Actions bâtiments communaux'!$N$28</f>
        <v>#DIV/0!</v>
      </c>
      <c r="K47" s="1266"/>
      <c r="L47" s="1266"/>
      <c r="M47" s="1266"/>
      <c r="N47" s="1266"/>
      <c r="O47" s="1266">
        <f>'Actions bâtiments communaux'!C4</f>
        <v>0</v>
      </c>
      <c r="P47" s="1266">
        <f>'Actions bâtiments communaux'!D4</f>
        <v>0</v>
      </c>
      <c r="Q47" s="1266"/>
      <c r="R47" s="1266"/>
      <c r="S47" s="1266"/>
      <c r="T47" s="1266"/>
      <c r="U47" s="1266"/>
      <c r="V47" s="1266" t="str">
        <f>Categories!$Q$11</f>
        <v>Commune</v>
      </c>
      <c r="W47" s="1266" t="s">
        <v>3</v>
      </c>
      <c r="X47" s="1266" t="s">
        <v>1097</v>
      </c>
      <c r="Y47" s="1267">
        <f>Z47</f>
        <v>0</v>
      </c>
      <c r="Z47" s="1267">
        <f>'Actions bâtiments communaux'!P4</f>
        <v>0</v>
      </c>
      <c r="AA47" s="1266">
        <f>'Actions bâtiments communaux'!O4</f>
        <v>0</v>
      </c>
      <c r="AB47" s="1268">
        <f>IF(Actions!AA47="Finalisée",'Actions bâtiments communaux'!F4,0)</f>
        <v>0</v>
      </c>
      <c r="AC47" s="1268">
        <f>'Actions bâtiments communaux'!F4</f>
        <v>0</v>
      </c>
      <c r="AD47" s="1269" t="s">
        <v>1098</v>
      </c>
      <c r="AE47" s="1268">
        <f>'Actions bâtiments communaux'!G4</f>
        <v>0</v>
      </c>
      <c r="AF47" s="1266">
        <f>'Actions bâtiments communaux'!I4</f>
        <v>0</v>
      </c>
      <c r="AG47" s="1270">
        <f>'Actions bâtiments communaux'!J4/1000</f>
        <v>0</v>
      </c>
      <c r="AH47" s="1271"/>
      <c r="AI47" s="1272">
        <f>'Actions bâtiments communaux'!N4</f>
        <v>0</v>
      </c>
      <c r="AJ47" s="1838">
        <f>'Actions bâtiments communaux'!K4</f>
        <v>0</v>
      </c>
      <c r="AK47" s="1271" t="s">
        <v>1099</v>
      </c>
      <c r="AL47" s="1271"/>
      <c r="AM47" s="1171" t="str">
        <f t="shared" ref="AM47:AM70" si="50">IF(V47="Commune",V47,"Autre")</f>
        <v>Commune</v>
      </c>
      <c r="AN47" s="28"/>
      <c r="AO47" s="28"/>
      <c r="AP47" s="28" t="s">
        <v>1100</v>
      </c>
      <c r="AQ47" s="28"/>
      <c r="AR47" s="28">
        <f ca="1">IF(ISERROR(INDIRECT("'"&amp;#REF!&amp;"'!b$7")),0,IF(AND(I47&lt;&gt;0,INDIRECT("'"&amp;#REF!&amp;"'!b$7")=0),1,0)+IF(AND(K47&lt;&gt;0,INDIRECT("'"&amp;#REF!&amp;"'!c$7")=0),1,0)+IF(AND(M47&lt;&gt;0,INDIRECT("'"&amp;#REF!&amp;"'!b$7")=0),1,0))</f>
        <v>0</v>
      </c>
      <c r="AS47" s="28">
        <f t="shared" ref="AS47:AS67" ca="1" si="51">IF(AR47&lt;&gt;0,1,0)</f>
        <v>0</v>
      </c>
      <c r="AU47" s="28"/>
      <c r="AV47" s="28">
        <v>1</v>
      </c>
      <c r="AW47" s="28">
        <f t="shared" ref="AW47:AW66" si="52">IF(AC47=0,0,AE47/AC47)</f>
        <v>0</v>
      </c>
      <c r="AX47" s="28">
        <f ca="1">IF(ISERROR(INDIRECT("'"&amp;#REF!&amp;"'!e$2")),0,INDIRECT("'"&amp;#REF!&amp;"'!e$2"))</f>
        <v>0</v>
      </c>
      <c r="AY47" s="28"/>
      <c r="AZ47" s="28"/>
      <c r="BA47" s="28"/>
      <c r="BB47" s="28"/>
      <c r="BC47" s="1255"/>
    </row>
    <row r="48" spans="1:55" ht="14.4">
      <c r="A48" s="1171"/>
      <c r="B48" s="1014"/>
      <c r="C48" s="1014"/>
      <c r="D48" s="1014" t="str">
        <f t="shared" ref="D48:D70" si="53">IF(G48=0,"","Atténuation")</f>
        <v/>
      </c>
      <c r="E48" s="1014"/>
      <c r="F48" s="1014">
        <v>47</v>
      </c>
      <c r="G48" s="1266">
        <f>'Actions bâtiments communaux'!B5</f>
        <v>0</v>
      </c>
      <c r="H48" s="1266">
        <f>IF(G48=0,,Categories!$Z$5)</f>
        <v>0</v>
      </c>
      <c r="I48" s="1266">
        <f>Objectifs!$C$11</f>
        <v>0</v>
      </c>
      <c r="J48" s="1266" t="e">
        <f>'Actions bâtiments communaux'!N5/'Actions bâtiments communaux'!$N$28</f>
        <v>#DIV/0!</v>
      </c>
      <c r="K48" s="1266"/>
      <c r="L48" s="1266"/>
      <c r="M48" s="1266"/>
      <c r="N48" s="1266"/>
      <c r="O48" s="1266">
        <f>'Actions bâtiments communaux'!C5</f>
        <v>0</v>
      </c>
      <c r="P48" s="1266">
        <f>'Actions bâtiments communaux'!D5</f>
        <v>0</v>
      </c>
      <c r="Q48" s="1266"/>
      <c r="R48" s="1266"/>
      <c r="S48" s="1266"/>
      <c r="T48" s="1266"/>
      <c r="U48" s="1266"/>
      <c r="V48" s="1266" t="str">
        <f>Categories!$Q$11</f>
        <v>Commune</v>
      </c>
      <c r="W48" s="1266" t="s">
        <v>3</v>
      </c>
      <c r="X48" s="1266" t="s">
        <v>1097</v>
      </c>
      <c r="Y48" s="1267">
        <f t="shared" ref="Y48:Y70" si="54">Z48</f>
        <v>0</v>
      </c>
      <c r="Z48" s="1267">
        <f>'Actions bâtiments communaux'!P5</f>
        <v>0</v>
      </c>
      <c r="AA48" s="1266">
        <f>'Actions bâtiments communaux'!O5</f>
        <v>0</v>
      </c>
      <c r="AB48" s="1268">
        <f>IF(Actions!AA48="Finalisée",'Actions bâtiments communaux'!F5,0)</f>
        <v>0</v>
      </c>
      <c r="AC48" s="1268">
        <f>'Actions bâtiments communaux'!F5</f>
        <v>0</v>
      </c>
      <c r="AD48" s="1269" t="s">
        <v>1098</v>
      </c>
      <c r="AE48" s="1268">
        <f>'Actions bâtiments communaux'!G5</f>
        <v>0</v>
      </c>
      <c r="AF48" s="1266">
        <f>'Actions bâtiments communaux'!I5</f>
        <v>0</v>
      </c>
      <c r="AG48" s="1270">
        <f>'Actions bâtiments communaux'!J5/1000</f>
        <v>0</v>
      </c>
      <c r="AH48" s="1271"/>
      <c r="AI48" s="1272">
        <f>'Actions bâtiments communaux'!N5</f>
        <v>0</v>
      </c>
      <c r="AJ48" s="1838">
        <f>'Actions bâtiments communaux'!K5</f>
        <v>0</v>
      </c>
      <c r="AK48" s="1271" t="s">
        <v>1099</v>
      </c>
      <c r="AL48" s="1271"/>
      <c r="AM48" s="1171" t="str">
        <f t="shared" si="50"/>
        <v>Commune</v>
      </c>
      <c r="AN48" s="28"/>
      <c r="AO48" s="28"/>
      <c r="AP48" s="28" t="s">
        <v>1101</v>
      </c>
      <c r="AQ48" s="28"/>
      <c r="AR48" s="28">
        <f ca="1">IF(ISERROR(INDIRECT("'"&amp;#REF!&amp;"'!b$7")),0,IF(AND(I48&lt;&gt;0,INDIRECT("'"&amp;#REF!&amp;"'!b$7")=0),1,0)+IF(AND(K48&lt;&gt;0,INDIRECT("'"&amp;#REF!&amp;"'!c$7")=0),1,0)+IF(AND(M48&lt;&gt;0,INDIRECT("'"&amp;#REF!&amp;"'!b$7")=0),1,0))</f>
        <v>0</v>
      </c>
      <c r="AS48" s="28">
        <f t="shared" ca="1" si="51"/>
        <v>0</v>
      </c>
      <c r="AU48" s="28"/>
      <c r="AV48" s="28">
        <v>1</v>
      </c>
      <c r="AW48" s="28">
        <f t="shared" si="52"/>
        <v>0</v>
      </c>
      <c r="AX48" s="28">
        <f ca="1">IF(ISERROR(INDIRECT("'"&amp;#REF!&amp;"'!e$2")),0,INDIRECT("'"&amp;#REF!&amp;"'!e$2"))</f>
        <v>0</v>
      </c>
      <c r="AY48" s="28"/>
      <c r="AZ48" s="28"/>
      <c r="BA48" s="28"/>
      <c r="BB48" s="28"/>
      <c r="BC48" s="1255"/>
    </row>
    <row r="49" spans="2:55" ht="14.4">
      <c r="B49" s="1014"/>
      <c r="C49" s="1014"/>
      <c r="D49" s="1014" t="str">
        <f t="shared" si="53"/>
        <v/>
      </c>
      <c r="E49" s="1014"/>
      <c r="F49" s="1014">
        <v>48</v>
      </c>
      <c r="G49" s="1266">
        <f>'Actions bâtiments communaux'!B6</f>
        <v>0</v>
      </c>
      <c r="H49" s="1266">
        <f>IF(G49=0,,Categories!$Z$5)</f>
        <v>0</v>
      </c>
      <c r="I49" s="1266">
        <f>Objectifs!$C$11</f>
        <v>0</v>
      </c>
      <c r="J49" s="1266" t="e">
        <f>'Actions bâtiments communaux'!N6/'Actions bâtiments communaux'!$N$28</f>
        <v>#DIV/0!</v>
      </c>
      <c r="K49" s="1266"/>
      <c r="L49" s="1266"/>
      <c r="M49" s="1266"/>
      <c r="N49" s="1266"/>
      <c r="O49" s="1266">
        <f>'Actions bâtiments communaux'!C6</f>
        <v>0</v>
      </c>
      <c r="P49" s="1266">
        <f>'Actions bâtiments communaux'!D6</f>
        <v>0</v>
      </c>
      <c r="Q49" s="1266"/>
      <c r="R49" s="1266"/>
      <c r="S49" s="1266"/>
      <c r="T49" s="1266"/>
      <c r="U49" s="1266"/>
      <c r="V49" s="1266" t="str">
        <f>Categories!$Q$11</f>
        <v>Commune</v>
      </c>
      <c r="W49" s="1266" t="s">
        <v>3</v>
      </c>
      <c r="X49" s="1266" t="s">
        <v>1097</v>
      </c>
      <c r="Y49" s="1267">
        <f t="shared" si="54"/>
        <v>0</v>
      </c>
      <c r="Z49" s="1267">
        <f>'Actions bâtiments communaux'!P6</f>
        <v>0</v>
      </c>
      <c r="AA49" s="1266">
        <f>'Actions bâtiments communaux'!O6</f>
        <v>0</v>
      </c>
      <c r="AB49" s="1268">
        <f>IF(Actions!AA49="Finalisée",'Actions bâtiments communaux'!F6,0)</f>
        <v>0</v>
      </c>
      <c r="AC49" s="1268">
        <f>'Actions bâtiments communaux'!F6</f>
        <v>0</v>
      </c>
      <c r="AD49" s="1269" t="s">
        <v>1098</v>
      </c>
      <c r="AE49" s="1268">
        <f>'Actions bâtiments communaux'!G6</f>
        <v>0</v>
      </c>
      <c r="AF49" s="1266">
        <f>'Actions bâtiments communaux'!I6</f>
        <v>0</v>
      </c>
      <c r="AG49" s="1270">
        <f>'Actions bâtiments communaux'!J6/1000</f>
        <v>0</v>
      </c>
      <c r="AH49" s="1271"/>
      <c r="AI49" s="1272">
        <f>'Actions bâtiments communaux'!N6</f>
        <v>0</v>
      </c>
      <c r="AJ49" s="1838">
        <f>'Actions bâtiments communaux'!K6</f>
        <v>0</v>
      </c>
      <c r="AK49" s="1271" t="s">
        <v>1099</v>
      </c>
      <c r="AL49" s="1271"/>
      <c r="AM49" s="1171" t="str">
        <f t="shared" si="50"/>
        <v>Commune</v>
      </c>
      <c r="AN49" s="28"/>
      <c r="AO49" s="28"/>
      <c r="AP49" s="28" t="s">
        <v>1102</v>
      </c>
      <c r="AQ49" s="28"/>
      <c r="AR49" s="28">
        <f ca="1">IF(ISERROR(INDIRECT("'"&amp;#REF!&amp;"'!b$7")),0,IF(AND(I49&lt;&gt;0,INDIRECT("'"&amp;#REF!&amp;"'!b$7")=0),1,0)+IF(AND(K49&lt;&gt;0,INDIRECT("'"&amp;#REF!&amp;"'!c$7")=0),1,0)+IF(AND(M49&lt;&gt;0,INDIRECT("'"&amp;#REF!&amp;"'!b$7")=0),1,0))</f>
        <v>0</v>
      </c>
      <c r="AS49" s="28">
        <f t="shared" ca="1" si="51"/>
        <v>0</v>
      </c>
      <c r="AU49" s="28"/>
      <c r="AV49" s="28">
        <v>1</v>
      </c>
      <c r="AW49" s="28">
        <f t="shared" si="52"/>
        <v>0</v>
      </c>
      <c r="AX49" s="28">
        <f ca="1">IF(ISERROR(INDIRECT("'"&amp;#REF!&amp;"'!e$2")),0,INDIRECT("'"&amp;#REF!&amp;"'!e$2"))</f>
        <v>0</v>
      </c>
      <c r="AY49" s="28"/>
      <c r="AZ49" s="28"/>
      <c r="BA49" s="28"/>
      <c r="BB49" s="28"/>
      <c r="BC49" s="1255"/>
    </row>
    <row r="50" spans="2:55" ht="14.4">
      <c r="B50" s="1014"/>
      <c r="C50" s="1014"/>
      <c r="D50" s="1014" t="str">
        <f t="shared" si="53"/>
        <v/>
      </c>
      <c r="E50" s="1014"/>
      <c r="F50" s="1014">
        <v>49</v>
      </c>
      <c r="G50" s="1266">
        <f>'Actions bâtiments communaux'!B7</f>
        <v>0</v>
      </c>
      <c r="H50" s="1266">
        <f>IF(G50=0,,Categories!$Z$5)</f>
        <v>0</v>
      </c>
      <c r="I50" s="1266">
        <f>Objectifs!$C$11</f>
        <v>0</v>
      </c>
      <c r="J50" s="1266" t="e">
        <f>'Actions bâtiments communaux'!N7/'Actions bâtiments communaux'!$N$28</f>
        <v>#DIV/0!</v>
      </c>
      <c r="K50" s="1266"/>
      <c r="L50" s="1266"/>
      <c r="M50" s="1266"/>
      <c r="N50" s="1266"/>
      <c r="O50" s="1266">
        <f>'Actions bâtiments communaux'!C7</f>
        <v>0</v>
      </c>
      <c r="P50" s="1266">
        <f>'Actions bâtiments communaux'!D7</f>
        <v>0</v>
      </c>
      <c r="Q50" s="1266"/>
      <c r="R50" s="1266"/>
      <c r="S50" s="1266"/>
      <c r="T50" s="1266"/>
      <c r="U50" s="1266"/>
      <c r="V50" s="1266" t="str">
        <f>Categories!$Q$11</f>
        <v>Commune</v>
      </c>
      <c r="W50" s="1266" t="s">
        <v>3</v>
      </c>
      <c r="X50" s="1266" t="s">
        <v>1097</v>
      </c>
      <c r="Y50" s="1267">
        <f t="shared" si="54"/>
        <v>0</v>
      </c>
      <c r="Z50" s="1267">
        <f>'Actions bâtiments communaux'!P7</f>
        <v>0</v>
      </c>
      <c r="AA50" s="1266">
        <f>'Actions bâtiments communaux'!O7</f>
        <v>0</v>
      </c>
      <c r="AB50" s="1268">
        <f>IF(Actions!AA50="Finalisée",'Actions bâtiments communaux'!F7,0)</f>
        <v>0</v>
      </c>
      <c r="AC50" s="1268">
        <f>'Actions bâtiments communaux'!F7</f>
        <v>0</v>
      </c>
      <c r="AD50" s="1269" t="s">
        <v>1098</v>
      </c>
      <c r="AE50" s="1268">
        <f>'Actions bâtiments communaux'!G7</f>
        <v>0</v>
      </c>
      <c r="AF50" s="1266">
        <f>'Actions bâtiments communaux'!I7</f>
        <v>0</v>
      </c>
      <c r="AG50" s="1270">
        <f>'Actions bâtiments communaux'!J7/1000</f>
        <v>0</v>
      </c>
      <c r="AH50" s="1271"/>
      <c r="AI50" s="1272">
        <f>'Actions bâtiments communaux'!N7</f>
        <v>0</v>
      </c>
      <c r="AJ50" s="1838">
        <f>'Actions bâtiments communaux'!K7</f>
        <v>0</v>
      </c>
      <c r="AK50" s="1271" t="s">
        <v>1099</v>
      </c>
      <c r="AL50" s="1271"/>
      <c r="AM50" s="1171" t="str">
        <f t="shared" si="50"/>
        <v>Commune</v>
      </c>
      <c r="AN50" s="28"/>
      <c r="AO50" s="28"/>
      <c r="AP50" s="28" t="s">
        <v>1103</v>
      </c>
      <c r="AQ50" s="28"/>
      <c r="AR50" s="28">
        <f ca="1">IF(ISERROR(INDIRECT("'"&amp;#REF!&amp;"'!b$7")),0,IF(AND(I50&lt;&gt;0,INDIRECT("'"&amp;#REF!&amp;"'!b$7")=0),1,0)+IF(AND(K50&lt;&gt;0,INDIRECT("'"&amp;#REF!&amp;"'!c$7")=0),1,0)+IF(AND(M50&lt;&gt;0,INDIRECT("'"&amp;#REF!&amp;"'!b$7")=0),1,0))</f>
        <v>0</v>
      </c>
      <c r="AS50" s="28">
        <f t="shared" ca="1" si="51"/>
        <v>0</v>
      </c>
      <c r="AU50" s="28"/>
      <c r="AV50" s="28">
        <v>1</v>
      </c>
      <c r="AW50" s="28">
        <f t="shared" si="52"/>
        <v>0</v>
      </c>
      <c r="AX50" s="28">
        <f ca="1">IF(ISERROR(INDIRECT("'"&amp;#REF!&amp;"'!e$2")),0,INDIRECT("'"&amp;#REF!&amp;"'!e$2"))</f>
        <v>0</v>
      </c>
      <c r="AY50" s="28"/>
      <c r="AZ50" s="28"/>
      <c r="BA50" s="28"/>
      <c r="BB50" s="28"/>
      <c r="BC50" s="1255"/>
    </row>
    <row r="51" spans="2:55" ht="14.4">
      <c r="B51" s="1014"/>
      <c r="C51" s="1014"/>
      <c r="D51" s="1014" t="str">
        <f t="shared" si="53"/>
        <v/>
      </c>
      <c r="E51" s="1014"/>
      <c r="F51" s="1014">
        <v>50</v>
      </c>
      <c r="G51" s="1266">
        <f>'Actions bâtiments communaux'!B8</f>
        <v>0</v>
      </c>
      <c r="H51" s="1266">
        <f>IF(G51=0,,Categories!$Z$5)</f>
        <v>0</v>
      </c>
      <c r="I51" s="1266">
        <f>Objectifs!$C$11</f>
        <v>0</v>
      </c>
      <c r="J51" s="1266" t="e">
        <f>'Actions bâtiments communaux'!N8/'Actions bâtiments communaux'!$N$28</f>
        <v>#DIV/0!</v>
      </c>
      <c r="K51" s="1266"/>
      <c r="L51" s="1266"/>
      <c r="M51" s="1266"/>
      <c r="N51" s="1266"/>
      <c r="O51" s="1266">
        <f>'Actions bâtiments communaux'!C8</f>
        <v>0</v>
      </c>
      <c r="P51" s="1266">
        <f>'Actions bâtiments communaux'!D8</f>
        <v>0</v>
      </c>
      <c r="Q51" s="1266"/>
      <c r="R51" s="1266"/>
      <c r="S51" s="1266"/>
      <c r="T51" s="1266"/>
      <c r="U51" s="1266"/>
      <c r="V51" s="1266" t="str">
        <f>Categories!$Q$11</f>
        <v>Commune</v>
      </c>
      <c r="W51" s="1266" t="s">
        <v>3</v>
      </c>
      <c r="X51" s="1266" t="s">
        <v>1097</v>
      </c>
      <c r="Y51" s="1267">
        <f t="shared" si="54"/>
        <v>0</v>
      </c>
      <c r="Z51" s="1267">
        <f>'Actions bâtiments communaux'!P8</f>
        <v>0</v>
      </c>
      <c r="AA51" s="1266">
        <f>'Actions bâtiments communaux'!O8</f>
        <v>0</v>
      </c>
      <c r="AB51" s="1268">
        <f>IF(Actions!AA51="Finalisée",'Actions bâtiments communaux'!F8,0)</f>
        <v>0</v>
      </c>
      <c r="AC51" s="1268">
        <f>'Actions bâtiments communaux'!F8</f>
        <v>0</v>
      </c>
      <c r="AD51" s="1269" t="s">
        <v>1098</v>
      </c>
      <c r="AE51" s="1268">
        <f>'Actions bâtiments communaux'!G8</f>
        <v>0</v>
      </c>
      <c r="AF51" s="1266">
        <f>'Actions bâtiments communaux'!I8</f>
        <v>0</v>
      </c>
      <c r="AG51" s="1270">
        <f>'Actions bâtiments communaux'!J8/1000</f>
        <v>0</v>
      </c>
      <c r="AH51" s="1271"/>
      <c r="AI51" s="1272">
        <f>'Actions bâtiments communaux'!N8</f>
        <v>0</v>
      </c>
      <c r="AJ51" s="1838">
        <f>'Actions bâtiments communaux'!K8</f>
        <v>0</v>
      </c>
      <c r="AK51" s="1271" t="s">
        <v>1099</v>
      </c>
      <c r="AL51" s="1271"/>
      <c r="AM51" s="1171" t="str">
        <f t="shared" si="50"/>
        <v>Commune</v>
      </c>
      <c r="AN51" s="28"/>
      <c r="AO51" s="28"/>
      <c r="AP51" s="28" t="s">
        <v>1104</v>
      </c>
      <c r="AQ51" s="28"/>
      <c r="AR51" s="28">
        <f ca="1">IF(ISERROR(INDIRECT("'"&amp;#REF!&amp;"'!b$7")),0,IF(AND(I51&lt;&gt;0,INDIRECT("'"&amp;#REF!&amp;"'!b$7")=0),1,0)+IF(AND(K51&lt;&gt;0,INDIRECT("'"&amp;#REF!&amp;"'!c$7")=0),1,0)+IF(AND(M51&lt;&gt;0,INDIRECT("'"&amp;#REF!&amp;"'!b$7")=0),1,0))</f>
        <v>0</v>
      </c>
      <c r="AS51" s="28">
        <f t="shared" ca="1" si="51"/>
        <v>0</v>
      </c>
      <c r="AU51" s="28"/>
      <c r="AV51" s="28">
        <v>1</v>
      </c>
      <c r="AW51" s="28">
        <f t="shared" si="52"/>
        <v>0</v>
      </c>
      <c r="AX51" s="28">
        <f ca="1">IF(ISERROR(INDIRECT("'"&amp;#REF!&amp;"'!e$2")),0,INDIRECT("'"&amp;#REF!&amp;"'!e$2"))</f>
        <v>0</v>
      </c>
      <c r="AY51" s="28"/>
      <c r="AZ51" s="28"/>
      <c r="BA51" s="28"/>
      <c r="BB51" s="28"/>
      <c r="BC51" s="1255"/>
    </row>
    <row r="52" spans="2:55" ht="14.4">
      <c r="B52" s="1014"/>
      <c r="C52" s="1014"/>
      <c r="D52" s="1014" t="str">
        <f t="shared" si="53"/>
        <v/>
      </c>
      <c r="E52" s="1014"/>
      <c r="F52" s="1014">
        <v>51</v>
      </c>
      <c r="G52" s="1266">
        <f>'Actions bâtiments communaux'!B9</f>
        <v>0</v>
      </c>
      <c r="H52" s="1266">
        <f>IF(G52=0,,Categories!$Z$5)</f>
        <v>0</v>
      </c>
      <c r="I52" s="1266">
        <f>Objectifs!$C$11</f>
        <v>0</v>
      </c>
      <c r="J52" s="1266" t="e">
        <f>'Actions bâtiments communaux'!N9/'Actions bâtiments communaux'!$N$28</f>
        <v>#DIV/0!</v>
      </c>
      <c r="K52" s="1266"/>
      <c r="L52" s="1266"/>
      <c r="M52" s="1266"/>
      <c r="N52" s="1266"/>
      <c r="O52" s="1266">
        <f>'Actions bâtiments communaux'!C9</f>
        <v>0</v>
      </c>
      <c r="P52" s="1266">
        <f>'Actions bâtiments communaux'!D9</f>
        <v>0</v>
      </c>
      <c r="Q52" s="1266"/>
      <c r="R52" s="1266"/>
      <c r="S52" s="1266"/>
      <c r="T52" s="1266"/>
      <c r="U52" s="1266"/>
      <c r="V52" s="1266" t="str">
        <f>Categories!$Q$11</f>
        <v>Commune</v>
      </c>
      <c r="W52" s="1266" t="s">
        <v>3</v>
      </c>
      <c r="X52" s="1266" t="s">
        <v>1097</v>
      </c>
      <c r="Y52" s="1267">
        <f t="shared" si="54"/>
        <v>0</v>
      </c>
      <c r="Z52" s="1267">
        <f>'Actions bâtiments communaux'!P9</f>
        <v>0</v>
      </c>
      <c r="AA52" s="1266">
        <f>'Actions bâtiments communaux'!O9</f>
        <v>0</v>
      </c>
      <c r="AB52" s="1268">
        <f>IF(Actions!AA52="Finalisée",'Actions bâtiments communaux'!F9,0)</f>
        <v>0</v>
      </c>
      <c r="AC52" s="1268">
        <f>'Actions bâtiments communaux'!F9</f>
        <v>0</v>
      </c>
      <c r="AD52" s="1269" t="s">
        <v>1098</v>
      </c>
      <c r="AE52" s="1268">
        <f>'Actions bâtiments communaux'!G9</f>
        <v>0</v>
      </c>
      <c r="AF52" s="1266">
        <f>'Actions bâtiments communaux'!I9</f>
        <v>0</v>
      </c>
      <c r="AG52" s="1270">
        <f>'Actions bâtiments communaux'!J9/1000</f>
        <v>0</v>
      </c>
      <c r="AH52" s="1271"/>
      <c r="AI52" s="1272">
        <f>'Actions bâtiments communaux'!N9</f>
        <v>0</v>
      </c>
      <c r="AJ52" s="1838">
        <f>'Actions bâtiments communaux'!K9</f>
        <v>0</v>
      </c>
      <c r="AK52" s="1271" t="s">
        <v>1099</v>
      </c>
      <c r="AL52" s="1271"/>
      <c r="AM52" s="1171" t="str">
        <f t="shared" si="50"/>
        <v>Commune</v>
      </c>
      <c r="AN52" s="28"/>
      <c r="AO52" s="28"/>
      <c r="AP52" s="28" t="s">
        <v>1105</v>
      </c>
      <c r="AQ52" s="28"/>
      <c r="AR52" s="28">
        <f ca="1">IF(ISERROR(INDIRECT("'"&amp;#REF!&amp;"'!b$7")),0,IF(AND(I52&lt;&gt;0,INDIRECT("'"&amp;#REF!&amp;"'!b$7")=0),1,0)+IF(AND(K52&lt;&gt;0,INDIRECT("'"&amp;#REF!&amp;"'!c$7")=0),1,0)+IF(AND(M52&lt;&gt;0,INDIRECT("'"&amp;#REF!&amp;"'!b$7")=0),1,0))</f>
        <v>0</v>
      </c>
      <c r="AS52" s="28">
        <f t="shared" ca="1" si="51"/>
        <v>0</v>
      </c>
      <c r="AU52" s="28"/>
      <c r="AV52" s="28">
        <v>1</v>
      </c>
      <c r="AW52" s="28">
        <f t="shared" si="52"/>
        <v>0</v>
      </c>
      <c r="AX52" s="28">
        <f ca="1">IF(ISERROR(INDIRECT("'"&amp;#REF!&amp;"'!e$2")),0,INDIRECT("'"&amp;#REF!&amp;"'!e$2"))</f>
        <v>0</v>
      </c>
      <c r="AY52" s="28"/>
      <c r="AZ52" s="28"/>
      <c r="BA52" s="28"/>
      <c r="BB52" s="28"/>
      <c r="BC52" s="1255"/>
    </row>
    <row r="53" spans="2:55" ht="14.4">
      <c r="B53" s="1014"/>
      <c r="C53" s="1014"/>
      <c r="D53" s="1014" t="str">
        <f t="shared" si="53"/>
        <v/>
      </c>
      <c r="E53" s="1014"/>
      <c r="F53" s="1014">
        <v>52</v>
      </c>
      <c r="G53" s="1266">
        <f>'Actions bâtiments communaux'!B10</f>
        <v>0</v>
      </c>
      <c r="H53" s="1266">
        <f>IF(G53=0,,Categories!$Z$5)</f>
        <v>0</v>
      </c>
      <c r="I53" s="1266">
        <f>Objectifs!$C$11</f>
        <v>0</v>
      </c>
      <c r="J53" s="1266" t="e">
        <f>'Actions bâtiments communaux'!N10/'Actions bâtiments communaux'!$N$28</f>
        <v>#DIV/0!</v>
      </c>
      <c r="K53" s="1266"/>
      <c r="L53" s="1266"/>
      <c r="M53" s="1266"/>
      <c r="N53" s="1266"/>
      <c r="O53" s="1266">
        <f>'Actions bâtiments communaux'!C10</f>
        <v>0</v>
      </c>
      <c r="P53" s="1266">
        <f>'Actions bâtiments communaux'!D10</f>
        <v>0</v>
      </c>
      <c r="Q53" s="1266"/>
      <c r="R53" s="1266"/>
      <c r="S53" s="1266"/>
      <c r="T53" s="1266"/>
      <c r="U53" s="1266"/>
      <c r="V53" s="1266" t="str">
        <f>Categories!$Q$11</f>
        <v>Commune</v>
      </c>
      <c r="W53" s="1266" t="s">
        <v>3</v>
      </c>
      <c r="X53" s="1266" t="s">
        <v>1097</v>
      </c>
      <c r="Y53" s="1267">
        <f t="shared" si="54"/>
        <v>0</v>
      </c>
      <c r="Z53" s="1267">
        <f>'Actions bâtiments communaux'!P10</f>
        <v>0</v>
      </c>
      <c r="AA53" s="1266">
        <f>'Actions bâtiments communaux'!O10</f>
        <v>0</v>
      </c>
      <c r="AB53" s="1268">
        <f>IF(Actions!AA53="Finalisée",'Actions bâtiments communaux'!F10,0)</f>
        <v>0</v>
      </c>
      <c r="AC53" s="1268">
        <f>'Actions bâtiments communaux'!F10</f>
        <v>0</v>
      </c>
      <c r="AD53" s="1269" t="s">
        <v>1098</v>
      </c>
      <c r="AE53" s="1268">
        <f>'Actions bâtiments communaux'!G10</f>
        <v>0</v>
      </c>
      <c r="AF53" s="1266">
        <f>'Actions bâtiments communaux'!I10</f>
        <v>0</v>
      </c>
      <c r="AG53" s="1270">
        <f>'Actions bâtiments communaux'!J10/1000</f>
        <v>0</v>
      </c>
      <c r="AH53" s="1271"/>
      <c r="AI53" s="1272">
        <f>'Actions bâtiments communaux'!N10</f>
        <v>0</v>
      </c>
      <c r="AJ53" s="1838">
        <f>'Actions bâtiments communaux'!K10</f>
        <v>0</v>
      </c>
      <c r="AK53" s="1271" t="s">
        <v>1099</v>
      </c>
      <c r="AL53" s="1271"/>
      <c r="AM53" s="1171" t="str">
        <f t="shared" si="50"/>
        <v>Commune</v>
      </c>
      <c r="AN53" s="28"/>
      <c r="AO53" s="28"/>
      <c r="AP53" s="28" t="s">
        <v>1106</v>
      </c>
      <c r="AQ53" s="28"/>
      <c r="AR53" s="28">
        <f ca="1">IF(ISERROR(INDIRECT("'"&amp;#REF!&amp;"'!b$7")),0,IF(AND(I53&lt;&gt;0,INDIRECT("'"&amp;#REF!&amp;"'!b$7")=0),1,0)+IF(AND(K53&lt;&gt;0,INDIRECT("'"&amp;#REF!&amp;"'!c$7")=0),1,0)+IF(AND(M53&lt;&gt;0,INDIRECT("'"&amp;#REF!&amp;"'!b$7")=0),1,0))</f>
        <v>0</v>
      </c>
      <c r="AS53" s="28">
        <f t="shared" ca="1" si="51"/>
        <v>0</v>
      </c>
      <c r="AU53" s="28"/>
      <c r="AV53" s="28">
        <v>1</v>
      </c>
      <c r="AW53" s="28">
        <f t="shared" si="52"/>
        <v>0</v>
      </c>
      <c r="AX53" s="28">
        <f ca="1">IF(ISERROR(INDIRECT("'"&amp;#REF!&amp;"'!e$2")),0,INDIRECT("'"&amp;#REF!&amp;"'!e$2"))</f>
        <v>0</v>
      </c>
      <c r="AY53" s="28"/>
      <c r="AZ53" s="28"/>
      <c r="BA53" s="28"/>
      <c r="BB53" s="28"/>
      <c r="BC53" s="1255"/>
    </row>
    <row r="54" spans="2:55" ht="14.4">
      <c r="B54" s="1014"/>
      <c r="C54" s="1014"/>
      <c r="D54" s="1014" t="str">
        <f t="shared" si="53"/>
        <v/>
      </c>
      <c r="E54" s="1014"/>
      <c r="F54" s="1014">
        <v>53</v>
      </c>
      <c r="G54" s="1266">
        <f>'Actions bâtiments communaux'!B11</f>
        <v>0</v>
      </c>
      <c r="H54" s="1266">
        <f>IF(G54=0,,Categories!$Z$5)</f>
        <v>0</v>
      </c>
      <c r="I54" s="1266">
        <f>Objectifs!$C$11</f>
        <v>0</v>
      </c>
      <c r="J54" s="1266" t="e">
        <f>'Actions bâtiments communaux'!N11/'Actions bâtiments communaux'!$N$28</f>
        <v>#DIV/0!</v>
      </c>
      <c r="K54" s="1266"/>
      <c r="L54" s="1266"/>
      <c r="M54" s="1266"/>
      <c r="N54" s="1266"/>
      <c r="O54" s="1266">
        <f>'Actions bâtiments communaux'!C11</f>
        <v>0</v>
      </c>
      <c r="P54" s="1266">
        <f>'Actions bâtiments communaux'!D11</f>
        <v>0</v>
      </c>
      <c r="Q54" s="1266"/>
      <c r="R54" s="1266"/>
      <c r="S54" s="1266"/>
      <c r="T54" s="1266"/>
      <c r="U54" s="1266"/>
      <c r="V54" s="1266" t="str">
        <f>Categories!$Q$11</f>
        <v>Commune</v>
      </c>
      <c r="W54" s="1266" t="s">
        <v>3</v>
      </c>
      <c r="X54" s="1266" t="s">
        <v>1097</v>
      </c>
      <c r="Y54" s="1267">
        <f t="shared" si="54"/>
        <v>0</v>
      </c>
      <c r="Z54" s="1267">
        <f>'Actions bâtiments communaux'!P11</f>
        <v>0</v>
      </c>
      <c r="AA54" s="1266">
        <f>'Actions bâtiments communaux'!O11</f>
        <v>0</v>
      </c>
      <c r="AB54" s="1268">
        <f>IF(Actions!AA54="Finalisée",'Actions bâtiments communaux'!F11,0)</f>
        <v>0</v>
      </c>
      <c r="AC54" s="1268">
        <f>'Actions bâtiments communaux'!F11</f>
        <v>0</v>
      </c>
      <c r="AD54" s="1269" t="s">
        <v>1098</v>
      </c>
      <c r="AE54" s="1268">
        <f>'Actions bâtiments communaux'!G11</f>
        <v>0</v>
      </c>
      <c r="AF54" s="1266">
        <f>'Actions bâtiments communaux'!I11</f>
        <v>0</v>
      </c>
      <c r="AG54" s="1270">
        <f>'Actions bâtiments communaux'!J11/1000</f>
        <v>0</v>
      </c>
      <c r="AH54" s="1271"/>
      <c r="AI54" s="1272">
        <f>'Actions bâtiments communaux'!N11</f>
        <v>0</v>
      </c>
      <c r="AJ54" s="1838">
        <f>'Actions bâtiments communaux'!K11</f>
        <v>0</v>
      </c>
      <c r="AK54" s="1271" t="s">
        <v>1099</v>
      </c>
      <c r="AL54" s="1271"/>
      <c r="AM54" s="1171" t="str">
        <f t="shared" si="50"/>
        <v>Commune</v>
      </c>
      <c r="AN54" s="28"/>
      <c r="AO54" s="28"/>
      <c r="AP54" s="28" t="s">
        <v>1107</v>
      </c>
      <c r="AQ54" s="28"/>
      <c r="AR54" s="28">
        <f ca="1">IF(ISERROR(INDIRECT("'"&amp;#REF!&amp;"'!b$7")),0,IF(AND(I54&lt;&gt;0,INDIRECT("'"&amp;#REF!&amp;"'!b$7")=0),1,0)+IF(AND(K54&lt;&gt;0,INDIRECT("'"&amp;#REF!&amp;"'!c$7")=0),1,0)+IF(AND(M54&lt;&gt;0,INDIRECT("'"&amp;#REF!&amp;"'!b$7")=0),1,0))</f>
        <v>0</v>
      </c>
      <c r="AS54" s="28">
        <f t="shared" ca="1" si="51"/>
        <v>0</v>
      </c>
      <c r="AU54" s="28"/>
      <c r="AV54" s="28">
        <v>1</v>
      </c>
      <c r="AW54" s="28">
        <f t="shared" si="52"/>
        <v>0</v>
      </c>
      <c r="AX54" s="28">
        <f ca="1">IF(ISERROR(INDIRECT("'"&amp;#REF!&amp;"'!e$2")),0,INDIRECT("'"&amp;#REF!&amp;"'!e$2"))</f>
        <v>0</v>
      </c>
      <c r="AY54" s="28"/>
      <c r="AZ54" s="28"/>
      <c r="BA54" s="28"/>
      <c r="BB54" s="28"/>
      <c r="BC54" s="1255"/>
    </row>
    <row r="55" spans="2:55" ht="14.4">
      <c r="B55" s="1014"/>
      <c r="C55" s="1014"/>
      <c r="D55" s="1014" t="str">
        <f t="shared" si="53"/>
        <v/>
      </c>
      <c r="E55" s="1014"/>
      <c r="F55" s="1014">
        <v>54</v>
      </c>
      <c r="G55" s="1266">
        <f>'Actions bâtiments communaux'!B12</f>
        <v>0</v>
      </c>
      <c r="H55" s="1266">
        <f>IF(G55=0,,Categories!$Z$5)</f>
        <v>0</v>
      </c>
      <c r="I55" s="1266">
        <f>Objectifs!$C$11</f>
        <v>0</v>
      </c>
      <c r="J55" s="1266" t="e">
        <f>'Actions bâtiments communaux'!N12/'Actions bâtiments communaux'!$N$28</f>
        <v>#DIV/0!</v>
      </c>
      <c r="K55" s="1266"/>
      <c r="L55" s="1266"/>
      <c r="M55" s="1266"/>
      <c r="N55" s="1266"/>
      <c r="O55" s="1266">
        <f>'Actions bâtiments communaux'!C12</f>
        <v>0</v>
      </c>
      <c r="P55" s="1266">
        <f>'Actions bâtiments communaux'!D12</f>
        <v>0</v>
      </c>
      <c r="Q55" s="1266"/>
      <c r="R55" s="1266"/>
      <c r="S55" s="1266"/>
      <c r="T55" s="1266"/>
      <c r="U55" s="1266"/>
      <c r="V55" s="1266" t="str">
        <f>Categories!$Q$11</f>
        <v>Commune</v>
      </c>
      <c r="W55" s="1266" t="s">
        <v>3</v>
      </c>
      <c r="X55" s="1266" t="s">
        <v>1097</v>
      </c>
      <c r="Y55" s="1267">
        <f t="shared" si="54"/>
        <v>0</v>
      </c>
      <c r="Z55" s="1267">
        <f>'Actions bâtiments communaux'!P12</f>
        <v>0</v>
      </c>
      <c r="AA55" s="1266">
        <f>'Actions bâtiments communaux'!O12</f>
        <v>0</v>
      </c>
      <c r="AB55" s="1268">
        <f>IF(Actions!AA55="Finalisée",'Actions bâtiments communaux'!F12,0)</f>
        <v>0</v>
      </c>
      <c r="AC55" s="1268">
        <f>'Actions bâtiments communaux'!F12</f>
        <v>0</v>
      </c>
      <c r="AD55" s="1269" t="s">
        <v>1098</v>
      </c>
      <c r="AE55" s="1268">
        <f>'Actions bâtiments communaux'!G12</f>
        <v>0</v>
      </c>
      <c r="AF55" s="1266">
        <f>'Actions bâtiments communaux'!I12</f>
        <v>0</v>
      </c>
      <c r="AG55" s="1270">
        <f>'Actions bâtiments communaux'!J12/1000</f>
        <v>0</v>
      </c>
      <c r="AH55" s="1271"/>
      <c r="AI55" s="1272">
        <f>'Actions bâtiments communaux'!N12</f>
        <v>0</v>
      </c>
      <c r="AJ55" s="1838">
        <f>'Actions bâtiments communaux'!K12</f>
        <v>0</v>
      </c>
      <c r="AK55" s="1271" t="s">
        <v>1099</v>
      </c>
      <c r="AL55" s="1271"/>
      <c r="AM55" s="1171" t="str">
        <f t="shared" si="50"/>
        <v>Commune</v>
      </c>
      <c r="AN55" s="28"/>
      <c r="AO55" s="28"/>
      <c r="AP55" s="28" t="s">
        <v>1108</v>
      </c>
      <c r="AQ55" s="28"/>
      <c r="AR55" s="28">
        <f ca="1">IF(ISERROR(INDIRECT("'"&amp;#REF!&amp;"'!b$7")),0,IF(AND(I55&lt;&gt;0,INDIRECT("'"&amp;#REF!&amp;"'!b$7")=0),1,0)+IF(AND(K55&lt;&gt;0,INDIRECT("'"&amp;#REF!&amp;"'!c$7")=0),1,0)+IF(AND(M55&lt;&gt;0,INDIRECT("'"&amp;#REF!&amp;"'!b$7")=0),1,0))</f>
        <v>0</v>
      </c>
      <c r="AS55" s="28">
        <f t="shared" ca="1" si="51"/>
        <v>0</v>
      </c>
      <c r="AU55" s="28"/>
      <c r="AV55" s="28">
        <v>1</v>
      </c>
      <c r="AW55" s="28">
        <f t="shared" si="52"/>
        <v>0</v>
      </c>
      <c r="AX55" s="28">
        <f ca="1">IF(ISERROR(INDIRECT("'"&amp;#REF!&amp;"'!e$2")),0,INDIRECT("'"&amp;#REF!&amp;"'!e$2"))</f>
        <v>0</v>
      </c>
      <c r="AY55" s="28"/>
      <c r="AZ55" s="28"/>
      <c r="BA55" s="28"/>
      <c r="BB55" s="28"/>
      <c r="BC55" s="1255"/>
    </row>
    <row r="56" spans="2:55" ht="14.4">
      <c r="B56" s="1014"/>
      <c r="C56" s="1014"/>
      <c r="D56" s="1014" t="str">
        <f t="shared" si="53"/>
        <v/>
      </c>
      <c r="E56" s="1014"/>
      <c r="F56" s="1014">
        <v>55</v>
      </c>
      <c r="G56" s="1266">
        <f>'Actions bâtiments communaux'!B13</f>
        <v>0</v>
      </c>
      <c r="H56" s="1266">
        <f>IF(G56=0,,Categories!$Z$5)</f>
        <v>0</v>
      </c>
      <c r="I56" s="1266">
        <f>Objectifs!$C$11</f>
        <v>0</v>
      </c>
      <c r="J56" s="1266" t="e">
        <f>'Actions bâtiments communaux'!N13/'Actions bâtiments communaux'!$N$28</f>
        <v>#DIV/0!</v>
      </c>
      <c r="K56" s="1266"/>
      <c r="L56" s="1266"/>
      <c r="M56" s="1266"/>
      <c r="N56" s="1266"/>
      <c r="O56" s="1266">
        <f>'Actions bâtiments communaux'!C13</f>
        <v>0</v>
      </c>
      <c r="P56" s="1266">
        <f>'Actions bâtiments communaux'!D13</f>
        <v>0</v>
      </c>
      <c r="Q56" s="1266"/>
      <c r="R56" s="1266"/>
      <c r="S56" s="1266"/>
      <c r="T56" s="1266"/>
      <c r="U56" s="1266"/>
      <c r="V56" s="1266" t="str">
        <f>Categories!$Q$11</f>
        <v>Commune</v>
      </c>
      <c r="W56" s="1266" t="s">
        <v>3</v>
      </c>
      <c r="X56" s="1266" t="s">
        <v>1097</v>
      </c>
      <c r="Y56" s="1267">
        <f t="shared" si="54"/>
        <v>0</v>
      </c>
      <c r="Z56" s="1267">
        <f>'Actions bâtiments communaux'!P13</f>
        <v>0</v>
      </c>
      <c r="AA56" s="1266">
        <f>'Actions bâtiments communaux'!O13</f>
        <v>0</v>
      </c>
      <c r="AB56" s="1268">
        <f>IF(Actions!AA56="Finalisée",'Actions bâtiments communaux'!F13,0)</f>
        <v>0</v>
      </c>
      <c r="AC56" s="1268">
        <f>'Actions bâtiments communaux'!F13</f>
        <v>0</v>
      </c>
      <c r="AD56" s="1269" t="s">
        <v>1098</v>
      </c>
      <c r="AE56" s="1268">
        <f>'Actions bâtiments communaux'!G13</f>
        <v>0</v>
      </c>
      <c r="AF56" s="1266">
        <f>'Actions bâtiments communaux'!I13</f>
        <v>0</v>
      </c>
      <c r="AG56" s="1270">
        <f>'Actions bâtiments communaux'!J13/1000</f>
        <v>0</v>
      </c>
      <c r="AH56" s="1271"/>
      <c r="AI56" s="1272">
        <f>'Actions bâtiments communaux'!N13</f>
        <v>0</v>
      </c>
      <c r="AJ56" s="1838">
        <f>'Actions bâtiments communaux'!K13</f>
        <v>0</v>
      </c>
      <c r="AK56" s="1271" t="s">
        <v>1099</v>
      </c>
      <c r="AL56" s="1271"/>
      <c r="AM56" s="1171" t="str">
        <f t="shared" si="50"/>
        <v>Commune</v>
      </c>
      <c r="AN56" s="28"/>
      <c r="AO56" s="28"/>
      <c r="AP56" s="28" t="s">
        <v>1109</v>
      </c>
      <c r="AQ56" s="28"/>
      <c r="AR56" s="28">
        <f ca="1">IF(ISERROR(INDIRECT("'"&amp;#REF!&amp;"'!b$7")),0,IF(AND(I56&lt;&gt;0,INDIRECT("'"&amp;#REF!&amp;"'!b$7")=0),1,0)+IF(AND(K56&lt;&gt;0,INDIRECT("'"&amp;#REF!&amp;"'!c$7")=0),1,0)+IF(AND(M56&lt;&gt;0,INDIRECT("'"&amp;#REF!&amp;"'!b$7")=0),1,0))</f>
        <v>0</v>
      </c>
      <c r="AS56" s="28">
        <f t="shared" ca="1" si="51"/>
        <v>0</v>
      </c>
      <c r="AU56" s="28"/>
      <c r="AV56" s="28">
        <v>1</v>
      </c>
      <c r="AW56" s="28">
        <f t="shared" si="52"/>
        <v>0</v>
      </c>
      <c r="AX56" s="28">
        <f ca="1">IF(ISERROR(INDIRECT("'"&amp;#REF!&amp;"'!e$2")),0,INDIRECT("'"&amp;#REF!&amp;"'!e$2"))</f>
        <v>0</v>
      </c>
      <c r="AY56" s="28"/>
      <c r="AZ56" s="28"/>
      <c r="BA56" s="28"/>
      <c r="BB56" s="28"/>
      <c r="BC56" s="1255"/>
    </row>
    <row r="57" spans="2:55" ht="14.4">
      <c r="B57" s="1014"/>
      <c r="C57" s="1014"/>
      <c r="D57" s="1014" t="str">
        <f t="shared" si="53"/>
        <v/>
      </c>
      <c r="E57" s="1014"/>
      <c r="F57" s="1014">
        <v>56</v>
      </c>
      <c r="G57" s="1266">
        <f>'Actions bâtiments communaux'!B14</f>
        <v>0</v>
      </c>
      <c r="H57" s="1266">
        <f>IF(G57=0,,Categories!$Z$5)</f>
        <v>0</v>
      </c>
      <c r="I57" s="1266">
        <f>Objectifs!$C$11</f>
        <v>0</v>
      </c>
      <c r="J57" s="1266" t="e">
        <f>'Actions bâtiments communaux'!N14/'Actions bâtiments communaux'!$N$28</f>
        <v>#DIV/0!</v>
      </c>
      <c r="K57" s="1266"/>
      <c r="L57" s="1266"/>
      <c r="M57" s="1266"/>
      <c r="N57" s="1266"/>
      <c r="O57" s="1266">
        <f>'Actions bâtiments communaux'!C14</f>
        <v>0</v>
      </c>
      <c r="P57" s="1266">
        <f>'Actions bâtiments communaux'!D14</f>
        <v>0</v>
      </c>
      <c r="Q57" s="1266"/>
      <c r="R57" s="1266"/>
      <c r="S57" s="1266"/>
      <c r="T57" s="1266"/>
      <c r="U57" s="1266"/>
      <c r="V57" s="1266" t="str">
        <f>Categories!$Q$11</f>
        <v>Commune</v>
      </c>
      <c r="W57" s="1266" t="s">
        <v>3</v>
      </c>
      <c r="X57" s="1266" t="s">
        <v>1097</v>
      </c>
      <c r="Y57" s="1267">
        <f t="shared" si="54"/>
        <v>0</v>
      </c>
      <c r="Z57" s="1267">
        <f>'Actions bâtiments communaux'!P14</f>
        <v>0</v>
      </c>
      <c r="AA57" s="1266">
        <f>'Actions bâtiments communaux'!O14</f>
        <v>0</v>
      </c>
      <c r="AB57" s="1268">
        <f>IF(Actions!AA57="Finalisée",'Actions bâtiments communaux'!F14,0)</f>
        <v>0</v>
      </c>
      <c r="AC57" s="1268">
        <f>'Actions bâtiments communaux'!F14</f>
        <v>0</v>
      </c>
      <c r="AD57" s="1269" t="s">
        <v>1098</v>
      </c>
      <c r="AE57" s="1268">
        <f>'Actions bâtiments communaux'!G14</f>
        <v>0</v>
      </c>
      <c r="AF57" s="1266">
        <f>'Actions bâtiments communaux'!I14</f>
        <v>0</v>
      </c>
      <c r="AG57" s="1270">
        <f>'Actions bâtiments communaux'!J14/1000</f>
        <v>0</v>
      </c>
      <c r="AH57" s="1271"/>
      <c r="AI57" s="1272">
        <f>'Actions bâtiments communaux'!N14</f>
        <v>0</v>
      </c>
      <c r="AJ57" s="1838">
        <f>'Actions bâtiments communaux'!K14</f>
        <v>0</v>
      </c>
      <c r="AK57" s="1271" t="s">
        <v>1099</v>
      </c>
      <c r="AL57" s="1271"/>
      <c r="AM57" s="1171" t="str">
        <f t="shared" si="50"/>
        <v>Commune</v>
      </c>
      <c r="AN57" s="28"/>
      <c r="AO57" s="28"/>
      <c r="AP57" s="28" t="s">
        <v>1110</v>
      </c>
      <c r="AQ57" s="28"/>
      <c r="AR57" s="28">
        <f ca="1">IF(ISERROR(INDIRECT("'"&amp;#REF!&amp;"'!b$7")),0,IF(AND(I57&lt;&gt;0,INDIRECT("'"&amp;#REF!&amp;"'!b$7")=0),1,0)+IF(AND(K57&lt;&gt;0,INDIRECT("'"&amp;#REF!&amp;"'!c$7")=0),1,0)+IF(AND(M57&lt;&gt;0,INDIRECT("'"&amp;#REF!&amp;"'!b$7")=0),1,0))</f>
        <v>0</v>
      </c>
      <c r="AS57" s="28">
        <f t="shared" ca="1" si="51"/>
        <v>0</v>
      </c>
      <c r="AU57" s="28"/>
      <c r="AV57" s="28">
        <v>1</v>
      </c>
      <c r="AW57" s="28">
        <f t="shared" si="52"/>
        <v>0</v>
      </c>
      <c r="AX57" s="28">
        <f ca="1">IF(ISERROR(INDIRECT("'"&amp;#REF!&amp;"'!e$2")),0,INDIRECT("'"&amp;#REF!&amp;"'!e$2"))</f>
        <v>0</v>
      </c>
      <c r="AY57" s="28"/>
      <c r="AZ57" s="28"/>
      <c r="BA57" s="28"/>
      <c r="BB57" s="28"/>
      <c r="BC57" s="1255"/>
    </row>
    <row r="58" spans="2:55" ht="14.4">
      <c r="B58" s="1014"/>
      <c r="C58" s="1014"/>
      <c r="D58" s="1014" t="str">
        <f t="shared" si="53"/>
        <v/>
      </c>
      <c r="E58" s="1014"/>
      <c r="F58" s="1014">
        <v>57</v>
      </c>
      <c r="G58" s="1266">
        <f>'Actions bâtiments communaux'!B15</f>
        <v>0</v>
      </c>
      <c r="H58" s="1266">
        <f>IF(G58=0,,Categories!$Z$5)</f>
        <v>0</v>
      </c>
      <c r="I58" s="1266">
        <f>Objectifs!$C$11</f>
        <v>0</v>
      </c>
      <c r="J58" s="1266" t="e">
        <f>'Actions bâtiments communaux'!N15/'Actions bâtiments communaux'!$N$28</f>
        <v>#DIV/0!</v>
      </c>
      <c r="K58" s="1266"/>
      <c r="L58" s="1266"/>
      <c r="M58" s="1266"/>
      <c r="N58" s="1266"/>
      <c r="O58" s="1266">
        <f>'Actions bâtiments communaux'!C15</f>
        <v>0</v>
      </c>
      <c r="P58" s="1266">
        <f>'Actions bâtiments communaux'!D15</f>
        <v>0</v>
      </c>
      <c r="Q58" s="1266"/>
      <c r="R58" s="1266"/>
      <c r="S58" s="1266"/>
      <c r="T58" s="1266"/>
      <c r="U58" s="1266"/>
      <c r="V58" s="1266" t="str">
        <f>Categories!$Q$11</f>
        <v>Commune</v>
      </c>
      <c r="W58" s="1266" t="s">
        <v>3</v>
      </c>
      <c r="X58" s="1266" t="s">
        <v>1097</v>
      </c>
      <c r="Y58" s="1267">
        <f t="shared" si="54"/>
        <v>0</v>
      </c>
      <c r="Z58" s="1267">
        <f>'Actions bâtiments communaux'!P15</f>
        <v>0</v>
      </c>
      <c r="AA58" s="1266">
        <f>'Actions bâtiments communaux'!O15</f>
        <v>0</v>
      </c>
      <c r="AB58" s="1268">
        <f>IF(Actions!AA58="Finalisée",'Actions bâtiments communaux'!F15,0)</f>
        <v>0</v>
      </c>
      <c r="AC58" s="1268">
        <f>'Actions bâtiments communaux'!F15</f>
        <v>0</v>
      </c>
      <c r="AD58" s="1269" t="s">
        <v>1098</v>
      </c>
      <c r="AE58" s="1268">
        <f>'Actions bâtiments communaux'!G15</f>
        <v>0</v>
      </c>
      <c r="AF58" s="1266">
        <f>'Actions bâtiments communaux'!I15</f>
        <v>0</v>
      </c>
      <c r="AG58" s="1270">
        <f>'Actions bâtiments communaux'!J15/1000</f>
        <v>0</v>
      </c>
      <c r="AH58" s="1271"/>
      <c r="AI58" s="1272">
        <f>'Actions bâtiments communaux'!N15</f>
        <v>0</v>
      </c>
      <c r="AJ58" s="1838">
        <f>'Actions bâtiments communaux'!K15</f>
        <v>0</v>
      </c>
      <c r="AK58" s="1271" t="s">
        <v>1099</v>
      </c>
      <c r="AL58" s="1271"/>
      <c r="AM58" s="1171" t="str">
        <f t="shared" si="50"/>
        <v>Commune</v>
      </c>
      <c r="AN58" s="28"/>
      <c r="AO58" s="28"/>
      <c r="AP58" s="28" t="s">
        <v>1111</v>
      </c>
      <c r="AQ58" s="28"/>
      <c r="AR58" s="28">
        <f ca="1">IF(ISERROR(INDIRECT("'"&amp;#REF!&amp;"'!b$7")),0,IF(AND(I58&lt;&gt;0,INDIRECT("'"&amp;#REF!&amp;"'!b$7")=0),1,0)+IF(AND(K58&lt;&gt;0,INDIRECT("'"&amp;#REF!&amp;"'!c$7")=0),1,0)+IF(AND(M58&lt;&gt;0,INDIRECT("'"&amp;#REF!&amp;"'!b$7")=0),1,0))</f>
        <v>0</v>
      </c>
      <c r="AS58" s="28">
        <f t="shared" ca="1" si="51"/>
        <v>0</v>
      </c>
      <c r="AU58" s="28"/>
      <c r="AV58" s="28">
        <v>1</v>
      </c>
      <c r="AW58" s="28">
        <f t="shared" si="52"/>
        <v>0</v>
      </c>
      <c r="AX58" s="28">
        <f ca="1">IF(ISERROR(INDIRECT("'"&amp;#REF!&amp;"'!e$2")),0,INDIRECT("'"&amp;#REF!&amp;"'!e$2"))</f>
        <v>0</v>
      </c>
      <c r="AY58" s="28"/>
      <c r="AZ58" s="28"/>
      <c r="BA58" s="28"/>
      <c r="BB58" s="28"/>
      <c r="BC58" s="1255"/>
    </row>
    <row r="59" spans="2:55" ht="14.4">
      <c r="B59" s="1014"/>
      <c r="C59" s="1014"/>
      <c r="D59" s="1014" t="str">
        <f t="shared" si="53"/>
        <v/>
      </c>
      <c r="E59" s="1014"/>
      <c r="F59" s="1014">
        <v>58</v>
      </c>
      <c r="G59" s="1266">
        <f>'Actions bâtiments communaux'!B16</f>
        <v>0</v>
      </c>
      <c r="H59" s="1266">
        <f>IF(G59=0,,Categories!$Z$5)</f>
        <v>0</v>
      </c>
      <c r="I59" s="1266">
        <f>Objectifs!$C$11</f>
        <v>0</v>
      </c>
      <c r="J59" s="1266" t="e">
        <f>'Actions bâtiments communaux'!N16/'Actions bâtiments communaux'!$N$28</f>
        <v>#DIV/0!</v>
      </c>
      <c r="K59" s="1266"/>
      <c r="L59" s="1266"/>
      <c r="M59" s="1266"/>
      <c r="N59" s="1266"/>
      <c r="O59" s="1266">
        <f>'Actions bâtiments communaux'!C16</f>
        <v>0</v>
      </c>
      <c r="P59" s="1266">
        <f>'Actions bâtiments communaux'!D16</f>
        <v>0</v>
      </c>
      <c r="Q59" s="1266"/>
      <c r="R59" s="1266"/>
      <c r="S59" s="1266"/>
      <c r="T59" s="1266"/>
      <c r="U59" s="1266"/>
      <c r="V59" s="1266" t="str">
        <f>Categories!$Q$11</f>
        <v>Commune</v>
      </c>
      <c r="W59" s="1266" t="s">
        <v>3</v>
      </c>
      <c r="X59" s="1266" t="s">
        <v>1097</v>
      </c>
      <c r="Y59" s="1267">
        <f t="shared" si="54"/>
        <v>0</v>
      </c>
      <c r="Z59" s="1267">
        <f>'Actions bâtiments communaux'!P16</f>
        <v>0</v>
      </c>
      <c r="AA59" s="1266">
        <f>'Actions bâtiments communaux'!O16</f>
        <v>0</v>
      </c>
      <c r="AB59" s="1268">
        <f>IF(Actions!AA59="Finalisée",'Actions bâtiments communaux'!F16,0)</f>
        <v>0</v>
      </c>
      <c r="AC59" s="1268">
        <f>'Actions bâtiments communaux'!F16</f>
        <v>0</v>
      </c>
      <c r="AD59" s="1269" t="s">
        <v>1098</v>
      </c>
      <c r="AE59" s="1268">
        <f>'Actions bâtiments communaux'!G16</f>
        <v>0</v>
      </c>
      <c r="AF59" s="1266">
        <f>'Actions bâtiments communaux'!I16</f>
        <v>0</v>
      </c>
      <c r="AG59" s="1270">
        <f>'Actions bâtiments communaux'!J16/1000</f>
        <v>0</v>
      </c>
      <c r="AH59" s="1271"/>
      <c r="AI59" s="1272">
        <f>'Actions bâtiments communaux'!N16</f>
        <v>0</v>
      </c>
      <c r="AJ59" s="1838">
        <f>'Actions bâtiments communaux'!K16</f>
        <v>0</v>
      </c>
      <c r="AK59" s="1271" t="s">
        <v>1099</v>
      </c>
      <c r="AL59" s="1271"/>
      <c r="AM59" s="1171" t="str">
        <f t="shared" si="50"/>
        <v>Commune</v>
      </c>
      <c r="AN59" s="28"/>
      <c r="AO59" s="28"/>
      <c r="AP59" s="28" t="s">
        <v>1112</v>
      </c>
      <c r="AQ59" s="28"/>
      <c r="AR59" s="28">
        <f ca="1">IF(ISERROR(INDIRECT("'"&amp;#REF!&amp;"'!b$7")),0,IF(AND(I59&lt;&gt;0,INDIRECT("'"&amp;#REF!&amp;"'!b$7")=0),1,0)+IF(AND(K59&lt;&gt;0,INDIRECT("'"&amp;#REF!&amp;"'!c$7")=0),1,0)+IF(AND(M59&lt;&gt;0,INDIRECT("'"&amp;#REF!&amp;"'!b$7")=0),1,0))</f>
        <v>0</v>
      </c>
      <c r="AS59" s="28">
        <f t="shared" ca="1" si="51"/>
        <v>0</v>
      </c>
      <c r="AU59" s="28"/>
      <c r="AV59" s="28">
        <v>1</v>
      </c>
      <c r="AW59" s="28">
        <f t="shared" si="52"/>
        <v>0</v>
      </c>
      <c r="AX59" s="28">
        <f ca="1">IF(ISERROR(INDIRECT("'"&amp;#REF!&amp;"'!e$2")),0,INDIRECT("'"&amp;#REF!&amp;"'!e$2"))</f>
        <v>0</v>
      </c>
      <c r="AY59" s="28"/>
      <c r="AZ59" s="28"/>
      <c r="BA59" s="28"/>
      <c r="BB59" s="28"/>
      <c r="BC59" s="1255"/>
    </row>
    <row r="60" spans="2:55" ht="14.4">
      <c r="B60" s="1014"/>
      <c r="C60" s="1014"/>
      <c r="D60" s="1014" t="str">
        <f t="shared" si="53"/>
        <v/>
      </c>
      <c r="E60" s="1014"/>
      <c r="F60" s="1014">
        <v>59</v>
      </c>
      <c r="G60" s="1266">
        <f>'Actions bâtiments communaux'!B17</f>
        <v>0</v>
      </c>
      <c r="H60" s="1266">
        <f>IF(G60=0,,Categories!$Z$5)</f>
        <v>0</v>
      </c>
      <c r="I60" s="1266">
        <f>Objectifs!$C$11</f>
        <v>0</v>
      </c>
      <c r="J60" s="1266" t="e">
        <f>'Actions bâtiments communaux'!N17/'Actions bâtiments communaux'!$N$28</f>
        <v>#DIV/0!</v>
      </c>
      <c r="K60" s="1266"/>
      <c r="L60" s="1266"/>
      <c r="M60" s="1266"/>
      <c r="N60" s="1266"/>
      <c r="O60" s="1266">
        <f>'Actions bâtiments communaux'!C17</f>
        <v>0</v>
      </c>
      <c r="P60" s="1266">
        <f>'Actions bâtiments communaux'!D17</f>
        <v>0</v>
      </c>
      <c r="Q60" s="1266"/>
      <c r="R60" s="1266"/>
      <c r="S60" s="1266"/>
      <c r="T60" s="1266"/>
      <c r="U60" s="1266"/>
      <c r="V60" s="1266" t="str">
        <f>Categories!$Q$11</f>
        <v>Commune</v>
      </c>
      <c r="W60" s="1266" t="s">
        <v>3</v>
      </c>
      <c r="X60" s="1266" t="s">
        <v>1097</v>
      </c>
      <c r="Y60" s="1267">
        <f t="shared" si="54"/>
        <v>0</v>
      </c>
      <c r="Z60" s="1267">
        <f>'Actions bâtiments communaux'!P17</f>
        <v>0</v>
      </c>
      <c r="AA60" s="1266">
        <f>'Actions bâtiments communaux'!O17</f>
        <v>0</v>
      </c>
      <c r="AB60" s="1268">
        <f>IF(Actions!AA60="Finalisée",'Actions bâtiments communaux'!F17,0)</f>
        <v>0</v>
      </c>
      <c r="AC60" s="1268">
        <f>'Actions bâtiments communaux'!F17</f>
        <v>0</v>
      </c>
      <c r="AD60" s="1269" t="s">
        <v>1098</v>
      </c>
      <c r="AE60" s="1268">
        <f>'Actions bâtiments communaux'!G17</f>
        <v>0</v>
      </c>
      <c r="AF60" s="1266">
        <f>'Actions bâtiments communaux'!I17</f>
        <v>0</v>
      </c>
      <c r="AG60" s="1270">
        <f>'Actions bâtiments communaux'!J17/1000</f>
        <v>0</v>
      </c>
      <c r="AH60" s="1271"/>
      <c r="AI60" s="1272">
        <f>'Actions bâtiments communaux'!N17</f>
        <v>0</v>
      </c>
      <c r="AJ60" s="1838">
        <f>'Actions bâtiments communaux'!K17</f>
        <v>0</v>
      </c>
      <c r="AK60" s="1271" t="s">
        <v>1099</v>
      </c>
      <c r="AL60" s="1271"/>
      <c r="AM60" s="1171" t="str">
        <f t="shared" si="50"/>
        <v>Commune</v>
      </c>
      <c r="AN60" s="28"/>
      <c r="AO60" s="28"/>
      <c r="AP60" s="28" t="s">
        <v>1113</v>
      </c>
      <c r="AQ60" s="28"/>
      <c r="AR60" s="28">
        <f ca="1">IF(ISERROR(INDIRECT("'"&amp;#REF!&amp;"'!b$7")),0,IF(AND(I60&lt;&gt;0,INDIRECT("'"&amp;#REF!&amp;"'!b$7")=0),1,0)+IF(AND(K60&lt;&gt;0,INDIRECT("'"&amp;#REF!&amp;"'!c$7")=0),1,0)+IF(AND(M60&lt;&gt;0,INDIRECT("'"&amp;#REF!&amp;"'!b$7")=0),1,0))</f>
        <v>0</v>
      </c>
      <c r="AS60" s="28">
        <f t="shared" ca="1" si="51"/>
        <v>0</v>
      </c>
      <c r="AU60" s="28"/>
      <c r="AV60" s="28">
        <v>1</v>
      </c>
      <c r="AW60" s="28">
        <f t="shared" si="52"/>
        <v>0</v>
      </c>
      <c r="AX60" s="28">
        <f ca="1">IF(ISERROR(INDIRECT("'"&amp;#REF!&amp;"'!e$2")),0,INDIRECT("'"&amp;#REF!&amp;"'!e$2"))</f>
        <v>0</v>
      </c>
      <c r="AY60" s="28"/>
      <c r="AZ60" s="28"/>
      <c r="BA60" s="28"/>
      <c r="BB60" s="28"/>
      <c r="BC60" s="1255"/>
    </row>
    <row r="61" spans="2:55" ht="14.4">
      <c r="B61" s="1014"/>
      <c r="C61" s="1014"/>
      <c r="D61" s="1014" t="str">
        <f t="shared" si="53"/>
        <v/>
      </c>
      <c r="E61" s="1014"/>
      <c r="F61" s="1014">
        <v>60</v>
      </c>
      <c r="G61" s="1266">
        <f>'Actions bâtiments communaux'!B18</f>
        <v>0</v>
      </c>
      <c r="H61" s="1266">
        <f>IF(G61=0,,Categories!$Z$5)</f>
        <v>0</v>
      </c>
      <c r="I61" s="1266">
        <f>Objectifs!$C$11</f>
        <v>0</v>
      </c>
      <c r="J61" s="1266" t="e">
        <f>'Actions bâtiments communaux'!N18/'Actions bâtiments communaux'!$N$28</f>
        <v>#DIV/0!</v>
      </c>
      <c r="K61" s="1266"/>
      <c r="L61" s="1266"/>
      <c r="M61" s="1266"/>
      <c r="N61" s="1266"/>
      <c r="O61" s="1266">
        <f>'Actions bâtiments communaux'!C18</f>
        <v>0</v>
      </c>
      <c r="P61" s="1266">
        <f>'Actions bâtiments communaux'!D18</f>
        <v>0</v>
      </c>
      <c r="Q61" s="1266"/>
      <c r="R61" s="1266"/>
      <c r="S61" s="1266"/>
      <c r="T61" s="1266"/>
      <c r="U61" s="1266"/>
      <c r="V61" s="1266" t="str">
        <f>Categories!$Q$11</f>
        <v>Commune</v>
      </c>
      <c r="W61" s="1266" t="s">
        <v>3</v>
      </c>
      <c r="X61" s="1266" t="s">
        <v>1097</v>
      </c>
      <c r="Y61" s="1267">
        <f t="shared" si="54"/>
        <v>0</v>
      </c>
      <c r="Z61" s="1267">
        <f>'Actions bâtiments communaux'!P18</f>
        <v>0</v>
      </c>
      <c r="AA61" s="1266">
        <f>'Actions bâtiments communaux'!O18</f>
        <v>0</v>
      </c>
      <c r="AB61" s="1268">
        <f>IF(Actions!AA61="Finalisée",'Actions bâtiments communaux'!F18,0)</f>
        <v>0</v>
      </c>
      <c r="AC61" s="1268">
        <f>'Actions bâtiments communaux'!F18</f>
        <v>0</v>
      </c>
      <c r="AD61" s="1269" t="s">
        <v>1098</v>
      </c>
      <c r="AE61" s="1268">
        <f>'Actions bâtiments communaux'!G18</f>
        <v>0</v>
      </c>
      <c r="AF61" s="1266">
        <f>'Actions bâtiments communaux'!I18</f>
        <v>0</v>
      </c>
      <c r="AG61" s="1270">
        <f>'Actions bâtiments communaux'!J18/1000</f>
        <v>0</v>
      </c>
      <c r="AH61" s="1271"/>
      <c r="AI61" s="1272">
        <f>'Actions bâtiments communaux'!N18</f>
        <v>0</v>
      </c>
      <c r="AJ61" s="1838">
        <f>'Actions bâtiments communaux'!K18</f>
        <v>0</v>
      </c>
      <c r="AK61" s="1271" t="s">
        <v>1099</v>
      </c>
      <c r="AL61" s="1271"/>
      <c r="AM61" s="1171" t="str">
        <f t="shared" si="50"/>
        <v>Commune</v>
      </c>
      <c r="AN61" s="28"/>
      <c r="AO61" s="28"/>
      <c r="AP61" s="28" t="s">
        <v>1114</v>
      </c>
      <c r="AQ61" s="28"/>
      <c r="AR61" s="28">
        <f ca="1">IF(ISERROR(INDIRECT("'"&amp;#REF!&amp;"'!b$7")),0,IF(AND(I61&lt;&gt;0,INDIRECT("'"&amp;#REF!&amp;"'!b$7")=0),1,0)+IF(AND(K61&lt;&gt;0,INDIRECT("'"&amp;#REF!&amp;"'!c$7")=0),1,0)+IF(AND(M61&lt;&gt;0,INDIRECT("'"&amp;#REF!&amp;"'!b$7")=0),1,0))</f>
        <v>0</v>
      </c>
      <c r="AS61" s="28">
        <f t="shared" ca="1" si="51"/>
        <v>0</v>
      </c>
      <c r="AU61" s="28"/>
      <c r="AV61" s="28">
        <v>1</v>
      </c>
      <c r="AW61" s="28">
        <f t="shared" si="52"/>
        <v>0</v>
      </c>
      <c r="AX61" s="28">
        <f ca="1">IF(ISERROR(INDIRECT("'"&amp;#REF!&amp;"'!e$2")),0,INDIRECT("'"&amp;#REF!&amp;"'!e$2"))</f>
        <v>0</v>
      </c>
      <c r="AY61" s="28"/>
      <c r="AZ61" s="28"/>
      <c r="BA61" s="28"/>
      <c r="BB61" s="28"/>
      <c r="BC61" s="1255"/>
    </row>
    <row r="62" spans="2:55" ht="14.4">
      <c r="B62" s="1014"/>
      <c r="C62" s="1014"/>
      <c r="D62" s="1014" t="str">
        <f t="shared" si="53"/>
        <v/>
      </c>
      <c r="E62" s="1014"/>
      <c r="F62" s="1014">
        <v>61</v>
      </c>
      <c r="G62" s="1266">
        <f>'Actions bâtiments communaux'!B19</f>
        <v>0</v>
      </c>
      <c r="H62" s="1266">
        <f>IF(G62=0,,Categories!$Z$5)</f>
        <v>0</v>
      </c>
      <c r="I62" s="1266">
        <f>Objectifs!$C$11</f>
        <v>0</v>
      </c>
      <c r="J62" s="1266" t="e">
        <f>'Actions bâtiments communaux'!N19/'Actions bâtiments communaux'!$N$28</f>
        <v>#DIV/0!</v>
      </c>
      <c r="K62" s="1266"/>
      <c r="L62" s="1266"/>
      <c r="M62" s="1266"/>
      <c r="N62" s="1266"/>
      <c r="O62" s="1266">
        <f>'Actions bâtiments communaux'!C19</f>
        <v>0</v>
      </c>
      <c r="P62" s="1266">
        <f>'Actions bâtiments communaux'!D19</f>
        <v>0</v>
      </c>
      <c r="Q62" s="1266"/>
      <c r="R62" s="1266"/>
      <c r="S62" s="1266"/>
      <c r="T62" s="1266"/>
      <c r="U62" s="1266"/>
      <c r="V62" s="1266" t="str">
        <f>Categories!$Q$11</f>
        <v>Commune</v>
      </c>
      <c r="W62" s="1266" t="s">
        <v>3</v>
      </c>
      <c r="X62" s="1266" t="s">
        <v>1097</v>
      </c>
      <c r="Y62" s="1267">
        <f t="shared" si="54"/>
        <v>0</v>
      </c>
      <c r="Z62" s="1267">
        <f>'Actions bâtiments communaux'!P19</f>
        <v>0</v>
      </c>
      <c r="AA62" s="1266">
        <f>'Actions bâtiments communaux'!O19</f>
        <v>0</v>
      </c>
      <c r="AB62" s="1268">
        <f>IF(Actions!AA62="Finalisée",'Actions bâtiments communaux'!F19,0)</f>
        <v>0</v>
      </c>
      <c r="AC62" s="1268">
        <f>'Actions bâtiments communaux'!F19</f>
        <v>0</v>
      </c>
      <c r="AD62" s="1269" t="s">
        <v>1098</v>
      </c>
      <c r="AE62" s="1268">
        <f>'Actions bâtiments communaux'!G19</f>
        <v>0</v>
      </c>
      <c r="AF62" s="1266">
        <f>'Actions bâtiments communaux'!I19</f>
        <v>0</v>
      </c>
      <c r="AG62" s="1270">
        <f>'Actions bâtiments communaux'!J19/1000</f>
        <v>0</v>
      </c>
      <c r="AH62" s="1271"/>
      <c r="AI62" s="1272">
        <f>'Actions bâtiments communaux'!N19</f>
        <v>0</v>
      </c>
      <c r="AJ62" s="1838">
        <f>'Actions bâtiments communaux'!K19</f>
        <v>0</v>
      </c>
      <c r="AK62" s="1271" t="s">
        <v>1099</v>
      </c>
      <c r="AL62" s="1271"/>
      <c r="AM62" s="1171" t="str">
        <f t="shared" si="50"/>
        <v>Commune</v>
      </c>
      <c r="AN62" s="28"/>
      <c r="AO62" s="28"/>
      <c r="AP62" s="28" t="s">
        <v>1115</v>
      </c>
      <c r="AQ62" s="28"/>
      <c r="AR62" s="28">
        <f ca="1">IF(ISERROR(INDIRECT("'"&amp;#REF!&amp;"'!b$7")),0,IF(AND(I62&lt;&gt;0,INDIRECT("'"&amp;#REF!&amp;"'!b$7")=0),1,0)+IF(AND(K62&lt;&gt;0,INDIRECT("'"&amp;#REF!&amp;"'!c$7")=0),1,0)+IF(AND(M62&lt;&gt;0,INDIRECT("'"&amp;#REF!&amp;"'!b$7")=0),1,0))</f>
        <v>0</v>
      </c>
      <c r="AS62" s="28">
        <f t="shared" ca="1" si="51"/>
        <v>0</v>
      </c>
      <c r="AU62" s="28"/>
      <c r="AV62" s="28">
        <v>1</v>
      </c>
      <c r="AW62" s="28">
        <f t="shared" si="52"/>
        <v>0</v>
      </c>
      <c r="AX62" s="28">
        <f ca="1">IF(ISERROR(INDIRECT("'"&amp;#REF!&amp;"'!e$2")),0,INDIRECT("'"&amp;#REF!&amp;"'!e$2"))</f>
        <v>0</v>
      </c>
      <c r="AY62" s="28"/>
      <c r="AZ62" s="28"/>
      <c r="BA62" s="28"/>
      <c r="BB62" s="28"/>
      <c r="BC62" s="1255"/>
    </row>
    <row r="63" spans="2:55" ht="14.4">
      <c r="B63" s="1014"/>
      <c r="C63" s="1014"/>
      <c r="D63" s="1014" t="str">
        <f t="shared" si="53"/>
        <v/>
      </c>
      <c r="E63" s="1014"/>
      <c r="F63" s="1014">
        <v>62</v>
      </c>
      <c r="G63" s="1266">
        <f>'Actions bâtiments communaux'!B20</f>
        <v>0</v>
      </c>
      <c r="H63" s="1266">
        <f>IF(G63=0,,Categories!$Z$5)</f>
        <v>0</v>
      </c>
      <c r="I63" s="1266">
        <f>Objectifs!$C$11</f>
        <v>0</v>
      </c>
      <c r="J63" s="1266" t="e">
        <f>'Actions bâtiments communaux'!N20/'Actions bâtiments communaux'!$N$28</f>
        <v>#DIV/0!</v>
      </c>
      <c r="K63" s="1266"/>
      <c r="L63" s="1266"/>
      <c r="M63" s="1266"/>
      <c r="N63" s="1266"/>
      <c r="O63" s="1266">
        <f>'Actions bâtiments communaux'!C20</f>
        <v>0</v>
      </c>
      <c r="P63" s="1266">
        <f>'Actions bâtiments communaux'!D20</f>
        <v>0</v>
      </c>
      <c r="Q63" s="1266"/>
      <c r="R63" s="1266"/>
      <c r="S63" s="1266"/>
      <c r="T63" s="1266"/>
      <c r="U63" s="1266"/>
      <c r="V63" s="1266" t="str">
        <f>Categories!$Q$11</f>
        <v>Commune</v>
      </c>
      <c r="W63" s="1266" t="s">
        <v>3</v>
      </c>
      <c r="X63" s="1266" t="s">
        <v>1097</v>
      </c>
      <c r="Y63" s="1267">
        <f t="shared" si="54"/>
        <v>0</v>
      </c>
      <c r="Z63" s="1267">
        <f>'Actions bâtiments communaux'!P20</f>
        <v>0</v>
      </c>
      <c r="AA63" s="1266">
        <f>'Actions bâtiments communaux'!O20</f>
        <v>0</v>
      </c>
      <c r="AB63" s="1268">
        <f>IF(Actions!AA63="Finalisée",'Actions bâtiments communaux'!F20,0)</f>
        <v>0</v>
      </c>
      <c r="AC63" s="1268">
        <f>'Actions bâtiments communaux'!F20</f>
        <v>0</v>
      </c>
      <c r="AD63" s="1269" t="s">
        <v>1098</v>
      </c>
      <c r="AE63" s="1268">
        <f>'Actions bâtiments communaux'!G20</f>
        <v>0</v>
      </c>
      <c r="AF63" s="1266">
        <f>'Actions bâtiments communaux'!I20</f>
        <v>0</v>
      </c>
      <c r="AG63" s="1270">
        <f>'Actions bâtiments communaux'!J20/1000</f>
        <v>0</v>
      </c>
      <c r="AH63" s="1271"/>
      <c r="AI63" s="1272">
        <f>'Actions bâtiments communaux'!N20</f>
        <v>0</v>
      </c>
      <c r="AJ63" s="1838">
        <f>'Actions bâtiments communaux'!K20</f>
        <v>0</v>
      </c>
      <c r="AK63" s="1271" t="s">
        <v>1099</v>
      </c>
      <c r="AL63" s="1271"/>
      <c r="AM63" s="1171" t="str">
        <f t="shared" si="50"/>
        <v>Commune</v>
      </c>
      <c r="AN63" s="28"/>
      <c r="AO63" s="28"/>
      <c r="AP63" s="28" t="s">
        <v>1116</v>
      </c>
      <c r="AQ63" s="28"/>
      <c r="AR63" s="28">
        <f ca="1">IF(ISERROR(INDIRECT("'"&amp;#REF!&amp;"'!b$7")),0,IF(AND(I63&lt;&gt;0,INDIRECT("'"&amp;#REF!&amp;"'!b$7")=0),1,0)+IF(AND(K63&lt;&gt;0,INDIRECT("'"&amp;#REF!&amp;"'!c$7")=0),1,0)+IF(AND(M63&lt;&gt;0,INDIRECT("'"&amp;#REF!&amp;"'!b$7")=0),1,0))</f>
        <v>0</v>
      </c>
      <c r="AS63" s="28">
        <f t="shared" ca="1" si="51"/>
        <v>0</v>
      </c>
      <c r="AU63" s="28"/>
      <c r="AV63" s="28">
        <v>1</v>
      </c>
      <c r="AW63" s="28">
        <f t="shared" si="52"/>
        <v>0</v>
      </c>
      <c r="AX63" s="28">
        <f ca="1">IF(ISERROR(INDIRECT("'"&amp;#REF!&amp;"'!e$2")),0,INDIRECT("'"&amp;#REF!&amp;"'!e$2"))</f>
        <v>0</v>
      </c>
      <c r="AY63" s="28"/>
      <c r="AZ63" s="28"/>
      <c r="BA63" s="28"/>
      <c r="BB63" s="28"/>
      <c r="BC63" s="1255"/>
    </row>
    <row r="64" spans="2:55" ht="14.4">
      <c r="B64" s="1014"/>
      <c r="C64" s="1014"/>
      <c r="D64" s="1014" t="str">
        <f t="shared" si="53"/>
        <v/>
      </c>
      <c r="E64" s="1014"/>
      <c r="F64" s="1014">
        <v>63</v>
      </c>
      <c r="G64" s="1266">
        <f>'Actions bâtiments communaux'!B21</f>
        <v>0</v>
      </c>
      <c r="H64" s="1266">
        <f>IF(G64=0,,Categories!$Z$5)</f>
        <v>0</v>
      </c>
      <c r="I64" s="1266">
        <f>Objectifs!$C$11</f>
        <v>0</v>
      </c>
      <c r="J64" s="1266" t="e">
        <f>'Actions bâtiments communaux'!N21/'Actions bâtiments communaux'!$N$28</f>
        <v>#DIV/0!</v>
      </c>
      <c r="K64" s="1266"/>
      <c r="L64" s="1266"/>
      <c r="M64" s="1266"/>
      <c r="N64" s="1266"/>
      <c r="O64" s="1266">
        <f>'Actions bâtiments communaux'!C21</f>
        <v>0</v>
      </c>
      <c r="P64" s="1266">
        <f>'Actions bâtiments communaux'!D21</f>
        <v>0</v>
      </c>
      <c r="Q64" s="1266"/>
      <c r="R64" s="1266"/>
      <c r="S64" s="1266"/>
      <c r="T64" s="1266"/>
      <c r="U64" s="1266"/>
      <c r="V64" s="1266" t="str">
        <f>Categories!$Q$11</f>
        <v>Commune</v>
      </c>
      <c r="W64" s="1266" t="s">
        <v>3</v>
      </c>
      <c r="X64" s="1266" t="s">
        <v>1097</v>
      </c>
      <c r="Y64" s="1267">
        <f t="shared" si="54"/>
        <v>0</v>
      </c>
      <c r="Z64" s="1267">
        <f>'Actions bâtiments communaux'!P21</f>
        <v>0</v>
      </c>
      <c r="AA64" s="1266">
        <f>'Actions bâtiments communaux'!O21</f>
        <v>0</v>
      </c>
      <c r="AB64" s="1268">
        <f>IF(Actions!AA64="Finalisée",'Actions bâtiments communaux'!F21,0)</f>
        <v>0</v>
      </c>
      <c r="AC64" s="1268">
        <f>'Actions bâtiments communaux'!F21</f>
        <v>0</v>
      </c>
      <c r="AD64" s="1269" t="s">
        <v>1098</v>
      </c>
      <c r="AE64" s="1268">
        <f>'Actions bâtiments communaux'!G21</f>
        <v>0</v>
      </c>
      <c r="AF64" s="1266">
        <f>'Actions bâtiments communaux'!I21</f>
        <v>0</v>
      </c>
      <c r="AG64" s="1270">
        <f>'Actions bâtiments communaux'!J21/1000</f>
        <v>0</v>
      </c>
      <c r="AH64" s="1271"/>
      <c r="AI64" s="1272">
        <f>'Actions bâtiments communaux'!N21</f>
        <v>0</v>
      </c>
      <c r="AJ64" s="1838">
        <f>'Actions bâtiments communaux'!K21</f>
        <v>0</v>
      </c>
      <c r="AK64" s="1271" t="s">
        <v>1099</v>
      </c>
      <c r="AL64" s="1271"/>
      <c r="AM64" s="1171" t="str">
        <f t="shared" si="50"/>
        <v>Commune</v>
      </c>
      <c r="AN64" s="28"/>
      <c r="AO64" s="28"/>
      <c r="AP64" s="28" t="s">
        <v>1117</v>
      </c>
      <c r="AQ64" s="28"/>
      <c r="AR64" s="28">
        <f ca="1">IF(ISERROR(INDIRECT("'"&amp;#REF!&amp;"'!b$7")),0,IF(AND(I64&lt;&gt;0,INDIRECT("'"&amp;#REF!&amp;"'!b$7")=0),1,0)+IF(AND(K64&lt;&gt;0,INDIRECT("'"&amp;#REF!&amp;"'!c$7")=0),1,0)+IF(AND(M64&lt;&gt;0,INDIRECT("'"&amp;#REF!&amp;"'!b$7")=0),1,0))</f>
        <v>0</v>
      </c>
      <c r="AS64" s="28">
        <f t="shared" ca="1" si="51"/>
        <v>0</v>
      </c>
      <c r="AU64" s="28"/>
      <c r="AV64" s="28">
        <v>1</v>
      </c>
      <c r="AW64" s="28">
        <f t="shared" si="52"/>
        <v>0</v>
      </c>
      <c r="AX64" s="28">
        <f ca="1">IF(ISERROR(INDIRECT("'"&amp;#REF!&amp;"'!e$2")),0,INDIRECT("'"&amp;#REF!&amp;"'!e$2"))</f>
        <v>0</v>
      </c>
      <c r="AY64" s="28"/>
      <c r="AZ64" s="28"/>
      <c r="BA64" s="28"/>
      <c r="BB64" s="28"/>
      <c r="BC64" s="1255"/>
    </row>
    <row r="65" spans="2:55" ht="14.4">
      <c r="B65" s="1014"/>
      <c r="C65" s="1014"/>
      <c r="D65" s="1014" t="str">
        <f t="shared" si="53"/>
        <v/>
      </c>
      <c r="E65" s="1014"/>
      <c r="F65" s="1014">
        <v>64</v>
      </c>
      <c r="G65" s="1266">
        <f>'Actions bâtiments communaux'!B22</f>
        <v>0</v>
      </c>
      <c r="H65" s="1266">
        <f>IF(G65=0,,Categories!$Z$5)</f>
        <v>0</v>
      </c>
      <c r="I65" s="1266">
        <f>Objectifs!$C$11</f>
        <v>0</v>
      </c>
      <c r="J65" s="1266" t="e">
        <f>'Actions bâtiments communaux'!N22/'Actions bâtiments communaux'!$N$28</f>
        <v>#DIV/0!</v>
      </c>
      <c r="K65" s="1266"/>
      <c r="L65" s="1266"/>
      <c r="M65" s="1266"/>
      <c r="N65" s="1266"/>
      <c r="O65" s="1266">
        <f>'Actions bâtiments communaux'!C22</f>
        <v>0</v>
      </c>
      <c r="P65" s="1266">
        <f>'Actions bâtiments communaux'!D22</f>
        <v>0</v>
      </c>
      <c r="Q65" s="1266"/>
      <c r="R65" s="1266"/>
      <c r="S65" s="1266"/>
      <c r="T65" s="1266"/>
      <c r="U65" s="1266"/>
      <c r="V65" s="1266" t="str">
        <f>Categories!$Q$11</f>
        <v>Commune</v>
      </c>
      <c r="W65" s="1266" t="s">
        <v>3</v>
      </c>
      <c r="X65" s="1266" t="s">
        <v>1097</v>
      </c>
      <c r="Y65" s="1267">
        <f t="shared" si="54"/>
        <v>0</v>
      </c>
      <c r="Z65" s="1267">
        <f>'Actions bâtiments communaux'!P22</f>
        <v>0</v>
      </c>
      <c r="AA65" s="1266">
        <f>'Actions bâtiments communaux'!O22</f>
        <v>0</v>
      </c>
      <c r="AB65" s="1268">
        <f>IF(Actions!AA65="Finalisée",'Actions bâtiments communaux'!F22,0)</f>
        <v>0</v>
      </c>
      <c r="AC65" s="1268">
        <f>'Actions bâtiments communaux'!F22</f>
        <v>0</v>
      </c>
      <c r="AD65" s="1269" t="s">
        <v>1098</v>
      </c>
      <c r="AE65" s="1268">
        <f>'Actions bâtiments communaux'!G22</f>
        <v>0</v>
      </c>
      <c r="AF65" s="1266">
        <f>'Actions bâtiments communaux'!I22</f>
        <v>0</v>
      </c>
      <c r="AG65" s="1270">
        <f>'Actions bâtiments communaux'!J22/1000</f>
        <v>0</v>
      </c>
      <c r="AH65" s="1271"/>
      <c r="AI65" s="1272">
        <f>'Actions bâtiments communaux'!N22</f>
        <v>0</v>
      </c>
      <c r="AJ65" s="1838">
        <f>'Actions bâtiments communaux'!K22</f>
        <v>0</v>
      </c>
      <c r="AK65" s="1271" t="s">
        <v>1099</v>
      </c>
      <c r="AL65" s="1271"/>
      <c r="AM65" s="1171" t="str">
        <f t="shared" si="50"/>
        <v>Commune</v>
      </c>
      <c r="AN65" s="28"/>
      <c r="AO65" s="28"/>
      <c r="AP65" s="28" t="s">
        <v>1118</v>
      </c>
      <c r="AQ65" s="28"/>
      <c r="AR65" s="28">
        <f ca="1">IF(ISERROR(INDIRECT("'"&amp;#REF!&amp;"'!b$7")),0,IF(AND(I65&lt;&gt;0,INDIRECT("'"&amp;#REF!&amp;"'!b$7")=0),1,0)+IF(AND(K65&lt;&gt;0,INDIRECT("'"&amp;#REF!&amp;"'!c$7")=0),1,0)+IF(AND(M65&lt;&gt;0,INDIRECT("'"&amp;#REF!&amp;"'!b$7")=0),1,0))</f>
        <v>0</v>
      </c>
      <c r="AS65" s="28">
        <f t="shared" ca="1" si="51"/>
        <v>0</v>
      </c>
      <c r="AU65" s="28"/>
      <c r="AV65" s="28">
        <v>1</v>
      </c>
      <c r="AW65" s="28">
        <f t="shared" si="52"/>
        <v>0</v>
      </c>
      <c r="AX65" s="28">
        <f ca="1">IF(ISERROR(INDIRECT("'"&amp;#REF!&amp;"'!e$2")),0,INDIRECT("'"&amp;#REF!&amp;"'!e$2"))</f>
        <v>0</v>
      </c>
      <c r="AY65" s="28"/>
      <c r="AZ65" s="28"/>
      <c r="BA65" s="28"/>
      <c r="BB65" s="28"/>
      <c r="BC65" s="1255"/>
    </row>
    <row r="66" spans="2:55" ht="14.4">
      <c r="B66" s="1014"/>
      <c r="C66" s="1014"/>
      <c r="D66" s="1014" t="str">
        <f t="shared" si="53"/>
        <v/>
      </c>
      <c r="E66" s="1014"/>
      <c r="F66" s="1014">
        <v>65</v>
      </c>
      <c r="G66" s="1266">
        <f>'Actions bâtiments communaux'!B23</f>
        <v>0</v>
      </c>
      <c r="H66" s="1266">
        <f>IF(G66=0,,Categories!$Z$5)</f>
        <v>0</v>
      </c>
      <c r="I66" s="1266">
        <f>Objectifs!$C$11</f>
        <v>0</v>
      </c>
      <c r="J66" s="1266" t="e">
        <f>'Actions bâtiments communaux'!N23/'Actions bâtiments communaux'!$N$28</f>
        <v>#DIV/0!</v>
      </c>
      <c r="K66" s="1266"/>
      <c r="L66" s="1266"/>
      <c r="M66" s="1266"/>
      <c r="N66" s="1266"/>
      <c r="O66" s="1266">
        <f>'Actions bâtiments communaux'!C23</f>
        <v>0</v>
      </c>
      <c r="P66" s="1266">
        <f>'Actions bâtiments communaux'!D23</f>
        <v>0</v>
      </c>
      <c r="Q66" s="1266"/>
      <c r="R66" s="1266"/>
      <c r="S66" s="1266"/>
      <c r="T66" s="1266"/>
      <c r="U66" s="1266"/>
      <c r="V66" s="1266" t="str">
        <f>Categories!$Q$11</f>
        <v>Commune</v>
      </c>
      <c r="W66" s="1266" t="s">
        <v>3</v>
      </c>
      <c r="X66" s="1266" t="s">
        <v>1097</v>
      </c>
      <c r="Y66" s="1267">
        <f t="shared" si="54"/>
        <v>0</v>
      </c>
      <c r="Z66" s="1267">
        <f>'Actions bâtiments communaux'!P23</f>
        <v>0</v>
      </c>
      <c r="AA66" s="1266">
        <f>'Actions bâtiments communaux'!O23</f>
        <v>0</v>
      </c>
      <c r="AB66" s="1268">
        <f>IF(Actions!AA66="Finalisée",'Actions bâtiments communaux'!F23,0)</f>
        <v>0</v>
      </c>
      <c r="AC66" s="1268">
        <f>'Actions bâtiments communaux'!F23</f>
        <v>0</v>
      </c>
      <c r="AD66" s="1269" t="s">
        <v>1098</v>
      </c>
      <c r="AE66" s="1268">
        <f>'Actions bâtiments communaux'!G23</f>
        <v>0</v>
      </c>
      <c r="AF66" s="1266">
        <f>'Actions bâtiments communaux'!I23</f>
        <v>0</v>
      </c>
      <c r="AG66" s="1270">
        <f>'Actions bâtiments communaux'!J23/1000</f>
        <v>0</v>
      </c>
      <c r="AH66" s="1271"/>
      <c r="AI66" s="1272">
        <f>'Actions bâtiments communaux'!N23</f>
        <v>0</v>
      </c>
      <c r="AJ66" s="1838">
        <f>'Actions bâtiments communaux'!K23</f>
        <v>0</v>
      </c>
      <c r="AK66" s="1271" t="s">
        <v>1099</v>
      </c>
      <c r="AL66" s="1271"/>
      <c r="AM66" s="1171" t="str">
        <f t="shared" si="50"/>
        <v>Commune</v>
      </c>
      <c r="AN66" s="28"/>
      <c r="AO66" s="28"/>
      <c r="AP66" s="28" t="s">
        <v>1119</v>
      </c>
      <c r="AQ66" s="28"/>
      <c r="AR66" s="28">
        <f ca="1">IF(ISERROR(INDIRECT("'"&amp;#REF!&amp;"'!b$7")),0,IF(AND(I66&lt;&gt;0,INDIRECT("'"&amp;#REF!&amp;"'!b$7")=0),1,0)+IF(AND(K66&lt;&gt;0,INDIRECT("'"&amp;#REF!&amp;"'!c$7")=0),1,0)+IF(AND(M66&lt;&gt;0,INDIRECT("'"&amp;#REF!&amp;"'!b$7")=0),1,0))</f>
        <v>0</v>
      </c>
      <c r="AS66" s="28">
        <f t="shared" ca="1" si="51"/>
        <v>0</v>
      </c>
      <c r="AU66" s="28"/>
      <c r="AV66" s="28">
        <v>1</v>
      </c>
      <c r="AW66" s="28">
        <f t="shared" si="52"/>
        <v>0</v>
      </c>
      <c r="AX66" s="28">
        <f ca="1">IF(ISERROR(INDIRECT("'"&amp;#REF!&amp;"'!e$2")),0,INDIRECT("'"&amp;#REF!&amp;"'!e$2"))</f>
        <v>0</v>
      </c>
      <c r="AY66" s="28"/>
      <c r="AZ66" s="28"/>
      <c r="BA66" s="28"/>
      <c r="BB66" s="28"/>
      <c r="BC66" s="1255"/>
    </row>
    <row r="67" spans="2:55" ht="14.4">
      <c r="B67" s="1014"/>
      <c r="C67" s="1014"/>
      <c r="D67" s="1014" t="str">
        <f t="shared" si="53"/>
        <v/>
      </c>
      <c r="E67" s="1014"/>
      <c r="F67" s="1014">
        <v>66</v>
      </c>
      <c r="G67" s="1266">
        <f>'Actions bâtiments communaux'!B24</f>
        <v>0</v>
      </c>
      <c r="H67" s="1266">
        <f>IF(G67=0,,Categories!$Z$5)</f>
        <v>0</v>
      </c>
      <c r="I67" s="1266">
        <f>Objectifs!$C$11</f>
        <v>0</v>
      </c>
      <c r="J67" s="1266" t="e">
        <f>'Actions bâtiments communaux'!N24/'Actions bâtiments communaux'!$N$28</f>
        <v>#DIV/0!</v>
      </c>
      <c r="K67" s="1266"/>
      <c r="L67" s="1266"/>
      <c r="M67" s="1266"/>
      <c r="N67" s="1266"/>
      <c r="O67" s="1266">
        <f>'Actions bâtiments communaux'!C24</f>
        <v>0</v>
      </c>
      <c r="P67" s="1266">
        <f>'Actions bâtiments communaux'!D24</f>
        <v>0</v>
      </c>
      <c r="Q67" s="1266"/>
      <c r="R67" s="1266"/>
      <c r="S67" s="1266"/>
      <c r="T67" s="1266"/>
      <c r="U67" s="1266"/>
      <c r="V67" s="1266" t="str">
        <f>Categories!$Q$11</f>
        <v>Commune</v>
      </c>
      <c r="W67" s="1266" t="s">
        <v>3</v>
      </c>
      <c r="X67" s="1266" t="s">
        <v>1097</v>
      </c>
      <c r="Y67" s="1267">
        <f t="shared" si="54"/>
        <v>0</v>
      </c>
      <c r="Z67" s="1267">
        <f>'Actions bâtiments communaux'!P24</f>
        <v>0</v>
      </c>
      <c r="AA67" s="1266">
        <f>'Actions bâtiments communaux'!O24</f>
        <v>0</v>
      </c>
      <c r="AB67" s="1268">
        <f>IF(Actions!AA67="Finalisée",'Actions bâtiments communaux'!F24,0)</f>
        <v>0</v>
      </c>
      <c r="AC67" s="1268">
        <f>'Actions bâtiments communaux'!F24</f>
        <v>0</v>
      </c>
      <c r="AD67" s="1269" t="s">
        <v>1098</v>
      </c>
      <c r="AE67" s="1268">
        <f>'Actions bâtiments communaux'!G24</f>
        <v>0</v>
      </c>
      <c r="AF67" s="1266">
        <f>'Actions bâtiments communaux'!I24</f>
        <v>0</v>
      </c>
      <c r="AG67" s="1270">
        <f>'Actions bâtiments communaux'!J24/1000</f>
        <v>0</v>
      </c>
      <c r="AH67" s="1271"/>
      <c r="AI67" s="1272">
        <f>'Actions bâtiments communaux'!N24</f>
        <v>0</v>
      </c>
      <c r="AJ67" s="1838">
        <f>'Actions bâtiments communaux'!K24</f>
        <v>0</v>
      </c>
      <c r="AK67" s="1271" t="s">
        <v>1099</v>
      </c>
      <c r="AL67" s="1271"/>
      <c r="AM67" s="1171" t="str">
        <f t="shared" si="50"/>
        <v>Commune</v>
      </c>
      <c r="AN67" s="28"/>
      <c r="AO67" s="28"/>
      <c r="AP67" s="28" t="s">
        <v>1120</v>
      </c>
      <c r="AQ67" s="28"/>
      <c r="AR67" s="28">
        <f ca="1">IF(ISERROR(INDIRECT("'"&amp;#REF!&amp;"'!b$7")),0,IF(AND(I67&lt;&gt;0,INDIRECT("'"&amp;#REF!&amp;"'!b$7")=0),1,0)+IF(AND(K67&lt;&gt;0,INDIRECT("'"&amp;#REF!&amp;"'!c$7")=0),1,0)+IF(AND(M67&lt;&gt;0,INDIRECT("'"&amp;#REF!&amp;"'!b$7")=0),1,0))</f>
        <v>0</v>
      </c>
      <c r="AS67" s="28">
        <f t="shared" ca="1" si="51"/>
        <v>0</v>
      </c>
      <c r="AU67" s="28"/>
      <c r="AV67" s="28">
        <v>1</v>
      </c>
      <c r="AW67" s="28">
        <f>IF(AC67=0,0,AE67/AC67)</f>
        <v>0</v>
      </c>
      <c r="AX67" s="28">
        <f ca="1">IF(ISERROR(INDIRECT("'"&amp;#REF!&amp;"'!e$2")),0,INDIRECT("'"&amp;#REF!&amp;"'!e$2"))</f>
        <v>0</v>
      </c>
      <c r="AY67" s="28"/>
      <c r="AZ67" s="28"/>
      <c r="BA67" s="28"/>
      <c r="BB67" s="28"/>
      <c r="BC67" s="1255"/>
    </row>
    <row r="68" spans="2:55" ht="14.4">
      <c r="B68" s="1014"/>
      <c r="C68" s="1014"/>
      <c r="D68" s="1014" t="str">
        <f t="shared" si="53"/>
        <v/>
      </c>
      <c r="E68" s="1014"/>
      <c r="F68" s="1014">
        <v>67</v>
      </c>
      <c r="G68" s="1266">
        <f>'Actions bâtiments communaux'!B25</f>
        <v>0</v>
      </c>
      <c r="H68" s="1266">
        <f>IF(G68=0,,Categories!$Z$5)</f>
        <v>0</v>
      </c>
      <c r="I68" s="1266">
        <f>Objectifs!$C$11</f>
        <v>0</v>
      </c>
      <c r="J68" s="1266" t="e">
        <f>'Actions bâtiments communaux'!N25/'Actions bâtiments communaux'!$N$28</f>
        <v>#DIV/0!</v>
      </c>
      <c r="K68" s="1266"/>
      <c r="L68" s="1266"/>
      <c r="M68" s="1266"/>
      <c r="N68" s="1266"/>
      <c r="O68" s="1266">
        <f>'Actions bâtiments communaux'!C25</f>
        <v>0</v>
      </c>
      <c r="P68" s="1266">
        <f>'Actions bâtiments communaux'!D25</f>
        <v>0</v>
      </c>
      <c r="Q68" s="1266"/>
      <c r="R68" s="1266"/>
      <c r="S68" s="1266"/>
      <c r="T68" s="1266"/>
      <c r="U68" s="1266"/>
      <c r="V68" s="1266" t="str">
        <f>Categories!$Q$11</f>
        <v>Commune</v>
      </c>
      <c r="W68" s="1266" t="s">
        <v>3</v>
      </c>
      <c r="X68" s="1266" t="s">
        <v>1097</v>
      </c>
      <c r="Y68" s="1267">
        <f t="shared" si="54"/>
        <v>0</v>
      </c>
      <c r="Z68" s="1267">
        <f>'Actions bâtiments communaux'!P25</f>
        <v>0</v>
      </c>
      <c r="AA68" s="1266">
        <f>'Actions bâtiments communaux'!O25</f>
        <v>0</v>
      </c>
      <c r="AB68" s="1268">
        <f>IF(Actions!AA68="Finalisée",'Actions bâtiments communaux'!F25,0)</f>
        <v>0</v>
      </c>
      <c r="AC68" s="1268">
        <f>'Actions bâtiments communaux'!F25</f>
        <v>0</v>
      </c>
      <c r="AD68" s="1269" t="s">
        <v>1098</v>
      </c>
      <c r="AE68" s="1268">
        <f>'Actions bâtiments communaux'!G25</f>
        <v>0</v>
      </c>
      <c r="AF68" s="1266">
        <f>'Actions bâtiments communaux'!I25</f>
        <v>0</v>
      </c>
      <c r="AG68" s="1270">
        <f>'Actions bâtiments communaux'!J25/1000</f>
        <v>0</v>
      </c>
      <c r="AH68" s="1271"/>
      <c r="AI68" s="1272">
        <f>'Actions bâtiments communaux'!N25</f>
        <v>0</v>
      </c>
      <c r="AJ68" s="1838">
        <f>'Actions bâtiments communaux'!K25</f>
        <v>0</v>
      </c>
      <c r="AK68" s="1271" t="s">
        <v>1099</v>
      </c>
      <c r="AL68" s="1271"/>
      <c r="AM68" s="1171" t="str">
        <f t="shared" si="50"/>
        <v>Commune</v>
      </c>
      <c r="AN68" s="28"/>
      <c r="AO68" s="28"/>
      <c r="AP68" s="28" t="s">
        <v>1121</v>
      </c>
      <c r="AQ68" s="28"/>
      <c r="AR68" s="28">
        <f ca="1">IF(ISERROR(INDIRECT("'"&amp;#REF!&amp;"'!b$7")),0,IF(AND(I68&lt;&gt;0,INDIRECT("'"&amp;#REF!&amp;"'!b$7")=0),1,0)+IF(AND(K68&lt;&gt;0,INDIRECT("'"&amp;#REF!&amp;"'!c$7")=0),1,0)+IF(AND(M68&lt;&gt;0,INDIRECT("'"&amp;#REF!&amp;"'!b$7")=0),1,0))</f>
        <v>0</v>
      </c>
      <c r="AS68" s="28">
        <f ca="1">IF(AR68&lt;&gt;0,1,0)</f>
        <v>0</v>
      </c>
      <c r="AU68" s="28"/>
      <c r="AV68" s="28">
        <v>1</v>
      </c>
      <c r="AW68" s="28">
        <f>IF(AC68=0,0,AE68/AC68)</f>
        <v>0</v>
      </c>
      <c r="AX68" s="28">
        <f ca="1">IF(ISERROR(INDIRECT("'"&amp;#REF!&amp;"'!e$2")),0,INDIRECT("'"&amp;#REF!&amp;"'!e$2"))</f>
        <v>0</v>
      </c>
      <c r="AY68" s="28"/>
      <c r="AZ68" s="28"/>
      <c r="BA68" s="28"/>
      <c r="BB68" s="28"/>
      <c r="BC68" s="1255"/>
    </row>
    <row r="69" spans="2:55" ht="14.4">
      <c r="B69" s="1014"/>
      <c r="C69" s="1014"/>
      <c r="D69" s="1014" t="str">
        <f t="shared" si="53"/>
        <v/>
      </c>
      <c r="E69" s="1014"/>
      <c r="F69" s="1014">
        <v>68</v>
      </c>
      <c r="G69" s="1266">
        <f>'Actions bâtiments communaux'!B26</f>
        <v>0</v>
      </c>
      <c r="H69" s="1266">
        <f>IF(G69=0,,Categories!$Z$5)</f>
        <v>0</v>
      </c>
      <c r="I69" s="1266">
        <f>Objectifs!$C$11</f>
        <v>0</v>
      </c>
      <c r="J69" s="1266" t="e">
        <f>'Actions bâtiments communaux'!N26/'Actions bâtiments communaux'!$N$28</f>
        <v>#DIV/0!</v>
      </c>
      <c r="K69" s="1266"/>
      <c r="L69" s="1266"/>
      <c r="M69" s="1266"/>
      <c r="N69" s="1266"/>
      <c r="O69" s="1266">
        <f>'Actions bâtiments communaux'!C26</f>
        <v>0</v>
      </c>
      <c r="P69" s="1266">
        <f>'Actions bâtiments communaux'!D26</f>
        <v>0</v>
      </c>
      <c r="Q69" s="1266"/>
      <c r="R69" s="1266"/>
      <c r="S69" s="1266"/>
      <c r="T69" s="1266"/>
      <c r="U69" s="1266"/>
      <c r="V69" s="1266" t="str">
        <f>Categories!$Q$11</f>
        <v>Commune</v>
      </c>
      <c r="W69" s="1266" t="s">
        <v>3</v>
      </c>
      <c r="X69" s="1266" t="s">
        <v>1097</v>
      </c>
      <c r="Y69" s="1267">
        <f t="shared" si="54"/>
        <v>0</v>
      </c>
      <c r="Z69" s="1267">
        <f>'Actions bâtiments communaux'!P26</f>
        <v>0</v>
      </c>
      <c r="AA69" s="1266">
        <f>'Actions bâtiments communaux'!O26</f>
        <v>0</v>
      </c>
      <c r="AB69" s="1268">
        <f>IF(Actions!AA69="Finalisée",'Actions bâtiments communaux'!F26,0)</f>
        <v>0</v>
      </c>
      <c r="AC69" s="1268">
        <f>'Actions bâtiments communaux'!F26</f>
        <v>0</v>
      </c>
      <c r="AD69" s="1269" t="s">
        <v>1098</v>
      </c>
      <c r="AE69" s="1268">
        <f>'Actions bâtiments communaux'!G26</f>
        <v>0</v>
      </c>
      <c r="AF69" s="1266">
        <f>'Actions bâtiments communaux'!I26</f>
        <v>0</v>
      </c>
      <c r="AG69" s="1270">
        <f>'Actions bâtiments communaux'!J26/1000</f>
        <v>0</v>
      </c>
      <c r="AH69" s="1271"/>
      <c r="AI69" s="1272">
        <f>'Actions bâtiments communaux'!N26</f>
        <v>0</v>
      </c>
      <c r="AJ69" s="1838">
        <f>'Actions bâtiments communaux'!K26</f>
        <v>0</v>
      </c>
      <c r="AK69" s="1271" t="s">
        <v>1099</v>
      </c>
      <c r="AL69" s="1271"/>
      <c r="AM69" s="1171" t="str">
        <f t="shared" si="50"/>
        <v>Commune</v>
      </c>
      <c r="AN69" s="28"/>
      <c r="AO69" s="28"/>
      <c r="AP69" s="28" t="s">
        <v>1122</v>
      </c>
      <c r="AQ69" s="28"/>
      <c r="AR69" s="28">
        <f ca="1">IF(ISERROR(INDIRECT("'"&amp;#REF!&amp;"'!b$7")),0,IF(AND(I69&lt;&gt;0,INDIRECT("'"&amp;#REF!&amp;"'!b$7")=0),1,0)+IF(AND(K69&lt;&gt;0,INDIRECT("'"&amp;#REF!&amp;"'!c$7")=0),1,0)+IF(AND(M69&lt;&gt;0,INDIRECT("'"&amp;#REF!&amp;"'!b$7")=0),1,0))</f>
        <v>0</v>
      </c>
      <c r="AS69" s="28">
        <f ca="1">IF(AR69&lt;&gt;0,1,0)</f>
        <v>0</v>
      </c>
      <c r="AU69" s="28"/>
      <c r="AV69" s="28">
        <v>1</v>
      </c>
      <c r="AW69" s="28">
        <f>IF(AC69=0,0,AE69/AC69)</f>
        <v>0</v>
      </c>
      <c r="AX69" s="28">
        <f ca="1">IF(ISERROR(INDIRECT("'"&amp;#REF!&amp;"'!e$2")),0,INDIRECT("'"&amp;#REF!&amp;"'!e$2"))</f>
        <v>0</v>
      </c>
      <c r="AY69" s="28"/>
      <c r="AZ69" s="28"/>
      <c r="BA69" s="28"/>
      <c r="BB69" s="28"/>
      <c r="BC69" s="1255"/>
    </row>
    <row r="70" spans="2:55" ht="14.4">
      <c r="B70" s="1014"/>
      <c r="C70" s="1014"/>
      <c r="D70" s="1014" t="str">
        <f t="shared" si="53"/>
        <v/>
      </c>
      <c r="E70" s="1014"/>
      <c r="F70" s="1014">
        <v>69</v>
      </c>
      <c r="G70" s="1266">
        <f>'Actions bâtiments communaux'!B27</f>
        <v>0</v>
      </c>
      <c r="H70" s="1266">
        <f>IF(G70=0,,Categories!$Z$5)</f>
        <v>0</v>
      </c>
      <c r="I70" s="1266">
        <f>Objectifs!$C$11</f>
        <v>0</v>
      </c>
      <c r="J70" s="1266" t="e">
        <f>'Actions bâtiments communaux'!N27/'Actions bâtiments communaux'!$N$28</f>
        <v>#DIV/0!</v>
      </c>
      <c r="K70" s="1266"/>
      <c r="L70" s="1266"/>
      <c r="M70" s="1266"/>
      <c r="N70" s="1266"/>
      <c r="O70" s="1266">
        <f>'Actions bâtiments communaux'!C27</f>
        <v>0</v>
      </c>
      <c r="P70" s="1266">
        <f>'Actions bâtiments communaux'!D27</f>
        <v>0</v>
      </c>
      <c r="Q70" s="1266"/>
      <c r="R70" s="1266"/>
      <c r="S70" s="1266"/>
      <c r="T70" s="1266"/>
      <c r="U70" s="1266"/>
      <c r="V70" s="1266" t="str">
        <f>Categories!$Q$11</f>
        <v>Commune</v>
      </c>
      <c r="W70" s="1266" t="s">
        <v>3</v>
      </c>
      <c r="X70" s="1266" t="s">
        <v>1097</v>
      </c>
      <c r="Y70" s="1267">
        <f t="shared" si="54"/>
        <v>0</v>
      </c>
      <c r="Z70" s="1267">
        <f>'Actions bâtiments communaux'!P27</f>
        <v>0</v>
      </c>
      <c r="AA70" s="1266">
        <f>'Actions bâtiments communaux'!O27</f>
        <v>0</v>
      </c>
      <c r="AB70" s="1268">
        <f>IF(Actions!AA70="Finalisée",'Actions bâtiments communaux'!F27,0)</f>
        <v>0</v>
      </c>
      <c r="AC70" s="1268">
        <f>'Actions bâtiments communaux'!F27</f>
        <v>0</v>
      </c>
      <c r="AD70" s="1269" t="s">
        <v>1098</v>
      </c>
      <c r="AE70" s="1268">
        <f>'Actions bâtiments communaux'!G27</f>
        <v>0</v>
      </c>
      <c r="AF70" s="1266">
        <f>'Actions bâtiments communaux'!I27</f>
        <v>0</v>
      </c>
      <c r="AG70" s="1270">
        <f>'Actions bâtiments communaux'!J27/1000</f>
        <v>0</v>
      </c>
      <c r="AH70" s="1271"/>
      <c r="AI70" s="1272">
        <f>'Actions bâtiments communaux'!N27</f>
        <v>0</v>
      </c>
      <c r="AJ70" s="1838">
        <f>'Actions bâtiments communaux'!K27</f>
        <v>0</v>
      </c>
      <c r="AK70" s="1271" t="s">
        <v>1099</v>
      </c>
      <c r="AL70" s="1271"/>
      <c r="AM70" s="1171" t="str">
        <f t="shared" si="50"/>
        <v>Commune</v>
      </c>
      <c r="AN70" s="28"/>
      <c r="AO70" s="28"/>
      <c r="AP70" s="28" t="s">
        <v>1123</v>
      </c>
      <c r="AQ70" s="28"/>
      <c r="AR70" s="28">
        <f ca="1">IF(ISERROR(INDIRECT("'"&amp;#REF!&amp;"'!b$7")),0,IF(AND(I70&lt;&gt;0,INDIRECT("'"&amp;#REF!&amp;"'!b$7")=0),1,0)+IF(AND(K70&lt;&gt;0,INDIRECT("'"&amp;#REF!&amp;"'!c$7")=0),1,0)+IF(AND(M70&lt;&gt;0,INDIRECT("'"&amp;#REF!&amp;"'!b$7")=0),1,0))</f>
        <v>0</v>
      </c>
      <c r="AS70" s="28">
        <f ca="1">IF(AR70&lt;&gt;0,1,0)</f>
        <v>0</v>
      </c>
      <c r="AU70" s="28"/>
      <c r="AV70" s="28">
        <v>1</v>
      </c>
      <c r="AW70" s="28">
        <f>IF(AC70=0,0,AE70/AC70)</f>
        <v>0</v>
      </c>
      <c r="AX70" s="28">
        <f ca="1">IF(ISERROR(INDIRECT("'"&amp;#REF!&amp;"'!e$2")),0,INDIRECT("'"&amp;#REF!&amp;"'!e$2"))</f>
        <v>0</v>
      </c>
      <c r="AY70" s="28"/>
      <c r="AZ70" s="28"/>
      <c r="BA70" s="28"/>
      <c r="BB70" s="28"/>
      <c r="BC70" s="1255"/>
    </row>
    <row r="71" spans="2:55" s="4" customFormat="1" ht="82.35" customHeight="1">
      <c r="B71" s="28"/>
      <c r="C71" s="28"/>
      <c r="D71" s="28"/>
      <c r="E71" s="28"/>
      <c r="F71" s="28"/>
      <c r="G71" s="28"/>
      <c r="H71" s="28"/>
      <c r="I71" s="28"/>
      <c r="J71" s="28"/>
      <c r="K71" s="28"/>
      <c r="L71" s="1273"/>
      <c r="M71" s="28"/>
      <c r="N71" s="1273"/>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1255"/>
    </row>
    <row r="72" spans="2:55" s="4" customFormat="1" ht="82.35" customHeight="1">
      <c r="B72" s="28"/>
      <c r="C72" s="28"/>
      <c r="D72" s="28"/>
      <c r="E72" s="28"/>
      <c r="F72" s="28"/>
      <c r="G72" s="28"/>
      <c r="H72" s="28"/>
      <c r="I72" s="28"/>
      <c r="J72" s="28"/>
      <c r="K72" s="28"/>
      <c r="L72" s="1273"/>
      <c r="M72" s="28"/>
      <c r="N72" s="1273"/>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1255"/>
    </row>
    <row r="73" spans="2:55" s="4" customFormat="1" ht="82.35" customHeight="1">
      <c r="B73" s="28"/>
      <c r="C73" s="28"/>
      <c r="D73" s="28"/>
      <c r="E73" s="28"/>
      <c r="F73" s="28"/>
      <c r="G73" s="28"/>
      <c r="H73" s="28"/>
      <c r="I73" s="28"/>
      <c r="J73" s="28"/>
      <c r="K73" s="28"/>
      <c r="L73" s="1273"/>
      <c r="M73" s="28"/>
      <c r="N73" s="1273"/>
      <c r="O73" s="28"/>
      <c r="P73" s="28"/>
      <c r="Q73" s="28"/>
      <c r="R73" s="28"/>
      <c r="S73" s="28"/>
      <c r="T73" s="28"/>
      <c r="U73" s="28"/>
      <c r="V73" s="28"/>
      <c r="W73" s="28"/>
      <c r="X73" s="28"/>
      <c r="Y73" s="28"/>
      <c r="Z73" s="28"/>
      <c r="AA73" s="28"/>
      <c r="AB73" s="28"/>
      <c r="AC73" s="1274"/>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1255"/>
    </row>
    <row r="74" spans="2:55" s="4" customFormat="1" ht="82.35" customHeight="1">
      <c r="B74" s="28"/>
      <c r="C74" s="28"/>
      <c r="D74" s="28"/>
      <c r="E74" s="28"/>
      <c r="F74" s="28"/>
      <c r="G74" s="28"/>
      <c r="H74" s="28"/>
      <c r="I74" s="28"/>
      <c r="J74" s="28"/>
      <c r="K74" s="28"/>
      <c r="L74" s="1273"/>
      <c r="M74" s="28"/>
      <c r="N74" s="1273"/>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1255"/>
    </row>
    <row r="75" spans="2:55" s="4" customFormat="1" ht="82.35" customHeight="1">
      <c r="B75" s="28"/>
      <c r="C75" s="28"/>
      <c r="D75" s="28"/>
      <c r="E75" s="28"/>
      <c r="F75" s="28"/>
      <c r="G75" s="28"/>
      <c r="H75" s="28"/>
      <c r="I75" s="28"/>
      <c r="J75" s="28"/>
      <c r="K75" s="28"/>
      <c r="L75" s="1273"/>
      <c r="M75" s="28"/>
      <c r="N75" s="1273"/>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1255"/>
    </row>
    <row r="76" spans="2:55" s="4" customFormat="1" ht="82.35" customHeight="1">
      <c r="B76" s="28"/>
      <c r="C76" s="28"/>
      <c r="D76" s="28"/>
      <c r="E76" s="28"/>
      <c r="F76" s="28"/>
      <c r="G76" s="28"/>
      <c r="H76" s="28"/>
      <c r="I76" s="28"/>
      <c r="J76" s="28"/>
      <c r="K76" s="28"/>
      <c r="L76" s="1273"/>
      <c r="M76" s="28"/>
      <c r="N76" s="1273"/>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1255"/>
    </row>
    <row r="77" spans="2:55" s="4" customFormat="1" ht="82.35" customHeight="1">
      <c r="B77" s="28"/>
      <c r="C77" s="28"/>
      <c r="D77" s="28"/>
      <c r="E77" s="28"/>
      <c r="F77" s="28"/>
      <c r="G77" s="28"/>
      <c r="H77" s="28"/>
      <c r="I77" s="28"/>
      <c r="J77" s="28"/>
      <c r="K77" s="28"/>
      <c r="L77" s="1273"/>
      <c r="M77" s="28"/>
      <c r="N77" s="1273"/>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1255"/>
    </row>
    <row r="78" spans="2:55" s="4" customFormat="1" ht="82.35" customHeight="1">
      <c r="B78" s="28"/>
      <c r="C78" s="28"/>
      <c r="D78" s="28"/>
      <c r="E78" s="28"/>
      <c r="F78" s="28"/>
      <c r="G78" s="28"/>
      <c r="H78" s="28"/>
      <c r="I78" s="28"/>
      <c r="J78" s="28"/>
      <c r="K78" s="28"/>
      <c r="L78" s="1273"/>
      <c r="M78" s="28"/>
      <c r="N78" s="1273"/>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1255"/>
    </row>
    <row r="79" spans="2:55" s="4" customFormat="1" ht="82.35" customHeight="1">
      <c r="B79" s="28"/>
      <c r="C79" s="28"/>
      <c r="D79" s="28"/>
      <c r="E79" s="28"/>
      <c r="F79" s="28"/>
      <c r="G79" s="28"/>
      <c r="H79" s="28"/>
      <c r="I79" s="28"/>
      <c r="J79" s="28"/>
      <c r="K79" s="28"/>
      <c r="L79" s="1273"/>
      <c r="M79" s="28"/>
      <c r="N79" s="1273"/>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1255"/>
    </row>
    <row r="80" spans="2:55" s="4" customFormat="1" ht="82.35" customHeight="1">
      <c r="B80" s="28"/>
      <c r="C80" s="28"/>
      <c r="D80" s="28"/>
      <c r="E80" s="28"/>
      <c r="F80" s="28"/>
      <c r="G80" s="28"/>
      <c r="H80" s="28"/>
      <c r="I80" s="28"/>
      <c r="J80" s="28"/>
      <c r="K80" s="28"/>
      <c r="L80" s="1273"/>
      <c r="M80" s="28"/>
      <c r="N80" s="1273"/>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1255"/>
    </row>
    <row r="81" spans="12:55" s="4" customFormat="1" ht="82.35" customHeight="1">
      <c r="L81" s="1273"/>
      <c r="M81" s="28"/>
      <c r="N81" s="1273"/>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1255"/>
    </row>
    <row r="82" spans="12:55" s="4" customFormat="1" ht="82.35" customHeight="1">
      <c r="L82" s="1273"/>
      <c r="M82" s="28"/>
      <c r="N82" s="1273"/>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1255"/>
    </row>
    <row r="83" spans="12:55" s="4" customFormat="1" ht="82.35" customHeight="1">
      <c r="L83" s="1273"/>
      <c r="M83" s="28"/>
      <c r="N83" s="1273"/>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1255"/>
    </row>
    <row r="84" spans="12:55" s="4" customFormat="1" ht="82.35" customHeight="1">
      <c r="L84" s="1273"/>
      <c r="M84" s="28"/>
      <c r="N84" s="1273"/>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1255"/>
    </row>
    <row r="85" spans="12:55" s="4" customFormat="1" ht="82.35" customHeight="1">
      <c r="L85" s="1273"/>
      <c r="M85" s="28"/>
      <c r="N85" s="1273"/>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1255"/>
    </row>
    <row r="86" spans="12:55" s="4" customFormat="1" ht="82.35" customHeight="1">
      <c r="L86" s="1273"/>
      <c r="M86" s="28"/>
      <c r="N86" s="1273"/>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1255"/>
    </row>
    <row r="87" spans="12:55" s="4" customFormat="1" ht="82.35" customHeight="1">
      <c r="L87" s="1273"/>
      <c r="M87" s="28"/>
      <c r="N87" s="1273"/>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1255"/>
    </row>
    <row r="88" spans="12:55" s="4" customFormat="1" ht="82.35" customHeight="1">
      <c r="L88" s="1273"/>
      <c r="M88" s="28"/>
      <c r="N88" s="1273"/>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1255"/>
    </row>
    <row r="89" spans="12:55" s="4" customFormat="1" ht="82.35" customHeight="1">
      <c r="L89" s="1273"/>
      <c r="M89" s="28"/>
      <c r="N89" s="1273"/>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1255"/>
    </row>
    <row r="90" spans="12:55" s="4" customFormat="1" ht="82.35" customHeight="1">
      <c r="L90" s="1273"/>
      <c r="M90" s="28"/>
      <c r="N90" s="1273"/>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1255"/>
    </row>
    <row r="91" spans="12:55" s="4" customFormat="1" ht="82.35" customHeight="1">
      <c r="L91" s="1273"/>
      <c r="M91" s="28"/>
      <c r="N91" s="1273"/>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1255"/>
    </row>
    <row r="92" spans="12:55" s="4" customFormat="1" ht="82.35" customHeight="1">
      <c r="L92" s="1273"/>
      <c r="M92" s="28"/>
      <c r="N92" s="1273"/>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1255"/>
    </row>
    <row r="93" spans="12:55" s="4" customFormat="1" ht="82.35" customHeight="1">
      <c r="L93" s="1273"/>
      <c r="M93" s="28"/>
      <c r="N93" s="1273"/>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1255"/>
    </row>
    <row r="94" spans="12:55" s="4" customFormat="1" ht="82.35" customHeight="1">
      <c r="L94" s="1273"/>
      <c r="M94" s="28"/>
      <c r="N94" s="1273"/>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1255"/>
    </row>
    <row r="95" spans="12:55" s="4" customFormat="1" ht="82.35" customHeight="1">
      <c r="L95" s="1273"/>
      <c r="M95" s="28"/>
      <c r="N95" s="1273"/>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1255"/>
    </row>
    <row r="96" spans="12:55" s="4" customFormat="1" ht="82.35" customHeight="1">
      <c r="L96" s="1273"/>
      <c r="M96" s="28"/>
      <c r="N96" s="1273"/>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1255"/>
    </row>
    <row r="97" spans="12:55" s="4" customFormat="1" ht="82.35" customHeight="1">
      <c r="L97" s="1273"/>
      <c r="M97" s="28"/>
      <c r="N97" s="1273"/>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1255"/>
    </row>
    <row r="98" spans="12:55" s="4" customFormat="1" ht="82.35" customHeight="1">
      <c r="L98" s="1273"/>
      <c r="M98" s="28"/>
      <c r="N98" s="1273"/>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1255"/>
    </row>
    <row r="99" spans="12:55" s="4" customFormat="1" ht="82.35" customHeight="1">
      <c r="L99" s="1273"/>
      <c r="M99" s="28"/>
      <c r="N99" s="1273"/>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1255"/>
    </row>
    <row r="100" spans="12:55" s="4" customFormat="1" ht="82.35" customHeight="1">
      <c r="L100" s="1273"/>
      <c r="M100" s="28"/>
      <c r="N100" s="1273"/>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1255"/>
    </row>
    <row r="101" spans="12:55" s="4" customFormat="1" ht="82.35" customHeight="1">
      <c r="L101" s="1273"/>
      <c r="M101" s="28"/>
      <c r="N101" s="1273"/>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1255"/>
    </row>
    <row r="102" spans="12:55" s="4" customFormat="1" ht="82.35" customHeight="1">
      <c r="L102" s="1273"/>
      <c r="M102" s="28"/>
      <c r="N102" s="1273"/>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1255"/>
    </row>
    <row r="103" spans="12:55" s="4" customFormat="1" ht="82.35" customHeight="1">
      <c r="L103" s="1273"/>
      <c r="M103" s="28"/>
      <c r="N103" s="1273"/>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1255"/>
    </row>
    <row r="104" spans="12:55" s="4" customFormat="1" ht="82.35" customHeight="1">
      <c r="L104" s="1273"/>
      <c r="M104" s="28"/>
      <c r="N104" s="1273"/>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1255"/>
    </row>
    <row r="105" spans="12:55" s="4" customFormat="1" ht="82.35" customHeight="1">
      <c r="L105" s="1273"/>
      <c r="M105" s="28"/>
      <c r="N105" s="1273"/>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1255"/>
    </row>
    <row r="106" spans="12:55" s="4" customFormat="1" ht="82.35" customHeight="1">
      <c r="L106" s="1273"/>
      <c r="M106" s="28"/>
      <c r="N106" s="1273"/>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1255"/>
    </row>
    <row r="107" spans="12:55" s="4" customFormat="1" ht="82.35" customHeight="1">
      <c r="L107" s="1273"/>
      <c r="M107" s="28"/>
      <c r="N107" s="1273"/>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1255"/>
    </row>
    <row r="108" spans="12:55" s="4" customFormat="1" ht="82.35" customHeight="1">
      <c r="L108" s="1273"/>
      <c r="M108" s="28"/>
      <c r="N108" s="1273"/>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1255"/>
    </row>
    <row r="109" spans="12:55" s="4" customFormat="1" ht="82.35" customHeight="1">
      <c r="L109" s="1273"/>
      <c r="M109" s="28"/>
      <c r="N109" s="1273"/>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1255"/>
    </row>
    <row r="110" spans="12:55" s="4" customFormat="1" ht="82.35" customHeight="1">
      <c r="L110" s="1273"/>
      <c r="M110" s="28"/>
      <c r="N110" s="1273"/>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1255"/>
    </row>
    <row r="111" spans="12:55" s="4" customFormat="1" ht="82.35" customHeight="1">
      <c r="L111" s="1273"/>
      <c r="M111" s="28"/>
      <c r="N111" s="1273"/>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1255"/>
    </row>
    <row r="112" spans="12:55" s="4" customFormat="1" ht="82.35" customHeight="1">
      <c r="L112" s="1273"/>
      <c r="M112" s="28"/>
      <c r="N112" s="1273"/>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1255"/>
    </row>
    <row r="113" spans="12:55" s="4" customFormat="1" ht="82.35" customHeight="1">
      <c r="L113" s="1273"/>
      <c r="M113" s="28"/>
      <c r="N113" s="1273"/>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1255"/>
    </row>
    <row r="114" spans="12:55" s="4" customFormat="1" ht="82.35" customHeight="1">
      <c r="L114" s="1273"/>
      <c r="M114" s="28"/>
      <c r="N114" s="1273"/>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1255"/>
    </row>
    <row r="115" spans="12:55" s="4" customFormat="1" ht="82.35" customHeight="1">
      <c r="L115" s="1273"/>
      <c r="M115" s="28"/>
      <c r="N115" s="1273"/>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1255"/>
    </row>
    <row r="116" spans="12:55" s="4" customFormat="1" ht="82.35" customHeight="1">
      <c r="L116" s="1273"/>
      <c r="M116" s="28"/>
      <c r="N116" s="1273"/>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1255"/>
    </row>
    <row r="117" spans="12:55" s="4" customFormat="1" ht="82.35" customHeight="1">
      <c r="L117" s="1273"/>
      <c r="M117" s="28"/>
      <c r="N117" s="1273"/>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1255"/>
    </row>
    <row r="118" spans="12:55" s="4" customFormat="1" ht="82.35" customHeight="1">
      <c r="L118" s="1273"/>
      <c r="M118" s="28"/>
      <c r="N118" s="1273"/>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1255"/>
    </row>
    <row r="119" spans="12:55" s="4" customFormat="1" ht="82.35" customHeight="1">
      <c r="L119" s="1273"/>
      <c r="M119" s="28"/>
      <c r="N119" s="1273"/>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1255"/>
    </row>
    <row r="120" spans="12:55" s="4" customFormat="1" ht="82.35" customHeight="1">
      <c r="L120" s="1273"/>
      <c r="M120" s="28"/>
      <c r="N120" s="1273"/>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1255"/>
    </row>
    <row r="121" spans="12:55" s="4" customFormat="1" ht="82.35" customHeight="1">
      <c r="L121" s="1273"/>
      <c r="M121" s="28"/>
      <c r="N121" s="1273"/>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1255"/>
    </row>
    <row r="122" spans="12:55" s="4" customFormat="1" ht="82.35" customHeight="1">
      <c r="L122" s="1273"/>
      <c r="M122" s="28"/>
      <c r="N122" s="1273"/>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1255"/>
    </row>
    <row r="123" spans="12:55" s="4" customFormat="1" ht="82.35" customHeight="1">
      <c r="L123" s="1273"/>
      <c r="M123" s="28"/>
      <c r="N123" s="1273"/>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1255"/>
    </row>
    <row r="124" spans="12:55" s="4" customFormat="1" ht="82.35" customHeight="1">
      <c r="L124" s="1273"/>
      <c r="M124" s="28"/>
      <c r="N124" s="1273"/>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1255"/>
    </row>
    <row r="125" spans="12:55" s="4" customFormat="1" ht="82.35" customHeight="1">
      <c r="L125" s="1273"/>
      <c r="M125" s="28"/>
      <c r="N125" s="1273"/>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1255"/>
    </row>
    <row r="126" spans="12:55" s="4" customFormat="1" ht="82.35" customHeight="1">
      <c r="L126" s="1273"/>
      <c r="M126" s="28"/>
      <c r="N126" s="1273"/>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1255"/>
    </row>
    <row r="127" spans="12:55" s="4" customFormat="1" ht="82.35" customHeight="1">
      <c r="L127" s="1273"/>
      <c r="M127" s="28"/>
      <c r="N127" s="1273"/>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1255"/>
    </row>
    <row r="128" spans="12:55" s="4" customFormat="1" ht="82.35" customHeight="1">
      <c r="L128" s="1273"/>
      <c r="M128" s="28"/>
      <c r="N128" s="1273"/>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1255"/>
    </row>
    <row r="129" spans="12:55" s="4" customFormat="1" ht="82.35" customHeight="1">
      <c r="L129" s="1273"/>
      <c r="M129" s="28"/>
      <c r="N129" s="1273"/>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1255"/>
    </row>
    <row r="130" spans="12:55" s="4" customFormat="1" ht="82.35" customHeight="1">
      <c r="L130" s="1273"/>
      <c r="M130" s="28"/>
      <c r="N130" s="1273"/>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1255"/>
    </row>
    <row r="131" spans="12:55" s="4" customFormat="1" ht="82.35" customHeight="1">
      <c r="L131" s="1273"/>
      <c r="M131" s="28"/>
      <c r="N131" s="1273"/>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1255"/>
    </row>
    <row r="132" spans="12:55" s="4" customFormat="1" ht="82.35" customHeight="1">
      <c r="L132" s="1273"/>
      <c r="M132" s="28"/>
      <c r="N132" s="1273"/>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1255"/>
    </row>
    <row r="133" spans="12:55" s="4" customFormat="1" ht="82.35" customHeight="1">
      <c r="L133" s="1273"/>
      <c r="M133" s="28"/>
      <c r="N133" s="1273"/>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1255"/>
    </row>
    <row r="134" spans="12:55" s="4" customFormat="1" ht="82.35" customHeight="1">
      <c r="L134" s="1273"/>
      <c r="M134" s="28"/>
      <c r="N134" s="1273"/>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1255"/>
    </row>
    <row r="135" spans="12:55" s="4" customFormat="1" ht="82.35" customHeight="1">
      <c r="L135" s="1273"/>
      <c r="M135" s="28"/>
      <c r="N135" s="1273"/>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1255"/>
    </row>
    <row r="136" spans="12:55" s="4" customFormat="1" ht="82.35" customHeight="1">
      <c r="L136" s="1273"/>
      <c r="M136" s="28"/>
      <c r="N136" s="1273"/>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1255"/>
    </row>
    <row r="137" spans="12:55" s="4" customFormat="1" ht="82.35" customHeight="1">
      <c r="L137" s="1273"/>
      <c r="M137" s="28"/>
      <c r="N137" s="1273"/>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1255"/>
    </row>
    <row r="138" spans="12:55" s="4" customFormat="1" ht="82.35" customHeight="1">
      <c r="L138" s="1273"/>
      <c r="M138" s="28"/>
      <c r="N138" s="1273"/>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1255"/>
    </row>
    <row r="139" spans="12:55" s="4" customFormat="1" ht="82.35" customHeight="1">
      <c r="L139" s="1273"/>
      <c r="M139" s="28"/>
      <c r="N139" s="1273"/>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1255"/>
    </row>
    <row r="140" spans="12:55" s="4" customFormat="1" ht="82.35" customHeight="1">
      <c r="L140" s="1273"/>
      <c r="M140" s="28"/>
      <c r="N140" s="1273"/>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1255"/>
    </row>
    <row r="141" spans="12:55" s="4" customFormat="1" ht="82.35" customHeight="1">
      <c r="L141" s="1273"/>
      <c r="M141" s="28"/>
      <c r="N141" s="1273"/>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1255"/>
    </row>
    <row r="142" spans="12:55" s="4" customFormat="1" ht="82.35" customHeight="1">
      <c r="L142" s="1273"/>
      <c r="M142" s="28"/>
      <c r="N142" s="1273"/>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1255"/>
    </row>
    <row r="143" spans="12:55" s="4" customFormat="1" ht="82.35" customHeight="1">
      <c r="L143" s="1273"/>
      <c r="M143" s="28"/>
      <c r="N143" s="1273"/>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1255"/>
    </row>
    <row r="144" spans="12:55" s="4" customFormat="1" ht="82.35" customHeight="1">
      <c r="L144" s="1273"/>
      <c r="M144" s="28"/>
      <c r="N144" s="1273"/>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1255"/>
    </row>
    <row r="145" spans="12:55" s="4" customFormat="1" ht="82.35" customHeight="1">
      <c r="L145" s="1273"/>
      <c r="M145" s="28"/>
      <c r="N145" s="1273"/>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1255"/>
    </row>
    <row r="146" spans="12:55" s="4" customFormat="1" ht="82.35" customHeight="1">
      <c r="L146" s="1273"/>
      <c r="M146" s="28"/>
      <c r="N146" s="1273"/>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1255"/>
    </row>
    <row r="147" spans="12:55" s="4" customFormat="1" ht="82.35" customHeight="1">
      <c r="L147" s="1273"/>
      <c r="M147" s="28"/>
      <c r="N147" s="1273"/>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1255"/>
    </row>
    <row r="148" spans="12:55" s="4" customFormat="1" ht="82.35" customHeight="1">
      <c r="L148" s="1273"/>
      <c r="M148" s="28"/>
      <c r="N148" s="1273"/>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1255"/>
    </row>
    <row r="149" spans="12:55" s="4" customFormat="1" ht="82.35" customHeight="1">
      <c r="L149" s="1273"/>
      <c r="M149" s="28"/>
      <c r="N149" s="1273"/>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1255"/>
    </row>
    <row r="150" spans="12:55" s="4" customFormat="1" ht="82.35" customHeight="1">
      <c r="L150" s="1273"/>
      <c r="M150" s="28"/>
      <c r="N150" s="1273"/>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1255"/>
    </row>
    <row r="151" spans="12:55" s="4" customFormat="1" ht="82.35" customHeight="1">
      <c r="L151" s="1273"/>
      <c r="M151" s="28"/>
      <c r="N151" s="1273"/>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1255"/>
    </row>
    <row r="152" spans="12:55" s="4" customFormat="1" ht="82.35" customHeight="1">
      <c r="L152" s="1273"/>
      <c r="M152" s="28"/>
      <c r="N152" s="1273"/>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1255"/>
    </row>
    <row r="153" spans="12:55" s="4" customFormat="1" ht="82.35" customHeight="1">
      <c r="L153" s="1273"/>
      <c r="M153" s="28"/>
      <c r="N153" s="1273"/>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1255"/>
    </row>
    <row r="154" spans="12:55" s="4" customFormat="1" ht="82.35" customHeight="1">
      <c r="L154" s="1273"/>
      <c r="M154" s="28"/>
      <c r="N154" s="1273"/>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1255"/>
    </row>
    <row r="155" spans="12:55" s="4" customFormat="1" ht="82.35" customHeight="1">
      <c r="L155" s="1273"/>
      <c r="M155" s="28"/>
      <c r="N155" s="1273"/>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1255"/>
    </row>
    <row r="156" spans="12:55" s="4" customFormat="1" ht="82.35" customHeight="1">
      <c r="L156" s="1273"/>
      <c r="M156" s="28"/>
      <c r="N156" s="1273"/>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1255"/>
    </row>
    <row r="157" spans="12:55" s="4" customFormat="1" ht="82.35" customHeight="1">
      <c r="L157" s="1273"/>
      <c r="M157" s="28"/>
      <c r="N157" s="1273"/>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1255"/>
    </row>
    <row r="158" spans="12:55" s="4" customFormat="1" ht="82.35" customHeight="1">
      <c r="L158" s="1273"/>
      <c r="M158" s="28"/>
      <c r="N158" s="1273"/>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1255"/>
    </row>
    <row r="159" spans="12:55" s="4" customFormat="1" ht="82.35" customHeight="1">
      <c r="L159" s="1273"/>
      <c r="M159" s="28"/>
      <c r="N159" s="1273"/>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1255"/>
    </row>
    <row r="160" spans="12:55" s="4" customFormat="1" ht="82.35" customHeight="1">
      <c r="L160" s="1273"/>
      <c r="M160" s="28"/>
      <c r="N160" s="1273"/>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1255"/>
    </row>
    <row r="161" spans="12:55" s="4" customFormat="1" ht="82.35" customHeight="1">
      <c r="L161" s="1273"/>
      <c r="M161" s="28"/>
      <c r="N161" s="1273"/>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1255"/>
    </row>
    <row r="162" spans="12:55" s="4" customFormat="1" ht="82.35" customHeight="1">
      <c r="L162" s="1273"/>
      <c r="M162" s="28"/>
      <c r="N162" s="1273"/>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1255"/>
    </row>
    <row r="163" spans="12:55" s="4" customFormat="1" ht="82.35" customHeight="1">
      <c r="L163" s="1273"/>
      <c r="M163" s="28"/>
      <c r="N163" s="1273"/>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1255"/>
    </row>
    <row r="164" spans="12:55" s="4" customFormat="1" ht="82.35" customHeight="1">
      <c r="L164" s="1273"/>
      <c r="M164" s="28"/>
      <c r="N164" s="1273"/>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1255"/>
    </row>
    <row r="165" spans="12:55" s="4" customFormat="1" ht="82.35" customHeight="1">
      <c r="L165" s="1273"/>
      <c r="M165" s="28"/>
      <c r="N165" s="1273"/>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1255"/>
    </row>
    <row r="166" spans="12:55" s="4" customFormat="1" ht="82.35" customHeight="1">
      <c r="L166" s="1273"/>
      <c r="M166" s="28"/>
      <c r="N166" s="1273"/>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1255"/>
    </row>
    <row r="167" spans="12:55" s="4" customFormat="1" ht="82.35" customHeight="1">
      <c r="L167" s="1273"/>
      <c r="M167" s="28"/>
      <c r="N167" s="1273"/>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1255"/>
    </row>
    <row r="168" spans="12:55" s="4" customFormat="1" ht="82.35" customHeight="1">
      <c r="L168" s="1273"/>
      <c r="M168" s="28"/>
      <c r="N168" s="1273"/>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1255"/>
    </row>
    <row r="169" spans="12:55" s="4" customFormat="1" ht="82.35" customHeight="1">
      <c r="L169" s="1273"/>
      <c r="M169" s="28"/>
      <c r="N169" s="1273"/>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1255"/>
    </row>
    <row r="170" spans="12:55" s="4" customFormat="1" ht="82.35" customHeight="1">
      <c r="L170" s="1273"/>
      <c r="M170" s="28"/>
      <c r="N170" s="1273"/>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1255"/>
    </row>
    <row r="171" spans="12:55" s="4" customFormat="1" ht="82.35" customHeight="1">
      <c r="L171" s="1273"/>
      <c r="M171" s="28"/>
      <c r="N171" s="1273"/>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1255"/>
    </row>
    <row r="172" spans="12:55" s="4" customFormat="1" ht="82.35" customHeight="1">
      <c r="L172" s="1273"/>
      <c r="M172" s="28"/>
      <c r="N172" s="1273"/>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1255"/>
    </row>
    <row r="173" spans="12:55" s="4" customFormat="1" ht="82.35" customHeight="1">
      <c r="L173" s="1273"/>
      <c r="M173" s="28"/>
      <c r="N173" s="1273"/>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1255"/>
    </row>
    <row r="174" spans="12:55" s="4" customFormat="1" ht="82.35" customHeight="1">
      <c r="L174" s="1273"/>
      <c r="M174" s="28"/>
      <c r="N174" s="1273"/>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1255"/>
    </row>
    <row r="175" spans="12:55" s="4" customFormat="1" ht="82.35" customHeight="1">
      <c r="L175" s="1273"/>
      <c r="M175" s="28"/>
      <c r="N175" s="1273"/>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1255"/>
    </row>
    <row r="176" spans="12:55" s="4" customFormat="1" ht="82.35" customHeight="1">
      <c r="L176" s="1273"/>
      <c r="M176" s="28"/>
      <c r="N176" s="1273"/>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1255"/>
    </row>
    <row r="177" spans="12:55" s="4" customFormat="1" ht="82.35" customHeight="1">
      <c r="L177" s="1273"/>
      <c r="M177" s="28"/>
      <c r="N177" s="1273"/>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1255"/>
    </row>
    <row r="178" spans="12:55" s="4" customFormat="1" ht="82.35" customHeight="1">
      <c r="L178" s="1273"/>
      <c r="M178" s="28"/>
      <c r="N178" s="1273"/>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1255"/>
    </row>
    <row r="179" spans="12:55" s="4" customFormat="1" ht="82.35" customHeight="1">
      <c r="L179" s="1273"/>
      <c r="M179" s="28"/>
      <c r="N179" s="1273"/>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1255"/>
    </row>
    <row r="180" spans="12:55" s="4" customFormat="1" ht="82.35" customHeight="1">
      <c r="L180" s="1273"/>
      <c r="M180" s="28"/>
      <c r="N180" s="1273"/>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1255"/>
    </row>
    <row r="181" spans="12:55" s="4" customFormat="1" ht="82.35" customHeight="1">
      <c r="L181" s="1273"/>
      <c r="M181" s="28"/>
      <c r="N181" s="1273"/>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1255"/>
    </row>
    <row r="182" spans="12:55" s="4" customFormat="1" ht="82.35" customHeight="1">
      <c r="L182" s="1273"/>
      <c r="M182" s="28"/>
      <c r="N182" s="1273"/>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1255"/>
    </row>
    <row r="183" spans="12:55" s="4" customFormat="1" ht="82.35" customHeight="1">
      <c r="L183" s="1273"/>
      <c r="M183" s="28"/>
      <c r="N183" s="1273"/>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1255"/>
    </row>
    <row r="184" spans="12:55" s="4" customFormat="1" ht="82.35" customHeight="1">
      <c r="L184" s="1273"/>
      <c r="M184" s="28"/>
      <c r="N184" s="1273"/>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1255"/>
    </row>
    <row r="185" spans="12:55" s="4" customFormat="1" ht="82.35" customHeight="1">
      <c r="L185" s="1273"/>
      <c r="M185" s="28"/>
      <c r="N185" s="1273"/>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1255"/>
    </row>
    <row r="186" spans="12:55" s="4" customFormat="1" ht="82.35" customHeight="1">
      <c r="L186" s="1273"/>
      <c r="M186" s="28"/>
      <c r="N186" s="1273"/>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1255"/>
    </row>
    <row r="187" spans="12:55" s="4" customFormat="1" ht="82.35" customHeight="1">
      <c r="L187" s="1273"/>
      <c r="M187" s="28"/>
      <c r="N187" s="1273"/>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1255"/>
    </row>
    <row r="188" spans="12:55" s="4" customFormat="1" ht="82.35" customHeight="1">
      <c r="L188" s="1273"/>
      <c r="M188" s="28"/>
      <c r="N188" s="1273"/>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1255"/>
    </row>
    <row r="189" spans="12:55" s="4" customFormat="1" ht="82.35" customHeight="1">
      <c r="L189" s="1273"/>
      <c r="M189" s="28"/>
      <c r="N189" s="1273"/>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1255"/>
    </row>
    <row r="190" spans="12:55" s="4" customFormat="1" ht="82.35" customHeight="1">
      <c r="L190" s="1273"/>
      <c r="M190" s="28"/>
      <c r="N190" s="1273"/>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1255"/>
    </row>
    <row r="191" spans="12:55" s="4" customFormat="1" ht="82.35" customHeight="1">
      <c r="L191" s="1273"/>
      <c r="M191" s="28"/>
      <c r="N191" s="1273"/>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1255"/>
    </row>
    <row r="192" spans="12:55" s="4" customFormat="1" ht="82.35" customHeight="1">
      <c r="L192" s="1273"/>
      <c r="M192" s="28"/>
      <c r="N192" s="1273"/>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1255"/>
    </row>
    <row r="193" spans="12:55" s="4" customFormat="1" ht="82.35" customHeight="1">
      <c r="L193" s="1273"/>
      <c r="M193" s="28"/>
      <c r="N193" s="1273"/>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1255"/>
    </row>
    <row r="194" spans="12:55" s="4" customFormat="1" ht="82.35" customHeight="1">
      <c r="L194" s="1273"/>
      <c r="M194" s="28"/>
      <c r="N194" s="1273"/>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1255"/>
    </row>
    <row r="195" spans="12:55" s="4" customFormat="1" ht="82.35" customHeight="1">
      <c r="L195" s="1273"/>
      <c r="M195" s="28"/>
      <c r="N195" s="1273"/>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1255"/>
    </row>
    <row r="196" spans="12:55" s="4" customFormat="1" ht="82.35" customHeight="1">
      <c r="L196" s="1273"/>
      <c r="M196" s="28"/>
      <c r="N196" s="1273"/>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1255"/>
    </row>
    <row r="197" spans="12:55" s="4" customFormat="1" ht="82.35" customHeight="1">
      <c r="L197" s="1273"/>
      <c r="M197" s="28"/>
      <c r="N197" s="1273"/>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1255"/>
    </row>
    <row r="198" spans="12:55" s="4" customFormat="1" ht="82.35" customHeight="1">
      <c r="L198" s="1273"/>
      <c r="M198" s="28"/>
      <c r="N198" s="1273"/>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1255"/>
    </row>
    <row r="199" spans="12:55" s="4" customFormat="1" ht="82.35" customHeight="1">
      <c r="L199" s="1273"/>
      <c r="M199" s="28"/>
      <c r="N199" s="1273"/>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1255"/>
    </row>
    <row r="200" spans="12:55" s="4" customFormat="1" ht="82.35" customHeight="1">
      <c r="L200" s="1273"/>
      <c r="M200" s="28"/>
      <c r="N200" s="1273"/>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1255"/>
    </row>
    <row r="201" spans="12:55" s="4" customFormat="1" ht="82.35" customHeight="1">
      <c r="L201" s="1273"/>
      <c r="M201" s="28"/>
      <c r="N201" s="1273"/>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1255"/>
    </row>
    <row r="202" spans="12:55" s="4" customFormat="1" ht="82.35" customHeight="1">
      <c r="L202" s="1273"/>
      <c r="M202" s="28"/>
      <c r="N202" s="1273"/>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1255"/>
    </row>
    <row r="203" spans="12:55" s="4" customFormat="1" ht="82.35" customHeight="1">
      <c r="L203" s="1273"/>
      <c r="M203" s="28"/>
      <c r="N203" s="1273"/>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1255"/>
    </row>
    <row r="204" spans="12:55" s="4" customFormat="1" ht="82.35" customHeight="1">
      <c r="L204" s="1273"/>
      <c r="M204" s="28"/>
      <c r="N204" s="1273"/>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1255"/>
    </row>
    <row r="205" spans="12:55" s="4" customFormat="1" ht="82.35" customHeight="1">
      <c r="L205" s="1273"/>
      <c r="M205" s="28"/>
      <c r="N205" s="1273"/>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1255"/>
    </row>
    <row r="206" spans="12:55" s="4" customFormat="1" ht="82.35" customHeight="1">
      <c r="L206" s="1273"/>
      <c r="M206" s="28"/>
      <c r="N206" s="1273"/>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1255"/>
    </row>
    <row r="207" spans="12:55" s="4" customFormat="1" ht="82.35" customHeight="1">
      <c r="L207" s="1273"/>
      <c r="M207" s="28"/>
      <c r="N207" s="1273"/>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1255"/>
    </row>
    <row r="208" spans="12:55" s="4" customFormat="1" ht="82.35" customHeight="1">
      <c r="L208" s="1273"/>
      <c r="M208" s="28"/>
      <c r="N208" s="1273"/>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1255"/>
    </row>
    <row r="209" spans="12:55" s="4" customFormat="1" ht="82.35" customHeight="1">
      <c r="L209" s="1273"/>
      <c r="M209" s="28"/>
      <c r="N209" s="1273"/>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1255"/>
    </row>
    <row r="210" spans="12:55" s="4" customFormat="1" ht="82.35" customHeight="1">
      <c r="L210" s="1273"/>
      <c r="M210" s="28"/>
      <c r="N210" s="1273"/>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1255"/>
    </row>
    <row r="211" spans="12:55" s="4" customFormat="1" ht="82.35" customHeight="1">
      <c r="L211" s="1273"/>
      <c r="M211" s="28"/>
      <c r="N211" s="1273"/>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1255"/>
    </row>
    <row r="212" spans="12:55" s="4" customFormat="1" ht="82.35" customHeight="1">
      <c r="L212" s="1273"/>
      <c r="M212" s="28"/>
      <c r="N212" s="1273"/>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1255"/>
    </row>
    <row r="213" spans="12:55" s="4" customFormat="1" ht="82.35" customHeight="1">
      <c r="L213" s="1273"/>
      <c r="M213" s="28"/>
      <c r="N213" s="1273"/>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1255"/>
    </row>
    <row r="214" spans="12:55" s="4" customFormat="1" ht="82.35" customHeight="1">
      <c r="L214" s="1273"/>
      <c r="M214" s="28"/>
      <c r="N214" s="1273"/>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1255"/>
    </row>
    <row r="215" spans="12:55" s="4" customFormat="1" ht="82.35" customHeight="1">
      <c r="L215" s="1273"/>
      <c r="M215" s="28"/>
      <c r="N215" s="1273"/>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1255"/>
    </row>
    <row r="216" spans="12:55" s="4" customFormat="1" ht="82.35" customHeight="1">
      <c r="L216" s="1273"/>
      <c r="M216" s="28"/>
      <c r="N216" s="1273"/>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1255"/>
    </row>
    <row r="217" spans="12:55" s="4" customFormat="1" ht="82.35" customHeight="1">
      <c r="L217" s="1273"/>
      <c r="M217" s="28"/>
      <c r="N217" s="1273"/>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1255"/>
    </row>
    <row r="218" spans="12:55" s="4" customFormat="1" ht="82.35" customHeight="1">
      <c r="L218" s="1273"/>
      <c r="M218" s="28"/>
      <c r="N218" s="1273"/>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1255"/>
    </row>
    <row r="219" spans="12:55" s="4" customFormat="1" ht="82.35" customHeight="1">
      <c r="L219" s="1273"/>
      <c r="M219" s="28"/>
      <c r="N219" s="1273"/>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1255"/>
    </row>
    <row r="220" spans="12:55" s="4" customFormat="1" ht="82.35" customHeight="1">
      <c r="L220" s="1273"/>
      <c r="M220" s="28"/>
      <c r="N220" s="1273"/>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1255"/>
    </row>
    <row r="221" spans="12:55" s="4" customFormat="1" ht="82.35" customHeight="1">
      <c r="L221" s="1273"/>
      <c r="M221" s="28"/>
      <c r="N221" s="1273"/>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1255"/>
    </row>
    <row r="222" spans="12:55" s="4" customFormat="1" ht="82.35" customHeight="1">
      <c r="L222" s="1273"/>
      <c r="M222" s="28"/>
      <c r="N222" s="1273"/>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1255"/>
    </row>
    <row r="223" spans="12:55" s="4" customFormat="1" ht="82.35" customHeight="1">
      <c r="L223" s="1273"/>
      <c r="M223" s="28"/>
      <c r="N223" s="1273"/>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1255"/>
    </row>
    <row r="224" spans="12:55" s="4" customFormat="1" ht="82.35" customHeight="1">
      <c r="L224" s="1273"/>
      <c r="M224" s="28"/>
      <c r="N224" s="1273"/>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1255"/>
    </row>
    <row r="225" spans="12:55" s="4" customFormat="1" ht="82.35" customHeight="1">
      <c r="L225" s="1273"/>
      <c r="M225" s="28"/>
      <c r="N225" s="1273"/>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1255"/>
    </row>
    <row r="226" spans="12:55" s="4" customFormat="1" ht="82.35" customHeight="1">
      <c r="L226" s="1273"/>
      <c r="M226" s="28"/>
      <c r="N226" s="1273"/>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1255"/>
    </row>
    <row r="227" spans="12:55" s="4" customFormat="1" ht="82.35" customHeight="1">
      <c r="L227" s="1273"/>
      <c r="M227" s="28"/>
      <c r="N227" s="1273"/>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1255"/>
    </row>
    <row r="228" spans="12:55" s="4" customFormat="1" ht="82.35" customHeight="1">
      <c r="L228" s="1273"/>
      <c r="M228" s="28"/>
      <c r="N228" s="1273"/>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1255"/>
    </row>
    <row r="229" spans="12:55" s="4" customFormat="1" ht="82.35" customHeight="1">
      <c r="L229" s="1273"/>
      <c r="M229" s="28"/>
      <c r="N229" s="1273"/>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1255"/>
    </row>
    <row r="230" spans="12:55" s="4" customFormat="1" ht="82.35" customHeight="1">
      <c r="L230" s="1273"/>
      <c r="M230" s="28"/>
      <c r="N230" s="1273"/>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1255"/>
    </row>
    <row r="231" spans="12:55" s="4" customFormat="1" ht="82.35" customHeight="1">
      <c r="L231" s="1273"/>
      <c r="M231" s="28"/>
      <c r="N231" s="1273"/>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1255"/>
    </row>
    <row r="232" spans="12:55" s="4" customFormat="1" ht="82.35" customHeight="1">
      <c r="L232" s="1273"/>
      <c r="M232" s="28"/>
      <c r="N232" s="1273"/>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1255"/>
    </row>
    <row r="233" spans="12:55" s="4" customFormat="1" ht="82.35" customHeight="1">
      <c r="L233" s="1273"/>
      <c r="M233" s="28"/>
      <c r="N233" s="1273"/>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1255"/>
    </row>
    <row r="234" spans="12:55" s="4" customFormat="1" ht="82.35" customHeight="1">
      <c r="L234" s="1273"/>
      <c r="M234" s="28"/>
      <c r="N234" s="1273"/>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1255"/>
    </row>
    <row r="235" spans="12:55" s="4" customFormat="1" ht="82.35" customHeight="1">
      <c r="L235" s="1273"/>
      <c r="M235" s="28"/>
      <c r="N235" s="1273"/>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1255"/>
    </row>
    <row r="236" spans="12:55" s="4" customFormat="1" ht="82.35" customHeight="1">
      <c r="L236" s="1273"/>
      <c r="M236" s="28"/>
      <c r="N236" s="1273"/>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1255"/>
    </row>
    <row r="237" spans="12:55" s="4" customFormat="1" ht="82.35" customHeight="1">
      <c r="L237" s="1273"/>
      <c r="M237" s="28"/>
      <c r="N237" s="1273"/>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1255"/>
    </row>
    <row r="238" spans="12:55" s="4" customFormat="1" ht="82.35" customHeight="1">
      <c r="L238" s="1273"/>
      <c r="M238" s="28"/>
      <c r="N238" s="1273"/>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1255"/>
    </row>
    <row r="239" spans="12:55" s="4" customFormat="1" ht="82.35" customHeight="1">
      <c r="L239" s="1273"/>
      <c r="M239" s="28"/>
      <c r="N239" s="1273"/>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1255"/>
    </row>
    <row r="240" spans="12:55" s="4" customFormat="1" ht="82.35" customHeight="1">
      <c r="L240" s="1273"/>
      <c r="M240" s="28"/>
      <c r="N240" s="1273"/>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1255"/>
    </row>
    <row r="241" spans="12:55" s="4" customFormat="1" ht="82.35" customHeight="1">
      <c r="L241" s="1273"/>
      <c r="M241" s="28"/>
      <c r="N241" s="1273"/>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1255"/>
    </row>
    <row r="242" spans="12:55" s="4" customFormat="1" ht="82.35" customHeight="1">
      <c r="L242" s="1273"/>
      <c r="M242" s="28"/>
      <c r="N242" s="1273"/>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1255"/>
    </row>
    <row r="243" spans="12:55" s="4" customFormat="1" ht="82.35" customHeight="1">
      <c r="L243" s="1273"/>
      <c r="M243" s="28"/>
      <c r="N243" s="1273"/>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1255"/>
    </row>
    <row r="244" spans="12:55" s="4" customFormat="1" ht="82.35" customHeight="1">
      <c r="L244" s="1273"/>
      <c r="M244" s="28"/>
      <c r="N244" s="1273"/>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1255"/>
    </row>
    <row r="245" spans="12:55" s="4" customFormat="1" ht="82.35" customHeight="1">
      <c r="L245" s="1273"/>
      <c r="M245" s="28"/>
      <c r="N245" s="1273"/>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1255"/>
    </row>
    <row r="246" spans="12:55" s="4" customFormat="1" ht="82.35" customHeight="1">
      <c r="L246" s="1273"/>
      <c r="M246" s="28"/>
      <c r="N246" s="1273"/>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1255"/>
    </row>
    <row r="247" spans="12:55" s="4" customFormat="1" ht="82.35" customHeight="1">
      <c r="L247" s="1273"/>
      <c r="M247" s="28"/>
      <c r="N247" s="1273"/>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1255"/>
    </row>
    <row r="248" spans="12:55" s="4" customFormat="1" ht="82.35" customHeight="1">
      <c r="L248" s="1273"/>
      <c r="M248" s="28"/>
      <c r="N248" s="1273"/>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1255"/>
    </row>
    <row r="249" spans="12:55" s="4" customFormat="1" ht="82.35" customHeight="1">
      <c r="L249" s="1273"/>
      <c r="M249" s="28"/>
      <c r="N249" s="1273"/>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1255"/>
    </row>
    <row r="250" spans="12:55" s="4" customFormat="1" ht="82.35" customHeight="1">
      <c r="L250" s="1273"/>
      <c r="M250" s="28"/>
      <c r="N250" s="1273"/>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1255"/>
    </row>
    <row r="251" spans="12:55" s="4" customFormat="1" ht="82.35" customHeight="1">
      <c r="L251" s="1273"/>
      <c r="M251" s="28"/>
      <c r="N251" s="1273"/>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1255"/>
    </row>
    <row r="252" spans="12:55" s="4" customFormat="1" ht="82.35" customHeight="1">
      <c r="L252" s="1273"/>
      <c r="M252" s="28"/>
      <c r="N252" s="1273"/>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1255"/>
    </row>
    <row r="253" spans="12:55" s="4" customFormat="1" ht="82.35" customHeight="1">
      <c r="L253" s="1273"/>
      <c r="M253" s="28"/>
      <c r="N253" s="1273"/>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1255"/>
    </row>
    <row r="254" spans="12:55" s="4" customFormat="1" ht="82.35" customHeight="1">
      <c r="L254" s="1273"/>
      <c r="M254" s="28"/>
      <c r="N254" s="1273"/>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1255"/>
    </row>
    <row r="255" spans="12:55" s="4" customFormat="1" ht="82.35" customHeight="1">
      <c r="L255" s="1273"/>
      <c r="M255" s="28"/>
      <c r="N255" s="1273"/>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1255"/>
    </row>
    <row r="256" spans="12:55" s="4" customFormat="1" ht="82.35" customHeight="1">
      <c r="L256" s="1273"/>
      <c r="M256" s="28"/>
      <c r="N256" s="1273"/>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1255"/>
    </row>
    <row r="257" spans="12:55" s="4" customFormat="1" ht="82.35" customHeight="1">
      <c r="L257" s="1273"/>
      <c r="M257" s="28"/>
      <c r="N257" s="1273"/>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1255"/>
    </row>
    <row r="258" spans="12:55" s="4" customFormat="1" ht="82.35" customHeight="1">
      <c r="L258" s="1273"/>
      <c r="M258" s="28"/>
      <c r="N258" s="1273"/>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1255"/>
    </row>
    <row r="259" spans="12:55" s="4" customFormat="1" ht="82.35" customHeight="1">
      <c r="L259" s="1273"/>
      <c r="M259" s="28"/>
      <c r="N259" s="1273"/>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1255"/>
    </row>
    <row r="260" spans="12:55" s="4" customFormat="1" ht="82.35" customHeight="1">
      <c r="L260" s="1273"/>
      <c r="M260" s="28"/>
      <c r="N260" s="1273"/>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1255"/>
    </row>
    <row r="261" spans="12:55" s="4" customFormat="1" ht="82.35" customHeight="1">
      <c r="L261" s="1273"/>
      <c r="M261" s="28"/>
      <c r="N261" s="1273"/>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1255"/>
    </row>
    <row r="262" spans="12:55" s="4" customFormat="1" ht="82.35" customHeight="1">
      <c r="L262" s="1273"/>
      <c r="M262" s="28"/>
      <c r="N262" s="1273"/>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1255"/>
    </row>
    <row r="263" spans="12:55" s="4" customFormat="1" ht="82.35" customHeight="1">
      <c r="L263" s="1273"/>
      <c r="M263" s="28"/>
      <c r="N263" s="1273"/>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1255"/>
    </row>
    <row r="264" spans="12:55" s="4" customFormat="1" ht="82.35" customHeight="1">
      <c r="L264" s="1273"/>
      <c r="M264" s="28"/>
      <c r="N264" s="1273"/>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1255"/>
    </row>
    <row r="265" spans="12:55" s="4" customFormat="1" ht="82.35" customHeight="1">
      <c r="L265" s="1273"/>
      <c r="M265" s="28"/>
      <c r="N265" s="1273"/>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1255"/>
    </row>
    <row r="266" spans="12:55" s="4" customFormat="1" ht="82.35" customHeight="1">
      <c r="L266" s="1273"/>
      <c r="M266" s="28"/>
      <c r="N266" s="1273"/>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1255"/>
    </row>
    <row r="267" spans="12:55" s="4" customFormat="1" ht="82.35" customHeight="1">
      <c r="L267" s="1273"/>
      <c r="M267" s="28"/>
      <c r="N267" s="1273"/>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1255"/>
    </row>
    <row r="268" spans="12:55" s="4" customFormat="1" ht="82.35" customHeight="1">
      <c r="L268" s="1273"/>
      <c r="M268" s="28"/>
      <c r="N268" s="1273"/>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1255"/>
    </row>
    <row r="269" spans="12:55" s="4" customFormat="1" ht="82.35" customHeight="1">
      <c r="L269" s="1273"/>
      <c r="M269" s="28"/>
      <c r="N269" s="1273"/>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1255"/>
    </row>
    <row r="270" spans="12:55" s="4" customFormat="1" ht="82.35" customHeight="1">
      <c r="L270" s="1273"/>
      <c r="M270" s="28"/>
      <c r="N270" s="1273"/>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1255"/>
    </row>
    <row r="271" spans="12:55" s="4" customFormat="1" ht="82.35" customHeight="1">
      <c r="L271" s="1273"/>
      <c r="M271" s="28"/>
      <c r="N271" s="1273"/>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1255"/>
    </row>
    <row r="272" spans="12:55" s="4" customFormat="1" ht="82.35" customHeight="1">
      <c r="L272" s="1273"/>
      <c r="M272" s="28"/>
      <c r="N272" s="1273"/>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1255"/>
    </row>
    <row r="273" spans="12:55" s="4" customFormat="1" ht="82.35" customHeight="1">
      <c r="L273" s="1273"/>
      <c r="M273" s="28"/>
      <c r="N273" s="1273"/>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1255"/>
    </row>
    <row r="274" spans="12:55" s="4" customFormat="1" ht="82.35" customHeight="1">
      <c r="L274" s="1273"/>
      <c r="M274" s="28"/>
      <c r="N274" s="1273"/>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1255"/>
    </row>
    <row r="275" spans="12:55" s="4" customFormat="1" ht="82.35" customHeight="1">
      <c r="L275" s="1273"/>
      <c r="M275" s="28"/>
      <c r="N275" s="1273"/>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1255"/>
    </row>
    <row r="276" spans="12:55" s="4" customFormat="1" ht="82.35" customHeight="1">
      <c r="L276" s="1273"/>
      <c r="M276" s="28"/>
      <c r="N276" s="1273"/>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1255"/>
    </row>
    <row r="277" spans="12:55" s="4" customFormat="1" ht="82.35" customHeight="1">
      <c r="L277" s="1273"/>
      <c r="M277" s="28"/>
      <c r="N277" s="1273"/>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1255"/>
    </row>
    <row r="278" spans="12:55" s="4" customFormat="1" ht="82.35" customHeight="1">
      <c r="L278" s="1273"/>
      <c r="M278" s="28"/>
      <c r="N278" s="1273"/>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1255"/>
    </row>
    <row r="279" spans="12:55" s="4" customFormat="1" ht="82.35" customHeight="1">
      <c r="L279" s="1273"/>
      <c r="M279" s="28"/>
      <c r="N279" s="1273"/>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1255"/>
    </row>
    <row r="280" spans="12:55" s="4" customFormat="1" ht="82.35" customHeight="1">
      <c r="L280" s="1273"/>
      <c r="M280" s="28"/>
      <c r="N280" s="1273"/>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1255"/>
    </row>
    <row r="281" spans="12:55" s="4" customFormat="1" ht="82.35" customHeight="1">
      <c r="L281" s="1273"/>
      <c r="M281" s="28"/>
      <c r="N281" s="1273"/>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1255"/>
    </row>
    <row r="282" spans="12:55" s="4" customFormat="1" ht="82.35" customHeight="1">
      <c r="L282" s="1273"/>
      <c r="M282" s="28"/>
      <c r="N282" s="1273"/>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1255"/>
    </row>
    <row r="283" spans="12:55" s="4" customFormat="1" ht="82.35" customHeight="1">
      <c r="L283" s="1273"/>
      <c r="M283" s="28"/>
      <c r="N283" s="1273"/>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1255"/>
    </row>
    <row r="284" spans="12:55" s="4" customFormat="1" ht="82.35" customHeight="1">
      <c r="L284" s="1273"/>
      <c r="M284" s="28"/>
      <c r="N284" s="1273"/>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1255"/>
    </row>
    <row r="285" spans="12:55" s="4" customFormat="1" ht="82.35" customHeight="1">
      <c r="L285" s="1273"/>
      <c r="M285" s="28"/>
      <c r="N285" s="1273"/>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1255"/>
    </row>
    <row r="286" spans="12:55" s="4" customFormat="1" ht="82.35" customHeight="1">
      <c r="L286" s="1273"/>
      <c r="M286" s="28"/>
      <c r="N286" s="1273"/>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1255"/>
    </row>
    <row r="287" spans="12:55" s="4" customFormat="1" ht="82.35" customHeight="1">
      <c r="L287" s="1273"/>
      <c r="M287" s="28"/>
      <c r="N287" s="1273"/>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1255"/>
    </row>
    <row r="288" spans="12:55" s="4" customFormat="1" ht="82.35" customHeight="1">
      <c r="L288" s="1273"/>
      <c r="M288" s="28"/>
      <c r="N288" s="1273"/>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1255"/>
    </row>
    <row r="289" spans="12:55" s="4" customFormat="1" ht="82.35" customHeight="1">
      <c r="L289" s="1273"/>
      <c r="M289" s="28"/>
      <c r="N289" s="1273"/>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1255"/>
    </row>
    <row r="290" spans="12:55" s="4" customFormat="1" ht="82.35" customHeight="1">
      <c r="L290" s="1273"/>
      <c r="M290" s="28"/>
      <c r="N290" s="1273"/>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1255"/>
    </row>
    <row r="291" spans="12:55" s="4" customFormat="1" ht="82.35" customHeight="1">
      <c r="L291" s="1273"/>
      <c r="M291" s="28"/>
      <c r="N291" s="1273"/>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1255"/>
    </row>
    <row r="292" spans="12:55" s="4" customFormat="1" ht="82.35" customHeight="1">
      <c r="L292" s="1273"/>
      <c r="M292" s="28"/>
      <c r="N292" s="1273"/>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1255"/>
    </row>
    <row r="293" spans="12:55" s="4" customFormat="1" ht="82.35" customHeight="1">
      <c r="L293" s="1273"/>
      <c r="M293" s="28"/>
      <c r="N293" s="1273"/>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1255"/>
    </row>
    <row r="294" spans="12:55" s="4" customFormat="1" ht="82.35" customHeight="1">
      <c r="L294" s="1273"/>
      <c r="M294" s="28"/>
      <c r="N294" s="1273"/>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1255"/>
    </row>
    <row r="295" spans="12:55" s="4" customFormat="1" ht="82.35" customHeight="1">
      <c r="L295" s="1273"/>
      <c r="M295" s="28"/>
      <c r="N295" s="1273"/>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1255"/>
    </row>
    <row r="296" spans="12:55" s="4" customFormat="1" ht="82.35" customHeight="1">
      <c r="L296" s="1273"/>
      <c r="M296" s="28"/>
      <c r="N296" s="1273"/>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1255"/>
    </row>
    <row r="297" spans="12:55" s="4" customFormat="1" ht="82.35" customHeight="1">
      <c r="L297" s="1273"/>
      <c r="M297" s="28"/>
      <c r="N297" s="1273"/>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1255"/>
    </row>
    <row r="298" spans="12:55" s="4" customFormat="1" ht="82.35" customHeight="1">
      <c r="L298" s="1273"/>
      <c r="M298" s="28"/>
      <c r="N298" s="1273"/>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1255"/>
    </row>
    <row r="299" spans="12:55" s="4" customFormat="1" ht="82.35" customHeight="1">
      <c r="L299" s="1273"/>
      <c r="M299" s="28"/>
      <c r="N299" s="1273"/>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1255"/>
    </row>
    <row r="300" spans="12:55" s="4" customFormat="1" ht="82.35" customHeight="1">
      <c r="L300" s="1273"/>
      <c r="M300" s="28"/>
      <c r="N300" s="1273"/>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1255"/>
    </row>
    <row r="301" spans="12:55" s="4" customFormat="1" ht="82.35" customHeight="1">
      <c r="L301" s="1273"/>
      <c r="M301" s="28"/>
      <c r="N301" s="1273"/>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1255"/>
    </row>
    <row r="302" spans="12:55" s="4" customFormat="1" ht="82.35" customHeight="1">
      <c r="L302" s="1273"/>
      <c r="M302" s="28"/>
      <c r="N302" s="1273"/>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1255"/>
    </row>
    <row r="303" spans="12:55" s="4" customFormat="1" ht="82.35" customHeight="1">
      <c r="L303" s="1273"/>
      <c r="M303" s="28"/>
      <c r="N303" s="1273"/>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1255"/>
    </row>
    <row r="304" spans="12:55" s="4" customFormat="1" ht="82.35" customHeight="1">
      <c r="L304" s="1273"/>
      <c r="M304" s="28"/>
      <c r="N304" s="1273"/>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1255"/>
    </row>
    <row r="305" spans="12:55" s="4" customFormat="1" ht="82.35" customHeight="1">
      <c r="L305" s="1273"/>
      <c r="M305" s="28"/>
      <c r="N305" s="1273"/>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1255"/>
    </row>
    <row r="306" spans="12:55" s="4" customFormat="1" ht="82.35" customHeight="1">
      <c r="L306" s="1273"/>
      <c r="M306" s="28"/>
      <c r="N306" s="1273"/>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1255"/>
    </row>
    <row r="307" spans="12:55" s="4" customFormat="1" ht="82.35" customHeight="1">
      <c r="L307" s="1273"/>
      <c r="M307" s="28"/>
      <c r="N307" s="1273"/>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1255"/>
    </row>
    <row r="308" spans="12:55" s="4" customFormat="1" ht="82.35" customHeight="1">
      <c r="L308" s="1273"/>
      <c r="M308" s="28"/>
      <c r="N308" s="1273"/>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1255"/>
    </row>
    <row r="309" spans="12:55" s="4" customFormat="1" ht="82.35" customHeight="1">
      <c r="L309" s="1273"/>
      <c r="M309" s="28"/>
      <c r="N309" s="1273"/>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1255"/>
    </row>
    <row r="310" spans="12:55" s="4" customFormat="1" ht="82.35" customHeight="1">
      <c r="L310" s="1273"/>
      <c r="M310" s="28"/>
      <c r="N310" s="1273"/>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1255"/>
    </row>
    <row r="311" spans="12:55" s="4" customFormat="1" ht="82.35" customHeight="1">
      <c r="L311" s="1273"/>
      <c r="M311" s="28"/>
      <c r="N311" s="1273"/>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1255"/>
    </row>
    <row r="312" spans="12:55" s="4" customFormat="1" ht="82.35" customHeight="1">
      <c r="L312" s="1273"/>
      <c r="M312" s="28"/>
      <c r="N312" s="1273"/>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1255"/>
    </row>
    <row r="313" spans="12:55" s="4" customFormat="1" ht="82.35" customHeight="1">
      <c r="L313" s="1273"/>
      <c r="M313" s="28"/>
      <c r="N313" s="1273"/>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1255"/>
    </row>
    <row r="314" spans="12:55" s="4" customFormat="1" ht="82.35" customHeight="1">
      <c r="L314" s="1273"/>
      <c r="M314" s="28"/>
      <c r="N314" s="1273"/>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1255"/>
    </row>
    <row r="315" spans="12:55" s="4" customFormat="1" ht="82.35" customHeight="1">
      <c r="L315" s="1273"/>
      <c r="M315" s="28"/>
      <c r="N315" s="1273"/>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1255"/>
    </row>
    <row r="316" spans="12:55" s="4" customFormat="1" ht="82.35" customHeight="1">
      <c r="L316" s="1273"/>
      <c r="M316" s="28"/>
      <c r="N316" s="1273"/>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1255"/>
    </row>
    <row r="317" spans="12:55" s="4" customFormat="1" ht="82.35" customHeight="1">
      <c r="L317" s="1273"/>
      <c r="M317" s="28"/>
      <c r="N317" s="1273"/>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1255"/>
    </row>
    <row r="318" spans="12:55" s="4" customFormat="1" ht="82.35" customHeight="1">
      <c r="L318" s="1273"/>
      <c r="M318" s="28"/>
      <c r="N318" s="1273"/>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1255"/>
    </row>
    <row r="319" spans="12:55" s="4" customFormat="1" ht="82.35" customHeight="1">
      <c r="L319" s="1273"/>
      <c r="M319" s="28"/>
      <c r="N319" s="1273"/>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1255"/>
    </row>
    <row r="320" spans="12:55" s="4" customFormat="1" ht="82.35" customHeight="1">
      <c r="L320" s="1273"/>
      <c r="M320" s="28"/>
      <c r="N320" s="1273"/>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1255"/>
    </row>
    <row r="321" spans="12:55" s="4" customFormat="1" ht="82.35" customHeight="1">
      <c r="L321" s="1273"/>
      <c r="M321" s="28"/>
      <c r="N321" s="1273"/>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1255"/>
    </row>
    <row r="322" spans="12:55" s="4" customFormat="1" ht="82.35" customHeight="1">
      <c r="L322" s="1273"/>
      <c r="M322" s="28"/>
      <c r="N322" s="1273"/>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1255"/>
    </row>
    <row r="323" spans="12:55" s="4" customFormat="1" ht="82.35" customHeight="1">
      <c r="L323" s="1273"/>
      <c r="M323" s="28"/>
      <c r="N323" s="1273"/>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1255"/>
    </row>
    <row r="324" spans="12:55" s="4" customFormat="1" ht="82.35" customHeight="1">
      <c r="L324" s="1273"/>
      <c r="M324" s="28"/>
      <c r="N324" s="1273"/>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1255"/>
    </row>
    <row r="325" spans="12:55" s="4" customFormat="1" ht="82.35" customHeight="1">
      <c r="L325" s="1273"/>
      <c r="M325" s="28"/>
      <c r="N325" s="1273"/>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1255"/>
    </row>
    <row r="326" spans="12:55" s="4" customFormat="1" ht="82.35" customHeight="1">
      <c r="L326" s="1273"/>
      <c r="M326" s="28"/>
      <c r="N326" s="1273"/>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1255"/>
    </row>
    <row r="327" spans="12:55" s="4" customFormat="1" ht="82.35" customHeight="1">
      <c r="L327" s="1273"/>
      <c r="M327" s="28"/>
      <c r="N327" s="1273"/>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1255"/>
    </row>
    <row r="328" spans="12:55" s="4" customFormat="1" ht="82.35" customHeight="1">
      <c r="L328" s="1273"/>
      <c r="M328" s="28"/>
      <c r="N328" s="1273"/>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1255"/>
    </row>
    <row r="329" spans="12:55" s="4" customFormat="1" ht="82.35" customHeight="1">
      <c r="L329" s="1273"/>
      <c r="M329" s="28"/>
      <c r="N329" s="1273"/>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1255"/>
    </row>
    <row r="330" spans="12:55" s="4" customFormat="1" ht="82.35" customHeight="1">
      <c r="L330" s="1273"/>
      <c r="M330" s="28"/>
      <c r="N330" s="1273"/>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1255"/>
    </row>
    <row r="331" spans="12:55" s="4" customFormat="1" ht="82.35" customHeight="1">
      <c r="L331" s="1273"/>
      <c r="M331" s="28"/>
      <c r="N331" s="1273"/>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1255"/>
    </row>
    <row r="332" spans="12:55" s="4" customFormat="1" ht="82.35" customHeight="1">
      <c r="L332" s="1273"/>
      <c r="M332" s="28"/>
      <c r="N332" s="1273"/>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1255"/>
    </row>
    <row r="333" spans="12:55" s="4" customFormat="1" ht="82.35" customHeight="1">
      <c r="L333" s="1273"/>
      <c r="M333" s="28"/>
      <c r="N333" s="1273"/>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1255"/>
    </row>
    <row r="334" spans="12:55" s="4" customFormat="1" ht="82.35" customHeight="1">
      <c r="L334" s="1273"/>
      <c r="M334" s="28"/>
      <c r="N334" s="1273"/>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1255"/>
    </row>
    <row r="335" spans="12:55" s="4" customFormat="1" ht="82.35" customHeight="1">
      <c r="L335" s="1273"/>
      <c r="M335" s="28"/>
      <c r="N335" s="1273"/>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1255"/>
    </row>
    <row r="336" spans="12:55" s="4" customFormat="1" ht="82.35" customHeight="1">
      <c r="L336" s="1273"/>
      <c r="M336" s="28"/>
      <c r="N336" s="1273"/>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1255"/>
    </row>
    <row r="337" spans="12:55" s="4" customFormat="1" ht="82.35" customHeight="1">
      <c r="L337" s="1273"/>
      <c r="M337" s="28"/>
      <c r="N337" s="1273"/>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1255"/>
    </row>
    <row r="338" spans="12:55" s="4" customFormat="1" ht="82.35" customHeight="1">
      <c r="L338" s="1273"/>
      <c r="M338" s="28"/>
      <c r="N338" s="1273"/>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1255"/>
    </row>
    <row r="339" spans="12:55" s="4" customFormat="1" ht="82.35" customHeight="1">
      <c r="L339" s="1273"/>
      <c r="M339" s="28"/>
      <c r="N339" s="1273"/>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1255"/>
    </row>
    <row r="340" spans="12:55" s="4" customFormat="1" ht="82.35" customHeight="1">
      <c r="L340" s="1273"/>
      <c r="M340" s="28"/>
      <c r="N340" s="1273"/>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1255"/>
    </row>
    <row r="341" spans="12:55" s="4" customFormat="1" ht="82.35" customHeight="1">
      <c r="L341" s="1273"/>
      <c r="M341" s="28"/>
      <c r="N341" s="1273"/>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1255"/>
    </row>
    <row r="342" spans="12:55" s="4" customFormat="1" ht="82.35" customHeight="1">
      <c r="L342" s="1273"/>
      <c r="M342" s="28"/>
      <c r="N342" s="1273"/>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1255"/>
    </row>
    <row r="343" spans="12:55" s="4" customFormat="1" ht="82.35" customHeight="1">
      <c r="L343" s="1273"/>
      <c r="M343" s="28"/>
      <c r="N343" s="1273"/>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1255"/>
    </row>
    <row r="344" spans="12:55" s="4" customFormat="1" ht="82.35" customHeight="1">
      <c r="L344" s="1273"/>
      <c r="M344" s="28"/>
      <c r="N344" s="1273"/>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1255"/>
    </row>
    <row r="345" spans="12:55" s="4" customFormat="1" ht="82.35" customHeight="1">
      <c r="L345" s="1273"/>
      <c r="M345" s="28"/>
      <c r="N345" s="1273"/>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1255"/>
    </row>
    <row r="346" spans="12:55" s="4" customFormat="1" ht="82.35" customHeight="1">
      <c r="L346" s="1273"/>
      <c r="M346" s="28"/>
      <c r="N346" s="1273"/>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1255"/>
    </row>
    <row r="347" spans="12:55" s="4" customFormat="1" ht="82.35" customHeight="1">
      <c r="L347" s="1273"/>
      <c r="M347" s="28"/>
      <c r="N347" s="1273"/>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1255"/>
    </row>
    <row r="348" spans="12:55" s="4" customFormat="1" ht="82.35" customHeight="1">
      <c r="L348" s="1273"/>
      <c r="M348" s="28"/>
      <c r="N348" s="1273"/>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1255"/>
    </row>
    <row r="349" spans="12:55" s="4" customFormat="1" ht="82.35" customHeight="1">
      <c r="L349" s="1273"/>
      <c r="M349" s="28"/>
      <c r="N349" s="1273"/>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1255"/>
    </row>
    <row r="350" spans="12:55" s="4" customFormat="1" ht="82.35" customHeight="1">
      <c r="L350" s="1273"/>
      <c r="M350" s="28"/>
      <c r="N350" s="1273"/>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1255"/>
    </row>
    <row r="351" spans="12:55" s="4" customFormat="1" ht="82.35" customHeight="1">
      <c r="L351" s="1273"/>
      <c r="M351" s="28"/>
      <c r="N351" s="1273"/>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1255"/>
    </row>
    <row r="352" spans="12:55" s="4" customFormat="1" ht="82.35" customHeight="1">
      <c r="L352" s="1273"/>
      <c r="M352" s="28"/>
      <c r="N352" s="1273"/>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1255"/>
    </row>
    <row r="353" spans="12:55" s="4" customFormat="1" ht="82.35" customHeight="1">
      <c r="L353" s="1273"/>
      <c r="M353" s="28"/>
      <c r="N353" s="1273"/>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1255"/>
    </row>
    <row r="354" spans="12:55" s="4" customFormat="1" ht="82.35" customHeight="1">
      <c r="L354" s="1273"/>
      <c r="M354" s="28"/>
      <c r="N354" s="1273"/>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1255"/>
    </row>
    <row r="355" spans="12:55" s="4" customFormat="1" ht="82.35" customHeight="1">
      <c r="L355" s="1273"/>
      <c r="M355" s="28"/>
      <c r="N355" s="1273"/>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1255"/>
    </row>
    <row r="356" spans="12:55" s="4" customFormat="1" ht="82.35" customHeight="1">
      <c r="L356" s="1273"/>
      <c r="M356" s="28"/>
      <c r="N356" s="1273"/>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1255"/>
    </row>
    <row r="357" spans="12:55" s="4" customFormat="1" ht="82.35" customHeight="1">
      <c r="L357" s="1273"/>
      <c r="M357" s="28"/>
      <c r="N357" s="1273"/>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1255"/>
    </row>
    <row r="358" spans="12:55" s="4" customFormat="1" ht="82.35" customHeight="1">
      <c r="L358" s="1273"/>
      <c r="M358" s="28"/>
      <c r="N358" s="1273"/>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1255"/>
    </row>
    <row r="359" spans="12:55" s="4" customFormat="1" ht="82.35" customHeight="1">
      <c r="L359" s="1273"/>
      <c r="M359" s="28"/>
      <c r="N359" s="1273"/>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1255"/>
    </row>
    <row r="360" spans="12:55" s="4" customFormat="1" ht="82.35" customHeight="1">
      <c r="L360" s="1273"/>
      <c r="M360" s="28"/>
      <c r="N360" s="1273"/>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1255"/>
    </row>
    <row r="361" spans="12:55" s="4" customFormat="1" ht="82.35" customHeight="1">
      <c r="L361" s="1273"/>
      <c r="M361" s="28"/>
      <c r="N361" s="1273"/>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1255"/>
    </row>
    <row r="362" spans="12:55" s="4" customFormat="1" ht="82.35" customHeight="1">
      <c r="L362" s="1273"/>
      <c r="M362" s="28"/>
      <c r="N362" s="1273"/>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1255"/>
    </row>
    <row r="363" spans="12:55" s="4" customFormat="1" ht="82.35" customHeight="1">
      <c r="L363" s="1273"/>
      <c r="M363" s="28"/>
      <c r="N363" s="1273"/>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1255"/>
    </row>
    <row r="364" spans="12:55" s="4" customFormat="1" ht="82.35" customHeight="1">
      <c r="L364" s="1273"/>
      <c r="M364" s="28"/>
      <c r="N364" s="1273"/>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1255"/>
    </row>
  </sheetData>
  <sheetProtection algorithmName="SHA-512" hashValue="EXQrvAlTgMCa12OTv++75htwJgDuNWKpQz8PE5jg7u4lQ2L+RL5uwsXti9uutQ4/qiCsoRMt1pEoF+MiuQGVsQ==" saltValue="YYdjK7bbfgeSrvVumn3RzQ==" spinCount="100000" sheet="1" objects="1" scenarios="1" autoFilter="0"/>
  <phoneticPr fontId="188" type="noConversion"/>
  <dataValidations count="8">
    <dataValidation allowBlank="1" showInputMessage="1" showErrorMessage="1" prompt="Estimates of the impacts of your key actions by year 2030. This refers to yearly figures and not cumulative." sqref="AG1" xr:uid="{00000000-0002-0000-0D00-000000000000}"/>
    <dataValidation allowBlank="1" showInputMessage="1" showErrorMessage="1" prompt="Start and end year of each key action in order to differentiate the short, mid and long-term actions." sqref="Y1:Z1" xr:uid="{00000000-0002-0000-0D00-000001000000}"/>
    <dataValidation allowBlank="1" showInputMessage="1" showErrorMessage="1" prompt="Name of the body responsible for implementing each key action, e.g. department in charge, energy utility, local energy agency, company, etc. " sqref="X1" xr:uid="{00000000-0002-0000-0D00-000002000000}"/>
    <dataValidation allowBlank="1" showInputMessage="1" showErrorMessage="1" prompt="In case your action plan contains a large number of actions, you can report only the ones you define as key actions. However, the totals per sector should include all the actions foreseen in your plan." sqref="B1:N1" xr:uid="{00000000-0002-0000-0D00-000003000000}"/>
    <dataValidation allowBlank="1" showInputMessage="1" showErrorMessage="1" prompt="Select the category that better corresponds to the policy instrument used to implement your action, e.g. if you have an action on 'Thermal insulation of buildings' you may select 'Building standards' if you have used this instrument." sqref="P1:U1" xr:uid="{00000000-0002-0000-0D00-000004000000}"/>
    <dataValidation allowBlank="1" showInputMessage="1" showErrorMessage="1" prompt="Select the category that better corresponds to your action, e.g. if you have an action on 'Thermal insulation of buildings' you select 'Building envelope'." sqref="O1" xr:uid="{00000000-0002-0000-0D00-000005000000}"/>
    <dataValidation allowBlank="1" showInputMessage="1" showErrorMessage="1" prompt="Aims at identifying which authority level has initiated the action." sqref="V1" xr:uid="{00000000-0002-0000-0D00-000006000000}"/>
    <dataValidation allowBlank="1" showInputMessage="1" showErrorMessage="1" prompt="Refers to the capital spent in implementing each action plus the associated operating costs until the monitoring year." sqref="AB1:AF1" xr:uid="{00000000-0002-0000-0D00-000007000000}"/>
  </dataValidation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22" filterMode="1">
    <tabColor theme="8" tint="0.39997558519241921"/>
  </sheetPr>
  <dimension ref="A1:GG194"/>
  <sheetViews>
    <sheetView showGridLines="0" topLeftCell="FO2" zoomScale="75" zoomScaleNormal="75" workbookViewId="0">
      <selection activeCell="FW62" sqref="FW62"/>
    </sheetView>
  </sheetViews>
  <sheetFormatPr baseColWidth="10" defaultColWidth="9.109375" defaultRowHeight="14.4"/>
  <cols>
    <col min="1" max="1" width="5.5546875" style="1" hidden="1" customWidth="1"/>
    <col min="2" max="2" width="35.109375" style="1" hidden="1" customWidth="1"/>
    <col min="3" max="9" width="69" style="1" hidden="1" customWidth="1"/>
    <col min="10" max="10" width="12.44140625" style="1" hidden="1" customWidth="1"/>
    <col min="11" max="11" width="5.5546875" style="1" hidden="1" customWidth="1"/>
    <col min="12" max="12" width="10.109375" style="1" hidden="1" customWidth="1"/>
    <col min="13" max="14" width="4" style="1" hidden="1" customWidth="1"/>
    <col min="15" max="15" width="5.5546875" style="1" hidden="1" customWidth="1"/>
    <col min="16" max="16" width="10.109375" style="1" hidden="1" customWidth="1"/>
    <col min="17" max="18" width="4" style="1" hidden="1" customWidth="1"/>
    <col min="19" max="19" width="5.5546875" style="1" hidden="1" customWidth="1"/>
    <col min="20" max="20" width="10.109375" style="1" hidden="1" customWidth="1"/>
    <col min="21" max="22" width="4" style="1" hidden="1" customWidth="1"/>
    <col min="23" max="23" width="5.5546875" style="1" hidden="1" customWidth="1"/>
    <col min="24" max="24" width="10.109375" style="1" hidden="1" customWidth="1"/>
    <col min="25" max="26" width="4" style="1" hidden="1" customWidth="1"/>
    <col min="27" max="27" width="5.5546875" style="1" hidden="1" customWidth="1"/>
    <col min="28" max="28" width="10.109375" style="1" hidden="1" customWidth="1"/>
    <col min="29" max="29" width="4.88671875" style="1" hidden="1" customWidth="1"/>
    <col min="30" max="30" width="4" style="1" hidden="1" customWidth="1"/>
    <col min="31" max="31" width="5.5546875" style="1" hidden="1" customWidth="1"/>
    <col min="32" max="32" width="10.109375" style="1" hidden="1" customWidth="1"/>
    <col min="33" max="33" width="4.88671875" style="1" hidden="1" customWidth="1"/>
    <col min="34" max="34" width="4" style="1" hidden="1" customWidth="1"/>
    <col min="35" max="35" width="5.5546875" style="1" hidden="1" customWidth="1"/>
    <col min="36" max="36" width="10.109375" style="1" hidden="1" customWidth="1"/>
    <col min="37" max="37" width="4.5546875" style="1" hidden="1" customWidth="1"/>
    <col min="38" max="38" width="4" style="1" hidden="1" customWidth="1"/>
    <col min="39" max="39" width="5.5546875" style="1" hidden="1" customWidth="1"/>
    <col min="40" max="40" width="10.109375" style="1" hidden="1" customWidth="1"/>
    <col min="41" max="41" width="4.88671875" style="1" hidden="1" customWidth="1"/>
    <col min="42" max="42" width="4" style="1" hidden="1" customWidth="1"/>
    <col min="43" max="43" width="5.5546875" style="1" hidden="1" customWidth="1"/>
    <col min="44" max="44" width="10.109375" style="1" hidden="1" customWidth="1"/>
    <col min="45" max="45" width="4.5546875" style="1" hidden="1" customWidth="1"/>
    <col min="46" max="46" width="4" style="1" hidden="1" customWidth="1"/>
    <col min="47" max="47" width="5.5546875" style="1" hidden="1" customWidth="1"/>
    <col min="48" max="48" width="10.109375" style="1" hidden="1" customWidth="1"/>
    <col min="49" max="49" width="7.44140625" style="1" hidden="1" customWidth="1"/>
    <col min="50" max="50" width="2.5546875" style="1" hidden="1" customWidth="1"/>
    <col min="51" max="51" width="5.5546875" style="1" hidden="1" customWidth="1"/>
    <col min="52" max="52" width="10.109375" style="1" hidden="1" customWidth="1"/>
    <col min="53" max="53" width="4.88671875" style="1" hidden="1" customWidth="1"/>
    <col min="54" max="54" width="2.5546875" style="1" hidden="1" customWidth="1"/>
    <col min="55" max="55" width="5.5546875" style="1" hidden="1" customWidth="1"/>
    <col min="56" max="56" width="10.109375" style="1" hidden="1" customWidth="1"/>
    <col min="57" max="57" width="4.5546875" style="1" hidden="1" customWidth="1"/>
    <col min="58" max="58" width="2.5546875" style="1" hidden="1" customWidth="1"/>
    <col min="59" max="59" width="5.5546875" style="1" hidden="1" customWidth="1"/>
    <col min="60" max="60" width="10.109375" style="1" hidden="1" customWidth="1"/>
    <col min="61" max="61" width="3.5546875" style="1" hidden="1" customWidth="1"/>
    <col min="62" max="62" width="2.5546875" style="1" hidden="1" customWidth="1"/>
    <col min="63" max="63" width="5.5546875" style="1" hidden="1" customWidth="1"/>
    <col min="64" max="64" width="10.109375" style="1" hidden="1" customWidth="1"/>
    <col min="65" max="65" width="13.88671875" style="1" hidden="1" customWidth="1"/>
    <col min="66" max="66" width="2.5546875" style="1" hidden="1" customWidth="1"/>
    <col min="67" max="67" width="5.5546875" style="1" hidden="1" customWidth="1"/>
    <col min="68" max="68" width="10.109375" style="1" hidden="1" customWidth="1"/>
    <col min="69" max="69" width="4.88671875" style="1" hidden="1" customWidth="1"/>
    <col min="70" max="70" width="2.5546875" style="1" hidden="1" customWidth="1"/>
    <col min="71" max="71" width="5.5546875" style="1" hidden="1" customWidth="1"/>
    <col min="72" max="72" width="10.109375" style="1" hidden="1" customWidth="1"/>
    <col min="73" max="73" width="4.5546875" style="1" hidden="1" customWidth="1"/>
    <col min="74" max="74" width="2.5546875" style="1" hidden="1" customWidth="1"/>
    <col min="75" max="75" width="5.5546875" style="1" hidden="1" customWidth="1"/>
    <col min="76" max="76" width="10.109375" style="1" hidden="1" customWidth="1"/>
    <col min="77" max="77" width="4.5546875" style="1" hidden="1" customWidth="1"/>
    <col min="78" max="78" width="2.5546875" style="1" hidden="1" customWidth="1"/>
    <col min="79" max="79" width="5.5546875" style="1" hidden="1" customWidth="1"/>
    <col min="80" max="80" width="10.109375" style="1" hidden="1" customWidth="1"/>
    <col min="81" max="81" width="4.88671875" style="1" hidden="1" customWidth="1"/>
    <col min="82" max="82" width="2.5546875" style="1" hidden="1" customWidth="1"/>
    <col min="83" max="83" width="5.5546875" style="1" hidden="1" customWidth="1"/>
    <col min="84" max="84" width="10.109375" style="1" hidden="1" customWidth="1"/>
    <col min="85" max="85" width="4.88671875" style="1" hidden="1" customWidth="1"/>
    <col min="86" max="86" width="2.5546875" style="1" hidden="1" customWidth="1"/>
    <col min="87" max="87" width="27.5546875" style="1" hidden="1" customWidth="1"/>
    <col min="88" max="88" width="10.109375" style="1" hidden="1" customWidth="1"/>
    <col min="89" max="89" width="32" style="1" hidden="1" customWidth="1"/>
    <col min="90" max="90" width="2.5546875" style="1" hidden="1" customWidth="1"/>
    <col min="91" max="91" width="5.5546875" style="1" hidden="1" customWidth="1"/>
    <col min="92" max="92" width="10.109375" style="1" hidden="1" customWidth="1"/>
    <col min="93" max="93" width="4.88671875" style="1" hidden="1" customWidth="1"/>
    <col min="94" max="94" width="2.5546875" style="1" hidden="1" customWidth="1"/>
    <col min="95" max="95" width="5.5546875" style="1" hidden="1" customWidth="1"/>
    <col min="96" max="96" width="10.109375" style="1" hidden="1" customWidth="1"/>
    <col min="97" max="97" width="4.5546875" style="1" hidden="1" customWidth="1"/>
    <col min="98" max="98" width="2.5546875" style="1" hidden="1" customWidth="1"/>
    <col min="99" max="99" width="21.44140625" style="1" hidden="1" customWidth="1"/>
    <col min="100" max="100" width="10.109375" style="1" hidden="1" customWidth="1"/>
    <col min="101" max="101" width="24" style="1" hidden="1" customWidth="1"/>
    <col min="102" max="102" width="2.5546875" style="1" hidden="1" customWidth="1"/>
    <col min="103" max="103" width="5.5546875" style="1" hidden="1" customWidth="1"/>
    <col min="104" max="104" width="10.109375" style="1" hidden="1" customWidth="1"/>
    <col min="105" max="105" width="4.88671875" style="1" hidden="1" customWidth="1"/>
    <col min="106" max="106" width="2.5546875" style="1" hidden="1" customWidth="1"/>
    <col min="107" max="107" width="5.5546875" style="1" hidden="1" customWidth="1"/>
    <col min="108" max="108" width="10.109375" style="1" hidden="1" customWidth="1"/>
    <col min="109" max="109" width="4.5546875" style="1" hidden="1" customWidth="1"/>
    <col min="110" max="110" width="2.5546875" style="1" hidden="1" customWidth="1"/>
    <col min="111" max="111" width="5.5546875" style="1" hidden="1" customWidth="1"/>
    <col min="112" max="112" width="10.109375" style="1" hidden="1" customWidth="1"/>
    <col min="113" max="113" width="3.5546875" style="1" hidden="1" customWidth="1"/>
    <col min="114" max="114" width="2.5546875" style="1" hidden="1" customWidth="1"/>
    <col min="115" max="115" width="5.5546875" style="1" hidden="1" customWidth="1"/>
    <col min="116" max="116" width="10.109375" style="1" hidden="1" customWidth="1"/>
    <col min="117" max="117" width="5.44140625" style="1" hidden="1" customWidth="1"/>
    <col min="118" max="118" width="2.5546875" style="1" hidden="1" customWidth="1"/>
    <col min="119" max="119" width="5.5546875" style="1" hidden="1" customWidth="1"/>
    <col min="120" max="120" width="10.109375" style="1" hidden="1" customWidth="1"/>
    <col min="121" max="121" width="4.88671875" style="1" hidden="1" customWidth="1"/>
    <col min="122" max="122" width="2.5546875" style="1" hidden="1" customWidth="1"/>
    <col min="123" max="123" width="5.5546875" style="1" hidden="1" customWidth="1"/>
    <col min="124" max="124" width="10.109375" style="1" hidden="1" customWidth="1"/>
    <col min="125" max="125" width="4.5546875" style="1" hidden="1" customWidth="1"/>
    <col min="126" max="126" width="2.5546875" style="1" hidden="1" customWidth="1"/>
    <col min="127" max="127" width="5.5546875" style="1" hidden="1" customWidth="1"/>
    <col min="128" max="128" width="10.109375" style="1" hidden="1" customWidth="1"/>
    <col min="129" max="129" width="4.5546875" style="1" hidden="1" customWidth="1"/>
    <col min="130" max="130" width="9.44140625" style="1" hidden="1" customWidth="1"/>
    <col min="131" max="131" width="5.5546875" style="1" hidden="1" customWidth="1"/>
    <col min="132" max="132" width="10.109375" style="1" hidden="1" customWidth="1"/>
    <col min="133" max="133" width="4.5546875" style="1" hidden="1" customWidth="1"/>
    <col min="134" max="134" width="2.5546875" style="1" hidden="1" customWidth="1"/>
    <col min="135" max="135" width="5.5546875" style="1" hidden="1" customWidth="1"/>
    <col min="136" max="136" width="10.109375" style="1" hidden="1" customWidth="1"/>
    <col min="137" max="137" width="4.5546875" style="1" hidden="1" customWidth="1"/>
    <col min="138" max="138" width="2.5546875" style="1" hidden="1" customWidth="1"/>
    <col min="139" max="139" width="5.5546875" style="1" hidden="1" customWidth="1"/>
    <col min="140" max="140" width="10.109375" style="1" hidden="1" customWidth="1"/>
    <col min="141" max="141" width="4.44140625" style="1" hidden="1" customWidth="1"/>
    <col min="142" max="142" width="2.5546875" style="1" hidden="1" customWidth="1"/>
    <col min="143" max="143" width="5.5546875" style="1" hidden="1" customWidth="1"/>
    <col min="144" max="144" width="10.109375" style="1" hidden="1" customWidth="1"/>
    <col min="145" max="145" width="4.5546875" style="1" hidden="1" customWidth="1"/>
    <col min="146" max="146" width="2.5546875" style="1" hidden="1" customWidth="1"/>
    <col min="147" max="147" width="5.5546875" style="1" hidden="1" customWidth="1"/>
    <col min="148" max="148" width="10.109375" style="1" hidden="1" customWidth="1"/>
    <col min="149" max="149" width="4.44140625" style="1" hidden="1" customWidth="1"/>
    <col min="150" max="150" width="2.5546875" style="1" hidden="1" customWidth="1"/>
    <col min="151" max="151" width="5.5546875" style="1" hidden="1" customWidth="1"/>
    <col min="152" max="152" width="10.109375" style="1" hidden="1" customWidth="1"/>
    <col min="153" max="153" width="4.88671875" style="1" hidden="1" customWidth="1"/>
    <col min="154" max="154" width="2.5546875" style="1" hidden="1" customWidth="1"/>
    <col min="155" max="155" width="18" style="1" hidden="1" customWidth="1"/>
    <col min="156" max="156" width="10.109375" style="1" hidden="1" customWidth="1"/>
    <col min="157" max="166" width="20.44140625" style="1" hidden="1" customWidth="1"/>
    <col min="167" max="168" width="3.88671875" style="1" hidden="1" customWidth="1"/>
    <col min="169" max="169" width="4.88671875" style="1" hidden="1" customWidth="1"/>
    <col min="170" max="170" width="5.44140625" style="1" hidden="1" customWidth="1"/>
    <col min="171" max="171" width="82" style="20" customWidth="1"/>
    <col min="172" max="172" width="28.5546875" style="1" hidden="1" customWidth="1"/>
    <col min="173" max="173" width="9.44140625" style="50" bestFit="1" customWidth="1"/>
    <col min="174" max="174" width="17.5546875" style="20" customWidth="1"/>
    <col min="175" max="175" width="10.88671875" style="47" customWidth="1"/>
    <col min="176" max="176" width="8.44140625" style="22" bestFit="1" customWidth="1"/>
    <col min="177" max="177" width="16.88671875" style="20" customWidth="1"/>
    <col min="178" max="178" width="11.109375" style="47" customWidth="1"/>
    <col min="179" max="179" width="6.44140625" style="22" bestFit="1" customWidth="1"/>
    <col min="180" max="180" width="18.44140625" style="20" customWidth="1"/>
    <col min="181" max="181" width="10.5546875" style="47" customWidth="1"/>
    <col min="182" max="182" width="6.44140625" style="22" bestFit="1" customWidth="1"/>
    <col min="183" max="183" width="18.88671875" style="21" customWidth="1"/>
    <col min="184" max="184" width="8.5546875" style="22" customWidth="1"/>
    <col min="185" max="185" width="10.88671875" style="22" bestFit="1" customWidth="1"/>
    <col min="186" max="186" width="11.5546875" style="21" bestFit="1" customWidth="1"/>
    <col min="187" max="187" width="12.44140625" style="22" customWidth="1"/>
    <col min="188" max="188" width="11.109375" style="18" customWidth="1"/>
    <col min="189" max="189" width="9.109375" style="45" customWidth="1"/>
    <col min="190" max="16384" width="9.109375" style="1"/>
  </cols>
  <sheetData>
    <row r="1" spans="1:189" ht="14.4" hidden="1" customHeight="1" thickBot="1">
      <c r="J1" s="2121" t="s">
        <v>869</v>
      </c>
      <c r="K1" s="2121"/>
      <c r="L1" s="2121"/>
      <c r="M1" s="2121"/>
      <c r="N1" s="2121" t="s">
        <v>895</v>
      </c>
      <c r="O1" s="2121"/>
      <c r="P1" s="2121"/>
      <c r="Q1" s="2121"/>
      <c r="R1" s="2121" t="s">
        <v>932</v>
      </c>
      <c r="S1" s="2121"/>
      <c r="T1" s="2121"/>
      <c r="U1" s="2121"/>
      <c r="V1" s="2121" t="s">
        <v>986</v>
      </c>
      <c r="W1" s="2121"/>
      <c r="X1" s="2121"/>
      <c r="Y1" s="2121"/>
      <c r="Z1" s="2121" t="s">
        <v>1015</v>
      </c>
      <c r="AA1" s="2121"/>
      <c r="AB1" s="2121"/>
      <c r="AC1" s="2121"/>
      <c r="AD1" s="2121" t="s">
        <v>1032</v>
      </c>
      <c r="AE1" s="2121"/>
      <c r="AF1" s="2121"/>
      <c r="AG1" s="2121"/>
      <c r="AH1" s="2121" t="s">
        <v>1124</v>
      </c>
      <c r="AI1" s="2121"/>
      <c r="AJ1" s="2121"/>
      <c r="AK1" s="2121"/>
      <c r="AL1" s="2121" t="s">
        <v>1125</v>
      </c>
      <c r="AM1" s="2121"/>
      <c r="AN1" s="2121"/>
      <c r="AO1" s="2121"/>
      <c r="AP1" s="2121" t="s">
        <v>1126</v>
      </c>
      <c r="AQ1" s="2121"/>
      <c r="AR1" s="2121"/>
      <c r="AS1" s="2121"/>
      <c r="AT1" s="2121" t="s">
        <v>779</v>
      </c>
      <c r="AU1" s="2121"/>
      <c r="AV1" s="2121"/>
      <c r="AW1" s="2121"/>
      <c r="AX1" s="2121" t="s">
        <v>789</v>
      </c>
      <c r="AY1" s="2121"/>
      <c r="AZ1" s="2121"/>
      <c r="BA1" s="2121"/>
      <c r="BB1" s="2121" t="s">
        <v>800</v>
      </c>
      <c r="BC1" s="2121"/>
      <c r="BD1" s="2121"/>
      <c r="BE1" s="2121"/>
      <c r="BF1" s="2121" t="s">
        <v>812</v>
      </c>
      <c r="BG1" s="2121"/>
      <c r="BH1" s="2121"/>
      <c r="BI1" s="2121"/>
      <c r="BJ1" s="2121" t="s">
        <v>820</v>
      </c>
      <c r="BK1" s="2121"/>
      <c r="BL1" s="2121"/>
      <c r="BM1" s="2121"/>
      <c r="BN1" s="2121" t="s">
        <v>830</v>
      </c>
      <c r="BO1" s="2121"/>
      <c r="BP1" s="2121"/>
      <c r="BQ1" s="2121"/>
      <c r="BR1" s="2121" t="s">
        <v>839</v>
      </c>
      <c r="BS1" s="2121"/>
      <c r="BT1" s="2121"/>
      <c r="BU1" s="2121"/>
      <c r="BV1" s="2121" t="s">
        <v>847</v>
      </c>
      <c r="BW1" s="2121"/>
      <c r="BX1" s="2121"/>
      <c r="BY1" s="2121"/>
      <c r="BZ1" s="2121" t="s">
        <v>854</v>
      </c>
      <c r="CA1" s="2121"/>
      <c r="CB1" s="2121"/>
      <c r="CC1" s="2121"/>
      <c r="CD1" s="2121" t="s">
        <v>1127</v>
      </c>
      <c r="CE1" s="2121"/>
      <c r="CF1" s="2121"/>
      <c r="CG1" s="2121"/>
      <c r="CH1" s="2121" t="s">
        <v>874</v>
      </c>
      <c r="CI1" s="2121"/>
      <c r="CJ1" s="2121"/>
      <c r="CK1" s="2121"/>
      <c r="CL1" s="2121" t="s">
        <v>880</v>
      </c>
      <c r="CM1" s="2121"/>
      <c r="CN1" s="2121"/>
      <c r="CO1" s="2121"/>
      <c r="CP1" s="2121" t="s">
        <v>883</v>
      </c>
      <c r="CQ1" s="2121"/>
      <c r="CR1" s="2121"/>
      <c r="CS1" s="2121"/>
      <c r="CT1" s="2121" t="s">
        <v>886</v>
      </c>
      <c r="CU1" s="2121"/>
      <c r="CV1" s="2121"/>
      <c r="CW1" s="2121"/>
      <c r="CX1" s="2121" t="s">
        <v>888</v>
      </c>
      <c r="CY1" s="2121"/>
      <c r="CZ1" s="2121"/>
      <c r="DA1" s="2121"/>
      <c r="DB1" s="2121" t="s">
        <v>890</v>
      </c>
      <c r="DC1" s="2121"/>
      <c r="DD1" s="2121"/>
      <c r="DE1" s="2121"/>
      <c r="DF1" s="2121" t="s">
        <v>1128</v>
      </c>
      <c r="DG1" s="2121"/>
      <c r="DH1" s="2121"/>
      <c r="DI1" s="2121"/>
      <c r="DJ1" s="2121" t="s">
        <v>1129</v>
      </c>
      <c r="DK1" s="2121"/>
      <c r="DL1" s="2121"/>
      <c r="DM1" s="2121"/>
      <c r="DN1" s="2121" t="s">
        <v>1130</v>
      </c>
      <c r="DO1" s="2121"/>
      <c r="DP1" s="2121"/>
      <c r="DQ1" s="2121"/>
      <c r="DR1" s="2121" t="s">
        <v>1131</v>
      </c>
      <c r="DS1" s="2121"/>
      <c r="DT1" s="2121"/>
      <c r="DU1" s="2121"/>
      <c r="DV1" s="2121" t="s">
        <v>902</v>
      </c>
      <c r="DW1" s="2121"/>
      <c r="DX1" s="2121"/>
      <c r="DY1" s="2121"/>
      <c r="DZ1" s="2121" t="s">
        <v>908</v>
      </c>
      <c r="EA1" s="2121"/>
      <c r="EB1" s="2121"/>
      <c r="EC1" s="2121"/>
      <c r="ED1" s="2121" t="s">
        <v>913</v>
      </c>
      <c r="EE1" s="2121"/>
      <c r="EF1" s="2121"/>
      <c r="EG1" s="2121"/>
      <c r="EH1" s="2121" t="s">
        <v>917</v>
      </c>
      <c r="EI1" s="2121"/>
      <c r="EJ1" s="2121"/>
      <c r="EK1" s="2121"/>
      <c r="EL1" s="2121" t="s">
        <v>922</v>
      </c>
      <c r="EM1" s="2121"/>
      <c r="EN1" s="2121"/>
      <c r="EO1" s="2121"/>
      <c r="EP1" s="2121" t="s">
        <v>923</v>
      </c>
      <c r="EQ1" s="2121"/>
      <c r="ER1" s="2121"/>
      <c r="ES1" s="2121"/>
      <c r="ET1" s="2121" t="s">
        <v>924</v>
      </c>
      <c r="EU1" s="2121"/>
      <c r="EV1" s="2121"/>
      <c r="EW1" s="2121"/>
      <c r="EX1" s="2121" t="s">
        <v>926</v>
      </c>
      <c r="EY1" s="2121"/>
      <c r="EZ1" s="2121"/>
      <c r="FA1" s="2121"/>
      <c r="FB1" s="24"/>
      <c r="FC1" s="24"/>
      <c r="FD1" s="24"/>
      <c r="FE1" s="24"/>
      <c r="FF1" s="24"/>
      <c r="FG1" s="24"/>
      <c r="FH1" s="24"/>
      <c r="FI1" s="24"/>
      <c r="FJ1" s="24"/>
      <c r="FK1" s="24"/>
      <c r="FL1" s="24"/>
      <c r="FM1" s="24"/>
      <c r="FO1" s="1"/>
      <c r="FQ1" s="2123">
        <v>10</v>
      </c>
      <c r="FR1" s="2123"/>
      <c r="FS1" s="2123"/>
      <c r="FT1" s="2123">
        <v>11</v>
      </c>
      <c r="FU1" s="2123"/>
      <c r="FV1" s="2123"/>
      <c r="FW1" s="2123">
        <v>12</v>
      </c>
      <c r="FX1" s="2123"/>
      <c r="FY1" s="2123"/>
      <c r="FZ1" s="2123">
        <v>13</v>
      </c>
      <c r="GA1" s="2123"/>
      <c r="GB1" s="2123"/>
      <c r="GC1" s="2123">
        <v>14</v>
      </c>
      <c r="GD1" s="2123"/>
      <c r="GE1" s="2123"/>
      <c r="GF1" s="158"/>
      <c r="GG1" s="233"/>
    </row>
    <row r="2" spans="1:189" ht="65.099999999999994" customHeight="1">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O2" s="159"/>
      <c r="FQ2" s="160"/>
      <c r="FR2" s="159"/>
      <c r="FS2" s="160"/>
      <c r="FT2" s="161"/>
      <c r="FU2" s="159"/>
      <c r="FV2" s="160"/>
      <c r="FW2" s="161"/>
      <c r="FX2" s="159"/>
      <c r="FY2" s="161"/>
      <c r="FZ2" s="161"/>
      <c r="GA2" s="161"/>
      <c r="GB2" s="161"/>
      <c r="GC2" s="161"/>
      <c r="GD2" s="161"/>
      <c r="GE2" s="161"/>
      <c r="GF2" s="162"/>
      <c r="GG2" s="159"/>
    </row>
    <row r="3" spans="1:189" ht="8.1" customHeight="1">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O3" s="55"/>
      <c r="FQ3" s="163"/>
      <c r="FR3" s="55"/>
      <c r="FS3" s="163"/>
      <c r="FT3" s="164"/>
      <c r="FU3" s="55"/>
      <c r="FV3" s="163"/>
      <c r="FW3" s="164"/>
      <c r="FX3" s="55"/>
      <c r="FY3" s="164"/>
      <c r="FZ3" s="164"/>
      <c r="GA3" s="164"/>
      <c r="GB3" s="164"/>
      <c r="GC3" s="164"/>
      <c r="GD3" s="164"/>
      <c r="GE3" s="164"/>
      <c r="GF3" s="165"/>
      <c r="GG3" s="55"/>
    </row>
    <row r="4" spans="1:189" ht="26.4" customHeight="1" thickBot="1">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O4" s="166" t="s">
        <v>1132</v>
      </c>
      <c r="FQ4" s="163"/>
      <c r="FR4" s="55"/>
      <c r="FS4" s="163"/>
      <c r="FT4" s="164"/>
      <c r="FU4" s="55"/>
      <c r="FV4" s="163"/>
      <c r="FW4" s="164"/>
      <c r="FX4" s="55"/>
      <c r="FY4" s="164"/>
      <c r="FZ4" s="164"/>
      <c r="GA4" s="164"/>
      <c r="GB4" s="164"/>
      <c r="GC4" s="164"/>
      <c r="GD4" s="164"/>
      <c r="GE4" s="164"/>
      <c r="GF4" s="167"/>
      <c r="GG4" s="55"/>
    </row>
    <row r="5" spans="1:189" ht="13.5" customHeight="1">
      <c r="I5" s="1" t="str">
        <f>"'Suivi objectifs'!"</f>
        <v>'Suivi objectifs'!</v>
      </c>
      <c r="J5" s="2122" t="str">
        <f>CONCATENATE($I$5,J1)</f>
        <v>'Suivi objectifs'!B2</v>
      </c>
      <c r="K5" s="2121"/>
      <c r="L5" s="2121"/>
      <c r="M5" s="2121"/>
      <c r="N5" s="2122" t="str">
        <f>CONCATENATE($I$5,N1)</f>
        <v>'Suivi objectifs'!B3</v>
      </c>
      <c r="O5" s="2121"/>
      <c r="P5" s="2121"/>
      <c r="Q5" s="2121"/>
      <c r="R5" s="2122" t="str">
        <f>CONCATENATE($I$5,R1)</f>
        <v>'Suivi objectifs'!B4</v>
      </c>
      <c r="S5" s="2121"/>
      <c r="T5" s="2121"/>
      <c r="U5" s="2121"/>
      <c r="V5" s="2122" t="str">
        <f>CONCATENATE($I$5,V1)</f>
        <v>'Suivi objectifs'!B5</v>
      </c>
      <c r="W5" s="2121"/>
      <c r="X5" s="2121"/>
      <c r="Y5" s="2121"/>
      <c r="Z5" s="2122" t="str">
        <f>CONCATENATE($I$5,Z1)</f>
        <v>'Suivi objectifs'!B6</v>
      </c>
      <c r="AA5" s="2121"/>
      <c r="AB5" s="2121"/>
      <c r="AC5" s="2121"/>
      <c r="AD5" s="2122" t="str">
        <f>CONCATENATE($I$5,AD1)</f>
        <v>'Suivi objectifs'!B7</v>
      </c>
      <c r="AE5" s="2121"/>
      <c r="AF5" s="2121"/>
      <c r="AG5" s="2121"/>
      <c r="AH5" s="2122" t="str">
        <f>CONCATENATE($I$5,AH1)</f>
        <v>'Suivi objectifs'!B8</v>
      </c>
      <c r="AI5" s="2121"/>
      <c r="AJ5" s="2121"/>
      <c r="AK5" s="2121"/>
      <c r="AL5" s="2122" t="str">
        <f>CONCATENATE($I$5,AL1)</f>
        <v>'Suivi objectifs'!B9</v>
      </c>
      <c r="AM5" s="2121"/>
      <c r="AN5" s="2121"/>
      <c r="AO5" s="2121"/>
      <c r="AP5" s="2122" t="str">
        <f>CONCATENATE($I$5,AP1)</f>
        <v>'Suivi objectifs'!B10</v>
      </c>
      <c r="AQ5" s="2121"/>
      <c r="AR5" s="2121"/>
      <c r="AS5" s="2121"/>
      <c r="AT5" s="2122" t="str">
        <f>CONCATENATE($I$5,AT1)</f>
        <v>'Suivi objectifs'!B11</v>
      </c>
      <c r="AU5" s="2121"/>
      <c r="AV5" s="2121"/>
      <c r="AW5" s="2121"/>
      <c r="AX5" s="2122" t="str">
        <f>CONCATENATE($I$5,AX1)</f>
        <v>'Suivi objectifs'!B12</v>
      </c>
      <c r="AY5" s="2121"/>
      <c r="AZ5" s="2121"/>
      <c r="BA5" s="2121"/>
      <c r="BB5" s="2122" t="str">
        <f>CONCATENATE($I$5,BB1)</f>
        <v>'Suivi objectifs'!B13</v>
      </c>
      <c r="BC5" s="2121"/>
      <c r="BD5" s="2121"/>
      <c r="BE5" s="2121"/>
      <c r="BF5" s="2122" t="str">
        <f>CONCATENATE($I$5,BF1)</f>
        <v>'Suivi objectifs'!B14</v>
      </c>
      <c r="BG5" s="2121"/>
      <c r="BH5" s="2121"/>
      <c r="BI5" s="2121"/>
      <c r="BJ5" s="2122" t="str">
        <f>CONCATENATE($I$5,BJ1)</f>
        <v>'Suivi objectifs'!B15</v>
      </c>
      <c r="BK5" s="2121"/>
      <c r="BL5" s="2121"/>
      <c r="BM5" s="2121"/>
      <c r="BN5" s="2122" t="str">
        <f>CONCATENATE($I$5,BN1)</f>
        <v>'Suivi objectifs'!B16</v>
      </c>
      <c r="BO5" s="2121"/>
      <c r="BP5" s="2121"/>
      <c r="BQ5" s="2121"/>
      <c r="BR5" s="2122" t="str">
        <f>CONCATENATE($I$5,BR1)</f>
        <v>'Suivi objectifs'!B17</v>
      </c>
      <c r="BS5" s="2121"/>
      <c r="BT5" s="2121"/>
      <c r="BU5" s="2121"/>
      <c r="BV5" s="2122" t="str">
        <f>CONCATENATE($I$5,BV1)</f>
        <v>'Suivi objectifs'!B18</v>
      </c>
      <c r="BW5" s="2121"/>
      <c r="BX5" s="2121"/>
      <c r="BY5" s="2121"/>
      <c r="BZ5" s="2122" t="str">
        <f>CONCATENATE($I$5,BZ1)</f>
        <v>'Suivi objectifs'!B19</v>
      </c>
      <c r="CA5" s="2121"/>
      <c r="CB5" s="2121"/>
      <c r="CC5" s="2121"/>
      <c r="CD5" s="2122" t="str">
        <f>CONCATENATE($I$5,CD1)</f>
        <v>'Suivi objectifs'!B20</v>
      </c>
      <c r="CE5" s="2121"/>
      <c r="CF5" s="2121"/>
      <c r="CG5" s="2121"/>
      <c r="CH5" s="2122" t="str">
        <f>CONCATENATE($I$5,CH1)</f>
        <v>'Suivi objectifs'!B21</v>
      </c>
      <c r="CI5" s="2121"/>
      <c r="CJ5" s="2121"/>
      <c r="CK5" s="2121"/>
      <c r="CL5" s="2122" t="str">
        <f>CONCATENATE($I$5,CL1)</f>
        <v>'Suivi objectifs'!B22</v>
      </c>
      <c r="CM5" s="2121"/>
      <c r="CN5" s="2121"/>
      <c r="CO5" s="2121"/>
      <c r="CP5" s="2122" t="str">
        <f>CONCATENATE($I$5,CP1)</f>
        <v>'Suivi objectifs'!B23</v>
      </c>
      <c r="CQ5" s="2121"/>
      <c r="CR5" s="2121"/>
      <c r="CS5" s="2121"/>
      <c r="CT5" s="2122" t="str">
        <f>CONCATENATE($I$5,CT1)</f>
        <v>'Suivi objectifs'!B24</v>
      </c>
      <c r="CU5" s="2121"/>
      <c r="CV5" s="2121"/>
      <c r="CW5" s="2121"/>
      <c r="CX5" s="2122" t="str">
        <f>CONCATENATE($I$5,CX1)</f>
        <v>'Suivi objectifs'!B25</v>
      </c>
      <c r="CY5" s="2121"/>
      <c r="CZ5" s="2121"/>
      <c r="DA5" s="2121"/>
      <c r="DB5" s="2122" t="str">
        <f>CONCATENATE($I$5,DB1)</f>
        <v>'Suivi objectifs'!B26</v>
      </c>
      <c r="DC5" s="2121"/>
      <c r="DD5" s="2121"/>
      <c r="DE5" s="2121"/>
      <c r="DF5" s="2122" t="str">
        <f>CONCATENATE($I$5,DF1)</f>
        <v>'Suivi objectifs'!B27</v>
      </c>
      <c r="DG5" s="2121"/>
      <c r="DH5" s="2121"/>
      <c r="DI5" s="2121"/>
      <c r="DJ5" s="2122" t="str">
        <f>CONCATENATE($I$5,DJ1)</f>
        <v>'Suivi objectifs'!B28</v>
      </c>
      <c r="DK5" s="2121"/>
      <c r="DL5" s="2121"/>
      <c r="DM5" s="2121"/>
      <c r="DN5" s="2122" t="str">
        <f>CONCATENATE($I$5,DN1)</f>
        <v>'Suivi objectifs'!B29</v>
      </c>
      <c r="DO5" s="2121"/>
      <c r="DP5" s="2121"/>
      <c r="DQ5" s="2121"/>
      <c r="DR5" s="2122" t="str">
        <f>CONCATENATE($I$5,DR1)</f>
        <v>'Suivi objectifs'!B30</v>
      </c>
      <c r="DS5" s="2121"/>
      <c r="DT5" s="2121"/>
      <c r="DU5" s="2121"/>
      <c r="DV5" s="2122" t="str">
        <f>CONCATENATE($I$5,DV1)</f>
        <v>'Suivi objectifs'!B31</v>
      </c>
      <c r="DW5" s="2121"/>
      <c r="DX5" s="2121"/>
      <c r="DY5" s="2121"/>
      <c r="DZ5" s="2122" t="str">
        <f>CONCATENATE($I$5,DZ1)</f>
        <v>'Suivi objectifs'!B32</v>
      </c>
      <c r="EA5" s="2121"/>
      <c r="EB5" s="2121"/>
      <c r="EC5" s="2121"/>
      <c r="ED5" s="2122" t="str">
        <f>CONCATENATE($I$5,ED1)</f>
        <v>'Suivi objectifs'!B33</v>
      </c>
      <c r="EE5" s="2121"/>
      <c r="EF5" s="2121"/>
      <c r="EG5" s="2121"/>
      <c r="EH5" s="2122" t="str">
        <f>CONCATENATE($I$5,EH1)</f>
        <v>'Suivi objectifs'!B34</v>
      </c>
      <c r="EI5" s="2121"/>
      <c r="EJ5" s="2121"/>
      <c r="EK5" s="2121"/>
      <c r="EL5" s="2122" t="str">
        <f>CONCATENATE($I$5,EL1)</f>
        <v>'Suivi objectifs'!B35</v>
      </c>
      <c r="EM5" s="2121"/>
      <c r="EN5" s="2121"/>
      <c r="EO5" s="2121"/>
      <c r="EP5" s="2122" t="str">
        <f>CONCATENATE($I$5,EP1)</f>
        <v>'Suivi objectifs'!B36</v>
      </c>
      <c r="EQ5" s="2121"/>
      <c r="ER5" s="2121"/>
      <c r="ES5" s="2121"/>
      <c r="ET5" s="2122" t="str">
        <f>CONCATENATE($I$5,ET1)</f>
        <v>'Suivi objectifs'!B37</v>
      </c>
      <c r="EU5" s="2121"/>
      <c r="EV5" s="2121"/>
      <c r="EW5" s="2121"/>
      <c r="EX5" s="2122" t="str">
        <f>CONCATENATE($I$5,EX1)</f>
        <v>'Suivi objectifs'!B38</v>
      </c>
      <c r="EY5" s="2121"/>
      <c r="EZ5" s="2121"/>
      <c r="FA5" s="2121"/>
      <c r="FB5" s="2122" t="str">
        <f>CONCATENATE($I$5,"B39")</f>
        <v>'Suivi objectifs'!B39</v>
      </c>
      <c r="FC5" s="2121"/>
      <c r="FD5" s="2121"/>
      <c r="FE5" s="2121"/>
      <c r="FF5" s="2122" t="str">
        <f>CONCATENATE($I$5,"B40")</f>
        <v>'Suivi objectifs'!B40</v>
      </c>
      <c r="FG5" s="2121"/>
      <c r="FH5" s="2121"/>
      <c r="FI5" s="2121"/>
      <c r="FJ5" s="24"/>
      <c r="FK5" s="24"/>
      <c r="FL5" s="24"/>
      <c r="FM5" s="24"/>
      <c r="FO5" s="43"/>
      <c r="FQ5" s="2124" t="s">
        <v>1133</v>
      </c>
      <c r="FR5" s="2125"/>
      <c r="FS5" s="2126"/>
      <c r="FT5" s="2127" t="s">
        <v>1134</v>
      </c>
      <c r="FU5" s="2125"/>
      <c r="FV5" s="2126"/>
      <c r="FW5" s="2127" t="s">
        <v>1135</v>
      </c>
      <c r="FX5" s="2125"/>
      <c r="FY5" s="2126"/>
      <c r="FZ5" s="2127" t="s">
        <v>1136</v>
      </c>
      <c r="GA5" s="2128"/>
      <c r="GB5" s="2129"/>
      <c r="GC5" s="2127" t="s">
        <v>1137</v>
      </c>
      <c r="GD5" s="2128"/>
      <c r="GE5" s="2129"/>
      <c r="GF5" s="284"/>
      <c r="GG5" s="233"/>
    </row>
    <row r="6" spans="1:189" ht="15" hidden="1" customHeight="1">
      <c r="M6" s="1" t="s">
        <v>1138</v>
      </c>
      <c r="Q6" s="1" t="s">
        <v>1139</v>
      </c>
      <c r="U6" s="1" t="s">
        <v>1140</v>
      </c>
      <c r="Y6" s="1" t="s">
        <v>1141</v>
      </c>
      <c r="AC6" s="1" t="s">
        <v>1142</v>
      </c>
      <c r="AG6" s="1" t="s">
        <v>1143</v>
      </c>
      <c r="AK6" s="1" t="s">
        <v>1144</v>
      </c>
      <c r="AO6" s="1" t="s">
        <v>1145</v>
      </c>
      <c r="AS6" s="1" t="s">
        <v>1146</v>
      </c>
      <c r="AW6" s="1" t="s">
        <v>1147</v>
      </c>
      <c r="BA6" s="1" t="s">
        <v>1148</v>
      </c>
      <c r="BE6" s="1" t="s">
        <v>1149</v>
      </c>
      <c r="BI6" s="1" t="s">
        <v>1150</v>
      </c>
      <c r="BM6" s="1" t="s">
        <v>1151</v>
      </c>
      <c r="BQ6" s="1" t="s">
        <v>1152</v>
      </c>
      <c r="BU6" s="1" t="s">
        <v>1153</v>
      </c>
      <c r="BY6" s="1" t="s">
        <v>1154</v>
      </c>
      <c r="CC6" s="1" t="s">
        <v>1155</v>
      </c>
      <c r="CG6" s="1" t="s">
        <v>1156</v>
      </c>
      <c r="CK6" s="1" t="s">
        <v>1157</v>
      </c>
      <c r="CO6" s="1" t="s">
        <v>1158</v>
      </c>
      <c r="CS6" s="1" t="s">
        <v>1159</v>
      </c>
      <c r="CW6" s="1" t="s">
        <v>1160</v>
      </c>
      <c r="DA6" s="1" t="s">
        <v>1161</v>
      </c>
      <c r="DE6" s="1" t="s">
        <v>1162</v>
      </c>
      <c r="DI6" s="1" t="s">
        <v>1163</v>
      </c>
      <c r="DM6" s="1" t="s">
        <v>1164</v>
      </c>
      <c r="DQ6" s="1" t="s">
        <v>1165</v>
      </c>
      <c r="DU6" s="1" t="s">
        <v>1166</v>
      </c>
      <c r="DY6" s="1" t="s">
        <v>1167</v>
      </c>
      <c r="EC6" s="1" t="s">
        <v>1168</v>
      </c>
      <c r="EG6" s="1" t="s">
        <v>1169</v>
      </c>
      <c r="EK6" s="1" t="s">
        <v>1170</v>
      </c>
      <c r="EO6" s="1" t="s">
        <v>1171</v>
      </c>
      <c r="ES6" s="1" t="s">
        <v>1172</v>
      </c>
      <c r="EW6" s="1" t="s">
        <v>1173</v>
      </c>
      <c r="FO6" s="1"/>
      <c r="FQ6" s="168"/>
      <c r="FR6" s="169">
        <v>4</v>
      </c>
      <c r="FS6" s="170"/>
      <c r="FT6" s="171"/>
      <c r="FU6" s="169">
        <v>5</v>
      </c>
      <c r="FV6" s="170"/>
      <c r="FW6" s="171"/>
      <c r="FX6" s="169">
        <v>6</v>
      </c>
      <c r="FY6" s="170"/>
      <c r="FZ6" s="171"/>
      <c r="GA6" s="169">
        <v>7</v>
      </c>
      <c r="GB6" s="172"/>
      <c r="GC6" s="173"/>
      <c r="GD6" s="169">
        <v>8</v>
      </c>
      <c r="GE6" s="170"/>
      <c r="GF6" s="158"/>
      <c r="GG6" s="233"/>
    </row>
    <row r="7" spans="1:189" s="20" customFormat="1" ht="33.6" customHeight="1">
      <c r="A7" s="1"/>
      <c r="B7" s="1" t="s">
        <v>77</v>
      </c>
      <c r="C7" s="1" t="s">
        <v>1174</v>
      </c>
      <c r="D7" s="1" t="s">
        <v>103</v>
      </c>
      <c r="E7" s="1" t="s">
        <v>325</v>
      </c>
      <c r="F7" s="1" t="s">
        <v>1175</v>
      </c>
      <c r="G7" s="1" t="s">
        <v>1176</v>
      </c>
      <c r="H7" s="1"/>
      <c r="I7" s="1"/>
      <c r="J7" s="2120">
        <f>'Suivi objectifs'!D2</f>
        <v>0</v>
      </c>
      <c r="K7" s="2120"/>
      <c r="L7" s="2120"/>
      <c r="M7" s="2120"/>
      <c r="N7" s="2120">
        <f>'Suivi objectifs'!D3</f>
        <v>0</v>
      </c>
      <c r="O7" s="2120"/>
      <c r="P7" s="2120"/>
      <c r="Q7" s="2120"/>
      <c r="R7" s="2120">
        <f>'Suivi objectifs'!D4</f>
        <v>0</v>
      </c>
      <c r="S7" s="2120"/>
      <c r="T7" s="2120"/>
      <c r="U7" s="2120"/>
      <c r="V7" s="2120">
        <f>'Suivi objectifs'!D5</f>
        <v>0</v>
      </c>
      <c r="W7" s="2120"/>
      <c r="X7" s="2120"/>
      <c r="Y7" s="2120"/>
      <c r="Z7" s="2120">
        <f>'Suivi objectifs'!D6</f>
        <v>0</v>
      </c>
      <c r="AA7" s="2120"/>
      <c r="AB7" s="2120"/>
      <c r="AC7" s="2120"/>
      <c r="AD7" s="2120">
        <f>'Suivi objectifs'!D7</f>
        <v>0</v>
      </c>
      <c r="AE7" s="2120"/>
      <c r="AF7" s="2120"/>
      <c r="AG7" s="2120"/>
      <c r="AH7" s="2120">
        <f>'Suivi objectifs'!D8</f>
        <v>0</v>
      </c>
      <c r="AI7" s="2120"/>
      <c r="AJ7" s="2120"/>
      <c r="AK7" s="2120"/>
      <c r="AL7" s="2120">
        <f>'Suivi objectifs'!D9</f>
        <v>0</v>
      </c>
      <c r="AM7" s="2120"/>
      <c r="AN7" s="2120"/>
      <c r="AO7" s="2120"/>
      <c r="AP7" s="2120">
        <f>'Suivi objectifs'!D10</f>
        <v>0</v>
      </c>
      <c r="AQ7" s="2120"/>
      <c r="AR7" s="2120"/>
      <c r="AS7" s="2120"/>
      <c r="AT7" s="2130">
        <f>'Suivi objectifs'!D11</f>
        <v>0</v>
      </c>
      <c r="AU7" s="2120"/>
      <c r="AV7" s="2120"/>
      <c r="AW7" s="2120"/>
      <c r="AX7" s="2130">
        <f>'Suivi objectifs'!D12</f>
        <v>0</v>
      </c>
      <c r="AY7" s="2120"/>
      <c r="AZ7" s="2120"/>
      <c r="BA7" s="2120"/>
      <c r="BB7" s="2130">
        <f>'Suivi objectifs'!D13</f>
        <v>0</v>
      </c>
      <c r="BC7" s="2120"/>
      <c r="BD7" s="2120"/>
      <c r="BE7" s="2120"/>
      <c r="BF7" s="2130">
        <f>'Suivi objectifs'!D14</f>
        <v>0</v>
      </c>
      <c r="BG7" s="2120"/>
      <c r="BH7" s="2120"/>
      <c r="BI7" s="2120"/>
      <c r="BJ7" s="2130">
        <f>'Suivi objectifs'!D15</f>
        <v>0</v>
      </c>
      <c r="BK7" s="2120"/>
      <c r="BL7" s="2120"/>
      <c r="BM7" s="2120"/>
      <c r="BN7" s="2130">
        <f>'Suivi objectifs'!D16</f>
        <v>0</v>
      </c>
      <c r="BO7" s="2120"/>
      <c r="BP7" s="2120"/>
      <c r="BQ7" s="2120"/>
      <c r="BR7" s="2130">
        <f>'Suivi objectifs'!D17</f>
        <v>0</v>
      </c>
      <c r="BS7" s="2120"/>
      <c r="BT7" s="2120"/>
      <c r="BU7" s="2120"/>
      <c r="BV7" s="2130">
        <f>'Suivi objectifs'!D18</f>
        <v>0</v>
      </c>
      <c r="BW7" s="2120"/>
      <c r="BX7" s="2120"/>
      <c r="BY7" s="2120"/>
      <c r="BZ7" s="2130">
        <f>'Suivi objectifs'!D19</f>
        <v>0</v>
      </c>
      <c r="CA7" s="2120"/>
      <c r="CB7" s="2120"/>
      <c r="CC7" s="2120"/>
      <c r="CD7" s="2130">
        <f>'Suivi objectifs'!D23</f>
        <v>0</v>
      </c>
      <c r="CE7" s="2120"/>
      <c r="CF7" s="2120"/>
      <c r="CG7" s="2120"/>
      <c r="CH7" s="2130">
        <f>'Suivi objectifs'!D24</f>
        <v>0</v>
      </c>
      <c r="CI7" s="2120"/>
      <c r="CJ7" s="2120"/>
      <c r="CK7" s="2120"/>
      <c r="CL7" s="2130">
        <f>'Suivi objectifs'!D25</f>
        <v>0</v>
      </c>
      <c r="CM7" s="2120"/>
      <c r="CN7" s="2120"/>
      <c r="CO7" s="2120"/>
      <c r="CP7" s="2130">
        <f>'Suivi objectifs'!D26</f>
        <v>0</v>
      </c>
      <c r="CQ7" s="2120"/>
      <c r="CR7" s="2120"/>
      <c r="CS7" s="2120"/>
      <c r="CT7" s="2130">
        <f>'Suivi objectifs'!D27</f>
        <v>0</v>
      </c>
      <c r="CU7" s="2120"/>
      <c r="CV7" s="2120"/>
      <c r="CW7" s="2120"/>
      <c r="CX7" s="2130">
        <f>'Suivi objectifs'!D28</f>
        <v>0</v>
      </c>
      <c r="CY7" s="2120"/>
      <c r="CZ7" s="2120"/>
      <c r="DA7" s="2120"/>
      <c r="DB7" s="2120">
        <f>'Suivi objectifs'!D29</f>
        <v>0</v>
      </c>
      <c r="DC7" s="2120"/>
      <c r="DD7" s="2120"/>
      <c r="DE7" s="2120"/>
      <c r="DF7" s="2120">
        <f>'Suivi objectifs'!D30</f>
        <v>0</v>
      </c>
      <c r="DG7" s="2120"/>
      <c r="DH7" s="2120"/>
      <c r="DI7" s="2120"/>
      <c r="DJ7" s="2120">
        <f>'Suivi objectifs'!D31</f>
        <v>0</v>
      </c>
      <c r="DK7" s="2120"/>
      <c r="DL7" s="2120"/>
      <c r="DM7" s="2120"/>
      <c r="DN7" s="2120">
        <f>'Suivi objectifs'!D32</f>
        <v>0</v>
      </c>
      <c r="DO7" s="2120"/>
      <c r="DP7" s="2120"/>
      <c r="DQ7" s="2120"/>
      <c r="DR7" s="2120">
        <f>'Suivi objectifs'!D33</f>
        <v>0</v>
      </c>
      <c r="DS7" s="2120"/>
      <c r="DT7" s="2120"/>
      <c r="DU7" s="2120"/>
      <c r="DV7" s="2120">
        <f>'Suivi objectifs'!D34</f>
        <v>0</v>
      </c>
      <c r="DW7" s="2120"/>
      <c r="DX7" s="2120"/>
      <c r="DY7" s="2120"/>
      <c r="DZ7" s="2120">
        <f>'Suivi objectifs'!D35</f>
        <v>0</v>
      </c>
      <c r="EA7" s="2120"/>
      <c r="EB7" s="2120"/>
      <c r="EC7" s="2120"/>
      <c r="ED7" s="2120">
        <f>'Suivi objectifs'!D36</f>
        <v>0</v>
      </c>
      <c r="EE7" s="2120"/>
      <c r="EF7" s="2120"/>
      <c r="EG7" s="2120"/>
      <c r="EH7" s="2120">
        <f>'Suivi objectifs'!D37</f>
        <v>0</v>
      </c>
      <c r="EI7" s="2120"/>
      <c r="EJ7" s="2120"/>
      <c r="EK7" s="2120"/>
      <c r="EL7" s="2120">
        <f>'Suivi objectifs'!D38</f>
        <v>0</v>
      </c>
      <c r="EM7" s="2120"/>
      <c r="EN7" s="2120"/>
      <c r="EO7" s="2120"/>
      <c r="EP7" s="2120">
        <f>'Suivi objectifs'!D39</f>
        <v>0</v>
      </c>
      <c r="EQ7" s="2120"/>
      <c r="ER7" s="2120"/>
      <c r="ES7" s="2120"/>
      <c r="ET7" s="2120">
        <f>'Suivi objectifs'!D40</f>
        <v>0</v>
      </c>
      <c r="EU7" s="2120"/>
      <c r="EV7" s="2120"/>
      <c r="EW7" s="2120"/>
      <c r="EX7" s="2120">
        <f>'Suivi objectifs'!D41</f>
        <v>0</v>
      </c>
      <c r="EY7" s="2120"/>
      <c r="EZ7" s="2120"/>
      <c r="FA7" s="2120"/>
      <c r="FB7" s="2120">
        <f>'Suivi objectifs'!D42</f>
        <v>0</v>
      </c>
      <c r="FC7" s="2120"/>
      <c r="FD7" s="2120"/>
      <c r="FE7" s="2120"/>
      <c r="FF7" s="2120">
        <f>'Suivi objectifs'!D43</f>
        <v>0</v>
      </c>
      <c r="FG7" s="2120"/>
      <c r="FH7" s="2120"/>
      <c r="FI7" s="2120"/>
      <c r="FJ7" s="174"/>
      <c r="FK7" s="174"/>
      <c r="FL7" s="174"/>
      <c r="FM7" s="174"/>
      <c r="FN7" s="1"/>
      <c r="FO7" s="1343" t="s">
        <v>325</v>
      </c>
      <c r="FP7" s="1365" t="s">
        <v>103</v>
      </c>
      <c r="FQ7" s="1344" t="s">
        <v>77</v>
      </c>
      <c r="FR7" s="1399" t="s">
        <v>1177</v>
      </c>
      <c r="FS7" s="1345" t="s">
        <v>1176</v>
      </c>
      <c r="FT7" s="1346" t="s">
        <v>77</v>
      </c>
      <c r="FU7" s="1399" t="s">
        <v>1177</v>
      </c>
      <c r="FV7" s="1345" t="s">
        <v>1176</v>
      </c>
      <c r="FW7" s="1346" t="s">
        <v>77</v>
      </c>
      <c r="FX7" s="1399" t="s">
        <v>1177</v>
      </c>
      <c r="FY7" s="1345" t="s">
        <v>1176</v>
      </c>
      <c r="FZ7" s="1346" t="s">
        <v>77</v>
      </c>
      <c r="GA7" s="1400" t="s">
        <v>1177</v>
      </c>
      <c r="GB7" s="1347" t="s">
        <v>1176</v>
      </c>
      <c r="GC7" s="1346" t="s">
        <v>77</v>
      </c>
      <c r="GD7" s="1400" t="s">
        <v>1177</v>
      </c>
      <c r="GE7" s="1347" t="s">
        <v>1176</v>
      </c>
      <c r="GF7" s="1348" t="s">
        <v>1178</v>
      </c>
      <c r="GG7" s="288"/>
    </row>
    <row r="8" spans="1:189" ht="3" customHeight="1">
      <c r="J8" s="2120" t="str">
        <f ca="1">INDIRECT(J5)</f>
        <v>Bâtiments et équipements communaux</v>
      </c>
      <c r="K8" s="2120"/>
      <c r="L8" s="2120"/>
      <c r="M8" s="2120"/>
      <c r="N8" s="2120" t="str">
        <f ca="1">INDIRECT(N5)</f>
        <v>Administration communale</v>
      </c>
      <c r="O8" s="2120"/>
      <c r="P8" s="2120"/>
      <c r="Q8" s="2120"/>
      <c r="R8" s="2120">
        <f ca="1">INDIRECT(R5)</f>
        <v>0</v>
      </c>
      <c r="S8" s="2120"/>
      <c r="T8" s="2120"/>
      <c r="U8" s="2120"/>
      <c r="V8" s="2120">
        <f ca="1">INDIRECT(V5)</f>
        <v>0</v>
      </c>
      <c r="W8" s="2120"/>
      <c r="X8" s="2120"/>
      <c r="Y8" s="2120"/>
      <c r="Z8" s="2120">
        <f ca="1">INDIRECT(Z5)</f>
        <v>0</v>
      </c>
      <c r="AA8" s="2120"/>
      <c r="AB8" s="2120"/>
      <c r="AC8" s="2120"/>
      <c r="AD8" s="2120">
        <f ca="1">INDIRECT(AD5)</f>
        <v>0</v>
      </c>
      <c r="AE8" s="2120"/>
      <c r="AF8" s="2120"/>
      <c r="AG8" s="2120"/>
      <c r="AH8" s="2120">
        <f ca="1">INDIRECT(AH5)</f>
        <v>0</v>
      </c>
      <c r="AI8" s="2120"/>
      <c r="AJ8" s="2120"/>
      <c r="AK8" s="2120"/>
      <c r="AL8" s="2120">
        <f ca="1">INDIRECT(AL5)</f>
        <v>0</v>
      </c>
      <c r="AM8" s="2120"/>
      <c r="AN8" s="2120"/>
      <c r="AO8" s="2120"/>
      <c r="AP8" s="2120">
        <f ca="1">INDIRECT(AP5)</f>
        <v>0</v>
      </c>
      <c r="AQ8" s="2120"/>
      <c r="AR8" s="2120"/>
      <c r="AS8" s="2120"/>
      <c r="AT8" s="2120">
        <f ca="1">INDIRECT(AT5)</f>
        <v>0</v>
      </c>
      <c r="AU8" s="2120"/>
      <c r="AV8" s="2120"/>
      <c r="AW8" s="2120"/>
      <c r="AX8" s="2120">
        <f ca="1">INDIRECT(AX5)</f>
        <v>0</v>
      </c>
      <c r="AY8" s="2120"/>
      <c r="AZ8" s="2120"/>
      <c r="BA8" s="2120"/>
      <c r="BB8" s="2120">
        <f ca="1">INDIRECT(BB5)</f>
        <v>0</v>
      </c>
      <c r="BC8" s="2120"/>
      <c r="BD8" s="2120"/>
      <c r="BE8" s="2120"/>
      <c r="BF8" s="2120">
        <f ca="1">INDIRECT(BF5)</f>
        <v>0</v>
      </c>
      <c r="BG8" s="2120"/>
      <c r="BH8" s="2120"/>
      <c r="BI8" s="2120"/>
      <c r="BJ8" s="2120">
        <f ca="1">INDIRECT(BJ5)</f>
        <v>0</v>
      </c>
      <c r="BK8" s="2120"/>
      <c r="BL8" s="2120"/>
      <c r="BM8" s="2120"/>
      <c r="BN8" s="2120">
        <f ca="1">INDIRECT(BN5)</f>
        <v>0</v>
      </c>
      <c r="BO8" s="2120"/>
      <c r="BP8" s="2120"/>
      <c r="BQ8" s="2120"/>
      <c r="BR8" s="2120">
        <f ca="1">INDIRECT(BR5)</f>
        <v>0</v>
      </c>
      <c r="BS8" s="2120"/>
      <c r="BT8" s="2120"/>
      <c r="BU8" s="2120"/>
      <c r="BV8" s="2120">
        <f ca="1">INDIRECT(BV5)</f>
        <v>0</v>
      </c>
      <c r="BW8" s="2120"/>
      <c r="BX8" s="2120"/>
      <c r="BY8" s="2120"/>
      <c r="BZ8" s="2120">
        <f ca="1">INDIRECT(BZ5)</f>
        <v>0</v>
      </c>
      <c r="CA8" s="2120"/>
      <c r="CB8" s="2120"/>
      <c r="CC8" s="2120"/>
      <c r="CD8" s="2120">
        <f ca="1">INDIRECT(CD5)</f>
        <v>0</v>
      </c>
      <c r="CE8" s="2120"/>
      <c r="CF8" s="2120"/>
      <c r="CG8" s="2120"/>
      <c r="CH8" s="2120">
        <f ca="1">INDIRECT(CH5)</f>
        <v>0</v>
      </c>
      <c r="CI8" s="2120"/>
      <c r="CJ8" s="2120"/>
      <c r="CK8" s="2120"/>
      <c r="CL8" s="2120">
        <f ca="1">INDIRECT(CL5)</f>
        <v>0</v>
      </c>
      <c r="CM8" s="2120"/>
      <c r="CN8" s="2120"/>
      <c r="CO8" s="2120"/>
      <c r="CP8" s="2120">
        <f ca="1">INDIRECT(CP5)</f>
        <v>0</v>
      </c>
      <c r="CQ8" s="2120"/>
      <c r="CR8" s="2120"/>
      <c r="CS8" s="2120"/>
      <c r="CT8" s="2120">
        <f ca="1">INDIRECT(CT5)</f>
        <v>0</v>
      </c>
      <c r="CU8" s="2120"/>
      <c r="CV8" s="2120"/>
      <c r="CW8" s="2120"/>
      <c r="CX8" s="2120">
        <f ca="1">INDIRECT(CX5)</f>
        <v>0</v>
      </c>
      <c r="CY8" s="2120"/>
      <c r="CZ8" s="2120"/>
      <c r="DA8" s="2120"/>
      <c r="DB8" s="2120">
        <f ca="1">INDIRECT(DB5)</f>
        <v>0</v>
      </c>
      <c r="DC8" s="2120"/>
      <c r="DD8" s="2120"/>
      <c r="DE8" s="2120"/>
      <c r="DF8" s="2120">
        <f ca="1">INDIRECT(DF5)</f>
        <v>0</v>
      </c>
      <c r="DG8" s="2120"/>
      <c r="DH8" s="2120"/>
      <c r="DI8" s="2120"/>
      <c r="DJ8" s="2120">
        <f ca="1">INDIRECT(DJ5)</f>
        <v>0</v>
      </c>
      <c r="DK8" s="2120"/>
      <c r="DL8" s="2120"/>
      <c r="DM8" s="2120"/>
      <c r="DN8" s="2120" t="str">
        <f ca="1">INDIRECT(DN5)</f>
        <v>Production d'électricité</v>
      </c>
      <c r="DO8" s="2120"/>
      <c r="DP8" s="2120"/>
      <c r="DQ8" s="2120"/>
      <c r="DR8" s="2120" t="str">
        <f ca="1">INDIRECT(DR5)</f>
        <v>Production d'électricité</v>
      </c>
      <c r="DS8" s="2120"/>
      <c r="DT8" s="2120"/>
      <c r="DU8" s="2120"/>
      <c r="DV8" s="2120" t="str">
        <f ca="1">INDIRECT(DV5)</f>
        <v>Production de chaleur</v>
      </c>
      <c r="DW8" s="2120"/>
      <c r="DX8" s="2120"/>
      <c r="DY8" s="2120"/>
      <c r="DZ8" s="2120" t="str">
        <f ca="1">INDIRECT(DZ5)</f>
        <v>Cogénération</v>
      </c>
      <c r="EA8" s="2120"/>
      <c r="EB8" s="2120"/>
      <c r="EC8" s="2120"/>
      <c r="ED8" s="2120" t="str">
        <f ca="1">INDIRECT(ED5)</f>
        <v>Production de chaleur</v>
      </c>
      <c r="EE8" s="2120"/>
      <c r="EF8" s="2120"/>
      <c r="EG8" s="2120"/>
      <c r="EH8" s="2120" t="str">
        <f ca="1">INDIRECT(EH5)</f>
        <v>Production de chaleur</v>
      </c>
      <c r="EI8" s="2120"/>
      <c r="EJ8" s="2120"/>
      <c r="EK8" s="2120"/>
      <c r="EL8" s="2120" t="str">
        <f ca="1">INDIRECT(EL5)</f>
        <v>Production d'électricité</v>
      </c>
      <c r="EM8" s="2120"/>
      <c r="EN8" s="2120"/>
      <c r="EO8" s="2120"/>
      <c r="EP8" s="2120" t="str">
        <f ca="1">INDIRECT(EP5)</f>
        <v>Gestion des déchets</v>
      </c>
      <c r="EQ8" s="2120"/>
      <c r="ER8" s="2120"/>
      <c r="ES8" s="2120"/>
      <c r="ET8" s="2120" t="str">
        <f ca="1">INDIRECT(ET5)</f>
        <v>Traitement des eaux usées</v>
      </c>
      <c r="EU8" s="2120"/>
      <c r="EV8" s="2120"/>
      <c r="EW8" s="2120"/>
      <c r="EX8" s="2120" t="str">
        <f ca="1">INDIRECT(EX5)</f>
        <v>Autres non-énergétiques</v>
      </c>
      <c r="EY8" s="2120"/>
      <c r="EZ8" s="2120"/>
      <c r="FA8" s="2120"/>
      <c r="FB8" s="2120">
        <f ca="1">INDIRECT(FB5)</f>
        <v>0</v>
      </c>
      <c r="FC8" s="2120"/>
      <c r="FD8" s="2120"/>
      <c r="FE8" s="2120"/>
      <c r="FF8" s="2120">
        <f ca="1">INDIRECT(FF5)</f>
        <v>0</v>
      </c>
      <c r="FG8" s="2120"/>
      <c r="FH8" s="2120"/>
      <c r="FI8" s="2120"/>
      <c r="FJ8" s="174"/>
      <c r="FK8" s="174"/>
      <c r="FL8" s="174"/>
      <c r="FM8" s="174"/>
      <c r="FO8" s="1275"/>
      <c r="FP8" s="1365"/>
      <c r="FQ8" s="1276"/>
      <c r="FR8" s="1275"/>
      <c r="FS8" s="1276"/>
      <c r="FT8" s="1277"/>
      <c r="FU8" s="1275"/>
      <c r="FV8" s="1276"/>
      <c r="FW8" s="1277"/>
      <c r="FX8" s="1275"/>
      <c r="FY8" s="1276"/>
      <c r="FZ8" s="1277"/>
      <c r="GA8" s="1277"/>
      <c r="GB8" s="1277"/>
      <c r="GC8" s="1277"/>
      <c r="GD8" s="1277"/>
      <c r="GE8" s="1277"/>
      <c r="GF8" s="1278"/>
      <c r="GG8" s="233"/>
    </row>
    <row r="9" spans="1:189" ht="8.1" customHeight="1">
      <c r="A9" s="1" t="s">
        <v>767</v>
      </c>
      <c r="B9" s="1">
        <f>Actions!F2</f>
        <v>1</v>
      </c>
      <c r="C9" s="1">
        <f ca="1">Actions!G2</f>
        <v>0</v>
      </c>
      <c r="D9" s="1">
        <f ca="1">Actions!H2</f>
        <v>0</v>
      </c>
      <c r="E9" s="1">
        <f ca="1">Actions!I2</f>
        <v>0</v>
      </c>
      <c r="F9" s="1">
        <f ca="1">IF(E9="Tous",D9,E9)</f>
        <v>0</v>
      </c>
      <c r="G9" s="1">
        <f ca="1">INDIRECT("'"&amp;A9&amp;"'!b$7")</f>
        <v>0</v>
      </c>
      <c r="J9" s="175"/>
      <c r="K9" s="175" t="s">
        <v>705</v>
      </c>
      <c r="L9" s="175" t="s">
        <v>706</v>
      </c>
      <c r="M9" s="175"/>
      <c r="N9" s="175"/>
      <c r="O9" s="175" t="s">
        <v>705</v>
      </c>
      <c r="P9" s="175" t="s">
        <v>706</v>
      </c>
      <c r="Q9" s="175"/>
      <c r="R9" s="175"/>
      <c r="S9" s="175" t="s">
        <v>705</v>
      </c>
      <c r="T9" s="175" t="s">
        <v>706</v>
      </c>
      <c r="U9" s="175"/>
      <c r="V9" s="175"/>
      <c r="W9" s="175" t="s">
        <v>705</v>
      </c>
      <c r="X9" s="175" t="s">
        <v>706</v>
      </c>
      <c r="Y9" s="175"/>
      <c r="Z9" s="175"/>
      <c r="AA9" s="175" t="s">
        <v>705</v>
      </c>
      <c r="AB9" s="175" t="s">
        <v>706</v>
      </c>
      <c r="AC9" s="175"/>
      <c r="AD9" s="175"/>
      <c r="AE9" s="175" t="s">
        <v>705</v>
      </c>
      <c r="AF9" s="175" t="s">
        <v>706</v>
      </c>
      <c r="AG9" s="175"/>
      <c r="AH9" s="175"/>
      <c r="AI9" s="175" t="s">
        <v>705</v>
      </c>
      <c r="AJ9" s="175" t="s">
        <v>706</v>
      </c>
      <c r="AK9" s="175"/>
      <c r="AL9" s="175"/>
      <c r="AM9" s="175" t="s">
        <v>705</v>
      </c>
      <c r="AN9" s="175" t="s">
        <v>706</v>
      </c>
      <c r="AO9" s="175"/>
      <c r="AP9" s="175"/>
      <c r="AQ9" s="175" t="s">
        <v>705</v>
      </c>
      <c r="AR9" s="175" t="s">
        <v>706</v>
      </c>
      <c r="AS9" s="175"/>
      <c r="AT9" s="175"/>
      <c r="AU9" s="175" t="s">
        <v>705</v>
      </c>
      <c r="AV9" s="175" t="s">
        <v>706</v>
      </c>
      <c r="AW9" s="175"/>
      <c r="AX9" s="175"/>
      <c r="AY9" s="175" t="s">
        <v>705</v>
      </c>
      <c r="AZ9" s="175" t="s">
        <v>706</v>
      </c>
      <c r="BA9" s="175"/>
      <c r="BB9" s="175"/>
      <c r="BC9" s="175" t="s">
        <v>705</v>
      </c>
      <c r="BD9" s="175" t="s">
        <v>706</v>
      </c>
      <c r="BE9" s="175"/>
      <c r="BF9" s="175"/>
      <c r="BG9" s="175" t="s">
        <v>705</v>
      </c>
      <c r="BH9" s="175" t="s">
        <v>706</v>
      </c>
      <c r="BI9" s="175"/>
      <c r="BJ9" s="175"/>
      <c r="BK9" s="175" t="s">
        <v>705</v>
      </c>
      <c r="BL9" s="175" t="s">
        <v>706</v>
      </c>
      <c r="BM9" s="175"/>
      <c r="BN9" s="175"/>
      <c r="BO9" s="175" t="s">
        <v>705</v>
      </c>
      <c r="BP9" s="175" t="s">
        <v>706</v>
      </c>
      <c r="BQ9" s="175"/>
      <c r="BR9" s="175"/>
      <c r="BS9" s="175" t="s">
        <v>705</v>
      </c>
      <c r="BT9" s="175" t="s">
        <v>706</v>
      </c>
      <c r="BU9" s="175"/>
      <c r="BV9" s="175"/>
      <c r="BW9" s="175" t="s">
        <v>705</v>
      </c>
      <c r="BX9" s="175" t="s">
        <v>706</v>
      </c>
      <c r="BY9" s="175"/>
      <c r="BZ9" s="175"/>
      <c r="CA9" s="175" t="s">
        <v>705</v>
      </c>
      <c r="CB9" s="175" t="s">
        <v>706</v>
      </c>
      <c r="CC9" s="175"/>
      <c r="CD9" s="175"/>
      <c r="CE9" s="175" t="s">
        <v>705</v>
      </c>
      <c r="CF9" s="175" t="s">
        <v>706</v>
      </c>
      <c r="CG9" s="175"/>
      <c r="CH9" s="175"/>
      <c r="CI9" s="175" t="s">
        <v>705</v>
      </c>
      <c r="CJ9" s="175" t="s">
        <v>706</v>
      </c>
      <c r="CK9" s="175"/>
      <c r="CL9" s="175"/>
      <c r="CM9" s="175" t="s">
        <v>705</v>
      </c>
      <c r="CN9" s="175" t="s">
        <v>706</v>
      </c>
      <c r="CO9" s="175"/>
      <c r="CP9" s="175"/>
      <c r="CQ9" s="175" t="s">
        <v>705</v>
      </c>
      <c r="CR9" s="175" t="s">
        <v>706</v>
      </c>
      <c r="CS9" s="175"/>
      <c r="CT9" s="175"/>
      <c r="CU9" s="175" t="s">
        <v>705</v>
      </c>
      <c r="CV9" s="175" t="s">
        <v>706</v>
      </c>
      <c r="CW9" s="175"/>
      <c r="CX9" s="175"/>
      <c r="CY9" s="175" t="s">
        <v>705</v>
      </c>
      <c r="CZ9" s="175" t="s">
        <v>706</v>
      </c>
      <c r="DA9" s="175"/>
      <c r="DB9" s="175"/>
      <c r="DC9" s="175" t="s">
        <v>705</v>
      </c>
      <c r="DD9" s="175" t="s">
        <v>706</v>
      </c>
      <c r="DE9" s="175"/>
      <c r="DF9" s="175"/>
      <c r="DG9" s="175" t="s">
        <v>705</v>
      </c>
      <c r="DH9" s="175" t="s">
        <v>706</v>
      </c>
      <c r="DI9" s="175"/>
      <c r="DJ9" s="175"/>
      <c r="DK9" s="175" t="s">
        <v>705</v>
      </c>
      <c r="DL9" s="175" t="s">
        <v>706</v>
      </c>
      <c r="DM9" s="175"/>
      <c r="DN9" s="175"/>
      <c r="DO9" s="175" t="s">
        <v>705</v>
      </c>
      <c r="DP9" s="175" t="s">
        <v>706</v>
      </c>
      <c r="DQ9" s="175"/>
      <c r="DR9" s="175"/>
      <c r="DS9" s="175" t="s">
        <v>705</v>
      </c>
      <c r="DT9" s="175" t="s">
        <v>706</v>
      </c>
      <c r="DU9" s="175"/>
      <c r="DV9" s="175"/>
      <c r="DW9" s="175" t="s">
        <v>705</v>
      </c>
      <c r="DX9" s="175" t="s">
        <v>706</v>
      </c>
      <c r="DY9" s="175"/>
      <c r="DZ9" s="175"/>
      <c r="EA9" s="175" t="s">
        <v>705</v>
      </c>
      <c r="EB9" s="175" t="s">
        <v>706</v>
      </c>
      <c r="EC9" s="175"/>
      <c r="ED9" s="175"/>
      <c r="EE9" s="175" t="s">
        <v>705</v>
      </c>
      <c r="EF9" s="175" t="s">
        <v>706</v>
      </c>
      <c r="EG9" s="175"/>
      <c r="EH9" s="175"/>
      <c r="EI9" s="175" t="s">
        <v>705</v>
      </c>
      <c r="EJ9" s="175" t="s">
        <v>706</v>
      </c>
      <c r="EK9" s="175"/>
      <c r="EL9" s="175"/>
      <c r="EM9" s="175" t="s">
        <v>705</v>
      </c>
      <c r="EN9" s="175" t="s">
        <v>706</v>
      </c>
      <c r="EO9" s="175"/>
      <c r="EP9" s="175"/>
      <c r="EQ9" s="175" t="s">
        <v>705</v>
      </c>
      <c r="ER9" s="175" t="s">
        <v>706</v>
      </c>
      <c r="ES9" s="175"/>
      <c r="ET9" s="175"/>
      <c r="EU9" s="175" t="s">
        <v>705</v>
      </c>
      <c r="EV9" s="175" t="s">
        <v>706</v>
      </c>
      <c r="EW9" s="175"/>
      <c r="EX9" s="175"/>
      <c r="EY9" s="175" t="s">
        <v>705</v>
      </c>
      <c r="EZ9" s="175" t="s">
        <v>706</v>
      </c>
      <c r="FA9" s="175"/>
      <c r="FB9" s="175"/>
      <c r="FC9" s="175" t="s">
        <v>705</v>
      </c>
      <c r="FD9" s="175" t="s">
        <v>706</v>
      </c>
      <c r="FE9" s="175"/>
      <c r="FF9" s="175"/>
      <c r="FG9" s="175" t="s">
        <v>705</v>
      </c>
      <c r="FH9" s="175" t="s">
        <v>706</v>
      </c>
      <c r="FI9" s="175"/>
      <c r="FJ9" s="174"/>
      <c r="FK9" s="174"/>
      <c r="FL9" s="174"/>
      <c r="FM9" s="174"/>
      <c r="FO9" s="176"/>
      <c r="FP9" s="1366"/>
      <c r="FQ9" s="177"/>
      <c r="FR9" s="176"/>
      <c r="FS9" s="177"/>
      <c r="FT9" s="178"/>
      <c r="FU9" s="176"/>
      <c r="FV9" s="177"/>
      <c r="FW9" s="178"/>
      <c r="FX9" s="176"/>
      <c r="FY9" s="177"/>
      <c r="FZ9" s="178"/>
      <c r="GA9" s="178"/>
      <c r="GB9" s="178"/>
      <c r="GC9" s="178"/>
      <c r="GD9" s="178"/>
      <c r="GE9" s="178"/>
      <c r="GF9" s="179"/>
      <c r="GG9" s="233"/>
    </row>
    <row r="10" spans="1:189" ht="18.600000000000001" hidden="1" customHeight="1">
      <c r="A10" s="1" t="s">
        <v>867</v>
      </c>
      <c r="B10" s="1">
        <f>Actions!F3</f>
        <v>2</v>
      </c>
      <c r="C10" s="1">
        <f ca="1">Actions!G3</f>
        <v>0</v>
      </c>
      <c r="D10" s="1">
        <f ca="1">Actions!H3</f>
        <v>0</v>
      </c>
      <c r="E10" s="1" t="str">
        <f ca="1">Actions!I3</f>
        <v>-</v>
      </c>
      <c r="F10" s="1" t="str">
        <f t="shared" ref="F10:F73" ca="1" si="0">IF(E10="Tous",D10,E10)</f>
        <v>-</v>
      </c>
      <c r="G10" s="1" t="e">
        <f t="shared" ref="G10:G53" ca="1" si="1">INDIRECT("'"&amp;A10&amp;"'!b$7")</f>
        <v>#REF!</v>
      </c>
      <c r="I10" s="1">
        <v>2</v>
      </c>
      <c r="J10" s="175">
        <f t="shared" ref="J10:J44" ca="1" si="2">IF(ISNA(HLOOKUP(J$7,$B$147:$AW$217,$I10,0)),IF(ISNA(HLOOKUP(J$8,$B$147:$AW$217,$I10,0)),0,HLOOKUP(J$8,$B$147:$AW$217,$I10,0)),IF(HLOOKUP(J$7,$B$147:$AW$217,$I10,0)=0,IF(ISNA(HLOOKUP(J$8,$B$147:$AW$217,$I10,0)),0,HLOOKUP(J$8,$B$147:$AW$217,$I10,0)),HLOOKUP(J$7,$B$147:$AW$217,$I10,0)))</f>
        <v>0</v>
      </c>
      <c r="K10" s="175" t="str">
        <f t="shared" ref="K10:K44" ca="1" si="3">IF(J10&lt;&gt;0,$B148,"")</f>
        <v/>
      </c>
      <c r="L10" s="169" t="str">
        <f ca="1">IF(K10="Total général","",IF(K10&lt;&gt;"","o",""))</f>
        <v/>
      </c>
      <c r="M10" s="169" t="str">
        <f t="array" aca="1" ref="M10" ca="1">IF(ROWS($9:9)&lt;=COUNTIF(Condition1,"o"),INDEX(Liste1,SMALL(IF(Condition1="o",ROW(INDIRECT("1:"&amp;ROWS(Liste1)))),ROWS($9:9))),"")</f>
        <v/>
      </c>
      <c r="N10" s="175">
        <f t="shared" ref="N10:N44" ca="1" si="4">IF(ISNA(HLOOKUP(N$7,$B$147:$AW$217,$I10,0)),IF(ISNA(HLOOKUP(N$8,$B$147:$AW$217,$I10,0)),0,HLOOKUP(N$8,$B$147:$AW$217,$I10,0)),IF(HLOOKUP(N$7,$B$147:$AW$217,$I10,0)=0,IF(ISNA(HLOOKUP(N$8,$B$147:$AW$217,$I10,0)),0,HLOOKUP(N$8,$B$147:$AW$217,$I10,0)),HLOOKUP(N$7,$B$147:$AW$217,$I10,0)))</f>
        <v>0</v>
      </c>
      <c r="O10" s="175" t="str">
        <f t="shared" ref="O10:O44" ca="1" si="5">IF(N10&lt;&gt;0,$B148,"")</f>
        <v/>
      </c>
      <c r="P10" s="169" t="str">
        <f ca="1">IF(O10="Total général","",IF(O10&lt;&gt;"","o",""))</f>
        <v/>
      </c>
      <c r="Q10" s="169" t="str">
        <f t="array" aca="1" ref="Q10" ca="1">IF(ROWS($9:9)&lt;=COUNTIF(Condition2,"o"),INDEX(Liste2,SMALL(IF(Condition2="o",ROW(INDIRECT("1:"&amp;ROWS(Liste2)))),ROWS($9:9))),"")</f>
        <v/>
      </c>
      <c r="R10" s="175">
        <f t="shared" ref="R10:R44" ca="1" si="6">IF(ISNA(HLOOKUP(R$7,$B$147:$AW$217,$I10,0)),IF(ISNA(HLOOKUP(R$8,$B$147:$AW$217,$I10,0)),0,HLOOKUP(R$8,$B$147:$AW$217,$I10,0)),IF(HLOOKUP(R$7,$B$147:$AW$217,$I10,0)=0,IF(ISNA(HLOOKUP(R$8,$B$147:$AW$217,$I10,0)),0,HLOOKUP(R$8,$B$147:$AW$217,$I10,0)),HLOOKUP(R$7,$B$147:$AW$217,$I10,0)))</f>
        <v>0</v>
      </c>
      <c r="S10" s="175" t="str">
        <f t="shared" ref="S10:S44" ca="1" si="7">IF(R10&lt;&gt;0,$B148,"")</f>
        <v/>
      </c>
      <c r="T10" s="169" t="str">
        <f ca="1">IF(S10="Total général","",IF(S10&lt;&gt;"","o",""))</f>
        <v/>
      </c>
      <c r="U10" s="169" t="str">
        <f t="array" aca="1" ref="U10" ca="1">IF(ROWS($9:9)&lt;=COUNTIF(Condition3,"o"),INDEX(Liste3,SMALL(IF(Condition3="o",ROW(INDIRECT("1:"&amp;ROWS(Liste3)))),ROWS($9:9))),"")</f>
        <v/>
      </c>
      <c r="V10" s="175">
        <f t="shared" ref="V10:V44" ca="1" si="8">IF(ISNA(HLOOKUP(V$7,$B$147:$AW$217,$I10,0)),IF(ISNA(HLOOKUP(V$8,$B$147:$AW$217,$I10,0)),0,HLOOKUP(V$8,$B$147:$AW$217,$I10,0)),IF(HLOOKUP(V$7,$B$147:$AW$217,$I10,0)=0,IF(ISNA(HLOOKUP(V$8,$B$147:$AW$217,$I10,0)),0,HLOOKUP(V$8,$B$147:$AW$217,$I10,0)),HLOOKUP(V$7,$B$147:$AW$217,$I10,0)))</f>
        <v>0</v>
      </c>
      <c r="W10" s="175" t="str">
        <f t="shared" ref="W10:W44" ca="1" si="9">IF(V10&lt;&gt;0,$B148,"")</f>
        <v/>
      </c>
      <c r="X10" s="169" t="str">
        <f ca="1">IF(W10="Total général","",IF(W10&lt;&gt;"","o",""))</f>
        <v/>
      </c>
      <c r="Y10" s="169" t="str">
        <f t="array" aca="1" ref="Y10" ca="1">IF(ROWS($9:9)&lt;=COUNTIF(Condition4,"o"),INDEX(Liste4,SMALL(IF(Condition4="o",ROW(INDIRECT("1:"&amp;ROWS(Liste4)))),ROWS($9:9))),"")</f>
        <v/>
      </c>
      <c r="Z10" s="175">
        <f t="shared" ref="Z10:Z44" ca="1" si="10">IF(ISNA(HLOOKUP(Z$7,$B$147:$AW$217,$I10,0)),IF(ISNA(HLOOKUP(Z$8,$B$147:$AW$217,$I10,0)),0,HLOOKUP(Z$8,$B$147:$AW$217,$I10,0)),IF(HLOOKUP(Z$7,$B$147:$AW$217,$I10,0)=0,IF(ISNA(HLOOKUP(Z$8,$B$147:$AW$217,$I10,0)),0,HLOOKUP(Z$8,$B$147:$AW$217,$I10,0)),HLOOKUP(Z$7,$B$147:$AW$217,$I10,0)))</f>
        <v>0</v>
      </c>
      <c r="AA10" s="175" t="str">
        <f t="shared" ref="AA10:AA44" ca="1" si="11">IF(Z10&lt;&gt;0,$B148,"")</f>
        <v/>
      </c>
      <c r="AB10" s="169" t="str">
        <f ca="1">IF(AA10="Total général","",IF(AA10&lt;&gt;"","o",""))</f>
        <v/>
      </c>
      <c r="AC10" s="169" t="str">
        <f t="array" aca="1" ref="AC10" ca="1">IF(ROWS($9:9)&lt;=COUNTIF(Condition5,"o"),INDEX(Liste5,SMALL(IF(Condition5="o",ROW(INDIRECT("1:"&amp;ROWS(Liste5)))),ROWS($9:9))),"")</f>
        <v/>
      </c>
      <c r="AD10" s="175">
        <f t="shared" ref="AD10:AD44" ca="1" si="12">IF(ISNA(HLOOKUP(AD$7,$B$147:$AW$217,$I10,0)),IF(ISNA(HLOOKUP(AD$8,$B$147:$AW$217,$I10,0)),0,HLOOKUP(AD$8,$B$147:$AW$217,$I10,0)),IF(HLOOKUP(AD$7,$B$147:$AW$217,$I10,0)=0,IF(ISNA(HLOOKUP(AD$8,$B$147:$AW$217,$I10,0)),0,HLOOKUP(AD$8,$B$147:$AW$217,$I10,0)),HLOOKUP(AD$7,$B$147:$AW$217,$I10,0)))</f>
        <v>0</v>
      </c>
      <c r="AE10" s="175" t="str">
        <f t="shared" ref="AE10:AE44" ca="1" si="13">IF(AD10&lt;&gt;0,$B148,"")</f>
        <v/>
      </c>
      <c r="AF10" s="169" t="str">
        <f ca="1">IF(AE10="Total général","",IF(AE10&lt;&gt;"","o",""))</f>
        <v/>
      </c>
      <c r="AG10" s="169" t="str">
        <f t="array" aca="1" ref="AG10" ca="1">IF(ROWS($9:9)&lt;=COUNTIF(Condition6,"o"),INDEX(Liste6,SMALL(IF(Condition6="o",ROW(INDIRECT("1:"&amp;ROWS(Liste6)))),ROWS($9:9))),"")</f>
        <v/>
      </c>
      <c r="AH10" s="175">
        <f t="shared" ref="AH10:AH44" ca="1" si="14">IF(ISNA(HLOOKUP(AH$7,$B$147:$AW$217,$I10,0)),IF(ISNA(HLOOKUP(AH$8,$B$147:$AW$217,$I10,0)),0,HLOOKUP(AH$8,$B$147:$AW$217,$I10,0)),IF(HLOOKUP(AH$7,$B$147:$AW$217,$I10,0)=0,IF(ISNA(HLOOKUP(AH$8,$B$147:$AW$217,$I10,0)),0,HLOOKUP(AH$8,$B$147:$AW$217,$I10,0)),HLOOKUP(AH$7,$B$147:$AW$217,$I10,0)))</f>
        <v>0</v>
      </c>
      <c r="AI10" s="175" t="str">
        <f t="shared" ref="AI10:AI44" ca="1" si="15">IF(AH10&lt;&gt;0,$B148,"")</f>
        <v/>
      </c>
      <c r="AJ10" s="169" t="str">
        <f ca="1">IF(AI10="Total général","",IF(AI10&lt;&gt;"","o",""))</f>
        <v/>
      </c>
      <c r="AK10" s="169" t="str">
        <f t="array" aca="1" ref="AK10" ca="1">IF(ROWS($9:9)&lt;=COUNTIF(Condition7,"o"),INDEX(Liste7,SMALL(IF(Condition7="o",ROW(INDIRECT("1:"&amp;ROWS(Liste7)))),ROWS($9:9))),"")</f>
        <v/>
      </c>
      <c r="AL10" s="175">
        <f t="shared" ref="AL10:AL44" ca="1" si="16">IF(ISNA(HLOOKUP(AL$7,$B$147:$AW$217,$I10,0)),IF(ISNA(HLOOKUP(AL$8,$B$147:$AW$217,$I10,0)),0,HLOOKUP(AL$8,$B$147:$AW$217,$I10,0)),IF(HLOOKUP(AL$7,$B$147:$AW$217,$I10,0)=0,IF(ISNA(HLOOKUP(AL$8,$B$147:$AW$217,$I10,0)),0,HLOOKUP(AL$8,$B$147:$AW$217,$I10,0)),HLOOKUP(AL$7,$B$147:$AW$217,$I10,0)))</f>
        <v>0</v>
      </c>
      <c r="AM10" s="175" t="str">
        <f t="shared" ref="AM10:AM44" ca="1" si="17">IF(AL10&lt;&gt;0,$B148,"")</f>
        <v/>
      </c>
      <c r="AN10" s="169" t="str">
        <f ca="1">IF(AM10="Total général","",IF(AM10&lt;&gt;"","o",""))</f>
        <v/>
      </c>
      <c r="AO10" s="169" t="str">
        <f t="array" aca="1" ref="AO10" ca="1">IF(ROWS($9:9)&lt;=COUNTIF(Condition8,"o"),INDEX(Liste8,SMALL(IF(Condition8="o",ROW(INDIRECT("1:"&amp;ROWS(Liste8)))),ROWS($9:9))),"")</f>
        <v/>
      </c>
      <c r="AP10" s="175">
        <f t="shared" ref="AP10:AP44" ca="1" si="18">IF(ISNA(HLOOKUP(AP$7,$B$147:$AW$217,$I10,0)),IF(ISNA(HLOOKUP(AP$8,$B$147:$AW$217,$I10,0)),0,HLOOKUP(AP$8,$B$147:$AW$217,$I10,0)),IF(HLOOKUP(AP$7,$B$147:$AW$217,$I10,0)=0,IF(ISNA(HLOOKUP(AP$8,$B$147:$AW$217,$I10,0)),0,HLOOKUP(AP$8,$B$147:$AW$217,$I10,0)),HLOOKUP(AP$7,$B$147:$AW$217,$I10,0)))</f>
        <v>0</v>
      </c>
      <c r="AQ10" s="175" t="str">
        <f t="shared" ref="AQ10:AQ44" ca="1" si="19">IF(AP10&lt;&gt;0,$B148,"")</f>
        <v/>
      </c>
      <c r="AR10" s="169" t="str">
        <f ca="1">IF(AQ10="Total général","",IF(AQ10&lt;&gt;"","o",""))</f>
        <v/>
      </c>
      <c r="AS10" s="169" t="str">
        <f t="array" aca="1" ref="AS10" ca="1">IF(ROWS($9:9)&lt;=COUNTIF(Condition9,"o"),INDEX(Liste9,SMALL(IF(Condition9="o",ROW(INDIRECT("1:"&amp;ROWS(Liste9)))),ROWS($9:9))),"")</f>
        <v/>
      </c>
      <c r="AT10" s="175">
        <f t="shared" ref="AT10:AT44" ca="1" si="20">IF(ISNA(HLOOKUP(AT$7,$B$147:$AW$217,$I10,0)),IF(ISNA(HLOOKUP(AT$8,$B$147:$AW$217,$I10,0)),0,HLOOKUP(AT$8,$B$147:$AW$217,$I10,0)),IF(HLOOKUP(AT$7,$B$147:$AW$217,$I10,0)=0,IF(ISNA(HLOOKUP(AT$8,$B$147:$AW$217,$I10,0)),0,HLOOKUP(AT$8,$B$147:$AW$217,$I10,0)),HLOOKUP(AT$7,$B$147:$AW$217,$I10,0)))</f>
        <v>0</v>
      </c>
      <c r="AU10" s="175" t="str">
        <f t="shared" ref="AU10:AU44" ca="1" si="21">IF(AT10&lt;&gt;0,$B148,"")</f>
        <v/>
      </c>
      <c r="AV10" s="169" t="str">
        <f ca="1">IF(AU10="Total général","",IF(AU10&lt;&gt;"","o",""))</f>
        <v/>
      </c>
      <c r="AW10" s="169" t="str">
        <f t="array" aca="1" ref="AW10" ca="1">IF(ROWS($9:9)&lt;=COUNTIF(Condition10,"o"),INDEX(Liste10,SMALL(IF(Condition10="o",ROW(INDIRECT("1:"&amp;ROWS(Liste10)))),ROWS($9:9))),"")</f>
        <v/>
      </c>
      <c r="AX10" s="175">
        <f t="shared" ref="AX10:AX44" ca="1" si="22">IF(ISNA(HLOOKUP(AX$7,$B$147:$AW$217,$I10,0)),IF(ISNA(HLOOKUP(AX$8,$B$147:$AW$217,$I10,0)),0,HLOOKUP(AX$8,$B$147:$AW$217,$I10,0)),IF(HLOOKUP(AX$7,$B$147:$AW$217,$I10,0)=0,IF(ISNA(HLOOKUP(AX$8,$B$147:$AW$217,$I10,0)),0,HLOOKUP(AX$8,$B$147:$AW$217,$I10,0)),HLOOKUP(AX$7,$B$147:$AW$217,$I10,0)))</f>
        <v>0</v>
      </c>
      <c r="AY10" s="175" t="str">
        <f t="shared" ref="AY10:AY44" ca="1" si="23">IF(AX10&lt;&gt;0,$B148,"")</f>
        <v/>
      </c>
      <c r="AZ10" s="169" t="str">
        <f ca="1">IF(AY10="Total général","",IF(AY10&lt;&gt;"","o",""))</f>
        <v/>
      </c>
      <c r="BA10" s="169" t="str">
        <f t="array" aca="1" ref="BA10" ca="1">IF(ROWS($9:9)&lt;=COUNTIF(Condition11,"o"),INDEX(Liste11,SMALL(IF(Condition11="o",ROW(INDIRECT("1:"&amp;ROWS(Liste11)))),ROWS($9:9))),"")</f>
        <v/>
      </c>
      <c r="BB10" s="175">
        <f t="shared" ref="BB10:BB44" ca="1" si="24">IF(ISNA(HLOOKUP(BB$7,$B$147:$AW$217,$I10,0)),IF(ISNA(HLOOKUP(BB$8,$B$147:$AW$217,$I10,0)),0,HLOOKUP(BB$8,$B$147:$AW$217,$I10,0)),IF(HLOOKUP(BB$7,$B$147:$AW$217,$I10,0)=0,IF(ISNA(HLOOKUP(BB$8,$B$147:$AW$217,$I10,0)),0,HLOOKUP(BB$8,$B$147:$AW$217,$I10,0)),HLOOKUP(BB$7,$B$147:$AW$217,$I10,0)))</f>
        <v>0</v>
      </c>
      <c r="BC10" s="175" t="str">
        <f t="shared" ref="BC10:BC44" ca="1" si="25">IF(BB10&lt;&gt;0,$B148,"")</f>
        <v/>
      </c>
      <c r="BD10" s="169" t="str">
        <f ca="1">IF(BC10="Total général","",IF(BC10&lt;&gt;"","o",""))</f>
        <v/>
      </c>
      <c r="BE10" s="169" t="str">
        <f t="array" aca="1" ref="BE10" ca="1">IF(ROWS($9:9)&lt;=COUNTIF(Condition12,"o"),INDEX(Liste12,SMALL(IF(Condition12="o",ROW(INDIRECT("1:"&amp;ROWS(Liste12)))),ROWS($9:9))),"")</f>
        <v/>
      </c>
      <c r="BF10" s="175">
        <f t="shared" ref="BF10:BF44" ca="1" si="26">IF(ISNA(HLOOKUP(BF$7,$B$147:$AW$217,$I10,0)),IF(ISNA(HLOOKUP(BF$8,$B$147:$AW$217,$I10,0)),0,HLOOKUP(BF$8,$B$147:$AW$217,$I10,0)),IF(HLOOKUP(BF$7,$B$147:$AW$217,$I10,0)=0,IF(ISNA(HLOOKUP(BF$8,$B$147:$AW$217,$I10,0)),0,HLOOKUP(BF$8,$B$147:$AW$217,$I10,0)),HLOOKUP(BF$7,$B$147:$AW$217,$I10,0)))</f>
        <v>0</v>
      </c>
      <c r="BG10" s="175" t="str">
        <f t="shared" ref="BG10:BG44" ca="1" si="27">IF(BF10&lt;&gt;0,$B148,"")</f>
        <v/>
      </c>
      <c r="BH10" s="169" t="str">
        <f ca="1">IF(BG10="Total général","",IF(BG10&lt;&gt;"","o",""))</f>
        <v/>
      </c>
      <c r="BI10" s="169" t="str">
        <f t="array" aca="1" ref="BI10" ca="1">IF(ROWS($9:9)&lt;=COUNTIF(Condition13,"o"),INDEX(Liste13,SMALL(IF(Condition13="o",ROW(INDIRECT("1:"&amp;ROWS(Liste13)))),ROWS($9:9))),"")</f>
        <v/>
      </c>
      <c r="BJ10" s="175">
        <f t="shared" ref="BJ10:BJ44" ca="1" si="28">IF(ISNA(HLOOKUP(BJ$7,$B$147:$AW$217,$I10,0)),IF(ISNA(HLOOKUP(BJ$8,$B$147:$AW$217,$I10,0)),0,HLOOKUP(BJ$8,$B$147:$AW$217,$I10,0)),IF(HLOOKUP(BJ$7,$B$147:$AW$217,$I10,0)=0,IF(ISNA(HLOOKUP(BJ$8,$B$147:$AW$217,$I10,0)),0,HLOOKUP(BJ$8,$B$147:$AW$217,$I10,0)),HLOOKUP(BJ$7,$B$147:$AW$217,$I10,0)))</f>
        <v>0</v>
      </c>
      <c r="BK10" s="175" t="str">
        <f t="shared" ref="BK10:BK44" ca="1" si="29">IF(BJ10&lt;&gt;0,$B148,"")</f>
        <v/>
      </c>
      <c r="BL10" s="169" t="str">
        <f ca="1">IF(BK10="Total général","",IF(BK10&lt;&gt;"","o",""))</f>
        <v/>
      </c>
      <c r="BM10" s="169" t="str">
        <f t="array" aca="1" ref="BM10" ca="1">IF(ROWS($9:9)&lt;=COUNTIF(Condition14,"o"),INDEX(Liste14,SMALL(IF(Condition14="o",ROW(INDIRECT("1:"&amp;ROWS(Liste14)))),ROWS($9:9))),"")</f>
        <v/>
      </c>
      <c r="BN10" s="175">
        <f t="shared" ref="BN10:BN44" ca="1" si="30">IF(ISNA(HLOOKUP(BN$7,$B$147:$AW$217,$I10,0)),IF(ISNA(HLOOKUP(BN$8,$B$147:$AW$217,$I10,0)),0,HLOOKUP(BN$8,$B$147:$AW$217,$I10,0)),IF(HLOOKUP(BN$7,$B$147:$AW$217,$I10,0)=0,IF(ISNA(HLOOKUP(BN$8,$B$147:$AW$217,$I10,0)),0,HLOOKUP(BN$8,$B$147:$AW$217,$I10,0)),HLOOKUP(BN$7,$B$147:$AW$217,$I10,0)))</f>
        <v>0</v>
      </c>
      <c r="BO10" s="175" t="str">
        <f t="shared" ref="BO10:BO44" ca="1" si="31">IF(BN10&lt;&gt;0,$B148,"")</f>
        <v/>
      </c>
      <c r="BP10" s="169" t="str">
        <f ca="1">IF(BO10="Total général","",IF(BO10&lt;&gt;"","o",""))</f>
        <v/>
      </c>
      <c r="BQ10" s="169" t="str">
        <f t="array" aca="1" ref="BQ10" ca="1">IF(ROWS($9:9)&lt;=COUNTIF(Condition15,"o"),INDEX(Liste15,SMALL(IF(Condition15="o",ROW(INDIRECT("1:"&amp;ROWS(Liste15)))),ROWS($9:9))),"")</f>
        <v/>
      </c>
      <c r="BR10" s="175">
        <f t="shared" ref="BR10:BR44" ca="1" si="32">IF(ISNA(HLOOKUP(BR$7,$B$147:$AW$217,$I10,0)),IF(ISNA(HLOOKUP(BR$8,$B$147:$AW$217,$I10,0)),0,HLOOKUP(BR$8,$B$147:$AW$217,$I10,0)),IF(HLOOKUP(BR$7,$B$147:$AW$217,$I10,0)=0,IF(ISNA(HLOOKUP(BR$8,$B$147:$AW$217,$I10,0)),0,HLOOKUP(BR$8,$B$147:$AW$217,$I10,0)),HLOOKUP(BR$7,$B$147:$AW$217,$I10,0)))</f>
        <v>0</v>
      </c>
      <c r="BS10" s="175" t="str">
        <f t="shared" ref="BS10:BS44" ca="1" si="33">IF(BR10&lt;&gt;0,$B148,"")</f>
        <v/>
      </c>
      <c r="BT10" s="169" t="str">
        <f ca="1">IF(BS10="Total général","",IF(BS10&lt;&gt;"","o",""))</f>
        <v/>
      </c>
      <c r="BU10" s="169" t="str">
        <f t="array" aca="1" ref="BU10" ca="1">IF(ROWS($9:9)&lt;=COUNTIF(Condition16,"o"),INDEX(Liste16,SMALL(IF(Condition16="o",ROW(INDIRECT("1:"&amp;ROWS(Liste16)))),ROWS($9:9))),"")</f>
        <v/>
      </c>
      <c r="BV10" s="175">
        <f t="shared" ref="BV10:BV44" ca="1" si="34">IF(ISNA(HLOOKUP(BV$7,$B$147:$AW$217,$I10,0)),IF(ISNA(HLOOKUP(BV$8,$B$147:$AW$217,$I10,0)),0,HLOOKUP(BV$8,$B$147:$AW$217,$I10,0)),IF(HLOOKUP(BV$7,$B$147:$AW$217,$I10,0)=0,IF(ISNA(HLOOKUP(BV$8,$B$147:$AW$217,$I10,0)),0,HLOOKUP(BV$8,$B$147:$AW$217,$I10,0)),HLOOKUP(BV$7,$B$147:$AW$217,$I10,0)))</f>
        <v>0</v>
      </c>
      <c r="BW10" s="175" t="str">
        <f t="shared" ref="BW10:BW44" ca="1" si="35">IF(BV10&lt;&gt;0,$B148,"")</f>
        <v/>
      </c>
      <c r="BX10" s="169" t="str">
        <f ca="1">IF(BW10="Total général","",IF(BW10&lt;&gt;"","o",""))</f>
        <v/>
      </c>
      <c r="BY10" s="169" t="str">
        <f t="array" aca="1" ref="BY10" ca="1">IF(ROWS($9:9)&lt;=COUNTIF(Condition17,"o"),INDEX(Liste17,SMALL(IF(Condition17="o",ROW(INDIRECT("1:"&amp;ROWS(Liste17)))),ROWS($9:9))),"")</f>
        <v/>
      </c>
      <c r="BZ10" s="175">
        <f t="shared" ref="BZ10:BZ44" ca="1" si="36">IF(ISNA(HLOOKUP(BZ$7,$B$147:$AW$217,$I10,0)),IF(ISNA(HLOOKUP(BZ$8,$B$147:$AW$217,$I10,0)),0,HLOOKUP(BZ$8,$B$147:$AW$217,$I10,0)),IF(HLOOKUP(BZ$7,$B$147:$AW$217,$I10,0)=0,IF(ISNA(HLOOKUP(BZ$8,$B$147:$AW$217,$I10,0)),0,HLOOKUP(BZ$8,$B$147:$AW$217,$I10,0)),HLOOKUP(BZ$7,$B$147:$AW$217,$I10,0)))</f>
        <v>0</v>
      </c>
      <c r="CA10" s="175" t="str">
        <f t="shared" ref="CA10:CA44" ca="1" si="37">IF(BZ10&lt;&gt;0,$B148,"")</f>
        <v/>
      </c>
      <c r="CB10" s="169" t="str">
        <f ca="1">IF(CA10="Total général","",IF(CA10&lt;&gt;"","o",""))</f>
        <v/>
      </c>
      <c r="CC10" s="169" t="str">
        <f t="array" aca="1" ref="CC10" ca="1">IF(ROWS($9:9)&lt;=COUNTIF(Condition18,"o"),INDEX(Liste18,SMALL(IF(Condition18="o",ROW(INDIRECT("1:"&amp;ROWS(Liste18)))),ROWS($9:9))),"")</f>
        <v/>
      </c>
      <c r="CD10" s="175">
        <f t="shared" ref="CD10:CD44" ca="1" si="38">IF(ISNA(HLOOKUP(CD$7,$B$147:$AW$217,$I10,0)),IF(ISNA(HLOOKUP(CD$8,$B$147:$AW$217,$I10,0)),0,HLOOKUP(CD$8,$B$147:$AW$217,$I10,0)),IF(HLOOKUP(CD$7,$B$147:$AW$217,$I10,0)=0,IF(ISNA(HLOOKUP(CD$8,$B$147:$AW$217,$I10,0)),0,HLOOKUP(CD$8,$B$147:$AW$217,$I10,0)),HLOOKUP(CD$7,$B$147:$AW$217,$I10,0)))</f>
        <v>0</v>
      </c>
      <c r="CE10" s="175" t="str">
        <f t="shared" ref="CE10:CE44" ca="1" si="39">IF(CD10&lt;&gt;0,$B148,"")</f>
        <v/>
      </c>
      <c r="CF10" s="169" t="str">
        <f ca="1">IF(CE10="Total général","",IF(CE10&lt;&gt;"","o",""))</f>
        <v/>
      </c>
      <c r="CG10" s="169" t="str">
        <f t="array" aca="1" ref="CG10" ca="1">IF(ROWS($9:9)&lt;=COUNTIF(Condition19,"o"),INDEX(Liste19,SMALL(IF(Condition19="o",ROW(INDIRECT("1:"&amp;ROWS(Liste19)))),ROWS($9:9))),"")</f>
        <v/>
      </c>
      <c r="CH10" s="175">
        <f t="shared" ref="CH10:CH44" ca="1" si="40">IF(ISNA(HLOOKUP(CH$7,$B$147:$AW$217,$I10,0)),IF(ISNA(HLOOKUP(CH$8,$B$147:$AW$217,$I10,0)),0,HLOOKUP(CH$8,$B$147:$AW$217,$I10,0)),IF(HLOOKUP(CH$7,$B$147:$AW$217,$I10,0)=0,IF(ISNA(HLOOKUP(CH$8,$B$147:$AW$217,$I10,0)),0,HLOOKUP(CH$8,$B$147:$AW$217,$I10,0)),HLOOKUP(CH$7,$B$147:$AW$217,$I10,0)))</f>
        <v>0</v>
      </c>
      <c r="CI10" s="175" t="str">
        <f t="shared" ref="CI10:CI44" ca="1" si="41">IF(CH10&lt;&gt;0,$B148,"")</f>
        <v/>
      </c>
      <c r="CJ10" s="169" t="str">
        <f ca="1">IF(CI10="Total général","",IF(CI10&lt;&gt;"","o",""))</f>
        <v/>
      </c>
      <c r="CK10" s="169" t="str">
        <f t="array" aca="1" ref="CK10" ca="1">IF(ROWS($9:9)&lt;=COUNTIF(Condition20,"o"),INDEX(Liste20,SMALL(IF(Condition20="o",ROW(INDIRECT("1:"&amp;ROWS(Liste20)))),ROWS($9:9))),"")</f>
        <v/>
      </c>
      <c r="CL10" s="175">
        <f t="shared" ref="CL10:CL44" ca="1" si="42">IF(ISNA(HLOOKUP(CL$7,$B$147:$AW$217,$I10,0)),IF(ISNA(HLOOKUP(CL$8,$B$147:$AW$217,$I10,0)),0,HLOOKUP(CL$8,$B$147:$AW$217,$I10,0)),IF(HLOOKUP(CL$7,$B$147:$AW$217,$I10,0)=0,IF(ISNA(HLOOKUP(CL$8,$B$147:$AW$217,$I10,0)),0,HLOOKUP(CL$8,$B$147:$AW$217,$I10,0)),HLOOKUP(CL$7,$B$147:$AW$217,$I10,0)))</f>
        <v>0</v>
      </c>
      <c r="CM10" s="175" t="str">
        <f t="shared" ref="CM10:CM44" ca="1" si="43">IF(CL10&lt;&gt;0,$B148,"")</f>
        <v/>
      </c>
      <c r="CN10" s="169" t="str">
        <f ca="1">IF(CM10="Total général","",IF(CM10&lt;&gt;"","o",""))</f>
        <v/>
      </c>
      <c r="CO10" s="169" t="str">
        <f t="array" aca="1" ref="CO10" ca="1">IF(ROWS($9:9)&lt;=COUNTIF(Condition21,"o"),INDEX(Liste21,SMALL(IF(Condition21="o",ROW(INDIRECT("1:"&amp;ROWS(Liste21)))),ROWS($9:9))),"")</f>
        <v/>
      </c>
      <c r="CP10" s="175">
        <f t="shared" ref="CP10:CP44" ca="1" si="44">IF(ISNA(HLOOKUP(CP$7,$B$147:$AW$217,$I10,0)),IF(ISNA(HLOOKUP(CP$8,$B$147:$AW$217,$I10,0)),0,HLOOKUP(CP$8,$B$147:$AW$217,$I10,0)),IF(HLOOKUP(CP$7,$B$147:$AW$217,$I10,0)=0,IF(ISNA(HLOOKUP(CP$8,$B$147:$AW$217,$I10,0)),0,HLOOKUP(CP$8,$B$147:$AW$217,$I10,0)),HLOOKUP(CP$7,$B$147:$AW$217,$I10,0)))</f>
        <v>0</v>
      </c>
      <c r="CQ10" s="175" t="str">
        <f t="shared" ref="CQ10:CQ44" ca="1" si="45">IF(CP10&lt;&gt;0,$B148,"")</f>
        <v/>
      </c>
      <c r="CR10" s="169" t="str">
        <f ca="1">IF(CQ10="Total général","",IF(CQ10&lt;&gt;"","o",""))</f>
        <v/>
      </c>
      <c r="CS10" s="169" t="str">
        <f t="array" aca="1" ref="CS10" ca="1">IF(ROWS($9:9)&lt;=COUNTIF(Condition22,"o"),INDEX(Liste22,SMALL(IF(Condition22="o",ROW(INDIRECT("1:"&amp;ROWS(Liste22)))),ROWS($9:9))),"")</f>
        <v/>
      </c>
      <c r="CT10" s="175">
        <f t="shared" ref="CT10:CT44" ca="1" si="46">IF(ISNA(HLOOKUP(CT$7,$B$147:$AW$217,$I10,0)),IF(ISNA(HLOOKUP(CT$8,$B$147:$AW$217,$I10,0)),0,HLOOKUP(CT$8,$B$147:$AW$217,$I10,0)),IF(HLOOKUP(CT$7,$B$147:$AW$217,$I10,0)=0,IF(ISNA(HLOOKUP(CT$8,$B$147:$AW$217,$I10,0)),0,HLOOKUP(CT$8,$B$147:$AW$217,$I10,0)),HLOOKUP(CT$7,$B$147:$AW$217,$I10,0)))</f>
        <v>0</v>
      </c>
      <c r="CU10" s="175" t="str">
        <f t="shared" ref="CU10:CU44" ca="1" si="47">IF(CT10&lt;&gt;0,$B148,"")</f>
        <v/>
      </c>
      <c r="CV10" s="169" t="str">
        <f ca="1">IF(CU10="Total général","",IF(CU10&lt;&gt;"","o",""))</f>
        <v/>
      </c>
      <c r="CW10" s="169" t="str">
        <f t="array" aca="1" ref="CW10" ca="1">IF(ROWS($9:9)&lt;=COUNTIF(Condition23,"o"),INDEX(Liste23,SMALL(IF(Condition23="o",ROW(INDIRECT("1:"&amp;ROWS(Liste23)))),ROWS($9:9))),"")</f>
        <v/>
      </c>
      <c r="CX10" s="175">
        <f t="shared" ref="CX10:CX44" ca="1" si="48">IF(ISNA(HLOOKUP(CX$7,$B$147:$AW$217,$I10,0)),IF(ISNA(HLOOKUP(CX$8,$B$147:$AW$217,$I10,0)),0,HLOOKUP(CX$8,$B$147:$AW$217,$I10,0)),IF(HLOOKUP(CX$7,$B$147:$AW$217,$I10,0)=0,IF(ISNA(HLOOKUP(CX$8,$B$147:$AW$217,$I10,0)),0,HLOOKUP(CX$8,$B$147:$AW$217,$I10,0)),HLOOKUP(CX$7,$B$147:$AW$217,$I10,0)))</f>
        <v>0</v>
      </c>
      <c r="CY10" s="175" t="str">
        <f t="shared" ref="CY10:CY44" ca="1" si="49">IF(CX10&lt;&gt;0,$B148,"")</f>
        <v/>
      </c>
      <c r="CZ10" s="169" t="str">
        <f ca="1">IF(CY10="Total général","",IF(CY10&lt;&gt;"","o",""))</f>
        <v/>
      </c>
      <c r="DA10" s="169" t="str">
        <f t="array" aca="1" ref="DA10" ca="1">IF(ROWS($9:9)&lt;=COUNTIF(Condition24,"o"),INDEX(Liste24,SMALL(IF(Condition24="o",ROW(INDIRECT("1:"&amp;ROWS(Liste24)))),ROWS($9:9))),"")</f>
        <v/>
      </c>
      <c r="DB10" s="175">
        <f t="shared" ref="DB10:DB44" ca="1" si="50">IF(ISNA(HLOOKUP(DB$7,$B$147:$AW$217,$I10,0)),IF(ISNA(HLOOKUP(DB$8,$B$147:$AW$217,$I10,0)),0,HLOOKUP(DB$8,$B$147:$AW$217,$I10,0)),IF(HLOOKUP(DB$7,$B$147:$AW$217,$I10,0)=0,IF(ISNA(HLOOKUP(DB$8,$B$147:$AW$217,$I10,0)),0,HLOOKUP(DB$8,$B$147:$AW$217,$I10,0)),HLOOKUP(DB$7,$B$147:$AW$217,$I10,0)))</f>
        <v>0</v>
      </c>
      <c r="DC10" s="175" t="str">
        <f t="shared" ref="DC10:DC44" ca="1" si="51">IF(DB10&lt;&gt;0,$B148,"")</f>
        <v/>
      </c>
      <c r="DD10" s="169" t="str">
        <f ca="1">IF(DC10="Total général","",IF(DC10&lt;&gt;"","o",""))</f>
        <v/>
      </c>
      <c r="DE10" s="169" t="str">
        <f t="array" aca="1" ref="DE10" ca="1">IF(ROWS($9:9)&lt;=COUNTIF(Condition25,"o"),INDEX(Liste25,SMALL(IF(Condition25="o",ROW(INDIRECT("1:"&amp;ROWS(Liste25)))),ROWS($9:9))),"")</f>
        <v/>
      </c>
      <c r="DF10" s="175">
        <f t="shared" ref="DF10:DF44" ca="1" si="52">IF(ISNA(HLOOKUP(DF$7,$B$147:$AW$217,$I10,0)),IF(ISNA(HLOOKUP(DF$8,$B$147:$AW$217,$I10,0)),0,HLOOKUP(DF$8,$B$147:$AW$217,$I10,0)),IF(HLOOKUP(DF$7,$B$147:$AW$217,$I10,0)=0,IF(ISNA(HLOOKUP(DF$8,$B$147:$AW$217,$I10,0)),0,HLOOKUP(DF$8,$B$147:$AW$217,$I10,0)),HLOOKUP(DF$7,$B$147:$AW$217,$I10,0)))</f>
        <v>0</v>
      </c>
      <c r="DG10" s="175" t="str">
        <f t="shared" ref="DG10:DG44" ca="1" si="53">IF(DF10&lt;&gt;0,$B148,"")</f>
        <v/>
      </c>
      <c r="DH10" s="169" t="str">
        <f ca="1">IF(DG10="Total général","",IF(DG10&lt;&gt;"","o",""))</f>
        <v/>
      </c>
      <c r="DI10" s="169" t="str">
        <f t="array" aca="1" ref="DI10" ca="1">IF(ROWS($9:9)&lt;=COUNTIF(Condition26,"o"),INDEX(Liste26,SMALL(IF(Condition26="o",ROW(INDIRECT("1:"&amp;ROWS(Liste26)))),ROWS($9:9))),"")</f>
        <v/>
      </c>
      <c r="DJ10" s="175">
        <f t="shared" ref="DJ10:DJ44" ca="1" si="54">IF(ISNA(HLOOKUP(DJ$7,$B$147:$AW$217,$I10,0)),IF(ISNA(HLOOKUP(DJ$8,$B$147:$AW$217,$I10,0)),0,HLOOKUP(DJ$8,$B$147:$AW$217,$I10,0)),IF(HLOOKUP(DJ$7,$B$147:$AW$217,$I10,0)=0,IF(ISNA(HLOOKUP(DJ$8,$B$147:$AW$217,$I10,0)),0,HLOOKUP(DJ$8,$B$147:$AW$217,$I10,0)),HLOOKUP(DJ$7,$B$147:$AW$217,$I10,0)))</f>
        <v>0</v>
      </c>
      <c r="DK10" s="175" t="str">
        <f t="shared" ref="DK10:DK44" ca="1" si="55">IF(DJ10&lt;&gt;0,$B148,"")</f>
        <v/>
      </c>
      <c r="DL10" s="169" t="str">
        <f ca="1">IF(DK10="Total général","",IF(DK10&lt;&gt;"","o",""))</f>
        <v/>
      </c>
      <c r="DM10" s="169" t="str">
        <f t="array" aca="1" ref="DM10" ca="1">IF(ROWS($9:9)&lt;=COUNTIF(Condition27,"o"),INDEX(Liste27,SMALL(IF(Condition27="o",ROW(INDIRECT("1:"&amp;ROWS(Liste27)))),ROWS($9:9))),"")</f>
        <v/>
      </c>
      <c r="DN10" s="175">
        <f t="shared" ref="DN10:DN44" ca="1" si="56">IF(ISNA(HLOOKUP(DN$7,$B$147:$AW$217,$I10,0)),IF(ISNA(HLOOKUP(DN$8,$B$147:$AW$217,$I10,0)),0,HLOOKUP(DN$8,$B$147:$AW$217,$I10,0)),IF(HLOOKUP(DN$7,$B$147:$AW$217,$I10,0)=0,IF(ISNA(HLOOKUP(DN$8,$B$147:$AW$217,$I10,0)),0,HLOOKUP(DN$8,$B$147:$AW$217,$I10,0)),HLOOKUP(DN$7,$B$147:$AW$217,$I10,0)))</f>
        <v>0</v>
      </c>
      <c r="DO10" s="175" t="str">
        <f t="shared" ref="DO10:DO44" ca="1" si="57">IF(DN10&lt;&gt;0,$B148,"")</f>
        <v/>
      </c>
      <c r="DP10" s="169" t="str">
        <f ca="1">IF(DO10="Total général","",IF(DO10&lt;&gt;"","o",""))</f>
        <v/>
      </c>
      <c r="DQ10" s="169" t="str">
        <f t="array" aca="1" ref="DQ10" ca="1">IF(ROWS($9:9)&lt;=COUNTIF(Condition28,"o"),INDEX(Liste28,SMALL(IF(Condition28="o",ROW(INDIRECT("1:"&amp;ROWS(Liste28)))),ROWS($9:9))),"")</f>
        <v/>
      </c>
      <c r="DR10" s="175">
        <f t="shared" ref="DR10:DR44" ca="1" si="58">IF(ISNA(HLOOKUP(DR$7,$B$147:$AW$217,$I10,0)),IF(ISNA(HLOOKUP(DR$8,$B$147:$AW$217,$I10,0)),0,HLOOKUP(DR$8,$B$147:$AW$217,$I10,0)),IF(HLOOKUP(DR$7,$B$147:$AW$217,$I10,0)=0,IF(ISNA(HLOOKUP(DR$8,$B$147:$AW$217,$I10,0)),0,HLOOKUP(DR$8,$B$147:$AW$217,$I10,0)),HLOOKUP(DR$7,$B$147:$AW$217,$I10,0)))</f>
        <v>0</v>
      </c>
      <c r="DS10" s="175" t="str">
        <f t="shared" ref="DS10:DS44" ca="1" si="59">IF(DR10&lt;&gt;0,$B148,"")</f>
        <v/>
      </c>
      <c r="DT10" s="169" t="str">
        <f ca="1">IF(DS10="Total général","",IF(DS10&lt;&gt;"","o",""))</f>
        <v/>
      </c>
      <c r="DU10" s="169" t="str">
        <f t="array" aca="1" ref="DU10" ca="1">IF(ROWS($9:9)&lt;=COUNTIF(Condition29,"o"),INDEX(Liste29,SMALL(IF(Condition29="o",ROW(INDIRECT("1:"&amp;ROWS(Liste29)))),ROWS($9:9))),"")</f>
        <v/>
      </c>
      <c r="DV10" s="175">
        <f t="shared" ref="DV10:DV44" ca="1" si="60">IF(ISNA(HLOOKUP(DV$7,$B$147:$AW$217,$I10,0)),IF(ISNA(HLOOKUP(DV$8,$B$147:$AW$217,$I10,0)),0,HLOOKUP(DV$8,$B$147:$AW$217,$I10,0)),IF(HLOOKUP(DV$7,$B$147:$AW$217,$I10,0)=0,IF(ISNA(HLOOKUP(DV$8,$B$147:$AW$217,$I10,0)),0,HLOOKUP(DV$8,$B$147:$AW$217,$I10,0)),HLOOKUP(DV$7,$B$147:$AW$217,$I10,0)))</f>
        <v>0</v>
      </c>
      <c r="DW10" s="175" t="str">
        <f t="shared" ref="DW10:DW44" ca="1" si="61">IF(DV10&lt;&gt;0,$B148,"")</f>
        <v/>
      </c>
      <c r="DX10" s="169" t="str">
        <f ca="1">IF(DW10="Total général","",IF(DW10&lt;&gt;"","o",""))</f>
        <v/>
      </c>
      <c r="DY10" s="169" t="str">
        <f t="array" aca="1" ref="DY10" ca="1">IF(ROWS($9:9)&lt;=COUNTIF(Condition30,"o"),INDEX(Liste30,SMALL(IF(Condition30="o",ROW(INDIRECT("1:"&amp;ROWS(Liste30)))),ROWS($9:9))),"")</f>
        <v/>
      </c>
      <c r="DZ10" s="175">
        <f t="shared" ref="DZ10:DZ44" ca="1" si="62">IF(ISNA(HLOOKUP(DZ$7,$B$147:$AW$217,$I10,0)),IF(ISNA(HLOOKUP(DZ$8,$B$147:$AW$217,$I10,0)),0,HLOOKUP(DZ$8,$B$147:$AW$217,$I10,0)),IF(HLOOKUP(DZ$7,$B$147:$AW$217,$I10,0)=0,IF(ISNA(HLOOKUP(DZ$8,$B$147:$AW$217,$I10,0)),0,HLOOKUP(DZ$8,$B$147:$AW$217,$I10,0)),HLOOKUP(DZ$7,$B$147:$AW$217,$I10,0)))</f>
        <v>0</v>
      </c>
      <c r="EA10" s="175" t="str">
        <f t="shared" ref="EA10:EA44" ca="1" si="63">IF(DZ10&lt;&gt;0,$B148,"")</f>
        <v/>
      </c>
      <c r="EB10" s="169" t="str">
        <f ca="1">IF(EA10="Total général","",IF(EA10&lt;&gt;"","o",""))</f>
        <v/>
      </c>
      <c r="EC10" s="169" t="str">
        <f t="array" aca="1" ref="EC10" ca="1">IF(ROWS($9:9)&lt;=COUNTIF(Condition31,"o"),INDEX(Liste31,SMALL(IF(Condition31="o",ROW(INDIRECT("1:"&amp;ROWS(Liste31)))),ROWS($9:9))),"")</f>
        <v/>
      </c>
      <c r="ED10" s="175">
        <f t="shared" ref="ED10:ED44" ca="1" si="64">IF(ISNA(HLOOKUP(ED$7,$B$147:$AW$217,$I10,0)),IF(ISNA(HLOOKUP(ED$8,$B$147:$AW$217,$I10,0)),0,HLOOKUP(ED$8,$B$147:$AW$217,$I10,0)),IF(HLOOKUP(ED$7,$B$147:$AW$217,$I10,0)=0,IF(ISNA(HLOOKUP(ED$8,$B$147:$AW$217,$I10,0)),0,HLOOKUP(ED$8,$B$147:$AW$217,$I10,0)),HLOOKUP(ED$7,$B$147:$AW$217,$I10,0)))</f>
        <v>0</v>
      </c>
      <c r="EE10" s="175" t="str">
        <f t="shared" ref="EE10:EE44" ca="1" si="65">IF(ED10&lt;&gt;0,$B148,"")</f>
        <v/>
      </c>
      <c r="EF10" s="169" t="str">
        <f ca="1">IF(EE10="Total général","",IF(EE10&lt;&gt;"","o",""))</f>
        <v/>
      </c>
      <c r="EG10" s="169" t="str">
        <f t="array" aca="1" ref="EG10" ca="1">IF(ROWS($9:9)&lt;=COUNTIF(Condition32,"o"),INDEX(Liste32,SMALL(IF(Condition32="o",ROW(INDIRECT("1:"&amp;ROWS(Liste32)))),ROWS($9:9))),"")</f>
        <v/>
      </c>
      <c r="EH10" s="175">
        <f t="shared" ref="EH10:EH44" ca="1" si="66">IF(ISNA(HLOOKUP(EH$7,$B$147:$AW$217,$I10,0)),IF(ISNA(HLOOKUP(EH$8,$B$147:$AW$217,$I10,0)),0,HLOOKUP(EH$8,$B$147:$AW$217,$I10,0)),IF(HLOOKUP(EH$7,$B$147:$AW$217,$I10,0)=0,IF(ISNA(HLOOKUP(EH$8,$B$147:$AW$217,$I10,0)),0,HLOOKUP(EH$8,$B$147:$AW$217,$I10,0)),HLOOKUP(EH$7,$B$147:$AW$217,$I10,0)))</f>
        <v>0</v>
      </c>
      <c r="EI10" s="175" t="str">
        <f t="shared" ref="EI10:EI44" ca="1" si="67">IF(EH10&lt;&gt;0,$B148,"")</f>
        <v/>
      </c>
      <c r="EJ10" s="169" t="str">
        <f ca="1">IF(EI10="Total général","",IF(EI10&lt;&gt;"","o",""))</f>
        <v/>
      </c>
      <c r="EK10" s="169" t="str">
        <f t="array" aca="1" ref="EK10" ca="1">IF(ROWS($9:9)&lt;=COUNTIF(Condition33,"o"),INDEX(Liste33,SMALL(IF(Condition33="o",ROW(INDIRECT("1:"&amp;ROWS(Liste33)))),ROWS($9:9))),"")</f>
        <v/>
      </c>
      <c r="EL10" s="175">
        <f t="shared" ref="EL10:EL44" ca="1" si="68">IF(ISNA(HLOOKUP(EL$7,$B$147:$AW$217,$I10,0)),IF(ISNA(HLOOKUP(EL$8,$B$147:$AW$217,$I10,0)),0,HLOOKUP(EL$8,$B$147:$AW$217,$I10,0)),IF(HLOOKUP(EL$7,$B$147:$AW$217,$I10,0)=0,IF(ISNA(HLOOKUP(EL$8,$B$147:$AW$217,$I10,0)),0,HLOOKUP(EL$8,$B$147:$AW$217,$I10,0)),HLOOKUP(EL$7,$B$147:$AW$217,$I10,0)))</f>
        <v>0</v>
      </c>
      <c r="EM10" s="175" t="str">
        <f t="shared" ref="EM10:EM44" ca="1" si="69">IF(EL10&lt;&gt;0,$B148,"")</f>
        <v/>
      </c>
      <c r="EN10" s="169" t="str">
        <f ca="1">IF(EM10="Total général","",IF(EM10&lt;&gt;"","o",""))</f>
        <v/>
      </c>
      <c r="EO10" s="169" t="str">
        <f t="array" aca="1" ref="EO10" ca="1">IF(ROWS($9:9)&lt;=COUNTIF(Condition34,"o"),INDEX(Liste34,SMALL(IF(Condition34="o",ROW(INDIRECT("1:"&amp;ROWS(Liste34)))),ROWS($9:9))),"")</f>
        <v/>
      </c>
      <c r="EP10" s="175">
        <f t="shared" ref="EP10:EP44" ca="1" si="70">IF(ISNA(HLOOKUP(EP$7,$B$147:$AW$217,$I10,0)),IF(ISNA(HLOOKUP(EP$8,$B$147:$AW$217,$I10,0)),0,HLOOKUP(EP$8,$B$147:$AW$217,$I10,0)),IF(HLOOKUP(EP$7,$B$147:$AW$217,$I10,0)=0,IF(ISNA(HLOOKUP(EP$8,$B$147:$AW$217,$I10,0)),0,HLOOKUP(EP$8,$B$147:$AW$217,$I10,0)),HLOOKUP(EP$7,$B$147:$AW$217,$I10,0)))</f>
        <v>0</v>
      </c>
      <c r="EQ10" s="175" t="str">
        <f t="shared" ref="EQ10:EQ44" ca="1" si="71">IF(EP10&lt;&gt;0,$B148,"")</f>
        <v/>
      </c>
      <c r="ER10" s="169" t="str">
        <f ca="1">IF(EQ10="Total général","",IF(EQ10&lt;&gt;"","o",""))</f>
        <v/>
      </c>
      <c r="ES10" s="169" t="str">
        <f t="array" aca="1" ref="ES10" ca="1">IF(ROWS($9:9)&lt;=COUNTIF(Condition35,"o"),INDEX(Liste35,SMALL(IF(Condition35="o",ROW(INDIRECT("1:"&amp;ROWS(Liste35)))),ROWS($9:9))),"")</f>
        <v/>
      </c>
      <c r="ET10" s="175">
        <f t="shared" ref="ET10:ET44" ca="1" si="72">IF(ISNA(HLOOKUP(ET$7,$B$147:$AW$217,$I10,0)),IF(ISNA(HLOOKUP(ET$8,$B$147:$AW$217,$I10,0)),0,HLOOKUP(ET$8,$B$147:$AW$217,$I10,0)),IF(HLOOKUP(ET$7,$B$147:$AW$217,$I10,0)=0,IF(ISNA(HLOOKUP(ET$8,$B$147:$AW$217,$I10,0)),0,HLOOKUP(ET$8,$B$147:$AW$217,$I10,0)),HLOOKUP(ET$7,$B$147:$AW$217,$I10,0)))</f>
        <v>0</v>
      </c>
      <c r="EU10" s="175" t="str">
        <f t="shared" ref="EU10:EU44" ca="1" si="73">IF(ET10&lt;&gt;0,$B148,"")</f>
        <v/>
      </c>
      <c r="EV10" s="169" t="str">
        <f ca="1">IF(EU10="Total général","",IF(EU10&lt;&gt;"","o",""))</f>
        <v/>
      </c>
      <c r="EW10" s="169" t="str">
        <f t="array" aca="1" ref="EW10" ca="1">IF(ROWS($9:9)&lt;=COUNTIF(Condition36,"o"),INDEX(Liste36,SMALL(IF(Condition36="o",ROW(INDIRECT("1:"&amp;ROWS(Liste36)))),ROWS($9:9))),"")</f>
        <v/>
      </c>
      <c r="EX10" s="175">
        <f t="shared" ref="EX10:EX44" ca="1" si="74">IF(ISNA(HLOOKUP(EX$7,$B$147:$AW$217,$I10,0)),IF(ISNA(HLOOKUP(EX$8,$B$147:$AW$217,$I10,0)),0,HLOOKUP(EX$8,$B$147:$AW$217,$I10,0)),IF(HLOOKUP(EX$7,$B$147:$AW$217,$I10,0)=0,IF(ISNA(HLOOKUP(EX$8,$B$147:$AW$217,$I10,0)),0,HLOOKUP(EX$8,$B$147:$AW$217,$I10,0)),HLOOKUP(EX$7,$B$147:$AW$217,$I10,0)))</f>
        <v>0</v>
      </c>
      <c r="EY10" s="175" t="str">
        <f t="shared" ref="EY10:EY50" ca="1" si="75">IF(EX10&lt;&gt;0,$B148,"")</f>
        <v/>
      </c>
      <c r="EZ10" s="169" t="str">
        <f ca="1">IF(EY10="Total général","",IF(EY10&lt;&gt;"","o",""))</f>
        <v/>
      </c>
      <c r="FA10" s="169" t="str">
        <f t="array" aca="1" ref="FA10" ca="1">IF(ROWS($9:9)&lt;=COUNTIF(Condition37,"o"),INDEX(Liste37,SMALL(IF(Condition37="o",ROW(INDIRECT("1:"&amp;ROWS(Liste37)))),ROWS($9:9))),"")</f>
        <v/>
      </c>
      <c r="FB10" s="175">
        <f t="shared" ref="FB10:FB44" ca="1" si="76">IF(ISNA(HLOOKUP(FB$7,$B$147:$AW$217,$I10,0)),IF(ISNA(HLOOKUP(FB$8,$B$147:$AW$217,$I10,0)),0,HLOOKUP(FB$8,$B$147:$AW$217,$I10,0)),IF(HLOOKUP(FB$7,$B$147:$AW$217,$I10,0)=0,IF(ISNA(HLOOKUP(FB$8,$B$147:$AW$217,$I10,0)),0,HLOOKUP(FB$8,$B$147:$AW$217,$I10,0)),HLOOKUP(FB$7,$B$147:$AW$217,$I10,0)))</f>
        <v>0</v>
      </c>
      <c r="FC10" s="175" t="str">
        <f t="shared" ref="FC10:FC50" ca="1" si="77">IF(FB10&lt;&gt;0,$B148,"")</f>
        <v/>
      </c>
      <c r="FD10" s="169" t="str">
        <f ca="1">IF(FC10="Total général","",IF(FC10&lt;&gt;"","o",""))</f>
        <v/>
      </c>
      <c r="FE10" s="169" t="str">
        <f t="array" aca="1" ref="FE10" ca="1">IF(ROWS($9:9)&lt;=COUNTIF(condition38,"o"),INDEX(liste38,SMALL(IF(condition38="o",ROW(INDIRECT("1:"&amp;ROWS(liste38)))),ROWS($9:9))),"")</f>
        <v/>
      </c>
      <c r="FF10" s="175">
        <f t="shared" ref="FF10:FF44" ca="1" si="78">IF(ISNA(HLOOKUP(FF$7,$B$147:$AW$217,$I10,0)),IF(ISNA(HLOOKUP(FF$8,$B$147:$AW$217,$I10,0)),0,HLOOKUP(FF$8,$B$147:$AW$217,$I10,0)),IF(HLOOKUP(FF$7,$B$147:$AW$217,$I10,0)=0,IF(ISNA(HLOOKUP(FF$8,$B$147:$AW$217,$I10,0)),0,HLOOKUP(FF$8,$B$147:$AW$217,$I10,0)),HLOOKUP(FF$7,$B$147:$AW$217,$I10,0)))</f>
        <v>0</v>
      </c>
      <c r="FG10" s="175" t="str">
        <f t="shared" ref="FG10:FG44" ca="1" si="79">IF(FF10&lt;&gt;0,$B148,"")</f>
        <v/>
      </c>
      <c r="FH10" s="169" t="str">
        <f ca="1">IF(FG10="Total général","",IF(FG10&lt;&gt;"","o",""))</f>
        <v/>
      </c>
      <c r="FI10" s="169" t="str">
        <f t="array" aca="1" ref="FI10" ca="1">IF(ROWS($9:9)&lt;=COUNTIF(Condition39,"o"),INDEX(Liste39,SMALL(IF(Condition39="o",ROW(INDIRECT("1:"&amp;ROWS(Liste39)))),ROWS($9:9))),"")</f>
        <v/>
      </c>
      <c r="FM10" s="1" t="s">
        <v>1179</v>
      </c>
      <c r="FN10" s="1" t="s">
        <v>1138</v>
      </c>
      <c r="FO10" s="180">
        <f>'Suivi objectifs'!D2</f>
        <v>0</v>
      </c>
      <c r="FP10" s="1366" t="str">
        <f>'Suivi objectifs'!C2</f>
        <v>Bâtiments et équipements communaux</v>
      </c>
      <c r="FQ10" s="181" t="str">
        <f ca="1">IF(ISNA(VLOOKUP(FR10,Actions!$G$2:$AP$70,31,0)),"",VLOOKUP(FR10,Actions!$G$2:$AP$70,36,0))</f>
        <v/>
      </c>
      <c r="FR10" s="182" t="str">
        <f>IF('Actions bâtiments communaux'!B4=0,"",'Actions bâtiments communaux'!B4)</f>
        <v/>
      </c>
      <c r="FS10" s="285">
        <f t="shared" ref="FS10:FS48" si="80">IF(ISNA(VLOOKUP(FR10,$B$148:$AW$196,HLOOKUP($FO10,$B$144:$AW$145,2,0),0)),0,VLOOKUP(FR10,$B$148:$AW$196,HLOOKUP($FO10,$B$144:$AW$145,2,0),0))+IF(ISNA(VLOOKUP(FR10,$B$148:$AW$196,HLOOKUP($FP10,$B$144:$AW$145,2,0),0)),0,VLOOKUP(FR10,$B$148:$AW$196,HLOOKUP($FP10,$B$144:$AW$145,2,0),0))</f>
        <v>0</v>
      </c>
      <c r="FT10" s="181" t="str">
        <f ca="1">IF(ISNA(VLOOKUP(FU10,Actions!$G$2:$AP$70,31,0)),"",VLOOKUP(FU10,Actions!$G$2:$AP$70,36,0))</f>
        <v/>
      </c>
      <c r="FU10" s="182" t="str">
        <f>IF('Actions bâtiments communaux'!B5=0,"",'Actions bâtiments communaux'!B5)</f>
        <v/>
      </c>
      <c r="FV10" s="285">
        <f t="shared" ref="FV10:FV48" si="81">IF(ISNA(VLOOKUP(FU10,$B$148:$AW$196,HLOOKUP($FO10,$B$144:$AW$145,2,0),0)),0,VLOOKUP(FU10,$B$148:$AW$196,HLOOKUP($FO10,$B$144:$AW$145,2,0),0))+IF(ISNA(VLOOKUP(FU10,$B$148:$AW$196,HLOOKUP($FP10,$B$144:$AW$145,2,0),0)),0,VLOOKUP(FU10,$B$148:$AW$196,HLOOKUP($FP10,$B$144:$AW$145,2,0),0))</f>
        <v>0</v>
      </c>
      <c r="FW10" s="181" t="str">
        <f ca="1">IF(ISNA(VLOOKUP(FX10,Actions!$G$2:$AP$70,31,0)),"",VLOOKUP(FX10,Actions!$G$2:$AP$70,36,0))</f>
        <v/>
      </c>
      <c r="FX10" s="182" t="str">
        <f>IF('Actions bâtiments communaux'!B6=0,"",'Actions bâtiments communaux'!B6)</f>
        <v/>
      </c>
      <c r="FY10" s="285">
        <f t="shared" ref="FY10:FY48" si="82">IF(ISNA(VLOOKUP(FX10,$B$148:$AW$196,HLOOKUP($FO10,$B$144:$AW$145,2,0),0)),0,VLOOKUP(FX10,$B$148:$AW$196,HLOOKUP($FO10,$B$144:$AW$145,2,0),0))+IF(ISNA(VLOOKUP(FX10,$B$148:$AW$196,HLOOKUP($FP10,$B$144:$AW$145,2,0),0)),0,VLOOKUP(FX10,$B$148:$AW$196,HLOOKUP($FP10,$B$144:$AW$145,2,0),0))</f>
        <v>0</v>
      </c>
      <c r="FZ10" s="181" t="str">
        <f ca="1">IF(ISNA(VLOOKUP(GA10,Actions!$G$2:$AP$70,31,0)),"",VLOOKUP(GA10,Actions!$G$2:$AP$70,36,0))</f>
        <v/>
      </c>
      <c r="GA10" s="183" t="str">
        <f>IF('Actions bâtiments communaux'!B7=0,"",'Actions bâtiments communaux'!B7)</f>
        <v/>
      </c>
      <c r="GB10" s="285">
        <f t="shared" ref="GB10:GB48" si="83">IF(ISNA(VLOOKUP(GA10,$B$148:$AW$196,HLOOKUP($FO10,$B$144:$AW$145,2,0),0)),0,VLOOKUP(GA10,$B$148:$AW$196,HLOOKUP($FO10,$B$144:$AW$145,2,0),0))+IF(ISNA(VLOOKUP(GA10,$B$148:$AW$196,HLOOKUP($FP10,$B$144:$AW$145,2,0),0)),0,VLOOKUP(GA10,$B$148:$AW$196,HLOOKUP($FP10,$B$144:$AW$145,2,0),0))</f>
        <v>0</v>
      </c>
      <c r="GC10" s="181" t="str">
        <f ca="1">IF(ISNA(VLOOKUP(GD10,Actions!$G$2:$AP$70,31,0)),"",VLOOKUP(GD10,Actions!$G$2:$AP$70,36,0))</f>
        <v/>
      </c>
      <c r="GD10" s="183" t="str">
        <f>IF('Actions bâtiments communaux'!B8=0,"",'Actions bâtiments communaux'!B8)</f>
        <v/>
      </c>
      <c r="GE10" s="285">
        <f t="shared" ref="GE10:GE48" si="84">IF(ISNA(VLOOKUP(GD10,$B$148:$AW$196,HLOOKUP($FO10,$B$144:$AW$145,2,0),0)),0,VLOOKUP(GD10,$B$148:$AW$196,HLOOKUP($FO10,$B$144:$AW$145,2,0),0))+IF(ISNA(VLOOKUP(GD10,$B$148:$AW$196,HLOOKUP($FP10,$B$144:$AW$145,2,0),0)),0,VLOOKUP(GD10,$B$148:$AW$196,HLOOKUP($FP10,$B$144:$AW$145,2,0),0))</f>
        <v>0</v>
      </c>
      <c r="GF10" s="184">
        <f>1</f>
        <v>1</v>
      </c>
      <c r="GG10" s="233"/>
    </row>
    <row r="11" spans="1:189" hidden="1">
      <c r="A11" s="1" t="s">
        <v>893</v>
      </c>
      <c r="B11" s="1">
        <f>Actions!F4</f>
        <v>3</v>
      </c>
      <c r="C11" s="1">
        <f ca="1">Actions!G4</f>
        <v>0</v>
      </c>
      <c r="D11" s="1">
        <f ca="1">Actions!H4</f>
        <v>0</v>
      </c>
      <c r="E11" s="1" t="str">
        <f ca="1">Actions!I4</f>
        <v>-</v>
      </c>
      <c r="F11" s="1" t="str">
        <f t="shared" ca="1" si="0"/>
        <v>-</v>
      </c>
      <c r="G11" s="1" t="e">
        <f t="shared" ca="1" si="1"/>
        <v>#REF!</v>
      </c>
      <c r="I11" s="1">
        <v>3</v>
      </c>
      <c r="J11" s="175">
        <f t="shared" ca="1" si="2"/>
        <v>0</v>
      </c>
      <c r="K11" s="175" t="str">
        <f t="shared" ca="1" si="3"/>
        <v/>
      </c>
      <c r="L11" s="169" t="str">
        <f ca="1">IF(K11="Total général","",IF(K11&lt;&gt;"","o",""))</f>
        <v/>
      </c>
      <c r="M11" s="169" t="str">
        <f t="array" aca="1" ref="M11" ca="1">IF(ROWS($9:10)&lt;=COUNTIF(Condition1,"o"),INDEX(Liste1,SMALL(IF(Condition1="o",ROW(INDIRECT("1:"&amp;ROWS(Liste1)))),ROWS($9:10))),"")</f>
        <v/>
      </c>
      <c r="N11" s="175">
        <f t="shared" ca="1" si="4"/>
        <v>0</v>
      </c>
      <c r="O11" s="175" t="str">
        <f t="shared" ca="1" si="5"/>
        <v/>
      </c>
      <c r="P11" s="169" t="str">
        <f ca="1">IF(O11="Total général","",IF(O11&lt;&gt;"","o",""))</f>
        <v/>
      </c>
      <c r="Q11" s="169" t="str">
        <f t="array" aca="1" ref="Q11" ca="1">IF(ROWS($9:10)&lt;=COUNTIF(Condition2,"o"),INDEX(Liste2,SMALL(IF(Condition2="o",ROW(INDIRECT("1:"&amp;ROWS(Liste2)))),ROWS($9:10))),"")</f>
        <v/>
      </c>
      <c r="R11" s="175">
        <f t="shared" ca="1" si="6"/>
        <v>0</v>
      </c>
      <c r="S11" s="175" t="str">
        <f t="shared" ca="1" si="7"/>
        <v/>
      </c>
      <c r="T11" s="169" t="str">
        <f ca="1">IF(S11="Total général","",IF(S11&lt;&gt;"","o",""))</f>
        <v/>
      </c>
      <c r="U11" s="169" t="str">
        <f t="array" aca="1" ref="U11" ca="1">IF(ROWS($9:10)&lt;=COUNTIF(Condition3,"o"),INDEX(Liste3,SMALL(IF(Condition3="o",ROW(INDIRECT("1:"&amp;ROWS(Liste3)))),ROWS($9:10))),"")</f>
        <v/>
      </c>
      <c r="V11" s="175">
        <f t="shared" ca="1" si="8"/>
        <v>0</v>
      </c>
      <c r="W11" s="175" t="str">
        <f t="shared" ca="1" si="9"/>
        <v/>
      </c>
      <c r="X11" s="169" t="str">
        <f ca="1">IF(W11="Total général","",IF(W11&lt;&gt;"","o",""))</f>
        <v/>
      </c>
      <c r="Y11" s="169" t="str">
        <f t="array" aca="1" ref="Y11" ca="1">IF(ROWS($9:10)&lt;=COUNTIF(Condition4,"o"),INDEX(Liste4,SMALL(IF(Condition4="o",ROW(INDIRECT("1:"&amp;ROWS(Liste4)))),ROWS($9:10))),"")</f>
        <v/>
      </c>
      <c r="Z11" s="175">
        <f t="shared" ca="1" si="10"/>
        <v>0</v>
      </c>
      <c r="AA11" s="175" t="str">
        <f t="shared" ca="1" si="11"/>
        <v/>
      </c>
      <c r="AB11" s="169" t="str">
        <f ca="1">IF(AA11="Total général","",IF(AA11&lt;&gt;"","o",""))</f>
        <v/>
      </c>
      <c r="AC11" s="169" t="str">
        <f t="array" aca="1" ref="AC11" ca="1">IF(ROWS($9:10)&lt;=COUNTIF(Condition5,"o"),INDEX(Liste5,SMALL(IF(Condition5="o",ROW(INDIRECT("1:"&amp;ROWS(Liste5)))),ROWS($9:10))),"")</f>
        <v/>
      </c>
      <c r="AD11" s="175">
        <f t="shared" ca="1" si="12"/>
        <v>0</v>
      </c>
      <c r="AE11" s="175" t="str">
        <f t="shared" ca="1" si="13"/>
        <v/>
      </c>
      <c r="AF11" s="169" t="str">
        <f ca="1">IF(AE11="Total général","",IF(AE11&lt;&gt;"","o",""))</f>
        <v/>
      </c>
      <c r="AG11" s="169" t="str">
        <f t="array" aca="1" ref="AG11" ca="1">IF(ROWS($9:10)&lt;=COUNTIF(Condition6,"o"),INDEX(Liste6,SMALL(IF(Condition6="o",ROW(INDIRECT("1:"&amp;ROWS(Liste6)))),ROWS($9:10))),"")</f>
        <v/>
      </c>
      <c r="AH11" s="175">
        <f t="shared" ca="1" si="14"/>
        <v>0</v>
      </c>
      <c r="AI11" s="175" t="str">
        <f t="shared" ca="1" si="15"/>
        <v/>
      </c>
      <c r="AJ11" s="169" t="str">
        <f ca="1">IF(AI11="Total général","",IF(AI11&lt;&gt;"","o",""))</f>
        <v/>
      </c>
      <c r="AK11" s="169" t="str">
        <f t="array" aca="1" ref="AK11" ca="1">IF(ROWS($9:10)&lt;=COUNTIF(Condition7,"o"),INDEX(Liste7,SMALL(IF(Condition7="o",ROW(INDIRECT("1:"&amp;ROWS(Liste7)))),ROWS($9:10))),"")</f>
        <v/>
      </c>
      <c r="AL11" s="175">
        <f t="shared" ca="1" si="16"/>
        <v>0</v>
      </c>
      <c r="AM11" s="175" t="str">
        <f t="shared" ca="1" si="17"/>
        <v/>
      </c>
      <c r="AN11" s="169" t="str">
        <f ca="1">IF(AM11="Total général","",IF(AM11&lt;&gt;"","o",""))</f>
        <v/>
      </c>
      <c r="AO11" s="169" t="str">
        <f t="array" aca="1" ref="AO11" ca="1">IF(ROWS($9:10)&lt;=COUNTIF(Condition8,"o"),INDEX(Liste8,SMALL(IF(Condition8="o",ROW(INDIRECT("1:"&amp;ROWS(Liste8)))),ROWS($9:10))),"")</f>
        <v/>
      </c>
      <c r="AP11" s="175">
        <f t="shared" ca="1" si="18"/>
        <v>0</v>
      </c>
      <c r="AQ11" s="175" t="str">
        <f t="shared" ca="1" si="19"/>
        <v/>
      </c>
      <c r="AR11" s="169" t="str">
        <f ca="1">IF(AQ11="Total général","",IF(AQ11&lt;&gt;"","o",""))</f>
        <v/>
      </c>
      <c r="AS11" s="169" t="str">
        <f t="array" aca="1" ref="AS11" ca="1">IF(ROWS($9:10)&lt;=COUNTIF(Condition9,"o"),INDEX(Liste9,SMALL(IF(Condition9="o",ROW(INDIRECT("1:"&amp;ROWS(Liste9)))),ROWS($9:10))),"")</f>
        <v/>
      </c>
      <c r="AT11" s="175">
        <f t="shared" ca="1" si="20"/>
        <v>0</v>
      </c>
      <c r="AU11" s="175" t="str">
        <f t="shared" ca="1" si="21"/>
        <v/>
      </c>
      <c r="AV11" s="169" t="str">
        <f ca="1">IF(AU11="Total général","",IF(AU11&lt;&gt;"","o",""))</f>
        <v/>
      </c>
      <c r="AW11" s="169" t="str">
        <f t="array" aca="1" ref="AW11" ca="1">IF(ROWS($9:10)&lt;=COUNTIF(Condition10,"o"),INDEX(Liste10,SMALL(IF(Condition10="o",ROW(INDIRECT("1:"&amp;ROWS(Liste10)))),ROWS($9:10))),"")</f>
        <v/>
      </c>
      <c r="AX11" s="175">
        <f t="shared" ca="1" si="22"/>
        <v>0</v>
      </c>
      <c r="AY11" s="175" t="str">
        <f t="shared" ca="1" si="23"/>
        <v/>
      </c>
      <c r="AZ11" s="169" t="str">
        <f ca="1">IF(AY11="Total général","",IF(AY11&lt;&gt;"","o",""))</f>
        <v/>
      </c>
      <c r="BA11" s="169" t="str">
        <f t="array" aca="1" ref="BA11" ca="1">IF(ROWS($9:10)&lt;=COUNTIF(Condition11,"o"),INDEX(Liste11,SMALL(IF(Condition11="o",ROW(INDIRECT("1:"&amp;ROWS(Liste11)))),ROWS($9:10))),"")</f>
        <v/>
      </c>
      <c r="BB11" s="175">
        <f t="shared" ca="1" si="24"/>
        <v>0</v>
      </c>
      <c r="BC11" s="175" t="str">
        <f t="shared" ca="1" si="25"/>
        <v/>
      </c>
      <c r="BD11" s="169" t="str">
        <f ca="1">IF(BC11="Total général","",IF(BC11&lt;&gt;"","o",""))</f>
        <v/>
      </c>
      <c r="BE11" s="169" t="str">
        <f t="array" aca="1" ref="BE11" ca="1">IF(ROWS($9:10)&lt;=COUNTIF(Condition12,"o"),INDEX(Liste12,SMALL(IF(Condition12="o",ROW(INDIRECT("1:"&amp;ROWS(Liste12)))),ROWS($9:10))),"")</f>
        <v/>
      </c>
      <c r="BF11" s="175">
        <f t="shared" ca="1" si="26"/>
        <v>0</v>
      </c>
      <c r="BG11" s="175" t="str">
        <f t="shared" ca="1" si="27"/>
        <v/>
      </c>
      <c r="BH11" s="169" t="str">
        <f ca="1">IF(BG11="Total général","",IF(BG11&lt;&gt;"","o",""))</f>
        <v/>
      </c>
      <c r="BI11" s="169" t="str">
        <f t="array" aca="1" ref="BI11" ca="1">IF(ROWS($9:10)&lt;=COUNTIF(Condition13,"o"),INDEX(Liste13,SMALL(IF(Condition13="o",ROW(INDIRECT("1:"&amp;ROWS(Liste13)))),ROWS($9:10))),"")</f>
        <v/>
      </c>
      <c r="BJ11" s="175">
        <f t="shared" ca="1" si="28"/>
        <v>0</v>
      </c>
      <c r="BK11" s="175" t="str">
        <f t="shared" ca="1" si="29"/>
        <v/>
      </c>
      <c r="BL11" s="169" t="str">
        <f ca="1">IF(BK11="Total général","",IF(BK11&lt;&gt;"","o",""))</f>
        <v/>
      </c>
      <c r="BM11" s="169" t="str">
        <f t="array" aca="1" ref="BM11" ca="1">IF(ROWS($9:10)&lt;=COUNTIF(Condition14,"o"),INDEX(Liste14,SMALL(IF(Condition14="o",ROW(INDIRECT("1:"&amp;ROWS(Liste14)))),ROWS($9:10))),"")</f>
        <v/>
      </c>
      <c r="BN11" s="175">
        <f t="shared" ca="1" si="30"/>
        <v>0</v>
      </c>
      <c r="BO11" s="175" t="str">
        <f t="shared" ca="1" si="31"/>
        <v/>
      </c>
      <c r="BP11" s="169" t="str">
        <f ca="1">IF(BO11="Total général","",IF(BO11&lt;&gt;"","o",""))</f>
        <v/>
      </c>
      <c r="BQ11" s="169" t="str">
        <f t="array" aca="1" ref="BQ11" ca="1">IF(ROWS($9:10)&lt;=COUNTIF(Condition15,"o"),INDEX(Liste15,SMALL(IF(Condition15="o",ROW(INDIRECT("1:"&amp;ROWS(Liste15)))),ROWS($9:10))),"")</f>
        <v/>
      </c>
      <c r="BR11" s="175">
        <f t="shared" ca="1" si="32"/>
        <v>0</v>
      </c>
      <c r="BS11" s="175" t="str">
        <f t="shared" ca="1" si="33"/>
        <v/>
      </c>
      <c r="BT11" s="169" t="str">
        <f ca="1">IF(BS11="Total général","",IF(BS11&lt;&gt;"","o",""))</f>
        <v/>
      </c>
      <c r="BU11" s="169" t="str">
        <f t="array" aca="1" ref="BU11" ca="1">IF(ROWS($9:10)&lt;=COUNTIF(Condition16,"o"),INDEX(Liste16,SMALL(IF(Condition16="o",ROW(INDIRECT("1:"&amp;ROWS(Liste16)))),ROWS($9:10))),"")</f>
        <v/>
      </c>
      <c r="BV11" s="175">
        <f t="shared" ca="1" si="34"/>
        <v>0</v>
      </c>
      <c r="BW11" s="175" t="str">
        <f t="shared" ca="1" si="35"/>
        <v/>
      </c>
      <c r="BX11" s="169" t="str">
        <f ca="1">IF(BW11="Total général","",IF(BW11&lt;&gt;"","o",""))</f>
        <v/>
      </c>
      <c r="BY11" s="169" t="str">
        <f t="array" aca="1" ref="BY11" ca="1">IF(ROWS($9:10)&lt;=COUNTIF(Condition17,"o"),INDEX(Liste17,SMALL(IF(Condition17="o",ROW(INDIRECT("1:"&amp;ROWS(Liste17)))),ROWS($9:10))),"")</f>
        <v/>
      </c>
      <c r="BZ11" s="175">
        <f t="shared" ca="1" si="36"/>
        <v>0</v>
      </c>
      <c r="CA11" s="175" t="str">
        <f t="shared" ca="1" si="37"/>
        <v/>
      </c>
      <c r="CB11" s="169" t="str">
        <f ca="1">IF(CA11="Total général","",IF(CA11&lt;&gt;"","o",""))</f>
        <v/>
      </c>
      <c r="CC11" s="169" t="str">
        <f t="array" aca="1" ref="CC11" ca="1">IF(ROWS($9:10)&lt;=COUNTIF(Condition18,"o"),INDEX(Liste18,SMALL(IF(Condition18="o",ROW(INDIRECT("1:"&amp;ROWS(Liste18)))),ROWS($9:10))),"")</f>
        <v/>
      </c>
      <c r="CD11" s="175">
        <f t="shared" ca="1" si="38"/>
        <v>0</v>
      </c>
      <c r="CE11" s="175" t="str">
        <f t="shared" ca="1" si="39"/>
        <v/>
      </c>
      <c r="CF11" s="169" t="str">
        <f ca="1">IF(CE11="Total général","",IF(CE11&lt;&gt;"","o",""))</f>
        <v/>
      </c>
      <c r="CG11" s="169" t="str">
        <f t="array" aca="1" ref="CG11" ca="1">IF(ROWS($9:10)&lt;=COUNTIF(Condition19,"o"),INDEX(Liste19,SMALL(IF(Condition19="o",ROW(INDIRECT("1:"&amp;ROWS(Liste19)))),ROWS($9:10))),"")</f>
        <v/>
      </c>
      <c r="CH11" s="175">
        <f t="shared" ca="1" si="40"/>
        <v>0</v>
      </c>
      <c r="CI11" s="175" t="str">
        <f t="shared" ca="1" si="41"/>
        <v/>
      </c>
      <c r="CJ11" s="169" t="str">
        <f ca="1">IF(CI11="Total général","",IF(CI11&lt;&gt;"","o",""))</f>
        <v/>
      </c>
      <c r="CK11" s="169" t="str">
        <f t="array" aca="1" ref="CK11" ca="1">IF(ROWS($9:10)&lt;=COUNTIF(Condition20,"o"),INDEX(Liste20,SMALL(IF(Condition20="o",ROW(INDIRECT("1:"&amp;ROWS(Liste20)))),ROWS($9:10))),"")</f>
        <v/>
      </c>
      <c r="CL11" s="175">
        <f t="shared" ca="1" si="42"/>
        <v>0</v>
      </c>
      <c r="CM11" s="175" t="str">
        <f t="shared" ca="1" si="43"/>
        <v/>
      </c>
      <c r="CN11" s="169" t="str">
        <f ca="1">IF(CM11="Total général","",IF(CM11&lt;&gt;"","o",""))</f>
        <v/>
      </c>
      <c r="CO11" s="169" t="str">
        <f t="array" aca="1" ref="CO11" ca="1">IF(ROWS($9:10)&lt;=COUNTIF(Condition21,"o"),INDEX(Liste21,SMALL(IF(Condition21="o",ROW(INDIRECT("1:"&amp;ROWS(Liste21)))),ROWS($9:10))),"")</f>
        <v/>
      </c>
      <c r="CP11" s="175">
        <f t="shared" ca="1" si="44"/>
        <v>0</v>
      </c>
      <c r="CQ11" s="175" t="str">
        <f t="shared" ca="1" si="45"/>
        <v/>
      </c>
      <c r="CR11" s="169" t="str">
        <f ca="1">IF(CQ11="Total général","",IF(CQ11&lt;&gt;"","o",""))</f>
        <v/>
      </c>
      <c r="CS11" s="169" t="str">
        <f t="array" aca="1" ref="CS11" ca="1">IF(ROWS($9:10)&lt;=COUNTIF(Condition22,"o"),INDEX(Liste22,SMALL(IF(Condition22="o",ROW(INDIRECT("1:"&amp;ROWS(Liste22)))),ROWS($9:10))),"")</f>
        <v/>
      </c>
      <c r="CT11" s="175">
        <f t="shared" ca="1" si="46"/>
        <v>0</v>
      </c>
      <c r="CU11" s="175" t="str">
        <f t="shared" ca="1" si="47"/>
        <v/>
      </c>
      <c r="CV11" s="169" t="str">
        <f ca="1">IF(CU11="Total général","",IF(CU11&lt;&gt;"","o",""))</f>
        <v/>
      </c>
      <c r="CW11" s="169" t="str">
        <f t="array" aca="1" ref="CW11" ca="1">IF(ROWS($9:10)&lt;=COUNTIF(Condition23,"o"),INDEX(Liste23,SMALL(IF(Condition23="o",ROW(INDIRECT("1:"&amp;ROWS(Liste23)))),ROWS($9:10))),"")</f>
        <v/>
      </c>
      <c r="CX11" s="175">
        <f t="shared" ca="1" si="48"/>
        <v>0</v>
      </c>
      <c r="CY11" s="175" t="str">
        <f t="shared" ca="1" si="49"/>
        <v/>
      </c>
      <c r="CZ11" s="169" t="str">
        <f ca="1">IF(CY11="Total général","",IF(CY11&lt;&gt;"","o",""))</f>
        <v/>
      </c>
      <c r="DA11" s="169" t="str">
        <f t="array" aca="1" ref="DA11" ca="1">IF(ROWS($9:10)&lt;=COUNTIF(Condition24,"o"),INDEX(Liste24,SMALL(IF(Condition24="o",ROW(INDIRECT("1:"&amp;ROWS(Liste24)))),ROWS($9:10))),"")</f>
        <v/>
      </c>
      <c r="DB11" s="175">
        <f t="shared" ca="1" si="50"/>
        <v>0</v>
      </c>
      <c r="DC11" s="175" t="str">
        <f t="shared" ca="1" si="51"/>
        <v/>
      </c>
      <c r="DD11" s="169" t="str">
        <f ca="1">IF(DC11="Total général","",IF(DC11&lt;&gt;"","o",""))</f>
        <v/>
      </c>
      <c r="DE11" s="169" t="str">
        <f t="array" aca="1" ref="DE11" ca="1">IF(ROWS($9:10)&lt;=COUNTIF(Condition25,"o"),INDEX(Liste25,SMALL(IF(Condition25="o",ROW(INDIRECT("1:"&amp;ROWS(Liste25)))),ROWS($9:10))),"")</f>
        <v/>
      </c>
      <c r="DF11" s="175">
        <f t="shared" ca="1" si="52"/>
        <v>0</v>
      </c>
      <c r="DG11" s="175" t="str">
        <f t="shared" ca="1" si="53"/>
        <v/>
      </c>
      <c r="DH11" s="169" t="str">
        <f ca="1">IF(DG11="Total général","",IF(DG11&lt;&gt;"","o",""))</f>
        <v/>
      </c>
      <c r="DI11" s="169" t="str">
        <f t="array" aca="1" ref="DI11" ca="1">IF(ROWS($9:10)&lt;=COUNTIF(Condition26,"o"),INDEX(Liste26,SMALL(IF(Condition26="o",ROW(INDIRECT("1:"&amp;ROWS(Liste26)))),ROWS($9:10))),"")</f>
        <v/>
      </c>
      <c r="DJ11" s="175">
        <f t="shared" ca="1" si="54"/>
        <v>0</v>
      </c>
      <c r="DK11" s="175" t="str">
        <f t="shared" ca="1" si="55"/>
        <v/>
      </c>
      <c r="DL11" s="169" t="str">
        <f ca="1">IF(DK11="Total général","",IF(DK11&lt;&gt;"","o",""))</f>
        <v/>
      </c>
      <c r="DM11" s="169" t="str">
        <f t="array" aca="1" ref="DM11" ca="1">IF(ROWS($9:10)&lt;=COUNTIF(Condition27,"o"),INDEX(Liste27,SMALL(IF(Condition27="o",ROW(INDIRECT("1:"&amp;ROWS(Liste27)))),ROWS($9:10))),"")</f>
        <v/>
      </c>
      <c r="DN11" s="175">
        <f t="shared" ca="1" si="56"/>
        <v>0</v>
      </c>
      <c r="DO11" s="175" t="str">
        <f t="shared" ca="1" si="57"/>
        <v/>
      </c>
      <c r="DP11" s="169" t="str">
        <f ca="1">IF(DO11="Total général","",IF(DO11&lt;&gt;"","o",""))</f>
        <v/>
      </c>
      <c r="DQ11" s="169" t="str">
        <f t="array" aca="1" ref="DQ11" ca="1">IF(ROWS($9:10)&lt;=COUNTIF(Condition28,"o"),INDEX(Liste28,SMALL(IF(Condition28="o",ROW(INDIRECT("1:"&amp;ROWS(Liste28)))),ROWS($9:10))),"")</f>
        <v/>
      </c>
      <c r="DR11" s="175">
        <f t="shared" ca="1" si="58"/>
        <v>0</v>
      </c>
      <c r="DS11" s="175" t="str">
        <f t="shared" ca="1" si="59"/>
        <v/>
      </c>
      <c r="DT11" s="169" t="str">
        <f ca="1">IF(DS11="Total général","",IF(DS11&lt;&gt;"","o",""))</f>
        <v/>
      </c>
      <c r="DU11" s="169" t="str">
        <f t="array" aca="1" ref="DU11" ca="1">IF(ROWS($9:10)&lt;=COUNTIF(Condition29,"o"),INDEX(Liste29,SMALL(IF(Condition29="o",ROW(INDIRECT("1:"&amp;ROWS(Liste29)))),ROWS($9:10))),"")</f>
        <v/>
      </c>
      <c r="DV11" s="175">
        <f t="shared" ca="1" si="60"/>
        <v>0</v>
      </c>
      <c r="DW11" s="175" t="str">
        <f t="shared" ca="1" si="61"/>
        <v/>
      </c>
      <c r="DX11" s="169" t="str">
        <f ca="1">IF(DW11="Total général","",IF(DW11&lt;&gt;"","o",""))</f>
        <v/>
      </c>
      <c r="DY11" s="169" t="str">
        <f t="array" aca="1" ref="DY11" ca="1">IF(ROWS($9:10)&lt;=COUNTIF(Condition30,"o"),INDEX(Liste30,SMALL(IF(Condition30="o",ROW(INDIRECT("1:"&amp;ROWS(Liste30)))),ROWS($9:10))),"")</f>
        <v/>
      </c>
      <c r="DZ11" s="175">
        <f t="shared" ca="1" si="62"/>
        <v>0</v>
      </c>
      <c r="EA11" s="175" t="str">
        <f t="shared" ca="1" si="63"/>
        <v/>
      </c>
      <c r="EB11" s="169" t="str">
        <f ca="1">IF(EA11="Total général","",IF(EA11&lt;&gt;"","o",""))</f>
        <v/>
      </c>
      <c r="EC11" s="169" t="str">
        <f t="array" aca="1" ref="EC11" ca="1">IF(ROWS($9:10)&lt;=COUNTIF(Condition31,"o"),INDEX(Liste31,SMALL(IF(Condition31="o",ROW(INDIRECT("1:"&amp;ROWS(Liste31)))),ROWS($9:10))),"")</f>
        <v/>
      </c>
      <c r="ED11" s="175">
        <f t="shared" ca="1" si="64"/>
        <v>0</v>
      </c>
      <c r="EE11" s="175" t="str">
        <f t="shared" ca="1" si="65"/>
        <v/>
      </c>
      <c r="EF11" s="169" t="str">
        <f ca="1">IF(EE11="Total général","",IF(EE11&lt;&gt;"","o",""))</f>
        <v/>
      </c>
      <c r="EG11" s="169" t="str">
        <f t="array" aca="1" ref="EG11" ca="1">IF(ROWS($9:10)&lt;=COUNTIF(Condition32,"o"),INDEX(Liste32,SMALL(IF(Condition32="o",ROW(INDIRECT("1:"&amp;ROWS(Liste32)))),ROWS($9:10))),"")</f>
        <v/>
      </c>
      <c r="EH11" s="175">
        <f t="shared" ca="1" si="66"/>
        <v>0</v>
      </c>
      <c r="EI11" s="175" t="str">
        <f t="shared" ca="1" si="67"/>
        <v/>
      </c>
      <c r="EJ11" s="169" t="str">
        <f ca="1">IF(EI11="Total général","",IF(EI11&lt;&gt;"","o",""))</f>
        <v/>
      </c>
      <c r="EK11" s="169" t="str">
        <f t="array" aca="1" ref="EK11" ca="1">IF(ROWS($9:10)&lt;=COUNTIF(Condition33,"o"),INDEX(Liste33,SMALL(IF(Condition33="o",ROW(INDIRECT("1:"&amp;ROWS(Liste33)))),ROWS($9:10))),"")</f>
        <v/>
      </c>
      <c r="EL11" s="175">
        <f t="shared" ca="1" si="68"/>
        <v>0</v>
      </c>
      <c r="EM11" s="175" t="str">
        <f t="shared" ca="1" si="69"/>
        <v/>
      </c>
      <c r="EN11" s="169" t="str">
        <f ca="1">IF(EM11="Total général","",IF(EM11&lt;&gt;"","o",""))</f>
        <v/>
      </c>
      <c r="EO11" s="169" t="str">
        <f t="array" aca="1" ref="EO11" ca="1">IF(ROWS($9:10)&lt;=COUNTIF(Condition34,"o"),INDEX(Liste34,SMALL(IF(Condition34="o",ROW(INDIRECT("1:"&amp;ROWS(Liste34)))),ROWS($9:10))),"")</f>
        <v/>
      </c>
      <c r="EP11" s="175">
        <f t="shared" ca="1" si="70"/>
        <v>0</v>
      </c>
      <c r="EQ11" s="175" t="str">
        <f t="shared" ca="1" si="71"/>
        <v/>
      </c>
      <c r="ER11" s="169" t="str">
        <f ca="1">IF(EQ11="Total général","",IF(EQ11&lt;&gt;"","o",""))</f>
        <v/>
      </c>
      <c r="ES11" s="169" t="str">
        <f t="array" aca="1" ref="ES11" ca="1">IF(ROWS($9:10)&lt;=COUNTIF(Condition35,"o"),INDEX(Liste35,SMALL(IF(Condition35="o",ROW(INDIRECT("1:"&amp;ROWS(Liste35)))),ROWS($9:10))),"")</f>
        <v/>
      </c>
      <c r="ET11" s="175">
        <f t="shared" ca="1" si="72"/>
        <v>0</v>
      </c>
      <c r="EU11" s="175" t="str">
        <f t="shared" ca="1" si="73"/>
        <v/>
      </c>
      <c r="EV11" s="169" t="str">
        <f ca="1">IF(EU11="Total général","",IF(EU11&lt;&gt;"","o",""))</f>
        <v/>
      </c>
      <c r="EW11" s="169" t="str">
        <f t="array" aca="1" ref="EW11" ca="1">IF(ROWS($9:10)&lt;=COUNTIF(Condition36,"o"),INDEX(Liste36,SMALL(IF(Condition36="o",ROW(INDIRECT("1:"&amp;ROWS(Liste36)))),ROWS($9:10))),"")</f>
        <v/>
      </c>
      <c r="EX11" s="175">
        <f t="shared" ca="1" si="74"/>
        <v>0</v>
      </c>
      <c r="EY11" s="175" t="str">
        <f t="shared" ca="1" si="75"/>
        <v/>
      </c>
      <c r="EZ11" s="169" t="str">
        <f t="shared" ref="EZ11:EZ72" ca="1" si="85">IF(EY11="Total général","",IF(EY11&lt;&gt;"","o",""))</f>
        <v/>
      </c>
      <c r="FA11" s="169" t="str">
        <f t="array" aca="1" ref="FA11" ca="1">IF(ROWS($9:10)&lt;=COUNTIF(Condition37,"o"),INDEX(Liste37,SMALL(IF(Condition37="o",ROW(INDIRECT("1:"&amp;ROWS(Liste37)))),ROWS($9:10))),"")</f>
        <v/>
      </c>
      <c r="FB11" s="175">
        <f t="shared" ca="1" si="76"/>
        <v>0</v>
      </c>
      <c r="FC11" s="175" t="str">
        <f t="shared" ca="1" si="77"/>
        <v/>
      </c>
      <c r="FD11" s="169" t="str">
        <f t="shared" ref="FD11:FD72" ca="1" si="86">IF(FC11="Total général","",IF(FC11&lt;&gt;"","o",""))</f>
        <v/>
      </c>
      <c r="FE11" s="169" t="str">
        <f t="array" aca="1" ref="FE11" ca="1">IF(ROWS($9:10)&lt;=COUNTIF(condition38,"o"),INDEX(liste38,SMALL(IF(condition38="o",ROW(INDIRECT("1:"&amp;ROWS(liste38)))),ROWS($9:10))),"")</f>
        <v/>
      </c>
      <c r="FF11" s="175">
        <f t="shared" ca="1" si="78"/>
        <v>0</v>
      </c>
      <c r="FG11" s="175" t="str">
        <f t="shared" ca="1" si="79"/>
        <v/>
      </c>
      <c r="FH11" s="169" t="str">
        <f t="shared" ref="FH11:FH72" ca="1" si="87">IF(FG11="Total général","",IF(FG11&lt;&gt;"","o",""))</f>
        <v/>
      </c>
      <c r="FI11" s="169" t="str">
        <f t="array" aca="1" ref="FI11" ca="1">IF(ROWS($9:10)&lt;=COUNTIF(Condition39,"o"),INDEX(Liste39,SMALL(IF(Condition39="o",ROW(INDIRECT("1:"&amp;ROWS(Liste39)))),ROWS($9:10))),"")</f>
        <v/>
      </c>
      <c r="FM11" s="1" t="s">
        <v>1180</v>
      </c>
      <c r="FN11" s="1" t="s">
        <v>1139</v>
      </c>
      <c r="FO11" s="180">
        <f>'Suivi objectifs'!D3</f>
        <v>0</v>
      </c>
      <c r="FP11" s="1366" t="str">
        <f>'Suivi objectifs'!C3</f>
        <v>Bâtiments et équipements communaux</v>
      </c>
      <c r="FQ11" s="181" t="str">
        <f ca="1">IF(ISNA(VLOOKUP(FR11,Actions!$G$2:$AP$70,31,0)),"",VLOOKUP(FR11,Actions!$G$2:$AP$70,36,0))</f>
        <v/>
      </c>
      <c r="FR11" s="185" t="str">
        <f t="shared" ref="FR11:FR46" ca="1" si="88">INDIRECT($FN11&amp;FQ$1)</f>
        <v/>
      </c>
      <c r="FS11" s="286">
        <f t="shared" ca="1" si="80"/>
        <v>0</v>
      </c>
      <c r="FT11" s="181" t="str">
        <f ca="1">IF(ISNA(VLOOKUP(FU11,Actions!$G$2:$AP$70,31,0)),"",VLOOKUP(FU11,Actions!$G$2:$AP$70,36,0))</f>
        <v/>
      </c>
      <c r="FU11" s="185" t="str">
        <f t="shared" ref="FU11:FU44" ca="1" si="89">INDIRECT($FN11&amp;FT$1)</f>
        <v/>
      </c>
      <c r="FV11" s="286">
        <f t="shared" ca="1" si="81"/>
        <v>0</v>
      </c>
      <c r="FW11" s="181" t="str">
        <f ca="1">IF(ISNA(VLOOKUP(FX11,Actions!$G$2:$AP$70,31,0)),"",VLOOKUP(FX11,Actions!$G$2:$AP$70,36,0))</f>
        <v/>
      </c>
      <c r="FX11" s="185" t="str">
        <f t="shared" ref="FX11:FX44" ca="1" si="90">INDIRECT($FN11&amp;FW$1)</f>
        <v/>
      </c>
      <c r="FY11" s="286">
        <f t="shared" ca="1" si="82"/>
        <v>0</v>
      </c>
      <c r="FZ11" s="181" t="str">
        <f ca="1">IF(ISNA(VLOOKUP(GA11,Actions!$G$2:$AP$70,31,0)),"",VLOOKUP(GA11,Actions!$G$2:$AP$70,36,0))</f>
        <v/>
      </c>
      <c r="GA11" s="185" t="str">
        <f t="shared" ref="GA11:GA44" ca="1" si="91">INDIRECT($FN11&amp;FZ$1)</f>
        <v/>
      </c>
      <c r="GB11" s="286">
        <f t="shared" ca="1" si="83"/>
        <v>0</v>
      </c>
      <c r="GC11" s="181" t="str">
        <f ca="1">IF(ISNA(VLOOKUP(GD11,Actions!$G$2:$AP$70,31,0)),"",VLOOKUP(GD11,Actions!$G$2:$AP$70,36,0))</f>
        <v/>
      </c>
      <c r="GD11" s="185" t="str">
        <f t="shared" ref="GD11:GD44" ca="1" si="92">INDIRECT($FN11&amp;GC$1)</f>
        <v/>
      </c>
      <c r="GE11" s="286">
        <f t="shared" ca="1" si="84"/>
        <v>0</v>
      </c>
      <c r="GF11" s="186">
        <f ca="1">SUM(FS11,FV11,FY11,GB11,GE11,)</f>
        <v>0</v>
      </c>
      <c r="GG11" s="233"/>
    </row>
    <row r="12" spans="1:189" hidden="1">
      <c r="A12" s="1" t="s">
        <v>930</v>
      </c>
      <c r="B12" s="1">
        <f>Actions!F5</f>
        <v>4</v>
      </c>
      <c r="C12" s="1">
        <f ca="1">Actions!G5</f>
        <v>0</v>
      </c>
      <c r="D12" s="1">
        <f ca="1">Actions!H5</f>
        <v>0</v>
      </c>
      <c r="E12" s="1" t="str">
        <f ca="1">Actions!I5</f>
        <v>-</v>
      </c>
      <c r="F12" s="1" t="str">
        <f t="shared" ca="1" si="0"/>
        <v>-</v>
      </c>
      <c r="G12" s="1" t="e">
        <f t="shared" ca="1" si="1"/>
        <v>#REF!</v>
      </c>
      <c r="I12" s="1">
        <v>4</v>
      </c>
      <c r="J12" s="175">
        <f t="shared" ca="1" si="2"/>
        <v>0</v>
      </c>
      <c r="K12" s="175" t="str">
        <f t="shared" ca="1" si="3"/>
        <v/>
      </c>
      <c r="L12" s="169" t="str">
        <f ca="1">IF(K12="Total général","",IF(K12&lt;&gt;"","o",""))</f>
        <v/>
      </c>
      <c r="M12" s="169" t="str">
        <f t="array" aca="1" ref="M12" ca="1">IF(ROWS($9:11)&lt;=COUNTIF(Condition1,"o"),INDEX(Liste1,SMALL(IF(Condition1="o",ROW(INDIRECT("1:"&amp;ROWS(Liste1)))),ROWS($9:11))),"")</f>
        <v/>
      </c>
      <c r="N12" s="175">
        <f t="shared" ca="1" si="4"/>
        <v>0</v>
      </c>
      <c r="O12" s="175" t="str">
        <f t="shared" ca="1" si="5"/>
        <v/>
      </c>
      <c r="P12" s="169" t="str">
        <f ca="1">IF(O12="Total général","",IF(O12&lt;&gt;"","o",""))</f>
        <v/>
      </c>
      <c r="Q12" s="169" t="str">
        <f t="array" aca="1" ref="Q12" ca="1">IF(ROWS($9:11)&lt;=COUNTIF(Condition2,"o"),INDEX(Liste2,SMALL(IF(Condition2="o",ROW(INDIRECT("1:"&amp;ROWS(Liste2)))),ROWS($9:11))),"")</f>
        <v/>
      </c>
      <c r="R12" s="175">
        <f t="shared" ca="1" si="6"/>
        <v>0</v>
      </c>
      <c r="S12" s="175" t="str">
        <f t="shared" ca="1" si="7"/>
        <v/>
      </c>
      <c r="T12" s="169" t="str">
        <f ca="1">IF(S12="Total général","",IF(S12&lt;&gt;"","o",""))</f>
        <v/>
      </c>
      <c r="U12" s="169" t="str">
        <f t="array" aca="1" ref="U12" ca="1">IF(ROWS($9:11)&lt;=COUNTIF(Condition3,"o"),INDEX(Liste3,SMALL(IF(Condition3="o",ROW(INDIRECT("1:"&amp;ROWS(Liste3)))),ROWS($9:11))),"")</f>
        <v/>
      </c>
      <c r="V12" s="175">
        <f t="shared" ca="1" si="8"/>
        <v>0</v>
      </c>
      <c r="W12" s="175" t="str">
        <f t="shared" ca="1" si="9"/>
        <v/>
      </c>
      <c r="X12" s="169" t="str">
        <f ca="1">IF(W12="Total général","",IF(W12&lt;&gt;"","o",""))</f>
        <v/>
      </c>
      <c r="Y12" s="169" t="str">
        <f t="array" aca="1" ref="Y12" ca="1">IF(ROWS($9:11)&lt;=COUNTIF(Condition4,"o"),INDEX(Liste4,SMALL(IF(Condition4="o",ROW(INDIRECT("1:"&amp;ROWS(Liste4)))),ROWS($9:11))),"")</f>
        <v/>
      </c>
      <c r="Z12" s="175">
        <f t="shared" ca="1" si="10"/>
        <v>0</v>
      </c>
      <c r="AA12" s="175" t="str">
        <f t="shared" ca="1" si="11"/>
        <v/>
      </c>
      <c r="AB12" s="169" t="str">
        <f ca="1">IF(AA12="Total général","",IF(AA12&lt;&gt;"","o",""))</f>
        <v/>
      </c>
      <c r="AC12" s="169" t="str">
        <f t="array" aca="1" ref="AC12" ca="1">IF(ROWS($9:11)&lt;=COUNTIF(Condition5,"o"),INDEX(Liste5,SMALL(IF(Condition5="o",ROW(INDIRECT("1:"&amp;ROWS(Liste5)))),ROWS($9:11))),"")</f>
        <v/>
      </c>
      <c r="AD12" s="175">
        <f t="shared" ca="1" si="12"/>
        <v>0</v>
      </c>
      <c r="AE12" s="175" t="str">
        <f t="shared" ca="1" si="13"/>
        <v/>
      </c>
      <c r="AF12" s="169" t="str">
        <f ca="1">IF(AE12="Total général","",IF(AE12&lt;&gt;"","o",""))</f>
        <v/>
      </c>
      <c r="AG12" s="169" t="str">
        <f t="array" aca="1" ref="AG12" ca="1">IF(ROWS($9:11)&lt;=COUNTIF(Condition6,"o"),INDEX(Liste6,SMALL(IF(Condition6="o",ROW(INDIRECT("1:"&amp;ROWS(Liste6)))),ROWS($9:11))),"")</f>
        <v/>
      </c>
      <c r="AH12" s="175">
        <f t="shared" ca="1" si="14"/>
        <v>0</v>
      </c>
      <c r="AI12" s="175" t="str">
        <f t="shared" ca="1" si="15"/>
        <v/>
      </c>
      <c r="AJ12" s="169" t="str">
        <f ca="1">IF(AI12="Total général","",IF(AI12&lt;&gt;"","o",""))</f>
        <v/>
      </c>
      <c r="AK12" s="169" t="str">
        <f t="array" aca="1" ref="AK12" ca="1">IF(ROWS($9:11)&lt;=COUNTIF(Condition7,"o"),INDEX(Liste7,SMALL(IF(Condition7="o",ROW(INDIRECT("1:"&amp;ROWS(Liste7)))),ROWS($9:11))),"")</f>
        <v/>
      </c>
      <c r="AL12" s="175">
        <f t="shared" ca="1" si="16"/>
        <v>0</v>
      </c>
      <c r="AM12" s="175" t="str">
        <f t="shared" ca="1" si="17"/>
        <v/>
      </c>
      <c r="AN12" s="169" t="str">
        <f ca="1">IF(AM12="Total général","",IF(AM12&lt;&gt;"","o",""))</f>
        <v/>
      </c>
      <c r="AO12" s="169" t="str">
        <f t="array" aca="1" ref="AO12" ca="1">IF(ROWS($9:11)&lt;=COUNTIF(Condition8,"o"),INDEX(Liste8,SMALL(IF(Condition8="o",ROW(INDIRECT("1:"&amp;ROWS(Liste8)))),ROWS($9:11))),"")</f>
        <v/>
      </c>
      <c r="AP12" s="175">
        <f t="shared" ca="1" si="18"/>
        <v>0</v>
      </c>
      <c r="AQ12" s="175" t="str">
        <f t="shared" ca="1" si="19"/>
        <v/>
      </c>
      <c r="AR12" s="169" t="str">
        <f ca="1">IF(AQ12="Total général","",IF(AQ12&lt;&gt;"","o",""))</f>
        <v/>
      </c>
      <c r="AS12" s="169" t="str">
        <f t="array" aca="1" ref="AS12" ca="1">IF(ROWS($9:11)&lt;=COUNTIF(Condition9,"o"),INDEX(Liste9,SMALL(IF(Condition9="o",ROW(INDIRECT("1:"&amp;ROWS(Liste9)))),ROWS($9:11))),"")</f>
        <v/>
      </c>
      <c r="AT12" s="175">
        <f t="shared" ca="1" si="20"/>
        <v>0</v>
      </c>
      <c r="AU12" s="175" t="str">
        <f t="shared" ca="1" si="21"/>
        <v/>
      </c>
      <c r="AV12" s="169" t="str">
        <f ca="1">IF(AU12="Total général","",IF(AU12&lt;&gt;"","o",""))</f>
        <v/>
      </c>
      <c r="AW12" s="169" t="str">
        <f t="array" aca="1" ref="AW12" ca="1">IF(ROWS($9:11)&lt;=COUNTIF(Condition10,"o"),INDEX(Liste10,SMALL(IF(Condition10="o",ROW(INDIRECT("1:"&amp;ROWS(Liste10)))),ROWS($9:11))),"")</f>
        <v/>
      </c>
      <c r="AX12" s="175">
        <f t="shared" ca="1" si="22"/>
        <v>0</v>
      </c>
      <c r="AY12" s="175" t="str">
        <f t="shared" ca="1" si="23"/>
        <v/>
      </c>
      <c r="AZ12" s="169" t="str">
        <f ca="1">IF(AY12="Total général","",IF(AY12&lt;&gt;"","o",""))</f>
        <v/>
      </c>
      <c r="BA12" s="169" t="str">
        <f t="array" aca="1" ref="BA12" ca="1">IF(ROWS($9:11)&lt;=COUNTIF(Condition11,"o"),INDEX(Liste11,SMALL(IF(Condition11="o",ROW(INDIRECT("1:"&amp;ROWS(Liste11)))),ROWS($9:11))),"")</f>
        <v/>
      </c>
      <c r="BB12" s="175">
        <f t="shared" ca="1" si="24"/>
        <v>0</v>
      </c>
      <c r="BC12" s="175" t="str">
        <f t="shared" ca="1" si="25"/>
        <v/>
      </c>
      <c r="BD12" s="169" t="str">
        <f ca="1">IF(BC12="Total général","",IF(BC12&lt;&gt;"","o",""))</f>
        <v/>
      </c>
      <c r="BE12" s="169" t="str">
        <f t="array" aca="1" ref="BE12" ca="1">IF(ROWS($9:11)&lt;=COUNTIF(Condition12,"o"),INDEX(Liste12,SMALL(IF(Condition12="o",ROW(INDIRECT("1:"&amp;ROWS(Liste12)))),ROWS($9:11))),"")</f>
        <v/>
      </c>
      <c r="BF12" s="175">
        <f t="shared" ca="1" si="26"/>
        <v>0</v>
      </c>
      <c r="BG12" s="175" t="str">
        <f t="shared" ca="1" si="27"/>
        <v/>
      </c>
      <c r="BH12" s="169" t="str">
        <f ca="1">IF(BG12="Total général","",IF(BG12&lt;&gt;"","o",""))</f>
        <v/>
      </c>
      <c r="BI12" s="169" t="str">
        <f t="array" aca="1" ref="BI12" ca="1">IF(ROWS($9:11)&lt;=COUNTIF(Condition13,"o"),INDEX(Liste13,SMALL(IF(Condition13="o",ROW(INDIRECT("1:"&amp;ROWS(Liste13)))),ROWS($9:11))),"")</f>
        <v/>
      </c>
      <c r="BJ12" s="175">
        <f t="shared" ca="1" si="28"/>
        <v>0</v>
      </c>
      <c r="BK12" s="175" t="str">
        <f t="shared" ca="1" si="29"/>
        <v/>
      </c>
      <c r="BL12" s="169" t="str">
        <f ca="1">IF(BK12="Total général","",IF(BK12&lt;&gt;"","o",""))</f>
        <v/>
      </c>
      <c r="BM12" s="169" t="str">
        <f t="array" aca="1" ref="BM12" ca="1">IF(ROWS($9:11)&lt;=COUNTIF(Condition14,"o"),INDEX(Liste14,SMALL(IF(Condition14="o",ROW(INDIRECT("1:"&amp;ROWS(Liste14)))),ROWS($9:11))),"")</f>
        <v/>
      </c>
      <c r="BN12" s="175">
        <f t="shared" ca="1" si="30"/>
        <v>0</v>
      </c>
      <c r="BO12" s="175" t="str">
        <f t="shared" ca="1" si="31"/>
        <v/>
      </c>
      <c r="BP12" s="169" t="str">
        <f ca="1">IF(BO12="Total général","",IF(BO12&lt;&gt;"","o",""))</f>
        <v/>
      </c>
      <c r="BQ12" s="169" t="str">
        <f t="array" aca="1" ref="BQ12" ca="1">IF(ROWS($9:11)&lt;=COUNTIF(Condition15,"o"),INDEX(Liste15,SMALL(IF(Condition15="o",ROW(INDIRECT("1:"&amp;ROWS(Liste15)))),ROWS($9:11))),"")</f>
        <v/>
      </c>
      <c r="BR12" s="175">
        <f t="shared" ca="1" si="32"/>
        <v>0</v>
      </c>
      <c r="BS12" s="175" t="str">
        <f t="shared" ca="1" si="33"/>
        <v/>
      </c>
      <c r="BT12" s="169" t="str">
        <f ca="1">IF(BS12="Total général","",IF(BS12&lt;&gt;"","o",""))</f>
        <v/>
      </c>
      <c r="BU12" s="169" t="str">
        <f t="array" aca="1" ref="BU12" ca="1">IF(ROWS($9:11)&lt;=COUNTIF(Condition16,"o"),INDEX(Liste16,SMALL(IF(Condition16="o",ROW(INDIRECT("1:"&amp;ROWS(Liste16)))),ROWS($9:11))),"")</f>
        <v/>
      </c>
      <c r="BV12" s="175">
        <f t="shared" ca="1" si="34"/>
        <v>0</v>
      </c>
      <c r="BW12" s="175" t="str">
        <f t="shared" ca="1" si="35"/>
        <v/>
      </c>
      <c r="BX12" s="169" t="str">
        <f ca="1">IF(BW12="Total général","",IF(BW12&lt;&gt;"","o",""))</f>
        <v/>
      </c>
      <c r="BY12" s="169" t="str">
        <f t="array" aca="1" ref="BY12" ca="1">IF(ROWS($9:11)&lt;=COUNTIF(Condition17,"o"),INDEX(Liste17,SMALL(IF(Condition17="o",ROW(INDIRECT("1:"&amp;ROWS(Liste17)))),ROWS($9:11))),"")</f>
        <v/>
      </c>
      <c r="BZ12" s="175">
        <f t="shared" ca="1" si="36"/>
        <v>0</v>
      </c>
      <c r="CA12" s="175" t="str">
        <f t="shared" ca="1" si="37"/>
        <v/>
      </c>
      <c r="CB12" s="169" t="str">
        <f ca="1">IF(CA12="Total général","",IF(CA12&lt;&gt;"","o",""))</f>
        <v/>
      </c>
      <c r="CC12" s="169" t="str">
        <f t="array" aca="1" ref="CC12" ca="1">IF(ROWS($9:11)&lt;=COUNTIF(Condition18,"o"),INDEX(Liste18,SMALL(IF(Condition18="o",ROW(INDIRECT("1:"&amp;ROWS(Liste18)))),ROWS($9:11))),"")</f>
        <v/>
      </c>
      <c r="CD12" s="175">
        <f t="shared" ca="1" si="38"/>
        <v>0</v>
      </c>
      <c r="CE12" s="175" t="str">
        <f t="shared" ca="1" si="39"/>
        <v/>
      </c>
      <c r="CF12" s="169" t="str">
        <f ca="1">IF(CE12="Total général","",IF(CE12&lt;&gt;"","o",""))</f>
        <v/>
      </c>
      <c r="CG12" s="169" t="str">
        <f t="array" aca="1" ref="CG12" ca="1">IF(ROWS($9:11)&lt;=COUNTIF(Condition19,"o"),INDEX(Liste19,SMALL(IF(Condition19="o",ROW(INDIRECT("1:"&amp;ROWS(Liste19)))),ROWS($9:11))),"")</f>
        <v/>
      </c>
      <c r="CH12" s="175">
        <f t="shared" ca="1" si="40"/>
        <v>0</v>
      </c>
      <c r="CI12" s="175" t="str">
        <f t="shared" ca="1" si="41"/>
        <v/>
      </c>
      <c r="CJ12" s="169" t="str">
        <f ca="1">IF(CI12="Total général","",IF(CI12&lt;&gt;"","o",""))</f>
        <v/>
      </c>
      <c r="CK12" s="169" t="str">
        <f t="array" aca="1" ref="CK12" ca="1">IF(ROWS($9:11)&lt;=COUNTIF(Condition20,"o"),INDEX(Liste20,SMALL(IF(Condition20="o",ROW(INDIRECT("1:"&amp;ROWS(Liste20)))),ROWS($9:11))),"")</f>
        <v/>
      </c>
      <c r="CL12" s="175">
        <f t="shared" ca="1" si="42"/>
        <v>0</v>
      </c>
      <c r="CM12" s="175" t="str">
        <f t="shared" ca="1" si="43"/>
        <v/>
      </c>
      <c r="CN12" s="169" t="str">
        <f ca="1">IF(CM12="Total général","",IF(CM12&lt;&gt;"","o",""))</f>
        <v/>
      </c>
      <c r="CO12" s="169" t="str">
        <f t="array" aca="1" ref="CO12" ca="1">IF(ROWS($9:11)&lt;=COUNTIF(Condition21,"o"),INDEX(Liste21,SMALL(IF(Condition21="o",ROW(INDIRECT("1:"&amp;ROWS(Liste21)))),ROWS($9:11))),"")</f>
        <v/>
      </c>
      <c r="CP12" s="175">
        <f t="shared" ca="1" si="44"/>
        <v>0</v>
      </c>
      <c r="CQ12" s="175" t="str">
        <f t="shared" ca="1" si="45"/>
        <v/>
      </c>
      <c r="CR12" s="169" t="str">
        <f ca="1">IF(CQ12="Total général","",IF(CQ12&lt;&gt;"","o",""))</f>
        <v/>
      </c>
      <c r="CS12" s="169" t="str">
        <f t="array" aca="1" ref="CS12" ca="1">IF(ROWS($9:11)&lt;=COUNTIF(Condition22,"o"),INDEX(Liste22,SMALL(IF(Condition22="o",ROW(INDIRECT("1:"&amp;ROWS(Liste22)))),ROWS($9:11))),"")</f>
        <v/>
      </c>
      <c r="CT12" s="175">
        <f t="shared" ca="1" si="46"/>
        <v>0</v>
      </c>
      <c r="CU12" s="175" t="str">
        <f t="shared" ca="1" si="47"/>
        <v/>
      </c>
      <c r="CV12" s="169" t="str">
        <f ca="1">IF(CU12="Total général","",IF(CU12&lt;&gt;"","o",""))</f>
        <v/>
      </c>
      <c r="CW12" s="169" t="str">
        <f t="array" aca="1" ref="CW12" ca="1">IF(ROWS($9:11)&lt;=COUNTIF(Condition23,"o"),INDEX(Liste23,SMALL(IF(Condition23="o",ROW(INDIRECT("1:"&amp;ROWS(Liste23)))),ROWS($9:11))),"")</f>
        <v/>
      </c>
      <c r="CX12" s="175">
        <f t="shared" ca="1" si="48"/>
        <v>0</v>
      </c>
      <c r="CY12" s="175" t="str">
        <f t="shared" ca="1" si="49"/>
        <v/>
      </c>
      <c r="CZ12" s="169" t="str">
        <f ca="1">IF(CY12="Total général","",IF(CY12&lt;&gt;"","o",""))</f>
        <v/>
      </c>
      <c r="DA12" s="169" t="str">
        <f t="array" aca="1" ref="DA12" ca="1">IF(ROWS($9:11)&lt;=COUNTIF(Condition24,"o"),INDEX(Liste24,SMALL(IF(Condition24="o",ROW(INDIRECT("1:"&amp;ROWS(Liste24)))),ROWS($9:11))),"")</f>
        <v/>
      </c>
      <c r="DB12" s="175">
        <f t="shared" ca="1" si="50"/>
        <v>0</v>
      </c>
      <c r="DC12" s="175" t="str">
        <f t="shared" ca="1" si="51"/>
        <v/>
      </c>
      <c r="DD12" s="169" t="str">
        <f ca="1">IF(DC12="Total général","",IF(DC12&lt;&gt;"","o",""))</f>
        <v/>
      </c>
      <c r="DE12" s="169" t="str">
        <f t="array" aca="1" ref="DE12" ca="1">IF(ROWS($9:11)&lt;=COUNTIF(Condition25,"o"),INDEX(Liste25,SMALL(IF(Condition25="o",ROW(INDIRECT("1:"&amp;ROWS(Liste25)))),ROWS($9:11))),"")</f>
        <v/>
      </c>
      <c r="DF12" s="175">
        <f t="shared" ca="1" si="52"/>
        <v>0</v>
      </c>
      <c r="DG12" s="175" t="str">
        <f t="shared" ca="1" si="53"/>
        <v/>
      </c>
      <c r="DH12" s="169" t="str">
        <f ca="1">IF(DG12="Total général","",IF(DG12&lt;&gt;"","o",""))</f>
        <v/>
      </c>
      <c r="DI12" s="169" t="str">
        <f t="array" aca="1" ref="DI12" ca="1">IF(ROWS($9:11)&lt;=COUNTIF(Condition26,"o"),INDEX(Liste26,SMALL(IF(Condition26="o",ROW(INDIRECT("1:"&amp;ROWS(Liste26)))),ROWS($9:11))),"")</f>
        <v/>
      </c>
      <c r="DJ12" s="175">
        <f t="shared" ca="1" si="54"/>
        <v>0</v>
      </c>
      <c r="DK12" s="175" t="str">
        <f t="shared" ca="1" si="55"/>
        <v/>
      </c>
      <c r="DL12" s="169" t="str">
        <f ca="1">IF(DK12="Total général","",IF(DK12&lt;&gt;"","o",""))</f>
        <v/>
      </c>
      <c r="DM12" s="169" t="str">
        <f t="array" aca="1" ref="DM12" ca="1">IF(ROWS($9:11)&lt;=COUNTIF(Condition27,"o"),INDEX(Liste27,SMALL(IF(Condition27="o",ROW(INDIRECT("1:"&amp;ROWS(Liste27)))),ROWS($9:11))),"")</f>
        <v/>
      </c>
      <c r="DN12" s="175">
        <f t="shared" ca="1" si="56"/>
        <v>0</v>
      </c>
      <c r="DO12" s="175" t="str">
        <f t="shared" ca="1" si="57"/>
        <v/>
      </c>
      <c r="DP12" s="169" t="str">
        <f ca="1">IF(DO12="Total général","",IF(DO12&lt;&gt;"","o",""))</f>
        <v/>
      </c>
      <c r="DQ12" s="169" t="str">
        <f t="array" aca="1" ref="DQ12" ca="1">IF(ROWS($9:11)&lt;=COUNTIF(Condition28,"o"),INDEX(Liste28,SMALL(IF(Condition28="o",ROW(INDIRECT("1:"&amp;ROWS(Liste28)))),ROWS($9:11))),"")</f>
        <v/>
      </c>
      <c r="DR12" s="175">
        <f t="shared" ca="1" si="58"/>
        <v>0</v>
      </c>
      <c r="DS12" s="175" t="str">
        <f t="shared" ca="1" si="59"/>
        <v/>
      </c>
      <c r="DT12" s="169" t="str">
        <f ca="1">IF(DS12="Total général","",IF(DS12&lt;&gt;"","o",""))</f>
        <v/>
      </c>
      <c r="DU12" s="169" t="str">
        <f t="array" aca="1" ref="DU12" ca="1">IF(ROWS($9:11)&lt;=COUNTIF(Condition29,"o"),INDEX(Liste29,SMALL(IF(Condition29="o",ROW(INDIRECT("1:"&amp;ROWS(Liste29)))),ROWS($9:11))),"")</f>
        <v/>
      </c>
      <c r="DV12" s="175">
        <f t="shared" ca="1" si="60"/>
        <v>0</v>
      </c>
      <c r="DW12" s="175" t="str">
        <f t="shared" ca="1" si="61"/>
        <v/>
      </c>
      <c r="DX12" s="169" t="str">
        <f ca="1">IF(DW12="Total général","",IF(DW12&lt;&gt;"","o",""))</f>
        <v/>
      </c>
      <c r="DY12" s="169" t="str">
        <f t="array" aca="1" ref="DY12" ca="1">IF(ROWS($9:11)&lt;=COUNTIF(Condition30,"o"),INDEX(Liste30,SMALL(IF(Condition30="o",ROW(INDIRECT("1:"&amp;ROWS(Liste30)))),ROWS($9:11))),"")</f>
        <v/>
      </c>
      <c r="DZ12" s="175">
        <f t="shared" ca="1" si="62"/>
        <v>0</v>
      </c>
      <c r="EA12" s="175" t="str">
        <f t="shared" ca="1" si="63"/>
        <v/>
      </c>
      <c r="EB12" s="169" t="str">
        <f ca="1">IF(EA12="Total général","",IF(EA12&lt;&gt;"","o",""))</f>
        <v/>
      </c>
      <c r="EC12" s="169" t="str">
        <f t="array" aca="1" ref="EC12" ca="1">IF(ROWS($9:11)&lt;=COUNTIF(Condition31,"o"),INDEX(Liste31,SMALL(IF(Condition31="o",ROW(INDIRECT("1:"&amp;ROWS(Liste31)))),ROWS($9:11))),"")</f>
        <v/>
      </c>
      <c r="ED12" s="175">
        <f t="shared" ca="1" si="64"/>
        <v>0</v>
      </c>
      <c r="EE12" s="175" t="str">
        <f t="shared" ca="1" si="65"/>
        <v/>
      </c>
      <c r="EF12" s="169" t="str">
        <f ca="1">IF(EE12="Total général","",IF(EE12&lt;&gt;"","o",""))</f>
        <v/>
      </c>
      <c r="EG12" s="169" t="str">
        <f t="array" aca="1" ref="EG12" ca="1">IF(ROWS($9:11)&lt;=COUNTIF(Condition32,"o"),INDEX(Liste32,SMALL(IF(Condition32="o",ROW(INDIRECT("1:"&amp;ROWS(Liste32)))),ROWS($9:11))),"")</f>
        <v/>
      </c>
      <c r="EH12" s="175">
        <f t="shared" ca="1" si="66"/>
        <v>0</v>
      </c>
      <c r="EI12" s="175" t="str">
        <f t="shared" ca="1" si="67"/>
        <v/>
      </c>
      <c r="EJ12" s="169" t="str">
        <f ca="1">IF(EI12="Total général","",IF(EI12&lt;&gt;"","o",""))</f>
        <v/>
      </c>
      <c r="EK12" s="169" t="str">
        <f t="array" aca="1" ref="EK12" ca="1">IF(ROWS($9:11)&lt;=COUNTIF(Condition33,"o"),INDEX(Liste33,SMALL(IF(Condition33="o",ROW(INDIRECT("1:"&amp;ROWS(Liste33)))),ROWS($9:11))),"")</f>
        <v/>
      </c>
      <c r="EL12" s="175">
        <f t="shared" ca="1" si="68"/>
        <v>0</v>
      </c>
      <c r="EM12" s="175" t="str">
        <f t="shared" ca="1" si="69"/>
        <v/>
      </c>
      <c r="EN12" s="169" t="str">
        <f ca="1">IF(EM12="Total général","",IF(EM12&lt;&gt;"","o",""))</f>
        <v/>
      </c>
      <c r="EO12" s="169" t="str">
        <f t="array" aca="1" ref="EO12" ca="1">IF(ROWS($9:11)&lt;=COUNTIF(Condition34,"o"),INDEX(Liste34,SMALL(IF(Condition34="o",ROW(INDIRECT("1:"&amp;ROWS(Liste34)))),ROWS($9:11))),"")</f>
        <v/>
      </c>
      <c r="EP12" s="175">
        <f t="shared" ca="1" si="70"/>
        <v>0</v>
      </c>
      <c r="EQ12" s="175" t="str">
        <f t="shared" ca="1" si="71"/>
        <v/>
      </c>
      <c r="ER12" s="169" t="str">
        <f ca="1">IF(EQ12="Total général","",IF(EQ12&lt;&gt;"","o",""))</f>
        <v/>
      </c>
      <c r="ES12" s="169" t="str">
        <f t="array" aca="1" ref="ES12" ca="1">IF(ROWS($9:11)&lt;=COUNTIF(Condition35,"o"),INDEX(Liste35,SMALL(IF(Condition35="o",ROW(INDIRECT("1:"&amp;ROWS(Liste35)))),ROWS($9:11))),"")</f>
        <v/>
      </c>
      <c r="ET12" s="175">
        <f t="shared" ca="1" si="72"/>
        <v>0</v>
      </c>
      <c r="EU12" s="175" t="str">
        <f t="shared" ca="1" si="73"/>
        <v/>
      </c>
      <c r="EV12" s="169" t="str">
        <f ca="1">IF(EU12="Total général","",IF(EU12&lt;&gt;"","o",""))</f>
        <v/>
      </c>
      <c r="EW12" s="169" t="str">
        <f t="array" aca="1" ref="EW12" ca="1">IF(ROWS($9:11)&lt;=COUNTIF(Condition36,"o"),INDEX(Liste36,SMALL(IF(Condition36="o",ROW(INDIRECT("1:"&amp;ROWS(Liste36)))),ROWS($9:11))),"")</f>
        <v/>
      </c>
      <c r="EX12" s="175">
        <f t="shared" ca="1" si="74"/>
        <v>0</v>
      </c>
      <c r="EY12" s="175" t="str">
        <f t="shared" ca="1" si="75"/>
        <v/>
      </c>
      <c r="EZ12" s="169" t="str">
        <f t="shared" ca="1" si="85"/>
        <v/>
      </c>
      <c r="FA12" s="169" t="str">
        <f t="array" aca="1" ref="FA12" ca="1">IF(ROWS($9:11)&lt;=COUNTIF(Condition37,"o"),INDEX(Liste37,SMALL(IF(Condition37="o",ROW(INDIRECT("1:"&amp;ROWS(Liste37)))),ROWS($9:11))),"")</f>
        <v/>
      </c>
      <c r="FB12" s="175">
        <f t="shared" ca="1" si="76"/>
        <v>0</v>
      </c>
      <c r="FC12" s="175" t="str">
        <f t="shared" ca="1" si="77"/>
        <v/>
      </c>
      <c r="FD12" s="169" t="str">
        <f t="shared" ca="1" si="86"/>
        <v/>
      </c>
      <c r="FE12" s="169" t="str">
        <f t="array" aca="1" ref="FE12" ca="1">IF(ROWS($9:11)&lt;=COUNTIF(condition38,"o"),INDEX(liste38,SMALL(IF(condition38="o",ROW(INDIRECT("1:"&amp;ROWS(liste38)))),ROWS($9:11))),"")</f>
        <v/>
      </c>
      <c r="FF12" s="175">
        <f t="shared" ca="1" si="78"/>
        <v>0</v>
      </c>
      <c r="FG12" s="175" t="str">
        <f t="shared" ca="1" si="79"/>
        <v/>
      </c>
      <c r="FH12" s="169" t="str">
        <f t="shared" ca="1" si="87"/>
        <v/>
      </c>
      <c r="FI12" s="169" t="str">
        <f t="array" aca="1" ref="FI12" ca="1">IF(ROWS($9:11)&lt;=COUNTIF(Condition39,"o"),INDEX(Liste39,SMALL(IF(Condition39="o",ROW(INDIRECT("1:"&amp;ROWS(Liste39)))),ROWS($9:11))),"")</f>
        <v/>
      </c>
      <c r="FM12" s="1" t="s">
        <v>1181</v>
      </c>
      <c r="FN12" s="1" t="s">
        <v>1140</v>
      </c>
      <c r="FO12" s="180">
        <f>'Suivi objectifs'!D4</f>
        <v>0</v>
      </c>
      <c r="FP12" s="1366" t="str">
        <f>'Suivi objectifs'!C4</f>
        <v>Eclairage public</v>
      </c>
      <c r="FQ12" s="181" t="str">
        <f ca="1">IF(ISNA(VLOOKUP(FR12,Actions!$G$2:$AP$70,31,0)),"",VLOOKUP(FR12,Actions!$G$2:$AP$70,36,0))</f>
        <v/>
      </c>
      <c r="FR12" s="187" t="str">
        <f t="shared" ca="1" si="88"/>
        <v/>
      </c>
      <c r="FS12" s="286">
        <f t="shared" ca="1" si="80"/>
        <v>0</v>
      </c>
      <c r="FT12" s="181" t="str">
        <f ca="1">IF(ISNA(VLOOKUP(FU12,Actions!$G$2:$AP$70,31,0)),"",VLOOKUP(FU12,Actions!$G$2:$AP$70,36,0))</f>
        <v/>
      </c>
      <c r="FU12" s="187" t="str">
        <f t="shared" ca="1" si="89"/>
        <v/>
      </c>
      <c r="FV12" s="286">
        <f t="shared" ca="1" si="81"/>
        <v>0</v>
      </c>
      <c r="FW12" s="181" t="str">
        <f ca="1">IF(ISNA(VLOOKUP(FX12,Actions!$G$2:$AP$70,31,0)),"",VLOOKUP(FX12,Actions!$G$2:$AP$70,36,0))</f>
        <v/>
      </c>
      <c r="FX12" s="187" t="str">
        <f t="shared" ca="1" si="90"/>
        <v/>
      </c>
      <c r="FY12" s="286">
        <f t="shared" ca="1" si="82"/>
        <v>0</v>
      </c>
      <c r="FZ12" s="181" t="str">
        <f ca="1">IF(ISNA(VLOOKUP(GA12,Actions!$G$2:$AP$70,31,0)),"",VLOOKUP(GA12,Actions!$G$2:$AP$70,36,0))</f>
        <v/>
      </c>
      <c r="GA12" s="185" t="str">
        <f t="shared" ca="1" si="91"/>
        <v/>
      </c>
      <c r="GB12" s="286">
        <f t="shared" ca="1" si="83"/>
        <v>0</v>
      </c>
      <c r="GC12" s="181" t="str">
        <f ca="1">IF(ISNA(VLOOKUP(GD12,Actions!$G$2:$AP$70,31,0)),"",VLOOKUP(GD12,Actions!$G$2:$AP$70,36,0))</f>
        <v/>
      </c>
      <c r="GD12" s="185" t="str">
        <f t="shared" ca="1" si="92"/>
        <v/>
      </c>
      <c r="GE12" s="286">
        <f t="shared" ca="1" si="84"/>
        <v>0</v>
      </c>
      <c r="GF12" s="186">
        <f ca="1">SUM(FS12,FV12,FY12,GB12,GE12,)</f>
        <v>0</v>
      </c>
      <c r="GG12" s="233"/>
    </row>
    <row r="13" spans="1:189" ht="30" hidden="1" customHeight="1">
      <c r="A13" s="1" t="s">
        <v>984</v>
      </c>
      <c r="B13" s="1">
        <f>Actions!F6</f>
        <v>5</v>
      </c>
      <c r="C13" s="1">
        <f ca="1">Actions!G6</f>
        <v>0</v>
      </c>
      <c r="D13" s="1">
        <f ca="1">Actions!H6</f>
        <v>0</v>
      </c>
      <c r="E13" s="1" t="str">
        <f ca="1">Actions!I6</f>
        <v>-</v>
      </c>
      <c r="F13" s="1" t="str">
        <f t="shared" ca="1" si="0"/>
        <v>-</v>
      </c>
      <c r="G13" s="1" t="e">
        <f t="shared" ca="1" si="1"/>
        <v>#REF!</v>
      </c>
      <c r="I13" s="1">
        <v>5</v>
      </c>
      <c r="J13" s="175">
        <f t="shared" ca="1" si="2"/>
        <v>0</v>
      </c>
      <c r="K13" s="175" t="str">
        <f t="shared" ca="1" si="3"/>
        <v/>
      </c>
      <c r="L13" s="169" t="str">
        <f t="shared" ref="L13:L72" ca="1" si="93">IF(K13="Total général","",IF(K13&lt;&gt;"","o",""))</f>
        <v/>
      </c>
      <c r="M13" s="169" t="str">
        <f t="array" aca="1" ref="M13" ca="1">IF(ROWS($9:12)&lt;=COUNTIF(Condition1,"o"),INDEX(Liste1,SMALL(IF(Condition1="o",ROW(INDIRECT("1:"&amp;ROWS(Liste1)))),ROWS($9:12))),"")</f>
        <v/>
      </c>
      <c r="N13" s="175">
        <f t="shared" ca="1" si="4"/>
        <v>0</v>
      </c>
      <c r="O13" s="175" t="str">
        <f t="shared" ca="1" si="5"/>
        <v/>
      </c>
      <c r="P13" s="169" t="str">
        <f t="shared" ref="P13:P72" ca="1" si="94">IF(O13="Total général","",IF(O13&lt;&gt;"","o",""))</f>
        <v/>
      </c>
      <c r="Q13" s="169" t="str">
        <f t="array" aca="1" ref="Q13" ca="1">IF(ROWS($9:12)&lt;=COUNTIF(Condition2,"o"),INDEX(Liste2,SMALL(IF(Condition2="o",ROW(INDIRECT("1:"&amp;ROWS(Liste2)))),ROWS($9:12))),"")</f>
        <v/>
      </c>
      <c r="R13" s="175">
        <f t="shared" ca="1" si="6"/>
        <v>0</v>
      </c>
      <c r="S13" s="175" t="str">
        <f t="shared" ca="1" si="7"/>
        <v/>
      </c>
      <c r="T13" s="169" t="str">
        <f t="shared" ref="T13:T72" ca="1" si="95">IF(S13="Total général","",IF(S13&lt;&gt;"","o",""))</f>
        <v/>
      </c>
      <c r="U13" s="169" t="str">
        <f t="array" aca="1" ref="U13" ca="1">IF(ROWS($9:12)&lt;=COUNTIF(Condition3,"o"),INDEX(Liste3,SMALL(IF(Condition3="o",ROW(INDIRECT("1:"&amp;ROWS(Liste3)))),ROWS($9:12))),"")</f>
        <v/>
      </c>
      <c r="V13" s="175">
        <f t="shared" ca="1" si="8"/>
        <v>0</v>
      </c>
      <c r="W13" s="175" t="str">
        <f t="shared" ca="1" si="9"/>
        <v/>
      </c>
      <c r="X13" s="169" t="str">
        <f t="shared" ref="X13:X72" ca="1" si="96">IF(W13="Total général","",IF(W13&lt;&gt;"","o",""))</f>
        <v/>
      </c>
      <c r="Y13" s="169" t="str">
        <f t="array" aca="1" ref="Y13" ca="1">IF(ROWS($9:12)&lt;=COUNTIF(Condition4,"o"),INDEX(Liste4,SMALL(IF(Condition4="o",ROW(INDIRECT("1:"&amp;ROWS(Liste4)))),ROWS($9:12))),"")</f>
        <v/>
      </c>
      <c r="Z13" s="175">
        <f t="shared" ca="1" si="10"/>
        <v>0</v>
      </c>
      <c r="AA13" s="175" t="str">
        <f t="shared" ca="1" si="11"/>
        <v/>
      </c>
      <c r="AB13" s="169" t="str">
        <f t="shared" ref="AB13:AB72" ca="1" si="97">IF(AA13="Total général","",IF(AA13&lt;&gt;"","o",""))</f>
        <v/>
      </c>
      <c r="AC13" s="169" t="str">
        <f t="array" aca="1" ref="AC13" ca="1">IF(ROWS($9:12)&lt;=COUNTIF(Condition5,"o"),INDEX(Liste5,SMALL(IF(Condition5="o",ROW(INDIRECT("1:"&amp;ROWS(Liste5)))),ROWS($9:12))),"")</f>
        <v/>
      </c>
      <c r="AD13" s="175">
        <f t="shared" ca="1" si="12"/>
        <v>0</v>
      </c>
      <c r="AE13" s="175" t="str">
        <f t="shared" ca="1" si="13"/>
        <v/>
      </c>
      <c r="AF13" s="169" t="str">
        <f t="shared" ref="AF13:AF72" ca="1" si="98">IF(AE13="Total général","",IF(AE13&lt;&gt;"","o",""))</f>
        <v/>
      </c>
      <c r="AG13" s="169" t="str">
        <f t="array" aca="1" ref="AG13" ca="1">IF(ROWS($9:12)&lt;=COUNTIF(Condition6,"o"),INDEX(Liste6,SMALL(IF(Condition6="o",ROW(INDIRECT("1:"&amp;ROWS(Liste6)))),ROWS($9:12))),"")</f>
        <v/>
      </c>
      <c r="AH13" s="175">
        <f t="shared" ca="1" si="14"/>
        <v>0</v>
      </c>
      <c r="AI13" s="175" t="str">
        <f t="shared" ca="1" si="15"/>
        <v/>
      </c>
      <c r="AJ13" s="169" t="str">
        <f t="shared" ref="AJ13:AJ72" ca="1" si="99">IF(AI13="Total général","",IF(AI13&lt;&gt;"","o",""))</f>
        <v/>
      </c>
      <c r="AK13" s="169" t="str">
        <f t="array" aca="1" ref="AK13" ca="1">IF(ROWS($9:12)&lt;=COUNTIF(Condition7,"o"),INDEX(Liste7,SMALL(IF(Condition7="o",ROW(INDIRECT("1:"&amp;ROWS(Liste7)))),ROWS($9:12))),"")</f>
        <v/>
      </c>
      <c r="AL13" s="175">
        <f t="shared" ca="1" si="16"/>
        <v>0</v>
      </c>
      <c r="AM13" s="175" t="str">
        <f t="shared" ca="1" si="17"/>
        <v/>
      </c>
      <c r="AN13" s="169" t="str">
        <f t="shared" ref="AN13:AN72" ca="1" si="100">IF(AM13="Total général","",IF(AM13&lt;&gt;"","o",""))</f>
        <v/>
      </c>
      <c r="AO13" s="169" t="str">
        <f t="array" aca="1" ref="AO13" ca="1">IF(ROWS($9:12)&lt;=COUNTIF(Condition8,"o"),INDEX(Liste8,SMALL(IF(Condition8="o",ROW(INDIRECT("1:"&amp;ROWS(Liste8)))),ROWS($9:12))),"")</f>
        <v/>
      </c>
      <c r="AP13" s="175">
        <f t="shared" ca="1" si="18"/>
        <v>0</v>
      </c>
      <c r="AQ13" s="175" t="str">
        <f t="shared" ca="1" si="19"/>
        <v/>
      </c>
      <c r="AR13" s="169" t="str">
        <f t="shared" ref="AR13:AR72" ca="1" si="101">IF(AQ13="Total général","",IF(AQ13&lt;&gt;"","o",""))</f>
        <v/>
      </c>
      <c r="AS13" s="169" t="str">
        <f t="array" aca="1" ref="AS13" ca="1">IF(ROWS($9:12)&lt;=COUNTIF(Condition9,"o"),INDEX(Liste9,SMALL(IF(Condition9="o",ROW(INDIRECT("1:"&amp;ROWS(Liste9)))),ROWS($9:12))),"")</f>
        <v/>
      </c>
      <c r="AT13" s="175">
        <f t="shared" ca="1" si="20"/>
        <v>0</v>
      </c>
      <c r="AU13" s="175" t="str">
        <f t="shared" ca="1" si="21"/>
        <v/>
      </c>
      <c r="AV13" s="169" t="str">
        <f t="shared" ref="AV13:AV72" ca="1" si="102">IF(AU13="Total général","",IF(AU13&lt;&gt;"","o",""))</f>
        <v/>
      </c>
      <c r="AW13" s="169" t="str">
        <f t="array" aca="1" ref="AW13" ca="1">IF(ROWS($9:12)&lt;=COUNTIF(Condition10,"o"),INDEX(Liste10,SMALL(IF(Condition10="o",ROW(INDIRECT("1:"&amp;ROWS(Liste10)))),ROWS($9:12))),"")</f>
        <v/>
      </c>
      <c r="AX13" s="175">
        <f t="shared" ca="1" si="22"/>
        <v>0</v>
      </c>
      <c r="AY13" s="175" t="str">
        <f t="shared" ca="1" si="23"/>
        <v/>
      </c>
      <c r="AZ13" s="169" t="str">
        <f t="shared" ref="AZ13:AZ72" ca="1" si="103">IF(AY13="Total général","",IF(AY13&lt;&gt;"","o",""))</f>
        <v/>
      </c>
      <c r="BA13" s="169" t="str">
        <f t="array" aca="1" ref="BA13" ca="1">IF(ROWS($9:12)&lt;=COUNTIF(Condition11,"o"),INDEX(Liste11,SMALL(IF(Condition11="o",ROW(INDIRECT("1:"&amp;ROWS(Liste11)))),ROWS($9:12))),"")</f>
        <v/>
      </c>
      <c r="BB13" s="175">
        <f t="shared" ca="1" si="24"/>
        <v>0</v>
      </c>
      <c r="BC13" s="175" t="str">
        <f t="shared" ca="1" si="25"/>
        <v/>
      </c>
      <c r="BD13" s="169" t="str">
        <f t="shared" ref="BD13:BD72" ca="1" si="104">IF(BC13="Total général","",IF(BC13&lt;&gt;"","o",""))</f>
        <v/>
      </c>
      <c r="BE13" s="169" t="str">
        <f t="array" aca="1" ref="BE13" ca="1">IF(ROWS($9:12)&lt;=COUNTIF(Condition12,"o"),INDEX(Liste12,SMALL(IF(Condition12="o",ROW(INDIRECT("1:"&amp;ROWS(Liste12)))),ROWS($9:12))),"")</f>
        <v/>
      </c>
      <c r="BF13" s="175">
        <f t="shared" ca="1" si="26"/>
        <v>0</v>
      </c>
      <c r="BG13" s="175" t="str">
        <f t="shared" ca="1" si="27"/>
        <v/>
      </c>
      <c r="BH13" s="169" t="str">
        <f t="shared" ref="BH13:BH72" ca="1" si="105">IF(BG13="Total général","",IF(BG13&lt;&gt;"","o",""))</f>
        <v/>
      </c>
      <c r="BI13" s="169" t="str">
        <f t="array" aca="1" ref="BI13" ca="1">IF(ROWS($9:12)&lt;=COUNTIF(Condition13,"o"),INDEX(Liste13,SMALL(IF(Condition13="o",ROW(INDIRECT("1:"&amp;ROWS(Liste13)))),ROWS($9:12))),"")</f>
        <v/>
      </c>
      <c r="BJ13" s="175">
        <f t="shared" ca="1" si="28"/>
        <v>0</v>
      </c>
      <c r="BK13" s="175" t="str">
        <f t="shared" ca="1" si="29"/>
        <v/>
      </c>
      <c r="BL13" s="169" t="str">
        <f t="shared" ref="BL13:BL72" ca="1" si="106">IF(BK13="Total général","",IF(BK13&lt;&gt;"","o",""))</f>
        <v/>
      </c>
      <c r="BM13" s="169" t="str">
        <f t="array" aca="1" ref="BM13" ca="1">IF(ROWS($9:12)&lt;=COUNTIF(Condition14,"o"),INDEX(Liste14,SMALL(IF(Condition14="o",ROW(INDIRECT("1:"&amp;ROWS(Liste14)))),ROWS($9:12))),"")</f>
        <v/>
      </c>
      <c r="BN13" s="175">
        <f t="shared" ca="1" si="30"/>
        <v>0</v>
      </c>
      <c r="BO13" s="175" t="str">
        <f t="shared" ca="1" si="31"/>
        <v/>
      </c>
      <c r="BP13" s="169" t="str">
        <f t="shared" ref="BP13:BP72" ca="1" si="107">IF(BO13="Total général","",IF(BO13&lt;&gt;"","o",""))</f>
        <v/>
      </c>
      <c r="BQ13" s="169" t="str">
        <f t="array" aca="1" ref="BQ13" ca="1">IF(ROWS($9:12)&lt;=COUNTIF(Condition15,"o"),INDEX(Liste15,SMALL(IF(Condition15="o",ROW(INDIRECT("1:"&amp;ROWS(Liste15)))),ROWS($9:12))),"")</f>
        <v/>
      </c>
      <c r="BR13" s="175">
        <f t="shared" ca="1" si="32"/>
        <v>0</v>
      </c>
      <c r="BS13" s="175" t="str">
        <f t="shared" ca="1" si="33"/>
        <v/>
      </c>
      <c r="BT13" s="169" t="str">
        <f t="shared" ref="BT13:BT72" ca="1" si="108">IF(BS13="Total général","",IF(BS13&lt;&gt;"","o",""))</f>
        <v/>
      </c>
      <c r="BU13" s="169" t="str">
        <f t="array" aca="1" ref="BU13" ca="1">IF(ROWS($9:12)&lt;=COUNTIF(Condition16,"o"),INDEX(Liste16,SMALL(IF(Condition16="o",ROW(INDIRECT("1:"&amp;ROWS(Liste16)))),ROWS($9:12))),"")</f>
        <v/>
      </c>
      <c r="BV13" s="175">
        <f t="shared" ca="1" si="34"/>
        <v>0</v>
      </c>
      <c r="BW13" s="175" t="str">
        <f t="shared" ca="1" si="35"/>
        <v/>
      </c>
      <c r="BX13" s="169" t="str">
        <f t="shared" ref="BX13:BX72" ca="1" si="109">IF(BW13="Total général","",IF(BW13&lt;&gt;"","o",""))</f>
        <v/>
      </c>
      <c r="BY13" s="169" t="str">
        <f t="array" aca="1" ref="BY13" ca="1">IF(ROWS($9:12)&lt;=COUNTIF(Condition17,"o"),INDEX(Liste17,SMALL(IF(Condition17="o",ROW(INDIRECT("1:"&amp;ROWS(Liste17)))),ROWS($9:12))),"")</f>
        <v/>
      </c>
      <c r="BZ13" s="175">
        <f t="shared" ca="1" si="36"/>
        <v>0</v>
      </c>
      <c r="CA13" s="175" t="str">
        <f t="shared" ca="1" si="37"/>
        <v/>
      </c>
      <c r="CB13" s="169" t="str">
        <f t="shared" ref="CB13:CB72" ca="1" si="110">IF(CA13="Total général","",IF(CA13&lt;&gt;"","o",""))</f>
        <v/>
      </c>
      <c r="CC13" s="169" t="str">
        <f t="array" aca="1" ref="CC13" ca="1">IF(ROWS($9:12)&lt;=COUNTIF(Condition18,"o"),INDEX(Liste18,SMALL(IF(Condition18="o",ROW(INDIRECT("1:"&amp;ROWS(Liste18)))),ROWS($9:12))),"")</f>
        <v/>
      </c>
      <c r="CD13" s="175">
        <f t="shared" ca="1" si="38"/>
        <v>0</v>
      </c>
      <c r="CE13" s="175" t="str">
        <f t="shared" ca="1" si="39"/>
        <v/>
      </c>
      <c r="CF13" s="169" t="str">
        <f t="shared" ref="CF13:CF72" ca="1" si="111">IF(CE13="Total général","",IF(CE13&lt;&gt;"","o",""))</f>
        <v/>
      </c>
      <c r="CG13" s="169" t="str">
        <f t="array" aca="1" ref="CG13" ca="1">IF(ROWS($9:12)&lt;=COUNTIF(Condition19,"o"),INDEX(Liste19,SMALL(IF(Condition19="o",ROW(INDIRECT("1:"&amp;ROWS(Liste19)))),ROWS($9:12))),"")</f>
        <v/>
      </c>
      <c r="CH13" s="175">
        <f t="shared" ca="1" si="40"/>
        <v>0</v>
      </c>
      <c r="CI13" s="175" t="str">
        <f t="shared" ca="1" si="41"/>
        <v/>
      </c>
      <c r="CJ13" s="169" t="str">
        <f t="shared" ref="CJ13:CJ72" ca="1" si="112">IF(CI13="Total général","",IF(CI13&lt;&gt;"","o",""))</f>
        <v/>
      </c>
      <c r="CK13" s="169" t="str">
        <f t="array" aca="1" ref="CK13" ca="1">IF(ROWS($9:12)&lt;=COUNTIF(Condition20,"o"),INDEX(Liste20,SMALL(IF(Condition20="o",ROW(INDIRECT("1:"&amp;ROWS(Liste20)))),ROWS($9:12))),"")</f>
        <v/>
      </c>
      <c r="CL13" s="175">
        <f t="shared" ca="1" si="42"/>
        <v>0</v>
      </c>
      <c r="CM13" s="175" t="str">
        <f t="shared" ca="1" si="43"/>
        <v/>
      </c>
      <c r="CN13" s="169" t="str">
        <f t="shared" ref="CN13:CN72" ca="1" si="113">IF(CM13="Total général","",IF(CM13&lt;&gt;"","o",""))</f>
        <v/>
      </c>
      <c r="CO13" s="169" t="str">
        <f t="array" aca="1" ref="CO13" ca="1">IF(ROWS($9:12)&lt;=COUNTIF(Condition21,"o"),INDEX(Liste21,SMALL(IF(Condition21="o",ROW(INDIRECT("1:"&amp;ROWS(Liste21)))),ROWS($9:12))),"")</f>
        <v/>
      </c>
      <c r="CP13" s="175">
        <f t="shared" ca="1" si="44"/>
        <v>0</v>
      </c>
      <c r="CQ13" s="175" t="str">
        <f t="shared" ca="1" si="45"/>
        <v/>
      </c>
      <c r="CR13" s="169" t="str">
        <f t="shared" ref="CR13:CR72" ca="1" si="114">IF(CQ13="Total général","",IF(CQ13&lt;&gt;"","o",""))</f>
        <v/>
      </c>
      <c r="CS13" s="169" t="str">
        <f t="array" aca="1" ref="CS13" ca="1">IF(ROWS($9:12)&lt;=COUNTIF(Condition22,"o"),INDEX(Liste22,SMALL(IF(Condition22="o",ROW(INDIRECT("1:"&amp;ROWS(Liste22)))),ROWS($9:12))),"")</f>
        <v/>
      </c>
      <c r="CT13" s="175">
        <f t="shared" ca="1" si="46"/>
        <v>0</v>
      </c>
      <c r="CU13" s="175" t="str">
        <f t="shared" ca="1" si="47"/>
        <v/>
      </c>
      <c r="CV13" s="169" t="str">
        <f t="shared" ref="CV13:CV72" ca="1" si="115">IF(CU13="Total général","",IF(CU13&lt;&gt;"","o",""))</f>
        <v/>
      </c>
      <c r="CW13" s="169" t="str">
        <f t="array" aca="1" ref="CW13" ca="1">IF(ROWS($9:12)&lt;=COUNTIF(Condition23,"o"),INDEX(Liste23,SMALL(IF(Condition23="o",ROW(INDIRECT("1:"&amp;ROWS(Liste23)))),ROWS($9:12))),"")</f>
        <v/>
      </c>
      <c r="CX13" s="175">
        <f t="shared" ca="1" si="48"/>
        <v>0</v>
      </c>
      <c r="CY13" s="175" t="str">
        <f t="shared" ca="1" si="49"/>
        <v/>
      </c>
      <c r="CZ13" s="169" t="str">
        <f t="shared" ref="CZ13:CZ72" ca="1" si="116">IF(CY13="Total général","",IF(CY13&lt;&gt;"","o",""))</f>
        <v/>
      </c>
      <c r="DA13" s="169" t="str">
        <f t="array" aca="1" ref="DA13" ca="1">IF(ROWS($9:12)&lt;=COUNTIF(Condition24,"o"),INDEX(Liste24,SMALL(IF(Condition24="o",ROW(INDIRECT("1:"&amp;ROWS(Liste24)))),ROWS($9:12))),"")</f>
        <v/>
      </c>
      <c r="DB13" s="175">
        <f t="shared" ca="1" si="50"/>
        <v>0</v>
      </c>
      <c r="DC13" s="175" t="str">
        <f t="shared" ca="1" si="51"/>
        <v/>
      </c>
      <c r="DD13" s="169" t="str">
        <f t="shared" ref="DD13:DD72" ca="1" si="117">IF(DC13="Total général","",IF(DC13&lt;&gt;"","o",""))</f>
        <v/>
      </c>
      <c r="DE13" s="169" t="str">
        <f t="array" aca="1" ref="DE13" ca="1">IF(ROWS($9:12)&lt;=COUNTIF(Condition25,"o"),INDEX(Liste25,SMALL(IF(Condition25="o",ROW(INDIRECT("1:"&amp;ROWS(Liste25)))),ROWS($9:12))),"")</f>
        <v/>
      </c>
      <c r="DF13" s="175">
        <f t="shared" ca="1" si="52"/>
        <v>0</v>
      </c>
      <c r="DG13" s="175" t="str">
        <f t="shared" ca="1" si="53"/>
        <v/>
      </c>
      <c r="DH13" s="169" t="str">
        <f t="shared" ref="DH13:DH72" ca="1" si="118">IF(DG13="Total général","",IF(DG13&lt;&gt;"","o",""))</f>
        <v/>
      </c>
      <c r="DI13" s="169" t="str">
        <f t="array" aca="1" ref="DI13" ca="1">IF(ROWS($9:12)&lt;=COUNTIF(Condition26,"o"),INDEX(Liste26,SMALL(IF(Condition26="o",ROW(INDIRECT("1:"&amp;ROWS(Liste26)))),ROWS($9:12))),"")</f>
        <v/>
      </c>
      <c r="DJ13" s="175">
        <f t="shared" ca="1" si="54"/>
        <v>0</v>
      </c>
      <c r="DK13" s="175" t="str">
        <f t="shared" ca="1" si="55"/>
        <v/>
      </c>
      <c r="DL13" s="169" t="str">
        <f t="shared" ref="DL13:DL72" ca="1" si="119">IF(DK13="Total général","",IF(DK13&lt;&gt;"","o",""))</f>
        <v/>
      </c>
      <c r="DM13" s="169" t="str">
        <f t="array" aca="1" ref="DM13" ca="1">IF(ROWS($9:12)&lt;=COUNTIF(Condition27,"o"),INDEX(Liste27,SMALL(IF(Condition27="o",ROW(INDIRECT("1:"&amp;ROWS(Liste27)))),ROWS($9:12))),"")</f>
        <v/>
      </c>
      <c r="DN13" s="175">
        <f t="shared" ca="1" si="56"/>
        <v>0</v>
      </c>
      <c r="DO13" s="175" t="str">
        <f t="shared" ca="1" si="57"/>
        <v/>
      </c>
      <c r="DP13" s="169" t="str">
        <f t="shared" ref="DP13:DP72" ca="1" si="120">IF(DO13="Total général","",IF(DO13&lt;&gt;"","o",""))</f>
        <v/>
      </c>
      <c r="DQ13" s="169" t="str">
        <f t="array" aca="1" ref="DQ13" ca="1">IF(ROWS($9:12)&lt;=COUNTIF(Condition28,"o"),INDEX(Liste28,SMALL(IF(Condition28="o",ROW(INDIRECT("1:"&amp;ROWS(Liste28)))),ROWS($9:12))),"")</f>
        <v/>
      </c>
      <c r="DR13" s="175">
        <f t="shared" ca="1" si="58"/>
        <v>0</v>
      </c>
      <c r="DS13" s="175" t="str">
        <f t="shared" ca="1" si="59"/>
        <v/>
      </c>
      <c r="DT13" s="169" t="str">
        <f t="shared" ref="DT13:DT72" ca="1" si="121">IF(DS13="Total général","",IF(DS13&lt;&gt;"","o",""))</f>
        <v/>
      </c>
      <c r="DU13" s="169" t="str">
        <f t="array" aca="1" ref="DU13" ca="1">IF(ROWS($9:12)&lt;=COUNTIF(Condition29,"o"),INDEX(Liste29,SMALL(IF(Condition29="o",ROW(INDIRECT("1:"&amp;ROWS(Liste29)))),ROWS($9:12))),"")</f>
        <v/>
      </c>
      <c r="DV13" s="175">
        <f t="shared" ca="1" si="60"/>
        <v>0</v>
      </c>
      <c r="DW13" s="175" t="str">
        <f t="shared" ca="1" si="61"/>
        <v/>
      </c>
      <c r="DX13" s="169" t="str">
        <f t="shared" ref="DX13:DX72" ca="1" si="122">IF(DW13="Total général","",IF(DW13&lt;&gt;"","o",""))</f>
        <v/>
      </c>
      <c r="DY13" s="169" t="str">
        <f t="array" aca="1" ref="DY13" ca="1">IF(ROWS($9:12)&lt;=COUNTIF(Condition30,"o"),INDEX(Liste30,SMALL(IF(Condition30="o",ROW(INDIRECT("1:"&amp;ROWS(Liste30)))),ROWS($9:12))),"")</f>
        <v/>
      </c>
      <c r="DZ13" s="175">
        <f t="shared" ca="1" si="62"/>
        <v>0</v>
      </c>
      <c r="EA13" s="175" t="str">
        <f t="shared" ca="1" si="63"/>
        <v/>
      </c>
      <c r="EB13" s="169" t="str">
        <f t="shared" ref="EB13:EB72" ca="1" si="123">IF(EA13="Total général","",IF(EA13&lt;&gt;"","o",""))</f>
        <v/>
      </c>
      <c r="EC13" s="169" t="str">
        <f t="array" aca="1" ref="EC13" ca="1">IF(ROWS($9:12)&lt;=COUNTIF(Condition31,"o"),INDEX(Liste31,SMALL(IF(Condition31="o",ROW(INDIRECT("1:"&amp;ROWS(Liste31)))),ROWS($9:12))),"")</f>
        <v/>
      </c>
      <c r="ED13" s="175">
        <f t="shared" ca="1" si="64"/>
        <v>0</v>
      </c>
      <c r="EE13" s="175" t="str">
        <f t="shared" ca="1" si="65"/>
        <v/>
      </c>
      <c r="EF13" s="169" t="str">
        <f t="shared" ref="EF13:EF72" ca="1" si="124">IF(EE13="Total général","",IF(EE13&lt;&gt;"","o",""))</f>
        <v/>
      </c>
      <c r="EG13" s="169" t="str">
        <f t="array" aca="1" ref="EG13" ca="1">IF(ROWS($9:12)&lt;=COUNTIF(Condition32,"o"),INDEX(Liste32,SMALL(IF(Condition32="o",ROW(INDIRECT("1:"&amp;ROWS(Liste32)))),ROWS($9:12))),"")</f>
        <v/>
      </c>
      <c r="EH13" s="175">
        <f t="shared" ca="1" si="66"/>
        <v>0</v>
      </c>
      <c r="EI13" s="175" t="str">
        <f t="shared" ca="1" si="67"/>
        <v/>
      </c>
      <c r="EJ13" s="169" t="str">
        <f t="shared" ref="EJ13:EJ72" ca="1" si="125">IF(EI13="Total général","",IF(EI13&lt;&gt;"","o",""))</f>
        <v/>
      </c>
      <c r="EK13" s="169" t="str">
        <f t="array" aca="1" ref="EK13" ca="1">IF(ROWS($9:12)&lt;=COUNTIF(Condition33,"o"),INDEX(Liste33,SMALL(IF(Condition33="o",ROW(INDIRECT("1:"&amp;ROWS(Liste33)))),ROWS($9:12))),"")</f>
        <v/>
      </c>
      <c r="EL13" s="175">
        <f t="shared" ca="1" si="68"/>
        <v>0</v>
      </c>
      <c r="EM13" s="175" t="str">
        <f t="shared" ca="1" si="69"/>
        <v/>
      </c>
      <c r="EN13" s="169" t="str">
        <f t="shared" ref="EN13:EN72" ca="1" si="126">IF(EM13="Total général","",IF(EM13&lt;&gt;"","o",""))</f>
        <v/>
      </c>
      <c r="EO13" s="169" t="str">
        <f t="array" aca="1" ref="EO13" ca="1">IF(ROWS($9:12)&lt;=COUNTIF(Condition34,"o"),INDEX(Liste34,SMALL(IF(Condition34="o",ROW(INDIRECT("1:"&amp;ROWS(Liste34)))),ROWS($9:12))),"")</f>
        <v/>
      </c>
      <c r="EP13" s="175">
        <f t="shared" ca="1" si="70"/>
        <v>0</v>
      </c>
      <c r="EQ13" s="175" t="str">
        <f t="shared" ca="1" si="71"/>
        <v/>
      </c>
      <c r="ER13" s="169" t="str">
        <f t="shared" ref="ER13:ER72" ca="1" si="127">IF(EQ13="Total général","",IF(EQ13&lt;&gt;"","o",""))</f>
        <v/>
      </c>
      <c r="ES13" s="169" t="str">
        <f t="array" aca="1" ref="ES13" ca="1">IF(ROWS($9:12)&lt;=COUNTIF(Condition35,"o"),INDEX(Liste35,SMALL(IF(Condition35="o",ROW(INDIRECT("1:"&amp;ROWS(Liste35)))),ROWS($9:12))),"")</f>
        <v/>
      </c>
      <c r="ET13" s="175">
        <f t="shared" ca="1" si="72"/>
        <v>0</v>
      </c>
      <c r="EU13" s="175" t="str">
        <f t="shared" ca="1" si="73"/>
        <v/>
      </c>
      <c r="EV13" s="169" t="str">
        <f t="shared" ref="EV13:EV72" ca="1" si="128">IF(EU13="Total général","",IF(EU13&lt;&gt;"","o",""))</f>
        <v/>
      </c>
      <c r="EW13" s="169" t="str">
        <f t="array" aca="1" ref="EW13" ca="1">IF(ROWS($9:12)&lt;=COUNTIF(Condition36,"o"),INDEX(Liste36,SMALL(IF(Condition36="o",ROW(INDIRECT("1:"&amp;ROWS(Liste36)))),ROWS($9:12))),"")</f>
        <v/>
      </c>
      <c r="EX13" s="175">
        <f t="shared" ca="1" si="74"/>
        <v>0</v>
      </c>
      <c r="EY13" s="175" t="str">
        <f t="shared" ca="1" si="75"/>
        <v/>
      </c>
      <c r="EZ13" s="169" t="str">
        <f t="shared" ca="1" si="85"/>
        <v/>
      </c>
      <c r="FA13" s="169" t="str">
        <f t="array" aca="1" ref="FA13" ca="1">IF(ROWS($9:12)&lt;=COUNTIF(Condition37,"o"),INDEX(Liste37,SMALL(IF(Condition37="o",ROW(INDIRECT("1:"&amp;ROWS(Liste37)))),ROWS($9:12))),"")</f>
        <v/>
      </c>
      <c r="FB13" s="175">
        <f t="shared" ca="1" si="76"/>
        <v>0</v>
      </c>
      <c r="FC13" s="175" t="str">
        <f t="shared" ca="1" si="77"/>
        <v/>
      </c>
      <c r="FD13" s="169" t="str">
        <f t="shared" ca="1" si="86"/>
        <v/>
      </c>
      <c r="FE13" s="169" t="str">
        <f t="array" aca="1" ref="FE13" ca="1">IF(ROWS($9:12)&lt;=COUNTIF(condition38,"o"),INDEX(liste38,SMALL(IF(condition38="o",ROW(INDIRECT("1:"&amp;ROWS(liste38)))),ROWS($9:12))),"")</f>
        <v/>
      </c>
      <c r="FF13" s="175">
        <f t="shared" ca="1" si="78"/>
        <v>0</v>
      </c>
      <c r="FG13" s="175" t="str">
        <f t="shared" ca="1" si="79"/>
        <v/>
      </c>
      <c r="FH13" s="169" t="str">
        <f t="shared" ca="1" si="87"/>
        <v/>
      </c>
      <c r="FI13" s="169" t="str">
        <f t="array" aca="1" ref="FI13" ca="1">IF(ROWS($9:12)&lt;=COUNTIF(Condition39,"o"),INDEX(Liste39,SMALL(IF(Condition39="o",ROW(INDIRECT("1:"&amp;ROWS(Liste39)))),ROWS($9:12))),"")</f>
        <v/>
      </c>
      <c r="FM13" s="1" t="s">
        <v>1182</v>
      </c>
      <c r="FN13" s="1" t="s">
        <v>1141</v>
      </c>
      <c r="FO13" s="180">
        <f>'Suivi objectifs'!D5</f>
        <v>0</v>
      </c>
      <c r="FP13" s="1366" t="str">
        <f>'Suivi objectifs'!C5</f>
        <v>Véhicules communaux</v>
      </c>
      <c r="FQ13" s="181" t="str">
        <f ca="1">IF(ISNA(VLOOKUP(FR13,Actions!$G$2:$AP$70,31,0)),"",VLOOKUP(FR13,Actions!$G$2:$AP$70,36,0))</f>
        <v/>
      </c>
      <c r="FR13" s="187" t="str">
        <f t="shared" ca="1" si="88"/>
        <v/>
      </c>
      <c r="FS13" s="286">
        <f t="shared" ca="1" si="80"/>
        <v>0</v>
      </c>
      <c r="FT13" s="181" t="str">
        <f ca="1">IF(ISNA(VLOOKUP(FU13,Actions!$G$2:$AP$70,31,0)),"",VLOOKUP(FU13,Actions!$G$2:$AP$70,36,0))</f>
        <v/>
      </c>
      <c r="FU13" s="187" t="str">
        <f t="shared" ca="1" si="89"/>
        <v/>
      </c>
      <c r="FV13" s="286">
        <f t="shared" ca="1" si="81"/>
        <v>0</v>
      </c>
      <c r="FW13" s="181" t="str">
        <f ca="1">IF(ISNA(VLOOKUP(FX13,Actions!$G$2:$AP$70,31,0)),"",VLOOKUP(FX13,Actions!$G$2:$AP$70,36,0))</f>
        <v/>
      </c>
      <c r="FX13" s="187" t="str">
        <f t="shared" ca="1" si="90"/>
        <v/>
      </c>
      <c r="FY13" s="286">
        <f t="shared" ca="1" si="82"/>
        <v>0</v>
      </c>
      <c r="FZ13" s="181" t="str">
        <f ca="1">IF(ISNA(VLOOKUP(GA13,Actions!$G$2:$AP$70,31,0)),"",VLOOKUP(GA13,Actions!$G$2:$AP$70,36,0))</f>
        <v/>
      </c>
      <c r="GA13" s="185" t="str">
        <f t="shared" ca="1" si="91"/>
        <v/>
      </c>
      <c r="GB13" s="286">
        <f t="shared" ca="1" si="83"/>
        <v>0</v>
      </c>
      <c r="GC13" s="181" t="str">
        <f ca="1">IF(ISNA(VLOOKUP(GD13,Actions!$G$2:$AP$70,31,0)),"",VLOOKUP(GD13,Actions!$G$2:$AP$70,36,0))</f>
        <v/>
      </c>
      <c r="GD13" s="185" t="str">
        <f t="shared" ca="1" si="92"/>
        <v/>
      </c>
      <c r="GE13" s="286">
        <f t="shared" ca="1" si="84"/>
        <v>0</v>
      </c>
      <c r="GF13" s="186">
        <f ca="1">SUM(FS13,FV13,FY13,GB13,GE13,)</f>
        <v>0</v>
      </c>
      <c r="GG13" s="233"/>
    </row>
    <row r="14" spans="1:189" hidden="1">
      <c r="A14" s="1" t="s">
        <v>1013</v>
      </c>
      <c r="B14" s="1">
        <f>Actions!F7</f>
        <v>6</v>
      </c>
      <c r="C14" s="1">
        <f ca="1">Actions!G7</f>
        <v>0</v>
      </c>
      <c r="D14" s="1">
        <f ca="1">Actions!H7</f>
        <v>0</v>
      </c>
      <c r="E14" s="1" t="str">
        <f ca="1">Actions!I7</f>
        <v>-</v>
      </c>
      <c r="F14" s="1" t="str">
        <f t="shared" ca="1" si="0"/>
        <v>-</v>
      </c>
      <c r="G14" s="1" t="e">
        <f t="shared" ca="1" si="1"/>
        <v>#REF!</v>
      </c>
      <c r="I14" s="1">
        <v>6</v>
      </c>
      <c r="J14" s="175">
        <f t="shared" ca="1" si="2"/>
        <v>0</v>
      </c>
      <c r="K14" s="175" t="str">
        <f t="shared" ca="1" si="3"/>
        <v/>
      </c>
      <c r="L14" s="169" t="str">
        <f t="shared" ca="1" si="93"/>
        <v/>
      </c>
      <c r="M14" s="169" t="str">
        <f t="array" aca="1" ref="M14" ca="1">IF(ROWS($9:13)&lt;=COUNTIF(Condition1,"o"),INDEX(Liste1,SMALL(IF(Condition1="o",ROW(INDIRECT("1:"&amp;ROWS(Liste1)))),ROWS($9:13))),"")</f>
        <v/>
      </c>
      <c r="N14" s="175">
        <f t="shared" ca="1" si="4"/>
        <v>0</v>
      </c>
      <c r="O14" s="175" t="str">
        <f t="shared" ca="1" si="5"/>
        <v/>
      </c>
      <c r="P14" s="169" t="str">
        <f t="shared" ca="1" si="94"/>
        <v/>
      </c>
      <c r="Q14" s="169" t="str">
        <f t="array" aca="1" ref="Q14" ca="1">IF(ROWS($9:13)&lt;=COUNTIF(Condition2,"o"),INDEX(Liste2,SMALL(IF(Condition2="o",ROW(INDIRECT("1:"&amp;ROWS(Liste2)))),ROWS($9:13))),"")</f>
        <v/>
      </c>
      <c r="R14" s="175">
        <f t="shared" ca="1" si="6"/>
        <v>0</v>
      </c>
      <c r="S14" s="175" t="str">
        <f t="shared" ca="1" si="7"/>
        <v/>
      </c>
      <c r="T14" s="169" t="str">
        <f t="shared" ca="1" si="95"/>
        <v/>
      </c>
      <c r="U14" s="169" t="str">
        <f t="array" aca="1" ref="U14" ca="1">IF(ROWS($9:13)&lt;=COUNTIF(Condition3,"o"),INDEX(Liste3,SMALL(IF(Condition3="o",ROW(INDIRECT("1:"&amp;ROWS(Liste3)))),ROWS($9:13))),"")</f>
        <v/>
      </c>
      <c r="V14" s="175">
        <f t="shared" ca="1" si="8"/>
        <v>0</v>
      </c>
      <c r="W14" s="175" t="str">
        <f t="shared" ca="1" si="9"/>
        <v/>
      </c>
      <c r="X14" s="169" t="str">
        <f t="shared" ca="1" si="96"/>
        <v/>
      </c>
      <c r="Y14" s="169" t="str">
        <f t="array" aca="1" ref="Y14" ca="1">IF(ROWS($9:13)&lt;=COUNTIF(Condition4,"o"),INDEX(Liste4,SMALL(IF(Condition4="o",ROW(INDIRECT("1:"&amp;ROWS(Liste4)))),ROWS($9:13))),"")</f>
        <v/>
      </c>
      <c r="Z14" s="175">
        <f t="shared" ca="1" si="10"/>
        <v>0</v>
      </c>
      <c r="AA14" s="175" t="str">
        <f t="shared" ca="1" si="11"/>
        <v/>
      </c>
      <c r="AB14" s="169" t="str">
        <f t="shared" ca="1" si="97"/>
        <v/>
      </c>
      <c r="AC14" s="169" t="str">
        <f t="array" aca="1" ref="AC14" ca="1">IF(ROWS($9:13)&lt;=COUNTIF(Condition5,"o"),INDEX(Liste5,SMALL(IF(Condition5="o",ROW(INDIRECT("1:"&amp;ROWS(Liste5)))),ROWS($9:13))),"")</f>
        <v/>
      </c>
      <c r="AD14" s="175">
        <f t="shared" ca="1" si="12"/>
        <v>0</v>
      </c>
      <c r="AE14" s="175" t="str">
        <f t="shared" ca="1" si="13"/>
        <v/>
      </c>
      <c r="AF14" s="169" t="str">
        <f t="shared" ca="1" si="98"/>
        <v/>
      </c>
      <c r="AG14" s="169" t="str">
        <f t="array" aca="1" ref="AG14" ca="1">IF(ROWS($9:13)&lt;=COUNTIF(Condition6,"o"),INDEX(Liste6,SMALL(IF(Condition6="o",ROW(INDIRECT("1:"&amp;ROWS(Liste6)))),ROWS($9:13))),"")</f>
        <v/>
      </c>
      <c r="AH14" s="175">
        <f t="shared" ca="1" si="14"/>
        <v>0</v>
      </c>
      <c r="AI14" s="175" t="str">
        <f t="shared" ca="1" si="15"/>
        <v/>
      </c>
      <c r="AJ14" s="169" t="str">
        <f t="shared" ca="1" si="99"/>
        <v/>
      </c>
      <c r="AK14" s="169" t="str">
        <f t="array" aca="1" ref="AK14" ca="1">IF(ROWS($9:13)&lt;=COUNTIF(Condition7,"o"),INDEX(Liste7,SMALL(IF(Condition7="o",ROW(INDIRECT("1:"&amp;ROWS(Liste7)))),ROWS($9:13))),"")</f>
        <v/>
      </c>
      <c r="AL14" s="175">
        <f t="shared" ca="1" si="16"/>
        <v>0</v>
      </c>
      <c r="AM14" s="175" t="str">
        <f t="shared" ca="1" si="17"/>
        <v/>
      </c>
      <c r="AN14" s="169" t="str">
        <f t="shared" ca="1" si="100"/>
        <v/>
      </c>
      <c r="AO14" s="169" t="str">
        <f t="array" aca="1" ref="AO14" ca="1">IF(ROWS($9:13)&lt;=COUNTIF(Condition8,"o"),INDEX(Liste8,SMALL(IF(Condition8="o",ROW(INDIRECT("1:"&amp;ROWS(Liste8)))),ROWS($9:13))),"")</f>
        <v/>
      </c>
      <c r="AP14" s="175">
        <f t="shared" ca="1" si="18"/>
        <v>0</v>
      </c>
      <c r="AQ14" s="175" t="str">
        <f t="shared" ca="1" si="19"/>
        <v/>
      </c>
      <c r="AR14" s="169" t="str">
        <f t="shared" ca="1" si="101"/>
        <v/>
      </c>
      <c r="AS14" s="169" t="str">
        <f t="array" aca="1" ref="AS14" ca="1">IF(ROWS($9:13)&lt;=COUNTIF(Condition9,"o"),INDEX(Liste9,SMALL(IF(Condition9="o",ROW(INDIRECT("1:"&amp;ROWS(Liste9)))),ROWS($9:13))),"")</f>
        <v/>
      </c>
      <c r="AT14" s="175">
        <f t="shared" ca="1" si="20"/>
        <v>0</v>
      </c>
      <c r="AU14" s="175" t="str">
        <f t="shared" ca="1" si="21"/>
        <v/>
      </c>
      <c r="AV14" s="169" t="str">
        <f t="shared" ca="1" si="102"/>
        <v/>
      </c>
      <c r="AW14" s="169" t="str">
        <f t="array" aca="1" ref="AW14" ca="1">IF(ROWS($9:13)&lt;=COUNTIF(Condition10,"o"),INDEX(Liste10,SMALL(IF(Condition10="o",ROW(INDIRECT("1:"&amp;ROWS(Liste10)))),ROWS($9:13))),"")</f>
        <v/>
      </c>
      <c r="AX14" s="175">
        <f t="shared" ca="1" si="22"/>
        <v>0</v>
      </c>
      <c r="AY14" s="175" t="str">
        <f t="shared" ca="1" si="23"/>
        <v/>
      </c>
      <c r="AZ14" s="169" t="str">
        <f t="shared" ca="1" si="103"/>
        <v/>
      </c>
      <c r="BA14" s="169" t="str">
        <f t="array" aca="1" ref="BA14" ca="1">IF(ROWS($9:13)&lt;=COUNTIF(Condition11,"o"),INDEX(Liste11,SMALL(IF(Condition11="o",ROW(INDIRECT("1:"&amp;ROWS(Liste11)))),ROWS($9:13))),"")</f>
        <v/>
      </c>
      <c r="BB14" s="175">
        <f t="shared" ca="1" si="24"/>
        <v>0</v>
      </c>
      <c r="BC14" s="175" t="str">
        <f t="shared" ca="1" si="25"/>
        <v/>
      </c>
      <c r="BD14" s="169" t="str">
        <f t="shared" ca="1" si="104"/>
        <v/>
      </c>
      <c r="BE14" s="169" t="str">
        <f t="array" aca="1" ref="BE14" ca="1">IF(ROWS($9:13)&lt;=COUNTIF(Condition12,"o"),INDEX(Liste12,SMALL(IF(Condition12="o",ROW(INDIRECT("1:"&amp;ROWS(Liste12)))),ROWS($9:13))),"")</f>
        <v/>
      </c>
      <c r="BF14" s="175">
        <f t="shared" ca="1" si="26"/>
        <v>0</v>
      </c>
      <c r="BG14" s="175" t="str">
        <f t="shared" ca="1" si="27"/>
        <v/>
      </c>
      <c r="BH14" s="169" t="str">
        <f t="shared" ca="1" si="105"/>
        <v/>
      </c>
      <c r="BI14" s="169" t="str">
        <f t="array" aca="1" ref="BI14" ca="1">IF(ROWS($9:13)&lt;=COUNTIF(Condition13,"o"),INDEX(Liste13,SMALL(IF(Condition13="o",ROW(INDIRECT("1:"&amp;ROWS(Liste13)))),ROWS($9:13))),"")</f>
        <v/>
      </c>
      <c r="BJ14" s="175">
        <f t="shared" ca="1" si="28"/>
        <v>0</v>
      </c>
      <c r="BK14" s="175" t="str">
        <f t="shared" ca="1" si="29"/>
        <v/>
      </c>
      <c r="BL14" s="169" t="str">
        <f t="shared" ca="1" si="106"/>
        <v/>
      </c>
      <c r="BM14" s="169" t="str">
        <f t="array" aca="1" ref="BM14" ca="1">IF(ROWS($9:13)&lt;=COUNTIF(Condition14,"o"),INDEX(Liste14,SMALL(IF(Condition14="o",ROW(INDIRECT("1:"&amp;ROWS(Liste14)))),ROWS($9:13))),"")</f>
        <v/>
      </c>
      <c r="BN14" s="175">
        <f t="shared" ca="1" si="30"/>
        <v>0</v>
      </c>
      <c r="BO14" s="175" t="str">
        <f t="shared" ca="1" si="31"/>
        <v/>
      </c>
      <c r="BP14" s="169" t="str">
        <f t="shared" ca="1" si="107"/>
        <v/>
      </c>
      <c r="BQ14" s="169" t="str">
        <f t="array" aca="1" ref="BQ14" ca="1">IF(ROWS($9:13)&lt;=COUNTIF(Condition15,"o"),INDEX(Liste15,SMALL(IF(Condition15="o",ROW(INDIRECT("1:"&amp;ROWS(Liste15)))),ROWS($9:13))),"")</f>
        <v/>
      </c>
      <c r="BR14" s="175">
        <f t="shared" ca="1" si="32"/>
        <v>0</v>
      </c>
      <c r="BS14" s="175" t="str">
        <f t="shared" ca="1" si="33"/>
        <v/>
      </c>
      <c r="BT14" s="169" t="str">
        <f t="shared" ca="1" si="108"/>
        <v/>
      </c>
      <c r="BU14" s="169" t="str">
        <f t="array" aca="1" ref="BU14" ca="1">IF(ROWS($9:13)&lt;=COUNTIF(Condition16,"o"),INDEX(Liste16,SMALL(IF(Condition16="o",ROW(INDIRECT("1:"&amp;ROWS(Liste16)))),ROWS($9:13))),"")</f>
        <v/>
      </c>
      <c r="BV14" s="175">
        <f t="shared" ca="1" si="34"/>
        <v>0</v>
      </c>
      <c r="BW14" s="175" t="str">
        <f t="shared" ca="1" si="35"/>
        <v/>
      </c>
      <c r="BX14" s="169" t="str">
        <f t="shared" ca="1" si="109"/>
        <v/>
      </c>
      <c r="BY14" s="169" t="str">
        <f t="array" aca="1" ref="BY14" ca="1">IF(ROWS($9:13)&lt;=COUNTIF(Condition17,"o"),INDEX(Liste17,SMALL(IF(Condition17="o",ROW(INDIRECT("1:"&amp;ROWS(Liste17)))),ROWS($9:13))),"")</f>
        <v/>
      </c>
      <c r="BZ14" s="175">
        <f t="shared" ca="1" si="36"/>
        <v>0</v>
      </c>
      <c r="CA14" s="175" t="str">
        <f t="shared" ca="1" si="37"/>
        <v/>
      </c>
      <c r="CB14" s="169" t="str">
        <f t="shared" ca="1" si="110"/>
        <v/>
      </c>
      <c r="CC14" s="169" t="str">
        <f t="array" aca="1" ref="CC14" ca="1">IF(ROWS($9:13)&lt;=COUNTIF(Condition18,"o"),INDEX(Liste18,SMALL(IF(Condition18="o",ROW(INDIRECT("1:"&amp;ROWS(Liste18)))),ROWS($9:13))),"")</f>
        <v/>
      </c>
      <c r="CD14" s="175">
        <f t="shared" ca="1" si="38"/>
        <v>0</v>
      </c>
      <c r="CE14" s="175" t="str">
        <f t="shared" ca="1" si="39"/>
        <v/>
      </c>
      <c r="CF14" s="169" t="str">
        <f t="shared" ca="1" si="111"/>
        <v/>
      </c>
      <c r="CG14" s="169" t="str">
        <f t="array" aca="1" ref="CG14" ca="1">IF(ROWS($9:13)&lt;=COUNTIF(Condition19,"o"),INDEX(Liste19,SMALL(IF(Condition19="o",ROW(INDIRECT("1:"&amp;ROWS(Liste19)))),ROWS($9:13))),"")</f>
        <v/>
      </c>
      <c r="CH14" s="175">
        <f t="shared" ca="1" si="40"/>
        <v>0</v>
      </c>
      <c r="CI14" s="175" t="str">
        <f t="shared" ca="1" si="41"/>
        <v/>
      </c>
      <c r="CJ14" s="169" t="str">
        <f t="shared" ca="1" si="112"/>
        <v/>
      </c>
      <c r="CK14" s="169" t="str">
        <f t="array" aca="1" ref="CK14" ca="1">IF(ROWS($9:13)&lt;=COUNTIF(Condition20,"o"),INDEX(Liste20,SMALL(IF(Condition20="o",ROW(INDIRECT("1:"&amp;ROWS(Liste20)))),ROWS($9:13))),"")</f>
        <v/>
      </c>
      <c r="CL14" s="175">
        <f t="shared" ca="1" si="42"/>
        <v>0</v>
      </c>
      <c r="CM14" s="175" t="str">
        <f t="shared" ca="1" si="43"/>
        <v/>
      </c>
      <c r="CN14" s="169" t="str">
        <f t="shared" ca="1" si="113"/>
        <v/>
      </c>
      <c r="CO14" s="169" t="str">
        <f t="array" aca="1" ref="CO14" ca="1">IF(ROWS($9:13)&lt;=COUNTIF(Condition21,"o"),INDEX(Liste21,SMALL(IF(Condition21="o",ROW(INDIRECT("1:"&amp;ROWS(Liste21)))),ROWS($9:13))),"")</f>
        <v/>
      </c>
      <c r="CP14" s="175">
        <f t="shared" ca="1" si="44"/>
        <v>0</v>
      </c>
      <c r="CQ14" s="175" t="str">
        <f t="shared" ca="1" si="45"/>
        <v/>
      </c>
      <c r="CR14" s="169" t="str">
        <f t="shared" ca="1" si="114"/>
        <v/>
      </c>
      <c r="CS14" s="169" t="str">
        <f t="array" aca="1" ref="CS14" ca="1">IF(ROWS($9:13)&lt;=COUNTIF(Condition22,"o"),INDEX(Liste22,SMALL(IF(Condition22="o",ROW(INDIRECT("1:"&amp;ROWS(Liste22)))),ROWS($9:13))),"")</f>
        <v/>
      </c>
      <c r="CT14" s="175">
        <f t="shared" ca="1" si="46"/>
        <v>0</v>
      </c>
      <c r="CU14" s="175" t="str">
        <f t="shared" ca="1" si="47"/>
        <v/>
      </c>
      <c r="CV14" s="169" t="str">
        <f t="shared" ca="1" si="115"/>
        <v/>
      </c>
      <c r="CW14" s="169" t="str">
        <f t="array" aca="1" ref="CW14" ca="1">IF(ROWS($9:13)&lt;=COUNTIF(Condition23,"o"),INDEX(Liste23,SMALL(IF(Condition23="o",ROW(INDIRECT("1:"&amp;ROWS(Liste23)))),ROWS($9:13))),"")</f>
        <v/>
      </c>
      <c r="CX14" s="175">
        <f t="shared" ca="1" si="48"/>
        <v>0</v>
      </c>
      <c r="CY14" s="175" t="str">
        <f t="shared" ca="1" si="49"/>
        <v/>
      </c>
      <c r="CZ14" s="169" t="str">
        <f t="shared" ca="1" si="116"/>
        <v/>
      </c>
      <c r="DA14" s="169" t="str">
        <f t="array" aca="1" ref="DA14" ca="1">IF(ROWS($9:13)&lt;=COUNTIF(Condition24,"o"),INDEX(Liste24,SMALL(IF(Condition24="o",ROW(INDIRECT("1:"&amp;ROWS(Liste24)))),ROWS($9:13))),"")</f>
        <v/>
      </c>
      <c r="DB14" s="175">
        <f t="shared" ca="1" si="50"/>
        <v>0</v>
      </c>
      <c r="DC14" s="175" t="str">
        <f t="shared" ca="1" si="51"/>
        <v/>
      </c>
      <c r="DD14" s="169" t="str">
        <f t="shared" ca="1" si="117"/>
        <v/>
      </c>
      <c r="DE14" s="169" t="str">
        <f t="array" aca="1" ref="DE14" ca="1">IF(ROWS($9:13)&lt;=COUNTIF(Condition25,"o"),INDEX(Liste25,SMALL(IF(Condition25="o",ROW(INDIRECT("1:"&amp;ROWS(Liste25)))),ROWS($9:13))),"")</f>
        <v/>
      </c>
      <c r="DF14" s="175">
        <f t="shared" ca="1" si="52"/>
        <v>0</v>
      </c>
      <c r="DG14" s="175" t="str">
        <f t="shared" ca="1" si="53"/>
        <v/>
      </c>
      <c r="DH14" s="169" t="str">
        <f t="shared" ca="1" si="118"/>
        <v/>
      </c>
      <c r="DI14" s="169" t="str">
        <f t="array" aca="1" ref="DI14" ca="1">IF(ROWS($9:13)&lt;=COUNTIF(Condition26,"o"),INDEX(Liste26,SMALL(IF(Condition26="o",ROW(INDIRECT("1:"&amp;ROWS(Liste26)))),ROWS($9:13))),"")</f>
        <v/>
      </c>
      <c r="DJ14" s="175">
        <f t="shared" ca="1" si="54"/>
        <v>0</v>
      </c>
      <c r="DK14" s="175" t="str">
        <f t="shared" ca="1" si="55"/>
        <v/>
      </c>
      <c r="DL14" s="169" t="str">
        <f t="shared" ca="1" si="119"/>
        <v/>
      </c>
      <c r="DM14" s="169" t="str">
        <f t="array" aca="1" ref="DM14" ca="1">IF(ROWS($9:13)&lt;=COUNTIF(Condition27,"o"),INDEX(Liste27,SMALL(IF(Condition27="o",ROW(INDIRECT("1:"&amp;ROWS(Liste27)))),ROWS($9:13))),"")</f>
        <v/>
      </c>
      <c r="DN14" s="175">
        <f t="shared" ca="1" si="56"/>
        <v>0</v>
      </c>
      <c r="DO14" s="175" t="str">
        <f t="shared" ca="1" si="57"/>
        <v/>
      </c>
      <c r="DP14" s="169" t="str">
        <f t="shared" ca="1" si="120"/>
        <v/>
      </c>
      <c r="DQ14" s="169" t="str">
        <f t="array" aca="1" ref="DQ14" ca="1">IF(ROWS($9:13)&lt;=COUNTIF(Condition28,"o"),INDEX(Liste28,SMALL(IF(Condition28="o",ROW(INDIRECT("1:"&amp;ROWS(Liste28)))),ROWS($9:13))),"")</f>
        <v/>
      </c>
      <c r="DR14" s="175">
        <f t="shared" ca="1" si="58"/>
        <v>0</v>
      </c>
      <c r="DS14" s="175" t="str">
        <f t="shared" ca="1" si="59"/>
        <v/>
      </c>
      <c r="DT14" s="169" t="str">
        <f t="shared" ca="1" si="121"/>
        <v/>
      </c>
      <c r="DU14" s="169" t="str">
        <f t="array" aca="1" ref="DU14" ca="1">IF(ROWS($9:13)&lt;=COUNTIF(Condition29,"o"),INDEX(Liste29,SMALL(IF(Condition29="o",ROW(INDIRECT("1:"&amp;ROWS(Liste29)))),ROWS($9:13))),"")</f>
        <v/>
      </c>
      <c r="DV14" s="175">
        <f t="shared" ca="1" si="60"/>
        <v>0</v>
      </c>
      <c r="DW14" s="175" t="str">
        <f t="shared" ca="1" si="61"/>
        <v/>
      </c>
      <c r="DX14" s="169" t="str">
        <f t="shared" ca="1" si="122"/>
        <v/>
      </c>
      <c r="DY14" s="169" t="str">
        <f t="array" aca="1" ref="DY14" ca="1">IF(ROWS($9:13)&lt;=COUNTIF(Condition30,"o"),INDEX(Liste30,SMALL(IF(Condition30="o",ROW(INDIRECT("1:"&amp;ROWS(Liste30)))),ROWS($9:13))),"")</f>
        <v/>
      </c>
      <c r="DZ14" s="175">
        <f t="shared" ca="1" si="62"/>
        <v>0</v>
      </c>
      <c r="EA14" s="175" t="str">
        <f t="shared" ca="1" si="63"/>
        <v/>
      </c>
      <c r="EB14" s="169" t="str">
        <f t="shared" ca="1" si="123"/>
        <v/>
      </c>
      <c r="EC14" s="169" t="str">
        <f t="array" aca="1" ref="EC14" ca="1">IF(ROWS($9:13)&lt;=COUNTIF(Condition31,"o"),INDEX(Liste31,SMALL(IF(Condition31="o",ROW(INDIRECT("1:"&amp;ROWS(Liste31)))),ROWS($9:13))),"")</f>
        <v/>
      </c>
      <c r="ED14" s="175">
        <f t="shared" ca="1" si="64"/>
        <v>0</v>
      </c>
      <c r="EE14" s="175" t="str">
        <f t="shared" ca="1" si="65"/>
        <v/>
      </c>
      <c r="EF14" s="169" t="str">
        <f t="shared" ca="1" si="124"/>
        <v/>
      </c>
      <c r="EG14" s="169" t="str">
        <f t="array" aca="1" ref="EG14" ca="1">IF(ROWS($9:13)&lt;=COUNTIF(Condition32,"o"),INDEX(Liste32,SMALL(IF(Condition32="o",ROW(INDIRECT("1:"&amp;ROWS(Liste32)))),ROWS($9:13))),"")</f>
        <v/>
      </c>
      <c r="EH14" s="175">
        <f t="shared" ca="1" si="66"/>
        <v>0</v>
      </c>
      <c r="EI14" s="175" t="str">
        <f t="shared" ca="1" si="67"/>
        <v/>
      </c>
      <c r="EJ14" s="169" t="str">
        <f t="shared" ca="1" si="125"/>
        <v/>
      </c>
      <c r="EK14" s="169" t="str">
        <f t="array" aca="1" ref="EK14" ca="1">IF(ROWS($9:13)&lt;=COUNTIF(Condition33,"o"),INDEX(Liste33,SMALL(IF(Condition33="o",ROW(INDIRECT("1:"&amp;ROWS(Liste33)))),ROWS($9:13))),"")</f>
        <v/>
      </c>
      <c r="EL14" s="175">
        <f t="shared" ca="1" si="68"/>
        <v>0</v>
      </c>
      <c r="EM14" s="175" t="str">
        <f t="shared" ca="1" si="69"/>
        <v/>
      </c>
      <c r="EN14" s="169" t="str">
        <f t="shared" ca="1" si="126"/>
        <v/>
      </c>
      <c r="EO14" s="169" t="str">
        <f t="array" aca="1" ref="EO14" ca="1">IF(ROWS($9:13)&lt;=COUNTIF(Condition34,"o"),INDEX(Liste34,SMALL(IF(Condition34="o",ROW(INDIRECT("1:"&amp;ROWS(Liste34)))),ROWS($9:13))),"")</f>
        <v/>
      </c>
      <c r="EP14" s="175">
        <f t="shared" ca="1" si="70"/>
        <v>0</v>
      </c>
      <c r="EQ14" s="175" t="str">
        <f t="shared" ca="1" si="71"/>
        <v/>
      </c>
      <c r="ER14" s="169" t="str">
        <f t="shared" ca="1" si="127"/>
        <v/>
      </c>
      <c r="ES14" s="169" t="str">
        <f t="array" aca="1" ref="ES14" ca="1">IF(ROWS($9:13)&lt;=COUNTIF(Condition35,"o"),INDEX(Liste35,SMALL(IF(Condition35="o",ROW(INDIRECT("1:"&amp;ROWS(Liste35)))),ROWS($9:13))),"")</f>
        <v/>
      </c>
      <c r="ET14" s="175">
        <f t="shared" ca="1" si="72"/>
        <v>0</v>
      </c>
      <c r="EU14" s="175" t="str">
        <f t="shared" ca="1" si="73"/>
        <v/>
      </c>
      <c r="EV14" s="169" t="str">
        <f t="shared" ca="1" si="128"/>
        <v/>
      </c>
      <c r="EW14" s="169" t="str">
        <f t="array" aca="1" ref="EW14" ca="1">IF(ROWS($9:13)&lt;=COUNTIF(Condition36,"o"),INDEX(Liste36,SMALL(IF(Condition36="o",ROW(INDIRECT("1:"&amp;ROWS(Liste36)))),ROWS($9:13))),"")</f>
        <v/>
      </c>
      <c r="EX14" s="175">
        <f t="shared" ca="1" si="74"/>
        <v>0</v>
      </c>
      <c r="EY14" s="175" t="str">
        <f t="shared" ca="1" si="75"/>
        <v/>
      </c>
      <c r="EZ14" s="169" t="str">
        <f t="shared" ca="1" si="85"/>
        <v/>
      </c>
      <c r="FA14" s="169" t="str">
        <f t="array" aca="1" ref="FA14" ca="1">IF(ROWS($9:13)&lt;=COUNTIF(Condition37,"o"),INDEX(Liste37,SMALL(IF(Condition37="o",ROW(INDIRECT("1:"&amp;ROWS(Liste37)))),ROWS($9:13))),"")</f>
        <v/>
      </c>
      <c r="FB14" s="175">
        <f t="shared" ca="1" si="76"/>
        <v>0</v>
      </c>
      <c r="FC14" s="175" t="str">
        <f t="shared" ca="1" si="77"/>
        <v/>
      </c>
      <c r="FD14" s="169" t="str">
        <f t="shared" ca="1" si="86"/>
        <v/>
      </c>
      <c r="FE14" s="169" t="str">
        <f t="array" aca="1" ref="FE14" ca="1">IF(ROWS($9:13)&lt;=COUNTIF(condition38,"o"),INDEX(liste38,SMALL(IF(condition38="o",ROW(INDIRECT("1:"&amp;ROWS(liste38)))),ROWS($9:13))),"")</f>
        <v/>
      </c>
      <c r="FF14" s="175">
        <f t="shared" ca="1" si="78"/>
        <v>0</v>
      </c>
      <c r="FG14" s="175" t="str">
        <f t="shared" ca="1" si="79"/>
        <v/>
      </c>
      <c r="FH14" s="169" t="str">
        <f t="shared" ca="1" si="87"/>
        <v/>
      </c>
      <c r="FI14" s="169" t="str">
        <f t="array" aca="1" ref="FI14" ca="1">IF(ROWS($9:13)&lt;=COUNTIF(Condition39,"o"),INDEX(Liste39,SMALL(IF(Condition39="o",ROW(INDIRECT("1:"&amp;ROWS(Liste39)))),ROWS($9:13))),"")</f>
        <v/>
      </c>
      <c r="FM14" s="1" t="s">
        <v>1183</v>
      </c>
      <c r="FN14" s="1" t="s">
        <v>1142</v>
      </c>
      <c r="FO14" s="180">
        <f>'Suivi objectifs'!D6</f>
        <v>0</v>
      </c>
      <c r="FP14" s="1366" t="str">
        <f>'Suivi objectifs'!C6</f>
        <v>Industrie non-ETS</v>
      </c>
      <c r="FQ14" s="181" t="str">
        <f ca="1">IF(ISNA(VLOOKUP(FR14,Actions!$G$2:$AP$70,31,0)),"",VLOOKUP(FR14,Actions!$G$2:$AP$70,36,0))</f>
        <v/>
      </c>
      <c r="FR14" s="187" t="str">
        <f t="shared" ca="1" si="88"/>
        <v/>
      </c>
      <c r="FS14" s="286">
        <f t="shared" ca="1" si="80"/>
        <v>0</v>
      </c>
      <c r="FT14" s="181" t="str">
        <f ca="1">IF(ISNA(VLOOKUP(FU14,Actions!$G$2:$AP$70,31,0)),"",VLOOKUP(FU14,Actions!$G$2:$AP$70,36,0))</f>
        <v/>
      </c>
      <c r="FU14" s="187" t="str">
        <f t="shared" ca="1" si="89"/>
        <v/>
      </c>
      <c r="FV14" s="286">
        <f t="shared" ca="1" si="81"/>
        <v>0</v>
      </c>
      <c r="FW14" s="181" t="str">
        <f ca="1">IF(ISNA(VLOOKUP(FX14,Actions!$G$2:$AP$70,31,0)),"",VLOOKUP(FX14,Actions!$G$2:$AP$70,36,0))</f>
        <v/>
      </c>
      <c r="FX14" s="187" t="str">
        <f t="shared" ca="1" si="90"/>
        <v/>
      </c>
      <c r="FY14" s="286">
        <f t="shared" ca="1" si="82"/>
        <v>0</v>
      </c>
      <c r="FZ14" s="181" t="str">
        <f ca="1">IF(ISNA(VLOOKUP(GA14,Actions!$G$2:$AP$70,31,0)),"",VLOOKUP(GA14,Actions!$G$2:$AP$70,36,0))</f>
        <v/>
      </c>
      <c r="GA14" s="185" t="str">
        <f t="shared" ca="1" si="91"/>
        <v/>
      </c>
      <c r="GB14" s="286">
        <f t="shared" ca="1" si="83"/>
        <v>0</v>
      </c>
      <c r="GC14" s="181" t="str">
        <f ca="1">IF(ISNA(VLOOKUP(GD14,Actions!$G$2:$AP$70,31,0)),"",VLOOKUP(GD14,Actions!$G$2:$AP$70,36,0))</f>
        <v/>
      </c>
      <c r="GD14" s="185" t="str">
        <f t="shared" ca="1" si="92"/>
        <v/>
      </c>
      <c r="GE14" s="286">
        <f t="shared" ca="1" si="84"/>
        <v>0</v>
      </c>
      <c r="GF14" s="186">
        <f ca="1">SUM(FS14,FV14,FY14,GB14,GE14,)</f>
        <v>0</v>
      </c>
      <c r="GG14" s="233"/>
    </row>
    <row r="15" spans="1:189" hidden="1">
      <c r="A15" s="1" t="s">
        <v>1031</v>
      </c>
      <c r="B15" s="1">
        <f>Actions!F8</f>
        <v>7</v>
      </c>
      <c r="C15" s="1">
        <f ca="1">Actions!G8</f>
        <v>0</v>
      </c>
      <c r="D15" s="1">
        <f ca="1">Actions!H8</f>
        <v>0</v>
      </c>
      <c r="E15" s="1" t="str">
        <f ca="1">Actions!I8</f>
        <v>-</v>
      </c>
      <c r="F15" s="1" t="str">
        <f t="shared" ca="1" si="0"/>
        <v>-</v>
      </c>
      <c r="G15" s="1" t="e">
        <f t="shared" ca="1" si="1"/>
        <v>#REF!</v>
      </c>
      <c r="I15" s="1">
        <v>7</v>
      </c>
      <c r="J15" s="175">
        <f t="shared" ca="1" si="2"/>
        <v>0</v>
      </c>
      <c r="K15" s="175" t="str">
        <f t="shared" ca="1" si="3"/>
        <v/>
      </c>
      <c r="L15" s="169" t="str">
        <f t="shared" ca="1" si="93"/>
        <v/>
      </c>
      <c r="M15" s="169" t="str">
        <f t="array" aca="1" ref="M15" ca="1">IF(ROWS($9:14)&lt;=COUNTIF(Condition1,"o"),INDEX(Liste1,SMALL(IF(Condition1="o",ROW(INDIRECT("1:"&amp;ROWS(Liste1)))),ROWS($9:14))),"")</f>
        <v/>
      </c>
      <c r="N15" s="175">
        <f t="shared" ca="1" si="4"/>
        <v>0</v>
      </c>
      <c r="O15" s="175" t="str">
        <f t="shared" ca="1" si="5"/>
        <v/>
      </c>
      <c r="P15" s="169" t="str">
        <f t="shared" ca="1" si="94"/>
        <v/>
      </c>
      <c r="Q15" s="169" t="str">
        <f t="array" aca="1" ref="Q15" ca="1">IF(ROWS($9:14)&lt;=COUNTIF(Condition2,"o"),INDEX(Liste2,SMALL(IF(Condition2="o",ROW(INDIRECT("1:"&amp;ROWS(Liste2)))),ROWS($9:14))),"")</f>
        <v/>
      </c>
      <c r="R15" s="175">
        <f t="shared" ca="1" si="6"/>
        <v>0</v>
      </c>
      <c r="S15" s="175" t="str">
        <f t="shared" ca="1" si="7"/>
        <v/>
      </c>
      <c r="T15" s="169" t="str">
        <f t="shared" ca="1" si="95"/>
        <v/>
      </c>
      <c r="U15" s="169" t="str">
        <f t="array" aca="1" ref="U15" ca="1">IF(ROWS($9:14)&lt;=COUNTIF(Condition3,"o"),INDEX(Liste3,SMALL(IF(Condition3="o",ROW(INDIRECT("1:"&amp;ROWS(Liste3)))),ROWS($9:14))),"")</f>
        <v/>
      </c>
      <c r="V15" s="175">
        <f t="shared" ca="1" si="8"/>
        <v>0</v>
      </c>
      <c r="W15" s="175" t="str">
        <f t="shared" ca="1" si="9"/>
        <v/>
      </c>
      <c r="X15" s="169" t="str">
        <f t="shared" ca="1" si="96"/>
        <v/>
      </c>
      <c r="Y15" s="169" t="str">
        <f t="array" aca="1" ref="Y15" ca="1">IF(ROWS($9:14)&lt;=COUNTIF(Condition4,"o"),INDEX(Liste4,SMALL(IF(Condition4="o",ROW(INDIRECT("1:"&amp;ROWS(Liste4)))),ROWS($9:14))),"")</f>
        <v/>
      </c>
      <c r="Z15" s="175">
        <f t="shared" ca="1" si="10"/>
        <v>0</v>
      </c>
      <c r="AA15" s="175" t="str">
        <f t="shared" ca="1" si="11"/>
        <v/>
      </c>
      <c r="AB15" s="169" t="str">
        <f t="shared" ca="1" si="97"/>
        <v/>
      </c>
      <c r="AC15" s="169" t="str">
        <f t="array" aca="1" ref="AC15" ca="1">IF(ROWS($9:14)&lt;=COUNTIF(Condition5,"o"),INDEX(Liste5,SMALL(IF(Condition5="o",ROW(INDIRECT("1:"&amp;ROWS(Liste5)))),ROWS($9:14))),"")</f>
        <v/>
      </c>
      <c r="AD15" s="175">
        <f t="shared" ca="1" si="12"/>
        <v>0</v>
      </c>
      <c r="AE15" s="175" t="str">
        <f t="shared" ca="1" si="13"/>
        <v/>
      </c>
      <c r="AF15" s="169" t="str">
        <f t="shared" ca="1" si="98"/>
        <v/>
      </c>
      <c r="AG15" s="169" t="str">
        <f t="array" aca="1" ref="AG15" ca="1">IF(ROWS($9:14)&lt;=COUNTIF(Condition6,"o"),INDEX(Liste6,SMALL(IF(Condition6="o",ROW(INDIRECT("1:"&amp;ROWS(Liste6)))),ROWS($9:14))),"")</f>
        <v/>
      </c>
      <c r="AH15" s="175">
        <f t="shared" ca="1" si="14"/>
        <v>0</v>
      </c>
      <c r="AI15" s="175" t="str">
        <f t="shared" ca="1" si="15"/>
        <v/>
      </c>
      <c r="AJ15" s="169" t="str">
        <f t="shared" ca="1" si="99"/>
        <v/>
      </c>
      <c r="AK15" s="169" t="str">
        <f t="array" aca="1" ref="AK15" ca="1">IF(ROWS($9:14)&lt;=COUNTIF(Condition7,"o"),INDEX(Liste7,SMALL(IF(Condition7="o",ROW(INDIRECT("1:"&amp;ROWS(Liste7)))),ROWS($9:14))),"")</f>
        <v/>
      </c>
      <c r="AL15" s="175">
        <f t="shared" ca="1" si="16"/>
        <v>0</v>
      </c>
      <c r="AM15" s="175" t="str">
        <f t="shared" ca="1" si="17"/>
        <v/>
      </c>
      <c r="AN15" s="169" t="str">
        <f t="shared" ca="1" si="100"/>
        <v/>
      </c>
      <c r="AO15" s="169" t="str">
        <f t="array" aca="1" ref="AO15" ca="1">IF(ROWS($9:14)&lt;=COUNTIF(Condition8,"o"),INDEX(Liste8,SMALL(IF(Condition8="o",ROW(INDIRECT("1:"&amp;ROWS(Liste8)))),ROWS($9:14))),"")</f>
        <v/>
      </c>
      <c r="AP15" s="175">
        <f t="shared" ca="1" si="18"/>
        <v>0</v>
      </c>
      <c r="AQ15" s="175" t="str">
        <f t="shared" ca="1" si="19"/>
        <v/>
      </c>
      <c r="AR15" s="169" t="str">
        <f t="shared" ca="1" si="101"/>
        <v/>
      </c>
      <c r="AS15" s="169" t="str">
        <f t="array" aca="1" ref="AS15" ca="1">IF(ROWS($9:14)&lt;=COUNTIF(Condition9,"o"),INDEX(Liste9,SMALL(IF(Condition9="o",ROW(INDIRECT("1:"&amp;ROWS(Liste9)))),ROWS($9:14))),"")</f>
        <v/>
      </c>
      <c r="AT15" s="175">
        <f t="shared" ca="1" si="20"/>
        <v>0</v>
      </c>
      <c r="AU15" s="175" t="str">
        <f t="shared" ca="1" si="21"/>
        <v/>
      </c>
      <c r="AV15" s="169" t="str">
        <f t="shared" ca="1" si="102"/>
        <v/>
      </c>
      <c r="AW15" s="169" t="str">
        <f t="array" aca="1" ref="AW15" ca="1">IF(ROWS($9:14)&lt;=COUNTIF(Condition10,"o"),INDEX(Liste10,SMALL(IF(Condition10="o",ROW(INDIRECT("1:"&amp;ROWS(Liste10)))),ROWS($9:14))),"")</f>
        <v/>
      </c>
      <c r="AX15" s="175">
        <f t="shared" ca="1" si="22"/>
        <v>0</v>
      </c>
      <c r="AY15" s="175" t="str">
        <f t="shared" ca="1" si="23"/>
        <v/>
      </c>
      <c r="AZ15" s="169" t="str">
        <f t="shared" ca="1" si="103"/>
        <v/>
      </c>
      <c r="BA15" s="169" t="str">
        <f t="array" aca="1" ref="BA15" ca="1">IF(ROWS($9:14)&lt;=COUNTIF(Condition11,"o"),INDEX(Liste11,SMALL(IF(Condition11="o",ROW(INDIRECT("1:"&amp;ROWS(Liste11)))),ROWS($9:14))),"")</f>
        <v/>
      </c>
      <c r="BB15" s="175">
        <f t="shared" ca="1" si="24"/>
        <v>0</v>
      </c>
      <c r="BC15" s="175" t="str">
        <f t="shared" ca="1" si="25"/>
        <v/>
      </c>
      <c r="BD15" s="169" t="str">
        <f t="shared" ca="1" si="104"/>
        <v/>
      </c>
      <c r="BE15" s="169" t="str">
        <f t="array" aca="1" ref="BE15" ca="1">IF(ROWS($9:14)&lt;=COUNTIF(Condition12,"o"),INDEX(Liste12,SMALL(IF(Condition12="o",ROW(INDIRECT("1:"&amp;ROWS(Liste12)))),ROWS($9:14))),"")</f>
        <v/>
      </c>
      <c r="BF15" s="175">
        <f t="shared" ca="1" si="26"/>
        <v>0</v>
      </c>
      <c r="BG15" s="175" t="str">
        <f t="shared" ca="1" si="27"/>
        <v/>
      </c>
      <c r="BH15" s="169" t="str">
        <f t="shared" ca="1" si="105"/>
        <v/>
      </c>
      <c r="BI15" s="169" t="str">
        <f t="array" aca="1" ref="BI15" ca="1">IF(ROWS($9:14)&lt;=COUNTIF(Condition13,"o"),INDEX(Liste13,SMALL(IF(Condition13="o",ROW(INDIRECT("1:"&amp;ROWS(Liste13)))),ROWS($9:14))),"")</f>
        <v/>
      </c>
      <c r="BJ15" s="175">
        <f t="shared" ca="1" si="28"/>
        <v>0</v>
      </c>
      <c r="BK15" s="175" t="str">
        <f t="shared" ca="1" si="29"/>
        <v/>
      </c>
      <c r="BL15" s="169" t="str">
        <f t="shared" ca="1" si="106"/>
        <v/>
      </c>
      <c r="BM15" s="169" t="str">
        <f t="array" aca="1" ref="BM15" ca="1">IF(ROWS($9:14)&lt;=COUNTIF(Condition14,"o"),INDEX(Liste14,SMALL(IF(Condition14="o",ROW(INDIRECT("1:"&amp;ROWS(Liste14)))),ROWS($9:14))),"")</f>
        <v/>
      </c>
      <c r="BN15" s="175">
        <f t="shared" ca="1" si="30"/>
        <v>0</v>
      </c>
      <c r="BO15" s="175" t="str">
        <f t="shared" ca="1" si="31"/>
        <v/>
      </c>
      <c r="BP15" s="169" t="str">
        <f t="shared" ca="1" si="107"/>
        <v/>
      </c>
      <c r="BQ15" s="169" t="str">
        <f t="array" aca="1" ref="BQ15" ca="1">IF(ROWS($9:14)&lt;=COUNTIF(Condition15,"o"),INDEX(Liste15,SMALL(IF(Condition15="o",ROW(INDIRECT("1:"&amp;ROWS(Liste15)))),ROWS($9:14))),"")</f>
        <v/>
      </c>
      <c r="BR15" s="175">
        <f t="shared" ca="1" si="32"/>
        <v>0</v>
      </c>
      <c r="BS15" s="175" t="str">
        <f t="shared" ca="1" si="33"/>
        <v/>
      </c>
      <c r="BT15" s="169" t="str">
        <f t="shared" ca="1" si="108"/>
        <v/>
      </c>
      <c r="BU15" s="169" t="str">
        <f t="array" aca="1" ref="BU15" ca="1">IF(ROWS($9:14)&lt;=COUNTIF(Condition16,"o"),INDEX(Liste16,SMALL(IF(Condition16="o",ROW(INDIRECT("1:"&amp;ROWS(Liste16)))),ROWS($9:14))),"")</f>
        <v/>
      </c>
      <c r="BV15" s="175">
        <f t="shared" ca="1" si="34"/>
        <v>0</v>
      </c>
      <c r="BW15" s="175" t="str">
        <f t="shared" ca="1" si="35"/>
        <v/>
      </c>
      <c r="BX15" s="169" t="str">
        <f t="shared" ca="1" si="109"/>
        <v/>
      </c>
      <c r="BY15" s="169" t="str">
        <f t="array" aca="1" ref="BY15" ca="1">IF(ROWS($9:14)&lt;=COUNTIF(Condition17,"o"),INDEX(Liste17,SMALL(IF(Condition17="o",ROW(INDIRECT("1:"&amp;ROWS(Liste17)))),ROWS($9:14))),"")</f>
        <v/>
      </c>
      <c r="BZ15" s="175">
        <f t="shared" ca="1" si="36"/>
        <v>0</v>
      </c>
      <c r="CA15" s="175" t="str">
        <f t="shared" ca="1" si="37"/>
        <v/>
      </c>
      <c r="CB15" s="169" t="str">
        <f t="shared" ca="1" si="110"/>
        <v/>
      </c>
      <c r="CC15" s="169" t="str">
        <f t="array" aca="1" ref="CC15" ca="1">IF(ROWS($9:14)&lt;=COUNTIF(Condition18,"o"),INDEX(Liste18,SMALL(IF(Condition18="o",ROW(INDIRECT("1:"&amp;ROWS(Liste18)))),ROWS($9:14))),"")</f>
        <v/>
      </c>
      <c r="CD15" s="175">
        <f t="shared" ca="1" si="38"/>
        <v>0</v>
      </c>
      <c r="CE15" s="175" t="str">
        <f t="shared" ca="1" si="39"/>
        <v/>
      </c>
      <c r="CF15" s="169" t="str">
        <f t="shared" ca="1" si="111"/>
        <v/>
      </c>
      <c r="CG15" s="169" t="str">
        <f t="array" aca="1" ref="CG15" ca="1">IF(ROWS($9:14)&lt;=COUNTIF(Condition19,"o"),INDEX(Liste19,SMALL(IF(Condition19="o",ROW(INDIRECT("1:"&amp;ROWS(Liste19)))),ROWS($9:14))),"")</f>
        <v/>
      </c>
      <c r="CH15" s="175">
        <f t="shared" ca="1" si="40"/>
        <v>0</v>
      </c>
      <c r="CI15" s="175" t="str">
        <f t="shared" ca="1" si="41"/>
        <v/>
      </c>
      <c r="CJ15" s="169" t="str">
        <f t="shared" ca="1" si="112"/>
        <v/>
      </c>
      <c r="CK15" s="169" t="str">
        <f t="array" aca="1" ref="CK15" ca="1">IF(ROWS($9:14)&lt;=COUNTIF(Condition20,"o"),INDEX(Liste20,SMALL(IF(Condition20="o",ROW(INDIRECT("1:"&amp;ROWS(Liste20)))),ROWS($9:14))),"")</f>
        <v/>
      </c>
      <c r="CL15" s="175">
        <f t="shared" ca="1" si="42"/>
        <v>0</v>
      </c>
      <c r="CM15" s="175" t="str">
        <f t="shared" ca="1" si="43"/>
        <v/>
      </c>
      <c r="CN15" s="169" t="str">
        <f t="shared" ca="1" si="113"/>
        <v/>
      </c>
      <c r="CO15" s="169" t="str">
        <f t="array" aca="1" ref="CO15" ca="1">IF(ROWS($9:14)&lt;=COUNTIF(Condition21,"o"),INDEX(Liste21,SMALL(IF(Condition21="o",ROW(INDIRECT("1:"&amp;ROWS(Liste21)))),ROWS($9:14))),"")</f>
        <v/>
      </c>
      <c r="CP15" s="175">
        <f t="shared" ca="1" si="44"/>
        <v>0</v>
      </c>
      <c r="CQ15" s="175" t="str">
        <f t="shared" ca="1" si="45"/>
        <v/>
      </c>
      <c r="CR15" s="169" t="str">
        <f t="shared" ca="1" si="114"/>
        <v/>
      </c>
      <c r="CS15" s="169" t="str">
        <f t="array" aca="1" ref="CS15" ca="1">IF(ROWS($9:14)&lt;=COUNTIF(Condition22,"o"),INDEX(Liste22,SMALL(IF(Condition22="o",ROW(INDIRECT("1:"&amp;ROWS(Liste22)))),ROWS($9:14))),"")</f>
        <v/>
      </c>
      <c r="CT15" s="175">
        <f t="shared" ca="1" si="46"/>
        <v>0</v>
      </c>
      <c r="CU15" s="175" t="str">
        <f t="shared" ca="1" si="47"/>
        <v/>
      </c>
      <c r="CV15" s="169" t="str">
        <f t="shared" ca="1" si="115"/>
        <v/>
      </c>
      <c r="CW15" s="169" t="str">
        <f t="array" aca="1" ref="CW15" ca="1">IF(ROWS($9:14)&lt;=COUNTIF(Condition23,"o"),INDEX(Liste23,SMALL(IF(Condition23="o",ROW(INDIRECT("1:"&amp;ROWS(Liste23)))),ROWS($9:14))),"")</f>
        <v/>
      </c>
      <c r="CX15" s="175">
        <f t="shared" ca="1" si="48"/>
        <v>0</v>
      </c>
      <c r="CY15" s="175" t="str">
        <f t="shared" ca="1" si="49"/>
        <v/>
      </c>
      <c r="CZ15" s="169" t="str">
        <f t="shared" ca="1" si="116"/>
        <v/>
      </c>
      <c r="DA15" s="169" t="str">
        <f t="array" aca="1" ref="DA15" ca="1">IF(ROWS($9:14)&lt;=COUNTIF(Condition24,"o"),INDEX(Liste24,SMALL(IF(Condition24="o",ROW(INDIRECT("1:"&amp;ROWS(Liste24)))),ROWS($9:14))),"")</f>
        <v/>
      </c>
      <c r="DB15" s="175">
        <f t="shared" ca="1" si="50"/>
        <v>0</v>
      </c>
      <c r="DC15" s="175" t="str">
        <f t="shared" ca="1" si="51"/>
        <v/>
      </c>
      <c r="DD15" s="169" t="str">
        <f t="shared" ca="1" si="117"/>
        <v/>
      </c>
      <c r="DE15" s="169" t="str">
        <f t="array" aca="1" ref="DE15" ca="1">IF(ROWS($9:14)&lt;=COUNTIF(Condition25,"o"),INDEX(Liste25,SMALL(IF(Condition25="o",ROW(INDIRECT("1:"&amp;ROWS(Liste25)))),ROWS($9:14))),"")</f>
        <v/>
      </c>
      <c r="DF15" s="175">
        <f t="shared" ca="1" si="52"/>
        <v>0</v>
      </c>
      <c r="DG15" s="175" t="str">
        <f t="shared" ca="1" si="53"/>
        <v/>
      </c>
      <c r="DH15" s="169" t="str">
        <f t="shared" ca="1" si="118"/>
        <v/>
      </c>
      <c r="DI15" s="169" t="str">
        <f t="array" aca="1" ref="DI15" ca="1">IF(ROWS($9:14)&lt;=COUNTIF(Condition26,"o"),INDEX(Liste26,SMALL(IF(Condition26="o",ROW(INDIRECT("1:"&amp;ROWS(Liste26)))),ROWS($9:14))),"")</f>
        <v/>
      </c>
      <c r="DJ15" s="175">
        <f t="shared" ca="1" si="54"/>
        <v>0</v>
      </c>
      <c r="DK15" s="175" t="str">
        <f t="shared" ca="1" si="55"/>
        <v/>
      </c>
      <c r="DL15" s="169" t="str">
        <f t="shared" ca="1" si="119"/>
        <v/>
      </c>
      <c r="DM15" s="169" t="str">
        <f t="array" aca="1" ref="DM15" ca="1">IF(ROWS($9:14)&lt;=COUNTIF(Condition27,"o"),INDEX(Liste27,SMALL(IF(Condition27="o",ROW(INDIRECT("1:"&amp;ROWS(Liste27)))),ROWS($9:14))),"")</f>
        <v/>
      </c>
      <c r="DN15" s="175">
        <f t="shared" ca="1" si="56"/>
        <v>0</v>
      </c>
      <c r="DO15" s="175" t="str">
        <f t="shared" ca="1" si="57"/>
        <v/>
      </c>
      <c r="DP15" s="169" t="str">
        <f t="shared" ca="1" si="120"/>
        <v/>
      </c>
      <c r="DQ15" s="169" t="str">
        <f t="array" aca="1" ref="DQ15" ca="1">IF(ROWS($9:14)&lt;=COUNTIF(Condition28,"o"),INDEX(Liste28,SMALL(IF(Condition28="o",ROW(INDIRECT("1:"&amp;ROWS(Liste28)))),ROWS($9:14))),"")</f>
        <v/>
      </c>
      <c r="DR15" s="175">
        <f t="shared" ca="1" si="58"/>
        <v>0</v>
      </c>
      <c r="DS15" s="175" t="str">
        <f t="shared" ca="1" si="59"/>
        <v/>
      </c>
      <c r="DT15" s="169" t="str">
        <f t="shared" ca="1" si="121"/>
        <v/>
      </c>
      <c r="DU15" s="169" t="str">
        <f t="array" aca="1" ref="DU15" ca="1">IF(ROWS($9:14)&lt;=COUNTIF(Condition29,"o"),INDEX(Liste29,SMALL(IF(Condition29="o",ROW(INDIRECT("1:"&amp;ROWS(Liste29)))),ROWS($9:14))),"")</f>
        <v/>
      </c>
      <c r="DV15" s="175">
        <f t="shared" ca="1" si="60"/>
        <v>0</v>
      </c>
      <c r="DW15" s="175" t="str">
        <f t="shared" ca="1" si="61"/>
        <v/>
      </c>
      <c r="DX15" s="169" t="str">
        <f t="shared" ca="1" si="122"/>
        <v/>
      </c>
      <c r="DY15" s="169" t="str">
        <f t="array" aca="1" ref="DY15" ca="1">IF(ROWS($9:14)&lt;=COUNTIF(Condition30,"o"),INDEX(Liste30,SMALL(IF(Condition30="o",ROW(INDIRECT("1:"&amp;ROWS(Liste30)))),ROWS($9:14))),"")</f>
        <v/>
      </c>
      <c r="DZ15" s="175">
        <f t="shared" ca="1" si="62"/>
        <v>0</v>
      </c>
      <c r="EA15" s="175" t="str">
        <f t="shared" ca="1" si="63"/>
        <v/>
      </c>
      <c r="EB15" s="169" t="str">
        <f t="shared" ca="1" si="123"/>
        <v/>
      </c>
      <c r="EC15" s="169" t="str">
        <f t="array" aca="1" ref="EC15" ca="1">IF(ROWS($9:14)&lt;=COUNTIF(Condition31,"o"),INDEX(Liste31,SMALL(IF(Condition31="o",ROW(INDIRECT("1:"&amp;ROWS(Liste31)))),ROWS($9:14))),"")</f>
        <v/>
      </c>
      <c r="ED15" s="175">
        <f t="shared" ca="1" si="64"/>
        <v>0</v>
      </c>
      <c r="EE15" s="175" t="str">
        <f t="shared" ca="1" si="65"/>
        <v/>
      </c>
      <c r="EF15" s="169" t="str">
        <f t="shared" ca="1" si="124"/>
        <v/>
      </c>
      <c r="EG15" s="169" t="str">
        <f t="array" aca="1" ref="EG15" ca="1">IF(ROWS($9:14)&lt;=COUNTIF(Condition32,"o"),INDEX(Liste32,SMALL(IF(Condition32="o",ROW(INDIRECT("1:"&amp;ROWS(Liste32)))),ROWS($9:14))),"")</f>
        <v/>
      </c>
      <c r="EH15" s="175">
        <f t="shared" ca="1" si="66"/>
        <v>0</v>
      </c>
      <c r="EI15" s="175" t="str">
        <f t="shared" ca="1" si="67"/>
        <v/>
      </c>
      <c r="EJ15" s="169" t="str">
        <f t="shared" ca="1" si="125"/>
        <v/>
      </c>
      <c r="EK15" s="169" t="str">
        <f t="array" aca="1" ref="EK15" ca="1">IF(ROWS($9:14)&lt;=COUNTIF(Condition33,"o"),INDEX(Liste33,SMALL(IF(Condition33="o",ROW(INDIRECT("1:"&amp;ROWS(Liste33)))),ROWS($9:14))),"")</f>
        <v/>
      </c>
      <c r="EL15" s="175">
        <f t="shared" ca="1" si="68"/>
        <v>0</v>
      </c>
      <c r="EM15" s="175" t="str">
        <f t="shared" ca="1" si="69"/>
        <v/>
      </c>
      <c r="EN15" s="169" t="str">
        <f t="shared" ca="1" si="126"/>
        <v/>
      </c>
      <c r="EO15" s="169" t="str">
        <f t="array" aca="1" ref="EO15" ca="1">IF(ROWS($9:14)&lt;=COUNTIF(Condition34,"o"),INDEX(Liste34,SMALL(IF(Condition34="o",ROW(INDIRECT("1:"&amp;ROWS(Liste34)))),ROWS($9:14))),"")</f>
        <v/>
      </c>
      <c r="EP15" s="175">
        <f t="shared" ca="1" si="70"/>
        <v>0</v>
      </c>
      <c r="EQ15" s="175" t="str">
        <f t="shared" ca="1" si="71"/>
        <v/>
      </c>
      <c r="ER15" s="169" t="str">
        <f t="shared" ca="1" si="127"/>
        <v/>
      </c>
      <c r="ES15" s="169" t="str">
        <f t="array" aca="1" ref="ES15" ca="1">IF(ROWS($9:14)&lt;=COUNTIF(Condition35,"o"),INDEX(Liste35,SMALL(IF(Condition35="o",ROW(INDIRECT("1:"&amp;ROWS(Liste35)))),ROWS($9:14))),"")</f>
        <v/>
      </c>
      <c r="ET15" s="175">
        <f t="shared" ca="1" si="72"/>
        <v>0</v>
      </c>
      <c r="EU15" s="175" t="str">
        <f t="shared" ca="1" si="73"/>
        <v/>
      </c>
      <c r="EV15" s="169" t="str">
        <f t="shared" ca="1" si="128"/>
        <v/>
      </c>
      <c r="EW15" s="169" t="str">
        <f t="array" aca="1" ref="EW15" ca="1">IF(ROWS($9:14)&lt;=COUNTIF(Condition36,"o"),INDEX(Liste36,SMALL(IF(Condition36="o",ROW(INDIRECT("1:"&amp;ROWS(Liste36)))),ROWS($9:14))),"")</f>
        <v/>
      </c>
      <c r="EX15" s="175">
        <f t="shared" ca="1" si="74"/>
        <v>0</v>
      </c>
      <c r="EY15" s="175" t="str">
        <f t="shared" ca="1" si="75"/>
        <v/>
      </c>
      <c r="EZ15" s="169" t="str">
        <f t="shared" ca="1" si="85"/>
        <v/>
      </c>
      <c r="FA15" s="169" t="str">
        <f t="array" aca="1" ref="FA15" ca="1">IF(ROWS($9:14)&lt;=COUNTIF(Condition36,"o"),INDEX(Liste36,SMALL(IF(Condition36="o",ROW(INDIRECT("1:"&amp;ROWS(Liste36)))),ROWS($9:14))),"")</f>
        <v/>
      </c>
      <c r="FB15" s="175">
        <f t="shared" ca="1" si="76"/>
        <v>0</v>
      </c>
      <c r="FC15" s="175" t="str">
        <f t="shared" ca="1" si="77"/>
        <v/>
      </c>
      <c r="FD15" s="169" t="str">
        <f t="shared" ca="1" si="86"/>
        <v/>
      </c>
      <c r="FE15" s="169" t="str">
        <f t="array" aca="1" ref="FE15" ca="1">IF(ROWS($9:14)&lt;=COUNTIF(condition38,"o"),INDEX(liste38,SMALL(IF(condition38="o",ROW(INDIRECT("1:"&amp;ROWS(liste38)))),ROWS($9:14))),"")</f>
        <v/>
      </c>
      <c r="FF15" s="175">
        <f t="shared" ca="1" si="78"/>
        <v>0</v>
      </c>
      <c r="FG15" s="175" t="str">
        <f t="shared" ca="1" si="79"/>
        <v/>
      </c>
      <c r="FH15" s="169" t="str">
        <f t="shared" ca="1" si="87"/>
        <v/>
      </c>
      <c r="FI15" s="169" t="str">
        <f t="array" aca="1" ref="FI15" ca="1">IF(ROWS($9:14)&lt;=COUNTIF(Condition39,"o"),INDEX(Liste39,SMALL(IF(Condition39="o",ROW(INDIRECT("1:"&amp;ROWS(Liste39)))),ROWS($9:14))),"")</f>
        <v/>
      </c>
      <c r="FM15" s="1" t="s">
        <v>1184</v>
      </c>
      <c r="FN15" s="1" t="s">
        <v>1143</v>
      </c>
      <c r="FO15" s="180">
        <f>'Suivi objectifs'!D7</f>
        <v>0</v>
      </c>
      <c r="FP15" s="1366" t="str">
        <f>'Suivi objectifs'!C7</f>
        <v>Tertiaire hors AC</v>
      </c>
      <c r="FQ15" s="181" t="str">
        <f ca="1">IF(ISNA(VLOOKUP(FR15,Actions!$G$2:$AP$70,31,0)),"",VLOOKUP(FR15,Actions!$G$2:$AP$70,36,0))</f>
        <v/>
      </c>
      <c r="FR15" s="187" t="str">
        <f t="shared" ca="1" si="88"/>
        <v/>
      </c>
      <c r="FS15" s="286">
        <f t="shared" ca="1" si="80"/>
        <v>0</v>
      </c>
      <c r="FT15" s="181" t="str">
        <f ca="1">IF(ISNA(VLOOKUP(FU15,Actions!$G$2:$AP$70,31,0)),"",VLOOKUP(FU15,Actions!$G$2:$AP$70,36,0))</f>
        <v/>
      </c>
      <c r="FU15" s="187" t="str">
        <f t="shared" ca="1" si="89"/>
        <v/>
      </c>
      <c r="FV15" s="286">
        <f t="shared" ca="1" si="81"/>
        <v>0</v>
      </c>
      <c r="FW15" s="181" t="str">
        <f ca="1">IF(ISNA(VLOOKUP(FX15,Actions!$G$2:$AP$70,31,0)),"",VLOOKUP(FX15,Actions!$G$2:$AP$70,36,0))</f>
        <v/>
      </c>
      <c r="FX15" s="187" t="str">
        <f t="shared" ca="1" si="90"/>
        <v/>
      </c>
      <c r="FY15" s="286">
        <f t="shared" ca="1" si="82"/>
        <v>0</v>
      </c>
      <c r="FZ15" s="181" t="str">
        <f ca="1">IF(ISNA(VLOOKUP(GA15,Actions!$G$2:$AP$70,31,0)),"",VLOOKUP(GA15,Actions!$G$2:$AP$70,36,0))</f>
        <v/>
      </c>
      <c r="GA15" s="185" t="str">
        <f t="shared" ca="1" si="91"/>
        <v/>
      </c>
      <c r="GB15" s="286">
        <f t="shared" ca="1" si="83"/>
        <v>0</v>
      </c>
      <c r="GC15" s="181" t="str">
        <f ca="1">IF(ISNA(VLOOKUP(GD15,Actions!$G$2:$AP$70,31,0)),"",VLOOKUP(GD15,Actions!$G$2:$AP$70,36,0))</f>
        <v/>
      </c>
      <c r="GD15" s="185" t="str">
        <f t="shared" ca="1" si="92"/>
        <v/>
      </c>
      <c r="GE15" s="286">
        <f t="shared" ca="1" si="84"/>
        <v>0</v>
      </c>
      <c r="GF15" s="186">
        <f t="shared" ref="GF15:GF46" ca="1" si="129">SUM(FS15,FV15,FY15,GB15,GE15,)</f>
        <v>0</v>
      </c>
      <c r="GG15" s="233"/>
    </row>
    <row r="16" spans="1:189" hidden="1">
      <c r="A16" s="1" t="s">
        <v>1185</v>
      </c>
      <c r="B16" s="1">
        <f>Actions!F9</f>
        <v>8</v>
      </c>
      <c r="C16" s="1">
        <f ca="1">Actions!G9</f>
        <v>0</v>
      </c>
      <c r="D16" s="1">
        <f ca="1">Actions!H9</f>
        <v>0</v>
      </c>
      <c r="E16" s="1" t="str">
        <f ca="1">Actions!I9</f>
        <v>-</v>
      </c>
      <c r="F16" s="1" t="str">
        <f t="shared" ca="1" si="0"/>
        <v>-</v>
      </c>
      <c r="G16" s="1" t="e">
        <f t="shared" ca="1" si="1"/>
        <v>#REF!</v>
      </c>
      <c r="I16" s="1">
        <v>8</v>
      </c>
      <c r="J16" s="175">
        <f t="shared" ca="1" si="2"/>
        <v>0</v>
      </c>
      <c r="K16" s="175" t="str">
        <f t="shared" ca="1" si="3"/>
        <v/>
      </c>
      <c r="L16" s="169" t="str">
        <f t="shared" ca="1" si="93"/>
        <v/>
      </c>
      <c r="M16" s="169" t="str">
        <f t="array" aca="1" ref="M16" ca="1">IF(ROWS($9:15)&lt;=COUNTIF(Condition1,"o"),INDEX(Liste1,SMALL(IF(Condition1="o",ROW(INDIRECT("1:"&amp;ROWS(Liste1)))),ROWS($9:15))),"")</f>
        <v/>
      </c>
      <c r="N16" s="175">
        <f t="shared" ca="1" si="4"/>
        <v>0</v>
      </c>
      <c r="O16" s="175" t="str">
        <f t="shared" ca="1" si="5"/>
        <v/>
      </c>
      <c r="P16" s="169" t="str">
        <f t="shared" ca="1" si="94"/>
        <v/>
      </c>
      <c r="Q16" s="169" t="str">
        <f t="array" aca="1" ref="Q16" ca="1">IF(ROWS($9:15)&lt;=COUNTIF(Condition2,"o"),INDEX(Liste2,SMALL(IF(Condition2="o",ROW(INDIRECT("1:"&amp;ROWS(Liste2)))),ROWS($9:15))),"")</f>
        <v/>
      </c>
      <c r="R16" s="175">
        <f t="shared" ca="1" si="6"/>
        <v>0</v>
      </c>
      <c r="S16" s="175" t="str">
        <f t="shared" ca="1" si="7"/>
        <v/>
      </c>
      <c r="T16" s="169" t="str">
        <f t="shared" ca="1" si="95"/>
        <v/>
      </c>
      <c r="U16" s="169" t="str">
        <f t="array" aca="1" ref="U16" ca="1">IF(ROWS($9:15)&lt;=COUNTIF(Condition3,"o"),INDEX(Liste3,SMALL(IF(Condition3="o",ROW(INDIRECT("1:"&amp;ROWS(Liste3)))),ROWS($9:15))),"")</f>
        <v/>
      </c>
      <c r="V16" s="175">
        <f t="shared" ca="1" si="8"/>
        <v>0</v>
      </c>
      <c r="W16" s="175" t="str">
        <f t="shared" ca="1" si="9"/>
        <v/>
      </c>
      <c r="X16" s="169" t="str">
        <f t="shared" ca="1" si="96"/>
        <v/>
      </c>
      <c r="Y16" s="169" t="str">
        <f t="array" aca="1" ref="Y16" ca="1">IF(ROWS($9:15)&lt;=COUNTIF(Condition4,"o"),INDEX(Liste4,SMALL(IF(Condition4="o",ROW(INDIRECT("1:"&amp;ROWS(Liste4)))),ROWS($9:15))),"")</f>
        <v/>
      </c>
      <c r="Z16" s="175">
        <f t="shared" ca="1" si="10"/>
        <v>0</v>
      </c>
      <c r="AA16" s="175" t="str">
        <f t="shared" ca="1" si="11"/>
        <v/>
      </c>
      <c r="AB16" s="169" t="str">
        <f t="shared" ca="1" si="97"/>
        <v/>
      </c>
      <c r="AC16" s="169" t="str">
        <f t="array" aca="1" ref="AC16" ca="1">IF(ROWS($9:15)&lt;=COUNTIF(Condition5,"o"),INDEX(Liste5,SMALL(IF(Condition5="o",ROW(INDIRECT("1:"&amp;ROWS(Liste5)))),ROWS($9:15))),"")</f>
        <v/>
      </c>
      <c r="AD16" s="175">
        <f t="shared" ca="1" si="12"/>
        <v>0</v>
      </c>
      <c r="AE16" s="175" t="str">
        <f t="shared" ca="1" si="13"/>
        <v/>
      </c>
      <c r="AF16" s="169" t="str">
        <f t="shared" ca="1" si="98"/>
        <v/>
      </c>
      <c r="AG16" s="169" t="str">
        <f t="array" aca="1" ref="AG16" ca="1">IF(ROWS($9:15)&lt;=COUNTIF(Condition6,"o"),INDEX(Liste6,SMALL(IF(Condition6="o",ROW(INDIRECT("1:"&amp;ROWS(Liste6)))),ROWS($9:15))),"")</f>
        <v/>
      </c>
      <c r="AH16" s="175">
        <f t="shared" ca="1" si="14"/>
        <v>0</v>
      </c>
      <c r="AI16" s="175" t="str">
        <f t="shared" ca="1" si="15"/>
        <v/>
      </c>
      <c r="AJ16" s="169" t="str">
        <f t="shared" ca="1" si="99"/>
        <v/>
      </c>
      <c r="AK16" s="169" t="str">
        <f t="array" aca="1" ref="AK16" ca="1">IF(ROWS($9:15)&lt;=COUNTIF(Condition7,"o"),INDEX(Liste7,SMALL(IF(Condition7="o",ROW(INDIRECT("1:"&amp;ROWS(Liste7)))),ROWS($9:15))),"")</f>
        <v/>
      </c>
      <c r="AL16" s="175">
        <f t="shared" ca="1" si="16"/>
        <v>0</v>
      </c>
      <c r="AM16" s="175" t="str">
        <f t="shared" ca="1" si="17"/>
        <v/>
      </c>
      <c r="AN16" s="169" t="str">
        <f t="shared" ca="1" si="100"/>
        <v/>
      </c>
      <c r="AO16" s="169" t="str">
        <f t="array" aca="1" ref="AO16" ca="1">IF(ROWS($9:15)&lt;=COUNTIF(Condition8,"o"),INDEX(Liste8,SMALL(IF(Condition8="o",ROW(INDIRECT("1:"&amp;ROWS(Liste8)))),ROWS($9:15))),"")</f>
        <v/>
      </c>
      <c r="AP16" s="175">
        <f t="shared" ca="1" si="18"/>
        <v>0</v>
      </c>
      <c r="AQ16" s="175" t="str">
        <f t="shared" ca="1" si="19"/>
        <v/>
      </c>
      <c r="AR16" s="169" t="str">
        <f t="shared" ca="1" si="101"/>
        <v/>
      </c>
      <c r="AS16" s="169" t="str">
        <f t="array" aca="1" ref="AS16" ca="1">IF(ROWS($9:15)&lt;=COUNTIF(Condition9,"o"),INDEX(Liste9,SMALL(IF(Condition9="o",ROW(INDIRECT("1:"&amp;ROWS(Liste9)))),ROWS($9:15))),"")</f>
        <v/>
      </c>
      <c r="AT16" s="175">
        <f t="shared" ca="1" si="20"/>
        <v>0</v>
      </c>
      <c r="AU16" s="175" t="str">
        <f t="shared" ca="1" si="21"/>
        <v/>
      </c>
      <c r="AV16" s="169" t="str">
        <f t="shared" ca="1" si="102"/>
        <v/>
      </c>
      <c r="AW16" s="169" t="str">
        <f t="array" aca="1" ref="AW16" ca="1">IF(ROWS($9:15)&lt;=COUNTIF(Condition10,"o"),INDEX(Liste10,SMALL(IF(Condition10="o",ROW(INDIRECT("1:"&amp;ROWS(Liste10)))),ROWS($9:15))),"")</f>
        <v/>
      </c>
      <c r="AX16" s="175">
        <f t="shared" ca="1" si="22"/>
        <v>0</v>
      </c>
      <c r="AY16" s="175" t="str">
        <f t="shared" ca="1" si="23"/>
        <v/>
      </c>
      <c r="AZ16" s="169" t="str">
        <f t="shared" ca="1" si="103"/>
        <v/>
      </c>
      <c r="BA16" s="169" t="str">
        <f t="array" aca="1" ref="BA16" ca="1">IF(ROWS($9:15)&lt;=COUNTIF(Condition11,"o"),INDEX(Liste11,SMALL(IF(Condition11="o",ROW(INDIRECT("1:"&amp;ROWS(Liste11)))),ROWS($9:15))),"")</f>
        <v/>
      </c>
      <c r="BB16" s="175">
        <f t="shared" ca="1" si="24"/>
        <v>0</v>
      </c>
      <c r="BC16" s="175" t="str">
        <f t="shared" ca="1" si="25"/>
        <v/>
      </c>
      <c r="BD16" s="169" t="str">
        <f t="shared" ca="1" si="104"/>
        <v/>
      </c>
      <c r="BE16" s="169" t="str">
        <f t="array" aca="1" ref="BE16" ca="1">IF(ROWS($9:15)&lt;=COUNTIF(Condition12,"o"),INDEX(Liste12,SMALL(IF(Condition12="o",ROW(INDIRECT("1:"&amp;ROWS(Liste12)))),ROWS($9:15))),"")</f>
        <v/>
      </c>
      <c r="BF16" s="175">
        <f t="shared" ca="1" si="26"/>
        <v>0</v>
      </c>
      <c r="BG16" s="175" t="str">
        <f t="shared" ca="1" si="27"/>
        <v/>
      </c>
      <c r="BH16" s="169" t="str">
        <f t="shared" ca="1" si="105"/>
        <v/>
      </c>
      <c r="BI16" s="169" t="str">
        <f t="array" aca="1" ref="BI16" ca="1">IF(ROWS($9:15)&lt;=COUNTIF(Condition13,"o"),INDEX(Liste13,SMALL(IF(Condition13="o",ROW(INDIRECT("1:"&amp;ROWS(Liste13)))),ROWS($9:15))),"")</f>
        <v/>
      </c>
      <c r="BJ16" s="175">
        <f t="shared" ca="1" si="28"/>
        <v>0</v>
      </c>
      <c r="BK16" s="175" t="str">
        <f t="shared" ca="1" si="29"/>
        <v/>
      </c>
      <c r="BL16" s="169" t="str">
        <f t="shared" ca="1" si="106"/>
        <v/>
      </c>
      <c r="BM16" s="169" t="str">
        <f t="array" aca="1" ref="BM16" ca="1">IF(ROWS($9:15)&lt;=COUNTIF(Condition14,"o"),INDEX(Liste14,SMALL(IF(Condition14="o",ROW(INDIRECT("1:"&amp;ROWS(Liste14)))),ROWS($9:15))),"")</f>
        <v/>
      </c>
      <c r="BN16" s="175">
        <f t="shared" ca="1" si="30"/>
        <v>0</v>
      </c>
      <c r="BO16" s="175" t="str">
        <f t="shared" ca="1" si="31"/>
        <v/>
      </c>
      <c r="BP16" s="169" t="str">
        <f t="shared" ca="1" si="107"/>
        <v/>
      </c>
      <c r="BQ16" s="169" t="str">
        <f t="array" aca="1" ref="BQ16" ca="1">IF(ROWS($9:15)&lt;=COUNTIF(Condition15,"o"),INDEX(Liste15,SMALL(IF(Condition15="o",ROW(INDIRECT("1:"&amp;ROWS(Liste15)))),ROWS($9:15))),"")</f>
        <v/>
      </c>
      <c r="BR16" s="175">
        <f t="shared" ca="1" si="32"/>
        <v>0</v>
      </c>
      <c r="BS16" s="175" t="str">
        <f t="shared" ca="1" si="33"/>
        <v/>
      </c>
      <c r="BT16" s="169" t="str">
        <f t="shared" ca="1" si="108"/>
        <v/>
      </c>
      <c r="BU16" s="169" t="str">
        <f t="array" aca="1" ref="BU16" ca="1">IF(ROWS($9:15)&lt;=COUNTIF(Condition16,"o"),INDEX(Liste16,SMALL(IF(Condition16="o",ROW(INDIRECT("1:"&amp;ROWS(Liste16)))),ROWS($9:15))),"")</f>
        <v/>
      </c>
      <c r="BV16" s="175">
        <f t="shared" ca="1" si="34"/>
        <v>0</v>
      </c>
      <c r="BW16" s="175" t="str">
        <f t="shared" ca="1" si="35"/>
        <v/>
      </c>
      <c r="BX16" s="169" t="str">
        <f t="shared" ca="1" si="109"/>
        <v/>
      </c>
      <c r="BY16" s="169" t="str">
        <f t="array" aca="1" ref="BY16" ca="1">IF(ROWS($9:15)&lt;=COUNTIF(Condition17,"o"),INDEX(Liste17,SMALL(IF(Condition17="o",ROW(INDIRECT("1:"&amp;ROWS(Liste17)))),ROWS($9:15))),"")</f>
        <v/>
      </c>
      <c r="BZ16" s="175">
        <f t="shared" ca="1" si="36"/>
        <v>0</v>
      </c>
      <c r="CA16" s="175" t="str">
        <f t="shared" ca="1" si="37"/>
        <v/>
      </c>
      <c r="CB16" s="169" t="str">
        <f t="shared" ca="1" si="110"/>
        <v/>
      </c>
      <c r="CC16" s="169" t="str">
        <f t="array" aca="1" ref="CC16" ca="1">IF(ROWS($9:15)&lt;=COUNTIF(Condition18,"o"),INDEX(Liste18,SMALL(IF(Condition18="o",ROW(INDIRECT("1:"&amp;ROWS(Liste18)))),ROWS($9:15))),"")</f>
        <v/>
      </c>
      <c r="CD16" s="175">
        <f t="shared" ca="1" si="38"/>
        <v>0</v>
      </c>
      <c r="CE16" s="175" t="str">
        <f t="shared" ca="1" si="39"/>
        <v/>
      </c>
      <c r="CF16" s="169" t="str">
        <f t="shared" ca="1" si="111"/>
        <v/>
      </c>
      <c r="CG16" s="169" t="str">
        <f t="array" aca="1" ref="CG16" ca="1">IF(ROWS($9:15)&lt;=COUNTIF(Condition19,"o"),INDEX(Liste19,SMALL(IF(Condition19="o",ROW(INDIRECT("1:"&amp;ROWS(Liste19)))),ROWS($9:15))),"")</f>
        <v/>
      </c>
      <c r="CH16" s="175">
        <f t="shared" ca="1" si="40"/>
        <v>0</v>
      </c>
      <c r="CI16" s="175" t="str">
        <f t="shared" ca="1" si="41"/>
        <v/>
      </c>
      <c r="CJ16" s="169" t="str">
        <f t="shared" ca="1" si="112"/>
        <v/>
      </c>
      <c r="CK16" s="169" t="str">
        <f t="array" aca="1" ref="CK16" ca="1">IF(ROWS($9:15)&lt;=COUNTIF(Condition20,"o"),INDEX(Liste20,SMALL(IF(Condition20="o",ROW(INDIRECT("1:"&amp;ROWS(Liste20)))),ROWS($9:15))),"")</f>
        <v/>
      </c>
      <c r="CL16" s="175">
        <f t="shared" ca="1" si="42"/>
        <v>0</v>
      </c>
      <c r="CM16" s="175" t="str">
        <f t="shared" ca="1" si="43"/>
        <v/>
      </c>
      <c r="CN16" s="169" t="str">
        <f t="shared" ca="1" si="113"/>
        <v/>
      </c>
      <c r="CO16" s="169" t="str">
        <f t="array" aca="1" ref="CO16" ca="1">IF(ROWS($9:15)&lt;=COUNTIF(Condition21,"o"),INDEX(Liste21,SMALL(IF(Condition21="o",ROW(INDIRECT("1:"&amp;ROWS(Liste21)))),ROWS($9:15))),"")</f>
        <v/>
      </c>
      <c r="CP16" s="175">
        <f t="shared" ca="1" si="44"/>
        <v>0</v>
      </c>
      <c r="CQ16" s="175" t="str">
        <f t="shared" ca="1" si="45"/>
        <v/>
      </c>
      <c r="CR16" s="169" t="str">
        <f t="shared" ca="1" si="114"/>
        <v/>
      </c>
      <c r="CS16" s="169" t="str">
        <f t="array" aca="1" ref="CS16" ca="1">IF(ROWS($9:15)&lt;=COUNTIF(Condition22,"o"),INDEX(Liste22,SMALL(IF(Condition22="o",ROW(INDIRECT("1:"&amp;ROWS(Liste22)))),ROWS($9:15))),"")</f>
        <v/>
      </c>
      <c r="CT16" s="175">
        <f t="shared" ca="1" si="46"/>
        <v>0</v>
      </c>
      <c r="CU16" s="175" t="str">
        <f t="shared" ca="1" si="47"/>
        <v/>
      </c>
      <c r="CV16" s="169" t="str">
        <f t="shared" ca="1" si="115"/>
        <v/>
      </c>
      <c r="CW16" s="169" t="str">
        <f t="array" aca="1" ref="CW16" ca="1">IF(ROWS($9:15)&lt;=COUNTIF(Condition23,"o"),INDEX(Liste23,SMALL(IF(Condition23="o",ROW(INDIRECT("1:"&amp;ROWS(Liste23)))),ROWS($9:15))),"")</f>
        <v/>
      </c>
      <c r="CX16" s="175">
        <f t="shared" ca="1" si="48"/>
        <v>0</v>
      </c>
      <c r="CY16" s="175" t="str">
        <f t="shared" ca="1" si="49"/>
        <v/>
      </c>
      <c r="CZ16" s="169" t="str">
        <f t="shared" ca="1" si="116"/>
        <v/>
      </c>
      <c r="DA16" s="169" t="str">
        <f t="array" aca="1" ref="DA16" ca="1">IF(ROWS($9:15)&lt;=COUNTIF(Condition24,"o"),INDEX(Liste24,SMALL(IF(Condition24="o",ROW(INDIRECT("1:"&amp;ROWS(Liste24)))),ROWS($9:15))),"")</f>
        <v/>
      </c>
      <c r="DB16" s="175">
        <f t="shared" ca="1" si="50"/>
        <v>0</v>
      </c>
      <c r="DC16" s="175" t="str">
        <f t="shared" ca="1" si="51"/>
        <v/>
      </c>
      <c r="DD16" s="169" t="str">
        <f t="shared" ca="1" si="117"/>
        <v/>
      </c>
      <c r="DE16" s="169" t="str">
        <f t="array" aca="1" ref="DE16" ca="1">IF(ROWS($9:15)&lt;=COUNTIF(Condition25,"o"),INDEX(Liste25,SMALL(IF(Condition25="o",ROW(INDIRECT("1:"&amp;ROWS(Liste25)))),ROWS($9:15))),"")</f>
        <v/>
      </c>
      <c r="DF16" s="175">
        <f t="shared" ca="1" si="52"/>
        <v>0</v>
      </c>
      <c r="DG16" s="175" t="str">
        <f t="shared" ca="1" si="53"/>
        <v/>
      </c>
      <c r="DH16" s="169" t="str">
        <f t="shared" ca="1" si="118"/>
        <v/>
      </c>
      <c r="DI16" s="169" t="str">
        <f t="array" aca="1" ref="DI16" ca="1">IF(ROWS($9:15)&lt;=COUNTIF(Condition26,"o"),INDEX(Liste26,SMALL(IF(Condition26="o",ROW(INDIRECT("1:"&amp;ROWS(Liste26)))),ROWS($9:15))),"")</f>
        <v/>
      </c>
      <c r="DJ16" s="175">
        <f t="shared" ca="1" si="54"/>
        <v>0</v>
      </c>
      <c r="DK16" s="175" t="str">
        <f t="shared" ca="1" si="55"/>
        <v/>
      </c>
      <c r="DL16" s="169" t="str">
        <f t="shared" ca="1" si="119"/>
        <v/>
      </c>
      <c r="DM16" s="169" t="str">
        <f t="array" aca="1" ref="DM16" ca="1">IF(ROWS($9:15)&lt;=COUNTIF(Condition27,"o"),INDEX(Liste27,SMALL(IF(Condition27="o",ROW(INDIRECT("1:"&amp;ROWS(Liste27)))),ROWS($9:15))),"")</f>
        <v/>
      </c>
      <c r="DN16" s="175">
        <f t="shared" ca="1" si="56"/>
        <v>0</v>
      </c>
      <c r="DO16" s="175" t="str">
        <f t="shared" ca="1" si="57"/>
        <v/>
      </c>
      <c r="DP16" s="169" t="str">
        <f t="shared" ca="1" si="120"/>
        <v/>
      </c>
      <c r="DQ16" s="169" t="str">
        <f t="array" aca="1" ref="DQ16" ca="1">IF(ROWS($9:15)&lt;=COUNTIF(Condition28,"o"),INDEX(Liste28,SMALL(IF(Condition28="o",ROW(INDIRECT("1:"&amp;ROWS(Liste28)))),ROWS($9:15))),"")</f>
        <v/>
      </c>
      <c r="DR16" s="175">
        <f t="shared" ca="1" si="58"/>
        <v>0</v>
      </c>
      <c r="DS16" s="175" t="str">
        <f t="shared" ca="1" si="59"/>
        <v/>
      </c>
      <c r="DT16" s="169" t="str">
        <f t="shared" ca="1" si="121"/>
        <v/>
      </c>
      <c r="DU16" s="169" t="str">
        <f t="array" aca="1" ref="DU16" ca="1">IF(ROWS($9:15)&lt;=COUNTIF(Condition29,"o"),INDEX(Liste29,SMALL(IF(Condition29="o",ROW(INDIRECT("1:"&amp;ROWS(Liste29)))),ROWS($9:15))),"")</f>
        <v/>
      </c>
      <c r="DV16" s="175">
        <f t="shared" ca="1" si="60"/>
        <v>0</v>
      </c>
      <c r="DW16" s="175" t="str">
        <f t="shared" ca="1" si="61"/>
        <v/>
      </c>
      <c r="DX16" s="169" t="str">
        <f t="shared" ca="1" si="122"/>
        <v/>
      </c>
      <c r="DY16" s="169" t="str">
        <f t="array" aca="1" ref="DY16" ca="1">IF(ROWS($9:15)&lt;=COUNTIF(Condition30,"o"),INDEX(Liste30,SMALL(IF(Condition30="o",ROW(INDIRECT("1:"&amp;ROWS(Liste30)))),ROWS($9:15))),"")</f>
        <v/>
      </c>
      <c r="DZ16" s="175">
        <f t="shared" ca="1" si="62"/>
        <v>0</v>
      </c>
      <c r="EA16" s="175" t="str">
        <f t="shared" ca="1" si="63"/>
        <v/>
      </c>
      <c r="EB16" s="169" t="str">
        <f t="shared" ca="1" si="123"/>
        <v/>
      </c>
      <c r="EC16" s="169" t="str">
        <f t="array" aca="1" ref="EC16" ca="1">IF(ROWS($9:15)&lt;=COUNTIF(Condition31,"o"),INDEX(Liste31,SMALL(IF(Condition31="o",ROW(INDIRECT("1:"&amp;ROWS(Liste31)))),ROWS($9:15))),"")</f>
        <v/>
      </c>
      <c r="ED16" s="175">
        <f t="shared" ca="1" si="64"/>
        <v>0</v>
      </c>
      <c r="EE16" s="175" t="str">
        <f t="shared" ca="1" si="65"/>
        <v/>
      </c>
      <c r="EF16" s="169" t="str">
        <f t="shared" ca="1" si="124"/>
        <v/>
      </c>
      <c r="EG16" s="169" t="str">
        <f t="array" aca="1" ref="EG16" ca="1">IF(ROWS($9:15)&lt;=COUNTIF(Condition32,"o"),INDEX(Liste32,SMALL(IF(Condition32="o",ROW(INDIRECT("1:"&amp;ROWS(Liste32)))),ROWS($9:15))),"")</f>
        <v/>
      </c>
      <c r="EH16" s="175">
        <f t="shared" ca="1" si="66"/>
        <v>0</v>
      </c>
      <c r="EI16" s="175" t="str">
        <f t="shared" ca="1" si="67"/>
        <v/>
      </c>
      <c r="EJ16" s="169" t="str">
        <f t="shared" ca="1" si="125"/>
        <v/>
      </c>
      <c r="EK16" s="169" t="str">
        <f t="array" aca="1" ref="EK16" ca="1">IF(ROWS($9:15)&lt;=COUNTIF(Condition33,"o"),INDEX(Liste33,SMALL(IF(Condition33="o",ROW(INDIRECT("1:"&amp;ROWS(Liste33)))),ROWS($9:15))),"")</f>
        <v/>
      </c>
      <c r="EL16" s="175">
        <f t="shared" ca="1" si="68"/>
        <v>0</v>
      </c>
      <c r="EM16" s="175" t="str">
        <f t="shared" ca="1" si="69"/>
        <v/>
      </c>
      <c r="EN16" s="169" t="str">
        <f t="shared" ca="1" si="126"/>
        <v/>
      </c>
      <c r="EO16" s="169" t="str">
        <f t="array" aca="1" ref="EO16" ca="1">IF(ROWS($9:15)&lt;=COUNTIF(Condition34,"o"),INDEX(Liste34,SMALL(IF(Condition34="o",ROW(INDIRECT("1:"&amp;ROWS(Liste34)))),ROWS($9:15))),"")</f>
        <v/>
      </c>
      <c r="EP16" s="175">
        <f t="shared" ca="1" si="70"/>
        <v>0</v>
      </c>
      <c r="EQ16" s="175" t="str">
        <f t="shared" ca="1" si="71"/>
        <v/>
      </c>
      <c r="ER16" s="169" t="str">
        <f t="shared" ca="1" si="127"/>
        <v/>
      </c>
      <c r="ES16" s="169" t="str">
        <f t="array" aca="1" ref="ES16" ca="1">IF(ROWS($9:15)&lt;=COUNTIF(Condition35,"o"),INDEX(Liste35,SMALL(IF(Condition35="o",ROW(INDIRECT("1:"&amp;ROWS(Liste35)))),ROWS($9:15))),"")</f>
        <v/>
      </c>
      <c r="ET16" s="175">
        <f t="shared" ca="1" si="72"/>
        <v>0</v>
      </c>
      <c r="EU16" s="175" t="str">
        <f t="shared" ca="1" si="73"/>
        <v/>
      </c>
      <c r="EV16" s="169" t="str">
        <f t="shared" ca="1" si="128"/>
        <v/>
      </c>
      <c r="EW16" s="169" t="str">
        <f t="array" aca="1" ref="EW16" ca="1">IF(ROWS($9:15)&lt;=COUNTIF(Condition36,"o"),INDEX(Liste36,SMALL(IF(Condition36="o",ROW(INDIRECT("1:"&amp;ROWS(Liste36)))),ROWS($9:15))),"")</f>
        <v/>
      </c>
      <c r="EX16" s="175">
        <f t="shared" ca="1" si="74"/>
        <v>0</v>
      </c>
      <c r="EY16" s="175" t="str">
        <f t="shared" ca="1" si="75"/>
        <v/>
      </c>
      <c r="EZ16" s="169" t="str">
        <f t="shared" ca="1" si="85"/>
        <v/>
      </c>
      <c r="FA16" s="169" t="str">
        <f t="array" aca="1" ref="FA16" ca="1">IF(ROWS($9:15)&lt;=COUNTIF(Condition36,"o"),INDEX(Liste36,SMALL(IF(Condition36="o",ROW(INDIRECT("1:"&amp;ROWS(Liste36)))),ROWS($9:15))),"")</f>
        <v/>
      </c>
      <c r="FB16" s="175">
        <f t="shared" ca="1" si="76"/>
        <v>0</v>
      </c>
      <c r="FC16" s="175" t="str">
        <f t="shared" ca="1" si="77"/>
        <v/>
      </c>
      <c r="FD16" s="169" t="str">
        <f t="shared" ca="1" si="86"/>
        <v/>
      </c>
      <c r="FE16" s="169" t="str">
        <f t="array" aca="1" ref="FE16" ca="1">IF(ROWS($9:15)&lt;=COUNTIF(condition38,"o"),INDEX(liste38,SMALL(IF(condition38="o",ROW(INDIRECT("1:"&amp;ROWS(liste38)))),ROWS($9:15))),"")</f>
        <v/>
      </c>
      <c r="FF16" s="175">
        <f t="shared" ca="1" si="78"/>
        <v>0</v>
      </c>
      <c r="FG16" s="175" t="str">
        <f t="shared" ca="1" si="79"/>
        <v/>
      </c>
      <c r="FH16" s="169" t="str">
        <f t="shared" ca="1" si="87"/>
        <v/>
      </c>
      <c r="FI16" s="169" t="str">
        <f t="array" aca="1" ref="FI16" ca="1">IF(ROWS($9:15)&lt;=COUNTIF(Condition39,"o"),INDEX(Liste39,SMALL(IF(Condition39="o",ROW(INDIRECT("1:"&amp;ROWS(Liste39)))),ROWS($9:15))),"")</f>
        <v/>
      </c>
      <c r="FM16" s="1" t="s">
        <v>1186</v>
      </c>
      <c r="FN16" s="1" t="s">
        <v>1144</v>
      </c>
      <c r="FO16" s="180">
        <f>'Suivi objectifs'!D8</f>
        <v>0</v>
      </c>
      <c r="FP16" s="1366" t="str">
        <f>'Suivi objectifs'!C8</f>
        <v>Logement</v>
      </c>
      <c r="FQ16" s="181" t="str">
        <f ca="1">IF(ISNA(VLOOKUP(FR16,Actions!$G$2:$AP$70,31,0)),"",VLOOKUP(FR16,Actions!$G$2:$AP$70,36,0))</f>
        <v/>
      </c>
      <c r="FR16" s="187" t="str">
        <f t="shared" ca="1" si="88"/>
        <v/>
      </c>
      <c r="FS16" s="286">
        <f t="shared" ca="1" si="80"/>
        <v>0</v>
      </c>
      <c r="FT16" s="181" t="str">
        <f ca="1">IF(ISNA(VLOOKUP(FU16,Actions!$G$2:$AP$70,31,0)),"",VLOOKUP(FU16,Actions!$G$2:$AP$70,36,0))</f>
        <v/>
      </c>
      <c r="FU16" s="187" t="str">
        <f t="shared" ca="1" si="89"/>
        <v/>
      </c>
      <c r="FV16" s="286">
        <f t="shared" ca="1" si="81"/>
        <v>0</v>
      </c>
      <c r="FW16" s="181" t="str">
        <f ca="1">IF(ISNA(VLOOKUP(FX16,Actions!$G$2:$AP$70,31,0)),"",VLOOKUP(FX16,Actions!$G$2:$AP$70,36,0))</f>
        <v/>
      </c>
      <c r="FX16" s="187" t="str">
        <f t="shared" ca="1" si="90"/>
        <v/>
      </c>
      <c r="FY16" s="286">
        <f t="shared" ca="1" si="82"/>
        <v>0</v>
      </c>
      <c r="FZ16" s="181" t="str">
        <f ca="1">IF(ISNA(VLOOKUP(GA16,Actions!$G$2:$AP$70,31,0)),"",VLOOKUP(GA16,Actions!$G$2:$AP$70,36,0))</f>
        <v/>
      </c>
      <c r="GA16" s="185" t="str">
        <f t="shared" ca="1" si="91"/>
        <v/>
      </c>
      <c r="GB16" s="286">
        <f t="shared" ca="1" si="83"/>
        <v>0</v>
      </c>
      <c r="GC16" s="181" t="str">
        <f ca="1">IF(ISNA(VLOOKUP(GD16,Actions!$G$2:$AP$70,31,0)),"",VLOOKUP(GD16,Actions!$G$2:$AP$70,36,0))</f>
        <v/>
      </c>
      <c r="GD16" s="185" t="str">
        <f t="shared" ca="1" si="92"/>
        <v/>
      </c>
      <c r="GE16" s="286">
        <f t="shared" ca="1" si="84"/>
        <v>0</v>
      </c>
      <c r="GF16" s="186">
        <f t="shared" ca="1" si="129"/>
        <v>0</v>
      </c>
      <c r="GG16" s="233"/>
    </row>
    <row r="17" spans="1:189" hidden="1">
      <c r="A17" s="1" t="s">
        <v>1187</v>
      </c>
      <c r="B17" s="1">
        <f>Actions!F10</f>
        <v>9</v>
      </c>
      <c r="C17" s="1">
        <f ca="1">Actions!G10</f>
        <v>0</v>
      </c>
      <c r="D17" s="1">
        <f ca="1">Actions!H10</f>
        <v>0</v>
      </c>
      <c r="E17" s="1" t="str">
        <f ca="1">Actions!I10</f>
        <v>-</v>
      </c>
      <c r="F17" s="1" t="str">
        <f t="shared" ca="1" si="0"/>
        <v>-</v>
      </c>
      <c r="G17" s="1" t="e">
        <f t="shared" ca="1" si="1"/>
        <v>#REF!</v>
      </c>
      <c r="I17" s="1">
        <v>9</v>
      </c>
      <c r="J17" s="175">
        <f t="shared" ca="1" si="2"/>
        <v>0</v>
      </c>
      <c r="K17" s="175" t="str">
        <f t="shared" ca="1" si="3"/>
        <v/>
      </c>
      <c r="L17" s="169" t="str">
        <f t="shared" ca="1" si="93"/>
        <v/>
      </c>
      <c r="M17" s="169" t="str">
        <f t="array" aca="1" ref="M17" ca="1">IF(ROWS($9:16)&lt;=COUNTIF(Condition1,"o"),INDEX(Liste1,SMALL(IF(Condition1="o",ROW(INDIRECT("1:"&amp;ROWS(Liste1)))),ROWS($9:16))),"")</f>
        <v/>
      </c>
      <c r="N17" s="175">
        <f t="shared" ca="1" si="4"/>
        <v>0</v>
      </c>
      <c r="O17" s="175" t="str">
        <f t="shared" ca="1" si="5"/>
        <v/>
      </c>
      <c r="P17" s="169" t="str">
        <f t="shared" ca="1" si="94"/>
        <v/>
      </c>
      <c r="Q17" s="169" t="str">
        <f t="array" aca="1" ref="Q17" ca="1">IF(ROWS($9:16)&lt;=COUNTIF(Condition2,"o"),INDEX(Liste2,SMALL(IF(Condition2="o",ROW(INDIRECT("1:"&amp;ROWS(Liste2)))),ROWS($9:16))),"")</f>
        <v/>
      </c>
      <c r="R17" s="175">
        <f t="shared" ca="1" si="6"/>
        <v>0</v>
      </c>
      <c r="S17" s="175" t="str">
        <f t="shared" ca="1" si="7"/>
        <v/>
      </c>
      <c r="T17" s="169" t="str">
        <f t="shared" ca="1" si="95"/>
        <v/>
      </c>
      <c r="U17" s="169" t="str">
        <f t="array" aca="1" ref="U17" ca="1">IF(ROWS($9:16)&lt;=COUNTIF(Condition3,"o"),INDEX(Liste3,SMALL(IF(Condition3="o",ROW(INDIRECT("1:"&amp;ROWS(Liste3)))),ROWS($9:16))),"")</f>
        <v/>
      </c>
      <c r="V17" s="175">
        <f t="shared" ca="1" si="8"/>
        <v>0</v>
      </c>
      <c r="W17" s="175" t="str">
        <f t="shared" ca="1" si="9"/>
        <v/>
      </c>
      <c r="X17" s="169" t="str">
        <f t="shared" ca="1" si="96"/>
        <v/>
      </c>
      <c r="Y17" s="169" t="str">
        <f t="array" aca="1" ref="Y17" ca="1">IF(ROWS($9:16)&lt;=COUNTIF(Condition4,"o"),INDEX(Liste4,SMALL(IF(Condition4="o",ROW(INDIRECT("1:"&amp;ROWS(Liste4)))),ROWS($9:16))),"")</f>
        <v/>
      </c>
      <c r="Z17" s="175">
        <f t="shared" ca="1" si="10"/>
        <v>0</v>
      </c>
      <c r="AA17" s="175" t="str">
        <f t="shared" ca="1" si="11"/>
        <v/>
      </c>
      <c r="AB17" s="169" t="str">
        <f t="shared" ca="1" si="97"/>
        <v/>
      </c>
      <c r="AC17" s="169" t="str">
        <f t="array" aca="1" ref="AC17" ca="1">IF(ROWS($9:16)&lt;=COUNTIF(Condition5,"o"),INDEX(Liste5,SMALL(IF(Condition5="o",ROW(INDIRECT("1:"&amp;ROWS(Liste5)))),ROWS($9:16))),"")</f>
        <v/>
      </c>
      <c r="AD17" s="175">
        <f t="shared" ca="1" si="12"/>
        <v>0</v>
      </c>
      <c r="AE17" s="175" t="str">
        <f t="shared" ca="1" si="13"/>
        <v/>
      </c>
      <c r="AF17" s="169" t="str">
        <f t="shared" ca="1" si="98"/>
        <v/>
      </c>
      <c r="AG17" s="169" t="str">
        <f t="array" aca="1" ref="AG17" ca="1">IF(ROWS($9:16)&lt;=COUNTIF(Condition6,"o"),INDEX(Liste6,SMALL(IF(Condition6="o",ROW(INDIRECT("1:"&amp;ROWS(Liste6)))),ROWS($9:16))),"")</f>
        <v/>
      </c>
      <c r="AH17" s="175">
        <f t="shared" ca="1" si="14"/>
        <v>0</v>
      </c>
      <c r="AI17" s="175" t="str">
        <f t="shared" ca="1" si="15"/>
        <v/>
      </c>
      <c r="AJ17" s="169" t="str">
        <f t="shared" ca="1" si="99"/>
        <v/>
      </c>
      <c r="AK17" s="169" t="str">
        <f t="array" aca="1" ref="AK17" ca="1">IF(ROWS($9:16)&lt;=COUNTIF(Condition7,"o"),INDEX(Liste7,SMALL(IF(Condition7="o",ROW(INDIRECT("1:"&amp;ROWS(Liste7)))),ROWS($9:16))),"")</f>
        <v/>
      </c>
      <c r="AL17" s="175">
        <f t="shared" ca="1" si="16"/>
        <v>0</v>
      </c>
      <c r="AM17" s="175" t="str">
        <f t="shared" ca="1" si="17"/>
        <v/>
      </c>
      <c r="AN17" s="169" t="str">
        <f t="shared" ca="1" si="100"/>
        <v/>
      </c>
      <c r="AO17" s="169" t="str">
        <f t="array" aca="1" ref="AO17" ca="1">IF(ROWS($9:16)&lt;=COUNTIF(Condition8,"o"),INDEX(Liste8,SMALL(IF(Condition8="o",ROW(INDIRECT("1:"&amp;ROWS(Liste8)))),ROWS($9:16))),"")</f>
        <v/>
      </c>
      <c r="AP17" s="175">
        <f t="shared" ca="1" si="18"/>
        <v>0</v>
      </c>
      <c r="AQ17" s="175" t="str">
        <f t="shared" ca="1" si="19"/>
        <v/>
      </c>
      <c r="AR17" s="169" t="str">
        <f t="shared" ca="1" si="101"/>
        <v/>
      </c>
      <c r="AS17" s="169" t="str">
        <f t="array" aca="1" ref="AS17" ca="1">IF(ROWS($9:16)&lt;=COUNTIF(Condition9,"o"),INDEX(Liste9,SMALL(IF(Condition9="o",ROW(INDIRECT("1:"&amp;ROWS(Liste9)))),ROWS($9:16))),"")</f>
        <v/>
      </c>
      <c r="AT17" s="175">
        <f t="shared" ca="1" si="20"/>
        <v>0</v>
      </c>
      <c r="AU17" s="175" t="str">
        <f t="shared" ca="1" si="21"/>
        <v/>
      </c>
      <c r="AV17" s="169" t="str">
        <f t="shared" ca="1" si="102"/>
        <v/>
      </c>
      <c r="AW17" s="169" t="str">
        <f t="array" aca="1" ref="AW17" ca="1">IF(ROWS($9:16)&lt;=COUNTIF(Condition10,"o"),INDEX(Liste10,SMALL(IF(Condition10="o",ROW(INDIRECT("1:"&amp;ROWS(Liste10)))),ROWS($9:16))),"")</f>
        <v/>
      </c>
      <c r="AX17" s="175">
        <f t="shared" ca="1" si="22"/>
        <v>0</v>
      </c>
      <c r="AY17" s="175" t="str">
        <f t="shared" ca="1" si="23"/>
        <v/>
      </c>
      <c r="AZ17" s="169" t="str">
        <f t="shared" ca="1" si="103"/>
        <v/>
      </c>
      <c r="BA17" s="169" t="str">
        <f t="array" aca="1" ref="BA17" ca="1">IF(ROWS($9:16)&lt;=COUNTIF(Condition11,"o"),INDEX(Liste11,SMALL(IF(Condition11="o",ROW(INDIRECT("1:"&amp;ROWS(Liste11)))),ROWS($9:16))),"")</f>
        <v/>
      </c>
      <c r="BB17" s="175">
        <f t="shared" ca="1" si="24"/>
        <v>0</v>
      </c>
      <c r="BC17" s="175" t="str">
        <f t="shared" ca="1" si="25"/>
        <v/>
      </c>
      <c r="BD17" s="169" t="str">
        <f t="shared" ca="1" si="104"/>
        <v/>
      </c>
      <c r="BE17" s="169" t="str">
        <f t="array" aca="1" ref="BE17" ca="1">IF(ROWS($9:16)&lt;=COUNTIF(Condition12,"o"),INDEX(Liste12,SMALL(IF(Condition12="o",ROW(INDIRECT("1:"&amp;ROWS(Liste12)))),ROWS($9:16))),"")</f>
        <v/>
      </c>
      <c r="BF17" s="175">
        <f t="shared" ca="1" si="26"/>
        <v>0</v>
      </c>
      <c r="BG17" s="175" t="str">
        <f t="shared" ca="1" si="27"/>
        <v/>
      </c>
      <c r="BH17" s="169" t="str">
        <f t="shared" ca="1" si="105"/>
        <v/>
      </c>
      <c r="BI17" s="169" t="str">
        <f t="array" aca="1" ref="BI17" ca="1">IF(ROWS($9:16)&lt;=COUNTIF(Condition13,"o"),INDEX(Liste13,SMALL(IF(Condition13="o",ROW(INDIRECT("1:"&amp;ROWS(Liste13)))),ROWS($9:16))),"")</f>
        <v/>
      </c>
      <c r="BJ17" s="175">
        <f t="shared" ca="1" si="28"/>
        <v>0</v>
      </c>
      <c r="BK17" s="175" t="str">
        <f t="shared" ca="1" si="29"/>
        <v/>
      </c>
      <c r="BL17" s="169" t="str">
        <f t="shared" ca="1" si="106"/>
        <v/>
      </c>
      <c r="BM17" s="169" t="str">
        <f t="array" aca="1" ref="BM17" ca="1">IF(ROWS($9:16)&lt;=COUNTIF(Condition14,"o"),INDEX(Liste14,SMALL(IF(Condition14="o",ROW(INDIRECT("1:"&amp;ROWS(Liste14)))),ROWS($9:16))),"")</f>
        <v/>
      </c>
      <c r="BN17" s="175">
        <f t="shared" ca="1" si="30"/>
        <v>0</v>
      </c>
      <c r="BO17" s="175" t="str">
        <f t="shared" ca="1" si="31"/>
        <v/>
      </c>
      <c r="BP17" s="169" t="str">
        <f t="shared" ca="1" si="107"/>
        <v/>
      </c>
      <c r="BQ17" s="169" t="str">
        <f t="array" aca="1" ref="BQ17" ca="1">IF(ROWS($9:16)&lt;=COUNTIF(Condition15,"o"),INDEX(Liste15,SMALL(IF(Condition15="o",ROW(INDIRECT("1:"&amp;ROWS(Liste15)))),ROWS($9:16))),"")</f>
        <v/>
      </c>
      <c r="BR17" s="175">
        <f t="shared" ca="1" si="32"/>
        <v>0</v>
      </c>
      <c r="BS17" s="175" t="str">
        <f t="shared" ca="1" si="33"/>
        <v/>
      </c>
      <c r="BT17" s="169" t="str">
        <f t="shared" ca="1" si="108"/>
        <v/>
      </c>
      <c r="BU17" s="169" t="str">
        <f t="array" aca="1" ref="BU17" ca="1">IF(ROWS($9:16)&lt;=COUNTIF(Condition16,"o"),INDEX(Liste16,SMALL(IF(Condition16="o",ROW(INDIRECT("1:"&amp;ROWS(Liste16)))),ROWS($9:16))),"")</f>
        <v/>
      </c>
      <c r="BV17" s="175">
        <f t="shared" ca="1" si="34"/>
        <v>0</v>
      </c>
      <c r="BW17" s="175" t="str">
        <f t="shared" ca="1" si="35"/>
        <v/>
      </c>
      <c r="BX17" s="169" t="str">
        <f t="shared" ca="1" si="109"/>
        <v/>
      </c>
      <c r="BY17" s="169" t="str">
        <f t="array" aca="1" ref="BY17" ca="1">IF(ROWS($9:16)&lt;=COUNTIF(Condition17,"o"),INDEX(Liste17,SMALL(IF(Condition17="o",ROW(INDIRECT("1:"&amp;ROWS(Liste17)))),ROWS($9:16))),"")</f>
        <v/>
      </c>
      <c r="BZ17" s="175">
        <f t="shared" ca="1" si="36"/>
        <v>0</v>
      </c>
      <c r="CA17" s="175" t="str">
        <f t="shared" ca="1" si="37"/>
        <v/>
      </c>
      <c r="CB17" s="169" t="str">
        <f t="shared" ca="1" si="110"/>
        <v/>
      </c>
      <c r="CC17" s="169" t="str">
        <f t="array" aca="1" ref="CC17" ca="1">IF(ROWS($9:16)&lt;=COUNTIF(Condition18,"o"),INDEX(Liste18,SMALL(IF(Condition18="o",ROW(INDIRECT("1:"&amp;ROWS(Liste18)))),ROWS($9:16))),"")</f>
        <v/>
      </c>
      <c r="CD17" s="175">
        <f t="shared" ca="1" si="38"/>
        <v>0</v>
      </c>
      <c r="CE17" s="175" t="str">
        <f t="shared" ca="1" si="39"/>
        <v/>
      </c>
      <c r="CF17" s="169" t="str">
        <f t="shared" ca="1" si="111"/>
        <v/>
      </c>
      <c r="CG17" s="169" t="str">
        <f t="array" aca="1" ref="CG17" ca="1">IF(ROWS($9:16)&lt;=COUNTIF(Condition19,"o"),INDEX(Liste19,SMALL(IF(Condition19="o",ROW(INDIRECT("1:"&amp;ROWS(Liste19)))),ROWS($9:16))),"")</f>
        <v/>
      </c>
      <c r="CH17" s="175">
        <f t="shared" ca="1" si="40"/>
        <v>0</v>
      </c>
      <c r="CI17" s="175" t="str">
        <f t="shared" ca="1" si="41"/>
        <v/>
      </c>
      <c r="CJ17" s="169" t="str">
        <f t="shared" ca="1" si="112"/>
        <v/>
      </c>
      <c r="CK17" s="169" t="str">
        <f t="array" aca="1" ref="CK17" ca="1">IF(ROWS($9:16)&lt;=COUNTIF(Condition20,"o"),INDEX(Liste20,SMALL(IF(Condition20="o",ROW(INDIRECT("1:"&amp;ROWS(Liste20)))),ROWS($9:16))),"")</f>
        <v/>
      </c>
      <c r="CL17" s="175">
        <f t="shared" ca="1" si="42"/>
        <v>0</v>
      </c>
      <c r="CM17" s="175" t="str">
        <f t="shared" ca="1" si="43"/>
        <v/>
      </c>
      <c r="CN17" s="169" t="str">
        <f t="shared" ca="1" si="113"/>
        <v/>
      </c>
      <c r="CO17" s="169" t="str">
        <f t="array" aca="1" ref="CO17" ca="1">IF(ROWS($9:16)&lt;=COUNTIF(Condition21,"o"),INDEX(Liste21,SMALL(IF(Condition21="o",ROW(INDIRECT("1:"&amp;ROWS(Liste21)))),ROWS($9:16))),"")</f>
        <v/>
      </c>
      <c r="CP17" s="175">
        <f t="shared" ca="1" si="44"/>
        <v>0</v>
      </c>
      <c r="CQ17" s="175" t="str">
        <f t="shared" ca="1" si="45"/>
        <v/>
      </c>
      <c r="CR17" s="169" t="str">
        <f t="shared" ca="1" si="114"/>
        <v/>
      </c>
      <c r="CS17" s="169" t="str">
        <f t="array" aca="1" ref="CS17" ca="1">IF(ROWS($9:16)&lt;=COUNTIF(Condition22,"o"),INDEX(Liste22,SMALL(IF(Condition22="o",ROW(INDIRECT("1:"&amp;ROWS(Liste22)))),ROWS($9:16))),"")</f>
        <v/>
      </c>
      <c r="CT17" s="175">
        <f t="shared" ca="1" si="46"/>
        <v>0</v>
      </c>
      <c r="CU17" s="175" t="str">
        <f t="shared" ca="1" si="47"/>
        <v/>
      </c>
      <c r="CV17" s="169" t="str">
        <f t="shared" ca="1" si="115"/>
        <v/>
      </c>
      <c r="CW17" s="169" t="str">
        <f t="array" aca="1" ref="CW17" ca="1">IF(ROWS($9:16)&lt;=COUNTIF(Condition23,"o"),INDEX(Liste23,SMALL(IF(Condition23="o",ROW(INDIRECT("1:"&amp;ROWS(Liste23)))),ROWS($9:16))),"")</f>
        <v/>
      </c>
      <c r="CX17" s="175">
        <f t="shared" ca="1" si="48"/>
        <v>0</v>
      </c>
      <c r="CY17" s="175" t="str">
        <f t="shared" ca="1" si="49"/>
        <v/>
      </c>
      <c r="CZ17" s="169" t="str">
        <f t="shared" ca="1" si="116"/>
        <v/>
      </c>
      <c r="DA17" s="169" t="str">
        <f t="array" aca="1" ref="DA17" ca="1">IF(ROWS($9:16)&lt;=COUNTIF(Condition24,"o"),INDEX(Liste24,SMALL(IF(Condition24="o",ROW(INDIRECT("1:"&amp;ROWS(Liste24)))),ROWS($9:16))),"")</f>
        <v/>
      </c>
      <c r="DB17" s="175">
        <f t="shared" ca="1" si="50"/>
        <v>0</v>
      </c>
      <c r="DC17" s="175" t="str">
        <f t="shared" ca="1" si="51"/>
        <v/>
      </c>
      <c r="DD17" s="169" t="str">
        <f t="shared" ca="1" si="117"/>
        <v/>
      </c>
      <c r="DE17" s="169" t="str">
        <f t="array" aca="1" ref="DE17" ca="1">IF(ROWS($9:16)&lt;=COUNTIF(Condition25,"o"),INDEX(Liste25,SMALL(IF(Condition25="o",ROW(INDIRECT("1:"&amp;ROWS(Liste25)))),ROWS($9:16))),"")</f>
        <v/>
      </c>
      <c r="DF17" s="175">
        <f t="shared" ca="1" si="52"/>
        <v>0</v>
      </c>
      <c r="DG17" s="175" t="str">
        <f t="shared" ca="1" si="53"/>
        <v/>
      </c>
      <c r="DH17" s="169" t="str">
        <f t="shared" ca="1" si="118"/>
        <v/>
      </c>
      <c r="DI17" s="169" t="str">
        <f t="array" aca="1" ref="DI17" ca="1">IF(ROWS($9:16)&lt;=COUNTIF(Condition26,"o"),INDEX(Liste26,SMALL(IF(Condition26="o",ROW(INDIRECT("1:"&amp;ROWS(Liste26)))),ROWS($9:16))),"")</f>
        <v/>
      </c>
      <c r="DJ17" s="175">
        <f t="shared" ca="1" si="54"/>
        <v>0</v>
      </c>
      <c r="DK17" s="175" t="str">
        <f t="shared" ca="1" si="55"/>
        <v/>
      </c>
      <c r="DL17" s="169" t="str">
        <f t="shared" ca="1" si="119"/>
        <v/>
      </c>
      <c r="DM17" s="169" t="str">
        <f t="array" aca="1" ref="DM17" ca="1">IF(ROWS($9:16)&lt;=COUNTIF(Condition27,"o"),INDEX(Liste27,SMALL(IF(Condition27="o",ROW(INDIRECT("1:"&amp;ROWS(Liste27)))),ROWS($9:16))),"")</f>
        <v/>
      </c>
      <c r="DN17" s="175">
        <f t="shared" ca="1" si="56"/>
        <v>0</v>
      </c>
      <c r="DO17" s="175" t="str">
        <f t="shared" ca="1" si="57"/>
        <v/>
      </c>
      <c r="DP17" s="169" t="str">
        <f t="shared" ca="1" si="120"/>
        <v/>
      </c>
      <c r="DQ17" s="169" t="str">
        <f t="array" aca="1" ref="DQ17" ca="1">IF(ROWS($9:16)&lt;=COUNTIF(Condition28,"o"),INDEX(Liste28,SMALL(IF(Condition28="o",ROW(INDIRECT("1:"&amp;ROWS(Liste28)))),ROWS($9:16))),"")</f>
        <v/>
      </c>
      <c r="DR17" s="175">
        <f t="shared" ca="1" si="58"/>
        <v>0</v>
      </c>
      <c r="DS17" s="175" t="str">
        <f t="shared" ca="1" si="59"/>
        <v/>
      </c>
      <c r="DT17" s="169" t="str">
        <f t="shared" ca="1" si="121"/>
        <v/>
      </c>
      <c r="DU17" s="169" t="str">
        <f t="array" aca="1" ref="DU17" ca="1">IF(ROWS($9:16)&lt;=COUNTIF(Condition29,"o"),INDEX(Liste29,SMALL(IF(Condition29="o",ROW(INDIRECT("1:"&amp;ROWS(Liste29)))),ROWS($9:16))),"")</f>
        <v/>
      </c>
      <c r="DV17" s="175">
        <f t="shared" ca="1" si="60"/>
        <v>0</v>
      </c>
      <c r="DW17" s="175" t="str">
        <f t="shared" ca="1" si="61"/>
        <v/>
      </c>
      <c r="DX17" s="169" t="str">
        <f t="shared" ca="1" si="122"/>
        <v/>
      </c>
      <c r="DY17" s="169" t="str">
        <f t="array" aca="1" ref="DY17" ca="1">IF(ROWS($9:16)&lt;=COUNTIF(Condition30,"o"),INDEX(Liste30,SMALL(IF(Condition30="o",ROW(INDIRECT("1:"&amp;ROWS(Liste30)))),ROWS($9:16))),"")</f>
        <v/>
      </c>
      <c r="DZ17" s="175">
        <f t="shared" ca="1" si="62"/>
        <v>0</v>
      </c>
      <c r="EA17" s="175" t="str">
        <f t="shared" ca="1" si="63"/>
        <v/>
      </c>
      <c r="EB17" s="169" t="str">
        <f t="shared" ca="1" si="123"/>
        <v/>
      </c>
      <c r="EC17" s="169" t="str">
        <f t="array" aca="1" ref="EC17" ca="1">IF(ROWS($9:16)&lt;=COUNTIF(Condition31,"o"),INDEX(Liste31,SMALL(IF(Condition31="o",ROW(INDIRECT("1:"&amp;ROWS(Liste31)))),ROWS($9:16))),"")</f>
        <v/>
      </c>
      <c r="ED17" s="175">
        <f t="shared" ca="1" si="64"/>
        <v>0</v>
      </c>
      <c r="EE17" s="175" t="str">
        <f t="shared" ca="1" si="65"/>
        <v/>
      </c>
      <c r="EF17" s="169" t="str">
        <f t="shared" ca="1" si="124"/>
        <v/>
      </c>
      <c r="EG17" s="169" t="str">
        <f t="array" aca="1" ref="EG17" ca="1">IF(ROWS($9:16)&lt;=COUNTIF(Condition32,"o"),INDEX(Liste32,SMALL(IF(Condition32="o",ROW(INDIRECT("1:"&amp;ROWS(Liste32)))),ROWS($9:16))),"")</f>
        <v/>
      </c>
      <c r="EH17" s="175">
        <f t="shared" ca="1" si="66"/>
        <v>0</v>
      </c>
      <c r="EI17" s="175" t="str">
        <f t="shared" ca="1" si="67"/>
        <v/>
      </c>
      <c r="EJ17" s="169" t="str">
        <f t="shared" ca="1" si="125"/>
        <v/>
      </c>
      <c r="EK17" s="169" t="str">
        <f t="array" aca="1" ref="EK17" ca="1">IF(ROWS($9:16)&lt;=COUNTIF(Condition33,"o"),INDEX(Liste33,SMALL(IF(Condition33="o",ROW(INDIRECT("1:"&amp;ROWS(Liste33)))),ROWS($9:16))),"")</f>
        <v/>
      </c>
      <c r="EL17" s="175">
        <f t="shared" ca="1" si="68"/>
        <v>0</v>
      </c>
      <c r="EM17" s="175" t="str">
        <f t="shared" ca="1" si="69"/>
        <v/>
      </c>
      <c r="EN17" s="169" t="str">
        <f t="shared" ca="1" si="126"/>
        <v/>
      </c>
      <c r="EO17" s="169" t="str">
        <f t="array" aca="1" ref="EO17" ca="1">IF(ROWS($9:16)&lt;=COUNTIF(Condition34,"o"),INDEX(Liste34,SMALL(IF(Condition34="o",ROW(INDIRECT("1:"&amp;ROWS(Liste34)))),ROWS($9:16))),"")</f>
        <v/>
      </c>
      <c r="EP17" s="175">
        <f t="shared" ca="1" si="70"/>
        <v>0</v>
      </c>
      <c r="EQ17" s="175" t="str">
        <f t="shared" ca="1" si="71"/>
        <v/>
      </c>
      <c r="ER17" s="169" t="str">
        <f t="shared" ca="1" si="127"/>
        <v/>
      </c>
      <c r="ES17" s="169" t="str">
        <f t="array" aca="1" ref="ES17" ca="1">IF(ROWS($9:16)&lt;=COUNTIF(Condition35,"o"),INDEX(Liste35,SMALL(IF(Condition35="o",ROW(INDIRECT("1:"&amp;ROWS(Liste35)))),ROWS($9:16))),"")</f>
        <v/>
      </c>
      <c r="ET17" s="175">
        <f t="shared" ca="1" si="72"/>
        <v>0</v>
      </c>
      <c r="EU17" s="175" t="str">
        <f t="shared" ca="1" si="73"/>
        <v/>
      </c>
      <c r="EV17" s="169" t="str">
        <f t="shared" ca="1" si="128"/>
        <v/>
      </c>
      <c r="EW17" s="169" t="str">
        <f t="array" aca="1" ref="EW17" ca="1">IF(ROWS($9:16)&lt;=COUNTIF(Condition36,"o"),INDEX(Liste36,SMALL(IF(Condition36="o",ROW(INDIRECT("1:"&amp;ROWS(Liste36)))),ROWS($9:16))),"")</f>
        <v/>
      </c>
      <c r="EX17" s="175">
        <f t="shared" ca="1" si="74"/>
        <v>0</v>
      </c>
      <c r="EY17" s="175" t="str">
        <f t="shared" ca="1" si="75"/>
        <v/>
      </c>
      <c r="EZ17" s="169" t="str">
        <f t="shared" ca="1" si="85"/>
        <v/>
      </c>
      <c r="FA17" s="169" t="str">
        <f t="array" aca="1" ref="FA17" ca="1">IF(ROWS($9:16)&lt;=COUNTIF(Condition36,"o"),INDEX(Liste36,SMALL(IF(Condition36="o",ROW(INDIRECT("1:"&amp;ROWS(Liste36)))),ROWS($9:16))),"")</f>
        <v/>
      </c>
      <c r="FB17" s="175">
        <f t="shared" ca="1" si="76"/>
        <v>0</v>
      </c>
      <c r="FC17" s="175" t="str">
        <f t="shared" ca="1" si="77"/>
        <v/>
      </c>
      <c r="FD17" s="169" t="str">
        <f t="shared" ca="1" si="86"/>
        <v/>
      </c>
      <c r="FE17" s="169" t="str">
        <f t="array" aca="1" ref="FE17" ca="1">IF(ROWS($9:16)&lt;=COUNTIF(condition38,"o"),INDEX(liste38,SMALL(IF(condition38="o",ROW(INDIRECT("1:"&amp;ROWS(liste38)))),ROWS($9:16))),"")</f>
        <v/>
      </c>
      <c r="FF17" s="175">
        <f t="shared" ca="1" si="78"/>
        <v>0</v>
      </c>
      <c r="FG17" s="175" t="str">
        <f t="shared" ca="1" si="79"/>
        <v/>
      </c>
      <c r="FH17" s="169" t="str">
        <f t="shared" ca="1" si="87"/>
        <v/>
      </c>
      <c r="FI17" s="169" t="str">
        <f t="array" aca="1" ref="FI17" ca="1">IF(ROWS($9:16)&lt;=COUNTIF(Condition39,"o"),INDEX(Liste39,SMALL(IF(Condition39="o",ROW(INDIRECT("1:"&amp;ROWS(Liste39)))),ROWS($9:16))),"")</f>
        <v/>
      </c>
      <c r="FM17" s="1" t="s">
        <v>1188</v>
      </c>
      <c r="FN17" s="1" t="s">
        <v>1145</v>
      </c>
      <c r="FO17" s="180">
        <f>'Suivi objectifs'!D9</f>
        <v>0</v>
      </c>
      <c r="FP17" s="1366" t="str">
        <f>'Suivi objectifs'!C9</f>
        <v>Agriculture</v>
      </c>
      <c r="FQ17" s="181" t="str">
        <f ca="1">IF(ISNA(VLOOKUP(FR17,Actions!$G$2:$AP$70,31,0)),"",VLOOKUP(FR17,Actions!$G$2:$AP$70,36,0))</f>
        <v/>
      </c>
      <c r="FR17" s="187" t="str">
        <f t="shared" ca="1" si="88"/>
        <v/>
      </c>
      <c r="FS17" s="286">
        <f t="shared" ca="1" si="80"/>
        <v>0</v>
      </c>
      <c r="FT17" s="181" t="str">
        <f ca="1">IF(ISNA(VLOOKUP(FU17,Actions!$G$2:$AP$70,31,0)),"",VLOOKUP(FU17,Actions!$G$2:$AP$70,36,0))</f>
        <v/>
      </c>
      <c r="FU17" s="187" t="str">
        <f t="shared" ca="1" si="89"/>
        <v/>
      </c>
      <c r="FV17" s="286">
        <f t="shared" ca="1" si="81"/>
        <v>0</v>
      </c>
      <c r="FW17" s="181" t="str">
        <f ca="1">IF(ISNA(VLOOKUP(FX17,Actions!$G$2:$AP$70,31,0)),"",VLOOKUP(FX17,Actions!$G$2:$AP$70,36,0))</f>
        <v/>
      </c>
      <c r="FX17" s="187" t="str">
        <f t="shared" ca="1" si="90"/>
        <v/>
      </c>
      <c r="FY17" s="286">
        <f t="shared" ca="1" si="82"/>
        <v>0</v>
      </c>
      <c r="FZ17" s="181" t="str">
        <f ca="1">IF(ISNA(VLOOKUP(GA17,Actions!$G$2:$AP$70,31,0)),"",VLOOKUP(GA17,Actions!$G$2:$AP$70,36,0))</f>
        <v/>
      </c>
      <c r="GA17" s="187" t="str">
        <f t="shared" ca="1" si="91"/>
        <v/>
      </c>
      <c r="GB17" s="286">
        <f t="shared" ca="1" si="83"/>
        <v>0</v>
      </c>
      <c r="GC17" s="181" t="str">
        <f ca="1">IF(ISNA(VLOOKUP(GD17,Actions!$G$2:$AP$70,31,0)),"",VLOOKUP(GD17,Actions!$G$2:$AP$70,36,0))</f>
        <v/>
      </c>
      <c r="GD17" s="187" t="str">
        <f t="shared" ca="1" si="92"/>
        <v/>
      </c>
      <c r="GE17" s="287">
        <f t="shared" ca="1" si="84"/>
        <v>0</v>
      </c>
      <c r="GF17" s="186">
        <f t="shared" ca="1" si="129"/>
        <v>0</v>
      </c>
      <c r="GG17" s="233"/>
    </row>
    <row r="18" spans="1:189" hidden="1">
      <c r="A18" s="1" t="s">
        <v>1189</v>
      </c>
      <c r="B18" s="1">
        <f>Actions!F11</f>
        <v>10</v>
      </c>
      <c r="C18" s="1">
        <f ca="1">Actions!G11</f>
        <v>0</v>
      </c>
      <c r="D18" s="1">
        <f ca="1">Actions!H11</f>
        <v>0</v>
      </c>
      <c r="E18" s="1" t="str">
        <f ca="1">Actions!I11</f>
        <v>-</v>
      </c>
      <c r="F18" s="1" t="str">
        <f t="shared" ca="1" si="0"/>
        <v>-</v>
      </c>
      <c r="G18" s="1" t="e">
        <f t="shared" ca="1" si="1"/>
        <v>#REF!</v>
      </c>
      <c r="I18" s="1">
        <v>10</v>
      </c>
      <c r="J18" s="175">
        <f t="shared" ca="1" si="2"/>
        <v>0</v>
      </c>
      <c r="K18" s="175" t="str">
        <f t="shared" ca="1" si="3"/>
        <v/>
      </c>
      <c r="L18" s="169" t="str">
        <f t="shared" ca="1" si="93"/>
        <v/>
      </c>
      <c r="M18" s="169" t="str">
        <f t="array" aca="1" ref="M18" ca="1">IF(ROWS($9:17)&lt;=COUNTIF(Condition1,"o"),INDEX(Liste1,SMALL(IF(Condition1="o",ROW(INDIRECT("1:"&amp;ROWS(Liste1)))),ROWS($9:17))),"")</f>
        <v/>
      </c>
      <c r="N18" s="175">
        <f t="shared" ca="1" si="4"/>
        <v>0</v>
      </c>
      <c r="O18" s="175" t="str">
        <f t="shared" ca="1" si="5"/>
        <v/>
      </c>
      <c r="P18" s="169" t="str">
        <f t="shared" ca="1" si="94"/>
        <v/>
      </c>
      <c r="Q18" s="169" t="str">
        <f t="array" aca="1" ref="Q18" ca="1">IF(ROWS($9:17)&lt;=COUNTIF(Condition2,"o"),INDEX(Liste2,SMALL(IF(Condition2="o",ROW(INDIRECT("1:"&amp;ROWS(Liste2)))),ROWS($9:17))),"")</f>
        <v/>
      </c>
      <c r="R18" s="175">
        <f t="shared" ca="1" si="6"/>
        <v>0</v>
      </c>
      <c r="S18" s="175" t="str">
        <f t="shared" ca="1" si="7"/>
        <v/>
      </c>
      <c r="T18" s="169" t="str">
        <f t="shared" ca="1" si="95"/>
        <v/>
      </c>
      <c r="U18" s="169" t="str">
        <f t="array" aca="1" ref="U18" ca="1">IF(ROWS($9:17)&lt;=COUNTIF(Condition3,"o"),INDEX(Liste3,SMALL(IF(Condition3="o",ROW(INDIRECT("1:"&amp;ROWS(Liste3)))),ROWS($9:17))),"")</f>
        <v/>
      </c>
      <c r="V18" s="175">
        <f t="shared" ca="1" si="8"/>
        <v>0</v>
      </c>
      <c r="W18" s="175" t="str">
        <f t="shared" ca="1" si="9"/>
        <v/>
      </c>
      <c r="X18" s="169" t="str">
        <f t="shared" ca="1" si="96"/>
        <v/>
      </c>
      <c r="Y18" s="169" t="str">
        <f t="array" aca="1" ref="Y18" ca="1">IF(ROWS($9:17)&lt;=COUNTIF(Condition4,"o"),INDEX(Liste4,SMALL(IF(Condition4="o",ROW(INDIRECT("1:"&amp;ROWS(Liste4)))),ROWS($9:17))),"")</f>
        <v/>
      </c>
      <c r="Z18" s="175">
        <f t="shared" ca="1" si="10"/>
        <v>0</v>
      </c>
      <c r="AA18" s="175" t="str">
        <f t="shared" ca="1" si="11"/>
        <v/>
      </c>
      <c r="AB18" s="169" t="str">
        <f t="shared" ca="1" si="97"/>
        <v/>
      </c>
      <c r="AC18" s="169" t="str">
        <f t="array" aca="1" ref="AC18" ca="1">IF(ROWS($9:17)&lt;=COUNTIF(Condition5,"o"),INDEX(Liste5,SMALL(IF(Condition5="o",ROW(INDIRECT("1:"&amp;ROWS(Liste5)))),ROWS($9:17))),"")</f>
        <v/>
      </c>
      <c r="AD18" s="175">
        <f t="shared" ca="1" si="12"/>
        <v>0</v>
      </c>
      <c r="AE18" s="175" t="str">
        <f t="shared" ca="1" si="13"/>
        <v/>
      </c>
      <c r="AF18" s="169" t="str">
        <f t="shared" ca="1" si="98"/>
        <v/>
      </c>
      <c r="AG18" s="169" t="str">
        <f t="array" aca="1" ref="AG18" ca="1">IF(ROWS($9:17)&lt;=COUNTIF(Condition6,"o"),INDEX(Liste6,SMALL(IF(Condition6="o",ROW(INDIRECT("1:"&amp;ROWS(Liste6)))),ROWS($9:17))),"")</f>
        <v/>
      </c>
      <c r="AH18" s="175">
        <f t="shared" ca="1" si="14"/>
        <v>0</v>
      </c>
      <c r="AI18" s="175" t="str">
        <f t="shared" ca="1" si="15"/>
        <v/>
      </c>
      <c r="AJ18" s="169" t="str">
        <f t="shared" ca="1" si="99"/>
        <v/>
      </c>
      <c r="AK18" s="169" t="str">
        <f t="array" aca="1" ref="AK18" ca="1">IF(ROWS($9:17)&lt;=COUNTIF(Condition7,"o"),INDEX(Liste7,SMALL(IF(Condition7="o",ROW(INDIRECT("1:"&amp;ROWS(Liste7)))),ROWS($9:17))),"")</f>
        <v/>
      </c>
      <c r="AL18" s="175">
        <f t="shared" ca="1" si="16"/>
        <v>0</v>
      </c>
      <c r="AM18" s="175" t="str">
        <f t="shared" ca="1" si="17"/>
        <v/>
      </c>
      <c r="AN18" s="169" t="str">
        <f t="shared" ca="1" si="100"/>
        <v/>
      </c>
      <c r="AO18" s="169" t="str">
        <f t="array" aca="1" ref="AO18" ca="1">IF(ROWS($9:17)&lt;=COUNTIF(Condition8,"o"),INDEX(Liste8,SMALL(IF(Condition8="o",ROW(INDIRECT("1:"&amp;ROWS(Liste8)))),ROWS($9:17))),"")</f>
        <v/>
      </c>
      <c r="AP18" s="175">
        <f t="shared" ca="1" si="18"/>
        <v>0</v>
      </c>
      <c r="AQ18" s="175" t="str">
        <f t="shared" ca="1" si="19"/>
        <v/>
      </c>
      <c r="AR18" s="169" t="str">
        <f t="shared" ca="1" si="101"/>
        <v/>
      </c>
      <c r="AS18" s="169" t="str">
        <f t="array" aca="1" ref="AS18" ca="1">IF(ROWS($9:17)&lt;=COUNTIF(Condition9,"o"),INDEX(Liste9,SMALL(IF(Condition9="o",ROW(INDIRECT("1:"&amp;ROWS(Liste9)))),ROWS($9:17))),"")</f>
        <v/>
      </c>
      <c r="AT18" s="175">
        <f t="shared" ca="1" si="20"/>
        <v>0</v>
      </c>
      <c r="AU18" s="175" t="str">
        <f t="shared" ca="1" si="21"/>
        <v/>
      </c>
      <c r="AV18" s="169" t="str">
        <f t="shared" ca="1" si="102"/>
        <v/>
      </c>
      <c r="AW18" s="169" t="str">
        <f t="array" aca="1" ref="AW18" ca="1">IF(ROWS($9:17)&lt;=COUNTIF(Condition10,"o"),INDEX(Liste10,SMALL(IF(Condition10="o",ROW(INDIRECT("1:"&amp;ROWS(Liste10)))),ROWS($9:17))),"")</f>
        <v/>
      </c>
      <c r="AX18" s="175">
        <f t="shared" ca="1" si="22"/>
        <v>0</v>
      </c>
      <c r="AY18" s="175" t="str">
        <f t="shared" ca="1" si="23"/>
        <v/>
      </c>
      <c r="AZ18" s="169" t="str">
        <f t="shared" ca="1" si="103"/>
        <v/>
      </c>
      <c r="BA18" s="169" t="str">
        <f t="array" aca="1" ref="BA18" ca="1">IF(ROWS($9:17)&lt;=COUNTIF(Condition11,"o"),INDEX(Liste11,SMALL(IF(Condition11="o",ROW(INDIRECT("1:"&amp;ROWS(Liste11)))),ROWS($9:17))),"")</f>
        <v/>
      </c>
      <c r="BB18" s="175">
        <f t="shared" ca="1" si="24"/>
        <v>0</v>
      </c>
      <c r="BC18" s="175" t="str">
        <f t="shared" ca="1" si="25"/>
        <v/>
      </c>
      <c r="BD18" s="169" t="str">
        <f t="shared" ca="1" si="104"/>
        <v/>
      </c>
      <c r="BE18" s="169" t="str">
        <f t="array" aca="1" ref="BE18" ca="1">IF(ROWS($9:17)&lt;=COUNTIF(Condition12,"o"),INDEX(Liste12,SMALL(IF(Condition12="o",ROW(INDIRECT("1:"&amp;ROWS(Liste12)))),ROWS($9:17))),"")</f>
        <v/>
      </c>
      <c r="BF18" s="175">
        <f t="shared" ca="1" si="26"/>
        <v>0</v>
      </c>
      <c r="BG18" s="175" t="str">
        <f t="shared" ca="1" si="27"/>
        <v/>
      </c>
      <c r="BH18" s="169" t="str">
        <f t="shared" ca="1" si="105"/>
        <v/>
      </c>
      <c r="BI18" s="169" t="str">
        <f t="array" aca="1" ref="BI18" ca="1">IF(ROWS($9:17)&lt;=COUNTIF(Condition13,"o"),INDEX(Liste13,SMALL(IF(Condition13="o",ROW(INDIRECT("1:"&amp;ROWS(Liste13)))),ROWS($9:17))),"")</f>
        <v/>
      </c>
      <c r="BJ18" s="175">
        <f t="shared" ca="1" si="28"/>
        <v>0</v>
      </c>
      <c r="BK18" s="175" t="str">
        <f t="shared" ca="1" si="29"/>
        <v/>
      </c>
      <c r="BL18" s="169" t="str">
        <f t="shared" ca="1" si="106"/>
        <v/>
      </c>
      <c r="BM18" s="169" t="str">
        <f t="array" aca="1" ref="BM18" ca="1">IF(ROWS($9:17)&lt;=COUNTIF(Condition14,"o"),INDEX(Liste14,SMALL(IF(Condition14="o",ROW(INDIRECT("1:"&amp;ROWS(Liste14)))),ROWS($9:17))),"")</f>
        <v/>
      </c>
      <c r="BN18" s="175">
        <f t="shared" ca="1" si="30"/>
        <v>0</v>
      </c>
      <c r="BO18" s="175" t="str">
        <f t="shared" ca="1" si="31"/>
        <v/>
      </c>
      <c r="BP18" s="169" t="str">
        <f t="shared" ca="1" si="107"/>
        <v/>
      </c>
      <c r="BQ18" s="169" t="str">
        <f t="array" aca="1" ref="BQ18" ca="1">IF(ROWS($9:17)&lt;=COUNTIF(Condition15,"o"),INDEX(Liste15,SMALL(IF(Condition15="o",ROW(INDIRECT("1:"&amp;ROWS(Liste15)))),ROWS($9:17))),"")</f>
        <v/>
      </c>
      <c r="BR18" s="175">
        <f t="shared" ca="1" si="32"/>
        <v>0</v>
      </c>
      <c r="BS18" s="175" t="str">
        <f t="shared" ca="1" si="33"/>
        <v/>
      </c>
      <c r="BT18" s="169" t="str">
        <f t="shared" ca="1" si="108"/>
        <v/>
      </c>
      <c r="BU18" s="169" t="str">
        <f t="array" aca="1" ref="BU18" ca="1">IF(ROWS($9:17)&lt;=COUNTIF(Condition16,"o"),INDEX(Liste16,SMALL(IF(Condition16="o",ROW(INDIRECT("1:"&amp;ROWS(Liste16)))),ROWS($9:17))),"")</f>
        <v/>
      </c>
      <c r="BV18" s="175">
        <f t="shared" ca="1" si="34"/>
        <v>0</v>
      </c>
      <c r="BW18" s="175" t="str">
        <f t="shared" ca="1" si="35"/>
        <v/>
      </c>
      <c r="BX18" s="169" t="str">
        <f t="shared" ca="1" si="109"/>
        <v/>
      </c>
      <c r="BY18" s="169" t="str">
        <f t="array" aca="1" ref="BY18" ca="1">IF(ROWS($9:17)&lt;=COUNTIF(Condition17,"o"),INDEX(Liste17,SMALL(IF(Condition17="o",ROW(INDIRECT("1:"&amp;ROWS(Liste17)))),ROWS($9:17))),"")</f>
        <v/>
      </c>
      <c r="BZ18" s="175">
        <f t="shared" ca="1" si="36"/>
        <v>0</v>
      </c>
      <c r="CA18" s="175" t="str">
        <f t="shared" ca="1" si="37"/>
        <v/>
      </c>
      <c r="CB18" s="169" t="str">
        <f t="shared" ca="1" si="110"/>
        <v/>
      </c>
      <c r="CC18" s="169" t="str">
        <f t="array" aca="1" ref="CC18" ca="1">IF(ROWS($9:17)&lt;=COUNTIF(Condition18,"o"),INDEX(Liste18,SMALL(IF(Condition18="o",ROW(INDIRECT("1:"&amp;ROWS(Liste18)))),ROWS($9:17))),"")</f>
        <v/>
      </c>
      <c r="CD18" s="175">
        <f t="shared" ca="1" si="38"/>
        <v>0</v>
      </c>
      <c r="CE18" s="175" t="str">
        <f t="shared" ca="1" si="39"/>
        <v/>
      </c>
      <c r="CF18" s="169" t="str">
        <f t="shared" ca="1" si="111"/>
        <v/>
      </c>
      <c r="CG18" s="169" t="str">
        <f t="array" aca="1" ref="CG18" ca="1">IF(ROWS($9:17)&lt;=COUNTIF(Condition19,"o"),INDEX(Liste19,SMALL(IF(Condition19="o",ROW(INDIRECT("1:"&amp;ROWS(Liste19)))),ROWS($9:17))),"")</f>
        <v/>
      </c>
      <c r="CH18" s="175">
        <f t="shared" ca="1" si="40"/>
        <v>0</v>
      </c>
      <c r="CI18" s="175" t="str">
        <f t="shared" ca="1" si="41"/>
        <v/>
      </c>
      <c r="CJ18" s="169" t="str">
        <f t="shared" ca="1" si="112"/>
        <v/>
      </c>
      <c r="CK18" s="169" t="str">
        <f t="array" aca="1" ref="CK18" ca="1">IF(ROWS($9:17)&lt;=COUNTIF(Condition20,"o"),INDEX(Liste20,SMALL(IF(Condition20="o",ROW(INDIRECT("1:"&amp;ROWS(Liste20)))),ROWS($9:17))),"")</f>
        <v/>
      </c>
      <c r="CL18" s="175">
        <f t="shared" ca="1" si="42"/>
        <v>0</v>
      </c>
      <c r="CM18" s="175" t="str">
        <f t="shared" ca="1" si="43"/>
        <v/>
      </c>
      <c r="CN18" s="169" t="str">
        <f t="shared" ca="1" si="113"/>
        <v/>
      </c>
      <c r="CO18" s="169" t="str">
        <f t="array" aca="1" ref="CO18" ca="1">IF(ROWS($9:17)&lt;=COUNTIF(Condition21,"o"),INDEX(Liste21,SMALL(IF(Condition21="o",ROW(INDIRECT("1:"&amp;ROWS(Liste21)))),ROWS($9:17))),"")</f>
        <v/>
      </c>
      <c r="CP18" s="175">
        <f t="shared" ca="1" si="44"/>
        <v>0</v>
      </c>
      <c r="CQ18" s="175" t="str">
        <f t="shared" ca="1" si="45"/>
        <v/>
      </c>
      <c r="CR18" s="169" t="str">
        <f t="shared" ca="1" si="114"/>
        <v/>
      </c>
      <c r="CS18" s="169" t="str">
        <f t="array" aca="1" ref="CS18" ca="1">IF(ROWS($9:17)&lt;=COUNTIF(Condition22,"o"),INDEX(Liste22,SMALL(IF(Condition22="o",ROW(INDIRECT("1:"&amp;ROWS(Liste22)))),ROWS($9:17))),"")</f>
        <v/>
      </c>
      <c r="CT18" s="175">
        <f t="shared" ca="1" si="46"/>
        <v>0</v>
      </c>
      <c r="CU18" s="175" t="str">
        <f t="shared" ca="1" si="47"/>
        <v/>
      </c>
      <c r="CV18" s="169" t="str">
        <f t="shared" ca="1" si="115"/>
        <v/>
      </c>
      <c r="CW18" s="169" t="str">
        <f t="array" aca="1" ref="CW18" ca="1">IF(ROWS($9:17)&lt;=COUNTIF(Condition23,"o"),INDEX(Liste23,SMALL(IF(Condition23="o",ROW(INDIRECT("1:"&amp;ROWS(Liste23)))),ROWS($9:17))),"")</f>
        <v/>
      </c>
      <c r="CX18" s="175">
        <f t="shared" ca="1" si="48"/>
        <v>0</v>
      </c>
      <c r="CY18" s="175" t="str">
        <f t="shared" ca="1" si="49"/>
        <v/>
      </c>
      <c r="CZ18" s="169" t="str">
        <f t="shared" ca="1" si="116"/>
        <v/>
      </c>
      <c r="DA18" s="169" t="str">
        <f t="array" aca="1" ref="DA18" ca="1">IF(ROWS($9:17)&lt;=COUNTIF(Condition24,"o"),INDEX(Liste24,SMALL(IF(Condition24="o",ROW(INDIRECT("1:"&amp;ROWS(Liste24)))),ROWS($9:17))),"")</f>
        <v/>
      </c>
      <c r="DB18" s="175">
        <f t="shared" ca="1" si="50"/>
        <v>0</v>
      </c>
      <c r="DC18" s="175" t="str">
        <f t="shared" ca="1" si="51"/>
        <v/>
      </c>
      <c r="DD18" s="169" t="str">
        <f t="shared" ca="1" si="117"/>
        <v/>
      </c>
      <c r="DE18" s="169" t="str">
        <f t="array" aca="1" ref="DE18" ca="1">IF(ROWS($9:17)&lt;=COUNTIF(Condition25,"o"),INDEX(Liste25,SMALL(IF(Condition25="o",ROW(INDIRECT("1:"&amp;ROWS(Liste25)))),ROWS($9:17))),"")</f>
        <v/>
      </c>
      <c r="DF18" s="175">
        <f t="shared" ca="1" si="52"/>
        <v>0</v>
      </c>
      <c r="DG18" s="175" t="str">
        <f t="shared" ca="1" si="53"/>
        <v/>
      </c>
      <c r="DH18" s="169" t="str">
        <f t="shared" ca="1" si="118"/>
        <v/>
      </c>
      <c r="DI18" s="169" t="str">
        <f t="array" aca="1" ref="DI18" ca="1">IF(ROWS($9:17)&lt;=COUNTIF(Condition26,"o"),INDEX(Liste26,SMALL(IF(Condition26="o",ROW(INDIRECT("1:"&amp;ROWS(Liste26)))),ROWS($9:17))),"")</f>
        <v/>
      </c>
      <c r="DJ18" s="175">
        <f t="shared" ca="1" si="54"/>
        <v>0</v>
      </c>
      <c r="DK18" s="175" t="str">
        <f t="shared" ca="1" si="55"/>
        <v/>
      </c>
      <c r="DL18" s="169" t="str">
        <f t="shared" ca="1" si="119"/>
        <v/>
      </c>
      <c r="DM18" s="169" t="str">
        <f t="array" aca="1" ref="DM18" ca="1">IF(ROWS($9:17)&lt;=COUNTIF(Condition27,"o"),INDEX(Liste27,SMALL(IF(Condition27="o",ROW(INDIRECT("1:"&amp;ROWS(Liste27)))),ROWS($9:17))),"")</f>
        <v/>
      </c>
      <c r="DN18" s="175">
        <f t="shared" ca="1" si="56"/>
        <v>0</v>
      </c>
      <c r="DO18" s="175" t="str">
        <f t="shared" ca="1" si="57"/>
        <v/>
      </c>
      <c r="DP18" s="169" t="str">
        <f t="shared" ca="1" si="120"/>
        <v/>
      </c>
      <c r="DQ18" s="169" t="str">
        <f t="array" aca="1" ref="DQ18" ca="1">IF(ROWS($9:17)&lt;=COUNTIF(Condition28,"o"),INDEX(Liste28,SMALL(IF(Condition28="o",ROW(INDIRECT("1:"&amp;ROWS(Liste28)))),ROWS($9:17))),"")</f>
        <v/>
      </c>
      <c r="DR18" s="175">
        <f t="shared" ca="1" si="58"/>
        <v>0</v>
      </c>
      <c r="DS18" s="175" t="str">
        <f t="shared" ca="1" si="59"/>
        <v/>
      </c>
      <c r="DT18" s="169" t="str">
        <f t="shared" ca="1" si="121"/>
        <v/>
      </c>
      <c r="DU18" s="169" t="str">
        <f t="array" aca="1" ref="DU18" ca="1">IF(ROWS($9:17)&lt;=COUNTIF(Condition29,"o"),INDEX(Liste29,SMALL(IF(Condition29="o",ROW(INDIRECT("1:"&amp;ROWS(Liste29)))),ROWS($9:17))),"")</f>
        <v/>
      </c>
      <c r="DV18" s="175">
        <f t="shared" ca="1" si="60"/>
        <v>0</v>
      </c>
      <c r="DW18" s="175" t="str">
        <f t="shared" ca="1" si="61"/>
        <v/>
      </c>
      <c r="DX18" s="169" t="str">
        <f t="shared" ca="1" si="122"/>
        <v/>
      </c>
      <c r="DY18" s="169" t="str">
        <f t="array" aca="1" ref="DY18" ca="1">IF(ROWS($9:17)&lt;=COUNTIF(Condition30,"o"),INDEX(Liste30,SMALL(IF(Condition30="o",ROW(INDIRECT("1:"&amp;ROWS(Liste30)))),ROWS($9:17))),"")</f>
        <v/>
      </c>
      <c r="DZ18" s="175">
        <f t="shared" ca="1" si="62"/>
        <v>0</v>
      </c>
      <c r="EA18" s="175" t="str">
        <f t="shared" ca="1" si="63"/>
        <v/>
      </c>
      <c r="EB18" s="169" t="str">
        <f t="shared" ca="1" si="123"/>
        <v/>
      </c>
      <c r="EC18" s="169" t="str">
        <f t="array" aca="1" ref="EC18" ca="1">IF(ROWS($9:17)&lt;=COUNTIF(Condition31,"o"),INDEX(Liste31,SMALL(IF(Condition31="o",ROW(INDIRECT("1:"&amp;ROWS(Liste31)))),ROWS($9:17))),"")</f>
        <v/>
      </c>
      <c r="ED18" s="175">
        <f t="shared" ca="1" si="64"/>
        <v>0</v>
      </c>
      <c r="EE18" s="175" t="str">
        <f t="shared" ca="1" si="65"/>
        <v/>
      </c>
      <c r="EF18" s="169" t="str">
        <f t="shared" ca="1" si="124"/>
        <v/>
      </c>
      <c r="EG18" s="169" t="str">
        <f t="array" aca="1" ref="EG18" ca="1">IF(ROWS($9:17)&lt;=COUNTIF(Condition32,"o"),INDEX(Liste32,SMALL(IF(Condition32="o",ROW(INDIRECT("1:"&amp;ROWS(Liste32)))),ROWS($9:17))),"")</f>
        <v/>
      </c>
      <c r="EH18" s="175">
        <f t="shared" ca="1" si="66"/>
        <v>0</v>
      </c>
      <c r="EI18" s="175" t="str">
        <f t="shared" ca="1" si="67"/>
        <v/>
      </c>
      <c r="EJ18" s="169" t="str">
        <f t="shared" ca="1" si="125"/>
        <v/>
      </c>
      <c r="EK18" s="169" t="str">
        <f t="array" aca="1" ref="EK18" ca="1">IF(ROWS($9:17)&lt;=COUNTIF(Condition33,"o"),INDEX(Liste33,SMALL(IF(Condition33="o",ROW(INDIRECT("1:"&amp;ROWS(Liste33)))),ROWS($9:17))),"")</f>
        <v/>
      </c>
      <c r="EL18" s="175">
        <f t="shared" ca="1" si="68"/>
        <v>0</v>
      </c>
      <c r="EM18" s="175" t="str">
        <f t="shared" ca="1" si="69"/>
        <v/>
      </c>
      <c r="EN18" s="169" t="str">
        <f t="shared" ca="1" si="126"/>
        <v/>
      </c>
      <c r="EO18" s="169" t="str">
        <f t="array" aca="1" ref="EO18" ca="1">IF(ROWS($9:17)&lt;=COUNTIF(Condition34,"o"),INDEX(Liste34,SMALL(IF(Condition34="o",ROW(INDIRECT("1:"&amp;ROWS(Liste34)))),ROWS($9:17))),"")</f>
        <v/>
      </c>
      <c r="EP18" s="175">
        <f t="shared" ca="1" si="70"/>
        <v>0</v>
      </c>
      <c r="EQ18" s="175" t="str">
        <f t="shared" ca="1" si="71"/>
        <v/>
      </c>
      <c r="ER18" s="169" t="str">
        <f t="shared" ca="1" si="127"/>
        <v/>
      </c>
      <c r="ES18" s="169" t="str">
        <f t="array" aca="1" ref="ES18" ca="1">IF(ROWS($9:17)&lt;=COUNTIF(Condition35,"o"),INDEX(Liste35,SMALL(IF(Condition35="o",ROW(INDIRECT("1:"&amp;ROWS(Liste35)))),ROWS($9:17))),"")</f>
        <v/>
      </c>
      <c r="ET18" s="175">
        <f t="shared" ca="1" si="72"/>
        <v>0</v>
      </c>
      <c r="EU18" s="175" t="str">
        <f t="shared" ca="1" si="73"/>
        <v/>
      </c>
      <c r="EV18" s="169" t="str">
        <f t="shared" ca="1" si="128"/>
        <v/>
      </c>
      <c r="EW18" s="169" t="str">
        <f t="array" aca="1" ref="EW18" ca="1">IF(ROWS($9:17)&lt;=COUNTIF(Condition36,"o"),INDEX(Liste36,SMALL(IF(Condition36="o",ROW(INDIRECT("1:"&amp;ROWS(Liste36)))),ROWS($9:17))),"")</f>
        <v/>
      </c>
      <c r="EX18" s="175">
        <f t="shared" ca="1" si="74"/>
        <v>0</v>
      </c>
      <c r="EY18" s="175" t="str">
        <f t="shared" ca="1" si="75"/>
        <v/>
      </c>
      <c r="EZ18" s="169" t="str">
        <f t="shared" ca="1" si="85"/>
        <v/>
      </c>
      <c r="FA18" s="169" t="str">
        <f t="array" aca="1" ref="FA18" ca="1">IF(ROWS($9:17)&lt;=COUNTIF(Condition36,"o"),INDEX(Liste36,SMALL(IF(Condition36="o",ROW(INDIRECT("1:"&amp;ROWS(Liste36)))),ROWS($9:17))),"")</f>
        <v/>
      </c>
      <c r="FB18" s="175">
        <f t="shared" ca="1" si="76"/>
        <v>0</v>
      </c>
      <c r="FC18" s="175" t="str">
        <f t="shared" ca="1" si="77"/>
        <v/>
      </c>
      <c r="FD18" s="169" t="str">
        <f t="shared" ca="1" si="86"/>
        <v/>
      </c>
      <c r="FE18" s="169" t="str">
        <f t="array" aca="1" ref="FE18" ca="1">IF(ROWS($9:17)&lt;=COUNTIF(condition38,"o"),INDEX(liste38,SMALL(IF(condition38="o",ROW(INDIRECT("1:"&amp;ROWS(liste38)))),ROWS($9:17))),"")</f>
        <v/>
      </c>
      <c r="FF18" s="175">
        <f t="shared" ca="1" si="78"/>
        <v>0</v>
      </c>
      <c r="FG18" s="175" t="str">
        <f t="shared" ca="1" si="79"/>
        <v/>
      </c>
      <c r="FH18" s="169" t="str">
        <f t="shared" ca="1" si="87"/>
        <v/>
      </c>
      <c r="FI18" s="169" t="str">
        <f t="array" aca="1" ref="FI18" ca="1">IF(ROWS($9:17)&lt;=COUNTIF(Condition39,"o"),INDEX(Liste39,SMALL(IF(Condition39="o",ROW(INDIRECT("1:"&amp;ROWS(Liste39)))),ROWS($9:17))),"")</f>
        <v/>
      </c>
      <c r="FM18" s="1" t="s">
        <v>1190</v>
      </c>
      <c r="FN18" s="1" t="s">
        <v>1146</v>
      </c>
      <c r="FO18" s="180">
        <f>'Suivi objectifs'!D10</f>
        <v>0</v>
      </c>
      <c r="FP18" s="1366" t="str">
        <f>'Suivi objectifs'!C10</f>
        <v>Transport hors AC</v>
      </c>
      <c r="FQ18" s="181" t="str">
        <f ca="1">IF(ISNA(VLOOKUP(FR18,Actions!$G$2:$AP$70,31,0)),"",VLOOKUP(FR18,Actions!$G$2:$AP$70,36,0))</f>
        <v/>
      </c>
      <c r="FR18" s="185" t="str">
        <f t="shared" ca="1" si="88"/>
        <v/>
      </c>
      <c r="FS18" s="286">
        <f t="shared" ca="1" si="80"/>
        <v>0</v>
      </c>
      <c r="FT18" s="181" t="str">
        <f ca="1">IF(ISNA(VLOOKUP(FU18,Actions!$G$2:$AP$70,31,0)),"",VLOOKUP(FU18,Actions!$G$2:$AP$70,36,0))</f>
        <v/>
      </c>
      <c r="FU18" s="185" t="str">
        <f t="shared" ca="1" si="89"/>
        <v/>
      </c>
      <c r="FV18" s="286">
        <f t="shared" ca="1" si="81"/>
        <v>0</v>
      </c>
      <c r="FW18" s="181" t="str">
        <f ca="1">IF(ISNA(VLOOKUP(FX18,Actions!$G$2:$AP$70,31,0)),"",VLOOKUP(FX18,Actions!$G$2:$AP$70,36,0))</f>
        <v/>
      </c>
      <c r="FX18" s="185" t="str">
        <f t="shared" ca="1" si="90"/>
        <v/>
      </c>
      <c r="FY18" s="286">
        <f t="shared" ca="1" si="82"/>
        <v>0</v>
      </c>
      <c r="FZ18" s="181" t="str">
        <f ca="1">IF(ISNA(VLOOKUP(GA18,Actions!$G$2:$AP$70,31,0)),"",VLOOKUP(GA18,Actions!$G$2:$AP$70,36,0))</f>
        <v/>
      </c>
      <c r="GA18" s="185" t="str">
        <f t="shared" ca="1" si="91"/>
        <v/>
      </c>
      <c r="GB18" s="286">
        <f t="shared" ca="1" si="83"/>
        <v>0</v>
      </c>
      <c r="GC18" s="181" t="str">
        <f ca="1">IF(ISNA(VLOOKUP(GD18,Actions!$G$2:$AP$70,31,0)),"",VLOOKUP(GD18,Actions!$G$2:$AP$70,36,0))</f>
        <v/>
      </c>
      <c r="GD18" s="185" t="str">
        <f t="shared" ca="1" si="92"/>
        <v/>
      </c>
      <c r="GE18" s="286">
        <f t="shared" ca="1" si="84"/>
        <v>0</v>
      </c>
      <c r="GF18" s="186">
        <f t="shared" ca="1" si="129"/>
        <v>0</v>
      </c>
      <c r="GG18" s="233"/>
    </row>
    <row r="19" spans="1:189" hidden="1">
      <c r="A19" s="1" t="s">
        <v>776</v>
      </c>
      <c r="B19" s="1">
        <f>Actions!F12</f>
        <v>11</v>
      </c>
      <c r="C19" s="1">
        <f ca="1">Actions!G12</f>
        <v>0</v>
      </c>
      <c r="D19" s="1">
        <f ca="1">Actions!H12</f>
        <v>0</v>
      </c>
      <c r="E19" s="1" t="str">
        <f ca="1">Actions!I12</f>
        <v>-</v>
      </c>
      <c r="F19" s="1" t="str">
        <f t="shared" ca="1" si="0"/>
        <v>-</v>
      </c>
      <c r="G19" s="1" t="e">
        <f t="shared" ca="1" si="1"/>
        <v>#REF!</v>
      </c>
      <c r="I19" s="1">
        <v>11</v>
      </c>
      <c r="J19" s="175">
        <f t="shared" ca="1" si="2"/>
        <v>0</v>
      </c>
      <c r="K19" s="175" t="str">
        <f t="shared" ca="1" si="3"/>
        <v/>
      </c>
      <c r="L19" s="169" t="str">
        <f t="shared" ca="1" si="93"/>
        <v/>
      </c>
      <c r="M19" s="169" t="str">
        <f t="array" aca="1" ref="M19" ca="1">IF(ROWS($9:18)&lt;=COUNTIF(Condition1,"o"),INDEX(Liste1,SMALL(IF(Condition1="o",ROW(INDIRECT("1:"&amp;ROWS(Liste1)))),ROWS($9:18))),"")</f>
        <v/>
      </c>
      <c r="N19" s="175">
        <f t="shared" ca="1" si="4"/>
        <v>0</v>
      </c>
      <c r="O19" s="175" t="str">
        <f t="shared" ca="1" si="5"/>
        <v/>
      </c>
      <c r="P19" s="169" t="str">
        <f t="shared" ca="1" si="94"/>
        <v/>
      </c>
      <c r="Q19" s="169" t="str">
        <f t="array" aca="1" ref="Q19" ca="1">IF(ROWS($9:18)&lt;=COUNTIF(Condition2,"o"),INDEX(Liste2,SMALL(IF(Condition2="o",ROW(INDIRECT("1:"&amp;ROWS(Liste2)))),ROWS($9:18))),"")</f>
        <v/>
      </c>
      <c r="R19" s="175">
        <f t="shared" ca="1" si="6"/>
        <v>0</v>
      </c>
      <c r="S19" s="175" t="str">
        <f t="shared" ca="1" si="7"/>
        <v/>
      </c>
      <c r="T19" s="169" t="str">
        <f t="shared" ca="1" si="95"/>
        <v/>
      </c>
      <c r="U19" s="169" t="str">
        <f t="array" aca="1" ref="U19" ca="1">IF(ROWS($9:18)&lt;=COUNTIF(Condition3,"o"),INDEX(Liste3,SMALL(IF(Condition3="o",ROW(INDIRECT("1:"&amp;ROWS(Liste3)))),ROWS($9:18))),"")</f>
        <v/>
      </c>
      <c r="V19" s="175">
        <f t="shared" ca="1" si="8"/>
        <v>0</v>
      </c>
      <c r="W19" s="175" t="str">
        <f t="shared" ca="1" si="9"/>
        <v/>
      </c>
      <c r="X19" s="169" t="str">
        <f t="shared" ca="1" si="96"/>
        <v/>
      </c>
      <c r="Y19" s="169" t="str">
        <f t="array" aca="1" ref="Y19" ca="1">IF(ROWS($9:18)&lt;=COUNTIF(Condition4,"o"),INDEX(Liste4,SMALL(IF(Condition4="o",ROW(INDIRECT("1:"&amp;ROWS(Liste4)))),ROWS($9:18))),"")</f>
        <v/>
      </c>
      <c r="Z19" s="175">
        <f t="shared" ca="1" si="10"/>
        <v>0</v>
      </c>
      <c r="AA19" s="175" t="str">
        <f t="shared" ca="1" si="11"/>
        <v/>
      </c>
      <c r="AB19" s="169" t="str">
        <f t="shared" ca="1" si="97"/>
        <v/>
      </c>
      <c r="AC19" s="169" t="str">
        <f t="array" aca="1" ref="AC19" ca="1">IF(ROWS($9:18)&lt;=COUNTIF(Condition5,"o"),INDEX(Liste5,SMALL(IF(Condition5="o",ROW(INDIRECT("1:"&amp;ROWS(Liste5)))),ROWS($9:18))),"")</f>
        <v/>
      </c>
      <c r="AD19" s="175">
        <f t="shared" ca="1" si="12"/>
        <v>0</v>
      </c>
      <c r="AE19" s="175" t="str">
        <f t="shared" ca="1" si="13"/>
        <v/>
      </c>
      <c r="AF19" s="169" t="str">
        <f t="shared" ca="1" si="98"/>
        <v/>
      </c>
      <c r="AG19" s="169" t="str">
        <f t="array" aca="1" ref="AG19" ca="1">IF(ROWS($9:18)&lt;=COUNTIF(Condition6,"o"),INDEX(Liste6,SMALL(IF(Condition6="o",ROW(INDIRECT("1:"&amp;ROWS(Liste6)))),ROWS($9:18))),"")</f>
        <v/>
      </c>
      <c r="AH19" s="175">
        <f t="shared" ca="1" si="14"/>
        <v>0</v>
      </c>
      <c r="AI19" s="175" t="str">
        <f t="shared" ca="1" si="15"/>
        <v/>
      </c>
      <c r="AJ19" s="169" t="str">
        <f t="shared" ca="1" si="99"/>
        <v/>
      </c>
      <c r="AK19" s="169" t="str">
        <f t="array" aca="1" ref="AK19" ca="1">IF(ROWS($9:18)&lt;=COUNTIF(Condition7,"o"),INDEX(Liste7,SMALL(IF(Condition7="o",ROW(INDIRECT("1:"&amp;ROWS(Liste7)))),ROWS($9:18))),"")</f>
        <v/>
      </c>
      <c r="AL19" s="175">
        <f t="shared" ca="1" si="16"/>
        <v>0</v>
      </c>
      <c r="AM19" s="175" t="str">
        <f t="shared" ca="1" si="17"/>
        <v/>
      </c>
      <c r="AN19" s="169" t="str">
        <f t="shared" ca="1" si="100"/>
        <v/>
      </c>
      <c r="AO19" s="169" t="str">
        <f t="array" aca="1" ref="AO19" ca="1">IF(ROWS($9:18)&lt;=COUNTIF(Condition8,"o"),INDEX(Liste8,SMALL(IF(Condition8="o",ROW(INDIRECT("1:"&amp;ROWS(Liste8)))),ROWS($9:18))),"")</f>
        <v/>
      </c>
      <c r="AP19" s="175">
        <f t="shared" ca="1" si="18"/>
        <v>0</v>
      </c>
      <c r="AQ19" s="175" t="str">
        <f t="shared" ca="1" si="19"/>
        <v/>
      </c>
      <c r="AR19" s="169" t="str">
        <f t="shared" ca="1" si="101"/>
        <v/>
      </c>
      <c r="AS19" s="169" t="str">
        <f t="array" aca="1" ref="AS19" ca="1">IF(ROWS($9:18)&lt;=COUNTIF(Condition9,"o"),INDEX(Liste9,SMALL(IF(Condition9="o",ROW(INDIRECT("1:"&amp;ROWS(Liste9)))),ROWS($9:18))),"")</f>
        <v/>
      </c>
      <c r="AT19" s="175">
        <f t="shared" ca="1" si="20"/>
        <v>0</v>
      </c>
      <c r="AU19" s="175" t="str">
        <f t="shared" ca="1" si="21"/>
        <v/>
      </c>
      <c r="AV19" s="169" t="str">
        <f t="shared" ca="1" si="102"/>
        <v/>
      </c>
      <c r="AW19" s="169" t="str">
        <f t="array" aca="1" ref="AW19" ca="1">IF(ROWS($9:18)&lt;=COUNTIF(Condition10,"o"),INDEX(Liste10,SMALL(IF(Condition10="o",ROW(INDIRECT("1:"&amp;ROWS(Liste10)))),ROWS($9:18))),"")</f>
        <v/>
      </c>
      <c r="AX19" s="175">
        <f t="shared" ca="1" si="22"/>
        <v>0</v>
      </c>
      <c r="AY19" s="175" t="str">
        <f t="shared" ca="1" si="23"/>
        <v/>
      </c>
      <c r="AZ19" s="169" t="str">
        <f t="shared" ca="1" si="103"/>
        <v/>
      </c>
      <c r="BA19" s="169" t="str">
        <f t="array" aca="1" ref="BA19" ca="1">IF(ROWS($9:18)&lt;=COUNTIF(Condition11,"o"),INDEX(Liste11,SMALL(IF(Condition11="o",ROW(INDIRECT("1:"&amp;ROWS(Liste11)))),ROWS($9:18))),"")</f>
        <v/>
      </c>
      <c r="BB19" s="175">
        <f t="shared" ca="1" si="24"/>
        <v>0</v>
      </c>
      <c r="BC19" s="175" t="str">
        <f t="shared" ca="1" si="25"/>
        <v/>
      </c>
      <c r="BD19" s="169" t="str">
        <f t="shared" ca="1" si="104"/>
        <v/>
      </c>
      <c r="BE19" s="169" t="str">
        <f t="array" aca="1" ref="BE19" ca="1">IF(ROWS($9:18)&lt;=COUNTIF(Condition12,"o"),INDEX(Liste12,SMALL(IF(Condition12="o",ROW(INDIRECT("1:"&amp;ROWS(Liste12)))),ROWS($9:18))),"")</f>
        <v/>
      </c>
      <c r="BF19" s="175">
        <f t="shared" ca="1" si="26"/>
        <v>0</v>
      </c>
      <c r="BG19" s="175" t="str">
        <f t="shared" ca="1" si="27"/>
        <v/>
      </c>
      <c r="BH19" s="169" t="str">
        <f t="shared" ca="1" si="105"/>
        <v/>
      </c>
      <c r="BI19" s="169" t="str">
        <f t="array" aca="1" ref="BI19" ca="1">IF(ROWS($9:18)&lt;=COUNTIF(Condition13,"o"),INDEX(Liste13,SMALL(IF(Condition13="o",ROW(INDIRECT("1:"&amp;ROWS(Liste13)))),ROWS($9:18))),"")</f>
        <v/>
      </c>
      <c r="BJ19" s="175">
        <f t="shared" ca="1" si="28"/>
        <v>0</v>
      </c>
      <c r="BK19" s="175" t="str">
        <f t="shared" ca="1" si="29"/>
        <v/>
      </c>
      <c r="BL19" s="169" t="str">
        <f t="shared" ca="1" si="106"/>
        <v/>
      </c>
      <c r="BM19" s="169" t="str">
        <f t="array" aca="1" ref="BM19" ca="1">IF(ROWS($9:18)&lt;=COUNTIF(Condition14,"o"),INDEX(Liste14,SMALL(IF(Condition14="o",ROW(INDIRECT("1:"&amp;ROWS(Liste14)))),ROWS($9:18))),"")</f>
        <v/>
      </c>
      <c r="BN19" s="175">
        <f t="shared" ca="1" si="30"/>
        <v>0</v>
      </c>
      <c r="BO19" s="175" t="str">
        <f t="shared" ca="1" si="31"/>
        <v/>
      </c>
      <c r="BP19" s="169" t="str">
        <f t="shared" ca="1" si="107"/>
        <v/>
      </c>
      <c r="BQ19" s="169" t="str">
        <f t="array" aca="1" ref="BQ19" ca="1">IF(ROWS($9:18)&lt;=COUNTIF(Condition15,"o"),INDEX(Liste15,SMALL(IF(Condition15="o",ROW(INDIRECT("1:"&amp;ROWS(Liste15)))),ROWS($9:18))),"")</f>
        <v/>
      </c>
      <c r="BR19" s="175">
        <f t="shared" ca="1" si="32"/>
        <v>0</v>
      </c>
      <c r="BS19" s="175" t="str">
        <f t="shared" ca="1" si="33"/>
        <v/>
      </c>
      <c r="BT19" s="169" t="str">
        <f t="shared" ca="1" si="108"/>
        <v/>
      </c>
      <c r="BU19" s="169" t="str">
        <f t="array" aca="1" ref="BU19" ca="1">IF(ROWS($9:18)&lt;=COUNTIF(Condition16,"o"),INDEX(Liste16,SMALL(IF(Condition16="o",ROW(INDIRECT("1:"&amp;ROWS(Liste16)))),ROWS($9:18))),"")</f>
        <v/>
      </c>
      <c r="BV19" s="175">
        <f t="shared" ca="1" si="34"/>
        <v>0</v>
      </c>
      <c r="BW19" s="175" t="str">
        <f t="shared" ca="1" si="35"/>
        <v/>
      </c>
      <c r="BX19" s="169" t="str">
        <f t="shared" ca="1" si="109"/>
        <v/>
      </c>
      <c r="BY19" s="169" t="str">
        <f t="array" aca="1" ref="BY19" ca="1">IF(ROWS($9:18)&lt;=COUNTIF(Condition17,"o"),INDEX(Liste17,SMALL(IF(Condition17="o",ROW(INDIRECT("1:"&amp;ROWS(Liste17)))),ROWS($9:18))),"")</f>
        <v/>
      </c>
      <c r="BZ19" s="175">
        <f t="shared" ca="1" si="36"/>
        <v>0</v>
      </c>
      <c r="CA19" s="175" t="str">
        <f t="shared" ca="1" si="37"/>
        <v/>
      </c>
      <c r="CB19" s="169" t="str">
        <f t="shared" ca="1" si="110"/>
        <v/>
      </c>
      <c r="CC19" s="169" t="str">
        <f t="array" aca="1" ref="CC19" ca="1">IF(ROWS($9:18)&lt;=COUNTIF(Condition18,"o"),INDEX(Liste18,SMALL(IF(Condition18="o",ROW(INDIRECT("1:"&amp;ROWS(Liste18)))),ROWS($9:18))),"")</f>
        <v/>
      </c>
      <c r="CD19" s="175">
        <f t="shared" ca="1" si="38"/>
        <v>0</v>
      </c>
      <c r="CE19" s="175" t="str">
        <f t="shared" ca="1" si="39"/>
        <v/>
      </c>
      <c r="CF19" s="169" t="str">
        <f t="shared" ca="1" si="111"/>
        <v/>
      </c>
      <c r="CG19" s="169" t="str">
        <f t="array" aca="1" ref="CG19" ca="1">IF(ROWS($9:18)&lt;=COUNTIF(Condition19,"o"),INDEX(Liste19,SMALL(IF(Condition19="o",ROW(INDIRECT("1:"&amp;ROWS(Liste19)))),ROWS($9:18))),"")</f>
        <v/>
      </c>
      <c r="CH19" s="175">
        <f t="shared" ca="1" si="40"/>
        <v>0</v>
      </c>
      <c r="CI19" s="175" t="str">
        <f t="shared" ca="1" si="41"/>
        <v/>
      </c>
      <c r="CJ19" s="169" t="str">
        <f t="shared" ca="1" si="112"/>
        <v/>
      </c>
      <c r="CK19" s="169" t="str">
        <f t="array" aca="1" ref="CK19" ca="1">IF(ROWS($9:18)&lt;=COUNTIF(Condition20,"o"),INDEX(Liste20,SMALL(IF(Condition20="o",ROW(INDIRECT("1:"&amp;ROWS(Liste20)))),ROWS($9:18))),"")</f>
        <v/>
      </c>
      <c r="CL19" s="175">
        <f t="shared" ca="1" si="42"/>
        <v>0</v>
      </c>
      <c r="CM19" s="175" t="str">
        <f t="shared" ca="1" si="43"/>
        <v/>
      </c>
      <c r="CN19" s="169" t="str">
        <f t="shared" ca="1" si="113"/>
        <v/>
      </c>
      <c r="CO19" s="169" t="str">
        <f t="array" aca="1" ref="CO19" ca="1">IF(ROWS($9:18)&lt;=COUNTIF(Condition21,"o"),INDEX(Liste21,SMALL(IF(Condition21="o",ROW(INDIRECT("1:"&amp;ROWS(Liste21)))),ROWS($9:18))),"")</f>
        <v/>
      </c>
      <c r="CP19" s="175">
        <f t="shared" ca="1" si="44"/>
        <v>0</v>
      </c>
      <c r="CQ19" s="175" t="str">
        <f t="shared" ca="1" si="45"/>
        <v/>
      </c>
      <c r="CR19" s="169" t="str">
        <f t="shared" ca="1" si="114"/>
        <v/>
      </c>
      <c r="CS19" s="169" t="str">
        <f t="array" aca="1" ref="CS19" ca="1">IF(ROWS($9:18)&lt;=COUNTIF(Condition22,"o"),INDEX(Liste22,SMALL(IF(Condition22="o",ROW(INDIRECT("1:"&amp;ROWS(Liste22)))),ROWS($9:18))),"")</f>
        <v/>
      </c>
      <c r="CT19" s="175">
        <f t="shared" ca="1" si="46"/>
        <v>0</v>
      </c>
      <c r="CU19" s="175" t="str">
        <f t="shared" ca="1" si="47"/>
        <v/>
      </c>
      <c r="CV19" s="169" t="str">
        <f t="shared" ca="1" si="115"/>
        <v/>
      </c>
      <c r="CW19" s="169" t="str">
        <f t="array" aca="1" ref="CW19" ca="1">IF(ROWS($9:18)&lt;=COUNTIF(Condition23,"o"),INDEX(Liste23,SMALL(IF(Condition23="o",ROW(INDIRECT("1:"&amp;ROWS(Liste23)))),ROWS($9:18))),"")</f>
        <v/>
      </c>
      <c r="CX19" s="175">
        <f t="shared" ca="1" si="48"/>
        <v>0</v>
      </c>
      <c r="CY19" s="175" t="str">
        <f t="shared" ca="1" si="49"/>
        <v/>
      </c>
      <c r="CZ19" s="169" t="str">
        <f t="shared" ca="1" si="116"/>
        <v/>
      </c>
      <c r="DA19" s="169" t="str">
        <f t="array" aca="1" ref="DA19" ca="1">IF(ROWS($9:18)&lt;=COUNTIF(Condition24,"o"),INDEX(Liste24,SMALL(IF(Condition24="o",ROW(INDIRECT("1:"&amp;ROWS(Liste24)))),ROWS($9:18))),"")</f>
        <v/>
      </c>
      <c r="DB19" s="175">
        <f t="shared" ca="1" si="50"/>
        <v>0</v>
      </c>
      <c r="DC19" s="175" t="str">
        <f t="shared" ca="1" si="51"/>
        <v/>
      </c>
      <c r="DD19" s="169" t="str">
        <f t="shared" ca="1" si="117"/>
        <v/>
      </c>
      <c r="DE19" s="169" t="str">
        <f t="array" aca="1" ref="DE19" ca="1">IF(ROWS($9:18)&lt;=COUNTIF(Condition25,"o"),INDEX(Liste25,SMALL(IF(Condition25="o",ROW(INDIRECT("1:"&amp;ROWS(Liste25)))),ROWS($9:18))),"")</f>
        <v/>
      </c>
      <c r="DF19" s="175">
        <f t="shared" ca="1" si="52"/>
        <v>0</v>
      </c>
      <c r="DG19" s="175" t="str">
        <f t="shared" ca="1" si="53"/>
        <v/>
      </c>
      <c r="DH19" s="169" t="str">
        <f t="shared" ca="1" si="118"/>
        <v/>
      </c>
      <c r="DI19" s="169" t="str">
        <f t="array" aca="1" ref="DI19" ca="1">IF(ROWS($9:18)&lt;=COUNTIF(Condition26,"o"),INDEX(Liste26,SMALL(IF(Condition26="o",ROW(INDIRECT("1:"&amp;ROWS(Liste26)))),ROWS($9:18))),"")</f>
        <v/>
      </c>
      <c r="DJ19" s="175">
        <f t="shared" ca="1" si="54"/>
        <v>0</v>
      </c>
      <c r="DK19" s="175" t="str">
        <f t="shared" ca="1" si="55"/>
        <v/>
      </c>
      <c r="DL19" s="169" t="str">
        <f t="shared" ca="1" si="119"/>
        <v/>
      </c>
      <c r="DM19" s="169" t="str">
        <f t="array" aca="1" ref="DM19" ca="1">IF(ROWS($9:18)&lt;=COUNTIF(Condition27,"o"),INDEX(Liste27,SMALL(IF(Condition27="o",ROW(INDIRECT("1:"&amp;ROWS(Liste27)))),ROWS($9:18))),"")</f>
        <v/>
      </c>
      <c r="DN19" s="175">
        <f t="shared" ca="1" si="56"/>
        <v>0</v>
      </c>
      <c r="DO19" s="175" t="str">
        <f t="shared" ca="1" si="57"/>
        <v/>
      </c>
      <c r="DP19" s="169" t="str">
        <f t="shared" ca="1" si="120"/>
        <v/>
      </c>
      <c r="DQ19" s="169" t="str">
        <f t="array" aca="1" ref="DQ19" ca="1">IF(ROWS($9:18)&lt;=COUNTIF(Condition28,"o"),INDEX(Liste28,SMALL(IF(Condition28="o",ROW(INDIRECT("1:"&amp;ROWS(Liste28)))),ROWS($9:18))),"")</f>
        <v/>
      </c>
      <c r="DR19" s="175">
        <f t="shared" ca="1" si="58"/>
        <v>0</v>
      </c>
      <c r="DS19" s="175" t="str">
        <f t="shared" ca="1" si="59"/>
        <v/>
      </c>
      <c r="DT19" s="169" t="str">
        <f t="shared" ca="1" si="121"/>
        <v/>
      </c>
      <c r="DU19" s="169" t="str">
        <f t="array" aca="1" ref="DU19" ca="1">IF(ROWS($9:18)&lt;=COUNTIF(Condition29,"o"),INDEX(Liste29,SMALL(IF(Condition29="o",ROW(INDIRECT("1:"&amp;ROWS(Liste29)))),ROWS($9:18))),"")</f>
        <v/>
      </c>
      <c r="DV19" s="175">
        <f t="shared" ca="1" si="60"/>
        <v>0</v>
      </c>
      <c r="DW19" s="175" t="str">
        <f t="shared" ca="1" si="61"/>
        <v/>
      </c>
      <c r="DX19" s="169" t="str">
        <f t="shared" ca="1" si="122"/>
        <v/>
      </c>
      <c r="DY19" s="169" t="str">
        <f t="array" aca="1" ref="DY19" ca="1">IF(ROWS($9:18)&lt;=COUNTIF(Condition30,"o"),INDEX(Liste30,SMALL(IF(Condition30="o",ROW(INDIRECT("1:"&amp;ROWS(Liste30)))),ROWS($9:18))),"")</f>
        <v/>
      </c>
      <c r="DZ19" s="175">
        <f t="shared" ca="1" si="62"/>
        <v>0</v>
      </c>
      <c r="EA19" s="175" t="str">
        <f t="shared" ca="1" si="63"/>
        <v/>
      </c>
      <c r="EB19" s="169" t="str">
        <f t="shared" ca="1" si="123"/>
        <v/>
      </c>
      <c r="EC19" s="169" t="str">
        <f t="array" aca="1" ref="EC19" ca="1">IF(ROWS($9:18)&lt;=COUNTIF(Condition31,"o"),INDEX(Liste31,SMALL(IF(Condition31="o",ROW(INDIRECT("1:"&amp;ROWS(Liste31)))),ROWS($9:18))),"")</f>
        <v/>
      </c>
      <c r="ED19" s="175">
        <f t="shared" ca="1" si="64"/>
        <v>0</v>
      </c>
      <c r="EE19" s="175" t="str">
        <f t="shared" ca="1" si="65"/>
        <v/>
      </c>
      <c r="EF19" s="169" t="str">
        <f t="shared" ca="1" si="124"/>
        <v/>
      </c>
      <c r="EG19" s="169" t="str">
        <f t="array" aca="1" ref="EG19" ca="1">IF(ROWS($9:18)&lt;=COUNTIF(Condition32,"o"),INDEX(Liste32,SMALL(IF(Condition32="o",ROW(INDIRECT("1:"&amp;ROWS(Liste32)))),ROWS($9:18))),"")</f>
        <v/>
      </c>
      <c r="EH19" s="175">
        <f t="shared" ca="1" si="66"/>
        <v>0</v>
      </c>
      <c r="EI19" s="175" t="str">
        <f t="shared" ca="1" si="67"/>
        <v/>
      </c>
      <c r="EJ19" s="169" t="str">
        <f t="shared" ca="1" si="125"/>
        <v/>
      </c>
      <c r="EK19" s="169" t="str">
        <f t="array" aca="1" ref="EK19" ca="1">IF(ROWS($9:18)&lt;=COUNTIF(Condition33,"o"),INDEX(Liste33,SMALL(IF(Condition33="o",ROW(INDIRECT("1:"&amp;ROWS(Liste33)))),ROWS($9:18))),"")</f>
        <v/>
      </c>
      <c r="EL19" s="175">
        <f t="shared" ca="1" si="68"/>
        <v>0</v>
      </c>
      <c r="EM19" s="175" t="str">
        <f t="shared" ca="1" si="69"/>
        <v/>
      </c>
      <c r="EN19" s="169" t="str">
        <f t="shared" ca="1" si="126"/>
        <v/>
      </c>
      <c r="EO19" s="169" t="str">
        <f t="array" aca="1" ref="EO19" ca="1">IF(ROWS($9:18)&lt;=COUNTIF(Condition34,"o"),INDEX(Liste34,SMALL(IF(Condition34="o",ROW(INDIRECT("1:"&amp;ROWS(Liste34)))),ROWS($9:18))),"")</f>
        <v/>
      </c>
      <c r="EP19" s="175">
        <f t="shared" ca="1" si="70"/>
        <v>0</v>
      </c>
      <c r="EQ19" s="175" t="str">
        <f t="shared" ca="1" si="71"/>
        <v/>
      </c>
      <c r="ER19" s="169" t="str">
        <f t="shared" ca="1" si="127"/>
        <v/>
      </c>
      <c r="ES19" s="169" t="str">
        <f t="array" aca="1" ref="ES19" ca="1">IF(ROWS($9:18)&lt;=COUNTIF(Condition35,"o"),INDEX(Liste35,SMALL(IF(Condition35="o",ROW(INDIRECT("1:"&amp;ROWS(Liste35)))),ROWS($9:18))),"")</f>
        <v/>
      </c>
      <c r="ET19" s="175">
        <f t="shared" ca="1" si="72"/>
        <v>0</v>
      </c>
      <c r="EU19" s="175" t="str">
        <f t="shared" ca="1" si="73"/>
        <v/>
      </c>
      <c r="EV19" s="169" t="str">
        <f t="shared" ca="1" si="128"/>
        <v/>
      </c>
      <c r="EW19" s="169" t="str">
        <f t="array" aca="1" ref="EW19" ca="1">IF(ROWS($9:18)&lt;=COUNTIF(Condition36,"o"),INDEX(Liste36,SMALL(IF(Condition36="o",ROW(INDIRECT("1:"&amp;ROWS(Liste36)))),ROWS($9:18))),"")</f>
        <v/>
      </c>
      <c r="EX19" s="175">
        <f t="shared" ca="1" si="74"/>
        <v>0</v>
      </c>
      <c r="EY19" s="175" t="str">
        <f t="shared" ca="1" si="75"/>
        <v/>
      </c>
      <c r="EZ19" s="169" t="str">
        <f t="shared" ca="1" si="85"/>
        <v/>
      </c>
      <c r="FA19" s="169" t="str">
        <f t="array" aca="1" ref="FA19" ca="1">IF(ROWS($9:18)&lt;=COUNTIF(Condition36,"o"),INDEX(Liste36,SMALL(IF(Condition36="o",ROW(INDIRECT("1:"&amp;ROWS(Liste36)))),ROWS($9:18))),"")</f>
        <v/>
      </c>
      <c r="FB19" s="175">
        <f t="shared" ca="1" si="76"/>
        <v>0</v>
      </c>
      <c r="FC19" s="175" t="str">
        <f t="shared" ca="1" si="77"/>
        <v/>
      </c>
      <c r="FD19" s="169" t="str">
        <f t="shared" ca="1" si="86"/>
        <v/>
      </c>
      <c r="FE19" s="169" t="str">
        <f t="array" aca="1" ref="FE19" ca="1">IF(ROWS($9:18)&lt;=COUNTIF(condition38,"o"),INDEX(liste38,SMALL(IF(condition38="o",ROW(INDIRECT("1:"&amp;ROWS(liste38)))),ROWS($9:18))),"")</f>
        <v/>
      </c>
      <c r="FF19" s="175">
        <f t="shared" ca="1" si="78"/>
        <v>0</v>
      </c>
      <c r="FG19" s="175" t="str">
        <f t="shared" ca="1" si="79"/>
        <v/>
      </c>
      <c r="FH19" s="169" t="str">
        <f t="shared" ca="1" si="87"/>
        <v/>
      </c>
      <c r="FI19" s="169" t="str">
        <f t="array" aca="1" ref="FI19" ca="1">IF(ROWS($9:18)&lt;=COUNTIF(Condition39,"o"),INDEX(Liste39,SMALL(IF(Condition39="o",ROW(INDIRECT("1:"&amp;ROWS(Liste39)))),ROWS($9:18))),"")</f>
        <v/>
      </c>
      <c r="FM19" s="1" t="s">
        <v>1191</v>
      </c>
      <c r="FN19" s="1" t="s">
        <v>1147</v>
      </c>
      <c r="FO19" s="180">
        <f>'Suivi objectifs'!D11</f>
        <v>0</v>
      </c>
      <c r="FP19" s="1366" t="str">
        <f>'Suivi objectifs'!C11</f>
        <v>Chauffage des bâtiments communaux</v>
      </c>
      <c r="FQ19" s="181" t="str">
        <f ca="1">IF(ISNA(VLOOKUP(FR19,Actions!$G$2:$AP$70,31,0)),"",VLOOKUP(FR19,Actions!$G$2:$AP$70,36,0))</f>
        <v/>
      </c>
      <c r="FR19" s="185" t="str">
        <f t="shared" ca="1" si="88"/>
        <v/>
      </c>
      <c r="FS19" s="286">
        <f t="shared" ca="1" si="80"/>
        <v>0</v>
      </c>
      <c r="FT19" s="181" t="str">
        <f ca="1">IF(ISNA(VLOOKUP(FU19,Actions!$G$2:$AP$70,31,0)),"",VLOOKUP(FU19,Actions!$G$2:$AP$70,36,0))</f>
        <v/>
      </c>
      <c r="FU19" s="185" t="str">
        <f t="shared" ca="1" si="89"/>
        <v/>
      </c>
      <c r="FV19" s="286">
        <f t="shared" ca="1" si="81"/>
        <v>0</v>
      </c>
      <c r="FW19" s="181" t="str">
        <f ca="1">IF(ISNA(VLOOKUP(FX19,Actions!$G$2:$AP$70,31,0)),"",VLOOKUP(FX19,Actions!$G$2:$AP$70,36,0))</f>
        <v/>
      </c>
      <c r="FX19" s="185" t="str">
        <f t="shared" ca="1" si="90"/>
        <v/>
      </c>
      <c r="FY19" s="286">
        <f t="shared" ca="1" si="82"/>
        <v>0</v>
      </c>
      <c r="FZ19" s="181" t="str">
        <f ca="1">IF(ISNA(VLOOKUP(GA19,Actions!$G$2:$AP$70,31,0)),"",VLOOKUP(GA19,Actions!$G$2:$AP$70,36,0))</f>
        <v/>
      </c>
      <c r="GA19" s="185" t="str">
        <f t="shared" ca="1" si="91"/>
        <v/>
      </c>
      <c r="GB19" s="286">
        <f t="shared" ca="1" si="83"/>
        <v>0</v>
      </c>
      <c r="GC19" s="181" t="str">
        <f ca="1">IF(ISNA(VLOOKUP(GD19,Actions!$G$2:$AP$70,31,0)),"",VLOOKUP(GD19,Actions!$G$2:$AP$70,36,0))</f>
        <v/>
      </c>
      <c r="GD19" s="185" t="str">
        <f t="shared" ca="1" si="92"/>
        <v/>
      </c>
      <c r="GE19" s="286">
        <f t="shared" ca="1" si="84"/>
        <v>0</v>
      </c>
      <c r="GF19" s="186">
        <f t="shared" ca="1" si="129"/>
        <v>0</v>
      </c>
      <c r="GG19" s="233"/>
    </row>
    <row r="20" spans="1:189" hidden="1">
      <c r="A20" s="1" t="s">
        <v>786</v>
      </c>
      <c r="B20" s="1">
        <f>Actions!F13</f>
        <v>12</v>
      </c>
      <c r="C20" s="1">
        <f ca="1">Actions!G13</f>
        <v>0</v>
      </c>
      <c r="D20" s="1">
        <f ca="1">Actions!H13</f>
        <v>0</v>
      </c>
      <c r="E20" s="1" t="str">
        <f ca="1">Actions!I13</f>
        <v>-</v>
      </c>
      <c r="F20" s="1" t="str">
        <f t="shared" ca="1" si="0"/>
        <v>-</v>
      </c>
      <c r="G20" s="1" t="e">
        <f t="shared" ca="1" si="1"/>
        <v>#REF!</v>
      </c>
      <c r="I20" s="1">
        <v>12</v>
      </c>
      <c r="J20" s="175">
        <f t="shared" ca="1" si="2"/>
        <v>0</v>
      </c>
      <c r="K20" s="175" t="str">
        <f t="shared" ca="1" si="3"/>
        <v/>
      </c>
      <c r="L20" s="169" t="str">
        <f t="shared" ca="1" si="93"/>
        <v/>
      </c>
      <c r="M20" s="169" t="str">
        <f t="array" aca="1" ref="M20" ca="1">IF(ROWS($9:19)&lt;=COUNTIF(Condition1,"o"),INDEX(Liste1,SMALL(IF(Condition1="o",ROW(INDIRECT("1:"&amp;ROWS(Liste1)))),ROWS($9:19))),"")</f>
        <v/>
      </c>
      <c r="N20" s="175">
        <f t="shared" ca="1" si="4"/>
        <v>0</v>
      </c>
      <c r="O20" s="175" t="str">
        <f t="shared" ca="1" si="5"/>
        <v/>
      </c>
      <c r="P20" s="169" t="str">
        <f t="shared" ca="1" si="94"/>
        <v/>
      </c>
      <c r="Q20" s="169" t="str">
        <f t="array" aca="1" ref="Q20" ca="1">IF(ROWS($9:19)&lt;=COUNTIF(Condition2,"o"),INDEX(Liste2,SMALL(IF(Condition2="o",ROW(INDIRECT("1:"&amp;ROWS(Liste2)))),ROWS($9:19))),"")</f>
        <v/>
      </c>
      <c r="R20" s="175">
        <f t="shared" ca="1" si="6"/>
        <v>0</v>
      </c>
      <c r="S20" s="175" t="str">
        <f t="shared" ca="1" si="7"/>
        <v/>
      </c>
      <c r="T20" s="169" t="str">
        <f t="shared" ca="1" si="95"/>
        <v/>
      </c>
      <c r="U20" s="169" t="str">
        <f t="array" aca="1" ref="U20" ca="1">IF(ROWS($9:19)&lt;=COUNTIF(Condition3,"o"),INDEX(Liste3,SMALL(IF(Condition3="o",ROW(INDIRECT("1:"&amp;ROWS(Liste3)))),ROWS($9:19))),"")</f>
        <v/>
      </c>
      <c r="V20" s="175">
        <f t="shared" ca="1" si="8"/>
        <v>0</v>
      </c>
      <c r="W20" s="175" t="str">
        <f t="shared" ca="1" si="9"/>
        <v/>
      </c>
      <c r="X20" s="169" t="str">
        <f t="shared" ca="1" si="96"/>
        <v/>
      </c>
      <c r="Y20" s="169" t="str">
        <f t="array" aca="1" ref="Y20" ca="1">IF(ROWS($9:19)&lt;=COUNTIF(Condition4,"o"),INDEX(Liste4,SMALL(IF(Condition4="o",ROW(INDIRECT("1:"&amp;ROWS(Liste4)))),ROWS($9:19))),"")</f>
        <v/>
      </c>
      <c r="Z20" s="175">
        <f t="shared" ca="1" si="10"/>
        <v>0</v>
      </c>
      <c r="AA20" s="175" t="str">
        <f t="shared" ca="1" si="11"/>
        <v/>
      </c>
      <c r="AB20" s="169" t="str">
        <f t="shared" ca="1" si="97"/>
        <v/>
      </c>
      <c r="AC20" s="169" t="str">
        <f t="array" aca="1" ref="AC20" ca="1">IF(ROWS($9:19)&lt;=COUNTIF(Condition5,"o"),INDEX(Liste5,SMALL(IF(Condition5="o",ROW(INDIRECT("1:"&amp;ROWS(Liste5)))),ROWS($9:19))),"")</f>
        <v/>
      </c>
      <c r="AD20" s="175">
        <f t="shared" ca="1" si="12"/>
        <v>0</v>
      </c>
      <c r="AE20" s="175" t="str">
        <f t="shared" ca="1" si="13"/>
        <v/>
      </c>
      <c r="AF20" s="169" t="str">
        <f t="shared" ca="1" si="98"/>
        <v/>
      </c>
      <c r="AG20" s="169" t="str">
        <f t="array" aca="1" ref="AG20" ca="1">IF(ROWS($9:19)&lt;=COUNTIF(Condition6,"o"),INDEX(Liste6,SMALL(IF(Condition6="o",ROW(INDIRECT("1:"&amp;ROWS(Liste6)))),ROWS($9:19))),"")</f>
        <v/>
      </c>
      <c r="AH20" s="175">
        <f t="shared" ca="1" si="14"/>
        <v>0</v>
      </c>
      <c r="AI20" s="175" t="str">
        <f t="shared" ca="1" si="15"/>
        <v/>
      </c>
      <c r="AJ20" s="169" t="str">
        <f t="shared" ca="1" si="99"/>
        <v/>
      </c>
      <c r="AK20" s="169" t="str">
        <f t="array" aca="1" ref="AK20" ca="1">IF(ROWS($9:19)&lt;=COUNTIF(Condition7,"o"),INDEX(Liste7,SMALL(IF(Condition7="o",ROW(INDIRECT("1:"&amp;ROWS(Liste7)))),ROWS($9:19))),"")</f>
        <v/>
      </c>
      <c r="AL20" s="175">
        <f t="shared" ca="1" si="16"/>
        <v>0</v>
      </c>
      <c r="AM20" s="175" t="str">
        <f t="shared" ca="1" si="17"/>
        <v/>
      </c>
      <c r="AN20" s="169" t="str">
        <f t="shared" ca="1" si="100"/>
        <v/>
      </c>
      <c r="AO20" s="169" t="str">
        <f t="array" aca="1" ref="AO20" ca="1">IF(ROWS($9:19)&lt;=COUNTIF(Condition8,"o"),INDEX(Liste8,SMALL(IF(Condition8="o",ROW(INDIRECT("1:"&amp;ROWS(Liste8)))),ROWS($9:19))),"")</f>
        <v/>
      </c>
      <c r="AP20" s="175">
        <f t="shared" ca="1" si="18"/>
        <v>0</v>
      </c>
      <c r="AQ20" s="175" t="str">
        <f t="shared" ca="1" si="19"/>
        <v/>
      </c>
      <c r="AR20" s="169" t="str">
        <f t="shared" ca="1" si="101"/>
        <v/>
      </c>
      <c r="AS20" s="169" t="str">
        <f t="array" aca="1" ref="AS20" ca="1">IF(ROWS($9:19)&lt;=COUNTIF(Condition9,"o"),INDEX(Liste9,SMALL(IF(Condition9="o",ROW(INDIRECT("1:"&amp;ROWS(Liste9)))),ROWS($9:19))),"")</f>
        <v/>
      </c>
      <c r="AT20" s="175">
        <f t="shared" ca="1" si="20"/>
        <v>0</v>
      </c>
      <c r="AU20" s="175" t="str">
        <f t="shared" ca="1" si="21"/>
        <v/>
      </c>
      <c r="AV20" s="169" t="str">
        <f t="shared" ca="1" si="102"/>
        <v/>
      </c>
      <c r="AW20" s="169" t="str">
        <f t="array" aca="1" ref="AW20" ca="1">IF(ROWS($9:19)&lt;=COUNTIF(Condition10,"o"),INDEX(Liste10,SMALL(IF(Condition10="o",ROW(INDIRECT("1:"&amp;ROWS(Liste10)))),ROWS($9:19))),"")</f>
        <v/>
      </c>
      <c r="AX20" s="175">
        <f t="shared" ca="1" si="22"/>
        <v>0</v>
      </c>
      <c r="AY20" s="175" t="str">
        <f t="shared" ca="1" si="23"/>
        <v/>
      </c>
      <c r="AZ20" s="169" t="str">
        <f t="shared" ca="1" si="103"/>
        <v/>
      </c>
      <c r="BA20" s="169" t="str">
        <f t="array" aca="1" ref="BA20" ca="1">IF(ROWS($9:19)&lt;=COUNTIF(Condition11,"o"),INDEX(Liste11,SMALL(IF(Condition11="o",ROW(INDIRECT("1:"&amp;ROWS(Liste11)))),ROWS($9:19))),"")</f>
        <v/>
      </c>
      <c r="BB20" s="175">
        <f t="shared" ca="1" si="24"/>
        <v>0</v>
      </c>
      <c r="BC20" s="175" t="str">
        <f t="shared" ca="1" si="25"/>
        <v/>
      </c>
      <c r="BD20" s="169" t="str">
        <f t="shared" ca="1" si="104"/>
        <v/>
      </c>
      <c r="BE20" s="169" t="str">
        <f t="array" aca="1" ref="BE20" ca="1">IF(ROWS($9:19)&lt;=COUNTIF(Condition12,"o"),INDEX(Liste12,SMALL(IF(Condition12="o",ROW(INDIRECT("1:"&amp;ROWS(Liste12)))),ROWS($9:19))),"")</f>
        <v/>
      </c>
      <c r="BF20" s="175">
        <f t="shared" ca="1" si="26"/>
        <v>0</v>
      </c>
      <c r="BG20" s="175" t="str">
        <f t="shared" ca="1" si="27"/>
        <v/>
      </c>
      <c r="BH20" s="169" t="str">
        <f t="shared" ca="1" si="105"/>
        <v/>
      </c>
      <c r="BI20" s="169" t="str">
        <f t="array" aca="1" ref="BI20" ca="1">IF(ROWS($9:19)&lt;=COUNTIF(Condition13,"o"),INDEX(Liste13,SMALL(IF(Condition13="o",ROW(INDIRECT("1:"&amp;ROWS(Liste13)))),ROWS($9:19))),"")</f>
        <v/>
      </c>
      <c r="BJ20" s="175">
        <f t="shared" ca="1" si="28"/>
        <v>0</v>
      </c>
      <c r="BK20" s="175" t="str">
        <f t="shared" ca="1" si="29"/>
        <v/>
      </c>
      <c r="BL20" s="169" t="str">
        <f t="shared" ca="1" si="106"/>
        <v/>
      </c>
      <c r="BM20" s="169" t="str">
        <f t="array" aca="1" ref="BM20" ca="1">IF(ROWS($9:19)&lt;=COUNTIF(Condition14,"o"),INDEX(Liste14,SMALL(IF(Condition14="o",ROW(INDIRECT("1:"&amp;ROWS(Liste14)))),ROWS($9:19))),"")</f>
        <v/>
      </c>
      <c r="BN20" s="175">
        <f t="shared" ca="1" si="30"/>
        <v>0</v>
      </c>
      <c r="BO20" s="175" t="str">
        <f t="shared" ca="1" si="31"/>
        <v/>
      </c>
      <c r="BP20" s="169" t="str">
        <f t="shared" ca="1" si="107"/>
        <v/>
      </c>
      <c r="BQ20" s="169" t="str">
        <f t="array" aca="1" ref="BQ20" ca="1">IF(ROWS($9:19)&lt;=COUNTIF(Condition15,"o"),INDEX(Liste15,SMALL(IF(Condition15="o",ROW(INDIRECT("1:"&amp;ROWS(Liste15)))),ROWS($9:19))),"")</f>
        <v/>
      </c>
      <c r="BR20" s="175">
        <f t="shared" ca="1" si="32"/>
        <v>0</v>
      </c>
      <c r="BS20" s="175" t="str">
        <f t="shared" ca="1" si="33"/>
        <v/>
      </c>
      <c r="BT20" s="169" t="str">
        <f t="shared" ca="1" si="108"/>
        <v/>
      </c>
      <c r="BU20" s="169" t="str">
        <f t="array" aca="1" ref="BU20" ca="1">IF(ROWS($9:19)&lt;=COUNTIF(Condition16,"o"),INDEX(Liste16,SMALL(IF(Condition16="o",ROW(INDIRECT("1:"&amp;ROWS(Liste16)))),ROWS($9:19))),"")</f>
        <v/>
      </c>
      <c r="BV20" s="175">
        <f t="shared" ca="1" si="34"/>
        <v>0</v>
      </c>
      <c r="BW20" s="175" t="str">
        <f t="shared" ca="1" si="35"/>
        <v/>
      </c>
      <c r="BX20" s="169" t="str">
        <f t="shared" ca="1" si="109"/>
        <v/>
      </c>
      <c r="BY20" s="169" t="str">
        <f t="array" aca="1" ref="BY20" ca="1">IF(ROWS($9:19)&lt;=COUNTIF(Condition17,"o"),INDEX(Liste17,SMALL(IF(Condition17="o",ROW(INDIRECT("1:"&amp;ROWS(Liste17)))),ROWS($9:19))),"")</f>
        <v/>
      </c>
      <c r="BZ20" s="175">
        <f t="shared" ca="1" si="36"/>
        <v>0</v>
      </c>
      <c r="CA20" s="175" t="str">
        <f t="shared" ca="1" si="37"/>
        <v/>
      </c>
      <c r="CB20" s="169" t="str">
        <f t="shared" ca="1" si="110"/>
        <v/>
      </c>
      <c r="CC20" s="169" t="str">
        <f t="array" aca="1" ref="CC20" ca="1">IF(ROWS($9:19)&lt;=COUNTIF(Condition18,"o"),INDEX(Liste18,SMALL(IF(Condition18="o",ROW(INDIRECT("1:"&amp;ROWS(Liste18)))),ROWS($9:19))),"")</f>
        <v/>
      </c>
      <c r="CD20" s="175">
        <f t="shared" ca="1" si="38"/>
        <v>0</v>
      </c>
      <c r="CE20" s="175" t="str">
        <f t="shared" ca="1" si="39"/>
        <v/>
      </c>
      <c r="CF20" s="169" t="str">
        <f t="shared" ca="1" si="111"/>
        <v/>
      </c>
      <c r="CG20" s="169" t="str">
        <f t="array" aca="1" ref="CG20" ca="1">IF(ROWS($9:19)&lt;=COUNTIF(Condition19,"o"),INDEX(Liste19,SMALL(IF(Condition19="o",ROW(INDIRECT("1:"&amp;ROWS(Liste19)))),ROWS($9:19))),"")</f>
        <v/>
      </c>
      <c r="CH20" s="175">
        <f t="shared" ca="1" si="40"/>
        <v>0</v>
      </c>
      <c r="CI20" s="175" t="str">
        <f t="shared" ca="1" si="41"/>
        <v/>
      </c>
      <c r="CJ20" s="169" t="str">
        <f t="shared" ca="1" si="112"/>
        <v/>
      </c>
      <c r="CK20" s="169" t="str">
        <f t="array" aca="1" ref="CK20" ca="1">IF(ROWS($9:19)&lt;=COUNTIF(Condition20,"o"),INDEX(Liste20,SMALL(IF(Condition20="o",ROW(INDIRECT("1:"&amp;ROWS(Liste20)))),ROWS($9:19))),"")</f>
        <v/>
      </c>
      <c r="CL20" s="175">
        <f t="shared" ca="1" si="42"/>
        <v>0</v>
      </c>
      <c r="CM20" s="175" t="str">
        <f t="shared" ca="1" si="43"/>
        <v/>
      </c>
      <c r="CN20" s="169" t="str">
        <f t="shared" ca="1" si="113"/>
        <v/>
      </c>
      <c r="CO20" s="169" t="str">
        <f t="array" aca="1" ref="CO20" ca="1">IF(ROWS($9:19)&lt;=COUNTIF(Condition21,"o"),INDEX(Liste21,SMALL(IF(Condition21="o",ROW(INDIRECT("1:"&amp;ROWS(Liste21)))),ROWS($9:19))),"")</f>
        <v/>
      </c>
      <c r="CP20" s="175">
        <f t="shared" ca="1" si="44"/>
        <v>0</v>
      </c>
      <c r="CQ20" s="175" t="str">
        <f t="shared" ca="1" si="45"/>
        <v/>
      </c>
      <c r="CR20" s="169" t="str">
        <f t="shared" ca="1" si="114"/>
        <v/>
      </c>
      <c r="CS20" s="169" t="str">
        <f t="array" aca="1" ref="CS20" ca="1">IF(ROWS($9:19)&lt;=COUNTIF(Condition22,"o"),INDEX(Liste22,SMALL(IF(Condition22="o",ROW(INDIRECT("1:"&amp;ROWS(Liste22)))),ROWS($9:19))),"")</f>
        <v/>
      </c>
      <c r="CT20" s="175">
        <f t="shared" ca="1" si="46"/>
        <v>0</v>
      </c>
      <c r="CU20" s="175" t="str">
        <f t="shared" ca="1" si="47"/>
        <v/>
      </c>
      <c r="CV20" s="169" t="str">
        <f t="shared" ca="1" si="115"/>
        <v/>
      </c>
      <c r="CW20" s="169" t="str">
        <f t="array" aca="1" ref="CW20" ca="1">IF(ROWS($9:19)&lt;=COUNTIF(Condition23,"o"),INDEX(Liste23,SMALL(IF(Condition23="o",ROW(INDIRECT("1:"&amp;ROWS(Liste23)))),ROWS($9:19))),"")</f>
        <v/>
      </c>
      <c r="CX20" s="175">
        <f t="shared" ca="1" si="48"/>
        <v>0</v>
      </c>
      <c r="CY20" s="175" t="str">
        <f t="shared" ca="1" si="49"/>
        <v/>
      </c>
      <c r="CZ20" s="169" t="str">
        <f t="shared" ca="1" si="116"/>
        <v/>
      </c>
      <c r="DA20" s="169" t="str">
        <f t="array" aca="1" ref="DA20" ca="1">IF(ROWS($9:19)&lt;=COUNTIF(Condition24,"o"),INDEX(Liste24,SMALL(IF(Condition24="o",ROW(INDIRECT("1:"&amp;ROWS(Liste24)))),ROWS($9:19))),"")</f>
        <v/>
      </c>
      <c r="DB20" s="175">
        <f t="shared" ca="1" si="50"/>
        <v>0</v>
      </c>
      <c r="DC20" s="175" t="str">
        <f t="shared" ca="1" si="51"/>
        <v/>
      </c>
      <c r="DD20" s="169" t="str">
        <f t="shared" ca="1" si="117"/>
        <v/>
      </c>
      <c r="DE20" s="169" t="str">
        <f t="array" aca="1" ref="DE20" ca="1">IF(ROWS($9:19)&lt;=COUNTIF(Condition25,"o"),INDEX(Liste25,SMALL(IF(Condition25="o",ROW(INDIRECT("1:"&amp;ROWS(Liste25)))),ROWS($9:19))),"")</f>
        <v/>
      </c>
      <c r="DF20" s="175">
        <f t="shared" ca="1" si="52"/>
        <v>0</v>
      </c>
      <c r="DG20" s="175" t="str">
        <f t="shared" ca="1" si="53"/>
        <v/>
      </c>
      <c r="DH20" s="169" t="str">
        <f t="shared" ca="1" si="118"/>
        <v/>
      </c>
      <c r="DI20" s="169" t="str">
        <f t="array" aca="1" ref="DI20" ca="1">IF(ROWS($9:19)&lt;=COUNTIF(Condition26,"o"),INDEX(Liste26,SMALL(IF(Condition26="o",ROW(INDIRECT("1:"&amp;ROWS(Liste26)))),ROWS($9:19))),"")</f>
        <v/>
      </c>
      <c r="DJ20" s="175">
        <f t="shared" ca="1" si="54"/>
        <v>0</v>
      </c>
      <c r="DK20" s="175" t="str">
        <f t="shared" ca="1" si="55"/>
        <v/>
      </c>
      <c r="DL20" s="169" t="str">
        <f t="shared" ca="1" si="119"/>
        <v/>
      </c>
      <c r="DM20" s="169" t="str">
        <f t="array" aca="1" ref="DM20" ca="1">IF(ROWS($9:19)&lt;=COUNTIF(Condition27,"o"),INDEX(Liste27,SMALL(IF(Condition27="o",ROW(INDIRECT("1:"&amp;ROWS(Liste27)))),ROWS($9:19))),"")</f>
        <v/>
      </c>
      <c r="DN20" s="175">
        <f t="shared" ca="1" si="56"/>
        <v>0</v>
      </c>
      <c r="DO20" s="175" t="str">
        <f t="shared" ca="1" si="57"/>
        <v/>
      </c>
      <c r="DP20" s="169" t="str">
        <f t="shared" ca="1" si="120"/>
        <v/>
      </c>
      <c r="DQ20" s="169" t="str">
        <f t="array" aca="1" ref="DQ20" ca="1">IF(ROWS($9:19)&lt;=COUNTIF(Condition28,"o"),INDEX(Liste28,SMALL(IF(Condition28="o",ROW(INDIRECT("1:"&amp;ROWS(Liste28)))),ROWS($9:19))),"")</f>
        <v/>
      </c>
      <c r="DR20" s="175">
        <f t="shared" ca="1" si="58"/>
        <v>0</v>
      </c>
      <c r="DS20" s="175" t="str">
        <f t="shared" ca="1" si="59"/>
        <v/>
      </c>
      <c r="DT20" s="169" t="str">
        <f t="shared" ca="1" si="121"/>
        <v/>
      </c>
      <c r="DU20" s="169" t="str">
        <f t="array" aca="1" ref="DU20" ca="1">IF(ROWS($9:19)&lt;=COUNTIF(Condition29,"o"),INDEX(Liste29,SMALL(IF(Condition29="o",ROW(INDIRECT("1:"&amp;ROWS(Liste29)))),ROWS($9:19))),"")</f>
        <v/>
      </c>
      <c r="DV20" s="175">
        <f t="shared" ca="1" si="60"/>
        <v>0</v>
      </c>
      <c r="DW20" s="175" t="str">
        <f t="shared" ca="1" si="61"/>
        <v/>
      </c>
      <c r="DX20" s="169" t="str">
        <f t="shared" ca="1" si="122"/>
        <v/>
      </c>
      <c r="DY20" s="169" t="str">
        <f t="array" aca="1" ref="DY20" ca="1">IF(ROWS($9:19)&lt;=COUNTIF(Condition30,"o"),INDEX(Liste30,SMALL(IF(Condition30="o",ROW(INDIRECT("1:"&amp;ROWS(Liste30)))),ROWS($9:19))),"")</f>
        <v/>
      </c>
      <c r="DZ20" s="175">
        <f t="shared" ca="1" si="62"/>
        <v>0</v>
      </c>
      <c r="EA20" s="175" t="str">
        <f t="shared" ca="1" si="63"/>
        <v/>
      </c>
      <c r="EB20" s="169" t="str">
        <f t="shared" ca="1" si="123"/>
        <v/>
      </c>
      <c r="EC20" s="169" t="str">
        <f t="array" aca="1" ref="EC20" ca="1">IF(ROWS($9:19)&lt;=COUNTIF(Condition31,"o"),INDEX(Liste31,SMALL(IF(Condition31="o",ROW(INDIRECT("1:"&amp;ROWS(Liste31)))),ROWS($9:19))),"")</f>
        <v/>
      </c>
      <c r="ED20" s="175">
        <f t="shared" ca="1" si="64"/>
        <v>0</v>
      </c>
      <c r="EE20" s="175" t="str">
        <f t="shared" ca="1" si="65"/>
        <v/>
      </c>
      <c r="EF20" s="169" t="str">
        <f t="shared" ca="1" si="124"/>
        <v/>
      </c>
      <c r="EG20" s="169" t="str">
        <f t="array" aca="1" ref="EG20" ca="1">IF(ROWS($9:19)&lt;=COUNTIF(Condition32,"o"),INDEX(Liste32,SMALL(IF(Condition32="o",ROW(INDIRECT("1:"&amp;ROWS(Liste32)))),ROWS($9:19))),"")</f>
        <v/>
      </c>
      <c r="EH20" s="175">
        <f t="shared" ca="1" si="66"/>
        <v>0</v>
      </c>
      <c r="EI20" s="175" t="str">
        <f t="shared" ca="1" si="67"/>
        <v/>
      </c>
      <c r="EJ20" s="169" t="str">
        <f t="shared" ca="1" si="125"/>
        <v/>
      </c>
      <c r="EK20" s="169" t="str">
        <f t="array" aca="1" ref="EK20" ca="1">IF(ROWS($9:19)&lt;=COUNTIF(Condition33,"o"),INDEX(Liste33,SMALL(IF(Condition33="o",ROW(INDIRECT("1:"&amp;ROWS(Liste33)))),ROWS($9:19))),"")</f>
        <v/>
      </c>
      <c r="EL20" s="175">
        <f t="shared" ca="1" si="68"/>
        <v>0</v>
      </c>
      <c r="EM20" s="175" t="str">
        <f t="shared" ca="1" si="69"/>
        <v/>
      </c>
      <c r="EN20" s="169" t="str">
        <f t="shared" ca="1" si="126"/>
        <v/>
      </c>
      <c r="EO20" s="169" t="str">
        <f t="array" aca="1" ref="EO20" ca="1">IF(ROWS($9:19)&lt;=COUNTIF(Condition34,"o"),INDEX(Liste34,SMALL(IF(Condition34="o",ROW(INDIRECT("1:"&amp;ROWS(Liste34)))),ROWS($9:19))),"")</f>
        <v/>
      </c>
      <c r="EP20" s="175">
        <f t="shared" ca="1" si="70"/>
        <v>0</v>
      </c>
      <c r="EQ20" s="175" t="str">
        <f t="shared" ca="1" si="71"/>
        <v/>
      </c>
      <c r="ER20" s="169" t="str">
        <f t="shared" ca="1" si="127"/>
        <v/>
      </c>
      <c r="ES20" s="169" t="str">
        <f t="array" aca="1" ref="ES20" ca="1">IF(ROWS($9:19)&lt;=COUNTIF(Condition35,"o"),INDEX(Liste35,SMALL(IF(Condition35="o",ROW(INDIRECT("1:"&amp;ROWS(Liste35)))),ROWS($9:19))),"")</f>
        <v/>
      </c>
      <c r="ET20" s="175">
        <f t="shared" ca="1" si="72"/>
        <v>0</v>
      </c>
      <c r="EU20" s="175" t="str">
        <f t="shared" ca="1" si="73"/>
        <v/>
      </c>
      <c r="EV20" s="169" t="str">
        <f t="shared" ca="1" si="128"/>
        <v/>
      </c>
      <c r="EW20" s="169" t="str">
        <f t="array" aca="1" ref="EW20" ca="1">IF(ROWS($9:19)&lt;=COUNTIF(Condition36,"o"),INDEX(Liste36,SMALL(IF(Condition36="o",ROW(INDIRECT("1:"&amp;ROWS(Liste36)))),ROWS($9:19))),"")</f>
        <v/>
      </c>
      <c r="EX20" s="175">
        <f t="shared" ca="1" si="74"/>
        <v>0</v>
      </c>
      <c r="EY20" s="175" t="str">
        <f t="shared" ca="1" si="75"/>
        <v/>
      </c>
      <c r="EZ20" s="169" t="str">
        <f t="shared" ca="1" si="85"/>
        <v/>
      </c>
      <c r="FA20" s="169" t="str">
        <f t="array" aca="1" ref="FA20" ca="1">IF(ROWS($9:19)&lt;=COUNTIF(Condition36,"o"),INDEX(Liste36,SMALL(IF(Condition36="o",ROW(INDIRECT("1:"&amp;ROWS(Liste36)))),ROWS($9:19))),"")</f>
        <v/>
      </c>
      <c r="FB20" s="175">
        <f t="shared" ca="1" si="76"/>
        <v>0</v>
      </c>
      <c r="FC20" s="175" t="str">
        <f t="shared" ca="1" si="77"/>
        <v/>
      </c>
      <c r="FD20" s="169" t="str">
        <f t="shared" ca="1" si="86"/>
        <v/>
      </c>
      <c r="FE20" s="169" t="str">
        <f t="array" aca="1" ref="FE20" ca="1">IF(ROWS($9:19)&lt;=COUNTIF(condition38,"o"),INDEX(liste38,SMALL(IF(condition38="o",ROW(INDIRECT("1:"&amp;ROWS(liste38)))),ROWS($9:19))),"")</f>
        <v/>
      </c>
      <c r="FF20" s="175">
        <f t="shared" ca="1" si="78"/>
        <v>0</v>
      </c>
      <c r="FG20" s="175" t="str">
        <f t="shared" ca="1" si="79"/>
        <v/>
      </c>
      <c r="FH20" s="169" t="str">
        <f t="shared" ca="1" si="87"/>
        <v/>
      </c>
      <c r="FI20" s="169" t="str">
        <f t="array" aca="1" ref="FI20" ca="1">IF(ROWS($9:19)&lt;=COUNTIF(Condition39,"o"),INDEX(Liste39,SMALL(IF(Condition39="o",ROW(INDIRECT("1:"&amp;ROWS(Liste39)))),ROWS($9:19))),"")</f>
        <v/>
      </c>
      <c r="FM20" s="1" t="s">
        <v>1192</v>
      </c>
      <c r="FN20" s="1" t="s">
        <v>1148</v>
      </c>
      <c r="FO20" s="180">
        <f>'Suivi objectifs'!D12</f>
        <v>0</v>
      </c>
      <c r="FP20" s="1366" t="str">
        <f>'Suivi objectifs'!C12</f>
        <v>Véhicules communaux</v>
      </c>
      <c r="FQ20" s="181" t="str">
        <f ca="1">IF(ISNA(VLOOKUP(FR20,Actions!$G$2:$AP$70,31,0)),"",VLOOKUP(FR20,Actions!$G$2:$AP$70,36,0))</f>
        <v/>
      </c>
      <c r="FR20" s="185" t="str">
        <f t="shared" ca="1" si="88"/>
        <v/>
      </c>
      <c r="FS20" s="286">
        <f t="shared" ca="1" si="80"/>
        <v>0</v>
      </c>
      <c r="FT20" s="181" t="str">
        <f ca="1">IF(ISNA(VLOOKUP(FU20,Actions!$G$2:$AP$70,31,0)),"",VLOOKUP(FU20,Actions!$G$2:$AP$70,36,0))</f>
        <v/>
      </c>
      <c r="FU20" s="185" t="str">
        <f t="shared" ca="1" si="89"/>
        <v/>
      </c>
      <c r="FV20" s="286">
        <f t="shared" ca="1" si="81"/>
        <v>0</v>
      </c>
      <c r="FW20" s="181" t="str">
        <f ca="1">IF(ISNA(VLOOKUP(FX20,Actions!$G$2:$AP$70,31,0)),"",VLOOKUP(FX20,Actions!$G$2:$AP$70,36,0))</f>
        <v/>
      </c>
      <c r="FX20" s="185" t="str">
        <f t="shared" ca="1" si="90"/>
        <v/>
      </c>
      <c r="FY20" s="286">
        <f t="shared" ca="1" si="82"/>
        <v>0</v>
      </c>
      <c r="FZ20" s="181" t="str">
        <f ca="1">IF(ISNA(VLOOKUP(GA20,Actions!$G$2:$AP$70,31,0)),"",VLOOKUP(GA20,Actions!$G$2:$AP$70,36,0))</f>
        <v/>
      </c>
      <c r="GA20" s="185" t="str">
        <f t="shared" ca="1" si="91"/>
        <v/>
      </c>
      <c r="GB20" s="286">
        <f t="shared" ca="1" si="83"/>
        <v>0</v>
      </c>
      <c r="GC20" s="181" t="str">
        <f ca="1">IF(ISNA(VLOOKUP(GD20,Actions!$G$2:$AP$70,31,0)),"",VLOOKUP(GD20,Actions!$G$2:$AP$70,36,0))</f>
        <v/>
      </c>
      <c r="GD20" s="185" t="str">
        <f t="shared" ca="1" si="92"/>
        <v/>
      </c>
      <c r="GE20" s="286">
        <f t="shared" ca="1" si="84"/>
        <v>0</v>
      </c>
      <c r="GF20" s="186">
        <f t="shared" ca="1" si="129"/>
        <v>0</v>
      </c>
      <c r="GG20" s="233"/>
    </row>
    <row r="21" spans="1:189" hidden="1">
      <c r="A21" s="1" t="s">
        <v>797</v>
      </c>
      <c r="B21" s="1">
        <f>Actions!F14</f>
        <v>13</v>
      </c>
      <c r="C21" s="1">
        <f ca="1">Actions!G14</f>
        <v>0</v>
      </c>
      <c r="D21" s="1">
        <f ca="1">Actions!H14</f>
        <v>0</v>
      </c>
      <c r="E21" s="1" t="str">
        <f ca="1">Actions!I14</f>
        <v>-</v>
      </c>
      <c r="F21" s="1" t="str">
        <f t="shared" ca="1" si="0"/>
        <v>-</v>
      </c>
      <c r="G21" s="1" t="e">
        <f t="shared" ca="1" si="1"/>
        <v>#REF!</v>
      </c>
      <c r="I21" s="1">
        <v>13</v>
      </c>
      <c r="J21" s="175">
        <f t="shared" ca="1" si="2"/>
        <v>0</v>
      </c>
      <c r="K21" s="175" t="str">
        <f t="shared" ca="1" si="3"/>
        <v/>
      </c>
      <c r="L21" s="169" t="str">
        <f t="shared" ca="1" si="93"/>
        <v/>
      </c>
      <c r="M21" s="169" t="str">
        <f t="array" aca="1" ref="M21" ca="1">IF(ROWS($9:20)&lt;=COUNTIF(Condition1,"o"),INDEX(Liste1,SMALL(IF(Condition1="o",ROW(INDIRECT("1:"&amp;ROWS(Liste1)))),ROWS($9:20))),"")</f>
        <v/>
      </c>
      <c r="N21" s="175">
        <f t="shared" ca="1" si="4"/>
        <v>0</v>
      </c>
      <c r="O21" s="175" t="str">
        <f t="shared" ca="1" si="5"/>
        <v/>
      </c>
      <c r="P21" s="169" t="str">
        <f t="shared" ca="1" si="94"/>
        <v/>
      </c>
      <c r="Q21" s="169" t="str">
        <f t="array" aca="1" ref="Q21" ca="1">IF(ROWS($9:20)&lt;=COUNTIF(Condition2,"o"),INDEX(Liste2,SMALL(IF(Condition2="o",ROW(INDIRECT("1:"&amp;ROWS(Liste2)))),ROWS($9:20))),"")</f>
        <v/>
      </c>
      <c r="R21" s="175">
        <f t="shared" ca="1" si="6"/>
        <v>0</v>
      </c>
      <c r="S21" s="175" t="str">
        <f t="shared" ca="1" si="7"/>
        <v/>
      </c>
      <c r="T21" s="169" t="str">
        <f t="shared" ca="1" si="95"/>
        <v/>
      </c>
      <c r="U21" s="169" t="str">
        <f t="array" aca="1" ref="U21" ca="1">IF(ROWS($9:20)&lt;=COUNTIF(Condition3,"o"),INDEX(Liste3,SMALL(IF(Condition3="o",ROW(INDIRECT("1:"&amp;ROWS(Liste3)))),ROWS($9:20))),"")</f>
        <v/>
      </c>
      <c r="V21" s="175">
        <f t="shared" ca="1" si="8"/>
        <v>0</v>
      </c>
      <c r="W21" s="175" t="str">
        <f t="shared" ca="1" si="9"/>
        <v/>
      </c>
      <c r="X21" s="169" t="str">
        <f t="shared" ca="1" si="96"/>
        <v/>
      </c>
      <c r="Y21" s="169" t="str">
        <f t="array" aca="1" ref="Y21" ca="1">IF(ROWS($9:20)&lt;=COUNTIF(Condition4,"o"),INDEX(Liste4,SMALL(IF(Condition4="o",ROW(INDIRECT("1:"&amp;ROWS(Liste4)))),ROWS($9:20))),"")</f>
        <v/>
      </c>
      <c r="Z21" s="175">
        <f t="shared" ca="1" si="10"/>
        <v>0</v>
      </c>
      <c r="AA21" s="175" t="str">
        <f t="shared" ca="1" si="11"/>
        <v/>
      </c>
      <c r="AB21" s="169" t="str">
        <f t="shared" ca="1" si="97"/>
        <v/>
      </c>
      <c r="AC21" s="169" t="str">
        <f t="array" aca="1" ref="AC21" ca="1">IF(ROWS($9:20)&lt;=COUNTIF(Condition5,"o"),INDEX(Liste5,SMALL(IF(Condition5="o",ROW(INDIRECT("1:"&amp;ROWS(Liste5)))),ROWS($9:20))),"")</f>
        <v/>
      </c>
      <c r="AD21" s="175">
        <f t="shared" ca="1" si="12"/>
        <v>0</v>
      </c>
      <c r="AE21" s="175" t="str">
        <f t="shared" ca="1" si="13"/>
        <v/>
      </c>
      <c r="AF21" s="169" t="str">
        <f t="shared" ca="1" si="98"/>
        <v/>
      </c>
      <c r="AG21" s="169" t="str">
        <f t="array" aca="1" ref="AG21" ca="1">IF(ROWS($9:20)&lt;=COUNTIF(Condition6,"o"),INDEX(Liste6,SMALL(IF(Condition6="o",ROW(INDIRECT("1:"&amp;ROWS(Liste6)))),ROWS($9:20))),"")</f>
        <v/>
      </c>
      <c r="AH21" s="175">
        <f t="shared" ca="1" si="14"/>
        <v>0</v>
      </c>
      <c r="AI21" s="175" t="str">
        <f t="shared" ca="1" si="15"/>
        <v/>
      </c>
      <c r="AJ21" s="169" t="str">
        <f t="shared" ca="1" si="99"/>
        <v/>
      </c>
      <c r="AK21" s="169" t="str">
        <f t="array" aca="1" ref="AK21" ca="1">IF(ROWS($9:20)&lt;=COUNTIF(Condition7,"o"),INDEX(Liste7,SMALL(IF(Condition7="o",ROW(INDIRECT("1:"&amp;ROWS(Liste7)))),ROWS($9:20))),"")</f>
        <v/>
      </c>
      <c r="AL21" s="175">
        <f t="shared" ca="1" si="16"/>
        <v>0</v>
      </c>
      <c r="AM21" s="175" t="str">
        <f t="shared" ca="1" si="17"/>
        <v/>
      </c>
      <c r="AN21" s="169" t="str">
        <f t="shared" ca="1" si="100"/>
        <v/>
      </c>
      <c r="AO21" s="169" t="str">
        <f t="array" aca="1" ref="AO21" ca="1">IF(ROWS($9:20)&lt;=COUNTIF(Condition8,"o"),INDEX(Liste8,SMALL(IF(Condition8="o",ROW(INDIRECT("1:"&amp;ROWS(Liste8)))),ROWS($9:20))),"")</f>
        <v/>
      </c>
      <c r="AP21" s="175">
        <f t="shared" ca="1" si="18"/>
        <v>0</v>
      </c>
      <c r="AQ21" s="175" t="str">
        <f t="shared" ca="1" si="19"/>
        <v/>
      </c>
      <c r="AR21" s="169" t="str">
        <f t="shared" ca="1" si="101"/>
        <v/>
      </c>
      <c r="AS21" s="169" t="str">
        <f t="array" aca="1" ref="AS21" ca="1">IF(ROWS($9:20)&lt;=COUNTIF(Condition9,"o"),INDEX(Liste9,SMALL(IF(Condition9="o",ROW(INDIRECT("1:"&amp;ROWS(Liste9)))),ROWS($9:20))),"")</f>
        <v/>
      </c>
      <c r="AT21" s="175">
        <f t="shared" ca="1" si="20"/>
        <v>0</v>
      </c>
      <c r="AU21" s="175" t="str">
        <f t="shared" ca="1" si="21"/>
        <v/>
      </c>
      <c r="AV21" s="169" t="str">
        <f t="shared" ca="1" si="102"/>
        <v/>
      </c>
      <c r="AW21" s="169" t="str">
        <f t="array" aca="1" ref="AW21" ca="1">IF(ROWS($9:20)&lt;=COUNTIF(Condition10,"o"),INDEX(Liste10,SMALL(IF(Condition10="o",ROW(INDIRECT("1:"&amp;ROWS(Liste10)))),ROWS($9:20))),"")</f>
        <v/>
      </c>
      <c r="AX21" s="175">
        <f t="shared" ca="1" si="22"/>
        <v>0</v>
      </c>
      <c r="AY21" s="175" t="str">
        <f t="shared" ca="1" si="23"/>
        <v/>
      </c>
      <c r="AZ21" s="169" t="str">
        <f t="shared" ca="1" si="103"/>
        <v/>
      </c>
      <c r="BA21" s="169" t="str">
        <f t="array" aca="1" ref="BA21" ca="1">IF(ROWS($9:20)&lt;=COUNTIF(Condition11,"o"),INDEX(Liste11,SMALL(IF(Condition11="o",ROW(INDIRECT("1:"&amp;ROWS(Liste11)))),ROWS($9:20))),"")</f>
        <v/>
      </c>
      <c r="BB21" s="175">
        <f t="shared" ca="1" si="24"/>
        <v>0</v>
      </c>
      <c r="BC21" s="175" t="str">
        <f t="shared" ca="1" si="25"/>
        <v/>
      </c>
      <c r="BD21" s="169" t="str">
        <f t="shared" ca="1" si="104"/>
        <v/>
      </c>
      <c r="BE21" s="169" t="str">
        <f t="array" aca="1" ref="BE21" ca="1">IF(ROWS($9:20)&lt;=COUNTIF(Condition12,"o"),INDEX(Liste12,SMALL(IF(Condition12="o",ROW(INDIRECT("1:"&amp;ROWS(Liste12)))),ROWS($9:20))),"")</f>
        <v/>
      </c>
      <c r="BF21" s="175">
        <f t="shared" ca="1" si="26"/>
        <v>0</v>
      </c>
      <c r="BG21" s="175" t="str">
        <f t="shared" ca="1" si="27"/>
        <v/>
      </c>
      <c r="BH21" s="169" t="str">
        <f t="shared" ca="1" si="105"/>
        <v/>
      </c>
      <c r="BI21" s="169" t="str">
        <f t="array" aca="1" ref="BI21" ca="1">IF(ROWS($9:20)&lt;=COUNTIF(Condition13,"o"),INDEX(Liste13,SMALL(IF(Condition13="o",ROW(INDIRECT("1:"&amp;ROWS(Liste13)))),ROWS($9:20))),"")</f>
        <v/>
      </c>
      <c r="BJ21" s="175">
        <f t="shared" ca="1" si="28"/>
        <v>0</v>
      </c>
      <c r="BK21" s="175" t="str">
        <f t="shared" ca="1" si="29"/>
        <v/>
      </c>
      <c r="BL21" s="169" t="str">
        <f t="shared" ca="1" si="106"/>
        <v/>
      </c>
      <c r="BM21" s="169" t="str">
        <f t="array" aca="1" ref="BM21" ca="1">IF(ROWS($9:20)&lt;=COUNTIF(Condition14,"o"),INDEX(Liste14,SMALL(IF(Condition14="o",ROW(INDIRECT("1:"&amp;ROWS(Liste14)))),ROWS($9:20))),"")</f>
        <v/>
      </c>
      <c r="BN21" s="175">
        <f t="shared" ca="1" si="30"/>
        <v>0</v>
      </c>
      <c r="BO21" s="175" t="str">
        <f t="shared" ca="1" si="31"/>
        <v/>
      </c>
      <c r="BP21" s="169" t="str">
        <f t="shared" ca="1" si="107"/>
        <v/>
      </c>
      <c r="BQ21" s="169" t="str">
        <f t="array" aca="1" ref="BQ21" ca="1">IF(ROWS($9:20)&lt;=COUNTIF(Condition15,"o"),INDEX(Liste15,SMALL(IF(Condition15="o",ROW(INDIRECT("1:"&amp;ROWS(Liste15)))),ROWS($9:20))),"")</f>
        <v/>
      </c>
      <c r="BR21" s="175">
        <f t="shared" ca="1" si="32"/>
        <v>0</v>
      </c>
      <c r="BS21" s="175" t="str">
        <f t="shared" ca="1" si="33"/>
        <v/>
      </c>
      <c r="BT21" s="169" t="str">
        <f t="shared" ca="1" si="108"/>
        <v/>
      </c>
      <c r="BU21" s="169" t="str">
        <f t="array" aca="1" ref="BU21" ca="1">IF(ROWS($9:20)&lt;=COUNTIF(Condition16,"o"),INDEX(Liste16,SMALL(IF(Condition16="o",ROW(INDIRECT("1:"&amp;ROWS(Liste16)))),ROWS($9:20))),"")</f>
        <v/>
      </c>
      <c r="BV21" s="175">
        <f t="shared" ca="1" si="34"/>
        <v>0</v>
      </c>
      <c r="BW21" s="175" t="str">
        <f t="shared" ca="1" si="35"/>
        <v/>
      </c>
      <c r="BX21" s="169" t="str">
        <f t="shared" ca="1" si="109"/>
        <v/>
      </c>
      <c r="BY21" s="169" t="str">
        <f t="array" aca="1" ref="BY21" ca="1">IF(ROWS($9:20)&lt;=COUNTIF(Condition17,"o"),INDEX(Liste17,SMALL(IF(Condition17="o",ROW(INDIRECT("1:"&amp;ROWS(Liste17)))),ROWS($9:20))),"")</f>
        <v/>
      </c>
      <c r="BZ21" s="175">
        <f t="shared" ca="1" si="36"/>
        <v>0</v>
      </c>
      <c r="CA21" s="175" t="str">
        <f t="shared" ca="1" si="37"/>
        <v/>
      </c>
      <c r="CB21" s="169" t="str">
        <f t="shared" ca="1" si="110"/>
        <v/>
      </c>
      <c r="CC21" s="169" t="str">
        <f t="array" aca="1" ref="CC21" ca="1">IF(ROWS($9:20)&lt;=COUNTIF(Condition18,"o"),INDEX(Liste18,SMALL(IF(Condition18="o",ROW(INDIRECT("1:"&amp;ROWS(Liste18)))),ROWS($9:20))),"")</f>
        <v/>
      </c>
      <c r="CD21" s="175">
        <f t="shared" ca="1" si="38"/>
        <v>0</v>
      </c>
      <c r="CE21" s="175" t="str">
        <f t="shared" ca="1" si="39"/>
        <v/>
      </c>
      <c r="CF21" s="169" t="str">
        <f t="shared" ca="1" si="111"/>
        <v/>
      </c>
      <c r="CG21" s="169" t="str">
        <f t="array" aca="1" ref="CG21" ca="1">IF(ROWS($9:20)&lt;=COUNTIF(Condition19,"o"),INDEX(Liste19,SMALL(IF(Condition19="o",ROW(INDIRECT("1:"&amp;ROWS(Liste19)))),ROWS($9:20))),"")</f>
        <v/>
      </c>
      <c r="CH21" s="175">
        <f t="shared" ca="1" si="40"/>
        <v>0</v>
      </c>
      <c r="CI21" s="175" t="str">
        <f t="shared" ca="1" si="41"/>
        <v/>
      </c>
      <c r="CJ21" s="169" t="str">
        <f t="shared" ca="1" si="112"/>
        <v/>
      </c>
      <c r="CK21" s="169" t="str">
        <f t="array" aca="1" ref="CK21" ca="1">IF(ROWS($9:20)&lt;=COUNTIF(Condition20,"o"),INDEX(Liste20,SMALL(IF(Condition20="o",ROW(INDIRECT("1:"&amp;ROWS(Liste20)))),ROWS($9:20))),"")</f>
        <v/>
      </c>
      <c r="CL21" s="175">
        <f t="shared" ca="1" si="42"/>
        <v>0</v>
      </c>
      <c r="CM21" s="175" t="str">
        <f t="shared" ca="1" si="43"/>
        <v/>
      </c>
      <c r="CN21" s="169" t="str">
        <f t="shared" ca="1" si="113"/>
        <v/>
      </c>
      <c r="CO21" s="169" t="str">
        <f t="array" aca="1" ref="CO21" ca="1">IF(ROWS($9:20)&lt;=COUNTIF(Condition21,"o"),INDEX(Liste21,SMALL(IF(Condition21="o",ROW(INDIRECT("1:"&amp;ROWS(Liste21)))),ROWS($9:20))),"")</f>
        <v/>
      </c>
      <c r="CP21" s="175">
        <f t="shared" ca="1" si="44"/>
        <v>0</v>
      </c>
      <c r="CQ21" s="175" t="str">
        <f t="shared" ca="1" si="45"/>
        <v/>
      </c>
      <c r="CR21" s="169" t="str">
        <f t="shared" ca="1" si="114"/>
        <v/>
      </c>
      <c r="CS21" s="169" t="str">
        <f t="array" aca="1" ref="CS21" ca="1">IF(ROWS($9:20)&lt;=COUNTIF(Condition22,"o"),INDEX(Liste22,SMALL(IF(Condition22="o",ROW(INDIRECT("1:"&amp;ROWS(Liste22)))),ROWS($9:20))),"")</f>
        <v/>
      </c>
      <c r="CT21" s="175">
        <f t="shared" ca="1" si="46"/>
        <v>0</v>
      </c>
      <c r="CU21" s="175" t="str">
        <f t="shared" ca="1" si="47"/>
        <v/>
      </c>
      <c r="CV21" s="169" t="str">
        <f t="shared" ca="1" si="115"/>
        <v/>
      </c>
      <c r="CW21" s="169" t="str">
        <f t="array" aca="1" ref="CW21" ca="1">IF(ROWS($9:20)&lt;=COUNTIF(Condition23,"o"),INDEX(Liste23,SMALL(IF(Condition23="o",ROW(INDIRECT("1:"&amp;ROWS(Liste23)))),ROWS($9:20))),"")</f>
        <v/>
      </c>
      <c r="CX21" s="175">
        <f t="shared" ca="1" si="48"/>
        <v>0</v>
      </c>
      <c r="CY21" s="175" t="str">
        <f t="shared" ca="1" si="49"/>
        <v/>
      </c>
      <c r="CZ21" s="169" t="str">
        <f t="shared" ca="1" si="116"/>
        <v/>
      </c>
      <c r="DA21" s="169" t="str">
        <f t="array" aca="1" ref="DA21" ca="1">IF(ROWS($9:20)&lt;=COUNTIF(Condition24,"o"),INDEX(Liste24,SMALL(IF(Condition24="o",ROW(INDIRECT("1:"&amp;ROWS(Liste24)))),ROWS($9:20))),"")</f>
        <v/>
      </c>
      <c r="DB21" s="175">
        <f t="shared" ca="1" si="50"/>
        <v>0</v>
      </c>
      <c r="DC21" s="175" t="str">
        <f t="shared" ca="1" si="51"/>
        <v/>
      </c>
      <c r="DD21" s="169" t="str">
        <f t="shared" ca="1" si="117"/>
        <v/>
      </c>
      <c r="DE21" s="169" t="str">
        <f t="array" aca="1" ref="DE21" ca="1">IF(ROWS($9:20)&lt;=COUNTIF(Condition25,"o"),INDEX(Liste25,SMALL(IF(Condition25="o",ROW(INDIRECT("1:"&amp;ROWS(Liste25)))),ROWS($9:20))),"")</f>
        <v/>
      </c>
      <c r="DF21" s="175">
        <f t="shared" ca="1" si="52"/>
        <v>0</v>
      </c>
      <c r="DG21" s="175" t="str">
        <f t="shared" ca="1" si="53"/>
        <v/>
      </c>
      <c r="DH21" s="169" t="str">
        <f t="shared" ca="1" si="118"/>
        <v/>
      </c>
      <c r="DI21" s="169" t="str">
        <f t="array" aca="1" ref="DI21" ca="1">IF(ROWS($9:20)&lt;=COUNTIF(Condition26,"o"),INDEX(Liste26,SMALL(IF(Condition26="o",ROW(INDIRECT("1:"&amp;ROWS(Liste26)))),ROWS($9:20))),"")</f>
        <v/>
      </c>
      <c r="DJ21" s="175">
        <f t="shared" ca="1" si="54"/>
        <v>0</v>
      </c>
      <c r="DK21" s="175" t="str">
        <f t="shared" ca="1" si="55"/>
        <v/>
      </c>
      <c r="DL21" s="169" t="str">
        <f t="shared" ca="1" si="119"/>
        <v/>
      </c>
      <c r="DM21" s="169" t="str">
        <f t="array" aca="1" ref="DM21" ca="1">IF(ROWS($9:20)&lt;=COUNTIF(Condition27,"o"),INDEX(Liste27,SMALL(IF(Condition27="o",ROW(INDIRECT("1:"&amp;ROWS(Liste27)))),ROWS($9:20))),"")</f>
        <v/>
      </c>
      <c r="DN21" s="175">
        <f t="shared" ca="1" si="56"/>
        <v>0</v>
      </c>
      <c r="DO21" s="175" t="str">
        <f t="shared" ca="1" si="57"/>
        <v/>
      </c>
      <c r="DP21" s="169" t="str">
        <f t="shared" ca="1" si="120"/>
        <v/>
      </c>
      <c r="DQ21" s="169" t="str">
        <f t="array" aca="1" ref="DQ21" ca="1">IF(ROWS($9:20)&lt;=COUNTIF(Condition28,"o"),INDEX(Liste28,SMALL(IF(Condition28="o",ROW(INDIRECT("1:"&amp;ROWS(Liste28)))),ROWS($9:20))),"")</f>
        <v/>
      </c>
      <c r="DR21" s="175">
        <f t="shared" ca="1" si="58"/>
        <v>0</v>
      </c>
      <c r="DS21" s="175" t="str">
        <f t="shared" ca="1" si="59"/>
        <v/>
      </c>
      <c r="DT21" s="169" t="str">
        <f t="shared" ca="1" si="121"/>
        <v/>
      </c>
      <c r="DU21" s="169" t="str">
        <f t="array" aca="1" ref="DU21" ca="1">IF(ROWS($9:20)&lt;=COUNTIF(Condition29,"o"),INDEX(Liste29,SMALL(IF(Condition29="o",ROW(INDIRECT("1:"&amp;ROWS(Liste29)))),ROWS($9:20))),"")</f>
        <v/>
      </c>
      <c r="DV21" s="175">
        <f t="shared" ca="1" si="60"/>
        <v>0</v>
      </c>
      <c r="DW21" s="175" t="str">
        <f t="shared" ca="1" si="61"/>
        <v/>
      </c>
      <c r="DX21" s="169" t="str">
        <f t="shared" ca="1" si="122"/>
        <v/>
      </c>
      <c r="DY21" s="169" t="str">
        <f t="array" aca="1" ref="DY21" ca="1">IF(ROWS($9:20)&lt;=COUNTIF(Condition30,"o"),INDEX(Liste30,SMALL(IF(Condition30="o",ROW(INDIRECT("1:"&amp;ROWS(Liste30)))),ROWS($9:20))),"")</f>
        <v/>
      </c>
      <c r="DZ21" s="175">
        <f t="shared" ca="1" si="62"/>
        <v>0</v>
      </c>
      <c r="EA21" s="175" t="str">
        <f t="shared" ca="1" si="63"/>
        <v/>
      </c>
      <c r="EB21" s="169" t="str">
        <f t="shared" ca="1" si="123"/>
        <v/>
      </c>
      <c r="EC21" s="169" t="str">
        <f t="array" aca="1" ref="EC21" ca="1">IF(ROWS($9:20)&lt;=COUNTIF(Condition31,"o"),INDEX(Liste31,SMALL(IF(Condition31="o",ROW(INDIRECT("1:"&amp;ROWS(Liste31)))),ROWS($9:20))),"")</f>
        <v/>
      </c>
      <c r="ED21" s="175">
        <f t="shared" ca="1" si="64"/>
        <v>0</v>
      </c>
      <c r="EE21" s="175" t="str">
        <f t="shared" ca="1" si="65"/>
        <v/>
      </c>
      <c r="EF21" s="169" t="str">
        <f t="shared" ca="1" si="124"/>
        <v/>
      </c>
      <c r="EG21" s="169" t="str">
        <f t="array" aca="1" ref="EG21" ca="1">IF(ROWS($9:20)&lt;=COUNTIF(Condition32,"o"),INDEX(Liste32,SMALL(IF(Condition32="o",ROW(INDIRECT("1:"&amp;ROWS(Liste32)))),ROWS($9:20))),"")</f>
        <v/>
      </c>
      <c r="EH21" s="175">
        <f t="shared" ca="1" si="66"/>
        <v>0</v>
      </c>
      <c r="EI21" s="175" t="str">
        <f t="shared" ca="1" si="67"/>
        <v/>
      </c>
      <c r="EJ21" s="169" t="str">
        <f t="shared" ca="1" si="125"/>
        <v/>
      </c>
      <c r="EK21" s="169" t="str">
        <f t="array" aca="1" ref="EK21" ca="1">IF(ROWS($9:20)&lt;=COUNTIF(Condition33,"o"),INDEX(Liste33,SMALL(IF(Condition33="o",ROW(INDIRECT("1:"&amp;ROWS(Liste33)))),ROWS($9:20))),"")</f>
        <v/>
      </c>
      <c r="EL21" s="175">
        <f t="shared" ca="1" si="68"/>
        <v>0</v>
      </c>
      <c r="EM21" s="175" t="str">
        <f t="shared" ca="1" si="69"/>
        <v/>
      </c>
      <c r="EN21" s="169" t="str">
        <f t="shared" ca="1" si="126"/>
        <v/>
      </c>
      <c r="EO21" s="169" t="str">
        <f t="array" aca="1" ref="EO21" ca="1">IF(ROWS($9:20)&lt;=COUNTIF(Condition34,"o"),INDEX(Liste34,SMALL(IF(Condition34="o",ROW(INDIRECT("1:"&amp;ROWS(Liste34)))),ROWS($9:20))),"")</f>
        <v/>
      </c>
      <c r="EP21" s="175">
        <f t="shared" ca="1" si="70"/>
        <v>0</v>
      </c>
      <c r="EQ21" s="175" t="str">
        <f t="shared" ca="1" si="71"/>
        <v/>
      </c>
      <c r="ER21" s="169" t="str">
        <f t="shared" ca="1" si="127"/>
        <v/>
      </c>
      <c r="ES21" s="169" t="str">
        <f t="array" aca="1" ref="ES21" ca="1">IF(ROWS($9:20)&lt;=COUNTIF(Condition35,"o"),INDEX(Liste35,SMALL(IF(Condition35="o",ROW(INDIRECT("1:"&amp;ROWS(Liste35)))),ROWS($9:20))),"")</f>
        <v/>
      </c>
      <c r="ET21" s="175">
        <f t="shared" ca="1" si="72"/>
        <v>0</v>
      </c>
      <c r="EU21" s="175" t="str">
        <f t="shared" ca="1" si="73"/>
        <v/>
      </c>
      <c r="EV21" s="169" t="str">
        <f t="shared" ca="1" si="128"/>
        <v/>
      </c>
      <c r="EW21" s="169" t="str">
        <f t="array" aca="1" ref="EW21" ca="1">IF(ROWS($9:20)&lt;=COUNTIF(Condition36,"o"),INDEX(Liste36,SMALL(IF(Condition36="o",ROW(INDIRECT("1:"&amp;ROWS(Liste36)))),ROWS($9:20))),"")</f>
        <v/>
      </c>
      <c r="EX21" s="175">
        <f t="shared" ca="1" si="74"/>
        <v>0</v>
      </c>
      <c r="EY21" s="175" t="str">
        <f t="shared" ca="1" si="75"/>
        <v/>
      </c>
      <c r="EZ21" s="169" t="str">
        <f t="shared" ca="1" si="85"/>
        <v/>
      </c>
      <c r="FA21" s="169" t="str">
        <f t="array" aca="1" ref="FA21" ca="1">IF(ROWS($9:20)&lt;=COUNTIF(Condition36,"o"),INDEX(Liste36,SMALL(IF(Condition36="o",ROW(INDIRECT("1:"&amp;ROWS(Liste36)))),ROWS($9:20))),"")</f>
        <v/>
      </c>
      <c r="FB21" s="175">
        <f t="shared" ca="1" si="76"/>
        <v>0</v>
      </c>
      <c r="FC21" s="175" t="str">
        <f t="shared" ca="1" si="77"/>
        <v/>
      </c>
      <c r="FD21" s="169" t="str">
        <f t="shared" ca="1" si="86"/>
        <v/>
      </c>
      <c r="FE21" s="169" t="str">
        <f t="array" aca="1" ref="FE21" ca="1">IF(ROWS($9:20)&lt;=COUNTIF(condition38,"o"),INDEX(liste38,SMALL(IF(condition38="o",ROW(INDIRECT("1:"&amp;ROWS(liste38)))),ROWS($9:20))),"")</f>
        <v/>
      </c>
      <c r="FF21" s="175">
        <f t="shared" ca="1" si="78"/>
        <v>0</v>
      </c>
      <c r="FG21" s="175" t="str">
        <f t="shared" ca="1" si="79"/>
        <v/>
      </c>
      <c r="FH21" s="169" t="str">
        <f t="shared" ca="1" si="87"/>
        <v/>
      </c>
      <c r="FI21" s="169" t="str">
        <f t="array" aca="1" ref="FI21" ca="1">IF(ROWS($9:20)&lt;=COUNTIF(Condition39,"o"),INDEX(Liste39,SMALL(IF(Condition39="o",ROW(INDIRECT("1:"&amp;ROWS(Liste39)))),ROWS($9:20))),"")</f>
        <v/>
      </c>
      <c r="FM21" s="1" t="s">
        <v>1193</v>
      </c>
      <c r="FN21" s="1" t="s">
        <v>1149</v>
      </c>
      <c r="FO21" s="180">
        <f>'Suivi objectifs'!D13</f>
        <v>0</v>
      </c>
      <c r="FP21" s="1366" t="str">
        <f>'Suivi objectifs'!C13</f>
        <v>Processus industriels</v>
      </c>
      <c r="FQ21" s="181" t="str">
        <f ca="1">IF(ISNA(VLOOKUP(FR21,Actions!$G$2:$AP$70,31,0)),"",VLOOKUP(FR21,Actions!$G$2:$AP$70,36,0))</f>
        <v/>
      </c>
      <c r="FR21" s="185" t="str">
        <f t="shared" ca="1" si="88"/>
        <v/>
      </c>
      <c r="FS21" s="286">
        <f t="shared" ca="1" si="80"/>
        <v>0</v>
      </c>
      <c r="FT21" s="181" t="str">
        <f ca="1">IF(ISNA(VLOOKUP(FU21,Actions!$G$2:$AP$70,31,0)),"",VLOOKUP(FU21,Actions!$G$2:$AP$70,36,0))</f>
        <v/>
      </c>
      <c r="FU21" s="185" t="str">
        <f t="shared" ca="1" si="89"/>
        <v/>
      </c>
      <c r="FV21" s="286">
        <f t="shared" ca="1" si="81"/>
        <v>0</v>
      </c>
      <c r="FW21" s="181" t="str">
        <f ca="1">IF(ISNA(VLOOKUP(FX21,Actions!$G$2:$AP$70,31,0)),"",VLOOKUP(FX21,Actions!$G$2:$AP$70,36,0))</f>
        <v/>
      </c>
      <c r="FX21" s="185" t="str">
        <f t="shared" ca="1" si="90"/>
        <v/>
      </c>
      <c r="FY21" s="286">
        <f t="shared" ca="1" si="82"/>
        <v>0</v>
      </c>
      <c r="FZ21" s="181" t="str">
        <f ca="1">IF(ISNA(VLOOKUP(GA21,Actions!$G$2:$AP$70,31,0)),"",VLOOKUP(GA21,Actions!$G$2:$AP$70,36,0))</f>
        <v/>
      </c>
      <c r="GA21" s="185" t="str">
        <f t="shared" ca="1" si="91"/>
        <v/>
      </c>
      <c r="GB21" s="286">
        <f t="shared" ca="1" si="83"/>
        <v>0</v>
      </c>
      <c r="GC21" s="181" t="str">
        <f ca="1">IF(ISNA(VLOOKUP(GD21,Actions!$G$2:$AP$70,31,0)),"",VLOOKUP(GD21,Actions!$G$2:$AP$70,36,0))</f>
        <v/>
      </c>
      <c r="GD21" s="185" t="str">
        <f t="shared" ca="1" si="92"/>
        <v/>
      </c>
      <c r="GE21" s="287">
        <f t="shared" ca="1" si="84"/>
        <v>0</v>
      </c>
      <c r="GF21" s="186">
        <f t="shared" ca="1" si="129"/>
        <v>0</v>
      </c>
      <c r="GG21" s="233"/>
    </row>
    <row r="22" spans="1:189" hidden="1">
      <c r="A22" s="1" t="s">
        <v>809</v>
      </c>
      <c r="B22" s="1">
        <f>Actions!F15</f>
        <v>14</v>
      </c>
      <c r="C22" s="1">
        <f ca="1">Actions!G15</f>
        <v>0</v>
      </c>
      <c r="D22" s="1">
        <f ca="1">Actions!H15</f>
        <v>0</v>
      </c>
      <c r="E22" s="1" t="str">
        <f ca="1">Actions!I15</f>
        <v>-</v>
      </c>
      <c r="F22" s="1" t="str">
        <f t="shared" ca="1" si="0"/>
        <v>-</v>
      </c>
      <c r="G22" s="1" t="e">
        <f t="shared" ca="1" si="1"/>
        <v>#REF!</v>
      </c>
      <c r="I22" s="1">
        <v>14</v>
      </c>
      <c r="J22" s="175">
        <f t="shared" ca="1" si="2"/>
        <v>0</v>
      </c>
      <c r="K22" s="175" t="str">
        <f t="shared" ca="1" si="3"/>
        <v/>
      </c>
      <c r="L22" s="169" t="str">
        <f t="shared" ca="1" si="93"/>
        <v/>
      </c>
      <c r="M22" s="169" t="str">
        <f t="array" aca="1" ref="M22" ca="1">IF(ROWS($9:21)&lt;=COUNTIF(Condition1,"o"),INDEX(Liste1,SMALL(IF(Condition1="o",ROW(INDIRECT("1:"&amp;ROWS(Liste1)))),ROWS($9:21))),"")</f>
        <v/>
      </c>
      <c r="N22" s="175">
        <f t="shared" ca="1" si="4"/>
        <v>0</v>
      </c>
      <c r="O22" s="175" t="str">
        <f t="shared" ca="1" si="5"/>
        <v/>
      </c>
      <c r="P22" s="169" t="str">
        <f t="shared" ca="1" si="94"/>
        <v/>
      </c>
      <c r="Q22" s="169" t="str">
        <f t="array" aca="1" ref="Q22" ca="1">IF(ROWS($9:21)&lt;=COUNTIF(Condition2,"o"),INDEX(Liste2,SMALL(IF(Condition2="o",ROW(INDIRECT("1:"&amp;ROWS(Liste2)))),ROWS($9:21))),"")</f>
        <v/>
      </c>
      <c r="R22" s="175">
        <f t="shared" ca="1" si="6"/>
        <v>0</v>
      </c>
      <c r="S22" s="175" t="str">
        <f t="shared" ca="1" si="7"/>
        <v/>
      </c>
      <c r="T22" s="169" t="str">
        <f t="shared" ca="1" si="95"/>
        <v/>
      </c>
      <c r="U22" s="169" t="str">
        <f t="array" aca="1" ref="U22" ca="1">IF(ROWS($9:21)&lt;=COUNTIF(Condition3,"o"),INDEX(Liste3,SMALL(IF(Condition3="o",ROW(INDIRECT("1:"&amp;ROWS(Liste3)))),ROWS($9:21))),"")</f>
        <v/>
      </c>
      <c r="V22" s="175">
        <f t="shared" ca="1" si="8"/>
        <v>0</v>
      </c>
      <c r="W22" s="175" t="str">
        <f t="shared" ca="1" si="9"/>
        <v/>
      </c>
      <c r="X22" s="169" t="str">
        <f t="shared" ca="1" si="96"/>
        <v/>
      </c>
      <c r="Y22" s="169" t="str">
        <f t="array" aca="1" ref="Y22" ca="1">IF(ROWS($9:21)&lt;=COUNTIF(Condition4,"o"),INDEX(Liste4,SMALL(IF(Condition4="o",ROW(INDIRECT("1:"&amp;ROWS(Liste4)))),ROWS($9:21))),"")</f>
        <v/>
      </c>
      <c r="Z22" s="175">
        <f t="shared" ca="1" si="10"/>
        <v>0</v>
      </c>
      <c r="AA22" s="175" t="str">
        <f t="shared" ca="1" si="11"/>
        <v/>
      </c>
      <c r="AB22" s="169" t="str">
        <f t="shared" ca="1" si="97"/>
        <v/>
      </c>
      <c r="AC22" s="169" t="str">
        <f t="array" aca="1" ref="AC22" ca="1">IF(ROWS($9:21)&lt;=COUNTIF(Condition5,"o"),INDEX(Liste5,SMALL(IF(Condition5="o",ROW(INDIRECT("1:"&amp;ROWS(Liste5)))),ROWS($9:21))),"")</f>
        <v/>
      </c>
      <c r="AD22" s="175">
        <f t="shared" ca="1" si="12"/>
        <v>0</v>
      </c>
      <c r="AE22" s="175" t="str">
        <f t="shared" ca="1" si="13"/>
        <v/>
      </c>
      <c r="AF22" s="169" t="str">
        <f t="shared" ca="1" si="98"/>
        <v/>
      </c>
      <c r="AG22" s="169" t="str">
        <f t="array" aca="1" ref="AG22" ca="1">IF(ROWS($9:21)&lt;=COUNTIF(Condition6,"o"),INDEX(Liste6,SMALL(IF(Condition6="o",ROW(INDIRECT("1:"&amp;ROWS(Liste6)))),ROWS($9:21))),"")</f>
        <v/>
      </c>
      <c r="AH22" s="175">
        <f t="shared" ca="1" si="14"/>
        <v>0</v>
      </c>
      <c r="AI22" s="175" t="str">
        <f t="shared" ca="1" si="15"/>
        <v/>
      </c>
      <c r="AJ22" s="169" t="str">
        <f t="shared" ca="1" si="99"/>
        <v/>
      </c>
      <c r="AK22" s="169" t="str">
        <f t="array" aca="1" ref="AK22" ca="1">IF(ROWS($9:21)&lt;=COUNTIF(Condition7,"o"),INDEX(Liste7,SMALL(IF(Condition7="o",ROW(INDIRECT("1:"&amp;ROWS(Liste7)))),ROWS($9:21))),"")</f>
        <v/>
      </c>
      <c r="AL22" s="175">
        <f t="shared" ca="1" si="16"/>
        <v>0</v>
      </c>
      <c r="AM22" s="175" t="str">
        <f t="shared" ca="1" si="17"/>
        <v/>
      </c>
      <c r="AN22" s="169" t="str">
        <f t="shared" ca="1" si="100"/>
        <v/>
      </c>
      <c r="AO22" s="169" t="str">
        <f t="array" aca="1" ref="AO22" ca="1">IF(ROWS($9:21)&lt;=COUNTIF(Condition8,"o"),INDEX(Liste8,SMALL(IF(Condition8="o",ROW(INDIRECT("1:"&amp;ROWS(Liste8)))),ROWS($9:21))),"")</f>
        <v/>
      </c>
      <c r="AP22" s="175">
        <f t="shared" ca="1" si="18"/>
        <v>0</v>
      </c>
      <c r="AQ22" s="175" t="str">
        <f t="shared" ca="1" si="19"/>
        <v/>
      </c>
      <c r="AR22" s="169" t="str">
        <f t="shared" ca="1" si="101"/>
        <v/>
      </c>
      <c r="AS22" s="169" t="str">
        <f t="array" aca="1" ref="AS22" ca="1">IF(ROWS($9:21)&lt;=COUNTIF(Condition9,"o"),INDEX(Liste9,SMALL(IF(Condition9="o",ROW(INDIRECT("1:"&amp;ROWS(Liste9)))),ROWS($9:21))),"")</f>
        <v/>
      </c>
      <c r="AT22" s="175">
        <f t="shared" ca="1" si="20"/>
        <v>0</v>
      </c>
      <c r="AU22" s="175" t="str">
        <f t="shared" ca="1" si="21"/>
        <v/>
      </c>
      <c r="AV22" s="169" t="str">
        <f t="shared" ca="1" si="102"/>
        <v/>
      </c>
      <c r="AW22" s="169" t="str">
        <f t="array" aca="1" ref="AW22" ca="1">IF(ROWS($9:21)&lt;=COUNTIF(Condition10,"o"),INDEX(Liste10,SMALL(IF(Condition10="o",ROW(INDIRECT("1:"&amp;ROWS(Liste10)))),ROWS($9:21))),"")</f>
        <v/>
      </c>
      <c r="AX22" s="175">
        <f t="shared" ca="1" si="22"/>
        <v>0</v>
      </c>
      <c r="AY22" s="175" t="str">
        <f t="shared" ca="1" si="23"/>
        <v/>
      </c>
      <c r="AZ22" s="169" t="str">
        <f t="shared" ca="1" si="103"/>
        <v/>
      </c>
      <c r="BA22" s="169" t="str">
        <f t="array" aca="1" ref="BA22" ca="1">IF(ROWS($9:21)&lt;=COUNTIF(Condition11,"o"),INDEX(Liste11,SMALL(IF(Condition11="o",ROW(INDIRECT("1:"&amp;ROWS(Liste11)))),ROWS($9:21))),"")</f>
        <v/>
      </c>
      <c r="BB22" s="175">
        <f t="shared" ca="1" si="24"/>
        <v>0</v>
      </c>
      <c r="BC22" s="175" t="str">
        <f t="shared" ca="1" si="25"/>
        <v/>
      </c>
      <c r="BD22" s="169" t="str">
        <f t="shared" ca="1" si="104"/>
        <v/>
      </c>
      <c r="BE22" s="169" t="str">
        <f t="array" aca="1" ref="BE22" ca="1">IF(ROWS($9:21)&lt;=COUNTIF(Condition12,"o"),INDEX(Liste12,SMALL(IF(Condition12="o",ROW(INDIRECT("1:"&amp;ROWS(Liste12)))),ROWS($9:21))),"")</f>
        <v/>
      </c>
      <c r="BF22" s="175">
        <f t="shared" ca="1" si="26"/>
        <v>0</v>
      </c>
      <c r="BG22" s="175" t="str">
        <f t="shared" ca="1" si="27"/>
        <v/>
      </c>
      <c r="BH22" s="169" t="str">
        <f t="shared" ca="1" si="105"/>
        <v/>
      </c>
      <c r="BI22" s="169" t="str">
        <f t="array" aca="1" ref="BI22" ca="1">IF(ROWS($9:21)&lt;=COUNTIF(Condition13,"o"),INDEX(Liste13,SMALL(IF(Condition13="o",ROW(INDIRECT("1:"&amp;ROWS(Liste13)))),ROWS($9:21))),"")</f>
        <v/>
      </c>
      <c r="BJ22" s="175">
        <f t="shared" ca="1" si="28"/>
        <v>0</v>
      </c>
      <c r="BK22" s="175" t="str">
        <f t="shared" ca="1" si="29"/>
        <v/>
      </c>
      <c r="BL22" s="169" t="str">
        <f t="shared" ca="1" si="106"/>
        <v/>
      </c>
      <c r="BM22" s="169" t="str">
        <f t="array" aca="1" ref="BM22" ca="1">IF(ROWS($9:21)&lt;=COUNTIF(Condition14,"o"),INDEX(Liste14,SMALL(IF(Condition14="o",ROW(INDIRECT("1:"&amp;ROWS(Liste14)))),ROWS($9:21))),"")</f>
        <v/>
      </c>
      <c r="BN22" s="175">
        <f t="shared" ca="1" si="30"/>
        <v>0</v>
      </c>
      <c r="BO22" s="175" t="str">
        <f t="shared" ca="1" si="31"/>
        <v/>
      </c>
      <c r="BP22" s="169" t="str">
        <f t="shared" ca="1" si="107"/>
        <v/>
      </c>
      <c r="BQ22" s="169" t="str">
        <f t="array" aca="1" ref="BQ22" ca="1">IF(ROWS($9:21)&lt;=COUNTIF(Condition15,"o"),INDEX(Liste15,SMALL(IF(Condition15="o",ROW(INDIRECT("1:"&amp;ROWS(Liste15)))),ROWS($9:21))),"")</f>
        <v/>
      </c>
      <c r="BR22" s="175">
        <f t="shared" ca="1" si="32"/>
        <v>0</v>
      </c>
      <c r="BS22" s="175" t="str">
        <f t="shared" ca="1" si="33"/>
        <v/>
      </c>
      <c r="BT22" s="169" t="str">
        <f t="shared" ca="1" si="108"/>
        <v/>
      </c>
      <c r="BU22" s="169" t="str">
        <f t="array" aca="1" ref="BU22" ca="1">IF(ROWS($9:21)&lt;=COUNTIF(Condition16,"o"),INDEX(Liste16,SMALL(IF(Condition16="o",ROW(INDIRECT("1:"&amp;ROWS(Liste16)))),ROWS($9:21))),"")</f>
        <v/>
      </c>
      <c r="BV22" s="175">
        <f t="shared" ca="1" si="34"/>
        <v>0</v>
      </c>
      <c r="BW22" s="175" t="str">
        <f t="shared" ca="1" si="35"/>
        <v/>
      </c>
      <c r="BX22" s="169" t="str">
        <f t="shared" ca="1" si="109"/>
        <v/>
      </c>
      <c r="BY22" s="169" t="str">
        <f t="array" aca="1" ref="BY22" ca="1">IF(ROWS($9:21)&lt;=COUNTIF(Condition17,"o"),INDEX(Liste17,SMALL(IF(Condition17="o",ROW(INDIRECT("1:"&amp;ROWS(Liste17)))),ROWS($9:21))),"")</f>
        <v/>
      </c>
      <c r="BZ22" s="175">
        <f t="shared" ca="1" si="36"/>
        <v>0</v>
      </c>
      <c r="CA22" s="175" t="str">
        <f t="shared" ca="1" si="37"/>
        <v/>
      </c>
      <c r="CB22" s="169" t="str">
        <f t="shared" ca="1" si="110"/>
        <v/>
      </c>
      <c r="CC22" s="169" t="str">
        <f t="array" aca="1" ref="CC22" ca="1">IF(ROWS($9:21)&lt;=COUNTIF(Condition18,"o"),INDEX(Liste18,SMALL(IF(Condition18="o",ROW(INDIRECT("1:"&amp;ROWS(Liste18)))),ROWS($9:21))),"")</f>
        <v/>
      </c>
      <c r="CD22" s="175">
        <f t="shared" ca="1" si="38"/>
        <v>0</v>
      </c>
      <c r="CE22" s="175" t="str">
        <f t="shared" ca="1" si="39"/>
        <v/>
      </c>
      <c r="CF22" s="169" t="str">
        <f t="shared" ca="1" si="111"/>
        <v/>
      </c>
      <c r="CG22" s="169" t="str">
        <f t="array" aca="1" ref="CG22" ca="1">IF(ROWS($9:21)&lt;=COUNTIF(Condition19,"o"),INDEX(Liste19,SMALL(IF(Condition19="o",ROW(INDIRECT("1:"&amp;ROWS(Liste19)))),ROWS($9:21))),"")</f>
        <v/>
      </c>
      <c r="CH22" s="175">
        <f t="shared" ca="1" si="40"/>
        <v>0</v>
      </c>
      <c r="CI22" s="175" t="str">
        <f t="shared" ca="1" si="41"/>
        <v/>
      </c>
      <c r="CJ22" s="169" t="str">
        <f t="shared" ca="1" si="112"/>
        <v/>
      </c>
      <c r="CK22" s="169" t="str">
        <f t="array" aca="1" ref="CK22" ca="1">IF(ROWS($9:21)&lt;=COUNTIF(Condition20,"o"),INDEX(Liste20,SMALL(IF(Condition20="o",ROW(INDIRECT("1:"&amp;ROWS(Liste20)))),ROWS($9:21))),"")</f>
        <v/>
      </c>
      <c r="CL22" s="175">
        <f t="shared" ca="1" si="42"/>
        <v>0</v>
      </c>
      <c r="CM22" s="175" t="str">
        <f t="shared" ca="1" si="43"/>
        <v/>
      </c>
      <c r="CN22" s="169" t="str">
        <f t="shared" ca="1" si="113"/>
        <v/>
      </c>
      <c r="CO22" s="169" t="str">
        <f t="array" aca="1" ref="CO22" ca="1">IF(ROWS($9:21)&lt;=COUNTIF(Condition21,"o"),INDEX(Liste21,SMALL(IF(Condition21="o",ROW(INDIRECT("1:"&amp;ROWS(Liste21)))),ROWS($9:21))),"")</f>
        <v/>
      </c>
      <c r="CP22" s="175">
        <f t="shared" ca="1" si="44"/>
        <v>0</v>
      </c>
      <c r="CQ22" s="175" t="str">
        <f t="shared" ca="1" si="45"/>
        <v/>
      </c>
      <c r="CR22" s="169" t="str">
        <f t="shared" ca="1" si="114"/>
        <v/>
      </c>
      <c r="CS22" s="169" t="str">
        <f t="array" aca="1" ref="CS22" ca="1">IF(ROWS($9:21)&lt;=COUNTIF(Condition22,"o"),INDEX(Liste22,SMALL(IF(Condition22="o",ROW(INDIRECT("1:"&amp;ROWS(Liste22)))),ROWS($9:21))),"")</f>
        <v/>
      </c>
      <c r="CT22" s="175">
        <f t="shared" ca="1" si="46"/>
        <v>0</v>
      </c>
      <c r="CU22" s="175" t="str">
        <f t="shared" ca="1" si="47"/>
        <v/>
      </c>
      <c r="CV22" s="169" t="str">
        <f t="shared" ca="1" si="115"/>
        <v/>
      </c>
      <c r="CW22" s="169" t="str">
        <f t="array" aca="1" ref="CW22" ca="1">IF(ROWS($9:21)&lt;=COUNTIF(Condition23,"o"),INDEX(Liste23,SMALL(IF(Condition23="o",ROW(INDIRECT("1:"&amp;ROWS(Liste23)))),ROWS($9:21))),"")</f>
        <v/>
      </c>
      <c r="CX22" s="175">
        <f t="shared" ca="1" si="48"/>
        <v>0</v>
      </c>
      <c r="CY22" s="175" t="str">
        <f t="shared" ca="1" si="49"/>
        <v/>
      </c>
      <c r="CZ22" s="169" t="str">
        <f t="shared" ca="1" si="116"/>
        <v/>
      </c>
      <c r="DA22" s="169" t="str">
        <f t="array" aca="1" ref="DA22" ca="1">IF(ROWS($9:21)&lt;=COUNTIF(Condition24,"o"),INDEX(Liste24,SMALL(IF(Condition24="o",ROW(INDIRECT("1:"&amp;ROWS(Liste24)))),ROWS($9:21))),"")</f>
        <v/>
      </c>
      <c r="DB22" s="175">
        <f t="shared" ca="1" si="50"/>
        <v>0</v>
      </c>
      <c r="DC22" s="175" t="str">
        <f t="shared" ca="1" si="51"/>
        <v/>
      </c>
      <c r="DD22" s="169" t="str">
        <f t="shared" ca="1" si="117"/>
        <v/>
      </c>
      <c r="DE22" s="169" t="str">
        <f t="array" aca="1" ref="DE22" ca="1">IF(ROWS($9:21)&lt;=COUNTIF(Condition25,"o"),INDEX(Liste25,SMALL(IF(Condition25="o",ROW(INDIRECT("1:"&amp;ROWS(Liste25)))),ROWS($9:21))),"")</f>
        <v/>
      </c>
      <c r="DF22" s="175">
        <f t="shared" ca="1" si="52"/>
        <v>0</v>
      </c>
      <c r="DG22" s="175" t="str">
        <f t="shared" ca="1" si="53"/>
        <v/>
      </c>
      <c r="DH22" s="169" t="str">
        <f t="shared" ca="1" si="118"/>
        <v/>
      </c>
      <c r="DI22" s="169" t="str">
        <f t="array" aca="1" ref="DI22" ca="1">IF(ROWS($9:21)&lt;=COUNTIF(Condition26,"o"),INDEX(Liste26,SMALL(IF(Condition26="o",ROW(INDIRECT("1:"&amp;ROWS(Liste26)))),ROWS($9:21))),"")</f>
        <v/>
      </c>
      <c r="DJ22" s="175">
        <f t="shared" ca="1" si="54"/>
        <v>0</v>
      </c>
      <c r="DK22" s="175" t="str">
        <f t="shared" ca="1" si="55"/>
        <v/>
      </c>
      <c r="DL22" s="169" t="str">
        <f t="shared" ca="1" si="119"/>
        <v/>
      </c>
      <c r="DM22" s="169" t="str">
        <f t="array" aca="1" ref="DM22" ca="1">IF(ROWS($9:21)&lt;=COUNTIF(Condition27,"o"),INDEX(Liste27,SMALL(IF(Condition27="o",ROW(INDIRECT("1:"&amp;ROWS(Liste27)))),ROWS($9:21))),"")</f>
        <v/>
      </c>
      <c r="DN22" s="175">
        <f t="shared" ca="1" si="56"/>
        <v>0</v>
      </c>
      <c r="DO22" s="175" t="str">
        <f t="shared" ca="1" si="57"/>
        <v/>
      </c>
      <c r="DP22" s="169" t="str">
        <f t="shared" ca="1" si="120"/>
        <v/>
      </c>
      <c r="DQ22" s="169" t="str">
        <f t="array" aca="1" ref="DQ22" ca="1">IF(ROWS($9:21)&lt;=COUNTIF(Condition28,"o"),INDEX(Liste28,SMALL(IF(Condition28="o",ROW(INDIRECT("1:"&amp;ROWS(Liste28)))),ROWS($9:21))),"")</f>
        <v/>
      </c>
      <c r="DR22" s="175">
        <f t="shared" ca="1" si="58"/>
        <v>0</v>
      </c>
      <c r="DS22" s="175" t="str">
        <f t="shared" ca="1" si="59"/>
        <v/>
      </c>
      <c r="DT22" s="169" t="str">
        <f t="shared" ca="1" si="121"/>
        <v/>
      </c>
      <c r="DU22" s="169" t="str">
        <f t="array" aca="1" ref="DU22" ca="1">IF(ROWS($9:21)&lt;=COUNTIF(Condition29,"o"),INDEX(Liste29,SMALL(IF(Condition29="o",ROW(INDIRECT("1:"&amp;ROWS(Liste29)))),ROWS($9:21))),"")</f>
        <v/>
      </c>
      <c r="DV22" s="175">
        <f t="shared" ca="1" si="60"/>
        <v>0</v>
      </c>
      <c r="DW22" s="175" t="str">
        <f t="shared" ca="1" si="61"/>
        <v/>
      </c>
      <c r="DX22" s="169" t="str">
        <f t="shared" ca="1" si="122"/>
        <v/>
      </c>
      <c r="DY22" s="169" t="str">
        <f t="array" aca="1" ref="DY22" ca="1">IF(ROWS($9:21)&lt;=COUNTIF(Condition30,"o"),INDEX(Liste30,SMALL(IF(Condition30="o",ROW(INDIRECT("1:"&amp;ROWS(Liste30)))),ROWS($9:21))),"")</f>
        <v/>
      </c>
      <c r="DZ22" s="175">
        <f t="shared" ca="1" si="62"/>
        <v>0</v>
      </c>
      <c r="EA22" s="175" t="str">
        <f t="shared" ca="1" si="63"/>
        <v/>
      </c>
      <c r="EB22" s="169" t="str">
        <f t="shared" ca="1" si="123"/>
        <v/>
      </c>
      <c r="EC22" s="169" t="str">
        <f t="array" aca="1" ref="EC22" ca="1">IF(ROWS($9:21)&lt;=COUNTIF(Condition31,"o"),INDEX(Liste31,SMALL(IF(Condition31="o",ROW(INDIRECT("1:"&amp;ROWS(Liste31)))),ROWS($9:21))),"")</f>
        <v/>
      </c>
      <c r="ED22" s="175">
        <f t="shared" ca="1" si="64"/>
        <v>0</v>
      </c>
      <c r="EE22" s="175" t="str">
        <f t="shared" ca="1" si="65"/>
        <v/>
      </c>
      <c r="EF22" s="169" t="str">
        <f t="shared" ca="1" si="124"/>
        <v/>
      </c>
      <c r="EG22" s="169" t="str">
        <f t="array" aca="1" ref="EG22" ca="1">IF(ROWS($9:21)&lt;=COUNTIF(Condition32,"o"),INDEX(Liste32,SMALL(IF(Condition32="o",ROW(INDIRECT("1:"&amp;ROWS(Liste32)))),ROWS($9:21))),"")</f>
        <v/>
      </c>
      <c r="EH22" s="175">
        <f t="shared" ca="1" si="66"/>
        <v>0</v>
      </c>
      <c r="EI22" s="175" t="str">
        <f t="shared" ca="1" si="67"/>
        <v/>
      </c>
      <c r="EJ22" s="169" t="str">
        <f t="shared" ca="1" si="125"/>
        <v/>
      </c>
      <c r="EK22" s="169" t="str">
        <f t="array" aca="1" ref="EK22" ca="1">IF(ROWS($9:21)&lt;=COUNTIF(Condition33,"o"),INDEX(Liste33,SMALL(IF(Condition33="o",ROW(INDIRECT("1:"&amp;ROWS(Liste33)))),ROWS($9:21))),"")</f>
        <v/>
      </c>
      <c r="EL22" s="175">
        <f t="shared" ca="1" si="68"/>
        <v>0</v>
      </c>
      <c r="EM22" s="175" t="str">
        <f t="shared" ca="1" si="69"/>
        <v/>
      </c>
      <c r="EN22" s="169" t="str">
        <f t="shared" ca="1" si="126"/>
        <v/>
      </c>
      <c r="EO22" s="169" t="str">
        <f t="array" aca="1" ref="EO22" ca="1">IF(ROWS($9:21)&lt;=COUNTIF(Condition34,"o"),INDEX(Liste34,SMALL(IF(Condition34="o",ROW(INDIRECT("1:"&amp;ROWS(Liste34)))),ROWS($9:21))),"")</f>
        <v/>
      </c>
      <c r="EP22" s="175">
        <f t="shared" ca="1" si="70"/>
        <v>0</v>
      </c>
      <c r="EQ22" s="175" t="str">
        <f t="shared" ca="1" si="71"/>
        <v/>
      </c>
      <c r="ER22" s="169" t="str">
        <f t="shared" ca="1" si="127"/>
        <v/>
      </c>
      <c r="ES22" s="169" t="str">
        <f t="array" aca="1" ref="ES22" ca="1">IF(ROWS($9:21)&lt;=COUNTIF(Condition35,"o"),INDEX(Liste35,SMALL(IF(Condition35="o",ROW(INDIRECT("1:"&amp;ROWS(Liste35)))),ROWS($9:21))),"")</f>
        <v/>
      </c>
      <c r="ET22" s="175">
        <f t="shared" ca="1" si="72"/>
        <v>0</v>
      </c>
      <c r="EU22" s="175" t="str">
        <f t="shared" ca="1" si="73"/>
        <v/>
      </c>
      <c r="EV22" s="169" t="str">
        <f t="shared" ca="1" si="128"/>
        <v/>
      </c>
      <c r="EW22" s="169" t="str">
        <f t="array" aca="1" ref="EW22" ca="1">IF(ROWS($9:21)&lt;=COUNTIF(Condition36,"o"),INDEX(Liste36,SMALL(IF(Condition36="o",ROW(INDIRECT("1:"&amp;ROWS(Liste36)))),ROWS($9:21))),"")</f>
        <v/>
      </c>
      <c r="EX22" s="175">
        <f t="shared" ca="1" si="74"/>
        <v>0</v>
      </c>
      <c r="EY22" s="175" t="str">
        <f t="shared" ca="1" si="75"/>
        <v/>
      </c>
      <c r="EZ22" s="169" t="str">
        <f t="shared" ca="1" si="85"/>
        <v/>
      </c>
      <c r="FA22" s="169" t="str">
        <f t="array" aca="1" ref="FA22" ca="1">IF(ROWS($9:21)&lt;=COUNTIF(Condition36,"o"),INDEX(Liste36,SMALL(IF(Condition36="o",ROW(INDIRECT("1:"&amp;ROWS(Liste36)))),ROWS($9:21))),"")</f>
        <v/>
      </c>
      <c r="FB22" s="175">
        <f t="shared" ca="1" si="76"/>
        <v>0</v>
      </c>
      <c r="FC22" s="175" t="str">
        <f t="shared" ca="1" si="77"/>
        <v/>
      </c>
      <c r="FD22" s="169" t="str">
        <f t="shared" ca="1" si="86"/>
        <v/>
      </c>
      <c r="FE22" s="169" t="str">
        <f t="array" aca="1" ref="FE22" ca="1">IF(ROWS($9:21)&lt;=COUNTIF(condition38,"o"),INDEX(liste38,SMALL(IF(condition38="o",ROW(INDIRECT("1:"&amp;ROWS(liste38)))),ROWS($9:21))),"")</f>
        <v/>
      </c>
      <c r="FF22" s="175">
        <f t="shared" ca="1" si="78"/>
        <v>0</v>
      </c>
      <c r="FG22" s="175" t="str">
        <f t="shared" ca="1" si="79"/>
        <v/>
      </c>
      <c r="FH22" s="169" t="str">
        <f t="shared" ca="1" si="87"/>
        <v/>
      </c>
      <c r="FI22" s="169" t="str">
        <f t="array" aca="1" ref="FI22" ca="1">IF(ROWS($9:21)&lt;=COUNTIF(Condition39,"o"),INDEX(Liste39,SMALL(IF(Condition39="o",ROW(INDIRECT("1:"&amp;ROWS(Liste39)))),ROWS($9:21))),"")</f>
        <v/>
      </c>
      <c r="FM22" s="1" t="s">
        <v>1194</v>
      </c>
      <c r="FN22" s="1" t="s">
        <v>1150</v>
      </c>
      <c r="FO22" s="180">
        <f>'Suivi objectifs'!D14</f>
        <v>0</v>
      </c>
      <c r="FP22" s="1366" t="str">
        <f>'Suivi objectifs'!C14</f>
        <v>Chauffage des bâtiments du tertiaire</v>
      </c>
      <c r="FQ22" s="181" t="str">
        <f ca="1">IF(ISNA(VLOOKUP(FR22,Actions!$G$2:$AP$70,31,0)),"",VLOOKUP(FR22,Actions!$G$2:$AP$70,36,0))</f>
        <v/>
      </c>
      <c r="FR22" s="185" t="str">
        <f t="shared" ca="1" si="88"/>
        <v/>
      </c>
      <c r="FS22" s="286">
        <f t="shared" ca="1" si="80"/>
        <v>0</v>
      </c>
      <c r="FT22" s="181" t="str">
        <f ca="1">IF(ISNA(VLOOKUP(FU22,Actions!$G$2:$AP$70,31,0)),"",VLOOKUP(FU22,Actions!$G$2:$AP$70,36,0))</f>
        <v/>
      </c>
      <c r="FU22" s="185" t="str">
        <f t="shared" ca="1" si="89"/>
        <v/>
      </c>
      <c r="FV22" s="286">
        <f t="shared" ca="1" si="81"/>
        <v>0</v>
      </c>
      <c r="FW22" s="181" t="str">
        <f ca="1">IF(ISNA(VLOOKUP(FX22,Actions!$G$2:$AP$70,31,0)),"",VLOOKUP(FX22,Actions!$G$2:$AP$70,36,0))</f>
        <v/>
      </c>
      <c r="FX22" s="185" t="str">
        <f t="shared" ca="1" si="90"/>
        <v/>
      </c>
      <c r="FY22" s="286">
        <f t="shared" ca="1" si="82"/>
        <v>0</v>
      </c>
      <c r="FZ22" s="181" t="str">
        <f ca="1">IF(ISNA(VLOOKUP(GA22,Actions!$G$2:$AP$70,31,0)),"",VLOOKUP(GA22,Actions!$G$2:$AP$70,36,0))</f>
        <v/>
      </c>
      <c r="GA22" s="185" t="str">
        <f t="shared" ca="1" si="91"/>
        <v/>
      </c>
      <c r="GB22" s="286">
        <f t="shared" ca="1" si="83"/>
        <v>0</v>
      </c>
      <c r="GC22" s="181" t="str">
        <f ca="1">IF(ISNA(VLOOKUP(GD22,Actions!$G$2:$AP$70,31,0)),"",VLOOKUP(GD22,Actions!$G$2:$AP$70,36,0))</f>
        <v/>
      </c>
      <c r="GD22" s="185" t="str">
        <f t="shared" ca="1" si="92"/>
        <v/>
      </c>
      <c r="GE22" s="286">
        <f t="shared" ca="1" si="84"/>
        <v>0</v>
      </c>
      <c r="GF22" s="186">
        <v>1</v>
      </c>
      <c r="GG22" s="233"/>
    </row>
    <row r="23" spans="1:189" hidden="1">
      <c r="A23" s="1" t="s">
        <v>817</v>
      </c>
      <c r="B23" s="1">
        <f>Actions!F16</f>
        <v>15</v>
      </c>
      <c r="C23" s="1">
        <f ca="1">Actions!G16</f>
        <v>0</v>
      </c>
      <c r="D23" s="1">
        <f ca="1">Actions!H16</f>
        <v>0</v>
      </c>
      <c r="E23" s="1" t="str">
        <f ca="1">Actions!I16</f>
        <v>-</v>
      </c>
      <c r="F23" s="1" t="str">
        <f t="shared" ca="1" si="0"/>
        <v>-</v>
      </c>
      <c r="G23" s="1" t="e">
        <f t="shared" ca="1" si="1"/>
        <v>#REF!</v>
      </c>
      <c r="I23" s="1">
        <v>15</v>
      </c>
      <c r="J23" s="175">
        <f t="shared" ca="1" si="2"/>
        <v>0</v>
      </c>
      <c r="K23" s="175" t="str">
        <f t="shared" ca="1" si="3"/>
        <v/>
      </c>
      <c r="L23" s="169" t="str">
        <f t="shared" ca="1" si="93"/>
        <v/>
      </c>
      <c r="M23" s="169" t="str">
        <f t="array" aca="1" ref="M23" ca="1">IF(ROWS($9:22)&lt;=COUNTIF(Condition1,"o"),INDEX(Liste1,SMALL(IF(Condition1="o",ROW(INDIRECT("1:"&amp;ROWS(Liste1)))),ROWS($9:22))),"")</f>
        <v/>
      </c>
      <c r="N23" s="175">
        <f t="shared" ca="1" si="4"/>
        <v>0</v>
      </c>
      <c r="O23" s="175" t="str">
        <f t="shared" ca="1" si="5"/>
        <v/>
      </c>
      <c r="P23" s="169" t="str">
        <f t="shared" ca="1" si="94"/>
        <v/>
      </c>
      <c r="Q23" s="169" t="str">
        <f t="array" aca="1" ref="Q23" ca="1">IF(ROWS($9:22)&lt;=COUNTIF(Condition2,"o"),INDEX(Liste2,SMALL(IF(Condition2="o",ROW(INDIRECT("1:"&amp;ROWS(Liste2)))),ROWS($9:22))),"")</f>
        <v/>
      </c>
      <c r="R23" s="175">
        <f t="shared" ca="1" si="6"/>
        <v>0</v>
      </c>
      <c r="S23" s="175" t="str">
        <f t="shared" ca="1" si="7"/>
        <v/>
      </c>
      <c r="T23" s="169" t="str">
        <f t="shared" ca="1" si="95"/>
        <v/>
      </c>
      <c r="U23" s="169" t="str">
        <f t="array" aca="1" ref="U23" ca="1">IF(ROWS($9:22)&lt;=COUNTIF(Condition3,"o"),INDEX(Liste3,SMALL(IF(Condition3="o",ROW(INDIRECT("1:"&amp;ROWS(Liste3)))),ROWS($9:22))),"")</f>
        <v/>
      </c>
      <c r="V23" s="175">
        <f t="shared" ca="1" si="8"/>
        <v>0</v>
      </c>
      <c r="W23" s="175" t="str">
        <f t="shared" ca="1" si="9"/>
        <v/>
      </c>
      <c r="X23" s="169" t="str">
        <f t="shared" ca="1" si="96"/>
        <v/>
      </c>
      <c r="Y23" s="169" t="str">
        <f t="array" aca="1" ref="Y23" ca="1">IF(ROWS($9:22)&lt;=COUNTIF(Condition4,"o"),INDEX(Liste4,SMALL(IF(Condition4="o",ROW(INDIRECT("1:"&amp;ROWS(Liste4)))),ROWS($9:22))),"")</f>
        <v/>
      </c>
      <c r="Z23" s="175">
        <f t="shared" ca="1" si="10"/>
        <v>0</v>
      </c>
      <c r="AA23" s="175" t="str">
        <f t="shared" ca="1" si="11"/>
        <v/>
      </c>
      <c r="AB23" s="169" t="str">
        <f t="shared" ca="1" si="97"/>
        <v/>
      </c>
      <c r="AC23" s="169" t="str">
        <f t="array" aca="1" ref="AC23" ca="1">IF(ROWS($9:22)&lt;=COUNTIF(Condition5,"o"),INDEX(Liste5,SMALL(IF(Condition5="o",ROW(INDIRECT("1:"&amp;ROWS(Liste5)))),ROWS($9:22))),"")</f>
        <v/>
      </c>
      <c r="AD23" s="175">
        <f t="shared" ca="1" si="12"/>
        <v>0</v>
      </c>
      <c r="AE23" s="175" t="str">
        <f t="shared" ca="1" si="13"/>
        <v/>
      </c>
      <c r="AF23" s="169" t="str">
        <f t="shared" ca="1" si="98"/>
        <v/>
      </c>
      <c r="AG23" s="169" t="str">
        <f t="array" aca="1" ref="AG23" ca="1">IF(ROWS($9:22)&lt;=COUNTIF(Condition6,"o"),INDEX(Liste6,SMALL(IF(Condition6="o",ROW(INDIRECT("1:"&amp;ROWS(Liste6)))),ROWS($9:22))),"")</f>
        <v/>
      </c>
      <c r="AH23" s="175">
        <f t="shared" ca="1" si="14"/>
        <v>0</v>
      </c>
      <c r="AI23" s="175" t="str">
        <f t="shared" ca="1" si="15"/>
        <v/>
      </c>
      <c r="AJ23" s="169" t="str">
        <f t="shared" ca="1" si="99"/>
        <v/>
      </c>
      <c r="AK23" s="169" t="str">
        <f t="array" aca="1" ref="AK23" ca="1">IF(ROWS($9:22)&lt;=COUNTIF(Condition7,"o"),INDEX(Liste7,SMALL(IF(Condition7="o",ROW(INDIRECT("1:"&amp;ROWS(Liste7)))),ROWS($9:22))),"")</f>
        <v/>
      </c>
      <c r="AL23" s="175">
        <f t="shared" ca="1" si="16"/>
        <v>0</v>
      </c>
      <c r="AM23" s="175" t="str">
        <f t="shared" ca="1" si="17"/>
        <v/>
      </c>
      <c r="AN23" s="169" t="str">
        <f t="shared" ca="1" si="100"/>
        <v/>
      </c>
      <c r="AO23" s="169" t="str">
        <f t="array" aca="1" ref="AO23" ca="1">IF(ROWS($9:22)&lt;=COUNTIF(Condition8,"o"),INDEX(Liste8,SMALL(IF(Condition8="o",ROW(INDIRECT("1:"&amp;ROWS(Liste8)))),ROWS($9:22))),"")</f>
        <v/>
      </c>
      <c r="AP23" s="175">
        <f t="shared" ca="1" si="18"/>
        <v>0</v>
      </c>
      <c r="AQ23" s="175" t="str">
        <f t="shared" ca="1" si="19"/>
        <v/>
      </c>
      <c r="AR23" s="169" t="str">
        <f t="shared" ca="1" si="101"/>
        <v/>
      </c>
      <c r="AS23" s="169" t="str">
        <f t="array" aca="1" ref="AS23" ca="1">IF(ROWS($9:22)&lt;=COUNTIF(Condition9,"o"),INDEX(Liste9,SMALL(IF(Condition9="o",ROW(INDIRECT("1:"&amp;ROWS(Liste9)))),ROWS($9:22))),"")</f>
        <v/>
      </c>
      <c r="AT23" s="175">
        <f t="shared" ca="1" si="20"/>
        <v>0</v>
      </c>
      <c r="AU23" s="175" t="str">
        <f t="shared" ca="1" si="21"/>
        <v/>
      </c>
      <c r="AV23" s="169" t="str">
        <f t="shared" ca="1" si="102"/>
        <v/>
      </c>
      <c r="AW23" s="169" t="str">
        <f t="array" aca="1" ref="AW23" ca="1">IF(ROWS($9:22)&lt;=COUNTIF(Condition10,"o"),INDEX(Liste10,SMALL(IF(Condition10="o",ROW(INDIRECT("1:"&amp;ROWS(Liste10)))),ROWS($9:22))),"")</f>
        <v/>
      </c>
      <c r="AX23" s="175">
        <f t="shared" ca="1" si="22"/>
        <v>0</v>
      </c>
      <c r="AY23" s="175" t="str">
        <f t="shared" ca="1" si="23"/>
        <v/>
      </c>
      <c r="AZ23" s="169" t="str">
        <f t="shared" ca="1" si="103"/>
        <v/>
      </c>
      <c r="BA23" s="169" t="str">
        <f t="array" aca="1" ref="BA23" ca="1">IF(ROWS($9:22)&lt;=COUNTIF(Condition11,"o"),INDEX(Liste11,SMALL(IF(Condition11="o",ROW(INDIRECT("1:"&amp;ROWS(Liste11)))),ROWS($9:22))),"")</f>
        <v/>
      </c>
      <c r="BB23" s="175">
        <f t="shared" ca="1" si="24"/>
        <v>0</v>
      </c>
      <c r="BC23" s="175" t="str">
        <f t="shared" ca="1" si="25"/>
        <v/>
      </c>
      <c r="BD23" s="169" t="str">
        <f t="shared" ca="1" si="104"/>
        <v/>
      </c>
      <c r="BE23" s="169" t="str">
        <f t="array" aca="1" ref="BE23" ca="1">IF(ROWS($9:22)&lt;=COUNTIF(Condition12,"o"),INDEX(Liste12,SMALL(IF(Condition12="o",ROW(INDIRECT("1:"&amp;ROWS(Liste12)))),ROWS($9:22))),"")</f>
        <v/>
      </c>
      <c r="BF23" s="175">
        <f t="shared" ca="1" si="26"/>
        <v>0</v>
      </c>
      <c r="BG23" s="175" t="str">
        <f t="shared" ca="1" si="27"/>
        <v/>
      </c>
      <c r="BH23" s="169" t="str">
        <f t="shared" ca="1" si="105"/>
        <v/>
      </c>
      <c r="BI23" s="169" t="str">
        <f t="array" aca="1" ref="BI23" ca="1">IF(ROWS($9:22)&lt;=COUNTIF(Condition13,"o"),INDEX(Liste13,SMALL(IF(Condition13="o",ROW(INDIRECT("1:"&amp;ROWS(Liste13)))),ROWS($9:22))),"")</f>
        <v/>
      </c>
      <c r="BJ23" s="175">
        <f t="shared" ca="1" si="28"/>
        <v>0</v>
      </c>
      <c r="BK23" s="175" t="str">
        <f t="shared" ca="1" si="29"/>
        <v/>
      </c>
      <c r="BL23" s="169" t="str">
        <f t="shared" ca="1" si="106"/>
        <v/>
      </c>
      <c r="BM23" s="169" t="str">
        <f t="array" aca="1" ref="BM23" ca="1">IF(ROWS($9:22)&lt;=COUNTIF(Condition14,"o"),INDEX(Liste14,SMALL(IF(Condition14="o",ROW(INDIRECT("1:"&amp;ROWS(Liste14)))),ROWS($9:22))),"")</f>
        <v/>
      </c>
      <c r="BN23" s="175">
        <f t="shared" ca="1" si="30"/>
        <v>0</v>
      </c>
      <c r="BO23" s="175" t="str">
        <f t="shared" ca="1" si="31"/>
        <v/>
      </c>
      <c r="BP23" s="169" t="str">
        <f t="shared" ca="1" si="107"/>
        <v/>
      </c>
      <c r="BQ23" s="169" t="str">
        <f t="array" aca="1" ref="BQ23" ca="1">IF(ROWS($9:22)&lt;=COUNTIF(Condition15,"o"),INDEX(Liste15,SMALL(IF(Condition15="o",ROW(INDIRECT("1:"&amp;ROWS(Liste15)))),ROWS($9:22))),"")</f>
        <v/>
      </c>
      <c r="BR23" s="175">
        <f t="shared" ca="1" si="32"/>
        <v>0</v>
      </c>
      <c r="BS23" s="175" t="str">
        <f t="shared" ca="1" si="33"/>
        <v/>
      </c>
      <c r="BT23" s="169" t="str">
        <f t="shared" ca="1" si="108"/>
        <v/>
      </c>
      <c r="BU23" s="169" t="str">
        <f t="array" aca="1" ref="BU23" ca="1">IF(ROWS($9:22)&lt;=COUNTIF(Condition16,"o"),INDEX(Liste16,SMALL(IF(Condition16="o",ROW(INDIRECT("1:"&amp;ROWS(Liste16)))),ROWS($9:22))),"")</f>
        <v/>
      </c>
      <c r="BV23" s="175">
        <f t="shared" ca="1" si="34"/>
        <v>0</v>
      </c>
      <c r="BW23" s="175" t="str">
        <f t="shared" ca="1" si="35"/>
        <v/>
      </c>
      <c r="BX23" s="169" t="str">
        <f t="shared" ca="1" si="109"/>
        <v/>
      </c>
      <c r="BY23" s="169" t="str">
        <f t="array" aca="1" ref="BY23" ca="1">IF(ROWS($9:22)&lt;=COUNTIF(Condition17,"o"),INDEX(Liste17,SMALL(IF(Condition17="o",ROW(INDIRECT("1:"&amp;ROWS(Liste17)))),ROWS($9:22))),"")</f>
        <v/>
      </c>
      <c r="BZ23" s="175">
        <f t="shared" ca="1" si="36"/>
        <v>0</v>
      </c>
      <c r="CA23" s="175" t="str">
        <f t="shared" ca="1" si="37"/>
        <v/>
      </c>
      <c r="CB23" s="169" t="str">
        <f t="shared" ca="1" si="110"/>
        <v/>
      </c>
      <c r="CC23" s="169" t="str">
        <f t="array" aca="1" ref="CC23" ca="1">IF(ROWS($9:22)&lt;=COUNTIF(Condition18,"o"),INDEX(Liste18,SMALL(IF(Condition18="o",ROW(INDIRECT("1:"&amp;ROWS(Liste18)))),ROWS($9:22))),"")</f>
        <v/>
      </c>
      <c r="CD23" s="175">
        <f t="shared" ca="1" si="38"/>
        <v>0</v>
      </c>
      <c r="CE23" s="175" t="str">
        <f t="shared" ca="1" si="39"/>
        <v/>
      </c>
      <c r="CF23" s="169" t="str">
        <f t="shared" ca="1" si="111"/>
        <v/>
      </c>
      <c r="CG23" s="169" t="str">
        <f t="array" aca="1" ref="CG23" ca="1">IF(ROWS($9:22)&lt;=COUNTIF(Condition19,"o"),INDEX(Liste19,SMALL(IF(Condition19="o",ROW(INDIRECT("1:"&amp;ROWS(Liste19)))),ROWS($9:22))),"")</f>
        <v/>
      </c>
      <c r="CH23" s="175">
        <f t="shared" ca="1" si="40"/>
        <v>0</v>
      </c>
      <c r="CI23" s="175" t="str">
        <f t="shared" ca="1" si="41"/>
        <v/>
      </c>
      <c r="CJ23" s="169" t="str">
        <f t="shared" ca="1" si="112"/>
        <v/>
      </c>
      <c r="CK23" s="169" t="str">
        <f t="array" aca="1" ref="CK23" ca="1">IF(ROWS($9:22)&lt;=COUNTIF(Condition20,"o"),INDEX(Liste20,SMALL(IF(Condition20="o",ROW(INDIRECT("1:"&amp;ROWS(Liste20)))),ROWS($9:22))),"")</f>
        <v/>
      </c>
      <c r="CL23" s="175">
        <f t="shared" ca="1" si="42"/>
        <v>0</v>
      </c>
      <c r="CM23" s="175" t="str">
        <f t="shared" ca="1" si="43"/>
        <v/>
      </c>
      <c r="CN23" s="169" t="str">
        <f t="shared" ca="1" si="113"/>
        <v/>
      </c>
      <c r="CO23" s="169" t="str">
        <f t="array" aca="1" ref="CO23" ca="1">IF(ROWS($9:22)&lt;=COUNTIF(Condition21,"o"),INDEX(Liste21,SMALL(IF(Condition21="o",ROW(INDIRECT("1:"&amp;ROWS(Liste21)))),ROWS($9:22))),"")</f>
        <v/>
      </c>
      <c r="CP23" s="175">
        <f t="shared" ca="1" si="44"/>
        <v>0</v>
      </c>
      <c r="CQ23" s="175" t="str">
        <f t="shared" ca="1" si="45"/>
        <v/>
      </c>
      <c r="CR23" s="169" t="str">
        <f t="shared" ca="1" si="114"/>
        <v/>
      </c>
      <c r="CS23" s="169" t="str">
        <f t="array" aca="1" ref="CS23" ca="1">IF(ROWS($9:22)&lt;=COUNTIF(Condition22,"o"),INDEX(Liste22,SMALL(IF(Condition22="o",ROW(INDIRECT("1:"&amp;ROWS(Liste22)))),ROWS($9:22))),"")</f>
        <v/>
      </c>
      <c r="CT23" s="175">
        <f t="shared" ca="1" si="46"/>
        <v>0</v>
      </c>
      <c r="CU23" s="175" t="str">
        <f t="shared" ca="1" si="47"/>
        <v/>
      </c>
      <c r="CV23" s="169" t="str">
        <f t="shared" ca="1" si="115"/>
        <v/>
      </c>
      <c r="CW23" s="169" t="str">
        <f t="array" aca="1" ref="CW23" ca="1">IF(ROWS($9:22)&lt;=COUNTIF(Condition23,"o"),INDEX(Liste23,SMALL(IF(Condition23="o",ROW(INDIRECT("1:"&amp;ROWS(Liste23)))),ROWS($9:22))),"")</f>
        <v/>
      </c>
      <c r="CX23" s="175">
        <f t="shared" ca="1" si="48"/>
        <v>0</v>
      </c>
      <c r="CY23" s="175" t="str">
        <f t="shared" ca="1" si="49"/>
        <v/>
      </c>
      <c r="CZ23" s="169" t="str">
        <f t="shared" ca="1" si="116"/>
        <v/>
      </c>
      <c r="DA23" s="169" t="str">
        <f t="array" aca="1" ref="DA23" ca="1">IF(ROWS($9:22)&lt;=COUNTIF(Condition24,"o"),INDEX(Liste24,SMALL(IF(Condition24="o",ROW(INDIRECT("1:"&amp;ROWS(Liste24)))),ROWS($9:22))),"")</f>
        <v/>
      </c>
      <c r="DB23" s="175">
        <f t="shared" ca="1" si="50"/>
        <v>0</v>
      </c>
      <c r="DC23" s="175" t="str">
        <f t="shared" ca="1" si="51"/>
        <v/>
      </c>
      <c r="DD23" s="169" t="str">
        <f t="shared" ca="1" si="117"/>
        <v/>
      </c>
      <c r="DE23" s="169" t="str">
        <f t="array" aca="1" ref="DE23" ca="1">IF(ROWS($9:22)&lt;=COUNTIF(Condition25,"o"),INDEX(Liste25,SMALL(IF(Condition25="o",ROW(INDIRECT("1:"&amp;ROWS(Liste25)))),ROWS($9:22))),"")</f>
        <v/>
      </c>
      <c r="DF23" s="175">
        <f t="shared" ca="1" si="52"/>
        <v>0</v>
      </c>
      <c r="DG23" s="175" t="str">
        <f t="shared" ca="1" si="53"/>
        <v/>
      </c>
      <c r="DH23" s="169" t="str">
        <f t="shared" ca="1" si="118"/>
        <v/>
      </c>
      <c r="DI23" s="169" t="str">
        <f t="array" aca="1" ref="DI23" ca="1">IF(ROWS($9:22)&lt;=COUNTIF(Condition26,"o"),INDEX(Liste26,SMALL(IF(Condition26="o",ROW(INDIRECT("1:"&amp;ROWS(Liste26)))),ROWS($9:22))),"")</f>
        <v/>
      </c>
      <c r="DJ23" s="175">
        <f t="shared" ca="1" si="54"/>
        <v>0</v>
      </c>
      <c r="DK23" s="175" t="str">
        <f t="shared" ca="1" si="55"/>
        <v/>
      </c>
      <c r="DL23" s="169" t="str">
        <f t="shared" ca="1" si="119"/>
        <v/>
      </c>
      <c r="DM23" s="169" t="str">
        <f t="array" aca="1" ref="DM23" ca="1">IF(ROWS($9:22)&lt;=COUNTIF(Condition27,"o"),INDEX(Liste27,SMALL(IF(Condition27="o",ROW(INDIRECT("1:"&amp;ROWS(Liste27)))),ROWS($9:22))),"")</f>
        <v/>
      </c>
      <c r="DN23" s="175">
        <f t="shared" ca="1" si="56"/>
        <v>0</v>
      </c>
      <c r="DO23" s="175" t="str">
        <f t="shared" ca="1" si="57"/>
        <v/>
      </c>
      <c r="DP23" s="169" t="str">
        <f t="shared" ca="1" si="120"/>
        <v/>
      </c>
      <c r="DQ23" s="169" t="str">
        <f t="array" aca="1" ref="DQ23" ca="1">IF(ROWS($9:22)&lt;=COUNTIF(Condition28,"o"),INDEX(Liste28,SMALL(IF(Condition28="o",ROW(INDIRECT("1:"&amp;ROWS(Liste28)))),ROWS($9:22))),"")</f>
        <v/>
      </c>
      <c r="DR23" s="175">
        <f t="shared" ca="1" si="58"/>
        <v>0</v>
      </c>
      <c r="DS23" s="175" t="str">
        <f t="shared" ca="1" si="59"/>
        <v/>
      </c>
      <c r="DT23" s="169" t="str">
        <f t="shared" ca="1" si="121"/>
        <v/>
      </c>
      <c r="DU23" s="169" t="str">
        <f t="array" aca="1" ref="DU23" ca="1">IF(ROWS($9:22)&lt;=COUNTIF(Condition29,"o"),INDEX(Liste29,SMALL(IF(Condition29="o",ROW(INDIRECT("1:"&amp;ROWS(Liste29)))),ROWS($9:22))),"")</f>
        <v/>
      </c>
      <c r="DV23" s="175">
        <f t="shared" ca="1" si="60"/>
        <v>0</v>
      </c>
      <c r="DW23" s="175" t="str">
        <f t="shared" ca="1" si="61"/>
        <v/>
      </c>
      <c r="DX23" s="169" t="str">
        <f t="shared" ca="1" si="122"/>
        <v/>
      </c>
      <c r="DY23" s="169" t="str">
        <f t="array" aca="1" ref="DY23" ca="1">IF(ROWS($9:22)&lt;=COUNTIF(Condition30,"o"),INDEX(Liste30,SMALL(IF(Condition30="o",ROW(INDIRECT("1:"&amp;ROWS(Liste30)))),ROWS($9:22))),"")</f>
        <v/>
      </c>
      <c r="DZ23" s="175">
        <f t="shared" ca="1" si="62"/>
        <v>0</v>
      </c>
      <c r="EA23" s="175" t="str">
        <f t="shared" ca="1" si="63"/>
        <v/>
      </c>
      <c r="EB23" s="169" t="str">
        <f t="shared" ca="1" si="123"/>
        <v/>
      </c>
      <c r="EC23" s="169" t="str">
        <f t="array" aca="1" ref="EC23" ca="1">IF(ROWS($9:22)&lt;=COUNTIF(Condition31,"o"),INDEX(Liste31,SMALL(IF(Condition31="o",ROW(INDIRECT("1:"&amp;ROWS(Liste31)))),ROWS($9:22))),"")</f>
        <v/>
      </c>
      <c r="ED23" s="175">
        <f t="shared" ca="1" si="64"/>
        <v>0</v>
      </c>
      <c r="EE23" s="175" t="str">
        <f t="shared" ca="1" si="65"/>
        <v/>
      </c>
      <c r="EF23" s="169" t="str">
        <f t="shared" ca="1" si="124"/>
        <v/>
      </c>
      <c r="EG23" s="169" t="str">
        <f t="array" aca="1" ref="EG23" ca="1">IF(ROWS($9:22)&lt;=COUNTIF(Condition32,"o"),INDEX(Liste32,SMALL(IF(Condition32="o",ROW(INDIRECT("1:"&amp;ROWS(Liste32)))),ROWS($9:22))),"")</f>
        <v/>
      </c>
      <c r="EH23" s="175">
        <f t="shared" ca="1" si="66"/>
        <v>0</v>
      </c>
      <c r="EI23" s="175" t="str">
        <f t="shared" ca="1" si="67"/>
        <v/>
      </c>
      <c r="EJ23" s="169" t="str">
        <f t="shared" ca="1" si="125"/>
        <v/>
      </c>
      <c r="EK23" s="169" t="str">
        <f t="array" aca="1" ref="EK23" ca="1">IF(ROWS($9:22)&lt;=COUNTIF(Condition33,"o"),INDEX(Liste33,SMALL(IF(Condition33="o",ROW(INDIRECT("1:"&amp;ROWS(Liste33)))),ROWS($9:22))),"")</f>
        <v/>
      </c>
      <c r="EL23" s="175">
        <f t="shared" ca="1" si="68"/>
        <v>0</v>
      </c>
      <c r="EM23" s="175" t="str">
        <f t="shared" ca="1" si="69"/>
        <v/>
      </c>
      <c r="EN23" s="169" t="str">
        <f t="shared" ca="1" si="126"/>
        <v/>
      </c>
      <c r="EO23" s="169" t="str">
        <f t="array" aca="1" ref="EO23" ca="1">IF(ROWS($9:22)&lt;=COUNTIF(Condition34,"o"),INDEX(Liste34,SMALL(IF(Condition34="o",ROW(INDIRECT("1:"&amp;ROWS(Liste34)))),ROWS($9:22))),"")</f>
        <v/>
      </c>
      <c r="EP23" s="175">
        <f t="shared" ca="1" si="70"/>
        <v>0</v>
      </c>
      <c r="EQ23" s="175" t="str">
        <f t="shared" ca="1" si="71"/>
        <v/>
      </c>
      <c r="ER23" s="169" t="str">
        <f t="shared" ca="1" si="127"/>
        <v/>
      </c>
      <c r="ES23" s="169" t="str">
        <f t="array" aca="1" ref="ES23" ca="1">IF(ROWS($9:22)&lt;=COUNTIF(Condition35,"o"),INDEX(Liste35,SMALL(IF(Condition35="o",ROW(INDIRECT("1:"&amp;ROWS(Liste35)))),ROWS($9:22))),"")</f>
        <v/>
      </c>
      <c r="ET23" s="175">
        <f t="shared" ca="1" si="72"/>
        <v>0</v>
      </c>
      <c r="EU23" s="175" t="str">
        <f t="shared" ca="1" si="73"/>
        <v/>
      </c>
      <c r="EV23" s="169" t="str">
        <f t="shared" ca="1" si="128"/>
        <v/>
      </c>
      <c r="EW23" s="169" t="str">
        <f t="array" aca="1" ref="EW23" ca="1">IF(ROWS($9:22)&lt;=COUNTIF(Condition36,"o"),INDEX(Liste36,SMALL(IF(Condition36="o",ROW(INDIRECT("1:"&amp;ROWS(Liste36)))),ROWS($9:22))),"")</f>
        <v/>
      </c>
      <c r="EX23" s="175">
        <f t="shared" ca="1" si="74"/>
        <v>0</v>
      </c>
      <c r="EY23" s="175" t="str">
        <f t="shared" ca="1" si="75"/>
        <v/>
      </c>
      <c r="EZ23" s="169" t="str">
        <f t="shared" ca="1" si="85"/>
        <v/>
      </c>
      <c r="FA23" s="169" t="str">
        <f t="array" aca="1" ref="FA23" ca="1">IF(ROWS($9:22)&lt;=COUNTIF(Condition36,"o"),INDEX(Liste36,SMALL(IF(Condition36="o",ROW(INDIRECT("1:"&amp;ROWS(Liste36)))),ROWS($9:22))),"")</f>
        <v/>
      </c>
      <c r="FB23" s="175">
        <f t="shared" ca="1" si="76"/>
        <v>0</v>
      </c>
      <c r="FC23" s="175" t="str">
        <f t="shared" ca="1" si="77"/>
        <v/>
      </c>
      <c r="FD23" s="169" t="str">
        <f t="shared" ca="1" si="86"/>
        <v/>
      </c>
      <c r="FE23" s="169" t="str">
        <f t="array" aca="1" ref="FE23" ca="1">IF(ROWS($9:22)&lt;=COUNTIF(condition38,"o"),INDEX(liste38,SMALL(IF(condition38="o",ROW(INDIRECT("1:"&amp;ROWS(liste38)))),ROWS($9:22))),"")</f>
        <v/>
      </c>
      <c r="FF23" s="175">
        <f t="shared" ca="1" si="78"/>
        <v>0</v>
      </c>
      <c r="FG23" s="175" t="str">
        <f t="shared" ca="1" si="79"/>
        <v/>
      </c>
      <c r="FH23" s="169" t="str">
        <f t="shared" ca="1" si="87"/>
        <v/>
      </c>
      <c r="FI23" s="169" t="str">
        <f t="array" aca="1" ref="FI23" ca="1">IF(ROWS($9:22)&lt;=COUNTIF(Condition39,"o"),INDEX(Liste39,SMALL(IF(Condition39="o",ROW(INDIRECT("1:"&amp;ROWS(Liste39)))),ROWS($9:22))),"")</f>
        <v/>
      </c>
      <c r="FM23" s="1" t="s">
        <v>1195</v>
      </c>
      <c r="FN23" s="1" t="s">
        <v>1151</v>
      </c>
      <c r="FO23" s="180">
        <f>'Suivi objectifs'!D15</f>
        <v>0</v>
      </c>
      <c r="FP23" s="1366" t="str">
        <f>'Suivi objectifs'!C15</f>
        <v>Chauffage des logements</v>
      </c>
      <c r="FQ23" s="181" t="str">
        <f ca="1">IF(ISNA(VLOOKUP(FR23,Actions!$G$2:$AP$70,31,0)),"",VLOOKUP(FR23,Actions!$G$2:$AP$70,36,0))</f>
        <v/>
      </c>
      <c r="FR23" s="185" t="str">
        <f t="shared" ca="1" si="88"/>
        <v/>
      </c>
      <c r="FS23" s="286">
        <f t="shared" ca="1" si="80"/>
        <v>0</v>
      </c>
      <c r="FT23" s="181" t="str">
        <f ca="1">IF(ISNA(VLOOKUP(FU23,Actions!$G$2:$AP$70,31,0)),"",VLOOKUP(FU23,Actions!$G$2:$AP$70,36,0))</f>
        <v/>
      </c>
      <c r="FU23" s="185" t="str">
        <f t="shared" ca="1" si="89"/>
        <v/>
      </c>
      <c r="FV23" s="286">
        <f t="shared" ca="1" si="81"/>
        <v>0</v>
      </c>
      <c r="FW23" s="181" t="str">
        <f ca="1">IF(ISNA(VLOOKUP(FX23,Actions!$G$2:$AP$70,31,0)),"",VLOOKUP(FX23,Actions!$G$2:$AP$70,36,0))</f>
        <v/>
      </c>
      <c r="FX23" s="185" t="str">
        <f t="shared" ca="1" si="90"/>
        <v/>
      </c>
      <c r="FY23" s="286">
        <f t="shared" ca="1" si="82"/>
        <v>0</v>
      </c>
      <c r="FZ23" s="181" t="str">
        <f ca="1">IF(ISNA(VLOOKUP(GA23,Actions!$G$2:$AP$70,31,0)),"",VLOOKUP(GA23,Actions!$G$2:$AP$70,36,0))</f>
        <v/>
      </c>
      <c r="GA23" s="185" t="str">
        <f t="shared" ca="1" si="91"/>
        <v/>
      </c>
      <c r="GB23" s="286">
        <f t="shared" ca="1" si="83"/>
        <v>0</v>
      </c>
      <c r="GC23" s="181" t="str">
        <f ca="1">IF(ISNA(VLOOKUP(GD23,Actions!$G$2:$AP$70,31,0)),"",VLOOKUP(GD23,Actions!$G$2:$AP$70,36,0))</f>
        <v/>
      </c>
      <c r="GD23" s="185" t="str">
        <f t="shared" ca="1" si="92"/>
        <v/>
      </c>
      <c r="GE23" s="286">
        <f t="shared" ca="1" si="84"/>
        <v>0</v>
      </c>
      <c r="GF23" s="186">
        <f t="shared" ca="1" si="129"/>
        <v>0</v>
      </c>
      <c r="GG23" s="233"/>
    </row>
    <row r="24" spans="1:189" hidden="1">
      <c r="A24" s="1" t="s">
        <v>827</v>
      </c>
      <c r="B24" s="1">
        <f>Actions!F17</f>
        <v>16</v>
      </c>
      <c r="C24" s="1">
        <f ca="1">Actions!G17</f>
        <v>0</v>
      </c>
      <c r="D24" s="1">
        <f ca="1">Actions!H17</f>
        <v>0</v>
      </c>
      <c r="E24" s="1" t="str">
        <f ca="1">Actions!I17</f>
        <v>-</v>
      </c>
      <c r="F24" s="1" t="str">
        <f t="shared" ca="1" si="0"/>
        <v>-</v>
      </c>
      <c r="G24" s="1" t="e">
        <f t="shared" ca="1" si="1"/>
        <v>#REF!</v>
      </c>
      <c r="I24" s="1">
        <v>16</v>
      </c>
      <c r="J24" s="175">
        <f t="shared" ca="1" si="2"/>
        <v>0</v>
      </c>
      <c r="K24" s="175" t="str">
        <f t="shared" ca="1" si="3"/>
        <v/>
      </c>
      <c r="L24" s="169" t="str">
        <f t="shared" ca="1" si="93"/>
        <v/>
      </c>
      <c r="M24" s="169" t="str">
        <f t="array" aca="1" ref="M24" ca="1">IF(ROWS($9:23)&lt;=COUNTIF(Condition1,"o"),INDEX(Liste1,SMALL(IF(Condition1="o",ROW(INDIRECT("1:"&amp;ROWS(Liste1)))),ROWS($9:23))),"")</f>
        <v/>
      </c>
      <c r="N24" s="175">
        <f t="shared" ca="1" si="4"/>
        <v>0</v>
      </c>
      <c r="O24" s="175" t="str">
        <f t="shared" ca="1" si="5"/>
        <v/>
      </c>
      <c r="P24" s="169" t="str">
        <f t="shared" ca="1" si="94"/>
        <v/>
      </c>
      <c r="Q24" s="169" t="str">
        <f t="array" aca="1" ref="Q24" ca="1">IF(ROWS($9:23)&lt;=COUNTIF(Condition2,"o"),INDEX(Liste2,SMALL(IF(Condition2="o",ROW(INDIRECT("1:"&amp;ROWS(Liste2)))),ROWS($9:23))),"")</f>
        <v/>
      </c>
      <c r="R24" s="175">
        <f t="shared" ca="1" si="6"/>
        <v>0</v>
      </c>
      <c r="S24" s="175" t="str">
        <f t="shared" ca="1" si="7"/>
        <v/>
      </c>
      <c r="T24" s="169" t="str">
        <f t="shared" ca="1" si="95"/>
        <v/>
      </c>
      <c r="U24" s="169" t="str">
        <f t="array" aca="1" ref="U24" ca="1">IF(ROWS($9:23)&lt;=COUNTIF(Condition3,"o"),INDEX(Liste3,SMALL(IF(Condition3="o",ROW(INDIRECT("1:"&amp;ROWS(Liste3)))),ROWS($9:23))),"")</f>
        <v/>
      </c>
      <c r="V24" s="175">
        <f t="shared" ca="1" si="8"/>
        <v>0</v>
      </c>
      <c r="W24" s="175" t="str">
        <f t="shared" ca="1" si="9"/>
        <v/>
      </c>
      <c r="X24" s="169" t="str">
        <f t="shared" ca="1" si="96"/>
        <v/>
      </c>
      <c r="Y24" s="169" t="str">
        <f t="array" aca="1" ref="Y24" ca="1">IF(ROWS($9:23)&lt;=COUNTIF(Condition4,"o"),INDEX(Liste4,SMALL(IF(Condition4="o",ROW(INDIRECT("1:"&amp;ROWS(Liste4)))),ROWS($9:23))),"")</f>
        <v/>
      </c>
      <c r="Z24" s="175">
        <f t="shared" ca="1" si="10"/>
        <v>0</v>
      </c>
      <c r="AA24" s="175" t="str">
        <f t="shared" ca="1" si="11"/>
        <v/>
      </c>
      <c r="AB24" s="169" t="str">
        <f t="shared" ca="1" si="97"/>
        <v/>
      </c>
      <c r="AC24" s="169" t="str">
        <f t="array" aca="1" ref="AC24" ca="1">IF(ROWS($9:23)&lt;=COUNTIF(Condition5,"o"),INDEX(Liste5,SMALL(IF(Condition5="o",ROW(INDIRECT("1:"&amp;ROWS(Liste5)))),ROWS($9:23))),"")</f>
        <v/>
      </c>
      <c r="AD24" s="175">
        <f t="shared" ca="1" si="12"/>
        <v>0</v>
      </c>
      <c r="AE24" s="175" t="str">
        <f t="shared" ca="1" si="13"/>
        <v/>
      </c>
      <c r="AF24" s="169" t="str">
        <f t="shared" ca="1" si="98"/>
        <v/>
      </c>
      <c r="AG24" s="169" t="str">
        <f t="array" aca="1" ref="AG24" ca="1">IF(ROWS($9:23)&lt;=COUNTIF(Condition6,"o"),INDEX(Liste6,SMALL(IF(Condition6="o",ROW(INDIRECT("1:"&amp;ROWS(Liste6)))),ROWS($9:23))),"")</f>
        <v/>
      </c>
      <c r="AH24" s="175">
        <f t="shared" ca="1" si="14"/>
        <v>0</v>
      </c>
      <c r="AI24" s="175" t="str">
        <f t="shared" ca="1" si="15"/>
        <v/>
      </c>
      <c r="AJ24" s="169" t="str">
        <f t="shared" ca="1" si="99"/>
        <v/>
      </c>
      <c r="AK24" s="169" t="str">
        <f t="array" aca="1" ref="AK24" ca="1">IF(ROWS($9:23)&lt;=COUNTIF(Condition7,"o"),INDEX(Liste7,SMALL(IF(Condition7="o",ROW(INDIRECT("1:"&amp;ROWS(Liste7)))),ROWS($9:23))),"")</f>
        <v/>
      </c>
      <c r="AL24" s="175">
        <f t="shared" ca="1" si="16"/>
        <v>0</v>
      </c>
      <c r="AM24" s="175" t="str">
        <f t="shared" ca="1" si="17"/>
        <v/>
      </c>
      <c r="AN24" s="169" t="str">
        <f t="shared" ca="1" si="100"/>
        <v/>
      </c>
      <c r="AO24" s="169" t="str">
        <f t="array" aca="1" ref="AO24" ca="1">IF(ROWS($9:23)&lt;=COUNTIF(Condition8,"o"),INDEX(Liste8,SMALL(IF(Condition8="o",ROW(INDIRECT("1:"&amp;ROWS(Liste8)))),ROWS($9:23))),"")</f>
        <v/>
      </c>
      <c r="AP24" s="175">
        <f t="shared" ca="1" si="18"/>
        <v>0</v>
      </c>
      <c r="AQ24" s="175" t="str">
        <f t="shared" ca="1" si="19"/>
        <v/>
      </c>
      <c r="AR24" s="169" t="str">
        <f t="shared" ca="1" si="101"/>
        <v/>
      </c>
      <c r="AS24" s="169" t="str">
        <f t="array" aca="1" ref="AS24" ca="1">IF(ROWS($9:23)&lt;=COUNTIF(Condition9,"o"),INDEX(Liste9,SMALL(IF(Condition9="o",ROW(INDIRECT("1:"&amp;ROWS(Liste9)))),ROWS($9:23))),"")</f>
        <v/>
      </c>
      <c r="AT24" s="175">
        <f t="shared" ca="1" si="20"/>
        <v>0</v>
      </c>
      <c r="AU24" s="175" t="str">
        <f t="shared" ca="1" si="21"/>
        <v/>
      </c>
      <c r="AV24" s="169" t="str">
        <f t="shared" ca="1" si="102"/>
        <v/>
      </c>
      <c r="AW24" s="169" t="str">
        <f t="array" aca="1" ref="AW24" ca="1">IF(ROWS($9:23)&lt;=COUNTIF(Condition10,"o"),INDEX(Liste10,SMALL(IF(Condition10="o",ROW(INDIRECT("1:"&amp;ROWS(Liste10)))),ROWS($9:23))),"")</f>
        <v/>
      </c>
      <c r="AX24" s="175">
        <f t="shared" ca="1" si="22"/>
        <v>0</v>
      </c>
      <c r="AY24" s="175" t="str">
        <f t="shared" ca="1" si="23"/>
        <v/>
      </c>
      <c r="AZ24" s="169" t="str">
        <f t="shared" ca="1" si="103"/>
        <v/>
      </c>
      <c r="BA24" s="169" t="str">
        <f t="array" aca="1" ref="BA24" ca="1">IF(ROWS($9:23)&lt;=COUNTIF(Condition11,"o"),INDEX(Liste11,SMALL(IF(Condition11="o",ROW(INDIRECT("1:"&amp;ROWS(Liste11)))),ROWS($9:23))),"")</f>
        <v/>
      </c>
      <c r="BB24" s="175">
        <f t="shared" ca="1" si="24"/>
        <v>0</v>
      </c>
      <c r="BC24" s="175" t="str">
        <f t="shared" ca="1" si="25"/>
        <v/>
      </c>
      <c r="BD24" s="169" t="str">
        <f t="shared" ca="1" si="104"/>
        <v/>
      </c>
      <c r="BE24" s="169" t="str">
        <f t="array" aca="1" ref="BE24" ca="1">IF(ROWS($9:23)&lt;=COUNTIF(Condition12,"o"),INDEX(Liste12,SMALL(IF(Condition12="o",ROW(INDIRECT("1:"&amp;ROWS(Liste12)))),ROWS($9:23))),"")</f>
        <v/>
      </c>
      <c r="BF24" s="175">
        <f t="shared" ca="1" si="26"/>
        <v>0</v>
      </c>
      <c r="BG24" s="175" t="str">
        <f t="shared" ca="1" si="27"/>
        <v/>
      </c>
      <c r="BH24" s="169" t="str">
        <f t="shared" ca="1" si="105"/>
        <v/>
      </c>
      <c r="BI24" s="169" t="str">
        <f t="array" aca="1" ref="BI24" ca="1">IF(ROWS($9:23)&lt;=COUNTIF(Condition13,"o"),INDEX(Liste13,SMALL(IF(Condition13="o",ROW(INDIRECT("1:"&amp;ROWS(Liste13)))),ROWS($9:23))),"")</f>
        <v/>
      </c>
      <c r="BJ24" s="175">
        <f t="shared" ca="1" si="28"/>
        <v>0</v>
      </c>
      <c r="BK24" s="175" t="str">
        <f t="shared" ca="1" si="29"/>
        <v/>
      </c>
      <c r="BL24" s="169" t="str">
        <f t="shared" ca="1" si="106"/>
        <v/>
      </c>
      <c r="BM24" s="169" t="str">
        <f t="array" aca="1" ref="BM24" ca="1">IF(ROWS($9:23)&lt;=COUNTIF(Condition14,"o"),INDEX(Liste14,SMALL(IF(Condition14="o",ROW(INDIRECT("1:"&amp;ROWS(Liste14)))),ROWS($9:23))),"")</f>
        <v/>
      </c>
      <c r="BN24" s="175">
        <f t="shared" ca="1" si="30"/>
        <v>0</v>
      </c>
      <c r="BO24" s="175" t="str">
        <f t="shared" ca="1" si="31"/>
        <v/>
      </c>
      <c r="BP24" s="169" t="str">
        <f t="shared" ca="1" si="107"/>
        <v/>
      </c>
      <c r="BQ24" s="169" t="str">
        <f t="array" aca="1" ref="BQ24" ca="1">IF(ROWS($9:23)&lt;=COUNTIF(Condition15,"o"),INDEX(Liste15,SMALL(IF(Condition15="o",ROW(INDIRECT("1:"&amp;ROWS(Liste15)))),ROWS($9:23))),"")</f>
        <v/>
      </c>
      <c r="BR24" s="175">
        <f t="shared" ca="1" si="32"/>
        <v>0</v>
      </c>
      <c r="BS24" s="175" t="str">
        <f t="shared" ca="1" si="33"/>
        <v/>
      </c>
      <c r="BT24" s="169" t="str">
        <f t="shared" ca="1" si="108"/>
        <v/>
      </c>
      <c r="BU24" s="169" t="str">
        <f t="array" aca="1" ref="BU24" ca="1">IF(ROWS($9:23)&lt;=COUNTIF(Condition16,"o"),INDEX(Liste16,SMALL(IF(Condition16="o",ROW(INDIRECT("1:"&amp;ROWS(Liste16)))),ROWS($9:23))),"")</f>
        <v/>
      </c>
      <c r="BV24" s="175">
        <f t="shared" ca="1" si="34"/>
        <v>0</v>
      </c>
      <c r="BW24" s="175" t="str">
        <f t="shared" ca="1" si="35"/>
        <v/>
      </c>
      <c r="BX24" s="169" t="str">
        <f t="shared" ca="1" si="109"/>
        <v/>
      </c>
      <c r="BY24" s="169" t="str">
        <f t="array" aca="1" ref="BY24" ca="1">IF(ROWS($9:23)&lt;=COUNTIF(Condition17,"o"),INDEX(Liste17,SMALL(IF(Condition17="o",ROW(INDIRECT("1:"&amp;ROWS(Liste17)))),ROWS($9:23))),"")</f>
        <v/>
      </c>
      <c r="BZ24" s="175">
        <f t="shared" ca="1" si="36"/>
        <v>0</v>
      </c>
      <c r="CA24" s="175" t="str">
        <f t="shared" ca="1" si="37"/>
        <v/>
      </c>
      <c r="CB24" s="169" t="str">
        <f t="shared" ca="1" si="110"/>
        <v/>
      </c>
      <c r="CC24" s="169" t="str">
        <f t="array" aca="1" ref="CC24" ca="1">IF(ROWS($9:23)&lt;=COUNTIF(Condition18,"o"),INDEX(Liste18,SMALL(IF(Condition18="o",ROW(INDIRECT("1:"&amp;ROWS(Liste18)))),ROWS($9:23))),"")</f>
        <v/>
      </c>
      <c r="CD24" s="175">
        <f t="shared" ca="1" si="38"/>
        <v>0</v>
      </c>
      <c r="CE24" s="175" t="str">
        <f t="shared" ca="1" si="39"/>
        <v/>
      </c>
      <c r="CF24" s="169" t="str">
        <f t="shared" ca="1" si="111"/>
        <v/>
      </c>
      <c r="CG24" s="169" t="str">
        <f t="array" aca="1" ref="CG24" ca="1">IF(ROWS($9:23)&lt;=COUNTIF(Condition19,"o"),INDEX(Liste19,SMALL(IF(Condition19="o",ROW(INDIRECT("1:"&amp;ROWS(Liste19)))),ROWS($9:23))),"")</f>
        <v/>
      </c>
      <c r="CH24" s="175">
        <f t="shared" ca="1" si="40"/>
        <v>0</v>
      </c>
      <c r="CI24" s="175" t="str">
        <f t="shared" ca="1" si="41"/>
        <v/>
      </c>
      <c r="CJ24" s="169" t="str">
        <f t="shared" ca="1" si="112"/>
        <v/>
      </c>
      <c r="CK24" s="169" t="str">
        <f t="array" aca="1" ref="CK24" ca="1">IF(ROWS($9:23)&lt;=COUNTIF(Condition20,"o"),INDEX(Liste20,SMALL(IF(Condition20="o",ROW(INDIRECT("1:"&amp;ROWS(Liste20)))),ROWS($9:23))),"")</f>
        <v/>
      </c>
      <c r="CL24" s="175">
        <f t="shared" ca="1" si="42"/>
        <v>0</v>
      </c>
      <c r="CM24" s="175" t="str">
        <f t="shared" ca="1" si="43"/>
        <v/>
      </c>
      <c r="CN24" s="169" t="str">
        <f t="shared" ca="1" si="113"/>
        <v/>
      </c>
      <c r="CO24" s="169" t="str">
        <f t="array" aca="1" ref="CO24" ca="1">IF(ROWS($9:23)&lt;=COUNTIF(Condition21,"o"),INDEX(Liste21,SMALL(IF(Condition21="o",ROW(INDIRECT("1:"&amp;ROWS(Liste21)))),ROWS($9:23))),"")</f>
        <v/>
      </c>
      <c r="CP24" s="175">
        <f t="shared" ca="1" si="44"/>
        <v>0</v>
      </c>
      <c r="CQ24" s="175" t="str">
        <f t="shared" ca="1" si="45"/>
        <v/>
      </c>
      <c r="CR24" s="169" t="str">
        <f t="shared" ca="1" si="114"/>
        <v/>
      </c>
      <c r="CS24" s="169" t="str">
        <f t="array" aca="1" ref="CS24" ca="1">IF(ROWS($9:23)&lt;=COUNTIF(Condition22,"o"),INDEX(Liste22,SMALL(IF(Condition22="o",ROW(INDIRECT("1:"&amp;ROWS(Liste22)))),ROWS($9:23))),"")</f>
        <v/>
      </c>
      <c r="CT24" s="175">
        <f t="shared" ca="1" si="46"/>
        <v>0</v>
      </c>
      <c r="CU24" s="175" t="str">
        <f t="shared" ca="1" si="47"/>
        <v/>
      </c>
      <c r="CV24" s="169" t="str">
        <f t="shared" ca="1" si="115"/>
        <v/>
      </c>
      <c r="CW24" s="169" t="str">
        <f t="array" aca="1" ref="CW24" ca="1">IF(ROWS($9:23)&lt;=COUNTIF(Condition23,"o"),INDEX(Liste23,SMALL(IF(Condition23="o",ROW(INDIRECT("1:"&amp;ROWS(Liste23)))),ROWS($9:23))),"")</f>
        <v/>
      </c>
      <c r="CX24" s="175">
        <f t="shared" ca="1" si="48"/>
        <v>0</v>
      </c>
      <c r="CY24" s="175" t="str">
        <f t="shared" ca="1" si="49"/>
        <v/>
      </c>
      <c r="CZ24" s="169" t="str">
        <f t="shared" ca="1" si="116"/>
        <v/>
      </c>
      <c r="DA24" s="169" t="str">
        <f t="array" aca="1" ref="DA24" ca="1">IF(ROWS($9:23)&lt;=COUNTIF(Condition24,"o"),INDEX(Liste24,SMALL(IF(Condition24="o",ROW(INDIRECT("1:"&amp;ROWS(Liste24)))),ROWS($9:23))),"")</f>
        <v/>
      </c>
      <c r="DB24" s="175">
        <f t="shared" ca="1" si="50"/>
        <v>0</v>
      </c>
      <c r="DC24" s="175" t="str">
        <f t="shared" ca="1" si="51"/>
        <v/>
      </c>
      <c r="DD24" s="169" t="str">
        <f t="shared" ca="1" si="117"/>
        <v/>
      </c>
      <c r="DE24" s="169" t="str">
        <f t="array" aca="1" ref="DE24" ca="1">IF(ROWS($9:23)&lt;=COUNTIF(Condition25,"o"),INDEX(Liste25,SMALL(IF(Condition25="o",ROW(INDIRECT("1:"&amp;ROWS(Liste25)))),ROWS($9:23))),"")</f>
        <v/>
      </c>
      <c r="DF24" s="175">
        <f t="shared" ca="1" si="52"/>
        <v>0</v>
      </c>
      <c r="DG24" s="175" t="str">
        <f t="shared" ca="1" si="53"/>
        <v/>
      </c>
      <c r="DH24" s="169" t="str">
        <f t="shared" ca="1" si="118"/>
        <v/>
      </c>
      <c r="DI24" s="169" t="str">
        <f t="array" aca="1" ref="DI24" ca="1">IF(ROWS($9:23)&lt;=COUNTIF(Condition26,"o"),INDEX(Liste26,SMALL(IF(Condition26="o",ROW(INDIRECT("1:"&amp;ROWS(Liste26)))),ROWS($9:23))),"")</f>
        <v/>
      </c>
      <c r="DJ24" s="175">
        <f t="shared" ca="1" si="54"/>
        <v>0</v>
      </c>
      <c r="DK24" s="175" t="str">
        <f t="shared" ca="1" si="55"/>
        <v/>
      </c>
      <c r="DL24" s="169" t="str">
        <f t="shared" ca="1" si="119"/>
        <v/>
      </c>
      <c r="DM24" s="169" t="str">
        <f t="array" aca="1" ref="DM24" ca="1">IF(ROWS($9:23)&lt;=COUNTIF(Condition27,"o"),INDEX(Liste27,SMALL(IF(Condition27="o",ROW(INDIRECT("1:"&amp;ROWS(Liste27)))),ROWS($9:23))),"")</f>
        <v/>
      </c>
      <c r="DN24" s="175">
        <f t="shared" ca="1" si="56"/>
        <v>0</v>
      </c>
      <c r="DO24" s="175" t="str">
        <f t="shared" ca="1" si="57"/>
        <v/>
      </c>
      <c r="DP24" s="169" t="str">
        <f t="shared" ca="1" si="120"/>
        <v/>
      </c>
      <c r="DQ24" s="169" t="str">
        <f t="array" aca="1" ref="DQ24" ca="1">IF(ROWS($9:23)&lt;=COUNTIF(Condition28,"o"),INDEX(Liste28,SMALL(IF(Condition28="o",ROW(INDIRECT("1:"&amp;ROWS(Liste28)))),ROWS($9:23))),"")</f>
        <v/>
      </c>
      <c r="DR24" s="175">
        <f t="shared" ca="1" si="58"/>
        <v>0</v>
      </c>
      <c r="DS24" s="175" t="str">
        <f t="shared" ca="1" si="59"/>
        <v/>
      </c>
      <c r="DT24" s="169" t="str">
        <f t="shared" ca="1" si="121"/>
        <v/>
      </c>
      <c r="DU24" s="169" t="str">
        <f t="array" aca="1" ref="DU24" ca="1">IF(ROWS($9:23)&lt;=COUNTIF(Condition29,"o"),INDEX(Liste29,SMALL(IF(Condition29="o",ROW(INDIRECT("1:"&amp;ROWS(Liste29)))),ROWS($9:23))),"")</f>
        <v/>
      </c>
      <c r="DV24" s="175">
        <f t="shared" ca="1" si="60"/>
        <v>0</v>
      </c>
      <c r="DW24" s="175" t="str">
        <f t="shared" ca="1" si="61"/>
        <v/>
      </c>
      <c r="DX24" s="169" t="str">
        <f t="shared" ca="1" si="122"/>
        <v/>
      </c>
      <c r="DY24" s="169" t="str">
        <f t="array" aca="1" ref="DY24" ca="1">IF(ROWS($9:23)&lt;=COUNTIF(Condition30,"o"),INDEX(Liste30,SMALL(IF(Condition30="o",ROW(INDIRECT("1:"&amp;ROWS(Liste30)))),ROWS($9:23))),"")</f>
        <v/>
      </c>
      <c r="DZ24" s="175">
        <f t="shared" ca="1" si="62"/>
        <v>0</v>
      </c>
      <c r="EA24" s="175" t="str">
        <f t="shared" ca="1" si="63"/>
        <v/>
      </c>
      <c r="EB24" s="169" t="str">
        <f t="shared" ca="1" si="123"/>
        <v/>
      </c>
      <c r="EC24" s="169" t="str">
        <f t="array" aca="1" ref="EC24" ca="1">IF(ROWS($9:23)&lt;=COUNTIF(Condition31,"o"),INDEX(Liste31,SMALL(IF(Condition31="o",ROW(INDIRECT("1:"&amp;ROWS(Liste31)))),ROWS($9:23))),"")</f>
        <v/>
      </c>
      <c r="ED24" s="175">
        <f t="shared" ca="1" si="64"/>
        <v>0</v>
      </c>
      <c r="EE24" s="175" t="str">
        <f t="shared" ca="1" si="65"/>
        <v/>
      </c>
      <c r="EF24" s="169" t="str">
        <f t="shared" ca="1" si="124"/>
        <v/>
      </c>
      <c r="EG24" s="169" t="str">
        <f t="array" aca="1" ref="EG24" ca="1">IF(ROWS($9:23)&lt;=COUNTIF(Condition32,"o"),INDEX(Liste32,SMALL(IF(Condition32="o",ROW(INDIRECT("1:"&amp;ROWS(Liste32)))),ROWS($9:23))),"")</f>
        <v/>
      </c>
      <c r="EH24" s="175">
        <f t="shared" ca="1" si="66"/>
        <v>0</v>
      </c>
      <c r="EI24" s="175" t="str">
        <f t="shared" ca="1" si="67"/>
        <v/>
      </c>
      <c r="EJ24" s="169" t="str">
        <f t="shared" ca="1" si="125"/>
        <v/>
      </c>
      <c r="EK24" s="169" t="str">
        <f t="array" aca="1" ref="EK24" ca="1">IF(ROWS($9:23)&lt;=COUNTIF(Condition33,"o"),INDEX(Liste33,SMALL(IF(Condition33="o",ROW(INDIRECT("1:"&amp;ROWS(Liste33)))),ROWS($9:23))),"")</f>
        <v/>
      </c>
      <c r="EL24" s="175">
        <f t="shared" ca="1" si="68"/>
        <v>0</v>
      </c>
      <c r="EM24" s="175" t="str">
        <f t="shared" ca="1" si="69"/>
        <v/>
      </c>
      <c r="EN24" s="169" t="str">
        <f t="shared" ca="1" si="126"/>
        <v/>
      </c>
      <c r="EO24" s="169" t="str">
        <f t="array" aca="1" ref="EO24" ca="1">IF(ROWS($9:23)&lt;=COUNTIF(Condition34,"o"),INDEX(Liste34,SMALL(IF(Condition34="o",ROW(INDIRECT("1:"&amp;ROWS(Liste34)))),ROWS($9:23))),"")</f>
        <v/>
      </c>
      <c r="EP24" s="175">
        <f t="shared" ca="1" si="70"/>
        <v>0</v>
      </c>
      <c r="EQ24" s="175" t="str">
        <f t="shared" ca="1" si="71"/>
        <v/>
      </c>
      <c r="ER24" s="169" t="str">
        <f t="shared" ca="1" si="127"/>
        <v/>
      </c>
      <c r="ES24" s="169" t="str">
        <f t="array" aca="1" ref="ES24" ca="1">IF(ROWS($9:23)&lt;=COUNTIF(Condition35,"o"),INDEX(Liste35,SMALL(IF(Condition35="o",ROW(INDIRECT("1:"&amp;ROWS(Liste35)))),ROWS($9:23))),"")</f>
        <v/>
      </c>
      <c r="ET24" s="175">
        <f t="shared" ca="1" si="72"/>
        <v>0</v>
      </c>
      <c r="EU24" s="175" t="str">
        <f t="shared" ca="1" si="73"/>
        <v/>
      </c>
      <c r="EV24" s="169" t="str">
        <f t="shared" ca="1" si="128"/>
        <v/>
      </c>
      <c r="EW24" s="169" t="str">
        <f t="array" aca="1" ref="EW24" ca="1">IF(ROWS($9:23)&lt;=COUNTIF(Condition36,"o"),INDEX(Liste36,SMALL(IF(Condition36="o",ROW(INDIRECT("1:"&amp;ROWS(Liste36)))),ROWS($9:23))),"")</f>
        <v/>
      </c>
      <c r="EX24" s="175">
        <f t="shared" ca="1" si="74"/>
        <v>0</v>
      </c>
      <c r="EY24" s="175" t="str">
        <f t="shared" ca="1" si="75"/>
        <v/>
      </c>
      <c r="EZ24" s="169" t="str">
        <f t="shared" ca="1" si="85"/>
        <v/>
      </c>
      <c r="FA24" s="169" t="str">
        <f t="array" aca="1" ref="FA24" ca="1">IF(ROWS($9:23)&lt;=COUNTIF(Condition36,"o"),INDEX(Liste36,SMALL(IF(Condition36="o",ROW(INDIRECT("1:"&amp;ROWS(Liste36)))),ROWS($9:23))),"")</f>
        <v/>
      </c>
      <c r="FB24" s="175">
        <f t="shared" ca="1" si="76"/>
        <v>0</v>
      </c>
      <c r="FC24" s="175" t="str">
        <f t="shared" ca="1" si="77"/>
        <v/>
      </c>
      <c r="FD24" s="169" t="str">
        <f t="shared" ca="1" si="86"/>
        <v/>
      </c>
      <c r="FE24" s="169" t="str">
        <f t="array" aca="1" ref="FE24" ca="1">IF(ROWS($9:23)&lt;=COUNTIF(condition38,"o"),INDEX(liste38,SMALL(IF(condition38="o",ROW(INDIRECT("1:"&amp;ROWS(liste38)))),ROWS($9:23))),"")</f>
        <v/>
      </c>
      <c r="FF24" s="175">
        <f t="shared" ca="1" si="78"/>
        <v>0</v>
      </c>
      <c r="FG24" s="175" t="str">
        <f t="shared" ca="1" si="79"/>
        <v/>
      </c>
      <c r="FH24" s="169" t="str">
        <f t="shared" ca="1" si="87"/>
        <v/>
      </c>
      <c r="FI24" s="169" t="str">
        <f t="array" aca="1" ref="FI24" ca="1">IF(ROWS($9:23)&lt;=COUNTIF(Condition39,"o"),INDEX(Liste39,SMALL(IF(Condition39="o",ROW(INDIRECT("1:"&amp;ROWS(Liste39)))),ROWS($9:23))),"")</f>
        <v/>
      </c>
      <c r="FM24" s="1" t="s">
        <v>1196</v>
      </c>
      <c r="FN24" s="1" t="s">
        <v>1152</v>
      </c>
      <c r="FO24" s="180">
        <f>'Suivi objectifs'!D16</f>
        <v>0</v>
      </c>
      <c r="FP24" s="1366" t="str">
        <f>'Suivi objectifs'!C16</f>
        <v>Transport hors AC</v>
      </c>
      <c r="FQ24" s="181" t="str">
        <f ca="1">IF(ISNA(VLOOKUP(FR24,Actions!$G$2:$AP$70,31,0)),"",VLOOKUP(FR24,Actions!$G$2:$AP$70,36,0))</f>
        <v/>
      </c>
      <c r="FR24" s="185" t="str">
        <f t="shared" ca="1" si="88"/>
        <v/>
      </c>
      <c r="FS24" s="286">
        <f t="shared" ca="1" si="80"/>
        <v>0</v>
      </c>
      <c r="FT24" s="181" t="str">
        <f ca="1">IF(ISNA(VLOOKUP(FU24,Actions!$G$2:$AP$70,31,0)),"",VLOOKUP(FU24,Actions!$G$2:$AP$70,36,0))</f>
        <v/>
      </c>
      <c r="FU24" s="185" t="str">
        <f t="shared" ca="1" si="89"/>
        <v/>
      </c>
      <c r="FV24" s="286">
        <f t="shared" ca="1" si="81"/>
        <v>0</v>
      </c>
      <c r="FW24" s="181" t="str">
        <f ca="1">IF(ISNA(VLOOKUP(FX24,Actions!$G$2:$AP$70,31,0)),"",VLOOKUP(FX24,Actions!$G$2:$AP$70,36,0))</f>
        <v/>
      </c>
      <c r="FX24" s="185" t="str">
        <f t="shared" ca="1" si="90"/>
        <v/>
      </c>
      <c r="FY24" s="286">
        <f t="shared" ca="1" si="82"/>
        <v>0</v>
      </c>
      <c r="FZ24" s="181" t="str">
        <f ca="1">IF(ISNA(VLOOKUP(GA24,Actions!$G$2:$AP$70,31,0)),"",VLOOKUP(GA24,Actions!$G$2:$AP$70,36,0))</f>
        <v/>
      </c>
      <c r="GA24" s="185" t="str">
        <f t="shared" ca="1" si="91"/>
        <v/>
      </c>
      <c r="GB24" s="286">
        <f t="shared" ca="1" si="83"/>
        <v>0</v>
      </c>
      <c r="GC24" s="181" t="str">
        <f ca="1">IF(ISNA(VLOOKUP(GD24,Actions!$G$2:$AP$70,31,0)),"",VLOOKUP(GD24,Actions!$G$2:$AP$70,36,0))</f>
        <v/>
      </c>
      <c r="GD24" s="185" t="str">
        <f t="shared" ca="1" si="92"/>
        <v/>
      </c>
      <c r="GE24" s="286">
        <f t="shared" ca="1" si="84"/>
        <v>0</v>
      </c>
      <c r="GF24" s="186">
        <f t="shared" ca="1" si="129"/>
        <v>0</v>
      </c>
      <c r="GG24" s="233"/>
    </row>
    <row r="25" spans="1:189" hidden="1">
      <c r="A25" s="1" t="s">
        <v>836</v>
      </c>
      <c r="B25" s="1">
        <f>Actions!F18</f>
        <v>17</v>
      </c>
      <c r="C25" s="1">
        <f ca="1">Actions!G18</f>
        <v>0</v>
      </c>
      <c r="D25" s="1">
        <f ca="1">Actions!H18</f>
        <v>0</v>
      </c>
      <c r="E25" s="1" t="str">
        <f ca="1">Actions!I18</f>
        <v>-</v>
      </c>
      <c r="F25" s="1" t="str">
        <f t="shared" ca="1" si="0"/>
        <v>-</v>
      </c>
      <c r="G25" s="1" t="e">
        <f t="shared" ca="1" si="1"/>
        <v>#REF!</v>
      </c>
      <c r="I25" s="1">
        <v>17</v>
      </c>
      <c r="J25" s="175">
        <f t="shared" ca="1" si="2"/>
        <v>0</v>
      </c>
      <c r="K25" s="175" t="str">
        <f t="shared" ca="1" si="3"/>
        <v/>
      </c>
      <c r="L25" s="169" t="str">
        <f t="shared" ca="1" si="93"/>
        <v/>
      </c>
      <c r="M25" s="169" t="str">
        <f t="array" aca="1" ref="M25" ca="1">IF(ROWS($9:24)&lt;=COUNTIF(Condition1,"o"),INDEX(Liste1,SMALL(IF(Condition1="o",ROW(INDIRECT("1:"&amp;ROWS(Liste1)))),ROWS($9:24))),"")</f>
        <v/>
      </c>
      <c r="N25" s="175">
        <f t="shared" ca="1" si="4"/>
        <v>0</v>
      </c>
      <c r="O25" s="175" t="str">
        <f t="shared" ca="1" si="5"/>
        <v/>
      </c>
      <c r="P25" s="169" t="str">
        <f t="shared" ca="1" si="94"/>
        <v/>
      </c>
      <c r="Q25" s="169" t="str">
        <f t="array" aca="1" ref="Q25" ca="1">IF(ROWS($9:24)&lt;=COUNTIF(Condition2,"o"),INDEX(Liste2,SMALL(IF(Condition2="o",ROW(INDIRECT("1:"&amp;ROWS(Liste2)))),ROWS($9:24))),"")</f>
        <v/>
      </c>
      <c r="R25" s="175">
        <f t="shared" ca="1" si="6"/>
        <v>0</v>
      </c>
      <c r="S25" s="175" t="str">
        <f t="shared" ca="1" si="7"/>
        <v/>
      </c>
      <c r="T25" s="169" t="str">
        <f t="shared" ca="1" si="95"/>
        <v/>
      </c>
      <c r="U25" s="169" t="str">
        <f t="array" aca="1" ref="U25" ca="1">IF(ROWS($9:24)&lt;=COUNTIF(Condition3,"o"),INDEX(Liste3,SMALL(IF(Condition3="o",ROW(INDIRECT("1:"&amp;ROWS(Liste3)))),ROWS($9:24))),"")</f>
        <v/>
      </c>
      <c r="V25" s="175">
        <f t="shared" ca="1" si="8"/>
        <v>0</v>
      </c>
      <c r="W25" s="175" t="str">
        <f t="shared" ca="1" si="9"/>
        <v/>
      </c>
      <c r="X25" s="169" t="str">
        <f t="shared" ca="1" si="96"/>
        <v/>
      </c>
      <c r="Y25" s="169" t="str">
        <f t="array" aca="1" ref="Y25" ca="1">IF(ROWS($9:24)&lt;=COUNTIF(Condition4,"o"),INDEX(Liste4,SMALL(IF(Condition4="o",ROW(INDIRECT("1:"&amp;ROWS(Liste4)))),ROWS($9:24))),"")</f>
        <v/>
      </c>
      <c r="Z25" s="175">
        <f t="shared" ca="1" si="10"/>
        <v>0</v>
      </c>
      <c r="AA25" s="175" t="str">
        <f t="shared" ca="1" si="11"/>
        <v/>
      </c>
      <c r="AB25" s="169" t="str">
        <f t="shared" ca="1" si="97"/>
        <v/>
      </c>
      <c r="AC25" s="169" t="str">
        <f t="array" aca="1" ref="AC25" ca="1">IF(ROWS($9:24)&lt;=COUNTIF(Condition5,"o"),INDEX(Liste5,SMALL(IF(Condition5="o",ROW(INDIRECT("1:"&amp;ROWS(Liste5)))),ROWS($9:24))),"")</f>
        <v/>
      </c>
      <c r="AD25" s="175">
        <f t="shared" ca="1" si="12"/>
        <v>0</v>
      </c>
      <c r="AE25" s="175" t="str">
        <f t="shared" ca="1" si="13"/>
        <v/>
      </c>
      <c r="AF25" s="169" t="str">
        <f t="shared" ca="1" si="98"/>
        <v/>
      </c>
      <c r="AG25" s="169" t="str">
        <f t="array" aca="1" ref="AG25" ca="1">IF(ROWS($9:24)&lt;=COUNTIF(Condition6,"o"),INDEX(Liste6,SMALL(IF(Condition6="o",ROW(INDIRECT("1:"&amp;ROWS(Liste6)))),ROWS($9:24))),"")</f>
        <v/>
      </c>
      <c r="AH25" s="175">
        <f t="shared" ca="1" si="14"/>
        <v>0</v>
      </c>
      <c r="AI25" s="175" t="str">
        <f t="shared" ca="1" si="15"/>
        <v/>
      </c>
      <c r="AJ25" s="169" t="str">
        <f t="shared" ca="1" si="99"/>
        <v/>
      </c>
      <c r="AK25" s="169" t="str">
        <f t="array" aca="1" ref="AK25" ca="1">IF(ROWS($9:24)&lt;=COUNTIF(Condition7,"o"),INDEX(Liste7,SMALL(IF(Condition7="o",ROW(INDIRECT("1:"&amp;ROWS(Liste7)))),ROWS($9:24))),"")</f>
        <v/>
      </c>
      <c r="AL25" s="175">
        <f t="shared" ca="1" si="16"/>
        <v>0</v>
      </c>
      <c r="AM25" s="175" t="str">
        <f t="shared" ca="1" si="17"/>
        <v/>
      </c>
      <c r="AN25" s="169" t="str">
        <f t="shared" ca="1" si="100"/>
        <v/>
      </c>
      <c r="AO25" s="169" t="str">
        <f t="array" aca="1" ref="AO25" ca="1">IF(ROWS($9:24)&lt;=COUNTIF(Condition8,"o"),INDEX(Liste8,SMALL(IF(Condition8="o",ROW(INDIRECT("1:"&amp;ROWS(Liste8)))),ROWS($9:24))),"")</f>
        <v/>
      </c>
      <c r="AP25" s="175">
        <f t="shared" ca="1" si="18"/>
        <v>0</v>
      </c>
      <c r="AQ25" s="175" t="str">
        <f t="shared" ca="1" si="19"/>
        <v/>
      </c>
      <c r="AR25" s="169" t="str">
        <f t="shared" ca="1" si="101"/>
        <v/>
      </c>
      <c r="AS25" s="169" t="str">
        <f t="array" aca="1" ref="AS25" ca="1">IF(ROWS($9:24)&lt;=COUNTIF(Condition9,"o"),INDEX(Liste9,SMALL(IF(Condition9="o",ROW(INDIRECT("1:"&amp;ROWS(Liste9)))),ROWS($9:24))),"")</f>
        <v/>
      </c>
      <c r="AT25" s="175">
        <f t="shared" ca="1" si="20"/>
        <v>0</v>
      </c>
      <c r="AU25" s="175" t="str">
        <f t="shared" ca="1" si="21"/>
        <v/>
      </c>
      <c r="AV25" s="169" t="str">
        <f t="shared" ca="1" si="102"/>
        <v/>
      </c>
      <c r="AW25" s="169" t="str">
        <f t="array" aca="1" ref="AW25" ca="1">IF(ROWS($9:24)&lt;=COUNTIF(Condition10,"o"),INDEX(Liste10,SMALL(IF(Condition10="o",ROW(INDIRECT("1:"&amp;ROWS(Liste10)))),ROWS($9:24))),"")</f>
        <v/>
      </c>
      <c r="AX25" s="175">
        <f t="shared" ca="1" si="22"/>
        <v>0</v>
      </c>
      <c r="AY25" s="175" t="str">
        <f t="shared" ca="1" si="23"/>
        <v/>
      </c>
      <c r="AZ25" s="169" t="str">
        <f t="shared" ca="1" si="103"/>
        <v/>
      </c>
      <c r="BA25" s="169" t="str">
        <f t="array" aca="1" ref="BA25" ca="1">IF(ROWS($9:24)&lt;=COUNTIF(Condition11,"o"),INDEX(Liste11,SMALL(IF(Condition11="o",ROW(INDIRECT("1:"&amp;ROWS(Liste11)))),ROWS($9:24))),"")</f>
        <v/>
      </c>
      <c r="BB25" s="175">
        <f t="shared" ca="1" si="24"/>
        <v>0</v>
      </c>
      <c r="BC25" s="175" t="str">
        <f t="shared" ca="1" si="25"/>
        <v/>
      </c>
      <c r="BD25" s="169" t="str">
        <f t="shared" ca="1" si="104"/>
        <v/>
      </c>
      <c r="BE25" s="169" t="str">
        <f t="array" aca="1" ref="BE25" ca="1">IF(ROWS($9:24)&lt;=COUNTIF(Condition12,"o"),INDEX(Liste12,SMALL(IF(Condition12="o",ROW(INDIRECT("1:"&amp;ROWS(Liste12)))),ROWS($9:24))),"")</f>
        <v/>
      </c>
      <c r="BF25" s="175">
        <f t="shared" ca="1" si="26"/>
        <v>0</v>
      </c>
      <c r="BG25" s="175" t="str">
        <f t="shared" ca="1" si="27"/>
        <v/>
      </c>
      <c r="BH25" s="169" t="str">
        <f t="shared" ca="1" si="105"/>
        <v/>
      </c>
      <c r="BI25" s="169" t="str">
        <f t="array" aca="1" ref="BI25" ca="1">IF(ROWS($9:24)&lt;=COUNTIF(Condition13,"o"),INDEX(Liste13,SMALL(IF(Condition13="o",ROW(INDIRECT("1:"&amp;ROWS(Liste13)))),ROWS($9:24))),"")</f>
        <v/>
      </c>
      <c r="BJ25" s="175">
        <f t="shared" ca="1" si="28"/>
        <v>0</v>
      </c>
      <c r="BK25" s="175" t="str">
        <f t="shared" ca="1" si="29"/>
        <v/>
      </c>
      <c r="BL25" s="169" t="str">
        <f t="shared" ca="1" si="106"/>
        <v/>
      </c>
      <c r="BM25" s="169" t="str">
        <f t="array" aca="1" ref="BM25" ca="1">IF(ROWS($9:24)&lt;=COUNTIF(Condition14,"o"),INDEX(Liste14,SMALL(IF(Condition14="o",ROW(INDIRECT("1:"&amp;ROWS(Liste14)))),ROWS($9:24))),"")</f>
        <v/>
      </c>
      <c r="BN25" s="175">
        <f t="shared" ca="1" si="30"/>
        <v>0</v>
      </c>
      <c r="BO25" s="175" t="str">
        <f t="shared" ca="1" si="31"/>
        <v/>
      </c>
      <c r="BP25" s="169" t="str">
        <f t="shared" ca="1" si="107"/>
        <v/>
      </c>
      <c r="BQ25" s="169" t="str">
        <f t="array" aca="1" ref="BQ25" ca="1">IF(ROWS($9:24)&lt;=COUNTIF(Condition15,"o"),INDEX(Liste15,SMALL(IF(Condition15="o",ROW(INDIRECT("1:"&amp;ROWS(Liste15)))),ROWS($9:24))),"")</f>
        <v/>
      </c>
      <c r="BR25" s="175">
        <f t="shared" ca="1" si="32"/>
        <v>0</v>
      </c>
      <c r="BS25" s="175" t="str">
        <f t="shared" ca="1" si="33"/>
        <v/>
      </c>
      <c r="BT25" s="169" t="str">
        <f t="shared" ca="1" si="108"/>
        <v/>
      </c>
      <c r="BU25" s="169" t="str">
        <f t="array" aca="1" ref="BU25" ca="1">IF(ROWS($9:24)&lt;=COUNTIF(Condition16,"o"),INDEX(Liste16,SMALL(IF(Condition16="o",ROW(INDIRECT("1:"&amp;ROWS(Liste16)))),ROWS($9:24))),"")</f>
        <v/>
      </c>
      <c r="BV25" s="175">
        <f t="shared" ca="1" si="34"/>
        <v>0</v>
      </c>
      <c r="BW25" s="175" t="str">
        <f t="shared" ca="1" si="35"/>
        <v/>
      </c>
      <c r="BX25" s="169" t="str">
        <f t="shared" ca="1" si="109"/>
        <v/>
      </c>
      <c r="BY25" s="169" t="str">
        <f t="array" aca="1" ref="BY25" ca="1">IF(ROWS($9:24)&lt;=COUNTIF(Condition17,"o"),INDEX(Liste17,SMALL(IF(Condition17="o",ROW(INDIRECT("1:"&amp;ROWS(Liste17)))),ROWS($9:24))),"")</f>
        <v/>
      </c>
      <c r="BZ25" s="175">
        <f t="shared" ca="1" si="36"/>
        <v>0</v>
      </c>
      <c r="CA25" s="175" t="str">
        <f t="shared" ca="1" si="37"/>
        <v/>
      </c>
      <c r="CB25" s="169" t="str">
        <f t="shared" ca="1" si="110"/>
        <v/>
      </c>
      <c r="CC25" s="169" t="str">
        <f t="array" aca="1" ref="CC25" ca="1">IF(ROWS($9:24)&lt;=COUNTIF(Condition18,"o"),INDEX(Liste18,SMALL(IF(Condition18="o",ROW(INDIRECT("1:"&amp;ROWS(Liste18)))),ROWS($9:24))),"")</f>
        <v/>
      </c>
      <c r="CD25" s="175">
        <f t="shared" ca="1" si="38"/>
        <v>0</v>
      </c>
      <c r="CE25" s="175" t="str">
        <f t="shared" ca="1" si="39"/>
        <v/>
      </c>
      <c r="CF25" s="169" t="str">
        <f t="shared" ca="1" si="111"/>
        <v/>
      </c>
      <c r="CG25" s="169" t="str">
        <f t="array" aca="1" ref="CG25" ca="1">IF(ROWS($9:24)&lt;=COUNTIF(Condition19,"o"),INDEX(Liste19,SMALL(IF(Condition19="o",ROW(INDIRECT("1:"&amp;ROWS(Liste19)))),ROWS($9:24))),"")</f>
        <v/>
      </c>
      <c r="CH25" s="175">
        <f t="shared" ca="1" si="40"/>
        <v>0</v>
      </c>
      <c r="CI25" s="175" t="str">
        <f t="shared" ca="1" si="41"/>
        <v/>
      </c>
      <c r="CJ25" s="169" t="str">
        <f t="shared" ca="1" si="112"/>
        <v/>
      </c>
      <c r="CK25" s="169" t="str">
        <f t="array" aca="1" ref="CK25" ca="1">IF(ROWS($9:24)&lt;=COUNTIF(Condition20,"o"),INDEX(Liste20,SMALL(IF(Condition20="o",ROW(INDIRECT("1:"&amp;ROWS(Liste20)))),ROWS($9:24))),"")</f>
        <v/>
      </c>
      <c r="CL25" s="175">
        <f t="shared" ca="1" si="42"/>
        <v>0</v>
      </c>
      <c r="CM25" s="175" t="str">
        <f t="shared" ca="1" si="43"/>
        <v/>
      </c>
      <c r="CN25" s="169" t="str">
        <f t="shared" ca="1" si="113"/>
        <v/>
      </c>
      <c r="CO25" s="169" t="str">
        <f t="array" aca="1" ref="CO25" ca="1">IF(ROWS($9:24)&lt;=COUNTIF(Condition21,"o"),INDEX(Liste21,SMALL(IF(Condition21="o",ROW(INDIRECT("1:"&amp;ROWS(Liste21)))),ROWS($9:24))),"")</f>
        <v/>
      </c>
      <c r="CP25" s="175">
        <f t="shared" ca="1" si="44"/>
        <v>0</v>
      </c>
      <c r="CQ25" s="175" t="str">
        <f t="shared" ca="1" si="45"/>
        <v/>
      </c>
      <c r="CR25" s="169" t="str">
        <f t="shared" ca="1" si="114"/>
        <v/>
      </c>
      <c r="CS25" s="169" t="str">
        <f t="array" aca="1" ref="CS25" ca="1">IF(ROWS($9:24)&lt;=COUNTIF(Condition22,"o"),INDEX(Liste22,SMALL(IF(Condition22="o",ROW(INDIRECT("1:"&amp;ROWS(Liste22)))),ROWS($9:24))),"")</f>
        <v/>
      </c>
      <c r="CT25" s="175">
        <f t="shared" ca="1" si="46"/>
        <v>0</v>
      </c>
      <c r="CU25" s="175" t="str">
        <f t="shared" ca="1" si="47"/>
        <v/>
      </c>
      <c r="CV25" s="169" t="str">
        <f t="shared" ca="1" si="115"/>
        <v/>
      </c>
      <c r="CW25" s="169" t="str">
        <f t="array" aca="1" ref="CW25" ca="1">IF(ROWS($9:24)&lt;=COUNTIF(Condition23,"o"),INDEX(Liste23,SMALL(IF(Condition23="o",ROW(INDIRECT("1:"&amp;ROWS(Liste23)))),ROWS($9:24))),"")</f>
        <v/>
      </c>
      <c r="CX25" s="175">
        <f t="shared" ca="1" si="48"/>
        <v>0</v>
      </c>
      <c r="CY25" s="175" t="str">
        <f t="shared" ca="1" si="49"/>
        <v/>
      </c>
      <c r="CZ25" s="169" t="str">
        <f t="shared" ca="1" si="116"/>
        <v/>
      </c>
      <c r="DA25" s="169" t="str">
        <f t="array" aca="1" ref="DA25" ca="1">IF(ROWS($9:24)&lt;=COUNTIF(Condition24,"o"),INDEX(Liste24,SMALL(IF(Condition24="o",ROW(INDIRECT("1:"&amp;ROWS(Liste24)))),ROWS($9:24))),"")</f>
        <v/>
      </c>
      <c r="DB25" s="175">
        <f t="shared" ca="1" si="50"/>
        <v>0</v>
      </c>
      <c r="DC25" s="175" t="str">
        <f t="shared" ca="1" si="51"/>
        <v/>
      </c>
      <c r="DD25" s="169" t="str">
        <f t="shared" ca="1" si="117"/>
        <v/>
      </c>
      <c r="DE25" s="169" t="str">
        <f t="array" aca="1" ref="DE25" ca="1">IF(ROWS($9:24)&lt;=COUNTIF(Condition25,"o"),INDEX(Liste25,SMALL(IF(Condition25="o",ROW(INDIRECT("1:"&amp;ROWS(Liste25)))),ROWS($9:24))),"")</f>
        <v/>
      </c>
      <c r="DF25" s="175">
        <f t="shared" ca="1" si="52"/>
        <v>0</v>
      </c>
      <c r="DG25" s="175" t="str">
        <f t="shared" ca="1" si="53"/>
        <v/>
      </c>
      <c r="DH25" s="169" t="str">
        <f t="shared" ca="1" si="118"/>
        <v/>
      </c>
      <c r="DI25" s="169" t="str">
        <f t="array" aca="1" ref="DI25" ca="1">IF(ROWS($9:24)&lt;=COUNTIF(Condition26,"o"),INDEX(Liste26,SMALL(IF(Condition26="o",ROW(INDIRECT("1:"&amp;ROWS(Liste26)))),ROWS($9:24))),"")</f>
        <v/>
      </c>
      <c r="DJ25" s="175">
        <f t="shared" ca="1" si="54"/>
        <v>0</v>
      </c>
      <c r="DK25" s="175" t="str">
        <f t="shared" ca="1" si="55"/>
        <v/>
      </c>
      <c r="DL25" s="169" t="str">
        <f t="shared" ca="1" si="119"/>
        <v/>
      </c>
      <c r="DM25" s="169" t="str">
        <f t="array" aca="1" ref="DM25" ca="1">IF(ROWS($9:24)&lt;=COUNTIF(Condition27,"o"),INDEX(Liste27,SMALL(IF(Condition27="o",ROW(INDIRECT("1:"&amp;ROWS(Liste27)))),ROWS($9:24))),"")</f>
        <v/>
      </c>
      <c r="DN25" s="175">
        <f t="shared" ca="1" si="56"/>
        <v>0</v>
      </c>
      <c r="DO25" s="175" t="str">
        <f t="shared" ca="1" si="57"/>
        <v/>
      </c>
      <c r="DP25" s="169" t="str">
        <f t="shared" ca="1" si="120"/>
        <v/>
      </c>
      <c r="DQ25" s="169" t="str">
        <f t="array" aca="1" ref="DQ25" ca="1">IF(ROWS($9:24)&lt;=COUNTIF(Condition28,"o"),INDEX(Liste28,SMALL(IF(Condition28="o",ROW(INDIRECT("1:"&amp;ROWS(Liste28)))),ROWS($9:24))),"")</f>
        <v/>
      </c>
      <c r="DR25" s="175">
        <f t="shared" ca="1" si="58"/>
        <v>0</v>
      </c>
      <c r="DS25" s="175" t="str">
        <f t="shared" ca="1" si="59"/>
        <v/>
      </c>
      <c r="DT25" s="169" t="str">
        <f t="shared" ca="1" si="121"/>
        <v/>
      </c>
      <c r="DU25" s="169" t="str">
        <f t="array" aca="1" ref="DU25" ca="1">IF(ROWS($9:24)&lt;=COUNTIF(Condition29,"o"),INDEX(Liste29,SMALL(IF(Condition29="o",ROW(INDIRECT("1:"&amp;ROWS(Liste29)))),ROWS($9:24))),"")</f>
        <v/>
      </c>
      <c r="DV25" s="175">
        <f t="shared" ca="1" si="60"/>
        <v>0</v>
      </c>
      <c r="DW25" s="175" t="str">
        <f t="shared" ca="1" si="61"/>
        <v/>
      </c>
      <c r="DX25" s="169" t="str">
        <f t="shared" ca="1" si="122"/>
        <v/>
      </c>
      <c r="DY25" s="169" t="str">
        <f t="array" aca="1" ref="DY25" ca="1">IF(ROWS($9:24)&lt;=COUNTIF(Condition30,"o"),INDEX(Liste30,SMALL(IF(Condition30="o",ROW(INDIRECT("1:"&amp;ROWS(Liste30)))),ROWS($9:24))),"")</f>
        <v/>
      </c>
      <c r="DZ25" s="175">
        <f t="shared" ca="1" si="62"/>
        <v>0</v>
      </c>
      <c r="EA25" s="175" t="str">
        <f t="shared" ca="1" si="63"/>
        <v/>
      </c>
      <c r="EB25" s="169" t="str">
        <f t="shared" ca="1" si="123"/>
        <v/>
      </c>
      <c r="EC25" s="169" t="str">
        <f t="array" aca="1" ref="EC25" ca="1">IF(ROWS($9:24)&lt;=COUNTIF(Condition31,"o"),INDEX(Liste31,SMALL(IF(Condition31="o",ROW(INDIRECT("1:"&amp;ROWS(Liste31)))),ROWS($9:24))),"")</f>
        <v/>
      </c>
      <c r="ED25" s="175">
        <f t="shared" ca="1" si="64"/>
        <v>0</v>
      </c>
      <c r="EE25" s="175" t="str">
        <f t="shared" ca="1" si="65"/>
        <v/>
      </c>
      <c r="EF25" s="169" t="str">
        <f t="shared" ca="1" si="124"/>
        <v/>
      </c>
      <c r="EG25" s="169" t="str">
        <f t="array" aca="1" ref="EG25" ca="1">IF(ROWS($9:24)&lt;=COUNTIF(Condition32,"o"),INDEX(Liste32,SMALL(IF(Condition32="o",ROW(INDIRECT("1:"&amp;ROWS(Liste32)))),ROWS($9:24))),"")</f>
        <v/>
      </c>
      <c r="EH25" s="175">
        <f t="shared" ca="1" si="66"/>
        <v>0</v>
      </c>
      <c r="EI25" s="175" t="str">
        <f t="shared" ca="1" si="67"/>
        <v/>
      </c>
      <c r="EJ25" s="169" t="str">
        <f t="shared" ca="1" si="125"/>
        <v/>
      </c>
      <c r="EK25" s="169" t="str">
        <f t="array" aca="1" ref="EK25" ca="1">IF(ROWS($9:24)&lt;=COUNTIF(Condition33,"o"),INDEX(Liste33,SMALL(IF(Condition33="o",ROW(INDIRECT("1:"&amp;ROWS(Liste33)))),ROWS($9:24))),"")</f>
        <v/>
      </c>
      <c r="EL25" s="175">
        <f t="shared" ca="1" si="68"/>
        <v>0</v>
      </c>
      <c r="EM25" s="175" t="str">
        <f t="shared" ca="1" si="69"/>
        <v/>
      </c>
      <c r="EN25" s="169" t="str">
        <f t="shared" ca="1" si="126"/>
        <v/>
      </c>
      <c r="EO25" s="169" t="str">
        <f t="array" aca="1" ref="EO25" ca="1">IF(ROWS($9:24)&lt;=COUNTIF(Condition34,"o"),INDEX(Liste34,SMALL(IF(Condition34="o",ROW(INDIRECT("1:"&amp;ROWS(Liste34)))),ROWS($9:24))),"")</f>
        <v/>
      </c>
      <c r="EP25" s="175">
        <f t="shared" ca="1" si="70"/>
        <v>0</v>
      </c>
      <c r="EQ25" s="175" t="str">
        <f t="shared" ca="1" si="71"/>
        <v/>
      </c>
      <c r="ER25" s="169" t="str">
        <f t="shared" ca="1" si="127"/>
        <v/>
      </c>
      <c r="ES25" s="169" t="str">
        <f t="array" aca="1" ref="ES25" ca="1">IF(ROWS($9:24)&lt;=COUNTIF(Condition35,"o"),INDEX(Liste35,SMALL(IF(Condition35="o",ROW(INDIRECT("1:"&amp;ROWS(Liste35)))),ROWS($9:24))),"")</f>
        <v/>
      </c>
      <c r="ET25" s="175">
        <f t="shared" ca="1" si="72"/>
        <v>0</v>
      </c>
      <c r="EU25" s="175" t="str">
        <f t="shared" ca="1" si="73"/>
        <v/>
      </c>
      <c r="EV25" s="169" t="str">
        <f t="shared" ca="1" si="128"/>
        <v/>
      </c>
      <c r="EW25" s="169" t="str">
        <f t="array" aca="1" ref="EW25" ca="1">IF(ROWS($9:24)&lt;=COUNTIF(Condition36,"o"),INDEX(Liste36,SMALL(IF(Condition36="o",ROW(INDIRECT("1:"&amp;ROWS(Liste36)))),ROWS($9:24))),"")</f>
        <v/>
      </c>
      <c r="EX25" s="175">
        <f t="shared" ca="1" si="74"/>
        <v>0</v>
      </c>
      <c r="EY25" s="175" t="str">
        <f t="shared" ca="1" si="75"/>
        <v/>
      </c>
      <c r="EZ25" s="169" t="str">
        <f t="shared" ca="1" si="85"/>
        <v/>
      </c>
      <c r="FA25" s="169" t="str">
        <f t="array" aca="1" ref="FA25" ca="1">IF(ROWS($9:24)&lt;=COUNTIF(Condition36,"o"),INDEX(Liste36,SMALL(IF(Condition36="o",ROW(INDIRECT("1:"&amp;ROWS(Liste36)))),ROWS($9:24))),"")</f>
        <v/>
      </c>
      <c r="FB25" s="175">
        <f t="shared" ca="1" si="76"/>
        <v>0</v>
      </c>
      <c r="FC25" s="175" t="str">
        <f t="shared" ca="1" si="77"/>
        <v/>
      </c>
      <c r="FD25" s="169" t="str">
        <f t="shared" ca="1" si="86"/>
        <v/>
      </c>
      <c r="FE25" s="169" t="str">
        <f t="array" aca="1" ref="FE25" ca="1">IF(ROWS($9:24)&lt;=COUNTIF(condition38,"o"),INDEX(liste38,SMALL(IF(condition38="o",ROW(INDIRECT("1:"&amp;ROWS(liste38)))),ROWS($9:24))),"")</f>
        <v/>
      </c>
      <c r="FF25" s="175">
        <f t="shared" ca="1" si="78"/>
        <v>0</v>
      </c>
      <c r="FG25" s="175" t="str">
        <f t="shared" ca="1" si="79"/>
        <v/>
      </c>
      <c r="FH25" s="169" t="str">
        <f t="shared" ca="1" si="87"/>
        <v/>
      </c>
      <c r="FI25" s="169" t="str">
        <f t="array" aca="1" ref="FI25" ca="1">IF(ROWS($9:24)&lt;=COUNTIF(Condition39,"o"),INDEX(Liste39,SMALL(IF(Condition39="o",ROW(INDIRECT("1:"&amp;ROWS(Liste39)))),ROWS($9:24))),"")</f>
        <v/>
      </c>
      <c r="FM25" s="1" t="s">
        <v>1197</v>
      </c>
      <c r="FN25" s="1" t="s">
        <v>1153</v>
      </c>
      <c r="FO25" s="180">
        <f>'Suivi objectifs'!D17</f>
        <v>0</v>
      </c>
      <c r="FP25" s="1366" t="str">
        <f>'Suivi objectifs'!C17</f>
        <v>Chauffage des bâtiments communaux</v>
      </c>
      <c r="FQ25" s="181" t="str">
        <f ca="1">IF(ISNA(VLOOKUP(FR25,Actions!$G$2:$AP$70,31,0)),"",VLOOKUP(FR25,Actions!$G$2:$AP$70,36,0))</f>
        <v/>
      </c>
      <c r="FR25" s="185" t="str">
        <f t="shared" ca="1" si="88"/>
        <v/>
      </c>
      <c r="FS25" s="286">
        <f t="shared" ca="1" si="80"/>
        <v>0</v>
      </c>
      <c r="FT25" s="181" t="str">
        <f ca="1">IF(ISNA(VLOOKUP(FU25,Actions!$G$2:$AP$70,31,0)),"",VLOOKUP(FU25,Actions!$G$2:$AP$70,36,0))</f>
        <v/>
      </c>
      <c r="FU25" s="185" t="str">
        <f t="shared" ca="1" si="89"/>
        <v/>
      </c>
      <c r="FV25" s="286">
        <f t="shared" ca="1" si="81"/>
        <v>0</v>
      </c>
      <c r="FW25" s="181" t="str">
        <f ca="1">IF(ISNA(VLOOKUP(FX25,Actions!$G$2:$AP$70,31,0)),"",VLOOKUP(FX25,Actions!$G$2:$AP$70,36,0))</f>
        <v/>
      </c>
      <c r="FX25" s="185" t="str">
        <f t="shared" ca="1" si="90"/>
        <v/>
      </c>
      <c r="FY25" s="286">
        <f t="shared" ca="1" si="82"/>
        <v>0</v>
      </c>
      <c r="FZ25" s="181" t="str">
        <f ca="1">IF(ISNA(VLOOKUP(GA25,Actions!$G$2:$AP$70,31,0)),"",VLOOKUP(GA25,Actions!$G$2:$AP$70,36,0))</f>
        <v/>
      </c>
      <c r="GA25" s="185" t="str">
        <f t="shared" ca="1" si="91"/>
        <v/>
      </c>
      <c r="GB25" s="286">
        <f t="shared" ca="1" si="83"/>
        <v>0</v>
      </c>
      <c r="GC25" s="181" t="str">
        <f ca="1">IF(ISNA(VLOOKUP(GD25,Actions!$G$2:$AP$70,31,0)),"",VLOOKUP(GD25,Actions!$G$2:$AP$70,36,0))</f>
        <v/>
      </c>
      <c r="GD25" s="185" t="str">
        <f t="shared" ca="1" si="92"/>
        <v/>
      </c>
      <c r="GE25" s="286">
        <f t="shared" ca="1" si="84"/>
        <v>0</v>
      </c>
      <c r="GF25" s="186">
        <f t="shared" ca="1" si="129"/>
        <v>0</v>
      </c>
      <c r="GG25" s="233"/>
    </row>
    <row r="26" spans="1:189" hidden="1">
      <c r="A26" s="1" t="s">
        <v>844</v>
      </c>
      <c r="B26" s="1">
        <f>Actions!F19</f>
        <v>18</v>
      </c>
      <c r="C26" s="1">
        <f ca="1">Actions!G19</f>
        <v>0</v>
      </c>
      <c r="D26" s="1">
        <f ca="1">Actions!H19</f>
        <v>0</v>
      </c>
      <c r="E26" s="1" t="str">
        <f ca="1">Actions!I19</f>
        <v>-</v>
      </c>
      <c r="F26" s="1" t="str">
        <f t="shared" ca="1" si="0"/>
        <v>-</v>
      </c>
      <c r="G26" s="1" t="e">
        <f t="shared" ca="1" si="1"/>
        <v>#REF!</v>
      </c>
      <c r="I26" s="1">
        <v>18</v>
      </c>
      <c r="J26" s="175">
        <f t="shared" ca="1" si="2"/>
        <v>0</v>
      </c>
      <c r="K26" s="175" t="str">
        <f t="shared" ca="1" si="3"/>
        <v/>
      </c>
      <c r="L26" s="169" t="str">
        <f t="shared" ca="1" si="93"/>
        <v/>
      </c>
      <c r="M26" s="169" t="str">
        <f t="array" aca="1" ref="M26" ca="1">IF(ROWS($9:25)&lt;=COUNTIF(Condition1,"o"),INDEX(Liste1,SMALL(IF(Condition1="o",ROW(INDIRECT("1:"&amp;ROWS(Liste1)))),ROWS($9:25))),"")</f>
        <v/>
      </c>
      <c r="N26" s="175">
        <f t="shared" ca="1" si="4"/>
        <v>0</v>
      </c>
      <c r="O26" s="175" t="str">
        <f t="shared" ca="1" si="5"/>
        <v/>
      </c>
      <c r="P26" s="169" t="str">
        <f t="shared" ca="1" si="94"/>
        <v/>
      </c>
      <c r="Q26" s="169" t="str">
        <f t="array" aca="1" ref="Q26" ca="1">IF(ROWS($9:25)&lt;=COUNTIF(Condition2,"o"),INDEX(Liste2,SMALL(IF(Condition2="o",ROW(INDIRECT("1:"&amp;ROWS(Liste2)))),ROWS($9:25))),"")</f>
        <v/>
      </c>
      <c r="R26" s="175">
        <f t="shared" ca="1" si="6"/>
        <v>0</v>
      </c>
      <c r="S26" s="175" t="str">
        <f t="shared" ca="1" si="7"/>
        <v/>
      </c>
      <c r="T26" s="169" t="str">
        <f t="shared" ca="1" si="95"/>
        <v/>
      </c>
      <c r="U26" s="169" t="str">
        <f t="array" aca="1" ref="U26" ca="1">IF(ROWS($9:25)&lt;=COUNTIF(Condition3,"o"),INDEX(Liste3,SMALL(IF(Condition3="o",ROW(INDIRECT("1:"&amp;ROWS(Liste3)))),ROWS($9:25))),"")</f>
        <v/>
      </c>
      <c r="V26" s="175">
        <f t="shared" ca="1" si="8"/>
        <v>0</v>
      </c>
      <c r="W26" s="175" t="str">
        <f t="shared" ca="1" si="9"/>
        <v/>
      </c>
      <c r="X26" s="169" t="str">
        <f t="shared" ca="1" si="96"/>
        <v/>
      </c>
      <c r="Y26" s="169" t="str">
        <f t="array" aca="1" ref="Y26" ca="1">IF(ROWS($9:25)&lt;=COUNTIF(Condition4,"o"),INDEX(Liste4,SMALL(IF(Condition4="o",ROW(INDIRECT("1:"&amp;ROWS(Liste4)))),ROWS($9:25))),"")</f>
        <v/>
      </c>
      <c r="Z26" s="175">
        <f t="shared" ca="1" si="10"/>
        <v>0</v>
      </c>
      <c r="AA26" s="175" t="str">
        <f t="shared" ca="1" si="11"/>
        <v/>
      </c>
      <c r="AB26" s="169" t="str">
        <f t="shared" ca="1" si="97"/>
        <v/>
      </c>
      <c r="AC26" s="169" t="str">
        <f t="array" aca="1" ref="AC26" ca="1">IF(ROWS($9:25)&lt;=COUNTIF(Condition5,"o"),INDEX(Liste5,SMALL(IF(Condition5="o",ROW(INDIRECT("1:"&amp;ROWS(Liste5)))),ROWS($9:25))),"")</f>
        <v/>
      </c>
      <c r="AD26" s="175">
        <f t="shared" ca="1" si="12"/>
        <v>0</v>
      </c>
      <c r="AE26" s="175" t="str">
        <f t="shared" ca="1" si="13"/>
        <v/>
      </c>
      <c r="AF26" s="169" t="str">
        <f t="shared" ca="1" si="98"/>
        <v/>
      </c>
      <c r="AG26" s="169" t="str">
        <f t="array" aca="1" ref="AG26" ca="1">IF(ROWS($9:25)&lt;=COUNTIF(Condition6,"o"),INDEX(Liste6,SMALL(IF(Condition6="o",ROW(INDIRECT("1:"&amp;ROWS(Liste6)))),ROWS($9:25))),"")</f>
        <v/>
      </c>
      <c r="AH26" s="175">
        <f t="shared" ca="1" si="14"/>
        <v>0</v>
      </c>
      <c r="AI26" s="175" t="str">
        <f t="shared" ca="1" si="15"/>
        <v/>
      </c>
      <c r="AJ26" s="169" t="str">
        <f t="shared" ca="1" si="99"/>
        <v/>
      </c>
      <c r="AK26" s="169" t="str">
        <f t="array" aca="1" ref="AK26" ca="1">IF(ROWS($9:25)&lt;=COUNTIF(Condition7,"o"),INDEX(Liste7,SMALL(IF(Condition7="o",ROW(INDIRECT("1:"&amp;ROWS(Liste7)))),ROWS($9:25))),"")</f>
        <v/>
      </c>
      <c r="AL26" s="175">
        <f t="shared" ca="1" si="16"/>
        <v>0</v>
      </c>
      <c r="AM26" s="175" t="str">
        <f t="shared" ca="1" si="17"/>
        <v/>
      </c>
      <c r="AN26" s="169" t="str">
        <f t="shared" ca="1" si="100"/>
        <v/>
      </c>
      <c r="AO26" s="169" t="str">
        <f t="array" aca="1" ref="AO26" ca="1">IF(ROWS($9:25)&lt;=COUNTIF(Condition8,"o"),INDEX(Liste8,SMALL(IF(Condition8="o",ROW(INDIRECT("1:"&amp;ROWS(Liste8)))),ROWS($9:25))),"")</f>
        <v/>
      </c>
      <c r="AP26" s="175">
        <f t="shared" ca="1" si="18"/>
        <v>0</v>
      </c>
      <c r="AQ26" s="175" t="str">
        <f t="shared" ca="1" si="19"/>
        <v/>
      </c>
      <c r="AR26" s="169" t="str">
        <f t="shared" ca="1" si="101"/>
        <v/>
      </c>
      <c r="AS26" s="169" t="str">
        <f t="array" aca="1" ref="AS26" ca="1">IF(ROWS($9:25)&lt;=COUNTIF(Condition9,"o"),INDEX(Liste9,SMALL(IF(Condition9="o",ROW(INDIRECT("1:"&amp;ROWS(Liste9)))),ROWS($9:25))),"")</f>
        <v/>
      </c>
      <c r="AT26" s="175">
        <f t="shared" ca="1" si="20"/>
        <v>0</v>
      </c>
      <c r="AU26" s="175" t="str">
        <f t="shared" ca="1" si="21"/>
        <v/>
      </c>
      <c r="AV26" s="169" t="str">
        <f t="shared" ca="1" si="102"/>
        <v/>
      </c>
      <c r="AW26" s="169" t="str">
        <f t="array" aca="1" ref="AW26" ca="1">IF(ROWS($9:25)&lt;=COUNTIF(Condition10,"o"),INDEX(Liste10,SMALL(IF(Condition10="o",ROW(INDIRECT("1:"&amp;ROWS(Liste10)))),ROWS($9:25))),"")</f>
        <v/>
      </c>
      <c r="AX26" s="175">
        <f t="shared" ca="1" si="22"/>
        <v>0</v>
      </c>
      <c r="AY26" s="175" t="str">
        <f t="shared" ca="1" si="23"/>
        <v/>
      </c>
      <c r="AZ26" s="169" t="str">
        <f t="shared" ca="1" si="103"/>
        <v/>
      </c>
      <c r="BA26" s="169" t="str">
        <f t="array" aca="1" ref="BA26" ca="1">IF(ROWS($9:25)&lt;=COUNTIF(Condition11,"o"),INDEX(Liste11,SMALL(IF(Condition11="o",ROW(INDIRECT("1:"&amp;ROWS(Liste11)))),ROWS($9:25))),"")</f>
        <v/>
      </c>
      <c r="BB26" s="175">
        <f t="shared" ca="1" si="24"/>
        <v>0</v>
      </c>
      <c r="BC26" s="175" t="str">
        <f t="shared" ca="1" si="25"/>
        <v/>
      </c>
      <c r="BD26" s="169" t="str">
        <f t="shared" ca="1" si="104"/>
        <v/>
      </c>
      <c r="BE26" s="169" t="str">
        <f t="array" aca="1" ref="BE26" ca="1">IF(ROWS($9:25)&lt;=COUNTIF(Condition12,"o"),INDEX(Liste12,SMALL(IF(Condition12="o",ROW(INDIRECT("1:"&amp;ROWS(Liste12)))),ROWS($9:25))),"")</f>
        <v/>
      </c>
      <c r="BF26" s="175">
        <f t="shared" ca="1" si="26"/>
        <v>0</v>
      </c>
      <c r="BG26" s="175" t="str">
        <f t="shared" ca="1" si="27"/>
        <v/>
      </c>
      <c r="BH26" s="169" t="str">
        <f t="shared" ca="1" si="105"/>
        <v/>
      </c>
      <c r="BI26" s="169" t="str">
        <f t="array" aca="1" ref="BI26" ca="1">IF(ROWS($9:25)&lt;=COUNTIF(Condition13,"o"),INDEX(Liste13,SMALL(IF(Condition13="o",ROW(INDIRECT("1:"&amp;ROWS(Liste13)))),ROWS($9:25))),"")</f>
        <v/>
      </c>
      <c r="BJ26" s="175">
        <f t="shared" ca="1" si="28"/>
        <v>0</v>
      </c>
      <c r="BK26" s="175" t="str">
        <f t="shared" ca="1" si="29"/>
        <v/>
      </c>
      <c r="BL26" s="169" t="str">
        <f t="shared" ca="1" si="106"/>
        <v/>
      </c>
      <c r="BM26" s="169" t="str">
        <f t="array" aca="1" ref="BM26" ca="1">IF(ROWS($9:25)&lt;=COUNTIF(Condition14,"o"),INDEX(Liste14,SMALL(IF(Condition14="o",ROW(INDIRECT("1:"&amp;ROWS(Liste14)))),ROWS($9:25))),"")</f>
        <v/>
      </c>
      <c r="BN26" s="175">
        <f t="shared" ca="1" si="30"/>
        <v>0</v>
      </c>
      <c r="BO26" s="175" t="str">
        <f t="shared" ca="1" si="31"/>
        <v/>
      </c>
      <c r="BP26" s="169" t="str">
        <f t="shared" ca="1" si="107"/>
        <v/>
      </c>
      <c r="BQ26" s="169" t="str">
        <f t="array" aca="1" ref="BQ26" ca="1">IF(ROWS($9:25)&lt;=COUNTIF(Condition15,"o"),INDEX(Liste15,SMALL(IF(Condition15="o",ROW(INDIRECT("1:"&amp;ROWS(Liste15)))),ROWS($9:25))),"")</f>
        <v/>
      </c>
      <c r="BR26" s="175">
        <f t="shared" ca="1" si="32"/>
        <v>0</v>
      </c>
      <c r="BS26" s="175" t="str">
        <f t="shared" ca="1" si="33"/>
        <v/>
      </c>
      <c r="BT26" s="169" t="str">
        <f t="shared" ca="1" si="108"/>
        <v/>
      </c>
      <c r="BU26" s="169" t="str">
        <f t="array" aca="1" ref="BU26" ca="1">IF(ROWS($9:25)&lt;=COUNTIF(Condition16,"o"),INDEX(Liste16,SMALL(IF(Condition16="o",ROW(INDIRECT("1:"&amp;ROWS(Liste16)))),ROWS($9:25))),"")</f>
        <v/>
      </c>
      <c r="BV26" s="175">
        <f t="shared" ca="1" si="34"/>
        <v>0</v>
      </c>
      <c r="BW26" s="175" t="str">
        <f t="shared" ca="1" si="35"/>
        <v/>
      </c>
      <c r="BX26" s="169" t="str">
        <f t="shared" ca="1" si="109"/>
        <v/>
      </c>
      <c r="BY26" s="169" t="str">
        <f t="array" aca="1" ref="BY26" ca="1">IF(ROWS($9:25)&lt;=COUNTIF(Condition17,"o"),INDEX(Liste17,SMALL(IF(Condition17="o",ROW(INDIRECT("1:"&amp;ROWS(Liste17)))),ROWS($9:25))),"")</f>
        <v/>
      </c>
      <c r="BZ26" s="175">
        <f t="shared" ca="1" si="36"/>
        <v>0</v>
      </c>
      <c r="CA26" s="175" t="str">
        <f t="shared" ca="1" si="37"/>
        <v/>
      </c>
      <c r="CB26" s="169" t="str">
        <f t="shared" ca="1" si="110"/>
        <v/>
      </c>
      <c r="CC26" s="169" t="str">
        <f t="array" aca="1" ref="CC26" ca="1">IF(ROWS($9:25)&lt;=COUNTIF(Condition18,"o"),INDEX(Liste18,SMALL(IF(Condition18="o",ROW(INDIRECT("1:"&amp;ROWS(Liste18)))),ROWS($9:25))),"")</f>
        <v/>
      </c>
      <c r="CD26" s="175">
        <f t="shared" ca="1" si="38"/>
        <v>0</v>
      </c>
      <c r="CE26" s="175" t="str">
        <f t="shared" ca="1" si="39"/>
        <v/>
      </c>
      <c r="CF26" s="169" t="str">
        <f t="shared" ca="1" si="111"/>
        <v/>
      </c>
      <c r="CG26" s="169" t="str">
        <f t="array" aca="1" ref="CG26" ca="1">IF(ROWS($9:25)&lt;=COUNTIF(Condition19,"o"),INDEX(Liste19,SMALL(IF(Condition19="o",ROW(INDIRECT("1:"&amp;ROWS(Liste19)))),ROWS($9:25))),"")</f>
        <v/>
      </c>
      <c r="CH26" s="175">
        <f t="shared" ca="1" si="40"/>
        <v>0</v>
      </c>
      <c r="CI26" s="175" t="str">
        <f t="shared" ca="1" si="41"/>
        <v/>
      </c>
      <c r="CJ26" s="169" t="str">
        <f t="shared" ca="1" si="112"/>
        <v/>
      </c>
      <c r="CK26" s="169" t="str">
        <f t="array" aca="1" ref="CK26" ca="1">IF(ROWS($9:25)&lt;=COUNTIF(Condition20,"o"),INDEX(Liste20,SMALL(IF(Condition20="o",ROW(INDIRECT("1:"&amp;ROWS(Liste20)))),ROWS($9:25))),"")</f>
        <v/>
      </c>
      <c r="CL26" s="175">
        <f t="shared" ca="1" si="42"/>
        <v>0</v>
      </c>
      <c r="CM26" s="175" t="str">
        <f t="shared" ca="1" si="43"/>
        <v/>
      </c>
      <c r="CN26" s="169" t="str">
        <f t="shared" ca="1" si="113"/>
        <v/>
      </c>
      <c r="CO26" s="169" t="str">
        <f t="array" aca="1" ref="CO26" ca="1">IF(ROWS($9:25)&lt;=COUNTIF(Condition21,"o"),INDEX(Liste21,SMALL(IF(Condition21="o",ROW(INDIRECT("1:"&amp;ROWS(Liste21)))),ROWS($9:25))),"")</f>
        <v/>
      </c>
      <c r="CP26" s="175">
        <f t="shared" ca="1" si="44"/>
        <v>0</v>
      </c>
      <c r="CQ26" s="175" t="str">
        <f t="shared" ca="1" si="45"/>
        <v/>
      </c>
      <c r="CR26" s="169" t="str">
        <f t="shared" ca="1" si="114"/>
        <v/>
      </c>
      <c r="CS26" s="169" t="str">
        <f t="array" aca="1" ref="CS26" ca="1">IF(ROWS($9:25)&lt;=COUNTIF(Condition22,"o"),INDEX(Liste22,SMALL(IF(Condition22="o",ROW(INDIRECT("1:"&amp;ROWS(Liste22)))),ROWS($9:25))),"")</f>
        <v/>
      </c>
      <c r="CT26" s="175">
        <f t="shared" ca="1" si="46"/>
        <v>0</v>
      </c>
      <c r="CU26" s="175" t="str">
        <f t="shared" ca="1" si="47"/>
        <v/>
      </c>
      <c r="CV26" s="169" t="str">
        <f t="shared" ca="1" si="115"/>
        <v/>
      </c>
      <c r="CW26" s="169" t="str">
        <f t="array" aca="1" ref="CW26" ca="1">IF(ROWS($9:25)&lt;=COUNTIF(Condition23,"o"),INDEX(Liste23,SMALL(IF(Condition23="o",ROW(INDIRECT("1:"&amp;ROWS(Liste23)))),ROWS($9:25))),"")</f>
        <v/>
      </c>
      <c r="CX26" s="175">
        <f t="shared" ca="1" si="48"/>
        <v>0</v>
      </c>
      <c r="CY26" s="175" t="str">
        <f t="shared" ca="1" si="49"/>
        <v/>
      </c>
      <c r="CZ26" s="169" t="str">
        <f t="shared" ca="1" si="116"/>
        <v/>
      </c>
      <c r="DA26" s="169" t="str">
        <f t="array" aca="1" ref="DA26" ca="1">IF(ROWS($9:25)&lt;=COUNTIF(Condition24,"o"),INDEX(Liste24,SMALL(IF(Condition24="o",ROW(INDIRECT("1:"&amp;ROWS(Liste24)))),ROWS($9:25))),"")</f>
        <v/>
      </c>
      <c r="DB26" s="175">
        <f t="shared" ca="1" si="50"/>
        <v>0</v>
      </c>
      <c r="DC26" s="175" t="str">
        <f t="shared" ca="1" si="51"/>
        <v/>
      </c>
      <c r="DD26" s="169" t="str">
        <f t="shared" ca="1" si="117"/>
        <v/>
      </c>
      <c r="DE26" s="169" t="str">
        <f t="array" aca="1" ref="DE26" ca="1">IF(ROWS($9:25)&lt;=COUNTIF(Condition25,"o"),INDEX(Liste25,SMALL(IF(Condition25="o",ROW(INDIRECT("1:"&amp;ROWS(Liste25)))),ROWS($9:25))),"")</f>
        <v/>
      </c>
      <c r="DF26" s="175">
        <f t="shared" ca="1" si="52"/>
        <v>0</v>
      </c>
      <c r="DG26" s="175" t="str">
        <f t="shared" ca="1" si="53"/>
        <v/>
      </c>
      <c r="DH26" s="169" t="str">
        <f t="shared" ca="1" si="118"/>
        <v/>
      </c>
      <c r="DI26" s="169" t="str">
        <f t="array" aca="1" ref="DI26" ca="1">IF(ROWS($9:25)&lt;=COUNTIF(Condition26,"o"),INDEX(Liste26,SMALL(IF(Condition26="o",ROW(INDIRECT("1:"&amp;ROWS(Liste26)))),ROWS($9:25))),"")</f>
        <v/>
      </c>
      <c r="DJ26" s="175">
        <f t="shared" ca="1" si="54"/>
        <v>0</v>
      </c>
      <c r="DK26" s="175" t="str">
        <f t="shared" ca="1" si="55"/>
        <v/>
      </c>
      <c r="DL26" s="169" t="str">
        <f t="shared" ca="1" si="119"/>
        <v/>
      </c>
      <c r="DM26" s="169" t="str">
        <f t="array" aca="1" ref="DM26" ca="1">IF(ROWS($9:25)&lt;=COUNTIF(Condition27,"o"),INDEX(Liste27,SMALL(IF(Condition27="o",ROW(INDIRECT("1:"&amp;ROWS(Liste27)))),ROWS($9:25))),"")</f>
        <v/>
      </c>
      <c r="DN26" s="175">
        <f t="shared" ca="1" si="56"/>
        <v>0</v>
      </c>
      <c r="DO26" s="175" t="str">
        <f t="shared" ca="1" si="57"/>
        <v/>
      </c>
      <c r="DP26" s="169" t="str">
        <f t="shared" ca="1" si="120"/>
        <v/>
      </c>
      <c r="DQ26" s="169" t="str">
        <f t="array" aca="1" ref="DQ26" ca="1">IF(ROWS($9:25)&lt;=COUNTIF(Condition28,"o"),INDEX(Liste28,SMALL(IF(Condition28="o",ROW(INDIRECT("1:"&amp;ROWS(Liste28)))),ROWS($9:25))),"")</f>
        <v/>
      </c>
      <c r="DR26" s="175">
        <f t="shared" ca="1" si="58"/>
        <v>0</v>
      </c>
      <c r="DS26" s="175" t="str">
        <f t="shared" ca="1" si="59"/>
        <v/>
      </c>
      <c r="DT26" s="169" t="str">
        <f t="shared" ca="1" si="121"/>
        <v/>
      </c>
      <c r="DU26" s="169" t="str">
        <f t="array" aca="1" ref="DU26" ca="1">IF(ROWS($9:25)&lt;=COUNTIF(Condition29,"o"),INDEX(Liste29,SMALL(IF(Condition29="o",ROW(INDIRECT("1:"&amp;ROWS(Liste29)))),ROWS($9:25))),"")</f>
        <v/>
      </c>
      <c r="DV26" s="175">
        <f t="shared" ca="1" si="60"/>
        <v>0</v>
      </c>
      <c r="DW26" s="175" t="str">
        <f t="shared" ca="1" si="61"/>
        <v/>
      </c>
      <c r="DX26" s="169" t="str">
        <f t="shared" ca="1" si="122"/>
        <v/>
      </c>
      <c r="DY26" s="169" t="str">
        <f t="array" aca="1" ref="DY26" ca="1">IF(ROWS($9:25)&lt;=COUNTIF(Condition30,"o"),INDEX(Liste30,SMALL(IF(Condition30="o",ROW(INDIRECT("1:"&amp;ROWS(Liste30)))),ROWS($9:25))),"")</f>
        <v/>
      </c>
      <c r="DZ26" s="175">
        <f t="shared" ca="1" si="62"/>
        <v>0</v>
      </c>
      <c r="EA26" s="175" t="str">
        <f t="shared" ca="1" si="63"/>
        <v/>
      </c>
      <c r="EB26" s="169" t="str">
        <f t="shared" ca="1" si="123"/>
        <v/>
      </c>
      <c r="EC26" s="169" t="str">
        <f t="array" aca="1" ref="EC26" ca="1">IF(ROWS($9:25)&lt;=COUNTIF(Condition31,"o"),INDEX(Liste31,SMALL(IF(Condition31="o",ROW(INDIRECT("1:"&amp;ROWS(Liste31)))),ROWS($9:25))),"")</f>
        <v/>
      </c>
      <c r="ED26" s="175">
        <f t="shared" ca="1" si="64"/>
        <v>0</v>
      </c>
      <c r="EE26" s="175" t="str">
        <f t="shared" ca="1" si="65"/>
        <v/>
      </c>
      <c r="EF26" s="169" t="str">
        <f t="shared" ca="1" si="124"/>
        <v/>
      </c>
      <c r="EG26" s="169" t="str">
        <f t="array" aca="1" ref="EG26" ca="1">IF(ROWS($9:25)&lt;=COUNTIF(Condition32,"o"),INDEX(Liste32,SMALL(IF(Condition32="o",ROW(INDIRECT("1:"&amp;ROWS(Liste32)))),ROWS($9:25))),"")</f>
        <v/>
      </c>
      <c r="EH26" s="175">
        <f t="shared" ca="1" si="66"/>
        <v>0</v>
      </c>
      <c r="EI26" s="175" t="str">
        <f t="shared" ca="1" si="67"/>
        <v/>
      </c>
      <c r="EJ26" s="169" t="str">
        <f t="shared" ca="1" si="125"/>
        <v/>
      </c>
      <c r="EK26" s="169" t="str">
        <f t="array" aca="1" ref="EK26" ca="1">IF(ROWS($9:25)&lt;=COUNTIF(Condition33,"o"),INDEX(Liste33,SMALL(IF(Condition33="o",ROW(INDIRECT("1:"&amp;ROWS(Liste33)))),ROWS($9:25))),"")</f>
        <v/>
      </c>
      <c r="EL26" s="175">
        <f t="shared" ca="1" si="68"/>
        <v>0</v>
      </c>
      <c r="EM26" s="175" t="str">
        <f t="shared" ca="1" si="69"/>
        <v/>
      </c>
      <c r="EN26" s="169" t="str">
        <f t="shared" ca="1" si="126"/>
        <v/>
      </c>
      <c r="EO26" s="169" t="str">
        <f t="array" aca="1" ref="EO26" ca="1">IF(ROWS($9:25)&lt;=COUNTIF(Condition34,"o"),INDEX(Liste34,SMALL(IF(Condition34="o",ROW(INDIRECT("1:"&amp;ROWS(Liste34)))),ROWS($9:25))),"")</f>
        <v/>
      </c>
      <c r="EP26" s="175">
        <f t="shared" ca="1" si="70"/>
        <v>0</v>
      </c>
      <c r="EQ26" s="175" t="str">
        <f t="shared" ca="1" si="71"/>
        <v/>
      </c>
      <c r="ER26" s="169" t="str">
        <f t="shared" ca="1" si="127"/>
        <v/>
      </c>
      <c r="ES26" s="169" t="str">
        <f t="array" aca="1" ref="ES26" ca="1">IF(ROWS($9:25)&lt;=COUNTIF(Condition35,"o"),INDEX(Liste35,SMALL(IF(Condition35="o",ROW(INDIRECT("1:"&amp;ROWS(Liste35)))),ROWS($9:25))),"")</f>
        <v/>
      </c>
      <c r="ET26" s="175">
        <f t="shared" ca="1" si="72"/>
        <v>0</v>
      </c>
      <c r="EU26" s="175" t="str">
        <f t="shared" ca="1" si="73"/>
        <v/>
      </c>
      <c r="EV26" s="169" t="str">
        <f t="shared" ca="1" si="128"/>
        <v/>
      </c>
      <c r="EW26" s="169" t="str">
        <f t="array" aca="1" ref="EW26" ca="1">IF(ROWS($9:25)&lt;=COUNTIF(Condition36,"o"),INDEX(Liste36,SMALL(IF(Condition36="o",ROW(INDIRECT("1:"&amp;ROWS(Liste36)))),ROWS($9:25))),"")</f>
        <v/>
      </c>
      <c r="EX26" s="175">
        <f t="shared" ca="1" si="74"/>
        <v>0</v>
      </c>
      <c r="EY26" s="175" t="str">
        <f t="shared" ca="1" si="75"/>
        <v/>
      </c>
      <c r="EZ26" s="169" t="str">
        <f t="shared" ca="1" si="85"/>
        <v/>
      </c>
      <c r="FA26" s="169" t="str">
        <f t="array" aca="1" ref="FA26" ca="1">IF(ROWS($9:25)&lt;=COUNTIF(Condition36,"o"),INDEX(Liste36,SMALL(IF(Condition36="o",ROW(INDIRECT("1:"&amp;ROWS(Liste36)))),ROWS($9:25))),"")</f>
        <v/>
      </c>
      <c r="FB26" s="175">
        <f t="shared" ca="1" si="76"/>
        <v>0</v>
      </c>
      <c r="FC26" s="175" t="str">
        <f t="shared" ca="1" si="77"/>
        <v/>
      </c>
      <c r="FD26" s="169" t="str">
        <f t="shared" ca="1" si="86"/>
        <v/>
      </c>
      <c r="FE26" s="169" t="str">
        <f t="array" aca="1" ref="FE26" ca="1">IF(ROWS($9:25)&lt;=COUNTIF(condition38,"o"),INDEX(liste38,SMALL(IF(condition38="o",ROW(INDIRECT("1:"&amp;ROWS(liste38)))),ROWS($9:25))),"")</f>
        <v/>
      </c>
      <c r="FF26" s="175">
        <f t="shared" ca="1" si="78"/>
        <v>0</v>
      </c>
      <c r="FG26" s="175" t="str">
        <f t="shared" ca="1" si="79"/>
        <v/>
      </c>
      <c r="FH26" s="169" t="str">
        <f t="shared" ca="1" si="87"/>
        <v/>
      </c>
      <c r="FI26" s="169" t="str">
        <f t="array" aca="1" ref="FI26" ca="1">IF(ROWS($9:25)&lt;=COUNTIF(Condition39,"o"),INDEX(Liste39,SMALL(IF(Condition39="o",ROW(INDIRECT("1:"&amp;ROWS(Liste39)))),ROWS($9:25))),"")</f>
        <v/>
      </c>
      <c r="FM26" s="1" t="s">
        <v>1198</v>
      </c>
      <c r="FN26" s="1" t="s">
        <v>1154</v>
      </c>
      <c r="FO26" s="180">
        <f>'Suivi objectifs'!D18</f>
        <v>0</v>
      </c>
      <c r="FP26" s="1366" t="str">
        <f>'Suivi objectifs'!C18</f>
        <v>Chauffage des bâtiments du tertiaire</v>
      </c>
      <c r="FQ26" s="181" t="str">
        <f ca="1">IF(ISNA(VLOOKUP(FR26,Actions!$G$2:$AP$70,31,0)),"",VLOOKUP(FR26,Actions!$G$2:$AP$70,36,0))</f>
        <v/>
      </c>
      <c r="FR26" s="185" t="str">
        <f t="shared" ca="1" si="88"/>
        <v/>
      </c>
      <c r="FS26" s="869">
        <f t="shared" ca="1" si="80"/>
        <v>0</v>
      </c>
      <c r="FT26" s="181" t="str">
        <f ca="1">IF(ISNA(VLOOKUP(FU26,Actions!$G$2:$AP$70,31,0)),"",VLOOKUP(FU26,Actions!$G$2:$AP$70,36,0))</f>
        <v/>
      </c>
      <c r="FU26" s="185" t="str">
        <f t="shared" ca="1" si="89"/>
        <v/>
      </c>
      <c r="FV26" s="286">
        <f t="shared" ca="1" si="81"/>
        <v>0</v>
      </c>
      <c r="FW26" s="181" t="str">
        <f ca="1">IF(ISNA(VLOOKUP(FX26,Actions!$G$2:$AP$70,31,0)),"",VLOOKUP(FX26,Actions!$G$2:$AP$70,36,0))</f>
        <v/>
      </c>
      <c r="FX26" s="185" t="str">
        <f t="shared" ca="1" si="90"/>
        <v/>
      </c>
      <c r="FY26" s="286">
        <f t="shared" ca="1" si="82"/>
        <v>0</v>
      </c>
      <c r="FZ26" s="181" t="str">
        <f ca="1">IF(ISNA(VLOOKUP(GA26,Actions!$G$2:$AP$70,31,0)),"",VLOOKUP(GA26,Actions!$G$2:$AP$70,36,0))</f>
        <v/>
      </c>
      <c r="GA26" s="185" t="str">
        <f t="shared" ca="1" si="91"/>
        <v/>
      </c>
      <c r="GB26" s="286">
        <f t="shared" ca="1" si="83"/>
        <v>0</v>
      </c>
      <c r="GC26" s="181" t="str">
        <f ca="1">IF(ISNA(VLOOKUP(GD26,Actions!$G$2:$AP$70,31,0)),"",VLOOKUP(GD26,Actions!$G$2:$AP$70,36,0))</f>
        <v/>
      </c>
      <c r="GD26" s="185" t="str">
        <f t="shared" ca="1" si="92"/>
        <v/>
      </c>
      <c r="GE26" s="286">
        <f t="shared" ca="1" si="84"/>
        <v>0</v>
      </c>
      <c r="GF26" s="186">
        <f t="shared" ca="1" si="129"/>
        <v>0</v>
      </c>
      <c r="GG26" s="233"/>
    </row>
    <row r="27" spans="1:189" hidden="1">
      <c r="A27" s="1" t="s">
        <v>851</v>
      </c>
      <c r="B27" s="1">
        <f>Actions!F20</f>
        <v>19</v>
      </c>
      <c r="C27" s="1">
        <f ca="1">Actions!G20</f>
        <v>0</v>
      </c>
      <c r="D27" s="1">
        <f ca="1">Actions!H20</f>
        <v>0</v>
      </c>
      <c r="E27" s="1" t="str">
        <f ca="1">Actions!I20</f>
        <v>-</v>
      </c>
      <c r="F27" s="1" t="str">
        <f t="shared" ca="1" si="0"/>
        <v>-</v>
      </c>
      <c r="G27" s="1" t="e">
        <f t="shared" ca="1" si="1"/>
        <v>#REF!</v>
      </c>
      <c r="I27" s="1">
        <v>19</v>
      </c>
      <c r="J27" s="175">
        <f t="shared" ca="1" si="2"/>
        <v>0</v>
      </c>
      <c r="K27" s="175" t="str">
        <f t="shared" ca="1" si="3"/>
        <v/>
      </c>
      <c r="L27" s="169" t="str">
        <f t="shared" ca="1" si="93"/>
        <v/>
      </c>
      <c r="M27" s="169" t="str">
        <f t="array" aca="1" ref="M27" ca="1">IF(ROWS($9:26)&lt;=COUNTIF(Condition1,"o"),INDEX(Liste1,SMALL(IF(Condition1="o",ROW(INDIRECT("1:"&amp;ROWS(Liste1)))),ROWS($9:26))),"")</f>
        <v/>
      </c>
      <c r="N27" s="175">
        <f t="shared" ca="1" si="4"/>
        <v>0</v>
      </c>
      <c r="O27" s="175" t="str">
        <f t="shared" ca="1" si="5"/>
        <v/>
      </c>
      <c r="P27" s="169" t="str">
        <f t="shared" ca="1" si="94"/>
        <v/>
      </c>
      <c r="Q27" s="169" t="str">
        <f t="array" aca="1" ref="Q27" ca="1">IF(ROWS($9:26)&lt;=COUNTIF(Condition2,"o"),INDEX(Liste2,SMALL(IF(Condition2="o",ROW(INDIRECT("1:"&amp;ROWS(Liste2)))),ROWS($9:26))),"")</f>
        <v/>
      </c>
      <c r="R27" s="175">
        <f t="shared" ca="1" si="6"/>
        <v>0</v>
      </c>
      <c r="S27" s="175" t="str">
        <f t="shared" ca="1" si="7"/>
        <v/>
      </c>
      <c r="T27" s="169" t="str">
        <f t="shared" ca="1" si="95"/>
        <v/>
      </c>
      <c r="U27" s="169" t="str">
        <f t="array" aca="1" ref="U27" ca="1">IF(ROWS($9:26)&lt;=COUNTIF(Condition3,"o"),INDEX(Liste3,SMALL(IF(Condition3="o",ROW(INDIRECT("1:"&amp;ROWS(Liste3)))),ROWS($9:26))),"")</f>
        <v/>
      </c>
      <c r="V27" s="175">
        <f t="shared" ca="1" si="8"/>
        <v>0</v>
      </c>
      <c r="W27" s="175" t="str">
        <f t="shared" ca="1" si="9"/>
        <v/>
      </c>
      <c r="X27" s="169" t="str">
        <f t="shared" ca="1" si="96"/>
        <v/>
      </c>
      <c r="Y27" s="169" t="str">
        <f t="array" aca="1" ref="Y27" ca="1">IF(ROWS($9:26)&lt;=COUNTIF(Condition4,"o"),INDEX(Liste4,SMALL(IF(Condition4="o",ROW(INDIRECT("1:"&amp;ROWS(Liste4)))),ROWS($9:26))),"")</f>
        <v/>
      </c>
      <c r="Z27" s="175">
        <f t="shared" ca="1" si="10"/>
        <v>0</v>
      </c>
      <c r="AA27" s="175" t="str">
        <f t="shared" ca="1" si="11"/>
        <v/>
      </c>
      <c r="AB27" s="169" t="str">
        <f t="shared" ca="1" si="97"/>
        <v/>
      </c>
      <c r="AC27" s="169" t="str">
        <f t="array" aca="1" ref="AC27" ca="1">IF(ROWS($9:26)&lt;=COUNTIF(Condition5,"o"),INDEX(Liste5,SMALL(IF(Condition5="o",ROW(INDIRECT("1:"&amp;ROWS(Liste5)))),ROWS($9:26))),"")</f>
        <v/>
      </c>
      <c r="AD27" s="175">
        <f t="shared" ca="1" si="12"/>
        <v>0</v>
      </c>
      <c r="AE27" s="175" t="str">
        <f t="shared" ca="1" si="13"/>
        <v/>
      </c>
      <c r="AF27" s="169" t="str">
        <f t="shared" ca="1" si="98"/>
        <v/>
      </c>
      <c r="AG27" s="169" t="str">
        <f t="array" aca="1" ref="AG27" ca="1">IF(ROWS($9:26)&lt;=COUNTIF(Condition6,"o"),INDEX(Liste6,SMALL(IF(Condition6="o",ROW(INDIRECT("1:"&amp;ROWS(Liste6)))),ROWS($9:26))),"")</f>
        <v/>
      </c>
      <c r="AH27" s="175">
        <f t="shared" ca="1" si="14"/>
        <v>0</v>
      </c>
      <c r="AI27" s="175" t="str">
        <f t="shared" ca="1" si="15"/>
        <v/>
      </c>
      <c r="AJ27" s="169" t="str">
        <f t="shared" ca="1" si="99"/>
        <v/>
      </c>
      <c r="AK27" s="169" t="str">
        <f t="array" aca="1" ref="AK27" ca="1">IF(ROWS($9:26)&lt;=COUNTIF(Condition7,"o"),INDEX(Liste7,SMALL(IF(Condition7="o",ROW(INDIRECT("1:"&amp;ROWS(Liste7)))),ROWS($9:26))),"")</f>
        <v/>
      </c>
      <c r="AL27" s="175">
        <f t="shared" ca="1" si="16"/>
        <v>0</v>
      </c>
      <c r="AM27" s="175" t="str">
        <f t="shared" ca="1" si="17"/>
        <v/>
      </c>
      <c r="AN27" s="169" t="str">
        <f t="shared" ca="1" si="100"/>
        <v/>
      </c>
      <c r="AO27" s="169" t="str">
        <f t="array" aca="1" ref="AO27" ca="1">IF(ROWS($9:26)&lt;=COUNTIF(Condition8,"o"),INDEX(Liste8,SMALL(IF(Condition8="o",ROW(INDIRECT("1:"&amp;ROWS(Liste8)))),ROWS($9:26))),"")</f>
        <v/>
      </c>
      <c r="AP27" s="175">
        <f t="shared" ca="1" si="18"/>
        <v>0</v>
      </c>
      <c r="AQ27" s="175" t="str">
        <f t="shared" ca="1" si="19"/>
        <v/>
      </c>
      <c r="AR27" s="169" t="str">
        <f t="shared" ca="1" si="101"/>
        <v/>
      </c>
      <c r="AS27" s="169" t="str">
        <f t="array" aca="1" ref="AS27" ca="1">IF(ROWS($9:26)&lt;=COUNTIF(Condition9,"o"),INDEX(Liste9,SMALL(IF(Condition9="o",ROW(INDIRECT("1:"&amp;ROWS(Liste9)))),ROWS($9:26))),"")</f>
        <v/>
      </c>
      <c r="AT27" s="175">
        <f t="shared" ca="1" si="20"/>
        <v>0</v>
      </c>
      <c r="AU27" s="175" t="str">
        <f t="shared" ca="1" si="21"/>
        <v/>
      </c>
      <c r="AV27" s="169" t="str">
        <f t="shared" ca="1" si="102"/>
        <v/>
      </c>
      <c r="AW27" s="169" t="str">
        <f t="array" aca="1" ref="AW27" ca="1">IF(ROWS($9:26)&lt;=COUNTIF(Condition10,"o"),INDEX(Liste10,SMALL(IF(Condition10="o",ROW(INDIRECT("1:"&amp;ROWS(Liste10)))),ROWS($9:26))),"")</f>
        <v/>
      </c>
      <c r="AX27" s="175">
        <f t="shared" ca="1" si="22"/>
        <v>0</v>
      </c>
      <c r="AY27" s="175" t="str">
        <f t="shared" ca="1" si="23"/>
        <v/>
      </c>
      <c r="AZ27" s="169" t="str">
        <f t="shared" ca="1" si="103"/>
        <v/>
      </c>
      <c r="BA27" s="169" t="str">
        <f t="array" aca="1" ref="BA27" ca="1">IF(ROWS($9:26)&lt;=COUNTIF(Condition11,"o"),INDEX(Liste11,SMALL(IF(Condition11="o",ROW(INDIRECT("1:"&amp;ROWS(Liste11)))),ROWS($9:26))),"")</f>
        <v/>
      </c>
      <c r="BB27" s="175">
        <f t="shared" ca="1" si="24"/>
        <v>0</v>
      </c>
      <c r="BC27" s="175" t="str">
        <f t="shared" ca="1" si="25"/>
        <v/>
      </c>
      <c r="BD27" s="169" t="str">
        <f t="shared" ca="1" si="104"/>
        <v/>
      </c>
      <c r="BE27" s="169" t="str">
        <f t="array" aca="1" ref="BE27" ca="1">IF(ROWS($9:26)&lt;=COUNTIF(Condition12,"o"),INDEX(Liste12,SMALL(IF(Condition12="o",ROW(INDIRECT("1:"&amp;ROWS(Liste12)))),ROWS($9:26))),"")</f>
        <v/>
      </c>
      <c r="BF27" s="175">
        <f t="shared" ca="1" si="26"/>
        <v>0</v>
      </c>
      <c r="BG27" s="175" t="str">
        <f t="shared" ca="1" si="27"/>
        <v/>
      </c>
      <c r="BH27" s="169" t="str">
        <f t="shared" ca="1" si="105"/>
        <v/>
      </c>
      <c r="BI27" s="169" t="str">
        <f t="array" aca="1" ref="BI27" ca="1">IF(ROWS($9:26)&lt;=COUNTIF(Condition13,"o"),INDEX(Liste13,SMALL(IF(Condition13="o",ROW(INDIRECT("1:"&amp;ROWS(Liste13)))),ROWS($9:26))),"")</f>
        <v/>
      </c>
      <c r="BJ27" s="175">
        <f t="shared" ca="1" si="28"/>
        <v>0</v>
      </c>
      <c r="BK27" s="175" t="str">
        <f t="shared" ca="1" si="29"/>
        <v/>
      </c>
      <c r="BL27" s="169" t="str">
        <f t="shared" ca="1" si="106"/>
        <v/>
      </c>
      <c r="BM27" s="169" t="str">
        <f t="array" aca="1" ref="BM27" ca="1">IF(ROWS($9:26)&lt;=COUNTIF(Condition14,"o"),INDEX(Liste14,SMALL(IF(Condition14="o",ROW(INDIRECT("1:"&amp;ROWS(Liste14)))),ROWS($9:26))),"")</f>
        <v/>
      </c>
      <c r="BN27" s="175">
        <f t="shared" ca="1" si="30"/>
        <v>0</v>
      </c>
      <c r="BO27" s="175" t="str">
        <f t="shared" ca="1" si="31"/>
        <v/>
      </c>
      <c r="BP27" s="169" t="str">
        <f t="shared" ca="1" si="107"/>
        <v/>
      </c>
      <c r="BQ27" s="169" t="str">
        <f t="array" aca="1" ref="BQ27" ca="1">IF(ROWS($9:26)&lt;=COUNTIF(Condition15,"o"),INDEX(Liste15,SMALL(IF(Condition15="o",ROW(INDIRECT("1:"&amp;ROWS(Liste15)))),ROWS($9:26))),"")</f>
        <v/>
      </c>
      <c r="BR27" s="175">
        <f t="shared" ca="1" si="32"/>
        <v>0</v>
      </c>
      <c r="BS27" s="175" t="str">
        <f t="shared" ca="1" si="33"/>
        <v/>
      </c>
      <c r="BT27" s="169" t="str">
        <f t="shared" ca="1" si="108"/>
        <v/>
      </c>
      <c r="BU27" s="169" t="str">
        <f t="array" aca="1" ref="BU27" ca="1">IF(ROWS($9:26)&lt;=COUNTIF(Condition16,"o"),INDEX(Liste16,SMALL(IF(Condition16="o",ROW(INDIRECT("1:"&amp;ROWS(Liste16)))),ROWS($9:26))),"")</f>
        <v/>
      </c>
      <c r="BV27" s="175">
        <f t="shared" ca="1" si="34"/>
        <v>0</v>
      </c>
      <c r="BW27" s="175" t="str">
        <f t="shared" ca="1" si="35"/>
        <v/>
      </c>
      <c r="BX27" s="169" t="str">
        <f t="shared" ca="1" si="109"/>
        <v/>
      </c>
      <c r="BY27" s="169" t="str">
        <f t="array" aca="1" ref="BY27" ca="1">IF(ROWS($9:26)&lt;=COUNTIF(Condition17,"o"),INDEX(Liste17,SMALL(IF(Condition17="o",ROW(INDIRECT("1:"&amp;ROWS(Liste17)))),ROWS($9:26))),"")</f>
        <v/>
      </c>
      <c r="BZ27" s="175">
        <f t="shared" ca="1" si="36"/>
        <v>0</v>
      </c>
      <c r="CA27" s="175" t="str">
        <f t="shared" ca="1" si="37"/>
        <v/>
      </c>
      <c r="CB27" s="169" t="str">
        <f t="shared" ca="1" si="110"/>
        <v/>
      </c>
      <c r="CC27" s="169" t="str">
        <f t="array" aca="1" ref="CC27" ca="1">IF(ROWS($9:26)&lt;=COUNTIF(Condition18,"o"),INDEX(Liste18,SMALL(IF(Condition18="o",ROW(INDIRECT("1:"&amp;ROWS(Liste18)))),ROWS($9:26))),"")</f>
        <v/>
      </c>
      <c r="CD27" s="175">
        <f t="shared" ca="1" si="38"/>
        <v>0</v>
      </c>
      <c r="CE27" s="175" t="str">
        <f t="shared" ca="1" si="39"/>
        <v/>
      </c>
      <c r="CF27" s="169" t="str">
        <f t="shared" ca="1" si="111"/>
        <v/>
      </c>
      <c r="CG27" s="169" t="str">
        <f t="array" aca="1" ref="CG27" ca="1">IF(ROWS($9:26)&lt;=COUNTIF(Condition19,"o"),INDEX(Liste19,SMALL(IF(Condition19="o",ROW(INDIRECT("1:"&amp;ROWS(Liste19)))),ROWS($9:26))),"")</f>
        <v/>
      </c>
      <c r="CH27" s="175">
        <f t="shared" ca="1" si="40"/>
        <v>0</v>
      </c>
      <c r="CI27" s="175" t="str">
        <f t="shared" ca="1" si="41"/>
        <v/>
      </c>
      <c r="CJ27" s="169" t="str">
        <f t="shared" ca="1" si="112"/>
        <v/>
      </c>
      <c r="CK27" s="169" t="str">
        <f t="array" aca="1" ref="CK27" ca="1">IF(ROWS($9:26)&lt;=COUNTIF(Condition20,"o"),INDEX(Liste20,SMALL(IF(Condition20="o",ROW(INDIRECT("1:"&amp;ROWS(Liste20)))),ROWS($9:26))),"")</f>
        <v/>
      </c>
      <c r="CL27" s="175">
        <f t="shared" ca="1" si="42"/>
        <v>0</v>
      </c>
      <c r="CM27" s="175" t="str">
        <f t="shared" ca="1" si="43"/>
        <v/>
      </c>
      <c r="CN27" s="169" t="str">
        <f t="shared" ca="1" si="113"/>
        <v/>
      </c>
      <c r="CO27" s="169" t="str">
        <f t="array" aca="1" ref="CO27" ca="1">IF(ROWS($9:26)&lt;=COUNTIF(Condition21,"o"),INDEX(Liste21,SMALL(IF(Condition21="o",ROW(INDIRECT("1:"&amp;ROWS(Liste21)))),ROWS($9:26))),"")</f>
        <v/>
      </c>
      <c r="CP27" s="175">
        <f t="shared" ca="1" si="44"/>
        <v>0</v>
      </c>
      <c r="CQ27" s="175" t="str">
        <f t="shared" ca="1" si="45"/>
        <v/>
      </c>
      <c r="CR27" s="169" t="str">
        <f t="shared" ca="1" si="114"/>
        <v/>
      </c>
      <c r="CS27" s="169" t="str">
        <f t="array" aca="1" ref="CS27" ca="1">IF(ROWS($9:26)&lt;=COUNTIF(Condition22,"o"),INDEX(Liste22,SMALL(IF(Condition22="o",ROW(INDIRECT("1:"&amp;ROWS(Liste22)))),ROWS($9:26))),"")</f>
        <v/>
      </c>
      <c r="CT27" s="175">
        <f t="shared" ca="1" si="46"/>
        <v>0</v>
      </c>
      <c r="CU27" s="175" t="str">
        <f t="shared" ca="1" si="47"/>
        <v/>
      </c>
      <c r="CV27" s="169" t="str">
        <f t="shared" ca="1" si="115"/>
        <v/>
      </c>
      <c r="CW27" s="169" t="str">
        <f t="array" aca="1" ref="CW27" ca="1">IF(ROWS($9:26)&lt;=COUNTIF(Condition23,"o"),INDEX(Liste23,SMALL(IF(Condition23="o",ROW(INDIRECT("1:"&amp;ROWS(Liste23)))),ROWS($9:26))),"")</f>
        <v/>
      </c>
      <c r="CX27" s="175">
        <f t="shared" ca="1" si="48"/>
        <v>0</v>
      </c>
      <c r="CY27" s="175" t="str">
        <f t="shared" ca="1" si="49"/>
        <v/>
      </c>
      <c r="CZ27" s="169" t="str">
        <f t="shared" ca="1" si="116"/>
        <v/>
      </c>
      <c r="DA27" s="169" t="str">
        <f t="array" aca="1" ref="DA27" ca="1">IF(ROWS($9:26)&lt;=COUNTIF(Condition24,"o"),INDEX(Liste24,SMALL(IF(Condition24="o",ROW(INDIRECT("1:"&amp;ROWS(Liste24)))),ROWS($9:26))),"")</f>
        <v/>
      </c>
      <c r="DB27" s="175">
        <f t="shared" ca="1" si="50"/>
        <v>0</v>
      </c>
      <c r="DC27" s="175" t="str">
        <f t="shared" ca="1" si="51"/>
        <v/>
      </c>
      <c r="DD27" s="169" t="str">
        <f t="shared" ca="1" si="117"/>
        <v/>
      </c>
      <c r="DE27" s="169" t="str">
        <f t="array" aca="1" ref="DE27" ca="1">IF(ROWS($9:26)&lt;=COUNTIF(Condition25,"o"),INDEX(Liste25,SMALL(IF(Condition25="o",ROW(INDIRECT("1:"&amp;ROWS(Liste25)))),ROWS($9:26))),"")</f>
        <v/>
      </c>
      <c r="DF27" s="175">
        <f t="shared" ca="1" si="52"/>
        <v>0</v>
      </c>
      <c r="DG27" s="175" t="str">
        <f t="shared" ca="1" si="53"/>
        <v/>
      </c>
      <c r="DH27" s="169" t="str">
        <f t="shared" ca="1" si="118"/>
        <v/>
      </c>
      <c r="DI27" s="169" t="str">
        <f t="array" aca="1" ref="DI27" ca="1">IF(ROWS($9:26)&lt;=COUNTIF(Condition26,"o"),INDEX(Liste26,SMALL(IF(Condition26="o",ROW(INDIRECT("1:"&amp;ROWS(Liste26)))),ROWS($9:26))),"")</f>
        <v/>
      </c>
      <c r="DJ27" s="175">
        <f t="shared" ca="1" si="54"/>
        <v>0</v>
      </c>
      <c r="DK27" s="175" t="str">
        <f t="shared" ca="1" si="55"/>
        <v/>
      </c>
      <c r="DL27" s="169" t="str">
        <f t="shared" ca="1" si="119"/>
        <v/>
      </c>
      <c r="DM27" s="169" t="str">
        <f t="array" aca="1" ref="DM27" ca="1">IF(ROWS($9:26)&lt;=COUNTIF(Condition27,"o"),INDEX(Liste27,SMALL(IF(Condition27="o",ROW(INDIRECT("1:"&amp;ROWS(Liste27)))),ROWS($9:26))),"")</f>
        <v/>
      </c>
      <c r="DN27" s="175">
        <f t="shared" ca="1" si="56"/>
        <v>0</v>
      </c>
      <c r="DO27" s="175" t="str">
        <f t="shared" ca="1" si="57"/>
        <v/>
      </c>
      <c r="DP27" s="169" t="str">
        <f t="shared" ca="1" si="120"/>
        <v/>
      </c>
      <c r="DQ27" s="169" t="str">
        <f t="array" aca="1" ref="DQ27" ca="1">IF(ROWS($9:26)&lt;=COUNTIF(Condition28,"o"),INDEX(Liste28,SMALL(IF(Condition28="o",ROW(INDIRECT("1:"&amp;ROWS(Liste28)))),ROWS($9:26))),"")</f>
        <v/>
      </c>
      <c r="DR27" s="175">
        <f t="shared" ca="1" si="58"/>
        <v>0</v>
      </c>
      <c r="DS27" s="175" t="str">
        <f t="shared" ca="1" si="59"/>
        <v/>
      </c>
      <c r="DT27" s="169" t="str">
        <f t="shared" ca="1" si="121"/>
        <v/>
      </c>
      <c r="DU27" s="169" t="str">
        <f t="array" aca="1" ref="DU27" ca="1">IF(ROWS($9:26)&lt;=COUNTIF(Condition29,"o"),INDEX(Liste29,SMALL(IF(Condition29="o",ROW(INDIRECT("1:"&amp;ROWS(Liste29)))),ROWS($9:26))),"")</f>
        <v/>
      </c>
      <c r="DV27" s="175">
        <f t="shared" ca="1" si="60"/>
        <v>0</v>
      </c>
      <c r="DW27" s="175" t="str">
        <f t="shared" ca="1" si="61"/>
        <v/>
      </c>
      <c r="DX27" s="169" t="str">
        <f t="shared" ca="1" si="122"/>
        <v/>
      </c>
      <c r="DY27" s="169" t="str">
        <f t="array" aca="1" ref="DY27" ca="1">IF(ROWS($9:26)&lt;=COUNTIF(Condition30,"o"),INDEX(Liste30,SMALL(IF(Condition30="o",ROW(INDIRECT("1:"&amp;ROWS(Liste30)))),ROWS($9:26))),"")</f>
        <v/>
      </c>
      <c r="DZ27" s="175">
        <f t="shared" ca="1" si="62"/>
        <v>0</v>
      </c>
      <c r="EA27" s="175" t="str">
        <f t="shared" ca="1" si="63"/>
        <v/>
      </c>
      <c r="EB27" s="169" t="str">
        <f t="shared" ca="1" si="123"/>
        <v/>
      </c>
      <c r="EC27" s="169" t="str">
        <f t="array" aca="1" ref="EC27" ca="1">IF(ROWS($9:26)&lt;=COUNTIF(Condition31,"o"),INDEX(Liste31,SMALL(IF(Condition31="o",ROW(INDIRECT("1:"&amp;ROWS(Liste31)))),ROWS($9:26))),"")</f>
        <v/>
      </c>
      <c r="ED27" s="175">
        <f t="shared" ca="1" si="64"/>
        <v>0</v>
      </c>
      <c r="EE27" s="175" t="str">
        <f t="shared" ca="1" si="65"/>
        <v/>
      </c>
      <c r="EF27" s="169" t="str">
        <f t="shared" ca="1" si="124"/>
        <v/>
      </c>
      <c r="EG27" s="169" t="str">
        <f t="array" aca="1" ref="EG27" ca="1">IF(ROWS($9:26)&lt;=COUNTIF(Condition32,"o"),INDEX(Liste32,SMALL(IF(Condition32="o",ROW(INDIRECT("1:"&amp;ROWS(Liste32)))),ROWS($9:26))),"")</f>
        <v/>
      </c>
      <c r="EH27" s="175">
        <f t="shared" ca="1" si="66"/>
        <v>0</v>
      </c>
      <c r="EI27" s="175" t="str">
        <f t="shared" ca="1" si="67"/>
        <v/>
      </c>
      <c r="EJ27" s="169" t="str">
        <f t="shared" ca="1" si="125"/>
        <v/>
      </c>
      <c r="EK27" s="169" t="str">
        <f t="array" aca="1" ref="EK27" ca="1">IF(ROWS($9:26)&lt;=COUNTIF(Condition33,"o"),INDEX(Liste33,SMALL(IF(Condition33="o",ROW(INDIRECT("1:"&amp;ROWS(Liste33)))),ROWS($9:26))),"")</f>
        <v/>
      </c>
      <c r="EL27" s="175">
        <f t="shared" ca="1" si="68"/>
        <v>0</v>
      </c>
      <c r="EM27" s="175" t="str">
        <f t="shared" ca="1" si="69"/>
        <v/>
      </c>
      <c r="EN27" s="169" t="str">
        <f t="shared" ca="1" si="126"/>
        <v/>
      </c>
      <c r="EO27" s="169" t="str">
        <f t="array" aca="1" ref="EO27" ca="1">IF(ROWS($9:26)&lt;=COUNTIF(Condition34,"o"),INDEX(Liste34,SMALL(IF(Condition34="o",ROW(INDIRECT("1:"&amp;ROWS(Liste34)))),ROWS($9:26))),"")</f>
        <v/>
      </c>
      <c r="EP27" s="175">
        <f t="shared" ca="1" si="70"/>
        <v>0</v>
      </c>
      <c r="EQ27" s="175" t="str">
        <f t="shared" ca="1" si="71"/>
        <v/>
      </c>
      <c r="ER27" s="169" t="str">
        <f t="shared" ca="1" si="127"/>
        <v/>
      </c>
      <c r="ES27" s="169" t="str">
        <f t="array" aca="1" ref="ES27" ca="1">IF(ROWS($9:26)&lt;=COUNTIF(Condition35,"o"),INDEX(Liste35,SMALL(IF(Condition35="o",ROW(INDIRECT("1:"&amp;ROWS(Liste35)))),ROWS($9:26))),"")</f>
        <v/>
      </c>
      <c r="ET27" s="175">
        <f t="shared" ca="1" si="72"/>
        <v>0</v>
      </c>
      <c r="EU27" s="175" t="str">
        <f t="shared" ca="1" si="73"/>
        <v/>
      </c>
      <c r="EV27" s="169" t="str">
        <f t="shared" ca="1" si="128"/>
        <v/>
      </c>
      <c r="EW27" s="169" t="str">
        <f t="array" aca="1" ref="EW27" ca="1">IF(ROWS($9:26)&lt;=COUNTIF(Condition36,"o"),INDEX(Liste36,SMALL(IF(Condition36="o",ROW(INDIRECT("1:"&amp;ROWS(Liste36)))),ROWS($9:26))),"")</f>
        <v/>
      </c>
      <c r="EX27" s="175">
        <f t="shared" ca="1" si="74"/>
        <v>0</v>
      </c>
      <c r="EY27" s="175" t="str">
        <f t="shared" ca="1" si="75"/>
        <v/>
      </c>
      <c r="EZ27" s="169" t="str">
        <f t="shared" ca="1" si="85"/>
        <v/>
      </c>
      <c r="FA27" s="169" t="str">
        <f t="array" aca="1" ref="FA27" ca="1">IF(ROWS($9:26)&lt;=COUNTIF(Condition36,"o"),INDEX(Liste36,SMALL(IF(Condition36="o",ROW(INDIRECT("1:"&amp;ROWS(Liste36)))),ROWS($9:26))),"")</f>
        <v/>
      </c>
      <c r="FB27" s="175">
        <f t="shared" ca="1" si="76"/>
        <v>0</v>
      </c>
      <c r="FC27" s="175" t="str">
        <f t="shared" ca="1" si="77"/>
        <v/>
      </c>
      <c r="FD27" s="169" t="str">
        <f t="shared" ca="1" si="86"/>
        <v/>
      </c>
      <c r="FE27" s="169" t="str">
        <f t="array" aca="1" ref="FE27" ca="1">IF(ROWS($9:26)&lt;=COUNTIF(condition38,"o"),INDEX(liste38,SMALL(IF(condition38="o",ROW(INDIRECT("1:"&amp;ROWS(liste38)))),ROWS($9:26))),"")</f>
        <v/>
      </c>
      <c r="FF27" s="175">
        <f t="shared" ca="1" si="78"/>
        <v>0</v>
      </c>
      <c r="FG27" s="175" t="str">
        <f t="shared" ca="1" si="79"/>
        <v/>
      </c>
      <c r="FH27" s="169" t="str">
        <f t="shared" ca="1" si="87"/>
        <v/>
      </c>
      <c r="FI27" s="169" t="str">
        <f t="array" aca="1" ref="FI27" ca="1">IF(ROWS($9:26)&lt;=COUNTIF(Condition39,"o"),INDEX(Liste39,SMALL(IF(Condition39="o",ROW(INDIRECT("1:"&amp;ROWS(Liste39)))),ROWS($9:26))),"")</f>
        <v/>
      </c>
      <c r="FM27" s="1" t="s">
        <v>1199</v>
      </c>
      <c r="FN27" s="1" t="s">
        <v>1155</v>
      </c>
      <c r="FO27" s="180">
        <f>'Suivi objectifs'!D19</f>
        <v>0</v>
      </c>
      <c r="FP27" s="1366" t="str">
        <f>'Suivi objectifs'!C19</f>
        <v>Chauffage des logements</v>
      </c>
      <c r="FQ27" s="181" t="str">
        <f ca="1">IF(ISNA(VLOOKUP(FR27,Actions!$G$2:$AP$70,31,0)),"",VLOOKUP(FR27,Actions!$G$2:$AP$70,36,0))</f>
        <v/>
      </c>
      <c r="FR27" s="185" t="str">
        <f t="shared" ca="1" si="88"/>
        <v/>
      </c>
      <c r="FS27" s="286">
        <f t="shared" ca="1" si="80"/>
        <v>0</v>
      </c>
      <c r="FT27" s="181" t="str">
        <f ca="1">IF(ISNA(VLOOKUP(FU27,Actions!$G$2:$AP$70,31,0)),"",VLOOKUP(FU27,Actions!$G$2:$AP$70,36,0))</f>
        <v/>
      </c>
      <c r="FU27" s="185" t="str">
        <f t="shared" ca="1" si="89"/>
        <v/>
      </c>
      <c r="FV27" s="286">
        <f t="shared" ca="1" si="81"/>
        <v>0</v>
      </c>
      <c r="FW27" s="181" t="str">
        <f ca="1">IF(ISNA(VLOOKUP(FX27,Actions!$G$2:$AP$70,31,0)),"",VLOOKUP(FX27,Actions!$G$2:$AP$70,36,0))</f>
        <v/>
      </c>
      <c r="FX27" s="185" t="str">
        <f t="shared" ca="1" si="90"/>
        <v/>
      </c>
      <c r="FY27" s="286">
        <f t="shared" ca="1" si="82"/>
        <v>0</v>
      </c>
      <c r="FZ27" s="181" t="str">
        <f ca="1">IF(ISNA(VLOOKUP(GA27,Actions!$G$2:$AP$70,31,0)),"",VLOOKUP(GA27,Actions!$G$2:$AP$70,36,0))</f>
        <v/>
      </c>
      <c r="GA27" s="185" t="str">
        <f t="shared" ca="1" si="91"/>
        <v/>
      </c>
      <c r="GB27" s="286">
        <f t="shared" ca="1" si="83"/>
        <v>0</v>
      </c>
      <c r="GC27" s="181" t="str">
        <f ca="1">IF(ISNA(VLOOKUP(GD27,Actions!$G$2:$AP$70,31,0)),"",VLOOKUP(GD27,Actions!$G$2:$AP$70,36,0))</f>
        <v/>
      </c>
      <c r="GD27" s="185" t="str">
        <f t="shared" ca="1" si="92"/>
        <v/>
      </c>
      <c r="GE27" s="286">
        <f t="shared" ca="1" si="84"/>
        <v>0</v>
      </c>
      <c r="GF27" s="186">
        <f t="shared" ca="1" si="129"/>
        <v>0</v>
      </c>
      <c r="GG27" s="233"/>
    </row>
    <row r="28" spans="1:189" hidden="1">
      <c r="A28" s="1" t="s">
        <v>1200</v>
      </c>
      <c r="B28" s="1">
        <f>Actions!F21</f>
        <v>20</v>
      </c>
      <c r="C28" s="1">
        <f ca="1">Actions!G21</f>
        <v>0</v>
      </c>
      <c r="D28" s="1">
        <f ca="1">Actions!H21</f>
        <v>0</v>
      </c>
      <c r="E28" s="1" t="str">
        <f ca="1">Actions!I21</f>
        <v>-</v>
      </c>
      <c r="F28" s="1" t="str">
        <f t="shared" ca="1" si="0"/>
        <v>-</v>
      </c>
      <c r="G28" s="1" t="e">
        <f t="shared" ca="1" si="1"/>
        <v>#REF!</v>
      </c>
      <c r="I28" s="1">
        <v>20</v>
      </c>
      <c r="J28" s="175">
        <f t="shared" ca="1" si="2"/>
        <v>0</v>
      </c>
      <c r="K28" s="175" t="str">
        <f t="shared" ca="1" si="3"/>
        <v/>
      </c>
      <c r="L28" s="169" t="str">
        <f t="shared" ca="1" si="93"/>
        <v/>
      </c>
      <c r="M28" s="169" t="str">
        <f t="array" aca="1" ref="M28" ca="1">IF(ROWS($9:27)&lt;=COUNTIF(Condition1,"o"),INDEX(Liste1,SMALL(IF(Condition1="o",ROW(INDIRECT("1:"&amp;ROWS(Liste1)))),ROWS($9:27))),"")</f>
        <v/>
      </c>
      <c r="N28" s="175">
        <f t="shared" ca="1" si="4"/>
        <v>0</v>
      </c>
      <c r="O28" s="175" t="str">
        <f t="shared" ca="1" si="5"/>
        <v/>
      </c>
      <c r="P28" s="169" t="str">
        <f t="shared" ca="1" si="94"/>
        <v/>
      </c>
      <c r="Q28" s="169" t="str">
        <f t="array" aca="1" ref="Q28" ca="1">IF(ROWS($9:27)&lt;=COUNTIF(Condition2,"o"),INDEX(Liste2,SMALL(IF(Condition2="o",ROW(INDIRECT("1:"&amp;ROWS(Liste2)))),ROWS($9:27))),"")</f>
        <v/>
      </c>
      <c r="R28" s="175">
        <f t="shared" ca="1" si="6"/>
        <v>0</v>
      </c>
      <c r="S28" s="175" t="str">
        <f t="shared" ca="1" si="7"/>
        <v/>
      </c>
      <c r="T28" s="169" t="str">
        <f t="shared" ca="1" si="95"/>
        <v/>
      </c>
      <c r="U28" s="169" t="str">
        <f t="array" aca="1" ref="U28" ca="1">IF(ROWS($9:27)&lt;=COUNTIF(Condition3,"o"),INDEX(Liste3,SMALL(IF(Condition3="o",ROW(INDIRECT("1:"&amp;ROWS(Liste3)))),ROWS($9:27))),"")</f>
        <v/>
      </c>
      <c r="V28" s="175">
        <f t="shared" ca="1" si="8"/>
        <v>0</v>
      </c>
      <c r="W28" s="175" t="str">
        <f t="shared" ca="1" si="9"/>
        <v/>
      </c>
      <c r="X28" s="169" t="str">
        <f t="shared" ca="1" si="96"/>
        <v/>
      </c>
      <c r="Y28" s="169" t="str">
        <f t="array" aca="1" ref="Y28" ca="1">IF(ROWS($9:27)&lt;=COUNTIF(Condition4,"o"),INDEX(Liste4,SMALL(IF(Condition4="o",ROW(INDIRECT("1:"&amp;ROWS(Liste4)))),ROWS($9:27))),"")</f>
        <v/>
      </c>
      <c r="Z28" s="175">
        <f t="shared" ca="1" si="10"/>
        <v>0</v>
      </c>
      <c r="AA28" s="175" t="str">
        <f t="shared" ca="1" si="11"/>
        <v/>
      </c>
      <c r="AB28" s="169" t="str">
        <f t="shared" ca="1" si="97"/>
        <v/>
      </c>
      <c r="AC28" s="169" t="str">
        <f t="array" aca="1" ref="AC28" ca="1">IF(ROWS($9:27)&lt;=COUNTIF(Condition5,"o"),INDEX(Liste5,SMALL(IF(Condition5="o",ROW(INDIRECT("1:"&amp;ROWS(Liste5)))),ROWS($9:27))),"")</f>
        <v/>
      </c>
      <c r="AD28" s="175">
        <f t="shared" ca="1" si="12"/>
        <v>0</v>
      </c>
      <c r="AE28" s="175" t="str">
        <f t="shared" ca="1" si="13"/>
        <v/>
      </c>
      <c r="AF28" s="169" t="str">
        <f t="shared" ca="1" si="98"/>
        <v/>
      </c>
      <c r="AG28" s="169" t="str">
        <f t="array" aca="1" ref="AG28" ca="1">IF(ROWS($9:27)&lt;=COUNTIF(Condition6,"o"),INDEX(Liste6,SMALL(IF(Condition6="o",ROW(INDIRECT("1:"&amp;ROWS(Liste6)))),ROWS($9:27))),"")</f>
        <v/>
      </c>
      <c r="AH28" s="175">
        <f t="shared" ca="1" si="14"/>
        <v>0</v>
      </c>
      <c r="AI28" s="175" t="str">
        <f t="shared" ca="1" si="15"/>
        <v/>
      </c>
      <c r="AJ28" s="169" t="str">
        <f t="shared" ca="1" si="99"/>
        <v/>
      </c>
      <c r="AK28" s="169" t="str">
        <f t="array" aca="1" ref="AK28" ca="1">IF(ROWS($9:27)&lt;=COUNTIF(Condition7,"o"),INDEX(Liste7,SMALL(IF(Condition7="o",ROW(INDIRECT("1:"&amp;ROWS(Liste7)))),ROWS($9:27))),"")</f>
        <v/>
      </c>
      <c r="AL28" s="175">
        <f t="shared" ca="1" si="16"/>
        <v>0</v>
      </c>
      <c r="AM28" s="175" t="str">
        <f t="shared" ca="1" si="17"/>
        <v/>
      </c>
      <c r="AN28" s="169" t="str">
        <f t="shared" ca="1" si="100"/>
        <v/>
      </c>
      <c r="AO28" s="169" t="str">
        <f t="array" aca="1" ref="AO28" ca="1">IF(ROWS($9:27)&lt;=COUNTIF(Condition8,"o"),INDEX(Liste8,SMALL(IF(Condition8="o",ROW(INDIRECT("1:"&amp;ROWS(Liste8)))),ROWS($9:27))),"")</f>
        <v/>
      </c>
      <c r="AP28" s="175">
        <f t="shared" ca="1" si="18"/>
        <v>0</v>
      </c>
      <c r="AQ28" s="175" t="str">
        <f t="shared" ca="1" si="19"/>
        <v/>
      </c>
      <c r="AR28" s="169" t="str">
        <f t="shared" ca="1" si="101"/>
        <v/>
      </c>
      <c r="AS28" s="169" t="str">
        <f t="array" aca="1" ref="AS28" ca="1">IF(ROWS($9:27)&lt;=COUNTIF(Condition9,"o"),INDEX(Liste9,SMALL(IF(Condition9="o",ROW(INDIRECT("1:"&amp;ROWS(Liste9)))),ROWS($9:27))),"")</f>
        <v/>
      </c>
      <c r="AT28" s="175">
        <f t="shared" ca="1" si="20"/>
        <v>0</v>
      </c>
      <c r="AU28" s="175" t="str">
        <f t="shared" ca="1" si="21"/>
        <v/>
      </c>
      <c r="AV28" s="169" t="str">
        <f t="shared" ca="1" si="102"/>
        <v/>
      </c>
      <c r="AW28" s="169" t="str">
        <f t="array" aca="1" ref="AW28" ca="1">IF(ROWS($9:27)&lt;=COUNTIF(Condition10,"o"),INDEX(Liste10,SMALL(IF(Condition10="o",ROW(INDIRECT("1:"&amp;ROWS(Liste10)))),ROWS($9:27))),"")</f>
        <v/>
      </c>
      <c r="AX28" s="175">
        <f t="shared" ca="1" si="22"/>
        <v>0</v>
      </c>
      <c r="AY28" s="175" t="str">
        <f t="shared" ca="1" si="23"/>
        <v/>
      </c>
      <c r="AZ28" s="169" t="str">
        <f t="shared" ca="1" si="103"/>
        <v/>
      </c>
      <c r="BA28" s="169" t="str">
        <f t="array" aca="1" ref="BA28" ca="1">IF(ROWS($9:27)&lt;=COUNTIF(Condition11,"o"),INDEX(Liste11,SMALL(IF(Condition11="o",ROW(INDIRECT("1:"&amp;ROWS(Liste11)))),ROWS($9:27))),"")</f>
        <v/>
      </c>
      <c r="BB28" s="175">
        <f t="shared" ca="1" si="24"/>
        <v>0</v>
      </c>
      <c r="BC28" s="175" t="str">
        <f t="shared" ca="1" si="25"/>
        <v/>
      </c>
      <c r="BD28" s="169" t="str">
        <f t="shared" ca="1" si="104"/>
        <v/>
      </c>
      <c r="BE28" s="169" t="str">
        <f t="array" aca="1" ref="BE28" ca="1">IF(ROWS($9:27)&lt;=COUNTIF(Condition12,"o"),INDEX(Liste12,SMALL(IF(Condition12="o",ROW(INDIRECT("1:"&amp;ROWS(Liste12)))),ROWS($9:27))),"")</f>
        <v/>
      </c>
      <c r="BF28" s="175">
        <f t="shared" ca="1" si="26"/>
        <v>0</v>
      </c>
      <c r="BG28" s="175" t="str">
        <f t="shared" ca="1" si="27"/>
        <v/>
      </c>
      <c r="BH28" s="169" t="str">
        <f t="shared" ca="1" si="105"/>
        <v/>
      </c>
      <c r="BI28" s="169" t="str">
        <f t="array" aca="1" ref="BI28" ca="1">IF(ROWS($9:27)&lt;=COUNTIF(Condition13,"o"),INDEX(Liste13,SMALL(IF(Condition13="o",ROW(INDIRECT("1:"&amp;ROWS(Liste13)))),ROWS($9:27))),"")</f>
        <v/>
      </c>
      <c r="BJ28" s="175">
        <f t="shared" ca="1" si="28"/>
        <v>0</v>
      </c>
      <c r="BK28" s="175" t="str">
        <f t="shared" ca="1" si="29"/>
        <v/>
      </c>
      <c r="BL28" s="169" t="str">
        <f t="shared" ca="1" si="106"/>
        <v/>
      </c>
      <c r="BM28" s="169" t="str">
        <f t="array" aca="1" ref="BM28" ca="1">IF(ROWS($9:27)&lt;=COUNTIF(Condition14,"o"),INDEX(Liste14,SMALL(IF(Condition14="o",ROW(INDIRECT("1:"&amp;ROWS(Liste14)))),ROWS($9:27))),"")</f>
        <v/>
      </c>
      <c r="BN28" s="175">
        <f t="shared" ca="1" si="30"/>
        <v>0</v>
      </c>
      <c r="BO28" s="175" t="str">
        <f t="shared" ca="1" si="31"/>
        <v/>
      </c>
      <c r="BP28" s="169" t="str">
        <f t="shared" ca="1" si="107"/>
        <v/>
      </c>
      <c r="BQ28" s="169" t="str">
        <f t="array" aca="1" ref="BQ28" ca="1">IF(ROWS($9:27)&lt;=COUNTIF(Condition15,"o"),INDEX(Liste15,SMALL(IF(Condition15="o",ROW(INDIRECT("1:"&amp;ROWS(Liste15)))),ROWS($9:27))),"")</f>
        <v/>
      </c>
      <c r="BR28" s="175">
        <f t="shared" ca="1" si="32"/>
        <v>0</v>
      </c>
      <c r="BS28" s="175" t="str">
        <f t="shared" ca="1" si="33"/>
        <v/>
      </c>
      <c r="BT28" s="169" t="str">
        <f t="shared" ca="1" si="108"/>
        <v/>
      </c>
      <c r="BU28" s="169" t="str">
        <f t="array" aca="1" ref="BU28" ca="1">IF(ROWS($9:27)&lt;=COUNTIF(Condition16,"o"),INDEX(Liste16,SMALL(IF(Condition16="o",ROW(INDIRECT("1:"&amp;ROWS(Liste16)))),ROWS($9:27))),"")</f>
        <v/>
      </c>
      <c r="BV28" s="175">
        <f t="shared" ca="1" si="34"/>
        <v>0</v>
      </c>
      <c r="BW28" s="175" t="str">
        <f t="shared" ca="1" si="35"/>
        <v/>
      </c>
      <c r="BX28" s="169" t="str">
        <f t="shared" ca="1" si="109"/>
        <v/>
      </c>
      <c r="BY28" s="169" t="str">
        <f t="array" aca="1" ref="BY28" ca="1">IF(ROWS($9:27)&lt;=COUNTIF(Condition17,"o"),INDEX(Liste17,SMALL(IF(Condition17="o",ROW(INDIRECT("1:"&amp;ROWS(Liste17)))),ROWS($9:27))),"")</f>
        <v/>
      </c>
      <c r="BZ28" s="175">
        <f t="shared" ca="1" si="36"/>
        <v>0</v>
      </c>
      <c r="CA28" s="175" t="str">
        <f t="shared" ca="1" si="37"/>
        <v/>
      </c>
      <c r="CB28" s="169" t="str">
        <f t="shared" ca="1" si="110"/>
        <v/>
      </c>
      <c r="CC28" s="169" t="str">
        <f t="array" aca="1" ref="CC28" ca="1">IF(ROWS($9:27)&lt;=COUNTIF(Condition18,"o"),INDEX(Liste18,SMALL(IF(Condition18="o",ROW(INDIRECT("1:"&amp;ROWS(Liste18)))),ROWS($9:27))),"")</f>
        <v/>
      </c>
      <c r="CD28" s="175">
        <f t="shared" ca="1" si="38"/>
        <v>0</v>
      </c>
      <c r="CE28" s="175" t="str">
        <f t="shared" ca="1" si="39"/>
        <v/>
      </c>
      <c r="CF28" s="169" t="str">
        <f t="shared" ca="1" si="111"/>
        <v/>
      </c>
      <c r="CG28" s="169" t="str">
        <f t="array" aca="1" ref="CG28" ca="1">IF(ROWS($9:27)&lt;=COUNTIF(Condition19,"o"),INDEX(Liste19,SMALL(IF(Condition19="o",ROW(INDIRECT("1:"&amp;ROWS(Liste19)))),ROWS($9:27))),"")</f>
        <v/>
      </c>
      <c r="CH28" s="175">
        <f t="shared" ca="1" si="40"/>
        <v>0</v>
      </c>
      <c r="CI28" s="175" t="str">
        <f t="shared" ca="1" si="41"/>
        <v/>
      </c>
      <c r="CJ28" s="169" t="str">
        <f t="shared" ca="1" si="112"/>
        <v/>
      </c>
      <c r="CK28" s="169" t="str">
        <f t="array" aca="1" ref="CK28" ca="1">IF(ROWS($9:27)&lt;=COUNTIF(Condition20,"o"),INDEX(Liste20,SMALL(IF(Condition20="o",ROW(INDIRECT("1:"&amp;ROWS(Liste20)))),ROWS($9:27))),"")</f>
        <v/>
      </c>
      <c r="CL28" s="175">
        <f t="shared" ca="1" si="42"/>
        <v>0</v>
      </c>
      <c r="CM28" s="175" t="str">
        <f t="shared" ca="1" si="43"/>
        <v/>
      </c>
      <c r="CN28" s="169" t="str">
        <f t="shared" ca="1" si="113"/>
        <v/>
      </c>
      <c r="CO28" s="169" t="str">
        <f t="array" aca="1" ref="CO28" ca="1">IF(ROWS($9:27)&lt;=COUNTIF(Condition21,"o"),INDEX(Liste21,SMALL(IF(Condition21="o",ROW(INDIRECT("1:"&amp;ROWS(Liste21)))),ROWS($9:27))),"")</f>
        <v/>
      </c>
      <c r="CP28" s="175">
        <f t="shared" ca="1" si="44"/>
        <v>0</v>
      </c>
      <c r="CQ28" s="175" t="str">
        <f t="shared" ca="1" si="45"/>
        <v/>
      </c>
      <c r="CR28" s="169" t="str">
        <f t="shared" ca="1" si="114"/>
        <v/>
      </c>
      <c r="CS28" s="169" t="str">
        <f t="array" aca="1" ref="CS28" ca="1">IF(ROWS($9:27)&lt;=COUNTIF(Condition22,"o"),INDEX(Liste22,SMALL(IF(Condition22="o",ROW(INDIRECT("1:"&amp;ROWS(Liste22)))),ROWS($9:27))),"")</f>
        <v/>
      </c>
      <c r="CT28" s="175">
        <f t="shared" ca="1" si="46"/>
        <v>0</v>
      </c>
      <c r="CU28" s="175" t="str">
        <f t="shared" ca="1" si="47"/>
        <v/>
      </c>
      <c r="CV28" s="169" t="str">
        <f t="shared" ca="1" si="115"/>
        <v/>
      </c>
      <c r="CW28" s="169" t="str">
        <f t="array" aca="1" ref="CW28" ca="1">IF(ROWS($9:27)&lt;=COUNTIF(Condition23,"o"),INDEX(Liste23,SMALL(IF(Condition23="o",ROW(INDIRECT("1:"&amp;ROWS(Liste23)))),ROWS($9:27))),"")</f>
        <v/>
      </c>
      <c r="CX28" s="175">
        <f t="shared" ca="1" si="48"/>
        <v>0</v>
      </c>
      <c r="CY28" s="175" t="str">
        <f t="shared" ca="1" si="49"/>
        <v/>
      </c>
      <c r="CZ28" s="169" t="str">
        <f t="shared" ca="1" si="116"/>
        <v/>
      </c>
      <c r="DA28" s="169" t="str">
        <f t="array" aca="1" ref="DA28" ca="1">IF(ROWS($9:27)&lt;=COUNTIF(Condition24,"o"),INDEX(Liste24,SMALL(IF(Condition24="o",ROW(INDIRECT("1:"&amp;ROWS(Liste24)))),ROWS($9:27))),"")</f>
        <v/>
      </c>
      <c r="DB28" s="175">
        <f t="shared" ca="1" si="50"/>
        <v>0</v>
      </c>
      <c r="DC28" s="175" t="str">
        <f t="shared" ca="1" si="51"/>
        <v/>
      </c>
      <c r="DD28" s="169" t="str">
        <f t="shared" ca="1" si="117"/>
        <v/>
      </c>
      <c r="DE28" s="169" t="str">
        <f t="array" aca="1" ref="DE28" ca="1">IF(ROWS($9:27)&lt;=COUNTIF(Condition25,"o"),INDEX(Liste25,SMALL(IF(Condition25="o",ROW(INDIRECT("1:"&amp;ROWS(Liste25)))),ROWS($9:27))),"")</f>
        <v/>
      </c>
      <c r="DF28" s="175">
        <f t="shared" ca="1" si="52"/>
        <v>0</v>
      </c>
      <c r="DG28" s="175" t="str">
        <f t="shared" ca="1" si="53"/>
        <v/>
      </c>
      <c r="DH28" s="169" t="str">
        <f t="shared" ca="1" si="118"/>
        <v/>
      </c>
      <c r="DI28" s="169" t="str">
        <f t="array" aca="1" ref="DI28" ca="1">IF(ROWS($9:27)&lt;=COUNTIF(Condition26,"o"),INDEX(Liste26,SMALL(IF(Condition26="o",ROW(INDIRECT("1:"&amp;ROWS(Liste26)))),ROWS($9:27))),"")</f>
        <v/>
      </c>
      <c r="DJ28" s="175">
        <f t="shared" ca="1" si="54"/>
        <v>0</v>
      </c>
      <c r="DK28" s="175" t="str">
        <f t="shared" ca="1" si="55"/>
        <v/>
      </c>
      <c r="DL28" s="169" t="str">
        <f t="shared" ca="1" si="119"/>
        <v/>
      </c>
      <c r="DM28" s="169" t="str">
        <f t="array" aca="1" ref="DM28" ca="1">IF(ROWS($9:27)&lt;=COUNTIF(Condition27,"o"),INDEX(Liste27,SMALL(IF(Condition27="o",ROW(INDIRECT("1:"&amp;ROWS(Liste27)))),ROWS($9:27))),"")</f>
        <v/>
      </c>
      <c r="DN28" s="175">
        <f t="shared" ca="1" si="56"/>
        <v>0</v>
      </c>
      <c r="DO28" s="175" t="str">
        <f t="shared" ca="1" si="57"/>
        <v/>
      </c>
      <c r="DP28" s="169" t="str">
        <f t="shared" ca="1" si="120"/>
        <v/>
      </c>
      <c r="DQ28" s="169" t="str">
        <f t="array" aca="1" ref="DQ28" ca="1">IF(ROWS($9:27)&lt;=COUNTIF(Condition28,"o"),INDEX(Liste28,SMALL(IF(Condition28="o",ROW(INDIRECT("1:"&amp;ROWS(Liste28)))),ROWS($9:27))),"")</f>
        <v/>
      </c>
      <c r="DR28" s="175">
        <f t="shared" ca="1" si="58"/>
        <v>0</v>
      </c>
      <c r="DS28" s="175" t="str">
        <f t="shared" ca="1" si="59"/>
        <v/>
      </c>
      <c r="DT28" s="169" t="str">
        <f t="shared" ca="1" si="121"/>
        <v/>
      </c>
      <c r="DU28" s="169" t="str">
        <f t="array" aca="1" ref="DU28" ca="1">IF(ROWS($9:27)&lt;=COUNTIF(Condition29,"o"),INDEX(Liste29,SMALL(IF(Condition29="o",ROW(INDIRECT("1:"&amp;ROWS(Liste29)))),ROWS($9:27))),"")</f>
        <v/>
      </c>
      <c r="DV28" s="175">
        <f t="shared" ca="1" si="60"/>
        <v>0</v>
      </c>
      <c r="DW28" s="175" t="str">
        <f t="shared" ca="1" si="61"/>
        <v/>
      </c>
      <c r="DX28" s="169" t="str">
        <f t="shared" ca="1" si="122"/>
        <v/>
      </c>
      <c r="DY28" s="169" t="str">
        <f t="array" aca="1" ref="DY28" ca="1">IF(ROWS($9:27)&lt;=COUNTIF(Condition30,"o"),INDEX(Liste30,SMALL(IF(Condition30="o",ROW(INDIRECT("1:"&amp;ROWS(Liste30)))),ROWS($9:27))),"")</f>
        <v/>
      </c>
      <c r="DZ28" s="175">
        <f t="shared" ca="1" si="62"/>
        <v>0</v>
      </c>
      <c r="EA28" s="175" t="str">
        <f t="shared" ca="1" si="63"/>
        <v/>
      </c>
      <c r="EB28" s="169" t="str">
        <f t="shared" ca="1" si="123"/>
        <v/>
      </c>
      <c r="EC28" s="169" t="str">
        <f t="array" aca="1" ref="EC28" ca="1">IF(ROWS($9:27)&lt;=COUNTIF(Condition31,"o"),INDEX(Liste31,SMALL(IF(Condition31="o",ROW(INDIRECT("1:"&amp;ROWS(Liste31)))),ROWS($9:27))),"")</f>
        <v/>
      </c>
      <c r="ED28" s="175">
        <f t="shared" ca="1" si="64"/>
        <v>0</v>
      </c>
      <c r="EE28" s="175" t="str">
        <f t="shared" ca="1" si="65"/>
        <v/>
      </c>
      <c r="EF28" s="169" t="str">
        <f t="shared" ca="1" si="124"/>
        <v/>
      </c>
      <c r="EG28" s="169" t="str">
        <f t="array" aca="1" ref="EG28" ca="1">IF(ROWS($9:27)&lt;=COUNTIF(Condition32,"o"),INDEX(Liste32,SMALL(IF(Condition32="o",ROW(INDIRECT("1:"&amp;ROWS(Liste32)))),ROWS($9:27))),"")</f>
        <v/>
      </c>
      <c r="EH28" s="175">
        <f t="shared" ca="1" si="66"/>
        <v>0</v>
      </c>
      <c r="EI28" s="175" t="str">
        <f t="shared" ca="1" si="67"/>
        <v/>
      </c>
      <c r="EJ28" s="169" t="str">
        <f t="shared" ca="1" si="125"/>
        <v/>
      </c>
      <c r="EK28" s="169" t="str">
        <f t="array" aca="1" ref="EK28" ca="1">IF(ROWS($9:27)&lt;=COUNTIF(Condition33,"o"),INDEX(Liste33,SMALL(IF(Condition33="o",ROW(INDIRECT("1:"&amp;ROWS(Liste33)))),ROWS($9:27))),"")</f>
        <v/>
      </c>
      <c r="EL28" s="175">
        <f t="shared" ca="1" si="68"/>
        <v>0</v>
      </c>
      <c r="EM28" s="175" t="str">
        <f t="shared" ca="1" si="69"/>
        <v/>
      </c>
      <c r="EN28" s="169" t="str">
        <f t="shared" ca="1" si="126"/>
        <v/>
      </c>
      <c r="EO28" s="169" t="str">
        <f t="array" aca="1" ref="EO28" ca="1">IF(ROWS($9:27)&lt;=COUNTIF(Condition34,"o"),INDEX(Liste34,SMALL(IF(Condition34="o",ROW(INDIRECT("1:"&amp;ROWS(Liste34)))),ROWS($9:27))),"")</f>
        <v/>
      </c>
      <c r="EP28" s="175">
        <f t="shared" ca="1" si="70"/>
        <v>0</v>
      </c>
      <c r="EQ28" s="175" t="str">
        <f t="shared" ca="1" si="71"/>
        <v/>
      </c>
      <c r="ER28" s="169" t="str">
        <f t="shared" ca="1" si="127"/>
        <v/>
      </c>
      <c r="ES28" s="169" t="str">
        <f t="array" aca="1" ref="ES28" ca="1">IF(ROWS($9:27)&lt;=COUNTIF(Condition35,"o"),INDEX(Liste35,SMALL(IF(Condition35="o",ROW(INDIRECT("1:"&amp;ROWS(Liste35)))),ROWS($9:27))),"")</f>
        <v/>
      </c>
      <c r="ET28" s="175">
        <f t="shared" ca="1" si="72"/>
        <v>0</v>
      </c>
      <c r="EU28" s="175" t="str">
        <f t="shared" ca="1" si="73"/>
        <v/>
      </c>
      <c r="EV28" s="169" t="str">
        <f t="shared" ca="1" si="128"/>
        <v/>
      </c>
      <c r="EW28" s="169" t="str">
        <f t="array" aca="1" ref="EW28" ca="1">IF(ROWS($9:27)&lt;=COUNTIF(Condition36,"o"),INDEX(Liste36,SMALL(IF(Condition36="o",ROW(INDIRECT("1:"&amp;ROWS(Liste36)))),ROWS($9:27))),"")</f>
        <v/>
      </c>
      <c r="EX28" s="175">
        <f t="shared" ca="1" si="74"/>
        <v>0</v>
      </c>
      <c r="EY28" s="175" t="str">
        <f t="shared" ca="1" si="75"/>
        <v/>
      </c>
      <c r="EZ28" s="169" t="str">
        <f t="shared" ca="1" si="85"/>
        <v/>
      </c>
      <c r="FA28" s="169" t="str">
        <f t="array" aca="1" ref="FA28" ca="1">IF(ROWS($9:27)&lt;=COUNTIF(Condition36,"o"),INDEX(Liste36,SMALL(IF(Condition36="o",ROW(INDIRECT("1:"&amp;ROWS(Liste36)))),ROWS($9:27))),"")</f>
        <v/>
      </c>
      <c r="FB28" s="175">
        <f t="shared" ca="1" si="76"/>
        <v>0</v>
      </c>
      <c r="FC28" s="175" t="str">
        <f t="shared" ca="1" si="77"/>
        <v/>
      </c>
      <c r="FD28" s="169" t="str">
        <f t="shared" ca="1" si="86"/>
        <v/>
      </c>
      <c r="FE28" s="169" t="str">
        <f t="array" aca="1" ref="FE28" ca="1">IF(ROWS($9:27)&lt;=COUNTIF(condition38,"o"),INDEX(liste38,SMALL(IF(condition38="o",ROW(INDIRECT("1:"&amp;ROWS(liste38)))),ROWS($9:27))),"")</f>
        <v/>
      </c>
      <c r="FF28" s="175">
        <f t="shared" ca="1" si="78"/>
        <v>0</v>
      </c>
      <c r="FG28" s="175" t="str">
        <f t="shared" ca="1" si="79"/>
        <v/>
      </c>
      <c r="FH28" s="169" t="str">
        <f t="shared" ca="1" si="87"/>
        <v/>
      </c>
      <c r="FI28" s="169" t="str">
        <f t="array" aca="1" ref="FI28" ca="1">IF(ROWS($9:27)&lt;=COUNTIF(Condition39,"o"),INDEX(Liste39,SMALL(IF(Condition39="o",ROW(INDIRECT("1:"&amp;ROWS(Liste39)))),ROWS($9:27))),"")</f>
        <v/>
      </c>
      <c r="FM28" s="1" t="s">
        <v>1201</v>
      </c>
      <c r="FN28" s="1" t="s">
        <v>1156</v>
      </c>
      <c r="FO28" s="180">
        <f>'Suivi objectifs'!D23</f>
        <v>0</v>
      </c>
      <c r="FP28" s="1366" t="str">
        <f>'Suivi objectifs'!C23</f>
        <v>Chauffage des bâtiments communaux</v>
      </c>
      <c r="FQ28" s="181" t="str">
        <f ca="1">IF(ISNA(VLOOKUP(FR28,Actions!$G$2:$AP$70,31,0)),"",VLOOKUP(FR28,Actions!$G$2:$AP$70,36,0))</f>
        <v/>
      </c>
      <c r="FR28" s="185" t="str">
        <f t="shared" ca="1" si="88"/>
        <v/>
      </c>
      <c r="FS28" s="286">
        <f t="shared" ca="1" si="80"/>
        <v>0</v>
      </c>
      <c r="FT28" s="181" t="str">
        <f ca="1">IF(ISNA(VLOOKUP(FU28,Actions!$G$2:$AP$70,31,0)),"",VLOOKUP(FU28,Actions!$G$2:$AP$70,36,0))</f>
        <v/>
      </c>
      <c r="FU28" s="185" t="str">
        <f t="shared" ca="1" si="89"/>
        <v/>
      </c>
      <c r="FV28" s="286">
        <f t="shared" ca="1" si="81"/>
        <v>0</v>
      </c>
      <c r="FW28" s="181" t="str">
        <f ca="1">IF(ISNA(VLOOKUP(FX28,Actions!$G$2:$AP$70,31,0)),"",VLOOKUP(FX28,Actions!$G$2:$AP$70,36,0))</f>
        <v/>
      </c>
      <c r="FX28" s="185" t="str">
        <f t="shared" ca="1" si="90"/>
        <v/>
      </c>
      <c r="FY28" s="286">
        <f t="shared" ca="1" si="82"/>
        <v>0</v>
      </c>
      <c r="FZ28" s="181" t="str">
        <f ca="1">IF(ISNA(VLOOKUP(GA28,Actions!$G$2:$AP$70,31,0)),"",VLOOKUP(GA28,Actions!$G$2:$AP$70,36,0))</f>
        <v/>
      </c>
      <c r="GA28" s="185" t="str">
        <f t="shared" ca="1" si="91"/>
        <v/>
      </c>
      <c r="GB28" s="286">
        <f t="shared" ca="1" si="83"/>
        <v>0</v>
      </c>
      <c r="GC28" s="181" t="str">
        <f ca="1">IF(ISNA(VLOOKUP(GD28,Actions!$G$2:$AP$70,31,0)),"",VLOOKUP(GD28,Actions!$G$2:$AP$70,36,0))</f>
        <v/>
      </c>
      <c r="GD28" s="185" t="str">
        <f t="shared" ca="1" si="92"/>
        <v/>
      </c>
      <c r="GE28" s="286">
        <f t="shared" ca="1" si="84"/>
        <v>0</v>
      </c>
      <c r="GF28" s="186">
        <f t="shared" ca="1" si="129"/>
        <v>0</v>
      </c>
      <c r="GG28" s="233"/>
    </row>
    <row r="29" spans="1:189" hidden="1">
      <c r="A29" s="1" t="s">
        <v>871</v>
      </c>
      <c r="B29" s="1">
        <f>Actions!F22</f>
        <v>21</v>
      </c>
      <c r="C29" s="1">
        <f ca="1">Actions!G22</f>
        <v>0</v>
      </c>
      <c r="D29" s="1">
        <f ca="1">Actions!H22</f>
        <v>0</v>
      </c>
      <c r="E29" s="1" t="str">
        <f ca="1">Actions!I22</f>
        <v>-</v>
      </c>
      <c r="F29" s="1" t="str">
        <f t="shared" ca="1" si="0"/>
        <v>-</v>
      </c>
      <c r="G29" s="1" t="e">
        <f t="shared" ca="1" si="1"/>
        <v>#REF!</v>
      </c>
      <c r="I29" s="1">
        <v>21</v>
      </c>
      <c r="J29" s="175">
        <f t="shared" ca="1" si="2"/>
        <v>0</v>
      </c>
      <c r="K29" s="175" t="str">
        <f t="shared" ca="1" si="3"/>
        <v/>
      </c>
      <c r="L29" s="169" t="str">
        <f t="shared" ca="1" si="93"/>
        <v/>
      </c>
      <c r="M29" s="169" t="str">
        <f t="array" aca="1" ref="M29" ca="1">IF(ROWS($9:28)&lt;=COUNTIF(Condition1,"o"),INDEX(Liste1,SMALL(IF(Condition1="o",ROW(INDIRECT("1:"&amp;ROWS(Liste1)))),ROWS($9:28))),"")</f>
        <v/>
      </c>
      <c r="N29" s="175">
        <f t="shared" ca="1" si="4"/>
        <v>0</v>
      </c>
      <c r="O29" s="175" t="str">
        <f t="shared" ca="1" si="5"/>
        <v/>
      </c>
      <c r="P29" s="169" t="str">
        <f t="shared" ca="1" si="94"/>
        <v/>
      </c>
      <c r="Q29" s="169" t="str">
        <f t="array" aca="1" ref="Q29" ca="1">IF(ROWS($9:28)&lt;=COUNTIF(Condition2,"o"),INDEX(Liste2,SMALL(IF(Condition2="o",ROW(INDIRECT("1:"&amp;ROWS(Liste2)))),ROWS($9:28))),"")</f>
        <v/>
      </c>
      <c r="R29" s="175">
        <f t="shared" ca="1" si="6"/>
        <v>0</v>
      </c>
      <c r="S29" s="175" t="str">
        <f t="shared" ca="1" si="7"/>
        <v/>
      </c>
      <c r="T29" s="169" t="str">
        <f t="shared" ca="1" si="95"/>
        <v/>
      </c>
      <c r="U29" s="169" t="str">
        <f t="array" aca="1" ref="U29" ca="1">IF(ROWS($9:28)&lt;=COUNTIF(Condition3,"o"),INDEX(Liste3,SMALL(IF(Condition3="o",ROW(INDIRECT("1:"&amp;ROWS(Liste3)))),ROWS($9:28))),"")</f>
        <v/>
      </c>
      <c r="V29" s="175">
        <f t="shared" ca="1" si="8"/>
        <v>0</v>
      </c>
      <c r="W29" s="175" t="str">
        <f t="shared" ca="1" si="9"/>
        <v/>
      </c>
      <c r="X29" s="169" t="str">
        <f t="shared" ca="1" si="96"/>
        <v/>
      </c>
      <c r="Y29" s="169" t="str">
        <f t="array" aca="1" ref="Y29" ca="1">IF(ROWS($9:28)&lt;=COUNTIF(Condition4,"o"),INDEX(Liste4,SMALL(IF(Condition4="o",ROW(INDIRECT("1:"&amp;ROWS(Liste4)))),ROWS($9:28))),"")</f>
        <v/>
      </c>
      <c r="Z29" s="175">
        <f t="shared" ca="1" si="10"/>
        <v>0</v>
      </c>
      <c r="AA29" s="175" t="str">
        <f t="shared" ca="1" si="11"/>
        <v/>
      </c>
      <c r="AB29" s="169" t="str">
        <f t="shared" ca="1" si="97"/>
        <v/>
      </c>
      <c r="AC29" s="169" t="str">
        <f t="array" aca="1" ref="AC29" ca="1">IF(ROWS($9:28)&lt;=COUNTIF(Condition5,"o"),INDEX(Liste5,SMALL(IF(Condition5="o",ROW(INDIRECT("1:"&amp;ROWS(Liste5)))),ROWS($9:28))),"")</f>
        <v/>
      </c>
      <c r="AD29" s="175">
        <f t="shared" ca="1" si="12"/>
        <v>0</v>
      </c>
      <c r="AE29" s="175" t="str">
        <f t="shared" ca="1" si="13"/>
        <v/>
      </c>
      <c r="AF29" s="169" t="str">
        <f t="shared" ca="1" si="98"/>
        <v/>
      </c>
      <c r="AG29" s="169" t="str">
        <f t="array" aca="1" ref="AG29" ca="1">IF(ROWS($9:28)&lt;=COUNTIF(Condition6,"o"),INDEX(Liste6,SMALL(IF(Condition6="o",ROW(INDIRECT("1:"&amp;ROWS(Liste6)))),ROWS($9:28))),"")</f>
        <v/>
      </c>
      <c r="AH29" s="175">
        <f t="shared" ca="1" si="14"/>
        <v>0</v>
      </c>
      <c r="AI29" s="175" t="str">
        <f t="shared" ca="1" si="15"/>
        <v/>
      </c>
      <c r="AJ29" s="169" t="str">
        <f t="shared" ca="1" si="99"/>
        <v/>
      </c>
      <c r="AK29" s="169" t="str">
        <f t="array" aca="1" ref="AK29" ca="1">IF(ROWS($9:28)&lt;=COUNTIF(Condition7,"o"),INDEX(Liste7,SMALL(IF(Condition7="o",ROW(INDIRECT("1:"&amp;ROWS(Liste7)))),ROWS($9:28))),"")</f>
        <v/>
      </c>
      <c r="AL29" s="175">
        <f t="shared" ca="1" si="16"/>
        <v>0</v>
      </c>
      <c r="AM29" s="175" t="str">
        <f t="shared" ca="1" si="17"/>
        <v/>
      </c>
      <c r="AN29" s="169" t="str">
        <f t="shared" ca="1" si="100"/>
        <v/>
      </c>
      <c r="AO29" s="169" t="str">
        <f t="array" aca="1" ref="AO29" ca="1">IF(ROWS($9:28)&lt;=COUNTIF(Condition8,"o"),INDEX(Liste8,SMALL(IF(Condition8="o",ROW(INDIRECT("1:"&amp;ROWS(Liste8)))),ROWS($9:28))),"")</f>
        <v/>
      </c>
      <c r="AP29" s="175">
        <f t="shared" ca="1" si="18"/>
        <v>0</v>
      </c>
      <c r="AQ29" s="175" t="str">
        <f t="shared" ca="1" si="19"/>
        <v/>
      </c>
      <c r="AR29" s="169" t="str">
        <f t="shared" ca="1" si="101"/>
        <v/>
      </c>
      <c r="AS29" s="169" t="str">
        <f t="array" aca="1" ref="AS29" ca="1">IF(ROWS($9:28)&lt;=COUNTIF(Condition9,"o"),INDEX(Liste9,SMALL(IF(Condition9="o",ROW(INDIRECT("1:"&amp;ROWS(Liste9)))),ROWS($9:28))),"")</f>
        <v/>
      </c>
      <c r="AT29" s="175">
        <f t="shared" ca="1" si="20"/>
        <v>0</v>
      </c>
      <c r="AU29" s="175" t="str">
        <f t="shared" ca="1" si="21"/>
        <v/>
      </c>
      <c r="AV29" s="169" t="str">
        <f t="shared" ca="1" si="102"/>
        <v/>
      </c>
      <c r="AW29" s="169" t="str">
        <f t="array" aca="1" ref="AW29" ca="1">IF(ROWS($9:28)&lt;=COUNTIF(Condition10,"o"),INDEX(Liste10,SMALL(IF(Condition10="o",ROW(INDIRECT("1:"&amp;ROWS(Liste10)))),ROWS($9:28))),"")</f>
        <v/>
      </c>
      <c r="AX29" s="175">
        <f t="shared" ca="1" si="22"/>
        <v>0</v>
      </c>
      <c r="AY29" s="175" t="str">
        <f t="shared" ca="1" si="23"/>
        <v/>
      </c>
      <c r="AZ29" s="169" t="str">
        <f t="shared" ca="1" si="103"/>
        <v/>
      </c>
      <c r="BA29" s="169" t="str">
        <f t="array" aca="1" ref="BA29" ca="1">IF(ROWS($9:28)&lt;=COUNTIF(Condition11,"o"),INDEX(Liste11,SMALL(IF(Condition11="o",ROW(INDIRECT("1:"&amp;ROWS(Liste11)))),ROWS($9:28))),"")</f>
        <v/>
      </c>
      <c r="BB29" s="175">
        <f t="shared" ca="1" si="24"/>
        <v>0</v>
      </c>
      <c r="BC29" s="175" t="str">
        <f t="shared" ca="1" si="25"/>
        <v/>
      </c>
      <c r="BD29" s="169" t="str">
        <f t="shared" ca="1" si="104"/>
        <v/>
      </c>
      <c r="BE29" s="169" t="str">
        <f t="array" aca="1" ref="BE29" ca="1">IF(ROWS($9:28)&lt;=COUNTIF(Condition12,"o"),INDEX(Liste12,SMALL(IF(Condition12="o",ROW(INDIRECT("1:"&amp;ROWS(Liste12)))),ROWS($9:28))),"")</f>
        <v/>
      </c>
      <c r="BF29" s="175">
        <f t="shared" ca="1" si="26"/>
        <v>0</v>
      </c>
      <c r="BG29" s="175" t="str">
        <f t="shared" ca="1" si="27"/>
        <v/>
      </c>
      <c r="BH29" s="169" t="str">
        <f t="shared" ca="1" si="105"/>
        <v/>
      </c>
      <c r="BI29" s="169" t="str">
        <f t="array" aca="1" ref="BI29" ca="1">IF(ROWS($9:28)&lt;=COUNTIF(Condition13,"o"),INDEX(Liste13,SMALL(IF(Condition13="o",ROW(INDIRECT("1:"&amp;ROWS(Liste13)))),ROWS($9:28))),"")</f>
        <v/>
      </c>
      <c r="BJ29" s="175">
        <f t="shared" ca="1" si="28"/>
        <v>0</v>
      </c>
      <c r="BK29" s="175" t="str">
        <f t="shared" ca="1" si="29"/>
        <v/>
      </c>
      <c r="BL29" s="169" t="str">
        <f t="shared" ca="1" si="106"/>
        <v/>
      </c>
      <c r="BM29" s="169" t="str">
        <f t="array" aca="1" ref="BM29" ca="1">IF(ROWS($9:28)&lt;=COUNTIF(Condition14,"o"),INDEX(Liste14,SMALL(IF(Condition14="o",ROW(INDIRECT("1:"&amp;ROWS(Liste14)))),ROWS($9:28))),"")</f>
        <v/>
      </c>
      <c r="BN29" s="175">
        <f t="shared" ca="1" si="30"/>
        <v>0</v>
      </c>
      <c r="BO29" s="175" t="str">
        <f t="shared" ca="1" si="31"/>
        <v/>
      </c>
      <c r="BP29" s="169" t="str">
        <f t="shared" ca="1" si="107"/>
        <v/>
      </c>
      <c r="BQ29" s="169" t="str">
        <f t="array" aca="1" ref="BQ29" ca="1">IF(ROWS($9:28)&lt;=COUNTIF(Condition15,"o"),INDEX(Liste15,SMALL(IF(Condition15="o",ROW(INDIRECT("1:"&amp;ROWS(Liste15)))),ROWS($9:28))),"")</f>
        <v/>
      </c>
      <c r="BR29" s="175">
        <f t="shared" ca="1" si="32"/>
        <v>0</v>
      </c>
      <c r="BS29" s="175" t="str">
        <f t="shared" ca="1" si="33"/>
        <v/>
      </c>
      <c r="BT29" s="169" t="str">
        <f t="shared" ca="1" si="108"/>
        <v/>
      </c>
      <c r="BU29" s="169" t="str">
        <f t="array" aca="1" ref="BU29" ca="1">IF(ROWS($9:28)&lt;=COUNTIF(Condition16,"o"),INDEX(Liste16,SMALL(IF(Condition16="o",ROW(INDIRECT("1:"&amp;ROWS(Liste16)))),ROWS($9:28))),"")</f>
        <v/>
      </c>
      <c r="BV29" s="175">
        <f t="shared" ca="1" si="34"/>
        <v>0</v>
      </c>
      <c r="BW29" s="175" t="str">
        <f t="shared" ca="1" si="35"/>
        <v/>
      </c>
      <c r="BX29" s="169" t="str">
        <f t="shared" ca="1" si="109"/>
        <v/>
      </c>
      <c r="BY29" s="169" t="str">
        <f t="array" aca="1" ref="BY29" ca="1">IF(ROWS($9:28)&lt;=COUNTIF(Condition17,"o"),INDEX(Liste17,SMALL(IF(Condition17="o",ROW(INDIRECT("1:"&amp;ROWS(Liste17)))),ROWS($9:28))),"")</f>
        <v/>
      </c>
      <c r="BZ29" s="175">
        <f t="shared" ca="1" si="36"/>
        <v>0</v>
      </c>
      <c r="CA29" s="175" t="str">
        <f t="shared" ca="1" si="37"/>
        <v/>
      </c>
      <c r="CB29" s="169" t="str">
        <f t="shared" ca="1" si="110"/>
        <v/>
      </c>
      <c r="CC29" s="169" t="str">
        <f t="array" aca="1" ref="CC29" ca="1">IF(ROWS($9:28)&lt;=COUNTIF(Condition18,"o"),INDEX(Liste18,SMALL(IF(Condition18="o",ROW(INDIRECT("1:"&amp;ROWS(Liste18)))),ROWS($9:28))),"")</f>
        <v/>
      </c>
      <c r="CD29" s="175">
        <f t="shared" ca="1" si="38"/>
        <v>0</v>
      </c>
      <c r="CE29" s="175" t="str">
        <f t="shared" ca="1" si="39"/>
        <v/>
      </c>
      <c r="CF29" s="169" t="str">
        <f t="shared" ca="1" si="111"/>
        <v/>
      </c>
      <c r="CG29" s="169" t="str">
        <f t="array" aca="1" ref="CG29" ca="1">IF(ROWS($9:28)&lt;=COUNTIF(Condition19,"o"),INDEX(Liste19,SMALL(IF(Condition19="o",ROW(INDIRECT("1:"&amp;ROWS(Liste19)))),ROWS($9:28))),"")</f>
        <v/>
      </c>
      <c r="CH29" s="175">
        <f t="shared" ca="1" si="40"/>
        <v>0</v>
      </c>
      <c r="CI29" s="175" t="str">
        <f t="shared" ca="1" si="41"/>
        <v/>
      </c>
      <c r="CJ29" s="169" t="str">
        <f t="shared" ca="1" si="112"/>
        <v/>
      </c>
      <c r="CK29" s="169" t="str">
        <f t="array" aca="1" ref="CK29" ca="1">IF(ROWS($9:28)&lt;=COUNTIF(Condition20,"o"),INDEX(Liste20,SMALL(IF(Condition20="o",ROW(INDIRECT("1:"&amp;ROWS(Liste20)))),ROWS($9:28))),"")</f>
        <v/>
      </c>
      <c r="CL29" s="175">
        <f t="shared" ca="1" si="42"/>
        <v>0</v>
      </c>
      <c r="CM29" s="175" t="str">
        <f t="shared" ca="1" si="43"/>
        <v/>
      </c>
      <c r="CN29" s="169" t="str">
        <f t="shared" ca="1" si="113"/>
        <v/>
      </c>
      <c r="CO29" s="169" t="str">
        <f t="array" aca="1" ref="CO29" ca="1">IF(ROWS($9:28)&lt;=COUNTIF(Condition21,"o"),INDEX(Liste21,SMALL(IF(Condition21="o",ROW(INDIRECT("1:"&amp;ROWS(Liste21)))),ROWS($9:28))),"")</f>
        <v/>
      </c>
      <c r="CP29" s="175">
        <f t="shared" ca="1" si="44"/>
        <v>0</v>
      </c>
      <c r="CQ29" s="175" t="str">
        <f t="shared" ca="1" si="45"/>
        <v/>
      </c>
      <c r="CR29" s="169" t="str">
        <f t="shared" ca="1" si="114"/>
        <v/>
      </c>
      <c r="CS29" s="169" t="str">
        <f t="array" aca="1" ref="CS29" ca="1">IF(ROWS($9:28)&lt;=COUNTIF(Condition22,"o"),INDEX(Liste22,SMALL(IF(Condition22="o",ROW(INDIRECT("1:"&amp;ROWS(Liste22)))),ROWS($9:28))),"")</f>
        <v/>
      </c>
      <c r="CT29" s="175">
        <f t="shared" ca="1" si="46"/>
        <v>0</v>
      </c>
      <c r="CU29" s="175" t="str">
        <f t="shared" ca="1" si="47"/>
        <v/>
      </c>
      <c r="CV29" s="169" t="str">
        <f t="shared" ca="1" si="115"/>
        <v/>
      </c>
      <c r="CW29" s="169" t="str">
        <f t="array" aca="1" ref="CW29" ca="1">IF(ROWS($9:28)&lt;=COUNTIF(Condition23,"o"),INDEX(Liste23,SMALL(IF(Condition23="o",ROW(INDIRECT("1:"&amp;ROWS(Liste23)))),ROWS($9:28))),"")</f>
        <v/>
      </c>
      <c r="CX29" s="175">
        <f t="shared" ca="1" si="48"/>
        <v>0</v>
      </c>
      <c r="CY29" s="175" t="str">
        <f t="shared" ca="1" si="49"/>
        <v/>
      </c>
      <c r="CZ29" s="169" t="str">
        <f t="shared" ca="1" si="116"/>
        <v/>
      </c>
      <c r="DA29" s="169" t="str">
        <f t="array" aca="1" ref="DA29" ca="1">IF(ROWS($9:28)&lt;=COUNTIF(Condition24,"o"),INDEX(Liste24,SMALL(IF(Condition24="o",ROW(INDIRECT("1:"&amp;ROWS(Liste24)))),ROWS($9:28))),"")</f>
        <v/>
      </c>
      <c r="DB29" s="175">
        <f t="shared" ca="1" si="50"/>
        <v>0</v>
      </c>
      <c r="DC29" s="175" t="str">
        <f t="shared" ca="1" si="51"/>
        <v/>
      </c>
      <c r="DD29" s="169" t="str">
        <f t="shared" ca="1" si="117"/>
        <v/>
      </c>
      <c r="DE29" s="169" t="str">
        <f t="array" aca="1" ref="DE29" ca="1">IF(ROWS($9:28)&lt;=COUNTIF(Condition25,"o"),INDEX(Liste25,SMALL(IF(Condition25="o",ROW(INDIRECT("1:"&amp;ROWS(Liste25)))),ROWS($9:28))),"")</f>
        <v/>
      </c>
      <c r="DF29" s="175">
        <f t="shared" ca="1" si="52"/>
        <v>0</v>
      </c>
      <c r="DG29" s="175" t="str">
        <f t="shared" ca="1" si="53"/>
        <v/>
      </c>
      <c r="DH29" s="169" t="str">
        <f t="shared" ca="1" si="118"/>
        <v/>
      </c>
      <c r="DI29" s="169" t="str">
        <f t="array" aca="1" ref="DI29" ca="1">IF(ROWS($9:28)&lt;=COUNTIF(Condition26,"o"),INDEX(Liste26,SMALL(IF(Condition26="o",ROW(INDIRECT("1:"&amp;ROWS(Liste26)))),ROWS($9:28))),"")</f>
        <v/>
      </c>
      <c r="DJ29" s="175">
        <f t="shared" ca="1" si="54"/>
        <v>0</v>
      </c>
      <c r="DK29" s="175" t="str">
        <f t="shared" ca="1" si="55"/>
        <v/>
      </c>
      <c r="DL29" s="169" t="str">
        <f t="shared" ca="1" si="119"/>
        <v/>
      </c>
      <c r="DM29" s="169" t="str">
        <f t="array" aca="1" ref="DM29" ca="1">IF(ROWS($9:28)&lt;=COUNTIF(Condition27,"o"),INDEX(Liste27,SMALL(IF(Condition27="o",ROW(INDIRECT("1:"&amp;ROWS(Liste27)))),ROWS($9:28))),"")</f>
        <v/>
      </c>
      <c r="DN29" s="175">
        <f t="shared" ca="1" si="56"/>
        <v>0</v>
      </c>
      <c r="DO29" s="175" t="str">
        <f t="shared" ca="1" si="57"/>
        <v/>
      </c>
      <c r="DP29" s="169" t="str">
        <f t="shared" ca="1" si="120"/>
        <v/>
      </c>
      <c r="DQ29" s="169" t="str">
        <f t="array" aca="1" ref="DQ29" ca="1">IF(ROWS($9:28)&lt;=COUNTIF(Condition28,"o"),INDEX(Liste28,SMALL(IF(Condition28="o",ROW(INDIRECT("1:"&amp;ROWS(Liste28)))),ROWS($9:28))),"")</f>
        <v/>
      </c>
      <c r="DR29" s="175">
        <f t="shared" ca="1" si="58"/>
        <v>0</v>
      </c>
      <c r="DS29" s="175" t="str">
        <f t="shared" ca="1" si="59"/>
        <v/>
      </c>
      <c r="DT29" s="169" t="str">
        <f t="shared" ca="1" si="121"/>
        <v/>
      </c>
      <c r="DU29" s="169" t="str">
        <f t="array" aca="1" ref="DU29" ca="1">IF(ROWS($9:28)&lt;=COUNTIF(Condition29,"o"),INDEX(Liste29,SMALL(IF(Condition29="o",ROW(INDIRECT("1:"&amp;ROWS(Liste29)))),ROWS($9:28))),"")</f>
        <v/>
      </c>
      <c r="DV29" s="175">
        <f t="shared" ca="1" si="60"/>
        <v>0</v>
      </c>
      <c r="DW29" s="175" t="str">
        <f t="shared" ca="1" si="61"/>
        <v/>
      </c>
      <c r="DX29" s="169" t="str">
        <f t="shared" ca="1" si="122"/>
        <v/>
      </c>
      <c r="DY29" s="169" t="str">
        <f t="array" aca="1" ref="DY29" ca="1">IF(ROWS($9:28)&lt;=COUNTIF(Condition30,"o"),INDEX(Liste30,SMALL(IF(Condition30="o",ROW(INDIRECT("1:"&amp;ROWS(Liste30)))),ROWS($9:28))),"")</f>
        <v/>
      </c>
      <c r="DZ29" s="175">
        <f t="shared" ca="1" si="62"/>
        <v>0</v>
      </c>
      <c r="EA29" s="175" t="str">
        <f t="shared" ca="1" si="63"/>
        <v/>
      </c>
      <c r="EB29" s="169" t="str">
        <f t="shared" ca="1" si="123"/>
        <v/>
      </c>
      <c r="EC29" s="169" t="str">
        <f t="array" aca="1" ref="EC29" ca="1">IF(ROWS($9:28)&lt;=COUNTIF(Condition31,"o"),INDEX(Liste31,SMALL(IF(Condition31="o",ROW(INDIRECT("1:"&amp;ROWS(Liste31)))),ROWS($9:28))),"")</f>
        <v/>
      </c>
      <c r="ED29" s="175">
        <f t="shared" ca="1" si="64"/>
        <v>0</v>
      </c>
      <c r="EE29" s="175" t="str">
        <f t="shared" ca="1" si="65"/>
        <v/>
      </c>
      <c r="EF29" s="169" t="str">
        <f t="shared" ca="1" si="124"/>
        <v/>
      </c>
      <c r="EG29" s="169" t="str">
        <f t="array" aca="1" ref="EG29" ca="1">IF(ROWS($9:28)&lt;=COUNTIF(Condition32,"o"),INDEX(Liste32,SMALL(IF(Condition32="o",ROW(INDIRECT("1:"&amp;ROWS(Liste32)))),ROWS($9:28))),"")</f>
        <v/>
      </c>
      <c r="EH29" s="175">
        <f t="shared" ca="1" si="66"/>
        <v>0</v>
      </c>
      <c r="EI29" s="175" t="str">
        <f t="shared" ca="1" si="67"/>
        <v/>
      </c>
      <c r="EJ29" s="169" t="str">
        <f t="shared" ca="1" si="125"/>
        <v/>
      </c>
      <c r="EK29" s="169" t="str">
        <f t="array" aca="1" ref="EK29" ca="1">IF(ROWS($9:28)&lt;=COUNTIF(Condition33,"o"),INDEX(Liste33,SMALL(IF(Condition33="o",ROW(INDIRECT("1:"&amp;ROWS(Liste33)))),ROWS($9:28))),"")</f>
        <v/>
      </c>
      <c r="EL29" s="175">
        <f t="shared" ca="1" si="68"/>
        <v>0</v>
      </c>
      <c r="EM29" s="175" t="str">
        <f t="shared" ca="1" si="69"/>
        <v/>
      </c>
      <c r="EN29" s="169" t="str">
        <f t="shared" ca="1" si="126"/>
        <v/>
      </c>
      <c r="EO29" s="169" t="str">
        <f t="array" aca="1" ref="EO29" ca="1">IF(ROWS($9:28)&lt;=COUNTIF(Condition34,"o"),INDEX(Liste34,SMALL(IF(Condition34="o",ROW(INDIRECT("1:"&amp;ROWS(Liste34)))),ROWS($9:28))),"")</f>
        <v/>
      </c>
      <c r="EP29" s="175">
        <f t="shared" ca="1" si="70"/>
        <v>0</v>
      </c>
      <c r="EQ29" s="175" t="str">
        <f t="shared" ca="1" si="71"/>
        <v/>
      </c>
      <c r="ER29" s="169" t="str">
        <f t="shared" ca="1" si="127"/>
        <v/>
      </c>
      <c r="ES29" s="169" t="str">
        <f t="array" aca="1" ref="ES29" ca="1">IF(ROWS($9:28)&lt;=COUNTIF(Condition35,"o"),INDEX(Liste35,SMALL(IF(Condition35="o",ROW(INDIRECT("1:"&amp;ROWS(Liste35)))),ROWS($9:28))),"")</f>
        <v/>
      </c>
      <c r="ET29" s="175">
        <f t="shared" ca="1" si="72"/>
        <v>0</v>
      </c>
      <c r="EU29" s="175" t="str">
        <f t="shared" ca="1" si="73"/>
        <v/>
      </c>
      <c r="EV29" s="169" t="str">
        <f t="shared" ca="1" si="128"/>
        <v/>
      </c>
      <c r="EW29" s="169" t="str">
        <f t="array" aca="1" ref="EW29" ca="1">IF(ROWS($9:28)&lt;=COUNTIF(Condition36,"o"),INDEX(Liste36,SMALL(IF(Condition36="o",ROW(INDIRECT("1:"&amp;ROWS(Liste36)))),ROWS($9:28))),"")</f>
        <v/>
      </c>
      <c r="EX29" s="175">
        <f t="shared" ca="1" si="74"/>
        <v>0</v>
      </c>
      <c r="EY29" s="175" t="str">
        <f t="shared" ca="1" si="75"/>
        <v/>
      </c>
      <c r="EZ29" s="169" t="str">
        <f t="shared" ca="1" si="85"/>
        <v/>
      </c>
      <c r="FA29" s="169" t="str">
        <f t="array" aca="1" ref="FA29" ca="1">IF(ROWS($9:28)&lt;=COUNTIF(Condition36,"o"),INDEX(Liste36,SMALL(IF(Condition36="o",ROW(INDIRECT("1:"&amp;ROWS(Liste36)))),ROWS($9:28))),"")</f>
        <v/>
      </c>
      <c r="FB29" s="175">
        <f t="shared" ca="1" si="76"/>
        <v>0</v>
      </c>
      <c r="FC29" s="175" t="str">
        <f t="shared" ca="1" si="77"/>
        <v/>
      </c>
      <c r="FD29" s="169" t="str">
        <f t="shared" ca="1" si="86"/>
        <v/>
      </c>
      <c r="FE29" s="169" t="str">
        <f t="array" aca="1" ref="FE29" ca="1">IF(ROWS($9:28)&lt;=COUNTIF(condition38,"o"),INDEX(liste38,SMALL(IF(condition38="o",ROW(INDIRECT("1:"&amp;ROWS(liste38)))),ROWS($9:28))),"")</f>
        <v/>
      </c>
      <c r="FF29" s="175">
        <f t="shared" ca="1" si="78"/>
        <v>0</v>
      </c>
      <c r="FG29" s="175" t="str">
        <f t="shared" ca="1" si="79"/>
        <v/>
      </c>
      <c r="FH29" s="169" t="str">
        <f t="shared" ca="1" si="87"/>
        <v/>
      </c>
      <c r="FI29" s="169" t="str">
        <f t="array" aca="1" ref="FI29" ca="1">IF(ROWS($9:28)&lt;=COUNTIF(Condition39,"o"),INDEX(Liste39,SMALL(IF(Condition39="o",ROW(INDIRECT("1:"&amp;ROWS(Liste39)))),ROWS($9:28))),"")</f>
        <v/>
      </c>
      <c r="FM29" s="1" t="s">
        <v>1202</v>
      </c>
      <c r="FN29" s="1" t="s">
        <v>1157</v>
      </c>
      <c r="FO29" s="180">
        <f>'Suivi objectifs'!D24</f>
        <v>0</v>
      </c>
      <c r="FP29" s="1366" t="str">
        <f>'Suivi objectifs'!C24</f>
        <v>Véhicules communaux</v>
      </c>
      <c r="FQ29" s="181" t="str">
        <f ca="1">IF(ISNA(VLOOKUP(FR29,Actions!$G$2:$AP$70,31,0)),"",VLOOKUP(FR29,Actions!$G$2:$AP$70,36,0))</f>
        <v/>
      </c>
      <c r="FR29" s="185" t="str">
        <f t="shared" ca="1" si="88"/>
        <v/>
      </c>
      <c r="FS29" s="286">
        <f t="shared" ca="1" si="80"/>
        <v>0</v>
      </c>
      <c r="FT29" s="181" t="str">
        <f ca="1">IF(ISNA(VLOOKUP(FU29,Actions!$G$2:$AP$70,31,0)),"",VLOOKUP(FU29,Actions!$G$2:$AP$70,36,0))</f>
        <v/>
      </c>
      <c r="FU29" s="185" t="str">
        <f t="shared" ca="1" si="89"/>
        <v/>
      </c>
      <c r="FV29" s="286">
        <f t="shared" ca="1" si="81"/>
        <v>0</v>
      </c>
      <c r="FW29" s="181" t="str">
        <f ca="1">IF(ISNA(VLOOKUP(FX29,Actions!$G$2:$AP$70,31,0)),"",VLOOKUP(FX29,Actions!$G$2:$AP$70,36,0))</f>
        <v/>
      </c>
      <c r="FX29" s="185" t="str">
        <f t="shared" ca="1" si="90"/>
        <v/>
      </c>
      <c r="FY29" s="286">
        <f t="shared" ca="1" si="82"/>
        <v>0</v>
      </c>
      <c r="FZ29" s="181" t="str">
        <f ca="1">IF(ISNA(VLOOKUP(GA29,Actions!$G$2:$AP$70,31,0)),"",VLOOKUP(GA29,Actions!$G$2:$AP$70,36,0))</f>
        <v/>
      </c>
      <c r="GA29" s="185" t="str">
        <f t="shared" ca="1" si="91"/>
        <v/>
      </c>
      <c r="GB29" s="286">
        <f t="shared" ca="1" si="83"/>
        <v>0</v>
      </c>
      <c r="GC29" s="181" t="str">
        <f ca="1">IF(ISNA(VLOOKUP(GD29,Actions!$G$2:$AP$70,31,0)),"",VLOOKUP(GD29,Actions!$G$2:$AP$70,36,0))</f>
        <v/>
      </c>
      <c r="GD29" s="185" t="str">
        <f t="shared" ca="1" si="92"/>
        <v/>
      </c>
      <c r="GE29" s="286">
        <f t="shared" ca="1" si="84"/>
        <v>0</v>
      </c>
      <c r="GF29" s="186">
        <f t="shared" ca="1" si="129"/>
        <v>0</v>
      </c>
      <c r="GG29" s="233"/>
    </row>
    <row r="30" spans="1:189" hidden="1">
      <c r="A30" s="1" t="s">
        <v>1203</v>
      </c>
      <c r="B30" s="1">
        <f>Actions!F23</f>
        <v>22</v>
      </c>
      <c r="C30" s="1">
        <f ca="1">Actions!G23</f>
        <v>0</v>
      </c>
      <c r="D30" s="1">
        <f ca="1">Actions!H23</f>
        <v>0</v>
      </c>
      <c r="E30" s="1" t="str">
        <f ca="1">Actions!I23</f>
        <v>-</v>
      </c>
      <c r="F30" s="1" t="str">
        <f t="shared" ca="1" si="0"/>
        <v>-</v>
      </c>
      <c r="G30" s="1" t="e">
        <f t="shared" ca="1" si="1"/>
        <v>#REF!</v>
      </c>
      <c r="I30" s="1">
        <v>22</v>
      </c>
      <c r="J30" s="175">
        <f t="shared" ca="1" si="2"/>
        <v>0</v>
      </c>
      <c r="K30" s="175" t="str">
        <f t="shared" ca="1" si="3"/>
        <v/>
      </c>
      <c r="L30" s="169" t="str">
        <f t="shared" ca="1" si="93"/>
        <v/>
      </c>
      <c r="M30" s="169" t="str">
        <f t="array" aca="1" ref="M30" ca="1">IF(ROWS($9:29)&lt;=COUNTIF(Condition1,"o"),INDEX(Liste1,SMALL(IF(Condition1="o",ROW(INDIRECT("1:"&amp;ROWS(Liste1)))),ROWS($9:29))),"")</f>
        <v/>
      </c>
      <c r="N30" s="175">
        <f t="shared" ca="1" si="4"/>
        <v>0</v>
      </c>
      <c r="O30" s="175" t="str">
        <f t="shared" ca="1" si="5"/>
        <v/>
      </c>
      <c r="P30" s="169" t="str">
        <f t="shared" ca="1" si="94"/>
        <v/>
      </c>
      <c r="Q30" s="169" t="str">
        <f t="array" aca="1" ref="Q30" ca="1">IF(ROWS($9:29)&lt;=COUNTIF(Condition2,"o"),INDEX(Liste2,SMALL(IF(Condition2="o",ROW(INDIRECT("1:"&amp;ROWS(Liste2)))),ROWS($9:29))),"")</f>
        <v/>
      </c>
      <c r="R30" s="175">
        <f t="shared" ca="1" si="6"/>
        <v>0</v>
      </c>
      <c r="S30" s="175" t="str">
        <f t="shared" ca="1" si="7"/>
        <v/>
      </c>
      <c r="T30" s="169" t="str">
        <f t="shared" ca="1" si="95"/>
        <v/>
      </c>
      <c r="U30" s="169" t="str">
        <f t="array" aca="1" ref="U30" ca="1">IF(ROWS($9:29)&lt;=COUNTIF(Condition3,"o"),INDEX(Liste3,SMALL(IF(Condition3="o",ROW(INDIRECT("1:"&amp;ROWS(Liste3)))),ROWS($9:29))),"")</f>
        <v/>
      </c>
      <c r="V30" s="175">
        <f t="shared" ca="1" si="8"/>
        <v>0</v>
      </c>
      <c r="W30" s="175" t="str">
        <f t="shared" ca="1" si="9"/>
        <v/>
      </c>
      <c r="X30" s="169" t="str">
        <f t="shared" ca="1" si="96"/>
        <v/>
      </c>
      <c r="Y30" s="169" t="str">
        <f t="array" aca="1" ref="Y30" ca="1">IF(ROWS($9:29)&lt;=COUNTIF(Condition4,"o"),INDEX(Liste4,SMALL(IF(Condition4="o",ROW(INDIRECT("1:"&amp;ROWS(Liste4)))),ROWS($9:29))),"")</f>
        <v/>
      </c>
      <c r="Z30" s="175">
        <f t="shared" ca="1" si="10"/>
        <v>0</v>
      </c>
      <c r="AA30" s="175" t="str">
        <f t="shared" ca="1" si="11"/>
        <v/>
      </c>
      <c r="AB30" s="169" t="str">
        <f t="shared" ca="1" si="97"/>
        <v/>
      </c>
      <c r="AC30" s="169" t="str">
        <f t="array" aca="1" ref="AC30" ca="1">IF(ROWS($9:29)&lt;=COUNTIF(Condition5,"o"),INDEX(Liste5,SMALL(IF(Condition5="o",ROW(INDIRECT("1:"&amp;ROWS(Liste5)))),ROWS($9:29))),"")</f>
        <v/>
      </c>
      <c r="AD30" s="175">
        <f t="shared" ca="1" si="12"/>
        <v>0</v>
      </c>
      <c r="AE30" s="175" t="str">
        <f t="shared" ca="1" si="13"/>
        <v/>
      </c>
      <c r="AF30" s="169" t="str">
        <f t="shared" ca="1" si="98"/>
        <v/>
      </c>
      <c r="AG30" s="169" t="str">
        <f t="array" aca="1" ref="AG30" ca="1">IF(ROWS($9:29)&lt;=COUNTIF(Condition6,"o"),INDEX(Liste6,SMALL(IF(Condition6="o",ROW(INDIRECT("1:"&amp;ROWS(Liste6)))),ROWS($9:29))),"")</f>
        <v/>
      </c>
      <c r="AH30" s="175">
        <f t="shared" ca="1" si="14"/>
        <v>0</v>
      </c>
      <c r="AI30" s="175" t="str">
        <f t="shared" ca="1" si="15"/>
        <v/>
      </c>
      <c r="AJ30" s="169" t="str">
        <f t="shared" ca="1" si="99"/>
        <v/>
      </c>
      <c r="AK30" s="169" t="str">
        <f t="array" aca="1" ref="AK30" ca="1">IF(ROWS($9:29)&lt;=COUNTIF(Condition7,"o"),INDEX(Liste7,SMALL(IF(Condition7="o",ROW(INDIRECT("1:"&amp;ROWS(Liste7)))),ROWS($9:29))),"")</f>
        <v/>
      </c>
      <c r="AL30" s="175">
        <f t="shared" ca="1" si="16"/>
        <v>0</v>
      </c>
      <c r="AM30" s="175" t="str">
        <f t="shared" ca="1" si="17"/>
        <v/>
      </c>
      <c r="AN30" s="169" t="str">
        <f t="shared" ca="1" si="100"/>
        <v/>
      </c>
      <c r="AO30" s="169" t="str">
        <f t="array" aca="1" ref="AO30" ca="1">IF(ROWS($9:29)&lt;=COUNTIF(Condition8,"o"),INDEX(Liste8,SMALL(IF(Condition8="o",ROW(INDIRECT("1:"&amp;ROWS(Liste8)))),ROWS($9:29))),"")</f>
        <v/>
      </c>
      <c r="AP30" s="175">
        <f t="shared" ca="1" si="18"/>
        <v>0</v>
      </c>
      <c r="AQ30" s="175" t="str">
        <f t="shared" ca="1" si="19"/>
        <v/>
      </c>
      <c r="AR30" s="169" t="str">
        <f t="shared" ca="1" si="101"/>
        <v/>
      </c>
      <c r="AS30" s="169" t="str">
        <f t="array" aca="1" ref="AS30" ca="1">IF(ROWS($9:29)&lt;=COUNTIF(Condition9,"o"),INDEX(Liste9,SMALL(IF(Condition9="o",ROW(INDIRECT("1:"&amp;ROWS(Liste9)))),ROWS($9:29))),"")</f>
        <v/>
      </c>
      <c r="AT30" s="175">
        <f t="shared" ca="1" si="20"/>
        <v>0</v>
      </c>
      <c r="AU30" s="175" t="str">
        <f t="shared" ca="1" si="21"/>
        <v/>
      </c>
      <c r="AV30" s="169" t="str">
        <f t="shared" ca="1" si="102"/>
        <v/>
      </c>
      <c r="AW30" s="169" t="str">
        <f t="array" aca="1" ref="AW30" ca="1">IF(ROWS($9:29)&lt;=COUNTIF(Condition10,"o"),INDEX(Liste10,SMALL(IF(Condition10="o",ROW(INDIRECT("1:"&amp;ROWS(Liste10)))),ROWS($9:29))),"")</f>
        <v/>
      </c>
      <c r="AX30" s="175">
        <f t="shared" ca="1" si="22"/>
        <v>0</v>
      </c>
      <c r="AY30" s="175" t="str">
        <f t="shared" ca="1" si="23"/>
        <v/>
      </c>
      <c r="AZ30" s="169" t="str">
        <f t="shared" ca="1" si="103"/>
        <v/>
      </c>
      <c r="BA30" s="169" t="str">
        <f t="array" aca="1" ref="BA30" ca="1">IF(ROWS($9:29)&lt;=COUNTIF(Condition11,"o"),INDEX(Liste11,SMALL(IF(Condition11="o",ROW(INDIRECT("1:"&amp;ROWS(Liste11)))),ROWS($9:29))),"")</f>
        <v/>
      </c>
      <c r="BB30" s="175">
        <f t="shared" ca="1" si="24"/>
        <v>0</v>
      </c>
      <c r="BC30" s="175" t="str">
        <f t="shared" ca="1" si="25"/>
        <v/>
      </c>
      <c r="BD30" s="169" t="str">
        <f t="shared" ca="1" si="104"/>
        <v/>
      </c>
      <c r="BE30" s="169" t="str">
        <f t="array" aca="1" ref="BE30" ca="1">IF(ROWS($9:29)&lt;=COUNTIF(Condition12,"o"),INDEX(Liste12,SMALL(IF(Condition12="o",ROW(INDIRECT("1:"&amp;ROWS(Liste12)))),ROWS($9:29))),"")</f>
        <v/>
      </c>
      <c r="BF30" s="175">
        <f t="shared" ca="1" si="26"/>
        <v>0</v>
      </c>
      <c r="BG30" s="175" t="str">
        <f t="shared" ca="1" si="27"/>
        <v/>
      </c>
      <c r="BH30" s="169" t="str">
        <f t="shared" ca="1" si="105"/>
        <v/>
      </c>
      <c r="BI30" s="169" t="str">
        <f t="array" aca="1" ref="BI30" ca="1">IF(ROWS($9:29)&lt;=COUNTIF(Condition13,"o"),INDEX(Liste13,SMALL(IF(Condition13="o",ROW(INDIRECT("1:"&amp;ROWS(Liste13)))),ROWS($9:29))),"")</f>
        <v/>
      </c>
      <c r="BJ30" s="175">
        <f t="shared" ca="1" si="28"/>
        <v>0</v>
      </c>
      <c r="BK30" s="175" t="str">
        <f t="shared" ca="1" si="29"/>
        <v/>
      </c>
      <c r="BL30" s="169" t="str">
        <f t="shared" ca="1" si="106"/>
        <v/>
      </c>
      <c r="BM30" s="169" t="str">
        <f t="array" aca="1" ref="BM30" ca="1">IF(ROWS($9:29)&lt;=COUNTIF(Condition14,"o"),INDEX(Liste14,SMALL(IF(Condition14="o",ROW(INDIRECT("1:"&amp;ROWS(Liste14)))),ROWS($9:29))),"")</f>
        <v/>
      </c>
      <c r="BN30" s="175">
        <f t="shared" ca="1" si="30"/>
        <v>0</v>
      </c>
      <c r="BO30" s="175" t="str">
        <f t="shared" ca="1" si="31"/>
        <v/>
      </c>
      <c r="BP30" s="169" t="str">
        <f t="shared" ca="1" si="107"/>
        <v/>
      </c>
      <c r="BQ30" s="169" t="str">
        <f t="array" aca="1" ref="BQ30" ca="1">IF(ROWS($9:29)&lt;=COUNTIF(Condition15,"o"),INDEX(Liste15,SMALL(IF(Condition15="o",ROW(INDIRECT("1:"&amp;ROWS(Liste15)))),ROWS($9:29))),"")</f>
        <v/>
      </c>
      <c r="BR30" s="175">
        <f t="shared" ca="1" si="32"/>
        <v>0</v>
      </c>
      <c r="BS30" s="175" t="str">
        <f t="shared" ca="1" si="33"/>
        <v/>
      </c>
      <c r="BT30" s="169" t="str">
        <f t="shared" ca="1" si="108"/>
        <v/>
      </c>
      <c r="BU30" s="169" t="str">
        <f t="array" aca="1" ref="BU30" ca="1">IF(ROWS($9:29)&lt;=COUNTIF(Condition16,"o"),INDEX(Liste16,SMALL(IF(Condition16="o",ROW(INDIRECT("1:"&amp;ROWS(Liste16)))),ROWS($9:29))),"")</f>
        <v/>
      </c>
      <c r="BV30" s="175">
        <f t="shared" ca="1" si="34"/>
        <v>0</v>
      </c>
      <c r="BW30" s="175" t="str">
        <f t="shared" ca="1" si="35"/>
        <v/>
      </c>
      <c r="BX30" s="169" t="str">
        <f t="shared" ca="1" si="109"/>
        <v/>
      </c>
      <c r="BY30" s="169" t="str">
        <f t="array" aca="1" ref="BY30" ca="1">IF(ROWS($9:29)&lt;=COUNTIF(Condition17,"o"),INDEX(Liste17,SMALL(IF(Condition17="o",ROW(INDIRECT("1:"&amp;ROWS(Liste17)))),ROWS($9:29))),"")</f>
        <v/>
      </c>
      <c r="BZ30" s="175">
        <f t="shared" ca="1" si="36"/>
        <v>0</v>
      </c>
      <c r="CA30" s="175" t="str">
        <f t="shared" ca="1" si="37"/>
        <v/>
      </c>
      <c r="CB30" s="169" t="str">
        <f t="shared" ca="1" si="110"/>
        <v/>
      </c>
      <c r="CC30" s="169" t="str">
        <f t="array" aca="1" ref="CC30" ca="1">IF(ROWS($9:29)&lt;=COUNTIF(Condition18,"o"),INDEX(Liste18,SMALL(IF(Condition18="o",ROW(INDIRECT("1:"&amp;ROWS(Liste18)))),ROWS($9:29))),"")</f>
        <v/>
      </c>
      <c r="CD30" s="175">
        <f t="shared" ca="1" si="38"/>
        <v>0</v>
      </c>
      <c r="CE30" s="175" t="str">
        <f t="shared" ca="1" si="39"/>
        <v/>
      </c>
      <c r="CF30" s="169" t="str">
        <f t="shared" ca="1" si="111"/>
        <v/>
      </c>
      <c r="CG30" s="169" t="str">
        <f t="array" aca="1" ref="CG30" ca="1">IF(ROWS($9:29)&lt;=COUNTIF(Condition19,"o"),INDEX(Liste19,SMALL(IF(Condition19="o",ROW(INDIRECT("1:"&amp;ROWS(Liste19)))),ROWS($9:29))),"")</f>
        <v/>
      </c>
      <c r="CH30" s="175">
        <f t="shared" ca="1" si="40"/>
        <v>0</v>
      </c>
      <c r="CI30" s="175" t="str">
        <f t="shared" ca="1" si="41"/>
        <v/>
      </c>
      <c r="CJ30" s="169" t="str">
        <f t="shared" ca="1" si="112"/>
        <v/>
      </c>
      <c r="CK30" s="169" t="str">
        <f t="array" aca="1" ref="CK30" ca="1">IF(ROWS($9:29)&lt;=COUNTIF(Condition20,"o"),INDEX(Liste20,SMALL(IF(Condition20="o",ROW(INDIRECT("1:"&amp;ROWS(Liste20)))),ROWS($9:29))),"")</f>
        <v/>
      </c>
      <c r="CL30" s="175">
        <f t="shared" ca="1" si="42"/>
        <v>0</v>
      </c>
      <c r="CM30" s="175" t="str">
        <f t="shared" ca="1" si="43"/>
        <v/>
      </c>
      <c r="CN30" s="169" t="str">
        <f t="shared" ca="1" si="113"/>
        <v/>
      </c>
      <c r="CO30" s="169" t="str">
        <f t="array" aca="1" ref="CO30" ca="1">IF(ROWS($9:29)&lt;=COUNTIF(Condition21,"o"),INDEX(Liste21,SMALL(IF(Condition21="o",ROW(INDIRECT("1:"&amp;ROWS(Liste21)))),ROWS($9:29))),"")</f>
        <v/>
      </c>
      <c r="CP30" s="175">
        <f t="shared" ca="1" si="44"/>
        <v>0</v>
      </c>
      <c r="CQ30" s="175" t="str">
        <f t="shared" ca="1" si="45"/>
        <v/>
      </c>
      <c r="CR30" s="169" t="str">
        <f t="shared" ca="1" si="114"/>
        <v/>
      </c>
      <c r="CS30" s="169" t="str">
        <f t="array" aca="1" ref="CS30" ca="1">IF(ROWS($9:29)&lt;=COUNTIF(Condition22,"o"),INDEX(Liste22,SMALL(IF(Condition22="o",ROW(INDIRECT("1:"&amp;ROWS(Liste22)))),ROWS($9:29))),"")</f>
        <v/>
      </c>
      <c r="CT30" s="175">
        <f t="shared" ca="1" si="46"/>
        <v>0</v>
      </c>
      <c r="CU30" s="175" t="str">
        <f t="shared" ca="1" si="47"/>
        <v/>
      </c>
      <c r="CV30" s="169" t="str">
        <f t="shared" ca="1" si="115"/>
        <v/>
      </c>
      <c r="CW30" s="169" t="str">
        <f t="array" aca="1" ref="CW30" ca="1">IF(ROWS($9:29)&lt;=COUNTIF(Condition23,"o"),INDEX(Liste23,SMALL(IF(Condition23="o",ROW(INDIRECT("1:"&amp;ROWS(Liste23)))),ROWS($9:29))),"")</f>
        <v/>
      </c>
      <c r="CX30" s="175">
        <f t="shared" ca="1" si="48"/>
        <v>0</v>
      </c>
      <c r="CY30" s="175" t="str">
        <f t="shared" ca="1" si="49"/>
        <v/>
      </c>
      <c r="CZ30" s="169" t="str">
        <f t="shared" ca="1" si="116"/>
        <v/>
      </c>
      <c r="DA30" s="169" t="str">
        <f t="array" aca="1" ref="DA30" ca="1">IF(ROWS($9:29)&lt;=COUNTIF(Condition24,"o"),INDEX(Liste24,SMALL(IF(Condition24="o",ROW(INDIRECT("1:"&amp;ROWS(Liste24)))),ROWS($9:29))),"")</f>
        <v/>
      </c>
      <c r="DB30" s="175">
        <f t="shared" ca="1" si="50"/>
        <v>0</v>
      </c>
      <c r="DC30" s="175" t="str">
        <f t="shared" ca="1" si="51"/>
        <v/>
      </c>
      <c r="DD30" s="169" t="str">
        <f t="shared" ca="1" si="117"/>
        <v/>
      </c>
      <c r="DE30" s="169" t="str">
        <f t="array" aca="1" ref="DE30" ca="1">IF(ROWS($9:29)&lt;=COUNTIF(Condition25,"o"),INDEX(Liste25,SMALL(IF(Condition25="o",ROW(INDIRECT("1:"&amp;ROWS(Liste25)))),ROWS($9:29))),"")</f>
        <v/>
      </c>
      <c r="DF30" s="175">
        <f t="shared" ca="1" si="52"/>
        <v>0</v>
      </c>
      <c r="DG30" s="175" t="str">
        <f t="shared" ca="1" si="53"/>
        <v/>
      </c>
      <c r="DH30" s="169" t="str">
        <f t="shared" ca="1" si="118"/>
        <v/>
      </c>
      <c r="DI30" s="169" t="str">
        <f t="array" aca="1" ref="DI30" ca="1">IF(ROWS($9:29)&lt;=COUNTIF(Condition26,"o"),INDEX(Liste26,SMALL(IF(Condition26="o",ROW(INDIRECT("1:"&amp;ROWS(Liste26)))),ROWS($9:29))),"")</f>
        <v/>
      </c>
      <c r="DJ30" s="175">
        <f t="shared" ca="1" si="54"/>
        <v>0</v>
      </c>
      <c r="DK30" s="175" t="str">
        <f t="shared" ca="1" si="55"/>
        <v/>
      </c>
      <c r="DL30" s="169" t="str">
        <f t="shared" ca="1" si="119"/>
        <v/>
      </c>
      <c r="DM30" s="169" t="str">
        <f t="array" aca="1" ref="DM30" ca="1">IF(ROWS($9:29)&lt;=COUNTIF(Condition27,"o"),INDEX(Liste27,SMALL(IF(Condition27="o",ROW(INDIRECT("1:"&amp;ROWS(Liste27)))),ROWS($9:29))),"")</f>
        <v/>
      </c>
      <c r="DN30" s="175">
        <f t="shared" ca="1" si="56"/>
        <v>0</v>
      </c>
      <c r="DO30" s="175" t="str">
        <f t="shared" ca="1" si="57"/>
        <v/>
      </c>
      <c r="DP30" s="169" t="str">
        <f t="shared" ca="1" si="120"/>
        <v/>
      </c>
      <c r="DQ30" s="169" t="str">
        <f t="array" aca="1" ref="DQ30" ca="1">IF(ROWS($9:29)&lt;=COUNTIF(Condition28,"o"),INDEX(Liste28,SMALL(IF(Condition28="o",ROW(INDIRECT("1:"&amp;ROWS(Liste28)))),ROWS($9:29))),"")</f>
        <v/>
      </c>
      <c r="DR30" s="175">
        <f t="shared" ca="1" si="58"/>
        <v>0</v>
      </c>
      <c r="DS30" s="175" t="str">
        <f t="shared" ca="1" si="59"/>
        <v/>
      </c>
      <c r="DT30" s="169" t="str">
        <f t="shared" ca="1" si="121"/>
        <v/>
      </c>
      <c r="DU30" s="169" t="str">
        <f t="array" aca="1" ref="DU30" ca="1">IF(ROWS($9:29)&lt;=COUNTIF(Condition29,"o"),INDEX(Liste29,SMALL(IF(Condition29="o",ROW(INDIRECT("1:"&amp;ROWS(Liste29)))),ROWS($9:29))),"")</f>
        <v/>
      </c>
      <c r="DV30" s="175">
        <f t="shared" ca="1" si="60"/>
        <v>0</v>
      </c>
      <c r="DW30" s="175" t="str">
        <f t="shared" ca="1" si="61"/>
        <v/>
      </c>
      <c r="DX30" s="169" t="str">
        <f t="shared" ca="1" si="122"/>
        <v/>
      </c>
      <c r="DY30" s="169" t="str">
        <f t="array" aca="1" ref="DY30" ca="1">IF(ROWS($9:29)&lt;=COUNTIF(Condition30,"o"),INDEX(Liste30,SMALL(IF(Condition30="o",ROW(INDIRECT("1:"&amp;ROWS(Liste30)))),ROWS($9:29))),"")</f>
        <v/>
      </c>
      <c r="DZ30" s="175">
        <f t="shared" ca="1" si="62"/>
        <v>0</v>
      </c>
      <c r="EA30" s="175" t="str">
        <f t="shared" ca="1" si="63"/>
        <v/>
      </c>
      <c r="EB30" s="169" t="str">
        <f t="shared" ca="1" si="123"/>
        <v/>
      </c>
      <c r="EC30" s="169" t="str">
        <f t="array" aca="1" ref="EC30" ca="1">IF(ROWS($9:29)&lt;=COUNTIF(Condition31,"o"),INDEX(Liste31,SMALL(IF(Condition31="o",ROW(INDIRECT("1:"&amp;ROWS(Liste31)))),ROWS($9:29))),"")</f>
        <v/>
      </c>
      <c r="ED30" s="175">
        <f t="shared" ca="1" si="64"/>
        <v>0</v>
      </c>
      <c r="EE30" s="175" t="str">
        <f t="shared" ca="1" si="65"/>
        <v/>
      </c>
      <c r="EF30" s="169" t="str">
        <f t="shared" ca="1" si="124"/>
        <v/>
      </c>
      <c r="EG30" s="169" t="str">
        <f t="array" aca="1" ref="EG30" ca="1">IF(ROWS($9:29)&lt;=COUNTIF(Condition32,"o"),INDEX(Liste32,SMALL(IF(Condition32="o",ROW(INDIRECT("1:"&amp;ROWS(Liste32)))),ROWS($9:29))),"")</f>
        <v/>
      </c>
      <c r="EH30" s="175">
        <f t="shared" ca="1" si="66"/>
        <v>0</v>
      </c>
      <c r="EI30" s="175" t="str">
        <f t="shared" ca="1" si="67"/>
        <v/>
      </c>
      <c r="EJ30" s="169" t="str">
        <f t="shared" ca="1" si="125"/>
        <v/>
      </c>
      <c r="EK30" s="169" t="str">
        <f t="array" aca="1" ref="EK30" ca="1">IF(ROWS($9:29)&lt;=COUNTIF(Condition33,"o"),INDEX(Liste33,SMALL(IF(Condition33="o",ROW(INDIRECT("1:"&amp;ROWS(Liste33)))),ROWS($9:29))),"")</f>
        <v/>
      </c>
      <c r="EL30" s="175">
        <f t="shared" ca="1" si="68"/>
        <v>0</v>
      </c>
      <c r="EM30" s="175" t="str">
        <f t="shared" ca="1" si="69"/>
        <v/>
      </c>
      <c r="EN30" s="169" t="str">
        <f t="shared" ca="1" si="126"/>
        <v/>
      </c>
      <c r="EO30" s="169" t="str">
        <f t="array" aca="1" ref="EO30" ca="1">IF(ROWS($9:29)&lt;=COUNTIF(Condition34,"o"),INDEX(Liste34,SMALL(IF(Condition34="o",ROW(INDIRECT("1:"&amp;ROWS(Liste34)))),ROWS($9:29))),"")</f>
        <v/>
      </c>
      <c r="EP30" s="175">
        <f t="shared" ca="1" si="70"/>
        <v>0</v>
      </c>
      <c r="EQ30" s="175" t="str">
        <f t="shared" ca="1" si="71"/>
        <v/>
      </c>
      <c r="ER30" s="169" t="str">
        <f t="shared" ca="1" si="127"/>
        <v/>
      </c>
      <c r="ES30" s="169" t="str">
        <f t="array" aca="1" ref="ES30" ca="1">IF(ROWS($9:29)&lt;=COUNTIF(Condition35,"o"),INDEX(Liste35,SMALL(IF(Condition35="o",ROW(INDIRECT("1:"&amp;ROWS(Liste35)))),ROWS($9:29))),"")</f>
        <v/>
      </c>
      <c r="ET30" s="175">
        <f t="shared" ca="1" si="72"/>
        <v>0</v>
      </c>
      <c r="EU30" s="175" t="str">
        <f t="shared" ca="1" si="73"/>
        <v/>
      </c>
      <c r="EV30" s="169" t="str">
        <f t="shared" ca="1" si="128"/>
        <v/>
      </c>
      <c r="EW30" s="169" t="str">
        <f t="array" aca="1" ref="EW30" ca="1">IF(ROWS($9:29)&lt;=COUNTIF(Condition36,"o"),INDEX(Liste36,SMALL(IF(Condition36="o",ROW(INDIRECT("1:"&amp;ROWS(Liste36)))),ROWS($9:29))),"")</f>
        <v/>
      </c>
      <c r="EX30" s="175">
        <f t="shared" ca="1" si="74"/>
        <v>0</v>
      </c>
      <c r="EY30" s="175" t="str">
        <f t="shared" ca="1" si="75"/>
        <v/>
      </c>
      <c r="EZ30" s="169" t="str">
        <f t="shared" ca="1" si="85"/>
        <v/>
      </c>
      <c r="FA30" s="169" t="str">
        <f t="array" aca="1" ref="FA30" ca="1">IF(ROWS($9:29)&lt;=COUNTIF(Condition36,"o"),INDEX(Liste36,SMALL(IF(Condition36="o",ROW(INDIRECT("1:"&amp;ROWS(Liste36)))),ROWS($9:29))),"")</f>
        <v/>
      </c>
      <c r="FB30" s="175">
        <f t="shared" ca="1" si="76"/>
        <v>0</v>
      </c>
      <c r="FC30" s="175" t="str">
        <f t="shared" ca="1" si="77"/>
        <v/>
      </c>
      <c r="FD30" s="169" t="str">
        <f t="shared" ca="1" si="86"/>
        <v/>
      </c>
      <c r="FE30" s="169" t="str">
        <f t="array" aca="1" ref="FE30" ca="1">IF(ROWS($9:29)&lt;=COUNTIF(condition38,"o"),INDEX(liste38,SMALL(IF(condition38="o",ROW(INDIRECT("1:"&amp;ROWS(liste38)))),ROWS($9:29))),"")</f>
        <v/>
      </c>
      <c r="FF30" s="175">
        <f t="shared" ca="1" si="78"/>
        <v>0</v>
      </c>
      <c r="FG30" s="175" t="str">
        <f t="shared" ca="1" si="79"/>
        <v/>
      </c>
      <c r="FH30" s="169" t="str">
        <f t="shared" ca="1" si="87"/>
        <v/>
      </c>
      <c r="FI30" s="169" t="str">
        <f t="array" aca="1" ref="FI30" ca="1">IF(ROWS($9:29)&lt;=COUNTIF(Condition39,"o"),INDEX(Liste39,SMALL(IF(Condition39="o",ROW(INDIRECT("1:"&amp;ROWS(Liste39)))),ROWS($9:29))),"")</f>
        <v/>
      </c>
      <c r="FM30" s="1" t="s">
        <v>1204</v>
      </c>
      <c r="FN30" s="1" t="s">
        <v>1158</v>
      </c>
      <c r="FO30" s="180">
        <f>'Suivi objectifs'!D25</f>
        <v>0</v>
      </c>
      <c r="FP30" s="1366" t="str">
        <f>'Suivi objectifs'!C25</f>
        <v>Processus industriels</v>
      </c>
      <c r="FQ30" s="181" t="str">
        <f ca="1">IF(ISNA(VLOOKUP(FR30,Actions!$G$2:$AP$70,31,0)),"",VLOOKUP(FR30,Actions!$G$2:$AP$70,36,0))</f>
        <v/>
      </c>
      <c r="FR30" s="185" t="str">
        <f t="shared" ca="1" si="88"/>
        <v/>
      </c>
      <c r="FS30" s="286">
        <f t="shared" ca="1" si="80"/>
        <v>0</v>
      </c>
      <c r="FT30" s="181" t="str">
        <f ca="1">IF(ISNA(VLOOKUP(FU30,Actions!$G$2:$AP$70,31,0)),"",VLOOKUP(FU30,Actions!$G$2:$AP$70,36,0))</f>
        <v/>
      </c>
      <c r="FU30" s="185" t="str">
        <f t="shared" ca="1" si="89"/>
        <v/>
      </c>
      <c r="FV30" s="286">
        <f t="shared" ca="1" si="81"/>
        <v>0</v>
      </c>
      <c r="FW30" s="181" t="str">
        <f ca="1">IF(ISNA(VLOOKUP(FX30,Actions!$G$2:$AP$70,31,0)),"",VLOOKUP(FX30,Actions!$G$2:$AP$70,36,0))</f>
        <v/>
      </c>
      <c r="FX30" s="185" t="str">
        <f t="shared" ca="1" si="90"/>
        <v/>
      </c>
      <c r="FY30" s="286">
        <f t="shared" ca="1" si="82"/>
        <v>0</v>
      </c>
      <c r="FZ30" s="181" t="str">
        <f ca="1">IF(ISNA(VLOOKUP(GA30,Actions!$G$2:$AP$70,31,0)),"",VLOOKUP(GA30,Actions!$G$2:$AP$70,36,0))</f>
        <v/>
      </c>
      <c r="GA30" s="185" t="str">
        <f t="shared" ca="1" si="91"/>
        <v/>
      </c>
      <c r="GB30" s="286">
        <f t="shared" ca="1" si="83"/>
        <v>0</v>
      </c>
      <c r="GC30" s="181" t="str">
        <f ca="1">IF(ISNA(VLOOKUP(GD30,Actions!$G$2:$AP$70,31,0)),"",VLOOKUP(GD30,Actions!$G$2:$AP$70,36,0))</f>
        <v/>
      </c>
      <c r="GD30" s="185" t="str">
        <f t="shared" ca="1" si="92"/>
        <v/>
      </c>
      <c r="GE30" s="286">
        <f t="shared" ca="1" si="84"/>
        <v>0</v>
      </c>
      <c r="GF30" s="186">
        <f t="shared" ca="1" si="129"/>
        <v>0</v>
      </c>
      <c r="GG30" s="233"/>
    </row>
    <row r="31" spans="1:189" hidden="1">
      <c r="A31" s="1" t="s">
        <v>877</v>
      </c>
      <c r="B31" s="1">
        <f>Actions!F24</f>
        <v>23</v>
      </c>
      <c r="C31" s="1">
        <f ca="1">Actions!G24</f>
        <v>0</v>
      </c>
      <c r="D31" s="1">
        <f ca="1">Actions!H24</f>
        <v>0</v>
      </c>
      <c r="E31" s="1" t="str">
        <f ca="1">Actions!I24</f>
        <v>-</v>
      </c>
      <c r="F31" s="1" t="str">
        <f t="shared" ca="1" si="0"/>
        <v>-</v>
      </c>
      <c r="G31" s="1" t="e">
        <f t="shared" ca="1" si="1"/>
        <v>#REF!</v>
      </c>
      <c r="I31" s="1">
        <v>23</v>
      </c>
      <c r="J31" s="175">
        <f t="shared" ca="1" si="2"/>
        <v>0</v>
      </c>
      <c r="K31" s="175" t="str">
        <f t="shared" ca="1" si="3"/>
        <v/>
      </c>
      <c r="L31" s="169" t="str">
        <f t="shared" ca="1" si="93"/>
        <v/>
      </c>
      <c r="M31" s="169" t="str">
        <f t="array" aca="1" ref="M31" ca="1">IF(ROWS($9:30)&lt;=COUNTIF(Condition1,"o"),INDEX(Liste1,SMALL(IF(Condition1="o",ROW(INDIRECT("1:"&amp;ROWS(Liste1)))),ROWS($9:30))),"")</f>
        <v/>
      </c>
      <c r="N31" s="175">
        <f t="shared" ca="1" si="4"/>
        <v>0</v>
      </c>
      <c r="O31" s="175" t="str">
        <f t="shared" ca="1" si="5"/>
        <v/>
      </c>
      <c r="P31" s="169" t="str">
        <f t="shared" ca="1" si="94"/>
        <v/>
      </c>
      <c r="Q31" s="169" t="str">
        <f t="array" aca="1" ref="Q31" ca="1">IF(ROWS($9:30)&lt;=COUNTIF(Condition2,"o"),INDEX(Liste2,SMALL(IF(Condition2="o",ROW(INDIRECT("1:"&amp;ROWS(Liste2)))),ROWS($9:30))),"")</f>
        <v/>
      </c>
      <c r="R31" s="175">
        <f t="shared" ca="1" si="6"/>
        <v>0</v>
      </c>
      <c r="S31" s="175" t="str">
        <f t="shared" ca="1" si="7"/>
        <v/>
      </c>
      <c r="T31" s="169" t="str">
        <f t="shared" ca="1" si="95"/>
        <v/>
      </c>
      <c r="U31" s="169" t="str">
        <f t="array" aca="1" ref="U31" ca="1">IF(ROWS($9:30)&lt;=COUNTIF(Condition3,"o"),INDEX(Liste3,SMALL(IF(Condition3="o",ROW(INDIRECT("1:"&amp;ROWS(Liste3)))),ROWS($9:30))),"")</f>
        <v/>
      </c>
      <c r="V31" s="175">
        <f t="shared" ca="1" si="8"/>
        <v>0</v>
      </c>
      <c r="W31" s="175" t="str">
        <f t="shared" ca="1" si="9"/>
        <v/>
      </c>
      <c r="X31" s="169" t="str">
        <f t="shared" ca="1" si="96"/>
        <v/>
      </c>
      <c r="Y31" s="169" t="str">
        <f t="array" aca="1" ref="Y31" ca="1">IF(ROWS($9:30)&lt;=COUNTIF(Condition4,"o"),INDEX(Liste4,SMALL(IF(Condition4="o",ROW(INDIRECT("1:"&amp;ROWS(Liste4)))),ROWS($9:30))),"")</f>
        <v/>
      </c>
      <c r="Z31" s="175">
        <f t="shared" ca="1" si="10"/>
        <v>0</v>
      </c>
      <c r="AA31" s="175" t="str">
        <f t="shared" ca="1" si="11"/>
        <v/>
      </c>
      <c r="AB31" s="169" t="str">
        <f t="shared" ca="1" si="97"/>
        <v/>
      </c>
      <c r="AC31" s="169" t="str">
        <f t="array" aca="1" ref="AC31" ca="1">IF(ROWS($9:30)&lt;=COUNTIF(Condition5,"o"),INDEX(Liste5,SMALL(IF(Condition5="o",ROW(INDIRECT("1:"&amp;ROWS(Liste5)))),ROWS($9:30))),"")</f>
        <v/>
      </c>
      <c r="AD31" s="175">
        <f t="shared" ca="1" si="12"/>
        <v>0</v>
      </c>
      <c r="AE31" s="175" t="str">
        <f t="shared" ca="1" si="13"/>
        <v/>
      </c>
      <c r="AF31" s="169" t="str">
        <f t="shared" ca="1" si="98"/>
        <v/>
      </c>
      <c r="AG31" s="169" t="str">
        <f t="array" aca="1" ref="AG31" ca="1">IF(ROWS($9:30)&lt;=COUNTIF(Condition6,"o"),INDEX(Liste6,SMALL(IF(Condition6="o",ROW(INDIRECT("1:"&amp;ROWS(Liste6)))),ROWS($9:30))),"")</f>
        <v/>
      </c>
      <c r="AH31" s="175">
        <f t="shared" ca="1" si="14"/>
        <v>0</v>
      </c>
      <c r="AI31" s="175" t="str">
        <f t="shared" ca="1" si="15"/>
        <v/>
      </c>
      <c r="AJ31" s="169" t="str">
        <f t="shared" ca="1" si="99"/>
        <v/>
      </c>
      <c r="AK31" s="169" t="str">
        <f t="array" aca="1" ref="AK31" ca="1">IF(ROWS($9:30)&lt;=COUNTIF(Condition7,"o"),INDEX(Liste7,SMALL(IF(Condition7="o",ROW(INDIRECT("1:"&amp;ROWS(Liste7)))),ROWS($9:30))),"")</f>
        <v/>
      </c>
      <c r="AL31" s="175">
        <f t="shared" ca="1" si="16"/>
        <v>0</v>
      </c>
      <c r="AM31" s="175" t="str">
        <f t="shared" ca="1" si="17"/>
        <v/>
      </c>
      <c r="AN31" s="169" t="str">
        <f t="shared" ca="1" si="100"/>
        <v/>
      </c>
      <c r="AO31" s="169" t="str">
        <f t="array" aca="1" ref="AO31" ca="1">IF(ROWS($9:30)&lt;=COUNTIF(Condition8,"o"),INDEX(Liste8,SMALL(IF(Condition8="o",ROW(INDIRECT("1:"&amp;ROWS(Liste8)))),ROWS($9:30))),"")</f>
        <v/>
      </c>
      <c r="AP31" s="175">
        <f t="shared" ca="1" si="18"/>
        <v>0</v>
      </c>
      <c r="AQ31" s="175" t="str">
        <f t="shared" ca="1" si="19"/>
        <v/>
      </c>
      <c r="AR31" s="169" t="str">
        <f t="shared" ca="1" si="101"/>
        <v/>
      </c>
      <c r="AS31" s="169" t="str">
        <f t="array" aca="1" ref="AS31" ca="1">IF(ROWS($9:30)&lt;=COUNTIF(Condition9,"o"),INDEX(Liste9,SMALL(IF(Condition9="o",ROW(INDIRECT("1:"&amp;ROWS(Liste9)))),ROWS($9:30))),"")</f>
        <v/>
      </c>
      <c r="AT31" s="175">
        <f t="shared" ca="1" si="20"/>
        <v>0</v>
      </c>
      <c r="AU31" s="175" t="str">
        <f t="shared" ca="1" si="21"/>
        <v/>
      </c>
      <c r="AV31" s="169" t="str">
        <f t="shared" ca="1" si="102"/>
        <v/>
      </c>
      <c r="AW31" s="169" t="str">
        <f t="array" aca="1" ref="AW31" ca="1">IF(ROWS($9:30)&lt;=COUNTIF(Condition10,"o"),INDEX(Liste10,SMALL(IF(Condition10="o",ROW(INDIRECT("1:"&amp;ROWS(Liste10)))),ROWS($9:30))),"")</f>
        <v/>
      </c>
      <c r="AX31" s="175">
        <f t="shared" ca="1" si="22"/>
        <v>0</v>
      </c>
      <c r="AY31" s="175" t="str">
        <f t="shared" ca="1" si="23"/>
        <v/>
      </c>
      <c r="AZ31" s="169" t="str">
        <f t="shared" ca="1" si="103"/>
        <v/>
      </c>
      <c r="BA31" s="169" t="str">
        <f t="array" aca="1" ref="BA31" ca="1">IF(ROWS($9:30)&lt;=COUNTIF(Condition11,"o"),INDEX(Liste11,SMALL(IF(Condition11="o",ROW(INDIRECT("1:"&amp;ROWS(Liste11)))),ROWS($9:30))),"")</f>
        <v/>
      </c>
      <c r="BB31" s="175">
        <f t="shared" ca="1" si="24"/>
        <v>0</v>
      </c>
      <c r="BC31" s="175" t="str">
        <f t="shared" ca="1" si="25"/>
        <v/>
      </c>
      <c r="BD31" s="169" t="str">
        <f t="shared" ca="1" si="104"/>
        <v/>
      </c>
      <c r="BE31" s="169" t="str">
        <f t="array" aca="1" ref="BE31" ca="1">IF(ROWS($9:30)&lt;=COUNTIF(Condition12,"o"),INDEX(Liste12,SMALL(IF(Condition12="o",ROW(INDIRECT("1:"&amp;ROWS(Liste12)))),ROWS($9:30))),"")</f>
        <v/>
      </c>
      <c r="BF31" s="175">
        <f t="shared" ca="1" si="26"/>
        <v>0</v>
      </c>
      <c r="BG31" s="175" t="str">
        <f t="shared" ca="1" si="27"/>
        <v/>
      </c>
      <c r="BH31" s="169" t="str">
        <f t="shared" ca="1" si="105"/>
        <v/>
      </c>
      <c r="BI31" s="169" t="str">
        <f t="array" aca="1" ref="BI31" ca="1">IF(ROWS($9:30)&lt;=COUNTIF(Condition13,"o"),INDEX(Liste13,SMALL(IF(Condition13="o",ROW(INDIRECT("1:"&amp;ROWS(Liste13)))),ROWS($9:30))),"")</f>
        <v/>
      </c>
      <c r="BJ31" s="175">
        <f t="shared" ca="1" si="28"/>
        <v>0</v>
      </c>
      <c r="BK31" s="175" t="str">
        <f t="shared" ca="1" si="29"/>
        <v/>
      </c>
      <c r="BL31" s="169" t="str">
        <f t="shared" ca="1" si="106"/>
        <v/>
      </c>
      <c r="BM31" s="169" t="str">
        <f t="array" aca="1" ref="BM31" ca="1">IF(ROWS($9:30)&lt;=COUNTIF(Condition14,"o"),INDEX(Liste14,SMALL(IF(Condition14="o",ROW(INDIRECT("1:"&amp;ROWS(Liste14)))),ROWS($9:30))),"")</f>
        <v/>
      </c>
      <c r="BN31" s="175">
        <f t="shared" ca="1" si="30"/>
        <v>0</v>
      </c>
      <c r="BO31" s="175" t="str">
        <f t="shared" ca="1" si="31"/>
        <v/>
      </c>
      <c r="BP31" s="169" t="str">
        <f t="shared" ca="1" si="107"/>
        <v/>
      </c>
      <c r="BQ31" s="169" t="str">
        <f t="array" aca="1" ref="BQ31" ca="1">IF(ROWS($9:30)&lt;=COUNTIF(Condition15,"o"),INDEX(Liste15,SMALL(IF(Condition15="o",ROW(INDIRECT("1:"&amp;ROWS(Liste15)))),ROWS($9:30))),"")</f>
        <v/>
      </c>
      <c r="BR31" s="175">
        <f t="shared" ca="1" si="32"/>
        <v>0</v>
      </c>
      <c r="BS31" s="175" t="str">
        <f t="shared" ca="1" si="33"/>
        <v/>
      </c>
      <c r="BT31" s="169" t="str">
        <f t="shared" ca="1" si="108"/>
        <v/>
      </c>
      <c r="BU31" s="169" t="str">
        <f t="array" aca="1" ref="BU31" ca="1">IF(ROWS($9:30)&lt;=COUNTIF(Condition16,"o"),INDEX(Liste16,SMALL(IF(Condition16="o",ROW(INDIRECT("1:"&amp;ROWS(Liste16)))),ROWS($9:30))),"")</f>
        <v/>
      </c>
      <c r="BV31" s="175">
        <f t="shared" ca="1" si="34"/>
        <v>0</v>
      </c>
      <c r="BW31" s="175" t="str">
        <f t="shared" ca="1" si="35"/>
        <v/>
      </c>
      <c r="BX31" s="169" t="str">
        <f t="shared" ca="1" si="109"/>
        <v/>
      </c>
      <c r="BY31" s="169" t="str">
        <f t="array" aca="1" ref="BY31" ca="1">IF(ROWS($9:30)&lt;=COUNTIF(Condition17,"o"),INDEX(Liste17,SMALL(IF(Condition17="o",ROW(INDIRECT("1:"&amp;ROWS(Liste17)))),ROWS($9:30))),"")</f>
        <v/>
      </c>
      <c r="BZ31" s="175">
        <f t="shared" ca="1" si="36"/>
        <v>0</v>
      </c>
      <c r="CA31" s="175" t="str">
        <f t="shared" ca="1" si="37"/>
        <v/>
      </c>
      <c r="CB31" s="169" t="str">
        <f t="shared" ca="1" si="110"/>
        <v/>
      </c>
      <c r="CC31" s="169" t="str">
        <f t="array" aca="1" ref="CC31" ca="1">IF(ROWS($9:30)&lt;=COUNTIF(Condition18,"o"),INDEX(Liste18,SMALL(IF(Condition18="o",ROW(INDIRECT("1:"&amp;ROWS(Liste18)))),ROWS($9:30))),"")</f>
        <v/>
      </c>
      <c r="CD31" s="175">
        <f t="shared" ca="1" si="38"/>
        <v>0</v>
      </c>
      <c r="CE31" s="175" t="str">
        <f t="shared" ca="1" si="39"/>
        <v/>
      </c>
      <c r="CF31" s="169" t="str">
        <f t="shared" ca="1" si="111"/>
        <v/>
      </c>
      <c r="CG31" s="169" t="str">
        <f t="array" aca="1" ref="CG31" ca="1">IF(ROWS($9:30)&lt;=COUNTIF(Condition19,"o"),INDEX(Liste19,SMALL(IF(Condition19="o",ROW(INDIRECT("1:"&amp;ROWS(Liste19)))),ROWS($9:30))),"")</f>
        <v/>
      </c>
      <c r="CH31" s="175">
        <f t="shared" ca="1" si="40"/>
        <v>0</v>
      </c>
      <c r="CI31" s="175" t="str">
        <f t="shared" ca="1" si="41"/>
        <v/>
      </c>
      <c r="CJ31" s="169" t="str">
        <f t="shared" ca="1" si="112"/>
        <v/>
      </c>
      <c r="CK31" s="169" t="str">
        <f t="array" aca="1" ref="CK31" ca="1">IF(ROWS($9:30)&lt;=COUNTIF(Condition20,"o"),INDEX(Liste20,SMALL(IF(Condition20="o",ROW(INDIRECT("1:"&amp;ROWS(Liste20)))),ROWS($9:30))),"")</f>
        <v/>
      </c>
      <c r="CL31" s="175">
        <f t="shared" ca="1" si="42"/>
        <v>0</v>
      </c>
      <c r="CM31" s="175" t="str">
        <f t="shared" ca="1" si="43"/>
        <v/>
      </c>
      <c r="CN31" s="169" t="str">
        <f t="shared" ca="1" si="113"/>
        <v/>
      </c>
      <c r="CO31" s="169" t="str">
        <f t="array" aca="1" ref="CO31" ca="1">IF(ROWS($9:30)&lt;=COUNTIF(Condition21,"o"),INDEX(Liste21,SMALL(IF(Condition21="o",ROW(INDIRECT("1:"&amp;ROWS(Liste21)))),ROWS($9:30))),"")</f>
        <v/>
      </c>
      <c r="CP31" s="175">
        <f t="shared" ca="1" si="44"/>
        <v>0</v>
      </c>
      <c r="CQ31" s="175" t="str">
        <f t="shared" ca="1" si="45"/>
        <v/>
      </c>
      <c r="CR31" s="169" t="str">
        <f t="shared" ca="1" si="114"/>
        <v/>
      </c>
      <c r="CS31" s="169" t="str">
        <f t="array" aca="1" ref="CS31" ca="1">IF(ROWS($9:30)&lt;=COUNTIF(Condition22,"o"),INDEX(Liste22,SMALL(IF(Condition22="o",ROW(INDIRECT("1:"&amp;ROWS(Liste22)))),ROWS($9:30))),"")</f>
        <v/>
      </c>
      <c r="CT31" s="175">
        <f t="shared" ca="1" si="46"/>
        <v>0</v>
      </c>
      <c r="CU31" s="175" t="str">
        <f t="shared" ca="1" si="47"/>
        <v/>
      </c>
      <c r="CV31" s="169" t="str">
        <f t="shared" ca="1" si="115"/>
        <v/>
      </c>
      <c r="CW31" s="169" t="str">
        <f t="array" aca="1" ref="CW31" ca="1">IF(ROWS($9:30)&lt;=COUNTIF(Condition23,"o"),INDEX(Liste23,SMALL(IF(Condition23="o",ROW(INDIRECT("1:"&amp;ROWS(Liste23)))),ROWS($9:30))),"")</f>
        <v/>
      </c>
      <c r="CX31" s="175">
        <f t="shared" ca="1" si="48"/>
        <v>0</v>
      </c>
      <c r="CY31" s="175" t="str">
        <f t="shared" ca="1" si="49"/>
        <v/>
      </c>
      <c r="CZ31" s="169" t="str">
        <f t="shared" ca="1" si="116"/>
        <v/>
      </c>
      <c r="DA31" s="169" t="str">
        <f t="array" aca="1" ref="DA31" ca="1">IF(ROWS($9:30)&lt;=COUNTIF(Condition24,"o"),INDEX(Liste24,SMALL(IF(Condition24="o",ROW(INDIRECT("1:"&amp;ROWS(Liste24)))),ROWS($9:30))),"")</f>
        <v/>
      </c>
      <c r="DB31" s="175">
        <f t="shared" ca="1" si="50"/>
        <v>0</v>
      </c>
      <c r="DC31" s="175" t="str">
        <f t="shared" ca="1" si="51"/>
        <v/>
      </c>
      <c r="DD31" s="169" t="str">
        <f t="shared" ca="1" si="117"/>
        <v/>
      </c>
      <c r="DE31" s="169" t="str">
        <f t="array" aca="1" ref="DE31" ca="1">IF(ROWS($9:30)&lt;=COUNTIF(Condition25,"o"),INDEX(Liste25,SMALL(IF(Condition25="o",ROW(INDIRECT("1:"&amp;ROWS(Liste25)))),ROWS($9:30))),"")</f>
        <v/>
      </c>
      <c r="DF31" s="175">
        <f t="shared" ca="1" si="52"/>
        <v>0</v>
      </c>
      <c r="DG31" s="175" t="str">
        <f t="shared" ca="1" si="53"/>
        <v/>
      </c>
      <c r="DH31" s="169" t="str">
        <f t="shared" ca="1" si="118"/>
        <v/>
      </c>
      <c r="DI31" s="169" t="str">
        <f t="array" aca="1" ref="DI31" ca="1">IF(ROWS($9:30)&lt;=COUNTIF(Condition26,"o"),INDEX(Liste26,SMALL(IF(Condition26="o",ROW(INDIRECT("1:"&amp;ROWS(Liste26)))),ROWS($9:30))),"")</f>
        <v/>
      </c>
      <c r="DJ31" s="175">
        <f t="shared" ca="1" si="54"/>
        <v>0</v>
      </c>
      <c r="DK31" s="175" t="str">
        <f t="shared" ca="1" si="55"/>
        <v/>
      </c>
      <c r="DL31" s="169" t="str">
        <f t="shared" ca="1" si="119"/>
        <v/>
      </c>
      <c r="DM31" s="169" t="str">
        <f t="array" aca="1" ref="DM31" ca="1">IF(ROWS($9:30)&lt;=COUNTIF(Condition27,"o"),INDEX(Liste27,SMALL(IF(Condition27="o",ROW(INDIRECT("1:"&amp;ROWS(Liste27)))),ROWS($9:30))),"")</f>
        <v/>
      </c>
      <c r="DN31" s="175">
        <f t="shared" ca="1" si="56"/>
        <v>0</v>
      </c>
      <c r="DO31" s="175" t="str">
        <f t="shared" ca="1" si="57"/>
        <v/>
      </c>
      <c r="DP31" s="169" t="str">
        <f t="shared" ca="1" si="120"/>
        <v/>
      </c>
      <c r="DQ31" s="169" t="str">
        <f t="array" aca="1" ref="DQ31" ca="1">IF(ROWS($9:30)&lt;=COUNTIF(Condition28,"o"),INDEX(Liste28,SMALL(IF(Condition28="o",ROW(INDIRECT("1:"&amp;ROWS(Liste28)))),ROWS($9:30))),"")</f>
        <v/>
      </c>
      <c r="DR31" s="175">
        <f t="shared" ca="1" si="58"/>
        <v>0</v>
      </c>
      <c r="DS31" s="175" t="str">
        <f t="shared" ca="1" si="59"/>
        <v/>
      </c>
      <c r="DT31" s="169" t="str">
        <f t="shared" ca="1" si="121"/>
        <v/>
      </c>
      <c r="DU31" s="169" t="str">
        <f t="array" aca="1" ref="DU31" ca="1">IF(ROWS($9:30)&lt;=COUNTIF(Condition29,"o"),INDEX(Liste29,SMALL(IF(Condition29="o",ROW(INDIRECT("1:"&amp;ROWS(Liste29)))),ROWS($9:30))),"")</f>
        <v/>
      </c>
      <c r="DV31" s="175">
        <f t="shared" ca="1" si="60"/>
        <v>0</v>
      </c>
      <c r="DW31" s="175" t="str">
        <f t="shared" ca="1" si="61"/>
        <v/>
      </c>
      <c r="DX31" s="169" t="str">
        <f t="shared" ca="1" si="122"/>
        <v/>
      </c>
      <c r="DY31" s="169" t="str">
        <f t="array" aca="1" ref="DY31" ca="1">IF(ROWS($9:30)&lt;=COUNTIF(Condition30,"o"),INDEX(Liste30,SMALL(IF(Condition30="o",ROW(INDIRECT("1:"&amp;ROWS(Liste30)))),ROWS($9:30))),"")</f>
        <v/>
      </c>
      <c r="DZ31" s="175">
        <f t="shared" ca="1" si="62"/>
        <v>0</v>
      </c>
      <c r="EA31" s="175" t="str">
        <f t="shared" ca="1" si="63"/>
        <v/>
      </c>
      <c r="EB31" s="169" t="str">
        <f t="shared" ca="1" si="123"/>
        <v/>
      </c>
      <c r="EC31" s="169" t="str">
        <f t="array" aca="1" ref="EC31" ca="1">IF(ROWS($9:30)&lt;=COUNTIF(Condition31,"o"),INDEX(Liste31,SMALL(IF(Condition31="o",ROW(INDIRECT("1:"&amp;ROWS(Liste31)))),ROWS($9:30))),"")</f>
        <v/>
      </c>
      <c r="ED31" s="175">
        <f t="shared" ca="1" si="64"/>
        <v>0</v>
      </c>
      <c r="EE31" s="175" t="str">
        <f t="shared" ca="1" si="65"/>
        <v/>
      </c>
      <c r="EF31" s="169" t="str">
        <f t="shared" ca="1" si="124"/>
        <v/>
      </c>
      <c r="EG31" s="169" t="str">
        <f t="array" aca="1" ref="EG31" ca="1">IF(ROWS($9:30)&lt;=COUNTIF(Condition32,"o"),INDEX(Liste32,SMALL(IF(Condition32="o",ROW(INDIRECT("1:"&amp;ROWS(Liste32)))),ROWS($9:30))),"")</f>
        <v/>
      </c>
      <c r="EH31" s="175">
        <f t="shared" ca="1" si="66"/>
        <v>0</v>
      </c>
      <c r="EI31" s="175" t="str">
        <f t="shared" ca="1" si="67"/>
        <v/>
      </c>
      <c r="EJ31" s="169" t="str">
        <f t="shared" ca="1" si="125"/>
        <v/>
      </c>
      <c r="EK31" s="169" t="str">
        <f t="array" aca="1" ref="EK31" ca="1">IF(ROWS($9:30)&lt;=COUNTIF(Condition33,"o"),INDEX(Liste33,SMALL(IF(Condition33="o",ROW(INDIRECT("1:"&amp;ROWS(Liste33)))),ROWS($9:30))),"")</f>
        <v/>
      </c>
      <c r="EL31" s="175">
        <f t="shared" ca="1" si="68"/>
        <v>0</v>
      </c>
      <c r="EM31" s="175" t="str">
        <f t="shared" ca="1" si="69"/>
        <v/>
      </c>
      <c r="EN31" s="169" t="str">
        <f t="shared" ca="1" si="126"/>
        <v/>
      </c>
      <c r="EO31" s="169" t="str">
        <f t="array" aca="1" ref="EO31" ca="1">IF(ROWS($9:30)&lt;=COUNTIF(Condition34,"o"),INDEX(Liste34,SMALL(IF(Condition34="o",ROW(INDIRECT("1:"&amp;ROWS(Liste34)))),ROWS($9:30))),"")</f>
        <v/>
      </c>
      <c r="EP31" s="175">
        <f t="shared" ca="1" si="70"/>
        <v>0</v>
      </c>
      <c r="EQ31" s="175" t="str">
        <f t="shared" ca="1" si="71"/>
        <v/>
      </c>
      <c r="ER31" s="169" t="str">
        <f t="shared" ca="1" si="127"/>
        <v/>
      </c>
      <c r="ES31" s="169" t="str">
        <f t="array" aca="1" ref="ES31" ca="1">IF(ROWS($9:30)&lt;=COUNTIF(Condition35,"o"),INDEX(Liste35,SMALL(IF(Condition35="o",ROW(INDIRECT("1:"&amp;ROWS(Liste35)))),ROWS($9:30))),"")</f>
        <v/>
      </c>
      <c r="ET31" s="175">
        <f t="shared" ca="1" si="72"/>
        <v>0</v>
      </c>
      <c r="EU31" s="175" t="str">
        <f t="shared" ca="1" si="73"/>
        <v/>
      </c>
      <c r="EV31" s="169" t="str">
        <f t="shared" ca="1" si="128"/>
        <v/>
      </c>
      <c r="EW31" s="169" t="str">
        <f t="array" aca="1" ref="EW31" ca="1">IF(ROWS($9:30)&lt;=COUNTIF(Condition36,"o"),INDEX(Liste36,SMALL(IF(Condition36="o",ROW(INDIRECT("1:"&amp;ROWS(Liste36)))),ROWS($9:30))),"")</f>
        <v/>
      </c>
      <c r="EX31" s="175">
        <f t="shared" ca="1" si="74"/>
        <v>0</v>
      </c>
      <c r="EY31" s="175" t="str">
        <f t="shared" ca="1" si="75"/>
        <v/>
      </c>
      <c r="EZ31" s="169" t="str">
        <f t="shared" ca="1" si="85"/>
        <v/>
      </c>
      <c r="FA31" s="169" t="str">
        <f t="array" aca="1" ref="FA31" ca="1">IF(ROWS($9:30)&lt;=COUNTIF(Condition36,"o"),INDEX(Liste36,SMALL(IF(Condition36="o",ROW(INDIRECT("1:"&amp;ROWS(Liste36)))),ROWS($9:30))),"")</f>
        <v/>
      </c>
      <c r="FB31" s="175">
        <f t="shared" ca="1" si="76"/>
        <v>0</v>
      </c>
      <c r="FC31" s="175" t="str">
        <f t="shared" ca="1" si="77"/>
        <v/>
      </c>
      <c r="FD31" s="169" t="str">
        <f t="shared" ca="1" si="86"/>
        <v/>
      </c>
      <c r="FE31" s="169" t="str">
        <f t="array" aca="1" ref="FE31" ca="1">IF(ROWS($9:30)&lt;=COUNTIF(condition38,"o"),INDEX(liste38,SMALL(IF(condition38="o",ROW(INDIRECT("1:"&amp;ROWS(liste38)))),ROWS($9:30))),"")</f>
        <v/>
      </c>
      <c r="FF31" s="175">
        <f t="shared" ca="1" si="78"/>
        <v>0</v>
      </c>
      <c r="FG31" s="175" t="str">
        <f t="shared" ca="1" si="79"/>
        <v/>
      </c>
      <c r="FH31" s="169" t="str">
        <f t="shared" ca="1" si="87"/>
        <v/>
      </c>
      <c r="FI31" s="169" t="str">
        <f t="array" aca="1" ref="FI31" ca="1">IF(ROWS($9:30)&lt;=COUNTIF(Condition39,"o"),INDEX(Liste39,SMALL(IF(Condition39="o",ROW(INDIRECT("1:"&amp;ROWS(Liste39)))),ROWS($9:30))),"")</f>
        <v/>
      </c>
      <c r="FM31" s="1" t="s">
        <v>1205</v>
      </c>
      <c r="FN31" s="1" t="s">
        <v>1159</v>
      </c>
      <c r="FO31" s="180">
        <f>'Suivi objectifs'!D26</f>
        <v>0</v>
      </c>
      <c r="FP31" s="1366" t="str">
        <f>'Suivi objectifs'!C26</f>
        <v>Chauffage des bâtiments du tertiaire</v>
      </c>
      <c r="FQ31" s="181" t="str">
        <f ca="1">IF(ISNA(VLOOKUP(FR31,Actions!$G$2:$AP$70,31,0)),"",VLOOKUP(FR31,Actions!$G$2:$AP$70,36,0))</f>
        <v/>
      </c>
      <c r="FR31" s="187" t="str">
        <f t="shared" ca="1" si="88"/>
        <v/>
      </c>
      <c r="FS31" s="286">
        <f t="shared" ca="1" si="80"/>
        <v>0</v>
      </c>
      <c r="FT31" s="181" t="str">
        <f ca="1">IF(ISNA(VLOOKUP(FU31,Actions!$G$2:$AP$70,31,0)),"",VLOOKUP(FU31,Actions!$G$2:$AP$70,36,0))</f>
        <v/>
      </c>
      <c r="FU31" s="187" t="str">
        <f t="shared" ca="1" si="89"/>
        <v/>
      </c>
      <c r="FV31" s="286">
        <f t="shared" ca="1" si="81"/>
        <v>0</v>
      </c>
      <c r="FW31" s="181" t="str">
        <f ca="1">IF(ISNA(VLOOKUP(FX31,Actions!$G$2:$AP$70,31,0)),"",VLOOKUP(FX31,Actions!$G$2:$AP$70,36,0))</f>
        <v/>
      </c>
      <c r="FX31" s="187" t="str">
        <f t="shared" ca="1" si="90"/>
        <v/>
      </c>
      <c r="FY31" s="286">
        <f t="shared" ca="1" si="82"/>
        <v>0</v>
      </c>
      <c r="FZ31" s="181" t="str">
        <f ca="1">IF(ISNA(VLOOKUP(GA31,Actions!$G$2:$AP$70,31,0)),"",VLOOKUP(GA31,Actions!$G$2:$AP$70,36,0))</f>
        <v/>
      </c>
      <c r="GA31" s="185" t="str">
        <f t="shared" ca="1" si="91"/>
        <v/>
      </c>
      <c r="GB31" s="286">
        <f t="shared" ca="1" si="83"/>
        <v>0</v>
      </c>
      <c r="GC31" s="181" t="str">
        <f ca="1">IF(ISNA(VLOOKUP(GD31,Actions!$G$2:$AP$70,31,0)),"",VLOOKUP(GD31,Actions!$G$2:$AP$70,36,0))</f>
        <v/>
      </c>
      <c r="GD31" s="185" t="str">
        <f t="shared" ca="1" si="92"/>
        <v/>
      </c>
      <c r="GE31" s="286">
        <f t="shared" ca="1" si="84"/>
        <v>0</v>
      </c>
      <c r="GF31" s="186">
        <f t="shared" ca="1" si="129"/>
        <v>0</v>
      </c>
      <c r="GG31" s="233"/>
    </row>
    <row r="32" spans="1:189" hidden="1">
      <c r="A32" s="1" t="s">
        <v>882</v>
      </c>
      <c r="B32" s="1">
        <f>Actions!F25</f>
        <v>24</v>
      </c>
      <c r="C32" s="1">
        <f ca="1">Actions!G25</f>
        <v>0</v>
      </c>
      <c r="D32" s="1">
        <f ca="1">Actions!H25</f>
        <v>0</v>
      </c>
      <c r="E32" s="1" t="str">
        <f ca="1">Actions!I25</f>
        <v>-</v>
      </c>
      <c r="F32" s="1" t="str">
        <f t="shared" ca="1" si="0"/>
        <v>-</v>
      </c>
      <c r="G32" s="1" t="e">
        <f t="shared" ca="1" si="1"/>
        <v>#REF!</v>
      </c>
      <c r="I32" s="1">
        <v>24</v>
      </c>
      <c r="J32" s="175">
        <f t="shared" ca="1" si="2"/>
        <v>0</v>
      </c>
      <c r="K32" s="175" t="str">
        <f t="shared" ca="1" si="3"/>
        <v/>
      </c>
      <c r="L32" s="169" t="str">
        <f t="shared" ca="1" si="93"/>
        <v/>
      </c>
      <c r="M32" s="169" t="str">
        <f t="array" aca="1" ref="M32" ca="1">IF(ROWS($9:31)&lt;=COUNTIF(Condition1,"o"),INDEX(Liste1,SMALL(IF(Condition1="o",ROW(INDIRECT("1:"&amp;ROWS(Liste1)))),ROWS($9:31))),"")</f>
        <v/>
      </c>
      <c r="N32" s="175">
        <f t="shared" ca="1" si="4"/>
        <v>0</v>
      </c>
      <c r="O32" s="175" t="str">
        <f t="shared" ca="1" si="5"/>
        <v/>
      </c>
      <c r="P32" s="169" t="str">
        <f t="shared" ca="1" si="94"/>
        <v/>
      </c>
      <c r="Q32" s="169" t="str">
        <f t="array" aca="1" ref="Q32" ca="1">IF(ROWS($9:31)&lt;=COUNTIF(Condition2,"o"),INDEX(Liste2,SMALL(IF(Condition2="o",ROW(INDIRECT("1:"&amp;ROWS(Liste2)))),ROWS($9:31))),"")</f>
        <v/>
      </c>
      <c r="R32" s="175">
        <f t="shared" ca="1" si="6"/>
        <v>0</v>
      </c>
      <c r="S32" s="175" t="str">
        <f t="shared" ca="1" si="7"/>
        <v/>
      </c>
      <c r="T32" s="169" t="str">
        <f t="shared" ca="1" si="95"/>
        <v/>
      </c>
      <c r="U32" s="169" t="str">
        <f t="array" aca="1" ref="U32" ca="1">IF(ROWS($9:31)&lt;=COUNTIF(Condition3,"o"),INDEX(Liste3,SMALL(IF(Condition3="o",ROW(INDIRECT("1:"&amp;ROWS(Liste3)))),ROWS($9:31))),"")</f>
        <v/>
      </c>
      <c r="V32" s="175">
        <f t="shared" ca="1" si="8"/>
        <v>0</v>
      </c>
      <c r="W32" s="175" t="str">
        <f t="shared" ca="1" si="9"/>
        <v/>
      </c>
      <c r="X32" s="169" t="str">
        <f t="shared" ca="1" si="96"/>
        <v/>
      </c>
      <c r="Y32" s="169" t="str">
        <f t="array" aca="1" ref="Y32" ca="1">IF(ROWS($9:31)&lt;=COUNTIF(Condition4,"o"),INDEX(Liste4,SMALL(IF(Condition4="o",ROW(INDIRECT("1:"&amp;ROWS(Liste4)))),ROWS($9:31))),"")</f>
        <v/>
      </c>
      <c r="Z32" s="175">
        <f t="shared" ca="1" si="10"/>
        <v>0</v>
      </c>
      <c r="AA32" s="175" t="str">
        <f t="shared" ca="1" si="11"/>
        <v/>
      </c>
      <c r="AB32" s="169" t="str">
        <f t="shared" ca="1" si="97"/>
        <v/>
      </c>
      <c r="AC32" s="169" t="str">
        <f t="array" aca="1" ref="AC32" ca="1">IF(ROWS($9:31)&lt;=COUNTIF(Condition5,"o"),INDEX(Liste5,SMALL(IF(Condition5="o",ROW(INDIRECT("1:"&amp;ROWS(Liste5)))),ROWS($9:31))),"")</f>
        <v/>
      </c>
      <c r="AD32" s="175">
        <f t="shared" ca="1" si="12"/>
        <v>0</v>
      </c>
      <c r="AE32" s="175" t="str">
        <f t="shared" ca="1" si="13"/>
        <v/>
      </c>
      <c r="AF32" s="169" t="str">
        <f t="shared" ca="1" si="98"/>
        <v/>
      </c>
      <c r="AG32" s="169" t="str">
        <f t="array" aca="1" ref="AG32" ca="1">IF(ROWS($9:31)&lt;=COUNTIF(Condition6,"o"),INDEX(Liste6,SMALL(IF(Condition6="o",ROW(INDIRECT("1:"&amp;ROWS(Liste6)))),ROWS($9:31))),"")</f>
        <v/>
      </c>
      <c r="AH32" s="175">
        <f t="shared" ca="1" si="14"/>
        <v>0</v>
      </c>
      <c r="AI32" s="175" t="str">
        <f t="shared" ca="1" si="15"/>
        <v/>
      </c>
      <c r="AJ32" s="169" t="str">
        <f t="shared" ca="1" si="99"/>
        <v/>
      </c>
      <c r="AK32" s="169" t="str">
        <f t="array" aca="1" ref="AK32" ca="1">IF(ROWS($9:31)&lt;=COUNTIF(Condition7,"o"),INDEX(Liste7,SMALL(IF(Condition7="o",ROW(INDIRECT("1:"&amp;ROWS(Liste7)))),ROWS($9:31))),"")</f>
        <v/>
      </c>
      <c r="AL32" s="175">
        <f t="shared" ca="1" si="16"/>
        <v>0</v>
      </c>
      <c r="AM32" s="175" t="str">
        <f t="shared" ca="1" si="17"/>
        <v/>
      </c>
      <c r="AN32" s="169" t="str">
        <f t="shared" ca="1" si="100"/>
        <v/>
      </c>
      <c r="AO32" s="169" t="str">
        <f t="array" aca="1" ref="AO32" ca="1">IF(ROWS($9:31)&lt;=COUNTIF(Condition8,"o"),INDEX(Liste8,SMALL(IF(Condition8="o",ROW(INDIRECT("1:"&amp;ROWS(Liste8)))),ROWS($9:31))),"")</f>
        <v/>
      </c>
      <c r="AP32" s="175">
        <f t="shared" ca="1" si="18"/>
        <v>0</v>
      </c>
      <c r="AQ32" s="175" t="str">
        <f t="shared" ca="1" si="19"/>
        <v/>
      </c>
      <c r="AR32" s="169" t="str">
        <f t="shared" ca="1" si="101"/>
        <v/>
      </c>
      <c r="AS32" s="169" t="str">
        <f t="array" aca="1" ref="AS32" ca="1">IF(ROWS($9:31)&lt;=COUNTIF(Condition9,"o"),INDEX(Liste9,SMALL(IF(Condition9="o",ROW(INDIRECT("1:"&amp;ROWS(Liste9)))),ROWS($9:31))),"")</f>
        <v/>
      </c>
      <c r="AT32" s="175">
        <f t="shared" ca="1" si="20"/>
        <v>0</v>
      </c>
      <c r="AU32" s="175" t="str">
        <f t="shared" ca="1" si="21"/>
        <v/>
      </c>
      <c r="AV32" s="169" t="str">
        <f t="shared" ca="1" si="102"/>
        <v/>
      </c>
      <c r="AW32" s="169" t="str">
        <f t="array" aca="1" ref="AW32" ca="1">IF(ROWS($9:31)&lt;=COUNTIF(Condition10,"o"),INDEX(Liste10,SMALL(IF(Condition10="o",ROW(INDIRECT("1:"&amp;ROWS(Liste10)))),ROWS($9:31))),"")</f>
        <v/>
      </c>
      <c r="AX32" s="175">
        <f t="shared" ca="1" si="22"/>
        <v>0</v>
      </c>
      <c r="AY32" s="175" t="str">
        <f t="shared" ca="1" si="23"/>
        <v/>
      </c>
      <c r="AZ32" s="169" t="str">
        <f t="shared" ca="1" si="103"/>
        <v/>
      </c>
      <c r="BA32" s="169" t="str">
        <f t="array" aca="1" ref="BA32" ca="1">IF(ROWS($9:31)&lt;=COUNTIF(Condition11,"o"),INDEX(Liste11,SMALL(IF(Condition11="o",ROW(INDIRECT("1:"&amp;ROWS(Liste11)))),ROWS($9:31))),"")</f>
        <v/>
      </c>
      <c r="BB32" s="175">
        <f t="shared" ca="1" si="24"/>
        <v>0</v>
      </c>
      <c r="BC32" s="175" t="str">
        <f t="shared" ca="1" si="25"/>
        <v/>
      </c>
      <c r="BD32" s="169" t="str">
        <f t="shared" ca="1" si="104"/>
        <v/>
      </c>
      <c r="BE32" s="169" t="str">
        <f t="array" aca="1" ref="BE32" ca="1">IF(ROWS($9:31)&lt;=COUNTIF(Condition12,"o"),INDEX(Liste12,SMALL(IF(Condition12="o",ROW(INDIRECT("1:"&amp;ROWS(Liste12)))),ROWS($9:31))),"")</f>
        <v/>
      </c>
      <c r="BF32" s="175">
        <f t="shared" ca="1" si="26"/>
        <v>0</v>
      </c>
      <c r="BG32" s="175" t="str">
        <f t="shared" ca="1" si="27"/>
        <v/>
      </c>
      <c r="BH32" s="169" t="str">
        <f t="shared" ca="1" si="105"/>
        <v/>
      </c>
      <c r="BI32" s="169" t="str">
        <f t="array" aca="1" ref="BI32" ca="1">IF(ROWS($9:31)&lt;=COUNTIF(Condition13,"o"),INDEX(Liste13,SMALL(IF(Condition13="o",ROW(INDIRECT("1:"&amp;ROWS(Liste13)))),ROWS($9:31))),"")</f>
        <v/>
      </c>
      <c r="BJ32" s="175">
        <f t="shared" ca="1" si="28"/>
        <v>0</v>
      </c>
      <c r="BK32" s="175" t="str">
        <f t="shared" ca="1" si="29"/>
        <v/>
      </c>
      <c r="BL32" s="169" t="str">
        <f t="shared" ca="1" si="106"/>
        <v/>
      </c>
      <c r="BM32" s="169" t="str">
        <f t="array" aca="1" ref="BM32" ca="1">IF(ROWS($9:31)&lt;=COUNTIF(Condition14,"o"),INDEX(Liste14,SMALL(IF(Condition14="o",ROW(INDIRECT("1:"&amp;ROWS(Liste14)))),ROWS($9:31))),"")</f>
        <v/>
      </c>
      <c r="BN32" s="175">
        <f t="shared" ca="1" si="30"/>
        <v>0</v>
      </c>
      <c r="BO32" s="175" t="str">
        <f t="shared" ca="1" si="31"/>
        <v/>
      </c>
      <c r="BP32" s="169" t="str">
        <f t="shared" ca="1" si="107"/>
        <v/>
      </c>
      <c r="BQ32" s="169" t="str">
        <f t="array" aca="1" ref="BQ32" ca="1">IF(ROWS($9:31)&lt;=COUNTIF(Condition15,"o"),INDEX(Liste15,SMALL(IF(Condition15="o",ROW(INDIRECT("1:"&amp;ROWS(Liste15)))),ROWS($9:31))),"")</f>
        <v/>
      </c>
      <c r="BR32" s="175">
        <f t="shared" ca="1" si="32"/>
        <v>0</v>
      </c>
      <c r="BS32" s="175" t="str">
        <f t="shared" ca="1" si="33"/>
        <v/>
      </c>
      <c r="BT32" s="169" t="str">
        <f t="shared" ca="1" si="108"/>
        <v/>
      </c>
      <c r="BU32" s="169" t="str">
        <f t="array" aca="1" ref="BU32" ca="1">IF(ROWS($9:31)&lt;=COUNTIF(Condition16,"o"),INDEX(Liste16,SMALL(IF(Condition16="o",ROW(INDIRECT("1:"&amp;ROWS(Liste16)))),ROWS($9:31))),"")</f>
        <v/>
      </c>
      <c r="BV32" s="175">
        <f t="shared" ca="1" si="34"/>
        <v>0</v>
      </c>
      <c r="BW32" s="175" t="str">
        <f t="shared" ca="1" si="35"/>
        <v/>
      </c>
      <c r="BX32" s="169" t="str">
        <f t="shared" ca="1" si="109"/>
        <v/>
      </c>
      <c r="BY32" s="169" t="str">
        <f t="array" aca="1" ref="BY32" ca="1">IF(ROWS($9:31)&lt;=COUNTIF(Condition17,"o"),INDEX(Liste17,SMALL(IF(Condition17="o",ROW(INDIRECT("1:"&amp;ROWS(Liste17)))),ROWS($9:31))),"")</f>
        <v/>
      </c>
      <c r="BZ32" s="175">
        <f t="shared" ca="1" si="36"/>
        <v>0</v>
      </c>
      <c r="CA32" s="175" t="str">
        <f t="shared" ca="1" si="37"/>
        <v/>
      </c>
      <c r="CB32" s="169" t="str">
        <f t="shared" ca="1" si="110"/>
        <v/>
      </c>
      <c r="CC32" s="169" t="str">
        <f t="array" aca="1" ref="CC32" ca="1">IF(ROWS($9:31)&lt;=COUNTIF(Condition18,"o"),INDEX(Liste18,SMALL(IF(Condition18="o",ROW(INDIRECT("1:"&amp;ROWS(Liste18)))),ROWS($9:31))),"")</f>
        <v/>
      </c>
      <c r="CD32" s="175">
        <f t="shared" ca="1" si="38"/>
        <v>0</v>
      </c>
      <c r="CE32" s="175" t="str">
        <f t="shared" ca="1" si="39"/>
        <v/>
      </c>
      <c r="CF32" s="169" t="str">
        <f t="shared" ca="1" si="111"/>
        <v/>
      </c>
      <c r="CG32" s="169" t="str">
        <f t="array" aca="1" ref="CG32" ca="1">IF(ROWS($9:31)&lt;=COUNTIF(Condition19,"o"),INDEX(Liste19,SMALL(IF(Condition19="o",ROW(INDIRECT("1:"&amp;ROWS(Liste19)))),ROWS($9:31))),"")</f>
        <v/>
      </c>
      <c r="CH32" s="175">
        <f t="shared" ca="1" si="40"/>
        <v>0</v>
      </c>
      <c r="CI32" s="175" t="str">
        <f t="shared" ca="1" si="41"/>
        <v/>
      </c>
      <c r="CJ32" s="169" t="str">
        <f t="shared" ca="1" si="112"/>
        <v/>
      </c>
      <c r="CK32" s="169" t="str">
        <f t="array" aca="1" ref="CK32" ca="1">IF(ROWS($9:31)&lt;=COUNTIF(Condition20,"o"),INDEX(Liste20,SMALL(IF(Condition20="o",ROW(INDIRECT("1:"&amp;ROWS(Liste20)))),ROWS($9:31))),"")</f>
        <v/>
      </c>
      <c r="CL32" s="175">
        <f t="shared" ca="1" si="42"/>
        <v>0</v>
      </c>
      <c r="CM32" s="175" t="str">
        <f t="shared" ca="1" si="43"/>
        <v/>
      </c>
      <c r="CN32" s="169" t="str">
        <f t="shared" ca="1" si="113"/>
        <v/>
      </c>
      <c r="CO32" s="169" t="str">
        <f t="array" aca="1" ref="CO32" ca="1">IF(ROWS($9:31)&lt;=COUNTIF(Condition21,"o"),INDEX(Liste21,SMALL(IF(Condition21="o",ROW(INDIRECT("1:"&amp;ROWS(Liste21)))),ROWS($9:31))),"")</f>
        <v/>
      </c>
      <c r="CP32" s="175">
        <f t="shared" ca="1" si="44"/>
        <v>0</v>
      </c>
      <c r="CQ32" s="175" t="str">
        <f t="shared" ca="1" si="45"/>
        <v/>
      </c>
      <c r="CR32" s="169" t="str">
        <f t="shared" ca="1" si="114"/>
        <v/>
      </c>
      <c r="CS32" s="169" t="str">
        <f t="array" aca="1" ref="CS32" ca="1">IF(ROWS($9:31)&lt;=COUNTIF(Condition22,"o"),INDEX(Liste22,SMALL(IF(Condition22="o",ROW(INDIRECT("1:"&amp;ROWS(Liste22)))),ROWS($9:31))),"")</f>
        <v/>
      </c>
      <c r="CT32" s="175">
        <f t="shared" ca="1" si="46"/>
        <v>0</v>
      </c>
      <c r="CU32" s="175" t="str">
        <f t="shared" ca="1" si="47"/>
        <v/>
      </c>
      <c r="CV32" s="169" t="str">
        <f t="shared" ca="1" si="115"/>
        <v/>
      </c>
      <c r="CW32" s="169" t="str">
        <f t="array" aca="1" ref="CW32" ca="1">IF(ROWS($9:31)&lt;=COUNTIF(Condition23,"o"),INDEX(Liste23,SMALL(IF(Condition23="o",ROW(INDIRECT("1:"&amp;ROWS(Liste23)))),ROWS($9:31))),"")</f>
        <v/>
      </c>
      <c r="CX32" s="175">
        <f t="shared" ca="1" si="48"/>
        <v>0</v>
      </c>
      <c r="CY32" s="175" t="str">
        <f t="shared" ca="1" si="49"/>
        <v/>
      </c>
      <c r="CZ32" s="169" t="str">
        <f t="shared" ca="1" si="116"/>
        <v/>
      </c>
      <c r="DA32" s="169" t="str">
        <f t="array" aca="1" ref="DA32" ca="1">IF(ROWS($9:31)&lt;=COUNTIF(Condition24,"o"),INDEX(Liste24,SMALL(IF(Condition24="o",ROW(INDIRECT("1:"&amp;ROWS(Liste24)))),ROWS($9:31))),"")</f>
        <v/>
      </c>
      <c r="DB32" s="175">
        <f t="shared" ca="1" si="50"/>
        <v>0</v>
      </c>
      <c r="DC32" s="175" t="str">
        <f t="shared" ca="1" si="51"/>
        <v/>
      </c>
      <c r="DD32" s="169" t="str">
        <f t="shared" ca="1" si="117"/>
        <v/>
      </c>
      <c r="DE32" s="169" t="str">
        <f t="array" aca="1" ref="DE32" ca="1">IF(ROWS($9:31)&lt;=COUNTIF(Condition25,"o"),INDEX(Liste25,SMALL(IF(Condition25="o",ROW(INDIRECT("1:"&amp;ROWS(Liste25)))),ROWS($9:31))),"")</f>
        <v/>
      </c>
      <c r="DF32" s="175">
        <f t="shared" ca="1" si="52"/>
        <v>0</v>
      </c>
      <c r="DG32" s="175" t="str">
        <f t="shared" ca="1" si="53"/>
        <v/>
      </c>
      <c r="DH32" s="169" t="str">
        <f t="shared" ca="1" si="118"/>
        <v/>
      </c>
      <c r="DI32" s="169" t="str">
        <f t="array" aca="1" ref="DI32" ca="1">IF(ROWS($9:31)&lt;=COUNTIF(Condition26,"o"),INDEX(Liste26,SMALL(IF(Condition26="o",ROW(INDIRECT("1:"&amp;ROWS(Liste26)))),ROWS($9:31))),"")</f>
        <v/>
      </c>
      <c r="DJ32" s="175">
        <f t="shared" ca="1" si="54"/>
        <v>0</v>
      </c>
      <c r="DK32" s="175" t="str">
        <f t="shared" ca="1" si="55"/>
        <v/>
      </c>
      <c r="DL32" s="169" t="str">
        <f t="shared" ca="1" si="119"/>
        <v/>
      </c>
      <c r="DM32" s="169" t="str">
        <f t="array" aca="1" ref="DM32" ca="1">IF(ROWS($9:31)&lt;=COUNTIF(Condition27,"o"),INDEX(Liste27,SMALL(IF(Condition27="o",ROW(INDIRECT("1:"&amp;ROWS(Liste27)))),ROWS($9:31))),"")</f>
        <v/>
      </c>
      <c r="DN32" s="175">
        <f t="shared" ca="1" si="56"/>
        <v>0</v>
      </c>
      <c r="DO32" s="175" t="str">
        <f t="shared" ca="1" si="57"/>
        <v/>
      </c>
      <c r="DP32" s="169" t="str">
        <f t="shared" ca="1" si="120"/>
        <v/>
      </c>
      <c r="DQ32" s="169" t="str">
        <f t="array" aca="1" ref="DQ32" ca="1">IF(ROWS($9:31)&lt;=COUNTIF(Condition28,"o"),INDEX(Liste28,SMALL(IF(Condition28="o",ROW(INDIRECT("1:"&amp;ROWS(Liste28)))),ROWS($9:31))),"")</f>
        <v/>
      </c>
      <c r="DR32" s="175">
        <f t="shared" ca="1" si="58"/>
        <v>0</v>
      </c>
      <c r="DS32" s="175" t="str">
        <f t="shared" ca="1" si="59"/>
        <v/>
      </c>
      <c r="DT32" s="169" t="str">
        <f t="shared" ca="1" si="121"/>
        <v/>
      </c>
      <c r="DU32" s="169" t="str">
        <f t="array" aca="1" ref="DU32" ca="1">IF(ROWS($9:31)&lt;=COUNTIF(Condition29,"o"),INDEX(Liste29,SMALL(IF(Condition29="o",ROW(INDIRECT("1:"&amp;ROWS(Liste29)))),ROWS($9:31))),"")</f>
        <v/>
      </c>
      <c r="DV32" s="175">
        <f t="shared" ca="1" si="60"/>
        <v>0</v>
      </c>
      <c r="DW32" s="175" t="str">
        <f t="shared" ca="1" si="61"/>
        <v/>
      </c>
      <c r="DX32" s="169" t="str">
        <f t="shared" ca="1" si="122"/>
        <v/>
      </c>
      <c r="DY32" s="169" t="str">
        <f t="array" aca="1" ref="DY32" ca="1">IF(ROWS($9:31)&lt;=COUNTIF(Condition30,"o"),INDEX(Liste30,SMALL(IF(Condition30="o",ROW(INDIRECT("1:"&amp;ROWS(Liste30)))),ROWS($9:31))),"")</f>
        <v/>
      </c>
      <c r="DZ32" s="175">
        <f t="shared" ca="1" si="62"/>
        <v>0</v>
      </c>
      <c r="EA32" s="175" t="str">
        <f t="shared" ca="1" si="63"/>
        <v/>
      </c>
      <c r="EB32" s="169" t="str">
        <f t="shared" ca="1" si="123"/>
        <v/>
      </c>
      <c r="EC32" s="169" t="str">
        <f t="array" aca="1" ref="EC32" ca="1">IF(ROWS($9:31)&lt;=COUNTIF(Condition31,"o"),INDEX(Liste31,SMALL(IF(Condition31="o",ROW(INDIRECT("1:"&amp;ROWS(Liste31)))),ROWS($9:31))),"")</f>
        <v/>
      </c>
      <c r="ED32" s="175">
        <f t="shared" ca="1" si="64"/>
        <v>0</v>
      </c>
      <c r="EE32" s="175" t="str">
        <f t="shared" ca="1" si="65"/>
        <v/>
      </c>
      <c r="EF32" s="169" t="str">
        <f t="shared" ca="1" si="124"/>
        <v/>
      </c>
      <c r="EG32" s="169" t="str">
        <f t="array" aca="1" ref="EG32" ca="1">IF(ROWS($9:31)&lt;=COUNTIF(Condition32,"o"),INDEX(Liste32,SMALL(IF(Condition32="o",ROW(INDIRECT("1:"&amp;ROWS(Liste32)))),ROWS($9:31))),"")</f>
        <v/>
      </c>
      <c r="EH32" s="175">
        <f t="shared" ca="1" si="66"/>
        <v>0</v>
      </c>
      <c r="EI32" s="175" t="str">
        <f t="shared" ca="1" si="67"/>
        <v/>
      </c>
      <c r="EJ32" s="169" t="str">
        <f t="shared" ca="1" si="125"/>
        <v/>
      </c>
      <c r="EK32" s="169" t="str">
        <f t="array" aca="1" ref="EK32" ca="1">IF(ROWS($9:31)&lt;=COUNTIF(Condition33,"o"),INDEX(Liste33,SMALL(IF(Condition33="o",ROW(INDIRECT("1:"&amp;ROWS(Liste33)))),ROWS($9:31))),"")</f>
        <v/>
      </c>
      <c r="EL32" s="175">
        <f t="shared" ca="1" si="68"/>
        <v>0</v>
      </c>
      <c r="EM32" s="175" t="str">
        <f t="shared" ca="1" si="69"/>
        <v/>
      </c>
      <c r="EN32" s="169" t="str">
        <f t="shared" ca="1" si="126"/>
        <v/>
      </c>
      <c r="EO32" s="169" t="str">
        <f t="array" aca="1" ref="EO32" ca="1">IF(ROWS($9:31)&lt;=COUNTIF(Condition34,"o"),INDEX(Liste34,SMALL(IF(Condition34="o",ROW(INDIRECT("1:"&amp;ROWS(Liste34)))),ROWS($9:31))),"")</f>
        <v/>
      </c>
      <c r="EP32" s="175">
        <f t="shared" ca="1" si="70"/>
        <v>0</v>
      </c>
      <c r="EQ32" s="175" t="str">
        <f t="shared" ca="1" si="71"/>
        <v/>
      </c>
      <c r="ER32" s="169" t="str">
        <f t="shared" ca="1" si="127"/>
        <v/>
      </c>
      <c r="ES32" s="169" t="str">
        <f t="array" aca="1" ref="ES32" ca="1">IF(ROWS($9:31)&lt;=COUNTIF(Condition35,"o"),INDEX(Liste35,SMALL(IF(Condition35="o",ROW(INDIRECT("1:"&amp;ROWS(Liste35)))),ROWS($9:31))),"")</f>
        <v/>
      </c>
      <c r="ET32" s="175">
        <f t="shared" ca="1" si="72"/>
        <v>0</v>
      </c>
      <c r="EU32" s="175" t="str">
        <f t="shared" ca="1" si="73"/>
        <v/>
      </c>
      <c r="EV32" s="169" t="str">
        <f t="shared" ca="1" si="128"/>
        <v/>
      </c>
      <c r="EW32" s="169" t="str">
        <f t="array" aca="1" ref="EW32" ca="1">IF(ROWS($9:31)&lt;=COUNTIF(Condition36,"o"),INDEX(Liste36,SMALL(IF(Condition36="o",ROW(INDIRECT("1:"&amp;ROWS(Liste36)))),ROWS($9:31))),"")</f>
        <v/>
      </c>
      <c r="EX32" s="175">
        <f t="shared" ca="1" si="74"/>
        <v>0</v>
      </c>
      <c r="EY32" s="175" t="str">
        <f t="shared" ca="1" si="75"/>
        <v/>
      </c>
      <c r="EZ32" s="169" t="str">
        <f t="shared" ca="1" si="85"/>
        <v/>
      </c>
      <c r="FA32" s="169" t="str">
        <f t="array" aca="1" ref="FA32" ca="1">IF(ROWS($9:31)&lt;=COUNTIF(Condition36,"o"),INDEX(Liste36,SMALL(IF(Condition36="o",ROW(INDIRECT("1:"&amp;ROWS(Liste36)))),ROWS($9:31))),"")</f>
        <v/>
      </c>
      <c r="FB32" s="175">
        <f t="shared" ca="1" si="76"/>
        <v>0</v>
      </c>
      <c r="FC32" s="175" t="str">
        <f t="shared" ca="1" si="77"/>
        <v/>
      </c>
      <c r="FD32" s="169" t="str">
        <f t="shared" ca="1" si="86"/>
        <v/>
      </c>
      <c r="FE32" s="169" t="str">
        <f t="array" aca="1" ref="FE32" ca="1">IF(ROWS($9:31)&lt;=COUNTIF(condition38,"o"),INDEX(liste38,SMALL(IF(condition38="o",ROW(INDIRECT("1:"&amp;ROWS(liste38)))),ROWS($9:31))),"")</f>
        <v/>
      </c>
      <c r="FF32" s="175">
        <f t="shared" ca="1" si="78"/>
        <v>0</v>
      </c>
      <c r="FG32" s="175" t="str">
        <f t="shared" ca="1" si="79"/>
        <v/>
      </c>
      <c r="FH32" s="169" t="str">
        <f t="shared" ca="1" si="87"/>
        <v/>
      </c>
      <c r="FI32" s="169" t="str">
        <f t="array" aca="1" ref="FI32" ca="1">IF(ROWS($9:31)&lt;=COUNTIF(Condition39,"o"),INDEX(Liste39,SMALL(IF(Condition39="o",ROW(INDIRECT("1:"&amp;ROWS(Liste39)))),ROWS($9:31))),"")</f>
        <v/>
      </c>
      <c r="FM32" s="1" t="s">
        <v>1206</v>
      </c>
      <c r="FN32" s="1" t="s">
        <v>1160</v>
      </c>
      <c r="FO32" s="180">
        <f>'Suivi objectifs'!D27</f>
        <v>0</v>
      </c>
      <c r="FP32" s="1366" t="str">
        <f>'Suivi objectifs'!C27</f>
        <v>Chauffage des logements</v>
      </c>
      <c r="FQ32" s="181" t="str">
        <f ca="1">IF(ISNA(VLOOKUP(FR32,Actions!$G$2:$AP$70,31,0)),"",VLOOKUP(FR32,Actions!$G$2:$AP$70,36,0))</f>
        <v/>
      </c>
      <c r="FR32" s="187" t="str">
        <f t="shared" ca="1" si="88"/>
        <v/>
      </c>
      <c r="FS32" s="286">
        <f t="shared" ca="1" si="80"/>
        <v>0</v>
      </c>
      <c r="FT32" s="181" t="str">
        <f ca="1">IF(ISNA(VLOOKUP(FU32,Actions!$G$2:$AP$70,31,0)),"",VLOOKUP(FU32,Actions!$G$2:$AP$70,36,0))</f>
        <v/>
      </c>
      <c r="FU32" s="187" t="str">
        <f t="shared" ca="1" si="89"/>
        <v/>
      </c>
      <c r="FV32" s="286">
        <f t="shared" ca="1" si="81"/>
        <v>0</v>
      </c>
      <c r="FW32" s="181" t="str">
        <f ca="1">IF(ISNA(VLOOKUP(FX32,Actions!$G$2:$AP$70,31,0)),"",VLOOKUP(FX32,Actions!$G$2:$AP$70,36,0))</f>
        <v/>
      </c>
      <c r="FX32" s="187" t="str">
        <f t="shared" ca="1" si="90"/>
        <v/>
      </c>
      <c r="FY32" s="286">
        <f t="shared" ca="1" si="82"/>
        <v>0</v>
      </c>
      <c r="FZ32" s="181" t="str">
        <f ca="1">IF(ISNA(VLOOKUP(GA32,Actions!$G$2:$AP$70,31,0)),"",VLOOKUP(GA32,Actions!$G$2:$AP$70,36,0))</f>
        <v/>
      </c>
      <c r="GA32" s="185" t="str">
        <f t="shared" ca="1" si="91"/>
        <v/>
      </c>
      <c r="GB32" s="286">
        <f t="shared" ca="1" si="83"/>
        <v>0</v>
      </c>
      <c r="GC32" s="181" t="str">
        <f ca="1">IF(ISNA(VLOOKUP(GD32,Actions!$G$2:$AP$70,31,0)),"",VLOOKUP(GD32,Actions!$G$2:$AP$70,36,0))</f>
        <v/>
      </c>
      <c r="GD32" s="185" t="str">
        <f t="shared" ca="1" si="92"/>
        <v/>
      </c>
      <c r="GE32" s="286">
        <f t="shared" ca="1" si="84"/>
        <v>0</v>
      </c>
      <c r="GF32" s="186">
        <f t="shared" ca="1" si="129"/>
        <v>0</v>
      </c>
      <c r="GG32" s="233"/>
    </row>
    <row r="33" spans="1:189" hidden="1">
      <c r="A33" s="1" t="s">
        <v>885</v>
      </c>
      <c r="B33" s="1">
        <f>Actions!F26</f>
        <v>25</v>
      </c>
      <c r="C33" s="1">
        <f ca="1">Actions!G26</f>
        <v>0</v>
      </c>
      <c r="D33" s="1">
        <f ca="1">Actions!H26</f>
        <v>0</v>
      </c>
      <c r="E33" s="1" t="str">
        <f ca="1">Actions!I26</f>
        <v>-</v>
      </c>
      <c r="F33" s="1" t="str">
        <f t="shared" ca="1" si="0"/>
        <v>-</v>
      </c>
      <c r="G33" s="1" t="e">
        <f t="shared" ca="1" si="1"/>
        <v>#REF!</v>
      </c>
      <c r="I33" s="1">
        <v>25</v>
      </c>
      <c r="J33" s="175">
        <f t="shared" ca="1" si="2"/>
        <v>0</v>
      </c>
      <c r="K33" s="175" t="str">
        <f t="shared" ca="1" si="3"/>
        <v/>
      </c>
      <c r="L33" s="169" t="str">
        <f t="shared" ca="1" si="93"/>
        <v/>
      </c>
      <c r="M33" s="169" t="str">
        <f t="array" aca="1" ref="M33" ca="1">IF(ROWS($9:32)&lt;=COUNTIF(Condition1,"o"),INDEX(Liste1,SMALL(IF(Condition1="o",ROW(INDIRECT("1:"&amp;ROWS(Liste1)))),ROWS($9:32))),"")</f>
        <v/>
      </c>
      <c r="N33" s="175">
        <f t="shared" ca="1" si="4"/>
        <v>0</v>
      </c>
      <c r="O33" s="175" t="str">
        <f t="shared" ca="1" si="5"/>
        <v/>
      </c>
      <c r="P33" s="169" t="str">
        <f t="shared" ca="1" si="94"/>
        <v/>
      </c>
      <c r="Q33" s="169" t="str">
        <f t="array" aca="1" ref="Q33" ca="1">IF(ROWS($9:32)&lt;=COUNTIF(Condition2,"o"),INDEX(Liste2,SMALL(IF(Condition2="o",ROW(INDIRECT("1:"&amp;ROWS(Liste2)))),ROWS($9:32))),"")</f>
        <v/>
      </c>
      <c r="R33" s="175">
        <f t="shared" ca="1" si="6"/>
        <v>0</v>
      </c>
      <c r="S33" s="175" t="str">
        <f t="shared" ca="1" si="7"/>
        <v/>
      </c>
      <c r="T33" s="169" t="str">
        <f t="shared" ca="1" si="95"/>
        <v/>
      </c>
      <c r="U33" s="169" t="str">
        <f t="array" aca="1" ref="U33" ca="1">IF(ROWS($9:32)&lt;=COUNTIF(Condition3,"o"),INDEX(Liste3,SMALL(IF(Condition3="o",ROW(INDIRECT("1:"&amp;ROWS(Liste3)))),ROWS($9:32))),"")</f>
        <v/>
      </c>
      <c r="V33" s="175">
        <f t="shared" ca="1" si="8"/>
        <v>0</v>
      </c>
      <c r="W33" s="175" t="str">
        <f t="shared" ca="1" si="9"/>
        <v/>
      </c>
      <c r="X33" s="169" t="str">
        <f t="shared" ca="1" si="96"/>
        <v/>
      </c>
      <c r="Y33" s="169" t="str">
        <f t="array" aca="1" ref="Y33" ca="1">IF(ROWS($9:32)&lt;=COUNTIF(Condition4,"o"),INDEX(Liste4,SMALL(IF(Condition4="o",ROW(INDIRECT("1:"&amp;ROWS(Liste4)))),ROWS($9:32))),"")</f>
        <v/>
      </c>
      <c r="Z33" s="175">
        <f t="shared" ca="1" si="10"/>
        <v>0</v>
      </c>
      <c r="AA33" s="175" t="str">
        <f t="shared" ca="1" si="11"/>
        <v/>
      </c>
      <c r="AB33" s="169" t="str">
        <f t="shared" ca="1" si="97"/>
        <v/>
      </c>
      <c r="AC33" s="169" t="str">
        <f t="array" aca="1" ref="AC33" ca="1">IF(ROWS($9:32)&lt;=COUNTIF(Condition5,"o"),INDEX(Liste5,SMALL(IF(Condition5="o",ROW(INDIRECT("1:"&amp;ROWS(Liste5)))),ROWS($9:32))),"")</f>
        <v/>
      </c>
      <c r="AD33" s="175">
        <f t="shared" ca="1" si="12"/>
        <v>0</v>
      </c>
      <c r="AE33" s="175" t="str">
        <f t="shared" ca="1" si="13"/>
        <v/>
      </c>
      <c r="AF33" s="169" t="str">
        <f t="shared" ca="1" si="98"/>
        <v/>
      </c>
      <c r="AG33" s="169" t="str">
        <f t="array" aca="1" ref="AG33" ca="1">IF(ROWS($9:32)&lt;=COUNTIF(Condition6,"o"),INDEX(Liste6,SMALL(IF(Condition6="o",ROW(INDIRECT("1:"&amp;ROWS(Liste6)))),ROWS($9:32))),"")</f>
        <v/>
      </c>
      <c r="AH33" s="175">
        <f t="shared" ca="1" si="14"/>
        <v>0</v>
      </c>
      <c r="AI33" s="175" t="str">
        <f t="shared" ca="1" si="15"/>
        <v/>
      </c>
      <c r="AJ33" s="169" t="str">
        <f t="shared" ca="1" si="99"/>
        <v/>
      </c>
      <c r="AK33" s="169" t="str">
        <f t="array" aca="1" ref="AK33" ca="1">IF(ROWS($9:32)&lt;=COUNTIF(Condition7,"o"),INDEX(Liste7,SMALL(IF(Condition7="o",ROW(INDIRECT("1:"&amp;ROWS(Liste7)))),ROWS($9:32))),"")</f>
        <v/>
      </c>
      <c r="AL33" s="175">
        <f t="shared" ca="1" si="16"/>
        <v>0</v>
      </c>
      <c r="AM33" s="175" t="str">
        <f t="shared" ca="1" si="17"/>
        <v/>
      </c>
      <c r="AN33" s="169" t="str">
        <f t="shared" ca="1" si="100"/>
        <v/>
      </c>
      <c r="AO33" s="169" t="str">
        <f t="array" aca="1" ref="AO33" ca="1">IF(ROWS($9:32)&lt;=COUNTIF(Condition8,"o"),INDEX(Liste8,SMALL(IF(Condition8="o",ROW(INDIRECT("1:"&amp;ROWS(Liste8)))),ROWS($9:32))),"")</f>
        <v/>
      </c>
      <c r="AP33" s="175">
        <f t="shared" ca="1" si="18"/>
        <v>0</v>
      </c>
      <c r="AQ33" s="175" t="str">
        <f t="shared" ca="1" si="19"/>
        <v/>
      </c>
      <c r="AR33" s="169" t="str">
        <f t="shared" ca="1" si="101"/>
        <v/>
      </c>
      <c r="AS33" s="169" t="str">
        <f t="array" aca="1" ref="AS33" ca="1">IF(ROWS($9:32)&lt;=COUNTIF(Condition9,"o"),INDEX(Liste9,SMALL(IF(Condition9="o",ROW(INDIRECT("1:"&amp;ROWS(Liste9)))),ROWS($9:32))),"")</f>
        <v/>
      </c>
      <c r="AT33" s="175">
        <f t="shared" ca="1" si="20"/>
        <v>0</v>
      </c>
      <c r="AU33" s="175" t="str">
        <f t="shared" ca="1" si="21"/>
        <v/>
      </c>
      <c r="AV33" s="169" t="str">
        <f t="shared" ca="1" si="102"/>
        <v/>
      </c>
      <c r="AW33" s="169" t="str">
        <f t="array" aca="1" ref="AW33" ca="1">IF(ROWS($9:32)&lt;=COUNTIF(Condition10,"o"),INDEX(Liste10,SMALL(IF(Condition10="o",ROW(INDIRECT("1:"&amp;ROWS(Liste10)))),ROWS($9:32))),"")</f>
        <v/>
      </c>
      <c r="AX33" s="175">
        <f t="shared" ca="1" si="22"/>
        <v>0</v>
      </c>
      <c r="AY33" s="175" t="str">
        <f t="shared" ca="1" si="23"/>
        <v/>
      </c>
      <c r="AZ33" s="169" t="str">
        <f t="shared" ca="1" si="103"/>
        <v/>
      </c>
      <c r="BA33" s="169" t="str">
        <f t="array" aca="1" ref="BA33" ca="1">IF(ROWS($9:32)&lt;=COUNTIF(Condition11,"o"),INDEX(Liste11,SMALL(IF(Condition11="o",ROW(INDIRECT("1:"&amp;ROWS(Liste11)))),ROWS($9:32))),"")</f>
        <v/>
      </c>
      <c r="BB33" s="175">
        <f t="shared" ca="1" si="24"/>
        <v>0</v>
      </c>
      <c r="BC33" s="175" t="str">
        <f t="shared" ca="1" si="25"/>
        <v/>
      </c>
      <c r="BD33" s="169" t="str">
        <f t="shared" ca="1" si="104"/>
        <v/>
      </c>
      <c r="BE33" s="169" t="str">
        <f t="array" aca="1" ref="BE33" ca="1">IF(ROWS($9:32)&lt;=COUNTIF(Condition12,"o"),INDEX(Liste12,SMALL(IF(Condition12="o",ROW(INDIRECT("1:"&amp;ROWS(Liste12)))),ROWS($9:32))),"")</f>
        <v/>
      </c>
      <c r="BF33" s="175">
        <f t="shared" ca="1" si="26"/>
        <v>0</v>
      </c>
      <c r="BG33" s="175" t="str">
        <f t="shared" ca="1" si="27"/>
        <v/>
      </c>
      <c r="BH33" s="169" t="str">
        <f t="shared" ca="1" si="105"/>
        <v/>
      </c>
      <c r="BI33" s="169" t="str">
        <f t="array" aca="1" ref="BI33" ca="1">IF(ROWS($9:32)&lt;=COUNTIF(Condition13,"o"),INDEX(Liste13,SMALL(IF(Condition13="o",ROW(INDIRECT("1:"&amp;ROWS(Liste13)))),ROWS($9:32))),"")</f>
        <v/>
      </c>
      <c r="BJ33" s="175">
        <f t="shared" ca="1" si="28"/>
        <v>0</v>
      </c>
      <c r="BK33" s="175" t="str">
        <f t="shared" ca="1" si="29"/>
        <v/>
      </c>
      <c r="BL33" s="169" t="str">
        <f t="shared" ca="1" si="106"/>
        <v/>
      </c>
      <c r="BM33" s="169" t="str">
        <f t="array" aca="1" ref="BM33" ca="1">IF(ROWS($9:32)&lt;=COUNTIF(Condition14,"o"),INDEX(Liste14,SMALL(IF(Condition14="o",ROW(INDIRECT("1:"&amp;ROWS(Liste14)))),ROWS($9:32))),"")</f>
        <v/>
      </c>
      <c r="BN33" s="175">
        <f t="shared" ca="1" si="30"/>
        <v>0</v>
      </c>
      <c r="BO33" s="175" t="str">
        <f t="shared" ca="1" si="31"/>
        <v/>
      </c>
      <c r="BP33" s="169" t="str">
        <f t="shared" ca="1" si="107"/>
        <v/>
      </c>
      <c r="BQ33" s="169" t="str">
        <f t="array" aca="1" ref="BQ33" ca="1">IF(ROWS($9:32)&lt;=COUNTIF(Condition15,"o"),INDEX(Liste15,SMALL(IF(Condition15="o",ROW(INDIRECT("1:"&amp;ROWS(Liste15)))),ROWS($9:32))),"")</f>
        <v/>
      </c>
      <c r="BR33" s="175">
        <f t="shared" ca="1" si="32"/>
        <v>0</v>
      </c>
      <c r="BS33" s="175" t="str">
        <f t="shared" ca="1" si="33"/>
        <v/>
      </c>
      <c r="BT33" s="169" t="str">
        <f t="shared" ca="1" si="108"/>
        <v/>
      </c>
      <c r="BU33" s="169" t="str">
        <f t="array" aca="1" ref="BU33" ca="1">IF(ROWS($9:32)&lt;=COUNTIF(Condition16,"o"),INDEX(Liste16,SMALL(IF(Condition16="o",ROW(INDIRECT("1:"&amp;ROWS(Liste16)))),ROWS($9:32))),"")</f>
        <v/>
      </c>
      <c r="BV33" s="175">
        <f t="shared" ca="1" si="34"/>
        <v>0</v>
      </c>
      <c r="BW33" s="175" t="str">
        <f t="shared" ca="1" si="35"/>
        <v/>
      </c>
      <c r="BX33" s="169" t="str">
        <f t="shared" ca="1" si="109"/>
        <v/>
      </c>
      <c r="BY33" s="169" t="str">
        <f t="array" aca="1" ref="BY33" ca="1">IF(ROWS($9:32)&lt;=COUNTIF(Condition17,"o"),INDEX(Liste17,SMALL(IF(Condition17="o",ROW(INDIRECT("1:"&amp;ROWS(Liste17)))),ROWS($9:32))),"")</f>
        <v/>
      </c>
      <c r="BZ33" s="175">
        <f t="shared" ca="1" si="36"/>
        <v>0</v>
      </c>
      <c r="CA33" s="175" t="str">
        <f t="shared" ca="1" si="37"/>
        <v/>
      </c>
      <c r="CB33" s="169" t="str">
        <f t="shared" ca="1" si="110"/>
        <v/>
      </c>
      <c r="CC33" s="169" t="str">
        <f t="array" aca="1" ref="CC33" ca="1">IF(ROWS($9:32)&lt;=COUNTIF(Condition18,"o"),INDEX(Liste18,SMALL(IF(Condition18="o",ROW(INDIRECT("1:"&amp;ROWS(Liste18)))),ROWS($9:32))),"")</f>
        <v/>
      </c>
      <c r="CD33" s="175">
        <f t="shared" ca="1" si="38"/>
        <v>0</v>
      </c>
      <c r="CE33" s="175" t="str">
        <f t="shared" ca="1" si="39"/>
        <v/>
      </c>
      <c r="CF33" s="169" t="str">
        <f t="shared" ca="1" si="111"/>
        <v/>
      </c>
      <c r="CG33" s="169" t="str">
        <f t="array" aca="1" ref="CG33" ca="1">IF(ROWS($9:32)&lt;=COUNTIF(Condition19,"o"),INDEX(Liste19,SMALL(IF(Condition19="o",ROW(INDIRECT("1:"&amp;ROWS(Liste19)))),ROWS($9:32))),"")</f>
        <v/>
      </c>
      <c r="CH33" s="175">
        <f t="shared" ca="1" si="40"/>
        <v>0</v>
      </c>
      <c r="CI33" s="175" t="str">
        <f t="shared" ca="1" si="41"/>
        <v/>
      </c>
      <c r="CJ33" s="169" t="str">
        <f t="shared" ca="1" si="112"/>
        <v/>
      </c>
      <c r="CK33" s="169" t="str">
        <f t="array" aca="1" ref="CK33" ca="1">IF(ROWS($9:32)&lt;=COUNTIF(Condition20,"o"),INDEX(Liste20,SMALL(IF(Condition20="o",ROW(INDIRECT("1:"&amp;ROWS(Liste20)))),ROWS($9:32))),"")</f>
        <v/>
      </c>
      <c r="CL33" s="175">
        <f t="shared" ca="1" si="42"/>
        <v>0</v>
      </c>
      <c r="CM33" s="175" t="str">
        <f t="shared" ca="1" si="43"/>
        <v/>
      </c>
      <c r="CN33" s="169" t="str">
        <f t="shared" ca="1" si="113"/>
        <v/>
      </c>
      <c r="CO33" s="169" t="str">
        <f t="array" aca="1" ref="CO33" ca="1">IF(ROWS($9:32)&lt;=COUNTIF(Condition21,"o"),INDEX(Liste21,SMALL(IF(Condition21="o",ROW(INDIRECT("1:"&amp;ROWS(Liste21)))),ROWS($9:32))),"")</f>
        <v/>
      </c>
      <c r="CP33" s="175">
        <f t="shared" ca="1" si="44"/>
        <v>0</v>
      </c>
      <c r="CQ33" s="175" t="str">
        <f t="shared" ca="1" si="45"/>
        <v/>
      </c>
      <c r="CR33" s="169" t="str">
        <f t="shared" ca="1" si="114"/>
        <v/>
      </c>
      <c r="CS33" s="169" t="str">
        <f t="array" aca="1" ref="CS33" ca="1">IF(ROWS($9:32)&lt;=COUNTIF(Condition22,"o"),INDEX(Liste22,SMALL(IF(Condition22="o",ROW(INDIRECT("1:"&amp;ROWS(Liste22)))),ROWS($9:32))),"")</f>
        <v/>
      </c>
      <c r="CT33" s="175">
        <f t="shared" ca="1" si="46"/>
        <v>0</v>
      </c>
      <c r="CU33" s="175" t="str">
        <f t="shared" ca="1" si="47"/>
        <v/>
      </c>
      <c r="CV33" s="169" t="str">
        <f t="shared" ca="1" si="115"/>
        <v/>
      </c>
      <c r="CW33" s="169" t="str">
        <f t="array" aca="1" ref="CW33" ca="1">IF(ROWS($9:32)&lt;=COUNTIF(Condition23,"o"),INDEX(Liste23,SMALL(IF(Condition23="o",ROW(INDIRECT("1:"&amp;ROWS(Liste23)))),ROWS($9:32))),"")</f>
        <v/>
      </c>
      <c r="CX33" s="175">
        <f t="shared" ca="1" si="48"/>
        <v>0</v>
      </c>
      <c r="CY33" s="175" t="str">
        <f t="shared" ca="1" si="49"/>
        <v/>
      </c>
      <c r="CZ33" s="169" t="str">
        <f t="shared" ca="1" si="116"/>
        <v/>
      </c>
      <c r="DA33" s="169" t="str">
        <f t="array" aca="1" ref="DA33" ca="1">IF(ROWS($9:32)&lt;=COUNTIF(Condition24,"o"),INDEX(Liste24,SMALL(IF(Condition24="o",ROW(INDIRECT("1:"&amp;ROWS(Liste24)))),ROWS($9:32))),"")</f>
        <v/>
      </c>
      <c r="DB33" s="175">
        <f t="shared" ca="1" si="50"/>
        <v>0</v>
      </c>
      <c r="DC33" s="175" t="str">
        <f t="shared" ca="1" si="51"/>
        <v/>
      </c>
      <c r="DD33" s="169" t="str">
        <f t="shared" ca="1" si="117"/>
        <v/>
      </c>
      <c r="DE33" s="169" t="str">
        <f t="array" aca="1" ref="DE33" ca="1">IF(ROWS($9:32)&lt;=COUNTIF(Condition25,"o"),INDEX(Liste25,SMALL(IF(Condition25="o",ROW(INDIRECT("1:"&amp;ROWS(Liste25)))),ROWS($9:32))),"")</f>
        <v/>
      </c>
      <c r="DF33" s="175">
        <f t="shared" ca="1" si="52"/>
        <v>0</v>
      </c>
      <c r="DG33" s="175" t="str">
        <f t="shared" ca="1" si="53"/>
        <v/>
      </c>
      <c r="DH33" s="169" t="str">
        <f t="shared" ca="1" si="118"/>
        <v/>
      </c>
      <c r="DI33" s="169" t="str">
        <f t="array" aca="1" ref="DI33" ca="1">IF(ROWS($9:32)&lt;=COUNTIF(Condition26,"o"),INDEX(Liste26,SMALL(IF(Condition26="o",ROW(INDIRECT("1:"&amp;ROWS(Liste26)))),ROWS($9:32))),"")</f>
        <v/>
      </c>
      <c r="DJ33" s="175">
        <f t="shared" ca="1" si="54"/>
        <v>0</v>
      </c>
      <c r="DK33" s="175" t="str">
        <f t="shared" ca="1" si="55"/>
        <v/>
      </c>
      <c r="DL33" s="169" t="str">
        <f t="shared" ca="1" si="119"/>
        <v/>
      </c>
      <c r="DM33" s="169" t="str">
        <f t="array" aca="1" ref="DM33" ca="1">IF(ROWS($9:32)&lt;=COUNTIF(Condition27,"o"),INDEX(Liste27,SMALL(IF(Condition27="o",ROW(INDIRECT("1:"&amp;ROWS(Liste27)))),ROWS($9:32))),"")</f>
        <v/>
      </c>
      <c r="DN33" s="175">
        <f t="shared" ca="1" si="56"/>
        <v>0</v>
      </c>
      <c r="DO33" s="175" t="str">
        <f t="shared" ca="1" si="57"/>
        <v/>
      </c>
      <c r="DP33" s="169" t="str">
        <f t="shared" ca="1" si="120"/>
        <v/>
      </c>
      <c r="DQ33" s="169" t="str">
        <f t="array" aca="1" ref="DQ33" ca="1">IF(ROWS($9:32)&lt;=COUNTIF(Condition28,"o"),INDEX(Liste28,SMALL(IF(Condition28="o",ROW(INDIRECT("1:"&amp;ROWS(Liste28)))),ROWS($9:32))),"")</f>
        <v/>
      </c>
      <c r="DR33" s="175">
        <f t="shared" ca="1" si="58"/>
        <v>0</v>
      </c>
      <c r="DS33" s="175" t="str">
        <f t="shared" ca="1" si="59"/>
        <v/>
      </c>
      <c r="DT33" s="169" t="str">
        <f t="shared" ca="1" si="121"/>
        <v/>
      </c>
      <c r="DU33" s="169" t="str">
        <f t="array" aca="1" ref="DU33" ca="1">IF(ROWS($9:32)&lt;=COUNTIF(Condition29,"o"),INDEX(Liste29,SMALL(IF(Condition29="o",ROW(INDIRECT("1:"&amp;ROWS(Liste29)))),ROWS($9:32))),"")</f>
        <v/>
      </c>
      <c r="DV33" s="175">
        <f t="shared" ca="1" si="60"/>
        <v>0</v>
      </c>
      <c r="DW33" s="175" t="str">
        <f t="shared" ca="1" si="61"/>
        <v/>
      </c>
      <c r="DX33" s="169" t="str">
        <f t="shared" ca="1" si="122"/>
        <v/>
      </c>
      <c r="DY33" s="169" t="str">
        <f t="array" aca="1" ref="DY33" ca="1">IF(ROWS($9:32)&lt;=COUNTIF(Condition30,"o"),INDEX(Liste30,SMALL(IF(Condition30="o",ROW(INDIRECT("1:"&amp;ROWS(Liste30)))),ROWS($9:32))),"")</f>
        <v/>
      </c>
      <c r="DZ33" s="175">
        <f t="shared" ca="1" si="62"/>
        <v>0</v>
      </c>
      <c r="EA33" s="175" t="str">
        <f t="shared" ca="1" si="63"/>
        <v/>
      </c>
      <c r="EB33" s="169" t="str">
        <f t="shared" ca="1" si="123"/>
        <v/>
      </c>
      <c r="EC33" s="169" t="str">
        <f t="array" aca="1" ref="EC33" ca="1">IF(ROWS($9:32)&lt;=COUNTIF(Condition31,"o"),INDEX(Liste31,SMALL(IF(Condition31="o",ROW(INDIRECT("1:"&amp;ROWS(Liste31)))),ROWS($9:32))),"")</f>
        <v/>
      </c>
      <c r="ED33" s="175">
        <f t="shared" ca="1" si="64"/>
        <v>0</v>
      </c>
      <c r="EE33" s="175" t="str">
        <f t="shared" ca="1" si="65"/>
        <v/>
      </c>
      <c r="EF33" s="169" t="str">
        <f t="shared" ca="1" si="124"/>
        <v/>
      </c>
      <c r="EG33" s="169" t="str">
        <f t="array" aca="1" ref="EG33" ca="1">IF(ROWS($9:32)&lt;=COUNTIF(Condition32,"o"),INDEX(Liste32,SMALL(IF(Condition32="o",ROW(INDIRECT("1:"&amp;ROWS(Liste32)))),ROWS($9:32))),"")</f>
        <v/>
      </c>
      <c r="EH33" s="175">
        <f t="shared" ca="1" si="66"/>
        <v>0</v>
      </c>
      <c r="EI33" s="175" t="str">
        <f t="shared" ca="1" si="67"/>
        <v/>
      </c>
      <c r="EJ33" s="169" t="str">
        <f t="shared" ca="1" si="125"/>
        <v/>
      </c>
      <c r="EK33" s="169" t="str">
        <f t="array" aca="1" ref="EK33" ca="1">IF(ROWS($9:32)&lt;=COUNTIF(Condition33,"o"),INDEX(Liste33,SMALL(IF(Condition33="o",ROW(INDIRECT("1:"&amp;ROWS(Liste33)))),ROWS($9:32))),"")</f>
        <v/>
      </c>
      <c r="EL33" s="175">
        <f t="shared" ca="1" si="68"/>
        <v>0</v>
      </c>
      <c r="EM33" s="175" t="str">
        <f t="shared" ca="1" si="69"/>
        <v/>
      </c>
      <c r="EN33" s="169" t="str">
        <f t="shared" ca="1" si="126"/>
        <v/>
      </c>
      <c r="EO33" s="169" t="str">
        <f t="array" aca="1" ref="EO33" ca="1">IF(ROWS($9:32)&lt;=COUNTIF(Condition34,"o"),INDEX(Liste34,SMALL(IF(Condition34="o",ROW(INDIRECT("1:"&amp;ROWS(Liste34)))),ROWS($9:32))),"")</f>
        <v/>
      </c>
      <c r="EP33" s="175">
        <f t="shared" ca="1" si="70"/>
        <v>0</v>
      </c>
      <c r="EQ33" s="175" t="str">
        <f t="shared" ca="1" si="71"/>
        <v/>
      </c>
      <c r="ER33" s="169" t="str">
        <f t="shared" ca="1" si="127"/>
        <v/>
      </c>
      <c r="ES33" s="169" t="str">
        <f t="array" aca="1" ref="ES33" ca="1">IF(ROWS($9:32)&lt;=COUNTIF(Condition35,"o"),INDEX(Liste35,SMALL(IF(Condition35="o",ROW(INDIRECT("1:"&amp;ROWS(Liste35)))),ROWS($9:32))),"")</f>
        <v/>
      </c>
      <c r="ET33" s="175">
        <f t="shared" ca="1" si="72"/>
        <v>0</v>
      </c>
      <c r="EU33" s="175" t="str">
        <f t="shared" ca="1" si="73"/>
        <v/>
      </c>
      <c r="EV33" s="169" t="str">
        <f t="shared" ca="1" si="128"/>
        <v/>
      </c>
      <c r="EW33" s="169" t="str">
        <f t="array" aca="1" ref="EW33" ca="1">IF(ROWS($9:32)&lt;=COUNTIF(Condition36,"o"),INDEX(Liste36,SMALL(IF(Condition36="o",ROW(INDIRECT("1:"&amp;ROWS(Liste36)))),ROWS($9:32))),"")</f>
        <v/>
      </c>
      <c r="EX33" s="175">
        <f t="shared" ca="1" si="74"/>
        <v>0</v>
      </c>
      <c r="EY33" s="175" t="str">
        <f t="shared" ca="1" si="75"/>
        <v/>
      </c>
      <c r="EZ33" s="169" t="str">
        <f t="shared" ca="1" si="85"/>
        <v/>
      </c>
      <c r="FA33" s="169" t="str">
        <f t="array" aca="1" ref="FA33" ca="1">IF(ROWS($9:32)&lt;=COUNTIF(Condition36,"o"),INDEX(Liste36,SMALL(IF(Condition36="o",ROW(INDIRECT("1:"&amp;ROWS(Liste36)))),ROWS($9:32))),"")</f>
        <v/>
      </c>
      <c r="FB33" s="175">
        <f t="shared" ca="1" si="76"/>
        <v>0</v>
      </c>
      <c r="FC33" s="175" t="str">
        <f t="shared" ca="1" si="77"/>
        <v/>
      </c>
      <c r="FD33" s="169" t="str">
        <f t="shared" ca="1" si="86"/>
        <v/>
      </c>
      <c r="FE33" s="169" t="str">
        <f t="array" aca="1" ref="FE33" ca="1">IF(ROWS($9:32)&lt;=COUNTIF(condition38,"o"),INDEX(liste38,SMALL(IF(condition38="o",ROW(INDIRECT("1:"&amp;ROWS(liste38)))),ROWS($9:32))),"")</f>
        <v/>
      </c>
      <c r="FF33" s="175">
        <f t="shared" ca="1" si="78"/>
        <v>0</v>
      </c>
      <c r="FG33" s="175" t="str">
        <f t="shared" ca="1" si="79"/>
        <v/>
      </c>
      <c r="FH33" s="169" t="str">
        <f t="shared" ca="1" si="87"/>
        <v/>
      </c>
      <c r="FI33" s="169" t="str">
        <f t="array" aca="1" ref="FI33" ca="1">IF(ROWS($9:32)&lt;=COUNTIF(Condition39,"o"),INDEX(Liste39,SMALL(IF(Condition39="o",ROW(INDIRECT("1:"&amp;ROWS(Liste39)))),ROWS($9:32))),"")</f>
        <v/>
      </c>
      <c r="FM33" s="1" t="s">
        <v>1207</v>
      </c>
      <c r="FN33" s="1" t="s">
        <v>1161</v>
      </c>
      <c r="FO33" s="180">
        <f>'Suivi objectifs'!D28</f>
        <v>0</v>
      </c>
      <c r="FP33" s="1366" t="str">
        <f>'Suivi objectifs'!C28</f>
        <v>Transport hors AC</v>
      </c>
      <c r="FQ33" s="181" t="str">
        <f ca="1">IF(ISNA(VLOOKUP(FR33,Actions!$G$2:$AP$70,31,0)),"",VLOOKUP(FR33,Actions!$G$2:$AP$70,36,0))</f>
        <v/>
      </c>
      <c r="FR33" s="187" t="str">
        <f t="shared" ca="1" si="88"/>
        <v/>
      </c>
      <c r="FS33" s="286">
        <f t="shared" ca="1" si="80"/>
        <v>0</v>
      </c>
      <c r="FT33" s="181" t="str">
        <f ca="1">IF(ISNA(VLOOKUP(FU33,Actions!$G$2:$AP$70,31,0)),"",VLOOKUP(FU33,Actions!$G$2:$AP$70,36,0))</f>
        <v/>
      </c>
      <c r="FU33" s="187" t="str">
        <f t="shared" ca="1" si="89"/>
        <v/>
      </c>
      <c r="FV33" s="286">
        <f t="shared" ca="1" si="81"/>
        <v>0</v>
      </c>
      <c r="FW33" s="181" t="str">
        <f ca="1">IF(ISNA(VLOOKUP(FX33,Actions!$G$2:$AP$70,31,0)),"",VLOOKUP(FX33,Actions!$G$2:$AP$70,36,0))</f>
        <v/>
      </c>
      <c r="FX33" s="187" t="str">
        <f t="shared" ca="1" si="90"/>
        <v/>
      </c>
      <c r="FY33" s="286">
        <f t="shared" ca="1" si="82"/>
        <v>0</v>
      </c>
      <c r="FZ33" s="181" t="str">
        <f ca="1">IF(ISNA(VLOOKUP(GA33,Actions!$G$2:$AP$70,31,0)),"",VLOOKUP(GA33,Actions!$G$2:$AP$70,36,0))</f>
        <v/>
      </c>
      <c r="GA33" s="185" t="str">
        <f t="shared" ca="1" si="91"/>
        <v/>
      </c>
      <c r="GB33" s="286">
        <f t="shared" ca="1" si="83"/>
        <v>0</v>
      </c>
      <c r="GC33" s="181" t="str">
        <f ca="1">IF(ISNA(VLOOKUP(GD33,Actions!$G$2:$AP$70,31,0)),"",VLOOKUP(GD33,Actions!$G$2:$AP$70,36,0))</f>
        <v/>
      </c>
      <c r="GD33" s="185" t="str">
        <f t="shared" ca="1" si="92"/>
        <v/>
      </c>
      <c r="GE33" s="286">
        <f t="shared" ca="1" si="84"/>
        <v>0</v>
      </c>
      <c r="GF33" s="186">
        <f t="shared" ca="1" si="129"/>
        <v>0</v>
      </c>
      <c r="GG33" s="233"/>
    </row>
    <row r="34" spans="1:189" hidden="1">
      <c r="A34" s="1" t="s">
        <v>1208</v>
      </c>
      <c r="B34" s="1">
        <f>Actions!F27</f>
        <v>26</v>
      </c>
      <c r="C34" s="1">
        <f ca="1">Actions!G27</f>
        <v>0</v>
      </c>
      <c r="D34" s="1">
        <f ca="1">Actions!H27</f>
        <v>0</v>
      </c>
      <c r="E34" s="1" t="str">
        <f ca="1">Actions!I27</f>
        <v>-</v>
      </c>
      <c r="F34" s="1" t="str">
        <f t="shared" ca="1" si="0"/>
        <v>-</v>
      </c>
      <c r="G34" s="1" t="e">
        <f t="shared" ca="1" si="1"/>
        <v>#REF!</v>
      </c>
      <c r="I34" s="1">
        <v>26</v>
      </c>
      <c r="J34" s="175">
        <f t="shared" ca="1" si="2"/>
        <v>0</v>
      </c>
      <c r="K34" s="175" t="str">
        <f t="shared" ca="1" si="3"/>
        <v/>
      </c>
      <c r="L34" s="169" t="str">
        <f t="shared" ca="1" si="93"/>
        <v/>
      </c>
      <c r="M34" s="169" t="str">
        <f t="array" aca="1" ref="M34" ca="1">IF(ROWS($9:33)&lt;=COUNTIF(Condition1,"o"),INDEX(Liste1,SMALL(IF(Condition1="o",ROW(INDIRECT("1:"&amp;ROWS(Liste1)))),ROWS($9:33))),"")</f>
        <v/>
      </c>
      <c r="N34" s="175">
        <f t="shared" ca="1" si="4"/>
        <v>0</v>
      </c>
      <c r="O34" s="175" t="str">
        <f t="shared" ca="1" si="5"/>
        <v/>
      </c>
      <c r="P34" s="169" t="str">
        <f t="shared" ca="1" si="94"/>
        <v/>
      </c>
      <c r="Q34" s="169" t="str">
        <f t="array" aca="1" ref="Q34" ca="1">IF(ROWS($9:33)&lt;=COUNTIF(Condition2,"o"),INDEX(Liste2,SMALL(IF(Condition2="o",ROW(INDIRECT("1:"&amp;ROWS(Liste2)))),ROWS($9:33))),"")</f>
        <v/>
      </c>
      <c r="R34" s="175">
        <f t="shared" ca="1" si="6"/>
        <v>0</v>
      </c>
      <c r="S34" s="175" t="str">
        <f t="shared" ca="1" si="7"/>
        <v/>
      </c>
      <c r="T34" s="169" t="str">
        <f t="shared" ca="1" si="95"/>
        <v/>
      </c>
      <c r="U34" s="169" t="str">
        <f t="array" aca="1" ref="U34" ca="1">IF(ROWS($9:33)&lt;=COUNTIF(Condition3,"o"),INDEX(Liste3,SMALL(IF(Condition3="o",ROW(INDIRECT("1:"&amp;ROWS(Liste3)))),ROWS($9:33))),"")</f>
        <v/>
      </c>
      <c r="V34" s="175">
        <f t="shared" ca="1" si="8"/>
        <v>0</v>
      </c>
      <c r="W34" s="175" t="str">
        <f t="shared" ca="1" si="9"/>
        <v/>
      </c>
      <c r="X34" s="169" t="str">
        <f t="shared" ca="1" si="96"/>
        <v/>
      </c>
      <c r="Y34" s="169" t="str">
        <f t="array" aca="1" ref="Y34" ca="1">IF(ROWS($9:33)&lt;=COUNTIF(Condition4,"o"),INDEX(Liste4,SMALL(IF(Condition4="o",ROW(INDIRECT("1:"&amp;ROWS(Liste4)))),ROWS($9:33))),"")</f>
        <v/>
      </c>
      <c r="Z34" s="175">
        <f t="shared" ca="1" si="10"/>
        <v>0</v>
      </c>
      <c r="AA34" s="175" t="str">
        <f t="shared" ca="1" si="11"/>
        <v/>
      </c>
      <c r="AB34" s="169" t="str">
        <f t="shared" ca="1" si="97"/>
        <v/>
      </c>
      <c r="AC34" s="169" t="str">
        <f t="array" aca="1" ref="AC34" ca="1">IF(ROWS($9:33)&lt;=COUNTIF(Condition5,"o"),INDEX(Liste5,SMALL(IF(Condition5="o",ROW(INDIRECT("1:"&amp;ROWS(Liste5)))),ROWS($9:33))),"")</f>
        <v/>
      </c>
      <c r="AD34" s="175">
        <f t="shared" ca="1" si="12"/>
        <v>0</v>
      </c>
      <c r="AE34" s="175" t="str">
        <f t="shared" ca="1" si="13"/>
        <v/>
      </c>
      <c r="AF34" s="169" t="str">
        <f t="shared" ca="1" si="98"/>
        <v/>
      </c>
      <c r="AG34" s="169" t="str">
        <f t="array" aca="1" ref="AG34" ca="1">IF(ROWS($9:33)&lt;=COUNTIF(Condition6,"o"),INDEX(Liste6,SMALL(IF(Condition6="o",ROW(INDIRECT("1:"&amp;ROWS(Liste6)))),ROWS($9:33))),"")</f>
        <v/>
      </c>
      <c r="AH34" s="175">
        <f t="shared" ca="1" si="14"/>
        <v>0</v>
      </c>
      <c r="AI34" s="175" t="str">
        <f t="shared" ca="1" si="15"/>
        <v/>
      </c>
      <c r="AJ34" s="169" t="str">
        <f t="shared" ca="1" si="99"/>
        <v/>
      </c>
      <c r="AK34" s="169" t="str">
        <f t="array" aca="1" ref="AK34" ca="1">IF(ROWS($9:33)&lt;=COUNTIF(Condition7,"o"),INDEX(Liste7,SMALL(IF(Condition7="o",ROW(INDIRECT("1:"&amp;ROWS(Liste7)))),ROWS($9:33))),"")</f>
        <v/>
      </c>
      <c r="AL34" s="175">
        <f t="shared" ca="1" si="16"/>
        <v>0</v>
      </c>
      <c r="AM34" s="175" t="str">
        <f t="shared" ca="1" si="17"/>
        <v/>
      </c>
      <c r="AN34" s="169" t="str">
        <f t="shared" ca="1" si="100"/>
        <v/>
      </c>
      <c r="AO34" s="169" t="str">
        <f t="array" aca="1" ref="AO34" ca="1">IF(ROWS($9:33)&lt;=COUNTIF(Condition8,"o"),INDEX(Liste8,SMALL(IF(Condition8="o",ROW(INDIRECT("1:"&amp;ROWS(Liste8)))),ROWS($9:33))),"")</f>
        <v/>
      </c>
      <c r="AP34" s="175">
        <f t="shared" ca="1" si="18"/>
        <v>0</v>
      </c>
      <c r="AQ34" s="175" t="str">
        <f t="shared" ca="1" si="19"/>
        <v/>
      </c>
      <c r="AR34" s="169" t="str">
        <f t="shared" ca="1" si="101"/>
        <v/>
      </c>
      <c r="AS34" s="169" t="str">
        <f t="array" aca="1" ref="AS34" ca="1">IF(ROWS($9:33)&lt;=COUNTIF(Condition9,"o"),INDEX(Liste9,SMALL(IF(Condition9="o",ROW(INDIRECT("1:"&amp;ROWS(Liste9)))),ROWS($9:33))),"")</f>
        <v/>
      </c>
      <c r="AT34" s="175">
        <f t="shared" ca="1" si="20"/>
        <v>0</v>
      </c>
      <c r="AU34" s="175" t="str">
        <f t="shared" ca="1" si="21"/>
        <v/>
      </c>
      <c r="AV34" s="169" t="str">
        <f t="shared" ca="1" si="102"/>
        <v/>
      </c>
      <c r="AW34" s="169" t="str">
        <f t="array" aca="1" ref="AW34" ca="1">IF(ROWS($9:33)&lt;=COUNTIF(Condition10,"o"),INDEX(Liste10,SMALL(IF(Condition10="o",ROW(INDIRECT("1:"&amp;ROWS(Liste10)))),ROWS($9:33))),"")</f>
        <v/>
      </c>
      <c r="AX34" s="175">
        <f t="shared" ca="1" si="22"/>
        <v>0</v>
      </c>
      <c r="AY34" s="175" t="str">
        <f t="shared" ca="1" si="23"/>
        <v/>
      </c>
      <c r="AZ34" s="169" t="str">
        <f t="shared" ca="1" si="103"/>
        <v/>
      </c>
      <c r="BA34" s="169" t="str">
        <f t="array" aca="1" ref="BA34" ca="1">IF(ROWS($9:33)&lt;=COUNTIF(Condition11,"o"),INDEX(Liste11,SMALL(IF(Condition11="o",ROW(INDIRECT("1:"&amp;ROWS(Liste11)))),ROWS($9:33))),"")</f>
        <v/>
      </c>
      <c r="BB34" s="175">
        <f t="shared" ca="1" si="24"/>
        <v>0</v>
      </c>
      <c r="BC34" s="175" t="str">
        <f t="shared" ca="1" si="25"/>
        <v/>
      </c>
      <c r="BD34" s="169" t="str">
        <f t="shared" ca="1" si="104"/>
        <v/>
      </c>
      <c r="BE34" s="169" t="str">
        <f t="array" aca="1" ref="BE34" ca="1">IF(ROWS($9:33)&lt;=COUNTIF(Condition12,"o"),INDEX(Liste12,SMALL(IF(Condition12="o",ROW(INDIRECT("1:"&amp;ROWS(Liste12)))),ROWS($9:33))),"")</f>
        <v/>
      </c>
      <c r="BF34" s="175">
        <f t="shared" ca="1" si="26"/>
        <v>0</v>
      </c>
      <c r="BG34" s="175" t="str">
        <f t="shared" ca="1" si="27"/>
        <v/>
      </c>
      <c r="BH34" s="169" t="str">
        <f t="shared" ca="1" si="105"/>
        <v/>
      </c>
      <c r="BI34" s="169" t="str">
        <f t="array" aca="1" ref="BI34" ca="1">IF(ROWS($9:33)&lt;=COUNTIF(Condition13,"o"),INDEX(Liste13,SMALL(IF(Condition13="o",ROW(INDIRECT("1:"&amp;ROWS(Liste13)))),ROWS($9:33))),"")</f>
        <v/>
      </c>
      <c r="BJ34" s="175">
        <f t="shared" ca="1" si="28"/>
        <v>0</v>
      </c>
      <c r="BK34" s="175" t="str">
        <f t="shared" ca="1" si="29"/>
        <v/>
      </c>
      <c r="BL34" s="169" t="str">
        <f t="shared" ca="1" si="106"/>
        <v/>
      </c>
      <c r="BM34" s="169" t="str">
        <f t="array" aca="1" ref="BM34" ca="1">IF(ROWS($9:33)&lt;=COUNTIF(Condition14,"o"),INDEX(Liste14,SMALL(IF(Condition14="o",ROW(INDIRECT("1:"&amp;ROWS(Liste14)))),ROWS($9:33))),"")</f>
        <v/>
      </c>
      <c r="BN34" s="175">
        <f t="shared" ca="1" si="30"/>
        <v>0</v>
      </c>
      <c r="BO34" s="175" t="str">
        <f t="shared" ca="1" si="31"/>
        <v/>
      </c>
      <c r="BP34" s="169" t="str">
        <f t="shared" ca="1" si="107"/>
        <v/>
      </c>
      <c r="BQ34" s="169" t="str">
        <f t="array" aca="1" ref="BQ34" ca="1">IF(ROWS($9:33)&lt;=COUNTIF(Condition15,"o"),INDEX(Liste15,SMALL(IF(Condition15="o",ROW(INDIRECT("1:"&amp;ROWS(Liste15)))),ROWS($9:33))),"")</f>
        <v/>
      </c>
      <c r="BR34" s="175">
        <f t="shared" ca="1" si="32"/>
        <v>0</v>
      </c>
      <c r="BS34" s="175" t="str">
        <f t="shared" ca="1" si="33"/>
        <v/>
      </c>
      <c r="BT34" s="169" t="str">
        <f t="shared" ca="1" si="108"/>
        <v/>
      </c>
      <c r="BU34" s="169" t="str">
        <f t="array" aca="1" ref="BU34" ca="1">IF(ROWS($9:33)&lt;=COUNTIF(Condition16,"o"),INDEX(Liste16,SMALL(IF(Condition16="o",ROW(INDIRECT("1:"&amp;ROWS(Liste16)))),ROWS($9:33))),"")</f>
        <v/>
      </c>
      <c r="BV34" s="175">
        <f t="shared" ca="1" si="34"/>
        <v>0</v>
      </c>
      <c r="BW34" s="175" t="str">
        <f t="shared" ca="1" si="35"/>
        <v/>
      </c>
      <c r="BX34" s="169" t="str">
        <f t="shared" ca="1" si="109"/>
        <v/>
      </c>
      <c r="BY34" s="169" t="str">
        <f t="array" aca="1" ref="BY34" ca="1">IF(ROWS($9:33)&lt;=COUNTIF(Condition17,"o"),INDEX(Liste17,SMALL(IF(Condition17="o",ROW(INDIRECT("1:"&amp;ROWS(Liste17)))),ROWS($9:33))),"")</f>
        <v/>
      </c>
      <c r="BZ34" s="175">
        <f t="shared" ca="1" si="36"/>
        <v>0</v>
      </c>
      <c r="CA34" s="175" t="str">
        <f t="shared" ca="1" si="37"/>
        <v/>
      </c>
      <c r="CB34" s="169" t="str">
        <f t="shared" ca="1" si="110"/>
        <v/>
      </c>
      <c r="CC34" s="169" t="str">
        <f t="array" aca="1" ref="CC34" ca="1">IF(ROWS($9:33)&lt;=COUNTIF(Condition18,"o"),INDEX(Liste18,SMALL(IF(Condition18="o",ROW(INDIRECT("1:"&amp;ROWS(Liste18)))),ROWS($9:33))),"")</f>
        <v/>
      </c>
      <c r="CD34" s="175">
        <f t="shared" ca="1" si="38"/>
        <v>0</v>
      </c>
      <c r="CE34" s="175" t="str">
        <f t="shared" ca="1" si="39"/>
        <v/>
      </c>
      <c r="CF34" s="169" t="str">
        <f t="shared" ca="1" si="111"/>
        <v/>
      </c>
      <c r="CG34" s="169" t="str">
        <f t="array" aca="1" ref="CG34" ca="1">IF(ROWS($9:33)&lt;=COUNTIF(Condition19,"o"),INDEX(Liste19,SMALL(IF(Condition19="o",ROW(INDIRECT("1:"&amp;ROWS(Liste19)))),ROWS($9:33))),"")</f>
        <v/>
      </c>
      <c r="CH34" s="175">
        <f t="shared" ca="1" si="40"/>
        <v>0</v>
      </c>
      <c r="CI34" s="175" t="str">
        <f t="shared" ca="1" si="41"/>
        <v/>
      </c>
      <c r="CJ34" s="169" t="str">
        <f t="shared" ca="1" si="112"/>
        <v/>
      </c>
      <c r="CK34" s="169" t="str">
        <f t="array" aca="1" ref="CK34" ca="1">IF(ROWS($9:33)&lt;=COUNTIF(Condition20,"o"),INDEX(Liste20,SMALL(IF(Condition20="o",ROW(INDIRECT("1:"&amp;ROWS(Liste20)))),ROWS($9:33))),"")</f>
        <v/>
      </c>
      <c r="CL34" s="175">
        <f t="shared" ca="1" si="42"/>
        <v>0</v>
      </c>
      <c r="CM34" s="175" t="str">
        <f t="shared" ca="1" si="43"/>
        <v/>
      </c>
      <c r="CN34" s="169" t="str">
        <f t="shared" ca="1" si="113"/>
        <v/>
      </c>
      <c r="CO34" s="169" t="str">
        <f t="array" aca="1" ref="CO34" ca="1">IF(ROWS($9:33)&lt;=COUNTIF(Condition21,"o"),INDEX(Liste21,SMALL(IF(Condition21="o",ROW(INDIRECT("1:"&amp;ROWS(Liste21)))),ROWS($9:33))),"")</f>
        <v/>
      </c>
      <c r="CP34" s="175">
        <f t="shared" ca="1" si="44"/>
        <v>0</v>
      </c>
      <c r="CQ34" s="175" t="str">
        <f t="shared" ca="1" si="45"/>
        <v/>
      </c>
      <c r="CR34" s="169" t="str">
        <f t="shared" ca="1" si="114"/>
        <v/>
      </c>
      <c r="CS34" s="169" t="str">
        <f t="array" aca="1" ref="CS34" ca="1">IF(ROWS($9:33)&lt;=COUNTIF(Condition22,"o"),INDEX(Liste22,SMALL(IF(Condition22="o",ROW(INDIRECT("1:"&amp;ROWS(Liste22)))),ROWS($9:33))),"")</f>
        <v/>
      </c>
      <c r="CT34" s="175">
        <f t="shared" ca="1" si="46"/>
        <v>0</v>
      </c>
      <c r="CU34" s="175" t="str">
        <f t="shared" ca="1" si="47"/>
        <v/>
      </c>
      <c r="CV34" s="169" t="str">
        <f t="shared" ca="1" si="115"/>
        <v/>
      </c>
      <c r="CW34" s="169" t="str">
        <f t="array" aca="1" ref="CW34" ca="1">IF(ROWS($9:33)&lt;=COUNTIF(Condition23,"o"),INDEX(Liste23,SMALL(IF(Condition23="o",ROW(INDIRECT("1:"&amp;ROWS(Liste23)))),ROWS($9:33))),"")</f>
        <v/>
      </c>
      <c r="CX34" s="175">
        <f t="shared" ca="1" si="48"/>
        <v>0</v>
      </c>
      <c r="CY34" s="175" t="str">
        <f t="shared" ca="1" si="49"/>
        <v/>
      </c>
      <c r="CZ34" s="169" t="str">
        <f t="shared" ca="1" si="116"/>
        <v/>
      </c>
      <c r="DA34" s="169" t="str">
        <f t="array" aca="1" ref="DA34" ca="1">IF(ROWS($9:33)&lt;=COUNTIF(Condition24,"o"),INDEX(Liste24,SMALL(IF(Condition24="o",ROW(INDIRECT("1:"&amp;ROWS(Liste24)))),ROWS($9:33))),"")</f>
        <v/>
      </c>
      <c r="DB34" s="175">
        <f t="shared" ca="1" si="50"/>
        <v>0</v>
      </c>
      <c r="DC34" s="175" t="str">
        <f t="shared" ca="1" si="51"/>
        <v/>
      </c>
      <c r="DD34" s="169" t="str">
        <f t="shared" ca="1" si="117"/>
        <v/>
      </c>
      <c r="DE34" s="169" t="str">
        <f t="array" aca="1" ref="DE34" ca="1">IF(ROWS($9:33)&lt;=COUNTIF(Condition25,"o"),INDEX(Liste25,SMALL(IF(Condition25="o",ROW(INDIRECT("1:"&amp;ROWS(Liste25)))),ROWS($9:33))),"")</f>
        <v/>
      </c>
      <c r="DF34" s="175">
        <f t="shared" ca="1" si="52"/>
        <v>0</v>
      </c>
      <c r="DG34" s="175" t="str">
        <f t="shared" ca="1" si="53"/>
        <v/>
      </c>
      <c r="DH34" s="169" t="str">
        <f t="shared" ca="1" si="118"/>
        <v/>
      </c>
      <c r="DI34" s="169" t="str">
        <f t="array" aca="1" ref="DI34" ca="1">IF(ROWS($9:33)&lt;=COUNTIF(Condition26,"o"),INDEX(Liste26,SMALL(IF(Condition26="o",ROW(INDIRECT("1:"&amp;ROWS(Liste26)))),ROWS($9:33))),"")</f>
        <v/>
      </c>
      <c r="DJ34" s="175">
        <f t="shared" ca="1" si="54"/>
        <v>0</v>
      </c>
      <c r="DK34" s="175" t="str">
        <f t="shared" ca="1" si="55"/>
        <v/>
      </c>
      <c r="DL34" s="169" t="str">
        <f t="shared" ca="1" si="119"/>
        <v/>
      </c>
      <c r="DM34" s="169" t="str">
        <f t="array" aca="1" ref="DM34" ca="1">IF(ROWS($9:33)&lt;=COUNTIF(Condition27,"o"),INDEX(Liste27,SMALL(IF(Condition27="o",ROW(INDIRECT("1:"&amp;ROWS(Liste27)))),ROWS($9:33))),"")</f>
        <v/>
      </c>
      <c r="DN34" s="175">
        <f t="shared" ca="1" si="56"/>
        <v>0</v>
      </c>
      <c r="DO34" s="175" t="str">
        <f t="shared" ca="1" si="57"/>
        <v/>
      </c>
      <c r="DP34" s="169" t="str">
        <f t="shared" ca="1" si="120"/>
        <v/>
      </c>
      <c r="DQ34" s="169" t="str">
        <f t="array" aca="1" ref="DQ34" ca="1">IF(ROWS($9:33)&lt;=COUNTIF(Condition28,"o"),INDEX(Liste28,SMALL(IF(Condition28="o",ROW(INDIRECT("1:"&amp;ROWS(Liste28)))),ROWS($9:33))),"")</f>
        <v/>
      </c>
      <c r="DR34" s="175">
        <f t="shared" ca="1" si="58"/>
        <v>0</v>
      </c>
      <c r="DS34" s="175" t="str">
        <f t="shared" ca="1" si="59"/>
        <v/>
      </c>
      <c r="DT34" s="169" t="str">
        <f t="shared" ca="1" si="121"/>
        <v/>
      </c>
      <c r="DU34" s="169" t="str">
        <f t="array" aca="1" ref="DU34" ca="1">IF(ROWS($9:33)&lt;=COUNTIF(Condition29,"o"),INDEX(Liste29,SMALL(IF(Condition29="o",ROW(INDIRECT("1:"&amp;ROWS(Liste29)))),ROWS($9:33))),"")</f>
        <v/>
      </c>
      <c r="DV34" s="175">
        <f t="shared" ca="1" si="60"/>
        <v>0</v>
      </c>
      <c r="DW34" s="175" t="str">
        <f t="shared" ca="1" si="61"/>
        <v/>
      </c>
      <c r="DX34" s="169" t="str">
        <f t="shared" ca="1" si="122"/>
        <v/>
      </c>
      <c r="DY34" s="169" t="str">
        <f t="array" aca="1" ref="DY34" ca="1">IF(ROWS($9:33)&lt;=COUNTIF(Condition30,"o"),INDEX(Liste30,SMALL(IF(Condition30="o",ROW(INDIRECT("1:"&amp;ROWS(Liste30)))),ROWS($9:33))),"")</f>
        <v/>
      </c>
      <c r="DZ34" s="175">
        <f t="shared" ca="1" si="62"/>
        <v>0</v>
      </c>
      <c r="EA34" s="175" t="str">
        <f t="shared" ca="1" si="63"/>
        <v/>
      </c>
      <c r="EB34" s="169" t="str">
        <f t="shared" ca="1" si="123"/>
        <v/>
      </c>
      <c r="EC34" s="169" t="str">
        <f t="array" aca="1" ref="EC34" ca="1">IF(ROWS($9:33)&lt;=COUNTIF(Condition31,"o"),INDEX(Liste31,SMALL(IF(Condition31="o",ROW(INDIRECT("1:"&amp;ROWS(Liste31)))),ROWS($9:33))),"")</f>
        <v/>
      </c>
      <c r="ED34" s="175">
        <f t="shared" ca="1" si="64"/>
        <v>0</v>
      </c>
      <c r="EE34" s="175" t="str">
        <f t="shared" ca="1" si="65"/>
        <v/>
      </c>
      <c r="EF34" s="169" t="str">
        <f t="shared" ca="1" si="124"/>
        <v/>
      </c>
      <c r="EG34" s="169" t="str">
        <f t="array" aca="1" ref="EG34" ca="1">IF(ROWS($9:33)&lt;=COUNTIF(Condition32,"o"),INDEX(Liste32,SMALL(IF(Condition32="o",ROW(INDIRECT("1:"&amp;ROWS(Liste32)))),ROWS($9:33))),"")</f>
        <v/>
      </c>
      <c r="EH34" s="175">
        <f t="shared" ca="1" si="66"/>
        <v>0</v>
      </c>
      <c r="EI34" s="175" t="str">
        <f t="shared" ca="1" si="67"/>
        <v/>
      </c>
      <c r="EJ34" s="169" t="str">
        <f t="shared" ca="1" si="125"/>
        <v/>
      </c>
      <c r="EK34" s="169" t="str">
        <f t="array" aca="1" ref="EK34" ca="1">IF(ROWS($9:33)&lt;=COUNTIF(Condition33,"o"),INDEX(Liste33,SMALL(IF(Condition33="o",ROW(INDIRECT("1:"&amp;ROWS(Liste33)))),ROWS($9:33))),"")</f>
        <v/>
      </c>
      <c r="EL34" s="175">
        <f t="shared" ca="1" si="68"/>
        <v>0</v>
      </c>
      <c r="EM34" s="175" t="str">
        <f t="shared" ca="1" si="69"/>
        <v/>
      </c>
      <c r="EN34" s="169" t="str">
        <f t="shared" ca="1" si="126"/>
        <v/>
      </c>
      <c r="EO34" s="169" t="str">
        <f t="array" aca="1" ref="EO34" ca="1">IF(ROWS($9:33)&lt;=COUNTIF(Condition34,"o"),INDEX(Liste34,SMALL(IF(Condition34="o",ROW(INDIRECT("1:"&amp;ROWS(Liste34)))),ROWS($9:33))),"")</f>
        <v/>
      </c>
      <c r="EP34" s="175">
        <f t="shared" ca="1" si="70"/>
        <v>0</v>
      </c>
      <c r="EQ34" s="175" t="str">
        <f t="shared" ca="1" si="71"/>
        <v/>
      </c>
      <c r="ER34" s="169" t="str">
        <f t="shared" ca="1" si="127"/>
        <v/>
      </c>
      <c r="ES34" s="169" t="str">
        <f t="array" aca="1" ref="ES34" ca="1">IF(ROWS($9:33)&lt;=COUNTIF(Condition35,"o"),INDEX(Liste35,SMALL(IF(Condition35="o",ROW(INDIRECT("1:"&amp;ROWS(Liste35)))),ROWS($9:33))),"")</f>
        <v/>
      </c>
      <c r="ET34" s="175">
        <f t="shared" ca="1" si="72"/>
        <v>0</v>
      </c>
      <c r="EU34" s="175" t="str">
        <f t="shared" ca="1" si="73"/>
        <v/>
      </c>
      <c r="EV34" s="169" t="str">
        <f t="shared" ca="1" si="128"/>
        <v/>
      </c>
      <c r="EW34" s="169" t="str">
        <f t="array" aca="1" ref="EW34" ca="1">IF(ROWS($9:33)&lt;=COUNTIF(Condition36,"o"),INDEX(Liste36,SMALL(IF(Condition36="o",ROW(INDIRECT("1:"&amp;ROWS(Liste36)))),ROWS($9:33))),"")</f>
        <v/>
      </c>
      <c r="EX34" s="175">
        <f t="shared" ca="1" si="74"/>
        <v>0</v>
      </c>
      <c r="EY34" s="175" t="str">
        <f t="shared" ca="1" si="75"/>
        <v/>
      </c>
      <c r="EZ34" s="169" t="str">
        <f t="shared" ca="1" si="85"/>
        <v/>
      </c>
      <c r="FA34" s="169" t="str">
        <f t="array" aca="1" ref="FA34" ca="1">IF(ROWS($9:33)&lt;=COUNTIF(Condition36,"o"),INDEX(Liste36,SMALL(IF(Condition36="o",ROW(INDIRECT("1:"&amp;ROWS(Liste36)))),ROWS($9:33))),"")</f>
        <v/>
      </c>
      <c r="FB34" s="175">
        <f t="shared" ca="1" si="76"/>
        <v>0</v>
      </c>
      <c r="FC34" s="175" t="str">
        <f t="shared" ca="1" si="77"/>
        <v/>
      </c>
      <c r="FD34" s="169" t="str">
        <f t="shared" ca="1" si="86"/>
        <v/>
      </c>
      <c r="FE34" s="169" t="str">
        <f t="array" aca="1" ref="FE34" ca="1">IF(ROWS($9:33)&lt;=COUNTIF(condition38,"o"),INDEX(liste38,SMALL(IF(condition38="o",ROW(INDIRECT("1:"&amp;ROWS(liste38)))),ROWS($9:33))),"")</f>
        <v/>
      </c>
      <c r="FF34" s="175">
        <f t="shared" ca="1" si="78"/>
        <v>0</v>
      </c>
      <c r="FG34" s="175" t="str">
        <f t="shared" ca="1" si="79"/>
        <v/>
      </c>
      <c r="FH34" s="169" t="str">
        <f t="shared" ca="1" si="87"/>
        <v/>
      </c>
      <c r="FI34" s="169" t="str">
        <f t="array" aca="1" ref="FI34" ca="1">IF(ROWS($9:33)&lt;=COUNTIF(Condition39,"o"),INDEX(Liste39,SMALL(IF(Condition39="o",ROW(INDIRECT("1:"&amp;ROWS(Liste39)))),ROWS($9:33))),"")</f>
        <v/>
      </c>
      <c r="FM34" s="1" t="s">
        <v>1209</v>
      </c>
      <c r="FN34" s="1" t="s">
        <v>1162</v>
      </c>
      <c r="FO34" s="180">
        <f>'Suivi objectifs'!D29</f>
        <v>0</v>
      </c>
      <c r="FP34" s="1366" t="str">
        <f>'Suivi objectifs'!C29</f>
        <v>Eolien</v>
      </c>
      <c r="FQ34" s="181" t="str">
        <f ca="1">IF(ISNA(VLOOKUP(FR34,Actions!$G$2:$AP$70,31,0)),"",VLOOKUP(FR34,Actions!$G$2:$AP$70,36,0))</f>
        <v/>
      </c>
      <c r="FR34" s="187" t="str">
        <f t="shared" ca="1" si="88"/>
        <v/>
      </c>
      <c r="FS34" s="286">
        <f t="shared" ca="1" si="80"/>
        <v>0</v>
      </c>
      <c r="FT34" s="181" t="str">
        <f ca="1">IF(ISNA(VLOOKUP(FU34,Actions!$G$2:$AP$70,31,0)),"",VLOOKUP(FU34,Actions!$G$2:$AP$70,36,0))</f>
        <v/>
      </c>
      <c r="FU34" s="187" t="str">
        <f t="shared" ca="1" si="89"/>
        <v/>
      </c>
      <c r="FV34" s="286">
        <f t="shared" ca="1" si="81"/>
        <v>0</v>
      </c>
      <c r="FW34" s="181" t="str">
        <f ca="1">IF(ISNA(VLOOKUP(FX34,Actions!$G$2:$AP$70,31,0)),"",VLOOKUP(FX34,Actions!$G$2:$AP$70,36,0))</f>
        <v/>
      </c>
      <c r="FX34" s="187" t="str">
        <f t="shared" ca="1" si="90"/>
        <v/>
      </c>
      <c r="FY34" s="286">
        <f t="shared" ca="1" si="82"/>
        <v>0</v>
      </c>
      <c r="FZ34" s="181" t="str">
        <f ca="1">IF(ISNA(VLOOKUP(GA34,Actions!$G$2:$AP$70,31,0)),"",VLOOKUP(GA34,Actions!$G$2:$AP$70,36,0))</f>
        <v/>
      </c>
      <c r="GA34" s="185" t="str">
        <f t="shared" ca="1" si="91"/>
        <v/>
      </c>
      <c r="GB34" s="286">
        <f t="shared" ca="1" si="83"/>
        <v>0</v>
      </c>
      <c r="GC34" s="181" t="str">
        <f ca="1">IF(ISNA(VLOOKUP(GD34,Actions!$G$2:$AP$70,31,0)),"",VLOOKUP(GD34,Actions!$G$2:$AP$70,36,0))</f>
        <v/>
      </c>
      <c r="GD34" s="185" t="str">
        <f t="shared" ca="1" si="92"/>
        <v/>
      </c>
      <c r="GE34" s="286">
        <f t="shared" ca="1" si="84"/>
        <v>0</v>
      </c>
      <c r="GF34" s="186">
        <f t="shared" ca="1" si="129"/>
        <v>0</v>
      </c>
      <c r="GG34" s="233"/>
    </row>
    <row r="35" spans="1:189" hidden="1">
      <c r="A35" s="1" t="s">
        <v>1210</v>
      </c>
      <c r="B35" s="1">
        <f>Actions!F28</f>
        <v>27</v>
      </c>
      <c r="C35" s="1">
        <f ca="1">Actions!G28</f>
        <v>0</v>
      </c>
      <c r="D35" s="1">
        <f ca="1">Actions!H28</f>
        <v>0</v>
      </c>
      <c r="E35" s="1" t="str">
        <f ca="1">Actions!I28</f>
        <v>-</v>
      </c>
      <c r="F35" s="1" t="str">
        <f t="shared" ca="1" si="0"/>
        <v>-</v>
      </c>
      <c r="G35" s="1" t="e">
        <f t="shared" ca="1" si="1"/>
        <v>#REF!</v>
      </c>
      <c r="I35" s="1">
        <v>27</v>
      </c>
      <c r="J35" s="175">
        <f t="shared" ca="1" si="2"/>
        <v>0</v>
      </c>
      <c r="K35" s="175" t="str">
        <f t="shared" ca="1" si="3"/>
        <v/>
      </c>
      <c r="L35" s="169" t="str">
        <f t="shared" ca="1" si="93"/>
        <v/>
      </c>
      <c r="M35" s="169" t="str">
        <f t="array" aca="1" ref="M35" ca="1">IF(ROWS($9:34)&lt;=COUNTIF(Condition1,"o"),INDEX(Liste1,SMALL(IF(Condition1="o",ROW(INDIRECT("1:"&amp;ROWS(Liste1)))),ROWS($9:34))),"")</f>
        <v/>
      </c>
      <c r="N35" s="175">
        <f t="shared" ca="1" si="4"/>
        <v>0</v>
      </c>
      <c r="O35" s="175" t="str">
        <f t="shared" ca="1" si="5"/>
        <v/>
      </c>
      <c r="P35" s="169" t="str">
        <f t="shared" ca="1" si="94"/>
        <v/>
      </c>
      <c r="Q35" s="169" t="str">
        <f t="array" aca="1" ref="Q35" ca="1">IF(ROWS($9:34)&lt;=COUNTIF(Condition2,"o"),INDEX(Liste2,SMALL(IF(Condition2="o",ROW(INDIRECT("1:"&amp;ROWS(Liste2)))),ROWS($9:34))),"")</f>
        <v/>
      </c>
      <c r="R35" s="175">
        <f t="shared" ca="1" si="6"/>
        <v>0</v>
      </c>
      <c r="S35" s="175" t="str">
        <f t="shared" ca="1" si="7"/>
        <v/>
      </c>
      <c r="T35" s="169" t="str">
        <f t="shared" ca="1" si="95"/>
        <v/>
      </c>
      <c r="U35" s="169" t="str">
        <f t="array" aca="1" ref="U35" ca="1">IF(ROWS($9:34)&lt;=COUNTIF(Condition3,"o"),INDEX(Liste3,SMALL(IF(Condition3="o",ROW(INDIRECT("1:"&amp;ROWS(Liste3)))),ROWS($9:34))),"")</f>
        <v/>
      </c>
      <c r="V35" s="175">
        <f t="shared" ca="1" si="8"/>
        <v>0</v>
      </c>
      <c r="W35" s="175" t="str">
        <f t="shared" ca="1" si="9"/>
        <v/>
      </c>
      <c r="X35" s="169" t="str">
        <f t="shared" ca="1" si="96"/>
        <v/>
      </c>
      <c r="Y35" s="169" t="str">
        <f t="array" aca="1" ref="Y35" ca="1">IF(ROWS($9:34)&lt;=COUNTIF(Condition4,"o"),INDEX(Liste4,SMALL(IF(Condition4="o",ROW(INDIRECT("1:"&amp;ROWS(Liste4)))),ROWS($9:34))),"")</f>
        <v/>
      </c>
      <c r="Z35" s="175">
        <f t="shared" ca="1" si="10"/>
        <v>0</v>
      </c>
      <c r="AA35" s="175" t="str">
        <f t="shared" ca="1" si="11"/>
        <v/>
      </c>
      <c r="AB35" s="169" t="str">
        <f t="shared" ca="1" si="97"/>
        <v/>
      </c>
      <c r="AC35" s="169" t="str">
        <f t="array" aca="1" ref="AC35" ca="1">IF(ROWS($9:34)&lt;=COUNTIF(Condition5,"o"),INDEX(Liste5,SMALL(IF(Condition5="o",ROW(INDIRECT("1:"&amp;ROWS(Liste5)))),ROWS($9:34))),"")</f>
        <v/>
      </c>
      <c r="AD35" s="175">
        <f t="shared" ca="1" si="12"/>
        <v>0</v>
      </c>
      <c r="AE35" s="175" t="str">
        <f t="shared" ca="1" si="13"/>
        <v/>
      </c>
      <c r="AF35" s="169" t="str">
        <f t="shared" ca="1" si="98"/>
        <v/>
      </c>
      <c r="AG35" s="169" t="str">
        <f t="array" aca="1" ref="AG35" ca="1">IF(ROWS($9:34)&lt;=COUNTIF(Condition6,"o"),INDEX(Liste6,SMALL(IF(Condition6="o",ROW(INDIRECT("1:"&amp;ROWS(Liste6)))),ROWS($9:34))),"")</f>
        <v/>
      </c>
      <c r="AH35" s="175">
        <f t="shared" ca="1" si="14"/>
        <v>0</v>
      </c>
      <c r="AI35" s="175" t="str">
        <f t="shared" ca="1" si="15"/>
        <v/>
      </c>
      <c r="AJ35" s="169" t="str">
        <f t="shared" ca="1" si="99"/>
        <v/>
      </c>
      <c r="AK35" s="169" t="str">
        <f t="array" aca="1" ref="AK35" ca="1">IF(ROWS($9:34)&lt;=COUNTIF(Condition7,"o"),INDEX(Liste7,SMALL(IF(Condition7="o",ROW(INDIRECT("1:"&amp;ROWS(Liste7)))),ROWS($9:34))),"")</f>
        <v/>
      </c>
      <c r="AL35" s="175">
        <f t="shared" ca="1" si="16"/>
        <v>0</v>
      </c>
      <c r="AM35" s="175" t="str">
        <f t="shared" ca="1" si="17"/>
        <v/>
      </c>
      <c r="AN35" s="169" t="str">
        <f t="shared" ca="1" si="100"/>
        <v/>
      </c>
      <c r="AO35" s="169" t="str">
        <f t="array" aca="1" ref="AO35" ca="1">IF(ROWS($9:34)&lt;=COUNTIF(Condition8,"o"),INDEX(Liste8,SMALL(IF(Condition8="o",ROW(INDIRECT("1:"&amp;ROWS(Liste8)))),ROWS($9:34))),"")</f>
        <v/>
      </c>
      <c r="AP35" s="175">
        <f t="shared" ca="1" si="18"/>
        <v>0</v>
      </c>
      <c r="AQ35" s="175" t="str">
        <f t="shared" ca="1" si="19"/>
        <v/>
      </c>
      <c r="AR35" s="169" t="str">
        <f t="shared" ca="1" si="101"/>
        <v/>
      </c>
      <c r="AS35" s="169" t="str">
        <f t="array" aca="1" ref="AS35" ca="1">IF(ROWS($9:34)&lt;=COUNTIF(Condition9,"o"),INDEX(Liste9,SMALL(IF(Condition9="o",ROW(INDIRECT("1:"&amp;ROWS(Liste9)))),ROWS($9:34))),"")</f>
        <v/>
      </c>
      <c r="AT35" s="175">
        <f t="shared" ca="1" si="20"/>
        <v>0</v>
      </c>
      <c r="AU35" s="175" t="str">
        <f t="shared" ca="1" si="21"/>
        <v/>
      </c>
      <c r="AV35" s="169" t="str">
        <f t="shared" ca="1" si="102"/>
        <v/>
      </c>
      <c r="AW35" s="169" t="str">
        <f t="array" aca="1" ref="AW35" ca="1">IF(ROWS($9:34)&lt;=COUNTIF(Condition10,"o"),INDEX(Liste10,SMALL(IF(Condition10="o",ROW(INDIRECT("1:"&amp;ROWS(Liste10)))),ROWS($9:34))),"")</f>
        <v/>
      </c>
      <c r="AX35" s="175">
        <f t="shared" ca="1" si="22"/>
        <v>0</v>
      </c>
      <c r="AY35" s="175" t="str">
        <f t="shared" ca="1" si="23"/>
        <v/>
      </c>
      <c r="AZ35" s="169" t="str">
        <f t="shared" ca="1" si="103"/>
        <v/>
      </c>
      <c r="BA35" s="169" t="str">
        <f t="array" aca="1" ref="BA35" ca="1">IF(ROWS($9:34)&lt;=COUNTIF(Condition11,"o"),INDEX(Liste11,SMALL(IF(Condition11="o",ROW(INDIRECT("1:"&amp;ROWS(Liste11)))),ROWS($9:34))),"")</f>
        <v/>
      </c>
      <c r="BB35" s="175">
        <f t="shared" ca="1" si="24"/>
        <v>0</v>
      </c>
      <c r="BC35" s="175" t="str">
        <f t="shared" ca="1" si="25"/>
        <v/>
      </c>
      <c r="BD35" s="169" t="str">
        <f t="shared" ca="1" si="104"/>
        <v/>
      </c>
      <c r="BE35" s="169" t="str">
        <f t="array" aca="1" ref="BE35" ca="1">IF(ROWS($9:34)&lt;=COUNTIF(Condition12,"o"),INDEX(Liste12,SMALL(IF(Condition12="o",ROW(INDIRECT("1:"&amp;ROWS(Liste12)))),ROWS($9:34))),"")</f>
        <v/>
      </c>
      <c r="BF35" s="175">
        <f t="shared" ca="1" si="26"/>
        <v>0</v>
      </c>
      <c r="BG35" s="175" t="str">
        <f t="shared" ca="1" si="27"/>
        <v/>
      </c>
      <c r="BH35" s="169" t="str">
        <f t="shared" ca="1" si="105"/>
        <v/>
      </c>
      <c r="BI35" s="169" t="str">
        <f t="array" aca="1" ref="BI35" ca="1">IF(ROWS($9:34)&lt;=COUNTIF(Condition13,"o"),INDEX(Liste13,SMALL(IF(Condition13="o",ROW(INDIRECT("1:"&amp;ROWS(Liste13)))),ROWS($9:34))),"")</f>
        <v/>
      </c>
      <c r="BJ35" s="175">
        <f t="shared" ca="1" si="28"/>
        <v>0</v>
      </c>
      <c r="BK35" s="175" t="str">
        <f t="shared" ca="1" si="29"/>
        <v/>
      </c>
      <c r="BL35" s="169" t="str">
        <f t="shared" ca="1" si="106"/>
        <v/>
      </c>
      <c r="BM35" s="169" t="str">
        <f t="array" aca="1" ref="BM35" ca="1">IF(ROWS($9:34)&lt;=COUNTIF(Condition14,"o"),INDEX(Liste14,SMALL(IF(Condition14="o",ROW(INDIRECT("1:"&amp;ROWS(Liste14)))),ROWS($9:34))),"")</f>
        <v/>
      </c>
      <c r="BN35" s="175">
        <f t="shared" ca="1" si="30"/>
        <v>0</v>
      </c>
      <c r="BO35" s="175" t="str">
        <f t="shared" ca="1" si="31"/>
        <v/>
      </c>
      <c r="BP35" s="169" t="str">
        <f t="shared" ca="1" si="107"/>
        <v/>
      </c>
      <c r="BQ35" s="169" t="str">
        <f t="array" aca="1" ref="BQ35" ca="1">IF(ROWS($9:34)&lt;=COUNTIF(Condition15,"o"),INDEX(Liste15,SMALL(IF(Condition15="o",ROW(INDIRECT("1:"&amp;ROWS(Liste15)))),ROWS($9:34))),"")</f>
        <v/>
      </c>
      <c r="BR35" s="175">
        <f t="shared" ca="1" si="32"/>
        <v>0</v>
      </c>
      <c r="BS35" s="175" t="str">
        <f t="shared" ca="1" si="33"/>
        <v/>
      </c>
      <c r="BT35" s="169" t="str">
        <f t="shared" ca="1" si="108"/>
        <v/>
      </c>
      <c r="BU35" s="169" t="str">
        <f t="array" aca="1" ref="BU35" ca="1">IF(ROWS($9:34)&lt;=COUNTIF(Condition16,"o"),INDEX(Liste16,SMALL(IF(Condition16="o",ROW(INDIRECT("1:"&amp;ROWS(Liste16)))),ROWS($9:34))),"")</f>
        <v/>
      </c>
      <c r="BV35" s="175">
        <f t="shared" ca="1" si="34"/>
        <v>0</v>
      </c>
      <c r="BW35" s="175" t="str">
        <f t="shared" ca="1" si="35"/>
        <v/>
      </c>
      <c r="BX35" s="169" t="str">
        <f t="shared" ca="1" si="109"/>
        <v/>
      </c>
      <c r="BY35" s="169" t="str">
        <f t="array" aca="1" ref="BY35" ca="1">IF(ROWS($9:34)&lt;=COUNTIF(Condition17,"o"),INDEX(Liste17,SMALL(IF(Condition17="o",ROW(INDIRECT("1:"&amp;ROWS(Liste17)))),ROWS($9:34))),"")</f>
        <v/>
      </c>
      <c r="BZ35" s="175">
        <f t="shared" ca="1" si="36"/>
        <v>0</v>
      </c>
      <c r="CA35" s="175" t="str">
        <f t="shared" ca="1" si="37"/>
        <v/>
      </c>
      <c r="CB35" s="169" t="str">
        <f t="shared" ca="1" si="110"/>
        <v/>
      </c>
      <c r="CC35" s="169" t="str">
        <f t="array" aca="1" ref="CC35" ca="1">IF(ROWS($9:34)&lt;=COUNTIF(Condition18,"o"),INDEX(Liste18,SMALL(IF(Condition18="o",ROW(INDIRECT("1:"&amp;ROWS(Liste18)))),ROWS($9:34))),"")</f>
        <v/>
      </c>
      <c r="CD35" s="175">
        <f t="shared" ca="1" si="38"/>
        <v>0</v>
      </c>
      <c r="CE35" s="175" t="str">
        <f t="shared" ca="1" si="39"/>
        <v/>
      </c>
      <c r="CF35" s="169" t="str">
        <f t="shared" ca="1" si="111"/>
        <v/>
      </c>
      <c r="CG35" s="169" t="str">
        <f t="array" aca="1" ref="CG35" ca="1">IF(ROWS($9:34)&lt;=COUNTIF(Condition19,"o"),INDEX(Liste19,SMALL(IF(Condition19="o",ROW(INDIRECT("1:"&amp;ROWS(Liste19)))),ROWS($9:34))),"")</f>
        <v/>
      </c>
      <c r="CH35" s="175">
        <f t="shared" ca="1" si="40"/>
        <v>0</v>
      </c>
      <c r="CI35" s="175" t="str">
        <f t="shared" ca="1" si="41"/>
        <v/>
      </c>
      <c r="CJ35" s="169" t="str">
        <f t="shared" ca="1" si="112"/>
        <v/>
      </c>
      <c r="CK35" s="169" t="str">
        <f t="array" aca="1" ref="CK35" ca="1">IF(ROWS($9:34)&lt;=COUNTIF(Condition20,"o"),INDEX(Liste20,SMALL(IF(Condition20="o",ROW(INDIRECT("1:"&amp;ROWS(Liste20)))),ROWS($9:34))),"")</f>
        <v/>
      </c>
      <c r="CL35" s="175">
        <f t="shared" ca="1" si="42"/>
        <v>0</v>
      </c>
      <c r="CM35" s="175" t="str">
        <f t="shared" ca="1" si="43"/>
        <v/>
      </c>
      <c r="CN35" s="169" t="str">
        <f t="shared" ca="1" si="113"/>
        <v/>
      </c>
      <c r="CO35" s="169" t="str">
        <f t="array" aca="1" ref="CO35" ca="1">IF(ROWS($9:34)&lt;=COUNTIF(Condition21,"o"),INDEX(Liste21,SMALL(IF(Condition21="o",ROW(INDIRECT("1:"&amp;ROWS(Liste21)))),ROWS($9:34))),"")</f>
        <v/>
      </c>
      <c r="CP35" s="175">
        <f t="shared" ca="1" si="44"/>
        <v>0</v>
      </c>
      <c r="CQ35" s="175" t="str">
        <f t="shared" ca="1" si="45"/>
        <v/>
      </c>
      <c r="CR35" s="169" t="str">
        <f t="shared" ca="1" si="114"/>
        <v/>
      </c>
      <c r="CS35" s="169" t="str">
        <f t="array" aca="1" ref="CS35" ca="1">IF(ROWS($9:34)&lt;=COUNTIF(Condition22,"o"),INDEX(Liste22,SMALL(IF(Condition22="o",ROW(INDIRECT("1:"&amp;ROWS(Liste22)))),ROWS($9:34))),"")</f>
        <v/>
      </c>
      <c r="CT35" s="175">
        <f t="shared" ca="1" si="46"/>
        <v>0</v>
      </c>
      <c r="CU35" s="175" t="str">
        <f t="shared" ca="1" si="47"/>
        <v/>
      </c>
      <c r="CV35" s="169" t="str">
        <f t="shared" ca="1" si="115"/>
        <v/>
      </c>
      <c r="CW35" s="169" t="str">
        <f t="array" aca="1" ref="CW35" ca="1">IF(ROWS($9:34)&lt;=COUNTIF(Condition23,"o"),INDEX(Liste23,SMALL(IF(Condition23="o",ROW(INDIRECT("1:"&amp;ROWS(Liste23)))),ROWS($9:34))),"")</f>
        <v/>
      </c>
      <c r="CX35" s="175">
        <f t="shared" ca="1" si="48"/>
        <v>0</v>
      </c>
      <c r="CY35" s="175" t="str">
        <f t="shared" ca="1" si="49"/>
        <v/>
      </c>
      <c r="CZ35" s="169" t="str">
        <f t="shared" ca="1" si="116"/>
        <v/>
      </c>
      <c r="DA35" s="169" t="str">
        <f t="array" aca="1" ref="DA35" ca="1">IF(ROWS($9:34)&lt;=COUNTIF(Condition24,"o"),INDEX(Liste24,SMALL(IF(Condition24="o",ROW(INDIRECT("1:"&amp;ROWS(Liste24)))),ROWS($9:34))),"")</f>
        <v/>
      </c>
      <c r="DB35" s="175">
        <f t="shared" ca="1" si="50"/>
        <v>0</v>
      </c>
      <c r="DC35" s="175" t="str">
        <f t="shared" ca="1" si="51"/>
        <v/>
      </c>
      <c r="DD35" s="169" t="str">
        <f t="shared" ca="1" si="117"/>
        <v/>
      </c>
      <c r="DE35" s="169" t="str">
        <f t="array" aca="1" ref="DE35" ca="1">IF(ROWS($9:34)&lt;=COUNTIF(Condition25,"o"),INDEX(Liste25,SMALL(IF(Condition25="o",ROW(INDIRECT("1:"&amp;ROWS(Liste25)))),ROWS($9:34))),"")</f>
        <v/>
      </c>
      <c r="DF35" s="175">
        <f t="shared" ca="1" si="52"/>
        <v>0</v>
      </c>
      <c r="DG35" s="175" t="str">
        <f t="shared" ca="1" si="53"/>
        <v/>
      </c>
      <c r="DH35" s="169" t="str">
        <f t="shared" ca="1" si="118"/>
        <v/>
      </c>
      <c r="DI35" s="169" t="str">
        <f t="array" aca="1" ref="DI35" ca="1">IF(ROWS($9:34)&lt;=COUNTIF(Condition26,"o"),INDEX(Liste26,SMALL(IF(Condition26="o",ROW(INDIRECT("1:"&amp;ROWS(Liste26)))),ROWS($9:34))),"")</f>
        <v/>
      </c>
      <c r="DJ35" s="175">
        <f t="shared" ca="1" si="54"/>
        <v>0</v>
      </c>
      <c r="DK35" s="175" t="str">
        <f t="shared" ca="1" si="55"/>
        <v/>
      </c>
      <c r="DL35" s="169" t="str">
        <f t="shared" ca="1" si="119"/>
        <v/>
      </c>
      <c r="DM35" s="169" t="str">
        <f t="array" aca="1" ref="DM35" ca="1">IF(ROWS($9:34)&lt;=COUNTIF(Condition27,"o"),INDEX(Liste27,SMALL(IF(Condition27="o",ROW(INDIRECT("1:"&amp;ROWS(Liste27)))),ROWS($9:34))),"")</f>
        <v/>
      </c>
      <c r="DN35" s="175">
        <f t="shared" ca="1" si="56"/>
        <v>0</v>
      </c>
      <c r="DO35" s="175" t="str">
        <f t="shared" ca="1" si="57"/>
        <v/>
      </c>
      <c r="DP35" s="169" t="str">
        <f t="shared" ca="1" si="120"/>
        <v/>
      </c>
      <c r="DQ35" s="169" t="str">
        <f t="array" aca="1" ref="DQ35" ca="1">IF(ROWS($9:34)&lt;=COUNTIF(Condition28,"o"),INDEX(Liste28,SMALL(IF(Condition28="o",ROW(INDIRECT("1:"&amp;ROWS(Liste28)))),ROWS($9:34))),"")</f>
        <v/>
      </c>
      <c r="DR35" s="175">
        <f t="shared" ca="1" si="58"/>
        <v>0</v>
      </c>
      <c r="DS35" s="175" t="str">
        <f t="shared" ca="1" si="59"/>
        <v/>
      </c>
      <c r="DT35" s="169" t="str">
        <f t="shared" ca="1" si="121"/>
        <v/>
      </c>
      <c r="DU35" s="169" t="str">
        <f t="array" aca="1" ref="DU35" ca="1">IF(ROWS($9:34)&lt;=COUNTIF(Condition29,"o"),INDEX(Liste29,SMALL(IF(Condition29="o",ROW(INDIRECT("1:"&amp;ROWS(Liste29)))),ROWS($9:34))),"")</f>
        <v/>
      </c>
      <c r="DV35" s="175">
        <f t="shared" ca="1" si="60"/>
        <v>0</v>
      </c>
      <c r="DW35" s="175" t="str">
        <f t="shared" ca="1" si="61"/>
        <v/>
      </c>
      <c r="DX35" s="169" t="str">
        <f t="shared" ca="1" si="122"/>
        <v/>
      </c>
      <c r="DY35" s="169" t="str">
        <f t="array" aca="1" ref="DY35" ca="1">IF(ROWS($9:34)&lt;=COUNTIF(Condition30,"o"),INDEX(Liste30,SMALL(IF(Condition30="o",ROW(INDIRECT("1:"&amp;ROWS(Liste30)))),ROWS($9:34))),"")</f>
        <v/>
      </c>
      <c r="DZ35" s="175">
        <f t="shared" ca="1" si="62"/>
        <v>0</v>
      </c>
      <c r="EA35" s="175" t="str">
        <f t="shared" ca="1" si="63"/>
        <v/>
      </c>
      <c r="EB35" s="169" t="str">
        <f t="shared" ca="1" si="123"/>
        <v/>
      </c>
      <c r="EC35" s="169" t="str">
        <f t="array" aca="1" ref="EC35" ca="1">IF(ROWS($9:34)&lt;=COUNTIF(Condition31,"o"),INDEX(Liste31,SMALL(IF(Condition31="o",ROW(INDIRECT("1:"&amp;ROWS(Liste31)))),ROWS($9:34))),"")</f>
        <v/>
      </c>
      <c r="ED35" s="175">
        <f t="shared" ca="1" si="64"/>
        <v>0</v>
      </c>
      <c r="EE35" s="175" t="str">
        <f t="shared" ca="1" si="65"/>
        <v/>
      </c>
      <c r="EF35" s="169" t="str">
        <f t="shared" ca="1" si="124"/>
        <v/>
      </c>
      <c r="EG35" s="169" t="str">
        <f t="array" aca="1" ref="EG35" ca="1">IF(ROWS($9:34)&lt;=COUNTIF(Condition32,"o"),INDEX(Liste32,SMALL(IF(Condition32="o",ROW(INDIRECT("1:"&amp;ROWS(Liste32)))),ROWS($9:34))),"")</f>
        <v/>
      </c>
      <c r="EH35" s="175">
        <f t="shared" ca="1" si="66"/>
        <v>0</v>
      </c>
      <c r="EI35" s="175" t="str">
        <f t="shared" ca="1" si="67"/>
        <v/>
      </c>
      <c r="EJ35" s="169" t="str">
        <f t="shared" ca="1" si="125"/>
        <v/>
      </c>
      <c r="EK35" s="169" t="str">
        <f t="array" aca="1" ref="EK35" ca="1">IF(ROWS($9:34)&lt;=COUNTIF(Condition33,"o"),INDEX(Liste33,SMALL(IF(Condition33="o",ROW(INDIRECT("1:"&amp;ROWS(Liste33)))),ROWS($9:34))),"")</f>
        <v/>
      </c>
      <c r="EL35" s="175">
        <f t="shared" ca="1" si="68"/>
        <v>0</v>
      </c>
      <c r="EM35" s="175" t="str">
        <f t="shared" ca="1" si="69"/>
        <v/>
      </c>
      <c r="EN35" s="169" t="str">
        <f t="shared" ca="1" si="126"/>
        <v/>
      </c>
      <c r="EO35" s="169" t="str">
        <f t="array" aca="1" ref="EO35" ca="1">IF(ROWS($9:34)&lt;=COUNTIF(Condition34,"o"),INDEX(Liste34,SMALL(IF(Condition34="o",ROW(INDIRECT("1:"&amp;ROWS(Liste34)))),ROWS($9:34))),"")</f>
        <v/>
      </c>
      <c r="EP35" s="175">
        <f t="shared" ca="1" si="70"/>
        <v>0</v>
      </c>
      <c r="EQ35" s="175" t="str">
        <f t="shared" ca="1" si="71"/>
        <v/>
      </c>
      <c r="ER35" s="169" t="str">
        <f t="shared" ca="1" si="127"/>
        <v/>
      </c>
      <c r="ES35" s="169" t="str">
        <f t="array" aca="1" ref="ES35" ca="1">IF(ROWS($9:34)&lt;=COUNTIF(Condition35,"o"),INDEX(Liste35,SMALL(IF(Condition35="o",ROW(INDIRECT("1:"&amp;ROWS(Liste35)))),ROWS($9:34))),"")</f>
        <v/>
      </c>
      <c r="ET35" s="175">
        <f t="shared" ca="1" si="72"/>
        <v>0</v>
      </c>
      <c r="EU35" s="175" t="str">
        <f t="shared" ca="1" si="73"/>
        <v/>
      </c>
      <c r="EV35" s="169" t="str">
        <f t="shared" ca="1" si="128"/>
        <v/>
      </c>
      <c r="EW35" s="169" t="str">
        <f t="array" aca="1" ref="EW35" ca="1">IF(ROWS($9:34)&lt;=COUNTIF(Condition36,"o"),INDEX(Liste36,SMALL(IF(Condition36="o",ROW(INDIRECT("1:"&amp;ROWS(Liste36)))),ROWS($9:34))),"")</f>
        <v/>
      </c>
      <c r="EX35" s="175">
        <f t="shared" ca="1" si="74"/>
        <v>0</v>
      </c>
      <c r="EY35" s="175" t="str">
        <f t="shared" ca="1" si="75"/>
        <v/>
      </c>
      <c r="EZ35" s="169" t="str">
        <f t="shared" ca="1" si="85"/>
        <v/>
      </c>
      <c r="FA35" s="169" t="str">
        <f t="array" aca="1" ref="FA35" ca="1">IF(ROWS($9:34)&lt;=COUNTIF(Condition36,"o"),INDEX(Liste36,SMALL(IF(Condition36="o",ROW(INDIRECT("1:"&amp;ROWS(Liste36)))),ROWS($9:34))),"")</f>
        <v/>
      </c>
      <c r="FB35" s="175">
        <f t="shared" ca="1" si="76"/>
        <v>0</v>
      </c>
      <c r="FC35" s="175" t="str">
        <f t="shared" ca="1" si="77"/>
        <v/>
      </c>
      <c r="FD35" s="169" t="str">
        <f t="shared" ca="1" si="86"/>
        <v/>
      </c>
      <c r="FE35" s="169" t="str">
        <f t="array" aca="1" ref="FE35" ca="1">IF(ROWS($9:34)&lt;=COUNTIF(condition38,"o"),INDEX(liste38,SMALL(IF(condition38="o",ROW(INDIRECT("1:"&amp;ROWS(liste38)))),ROWS($9:34))),"")</f>
        <v/>
      </c>
      <c r="FF35" s="175">
        <f t="shared" ca="1" si="78"/>
        <v>0</v>
      </c>
      <c r="FG35" s="175" t="str">
        <f t="shared" ca="1" si="79"/>
        <v/>
      </c>
      <c r="FH35" s="169" t="str">
        <f t="shared" ca="1" si="87"/>
        <v/>
      </c>
      <c r="FI35" s="169" t="str">
        <f t="array" aca="1" ref="FI35" ca="1">IF(ROWS($9:34)&lt;=COUNTIF(Condition39,"o"),INDEX(Liste39,SMALL(IF(Condition39="o",ROW(INDIRECT("1:"&amp;ROWS(Liste39)))),ROWS($9:34))),"")</f>
        <v/>
      </c>
      <c r="FM35" s="1" t="s">
        <v>1211</v>
      </c>
      <c r="FN35" s="1" t="s">
        <v>1163</v>
      </c>
      <c r="FO35" s="180">
        <f>'Suivi objectifs'!D30</f>
        <v>0</v>
      </c>
      <c r="FP35" s="1366" t="str">
        <f>'Suivi objectifs'!C30</f>
        <v>Solaire PV</v>
      </c>
      <c r="FQ35" s="181" t="str">
        <f ca="1">IF(ISNA(VLOOKUP(FR35,Actions!$G$2:$AP$70,31,0)),"",VLOOKUP(FR35,Actions!$G$2:$AP$70,36,0))</f>
        <v/>
      </c>
      <c r="FR35" s="59" t="str">
        <f t="shared" ca="1" si="88"/>
        <v/>
      </c>
      <c r="FS35" s="287">
        <f t="shared" ca="1" si="80"/>
        <v>0</v>
      </c>
      <c r="FT35" s="181" t="str">
        <f ca="1">IF(ISNA(VLOOKUP(FU35,Actions!$G$2:$AP$70,31,0)),"",VLOOKUP(FU35,Actions!$G$2:$AP$70,36,0))</f>
        <v/>
      </c>
      <c r="FU35" s="59" t="str">
        <f t="shared" ca="1" si="89"/>
        <v/>
      </c>
      <c r="FV35" s="287">
        <f t="shared" ca="1" si="81"/>
        <v>0</v>
      </c>
      <c r="FW35" s="181" t="str">
        <f ca="1">IF(ISNA(VLOOKUP(FX35,Actions!$G$2:$AP$70,31,0)),"",VLOOKUP(FX35,Actions!$G$2:$AP$70,36,0))</f>
        <v/>
      </c>
      <c r="FX35" s="59" t="str">
        <f t="shared" ca="1" si="90"/>
        <v/>
      </c>
      <c r="FY35" s="287">
        <f t="shared" ca="1" si="82"/>
        <v>0</v>
      </c>
      <c r="FZ35" s="181" t="str">
        <f ca="1">IF(ISNA(VLOOKUP(GA35,Actions!$G$2:$AP$70,31,0)),"",VLOOKUP(GA35,Actions!$G$2:$AP$70,36,0))</f>
        <v/>
      </c>
      <c r="GA35" s="59" t="str">
        <f t="shared" ca="1" si="91"/>
        <v/>
      </c>
      <c r="GB35" s="287">
        <f t="shared" ca="1" si="83"/>
        <v>0</v>
      </c>
      <c r="GC35" s="181" t="str">
        <f ca="1">IF(ISNA(VLOOKUP(GD35,Actions!$G$2:$AP$70,31,0)),"",VLOOKUP(GD35,Actions!$G$2:$AP$70,36,0))</f>
        <v/>
      </c>
      <c r="GD35" s="59" t="str">
        <f t="shared" ca="1" si="92"/>
        <v/>
      </c>
      <c r="GE35" s="287">
        <f t="shared" ca="1" si="84"/>
        <v>0</v>
      </c>
      <c r="GF35" s="186">
        <f t="shared" ca="1" si="129"/>
        <v>0</v>
      </c>
      <c r="GG35" s="233"/>
    </row>
    <row r="36" spans="1:189" hidden="1">
      <c r="A36" s="1" t="s">
        <v>1212</v>
      </c>
      <c r="B36" s="1">
        <f>Actions!F29</f>
        <v>28</v>
      </c>
      <c r="C36" s="1">
        <f ca="1">Actions!G29</f>
        <v>0</v>
      </c>
      <c r="D36" s="1">
        <f ca="1">Actions!H29</f>
        <v>0</v>
      </c>
      <c r="E36" s="1" t="str">
        <f ca="1">Actions!I29</f>
        <v>-</v>
      </c>
      <c r="F36" s="1" t="str">
        <f t="shared" ca="1" si="0"/>
        <v>-</v>
      </c>
      <c r="G36" s="1" t="e">
        <f t="shared" ca="1" si="1"/>
        <v>#REF!</v>
      </c>
      <c r="I36" s="1">
        <v>28</v>
      </c>
      <c r="J36" s="175">
        <f t="shared" ca="1" si="2"/>
        <v>0</v>
      </c>
      <c r="K36" s="175" t="str">
        <f t="shared" ca="1" si="3"/>
        <v/>
      </c>
      <c r="L36" s="169" t="str">
        <f t="shared" ca="1" si="93"/>
        <v/>
      </c>
      <c r="M36" s="169" t="str">
        <f t="array" aca="1" ref="M36" ca="1">IF(ROWS($9:35)&lt;=COUNTIF(Condition1,"o"),INDEX(Liste1,SMALL(IF(Condition1="o",ROW(INDIRECT("1:"&amp;ROWS(Liste1)))),ROWS($9:35))),"")</f>
        <v/>
      </c>
      <c r="N36" s="175">
        <f t="shared" ca="1" si="4"/>
        <v>0</v>
      </c>
      <c r="O36" s="175" t="str">
        <f t="shared" ca="1" si="5"/>
        <v/>
      </c>
      <c r="P36" s="169" t="str">
        <f t="shared" ca="1" si="94"/>
        <v/>
      </c>
      <c r="Q36" s="169" t="str">
        <f t="array" aca="1" ref="Q36" ca="1">IF(ROWS($9:35)&lt;=COUNTIF(Condition2,"o"),INDEX(Liste2,SMALL(IF(Condition2="o",ROW(INDIRECT("1:"&amp;ROWS(Liste2)))),ROWS($9:35))),"")</f>
        <v/>
      </c>
      <c r="R36" s="175">
        <f t="shared" ca="1" si="6"/>
        <v>0</v>
      </c>
      <c r="S36" s="175" t="str">
        <f t="shared" ca="1" si="7"/>
        <v/>
      </c>
      <c r="T36" s="169" t="str">
        <f t="shared" ca="1" si="95"/>
        <v/>
      </c>
      <c r="U36" s="169" t="str">
        <f t="array" aca="1" ref="U36" ca="1">IF(ROWS($9:35)&lt;=COUNTIF(Condition3,"o"),INDEX(Liste3,SMALL(IF(Condition3="o",ROW(INDIRECT("1:"&amp;ROWS(Liste3)))),ROWS($9:35))),"")</f>
        <v/>
      </c>
      <c r="V36" s="175">
        <f t="shared" ca="1" si="8"/>
        <v>0</v>
      </c>
      <c r="W36" s="175" t="str">
        <f t="shared" ca="1" si="9"/>
        <v/>
      </c>
      <c r="X36" s="169" t="str">
        <f t="shared" ca="1" si="96"/>
        <v/>
      </c>
      <c r="Y36" s="169" t="str">
        <f t="array" aca="1" ref="Y36" ca="1">IF(ROWS($9:35)&lt;=COUNTIF(Condition4,"o"),INDEX(Liste4,SMALL(IF(Condition4="o",ROW(INDIRECT("1:"&amp;ROWS(Liste4)))),ROWS($9:35))),"")</f>
        <v/>
      </c>
      <c r="Z36" s="175">
        <f t="shared" ca="1" si="10"/>
        <v>0</v>
      </c>
      <c r="AA36" s="175" t="str">
        <f t="shared" ca="1" si="11"/>
        <v/>
      </c>
      <c r="AB36" s="169" t="str">
        <f t="shared" ca="1" si="97"/>
        <v/>
      </c>
      <c r="AC36" s="169" t="str">
        <f t="array" aca="1" ref="AC36" ca="1">IF(ROWS($9:35)&lt;=COUNTIF(Condition5,"o"),INDEX(Liste5,SMALL(IF(Condition5="o",ROW(INDIRECT("1:"&amp;ROWS(Liste5)))),ROWS($9:35))),"")</f>
        <v/>
      </c>
      <c r="AD36" s="175">
        <f t="shared" ca="1" si="12"/>
        <v>0</v>
      </c>
      <c r="AE36" s="175" t="str">
        <f t="shared" ca="1" si="13"/>
        <v/>
      </c>
      <c r="AF36" s="169" t="str">
        <f t="shared" ca="1" si="98"/>
        <v/>
      </c>
      <c r="AG36" s="169" t="str">
        <f t="array" aca="1" ref="AG36" ca="1">IF(ROWS($9:35)&lt;=COUNTIF(Condition6,"o"),INDEX(Liste6,SMALL(IF(Condition6="o",ROW(INDIRECT("1:"&amp;ROWS(Liste6)))),ROWS($9:35))),"")</f>
        <v/>
      </c>
      <c r="AH36" s="175">
        <f t="shared" ca="1" si="14"/>
        <v>0</v>
      </c>
      <c r="AI36" s="175" t="str">
        <f t="shared" ca="1" si="15"/>
        <v/>
      </c>
      <c r="AJ36" s="169" t="str">
        <f t="shared" ca="1" si="99"/>
        <v/>
      </c>
      <c r="AK36" s="169" t="str">
        <f t="array" aca="1" ref="AK36" ca="1">IF(ROWS($9:35)&lt;=COUNTIF(Condition7,"o"),INDEX(Liste7,SMALL(IF(Condition7="o",ROW(INDIRECT("1:"&amp;ROWS(Liste7)))),ROWS($9:35))),"")</f>
        <v/>
      </c>
      <c r="AL36" s="175">
        <f t="shared" ca="1" si="16"/>
        <v>0</v>
      </c>
      <c r="AM36" s="175" t="str">
        <f t="shared" ca="1" si="17"/>
        <v/>
      </c>
      <c r="AN36" s="169" t="str">
        <f t="shared" ca="1" si="100"/>
        <v/>
      </c>
      <c r="AO36" s="169" t="str">
        <f t="array" aca="1" ref="AO36" ca="1">IF(ROWS($9:35)&lt;=COUNTIF(Condition8,"o"),INDEX(Liste8,SMALL(IF(Condition8="o",ROW(INDIRECT("1:"&amp;ROWS(Liste8)))),ROWS($9:35))),"")</f>
        <v/>
      </c>
      <c r="AP36" s="175">
        <f t="shared" ca="1" si="18"/>
        <v>0</v>
      </c>
      <c r="AQ36" s="175" t="str">
        <f t="shared" ca="1" si="19"/>
        <v/>
      </c>
      <c r="AR36" s="169" t="str">
        <f t="shared" ca="1" si="101"/>
        <v/>
      </c>
      <c r="AS36" s="169" t="str">
        <f t="array" aca="1" ref="AS36" ca="1">IF(ROWS($9:35)&lt;=COUNTIF(Condition9,"o"),INDEX(Liste9,SMALL(IF(Condition9="o",ROW(INDIRECT("1:"&amp;ROWS(Liste9)))),ROWS($9:35))),"")</f>
        <v/>
      </c>
      <c r="AT36" s="175">
        <f t="shared" ca="1" si="20"/>
        <v>0</v>
      </c>
      <c r="AU36" s="175" t="str">
        <f t="shared" ca="1" si="21"/>
        <v/>
      </c>
      <c r="AV36" s="169" t="str">
        <f t="shared" ca="1" si="102"/>
        <v/>
      </c>
      <c r="AW36" s="169" t="str">
        <f t="array" aca="1" ref="AW36" ca="1">IF(ROWS($9:35)&lt;=COUNTIF(Condition10,"o"),INDEX(Liste10,SMALL(IF(Condition10="o",ROW(INDIRECT("1:"&amp;ROWS(Liste10)))),ROWS($9:35))),"")</f>
        <v/>
      </c>
      <c r="AX36" s="175">
        <f t="shared" ca="1" si="22"/>
        <v>0</v>
      </c>
      <c r="AY36" s="175" t="str">
        <f t="shared" ca="1" si="23"/>
        <v/>
      </c>
      <c r="AZ36" s="169" t="str">
        <f t="shared" ca="1" si="103"/>
        <v/>
      </c>
      <c r="BA36" s="169" t="str">
        <f t="array" aca="1" ref="BA36" ca="1">IF(ROWS($9:35)&lt;=COUNTIF(Condition11,"o"),INDEX(Liste11,SMALL(IF(Condition11="o",ROW(INDIRECT("1:"&amp;ROWS(Liste11)))),ROWS($9:35))),"")</f>
        <v/>
      </c>
      <c r="BB36" s="175">
        <f t="shared" ca="1" si="24"/>
        <v>0</v>
      </c>
      <c r="BC36" s="175" t="str">
        <f t="shared" ca="1" si="25"/>
        <v/>
      </c>
      <c r="BD36" s="169" t="str">
        <f t="shared" ca="1" si="104"/>
        <v/>
      </c>
      <c r="BE36" s="169" t="str">
        <f t="array" aca="1" ref="BE36" ca="1">IF(ROWS($9:35)&lt;=COUNTIF(Condition12,"o"),INDEX(Liste12,SMALL(IF(Condition12="o",ROW(INDIRECT("1:"&amp;ROWS(Liste12)))),ROWS($9:35))),"")</f>
        <v/>
      </c>
      <c r="BF36" s="175">
        <f t="shared" ca="1" si="26"/>
        <v>0</v>
      </c>
      <c r="BG36" s="175" t="str">
        <f t="shared" ca="1" si="27"/>
        <v/>
      </c>
      <c r="BH36" s="169" t="str">
        <f t="shared" ca="1" si="105"/>
        <v/>
      </c>
      <c r="BI36" s="169" t="str">
        <f t="array" aca="1" ref="BI36" ca="1">IF(ROWS($9:35)&lt;=COUNTIF(Condition13,"o"),INDEX(Liste13,SMALL(IF(Condition13="o",ROW(INDIRECT("1:"&amp;ROWS(Liste13)))),ROWS($9:35))),"")</f>
        <v/>
      </c>
      <c r="BJ36" s="175">
        <f t="shared" ca="1" si="28"/>
        <v>0</v>
      </c>
      <c r="BK36" s="175" t="str">
        <f t="shared" ca="1" si="29"/>
        <v/>
      </c>
      <c r="BL36" s="169" t="str">
        <f t="shared" ca="1" si="106"/>
        <v/>
      </c>
      <c r="BM36" s="169" t="str">
        <f t="array" aca="1" ref="BM36" ca="1">IF(ROWS($9:35)&lt;=COUNTIF(Condition14,"o"),INDEX(Liste14,SMALL(IF(Condition14="o",ROW(INDIRECT("1:"&amp;ROWS(Liste14)))),ROWS($9:35))),"")</f>
        <v/>
      </c>
      <c r="BN36" s="175">
        <f t="shared" ca="1" si="30"/>
        <v>0</v>
      </c>
      <c r="BO36" s="175" t="str">
        <f t="shared" ca="1" si="31"/>
        <v/>
      </c>
      <c r="BP36" s="169" t="str">
        <f t="shared" ca="1" si="107"/>
        <v/>
      </c>
      <c r="BQ36" s="169" t="str">
        <f t="array" aca="1" ref="BQ36" ca="1">IF(ROWS($9:35)&lt;=COUNTIF(Condition15,"o"),INDEX(Liste15,SMALL(IF(Condition15="o",ROW(INDIRECT("1:"&amp;ROWS(Liste15)))),ROWS($9:35))),"")</f>
        <v/>
      </c>
      <c r="BR36" s="175">
        <f t="shared" ca="1" si="32"/>
        <v>0</v>
      </c>
      <c r="BS36" s="175" t="str">
        <f t="shared" ca="1" si="33"/>
        <v/>
      </c>
      <c r="BT36" s="169" t="str">
        <f t="shared" ca="1" si="108"/>
        <v/>
      </c>
      <c r="BU36" s="169" t="str">
        <f t="array" aca="1" ref="BU36" ca="1">IF(ROWS($9:35)&lt;=COUNTIF(Condition16,"o"),INDEX(Liste16,SMALL(IF(Condition16="o",ROW(INDIRECT("1:"&amp;ROWS(Liste16)))),ROWS($9:35))),"")</f>
        <v/>
      </c>
      <c r="BV36" s="175">
        <f t="shared" ca="1" si="34"/>
        <v>0</v>
      </c>
      <c r="BW36" s="175" t="str">
        <f t="shared" ca="1" si="35"/>
        <v/>
      </c>
      <c r="BX36" s="169" t="str">
        <f t="shared" ca="1" si="109"/>
        <v/>
      </c>
      <c r="BY36" s="169" t="str">
        <f t="array" aca="1" ref="BY36" ca="1">IF(ROWS($9:35)&lt;=COUNTIF(Condition17,"o"),INDEX(Liste17,SMALL(IF(Condition17="o",ROW(INDIRECT("1:"&amp;ROWS(Liste17)))),ROWS($9:35))),"")</f>
        <v/>
      </c>
      <c r="BZ36" s="175">
        <f t="shared" ca="1" si="36"/>
        <v>0</v>
      </c>
      <c r="CA36" s="175" t="str">
        <f t="shared" ca="1" si="37"/>
        <v/>
      </c>
      <c r="CB36" s="169" t="str">
        <f t="shared" ca="1" si="110"/>
        <v/>
      </c>
      <c r="CC36" s="169" t="str">
        <f t="array" aca="1" ref="CC36" ca="1">IF(ROWS($9:35)&lt;=COUNTIF(Condition18,"o"),INDEX(Liste18,SMALL(IF(Condition18="o",ROW(INDIRECT("1:"&amp;ROWS(Liste18)))),ROWS($9:35))),"")</f>
        <v/>
      </c>
      <c r="CD36" s="175">
        <f t="shared" ca="1" si="38"/>
        <v>0</v>
      </c>
      <c r="CE36" s="175" t="str">
        <f t="shared" ca="1" si="39"/>
        <v/>
      </c>
      <c r="CF36" s="169" t="str">
        <f t="shared" ca="1" si="111"/>
        <v/>
      </c>
      <c r="CG36" s="169" t="str">
        <f t="array" aca="1" ref="CG36" ca="1">IF(ROWS($9:35)&lt;=COUNTIF(Condition19,"o"),INDEX(Liste19,SMALL(IF(Condition19="o",ROW(INDIRECT("1:"&amp;ROWS(Liste19)))),ROWS($9:35))),"")</f>
        <v/>
      </c>
      <c r="CH36" s="175">
        <f t="shared" ca="1" si="40"/>
        <v>0</v>
      </c>
      <c r="CI36" s="175" t="str">
        <f t="shared" ca="1" si="41"/>
        <v/>
      </c>
      <c r="CJ36" s="169" t="str">
        <f t="shared" ca="1" si="112"/>
        <v/>
      </c>
      <c r="CK36" s="169" t="str">
        <f t="array" aca="1" ref="CK36" ca="1">IF(ROWS($9:35)&lt;=COUNTIF(Condition20,"o"),INDEX(Liste20,SMALL(IF(Condition20="o",ROW(INDIRECT("1:"&amp;ROWS(Liste20)))),ROWS($9:35))),"")</f>
        <v/>
      </c>
      <c r="CL36" s="175">
        <f t="shared" ca="1" si="42"/>
        <v>0</v>
      </c>
      <c r="CM36" s="175" t="str">
        <f t="shared" ca="1" si="43"/>
        <v/>
      </c>
      <c r="CN36" s="169" t="str">
        <f t="shared" ca="1" si="113"/>
        <v/>
      </c>
      <c r="CO36" s="169" t="str">
        <f t="array" aca="1" ref="CO36" ca="1">IF(ROWS($9:35)&lt;=COUNTIF(Condition21,"o"),INDEX(Liste21,SMALL(IF(Condition21="o",ROW(INDIRECT("1:"&amp;ROWS(Liste21)))),ROWS($9:35))),"")</f>
        <v/>
      </c>
      <c r="CP36" s="175">
        <f t="shared" ca="1" si="44"/>
        <v>0</v>
      </c>
      <c r="CQ36" s="175" t="str">
        <f t="shared" ca="1" si="45"/>
        <v/>
      </c>
      <c r="CR36" s="169" t="str">
        <f t="shared" ca="1" si="114"/>
        <v/>
      </c>
      <c r="CS36" s="169" t="str">
        <f t="array" aca="1" ref="CS36" ca="1">IF(ROWS($9:35)&lt;=COUNTIF(Condition22,"o"),INDEX(Liste22,SMALL(IF(Condition22="o",ROW(INDIRECT("1:"&amp;ROWS(Liste22)))),ROWS($9:35))),"")</f>
        <v/>
      </c>
      <c r="CT36" s="175">
        <f t="shared" ca="1" si="46"/>
        <v>0</v>
      </c>
      <c r="CU36" s="175" t="str">
        <f t="shared" ca="1" si="47"/>
        <v/>
      </c>
      <c r="CV36" s="169" t="str">
        <f t="shared" ca="1" si="115"/>
        <v/>
      </c>
      <c r="CW36" s="169" t="str">
        <f t="array" aca="1" ref="CW36" ca="1">IF(ROWS($9:35)&lt;=COUNTIF(Condition23,"o"),INDEX(Liste23,SMALL(IF(Condition23="o",ROW(INDIRECT("1:"&amp;ROWS(Liste23)))),ROWS($9:35))),"")</f>
        <v/>
      </c>
      <c r="CX36" s="175">
        <f t="shared" ca="1" si="48"/>
        <v>0</v>
      </c>
      <c r="CY36" s="175" t="str">
        <f t="shared" ca="1" si="49"/>
        <v/>
      </c>
      <c r="CZ36" s="169" t="str">
        <f t="shared" ca="1" si="116"/>
        <v/>
      </c>
      <c r="DA36" s="169" t="str">
        <f t="array" aca="1" ref="DA36" ca="1">IF(ROWS($9:35)&lt;=COUNTIF(Condition24,"o"),INDEX(Liste24,SMALL(IF(Condition24="o",ROW(INDIRECT("1:"&amp;ROWS(Liste24)))),ROWS($9:35))),"")</f>
        <v/>
      </c>
      <c r="DB36" s="175">
        <f t="shared" ca="1" si="50"/>
        <v>0</v>
      </c>
      <c r="DC36" s="175" t="str">
        <f t="shared" ca="1" si="51"/>
        <v/>
      </c>
      <c r="DD36" s="169" t="str">
        <f t="shared" ca="1" si="117"/>
        <v/>
      </c>
      <c r="DE36" s="169" t="str">
        <f t="array" aca="1" ref="DE36" ca="1">IF(ROWS($9:35)&lt;=COUNTIF(Condition25,"o"),INDEX(Liste25,SMALL(IF(Condition25="o",ROW(INDIRECT("1:"&amp;ROWS(Liste25)))),ROWS($9:35))),"")</f>
        <v/>
      </c>
      <c r="DF36" s="175">
        <f t="shared" ca="1" si="52"/>
        <v>0</v>
      </c>
      <c r="DG36" s="175" t="str">
        <f t="shared" ca="1" si="53"/>
        <v/>
      </c>
      <c r="DH36" s="169" t="str">
        <f t="shared" ca="1" si="118"/>
        <v/>
      </c>
      <c r="DI36" s="169" t="str">
        <f t="array" aca="1" ref="DI36" ca="1">IF(ROWS($9:35)&lt;=COUNTIF(Condition26,"o"),INDEX(Liste26,SMALL(IF(Condition26="o",ROW(INDIRECT("1:"&amp;ROWS(Liste26)))),ROWS($9:35))),"")</f>
        <v/>
      </c>
      <c r="DJ36" s="175">
        <f t="shared" ca="1" si="54"/>
        <v>0</v>
      </c>
      <c r="DK36" s="175" t="str">
        <f t="shared" ca="1" si="55"/>
        <v/>
      </c>
      <c r="DL36" s="169" t="str">
        <f t="shared" ca="1" si="119"/>
        <v/>
      </c>
      <c r="DM36" s="169" t="str">
        <f t="array" aca="1" ref="DM36" ca="1">IF(ROWS($9:35)&lt;=COUNTIF(Condition27,"o"),INDEX(Liste27,SMALL(IF(Condition27="o",ROW(INDIRECT("1:"&amp;ROWS(Liste27)))),ROWS($9:35))),"")</f>
        <v/>
      </c>
      <c r="DN36" s="175">
        <f t="shared" ca="1" si="56"/>
        <v>0</v>
      </c>
      <c r="DO36" s="175" t="str">
        <f t="shared" ca="1" si="57"/>
        <v/>
      </c>
      <c r="DP36" s="169" t="str">
        <f t="shared" ca="1" si="120"/>
        <v/>
      </c>
      <c r="DQ36" s="169" t="str">
        <f t="array" aca="1" ref="DQ36" ca="1">IF(ROWS($9:35)&lt;=COUNTIF(Condition28,"o"),INDEX(Liste28,SMALL(IF(Condition28="o",ROW(INDIRECT("1:"&amp;ROWS(Liste28)))),ROWS($9:35))),"")</f>
        <v/>
      </c>
      <c r="DR36" s="175">
        <f t="shared" ca="1" si="58"/>
        <v>0</v>
      </c>
      <c r="DS36" s="175" t="str">
        <f t="shared" ca="1" si="59"/>
        <v/>
      </c>
      <c r="DT36" s="169" t="str">
        <f t="shared" ca="1" si="121"/>
        <v/>
      </c>
      <c r="DU36" s="169" t="str">
        <f t="array" aca="1" ref="DU36" ca="1">IF(ROWS($9:35)&lt;=COUNTIF(Condition29,"o"),INDEX(Liste29,SMALL(IF(Condition29="o",ROW(INDIRECT("1:"&amp;ROWS(Liste29)))),ROWS($9:35))),"")</f>
        <v/>
      </c>
      <c r="DV36" s="175">
        <f t="shared" ca="1" si="60"/>
        <v>0</v>
      </c>
      <c r="DW36" s="175" t="str">
        <f t="shared" ca="1" si="61"/>
        <v/>
      </c>
      <c r="DX36" s="169" t="str">
        <f t="shared" ca="1" si="122"/>
        <v/>
      </c>
      <c r="DY36" s="169" t="str">
        <f t="array" aca="1" ref="DY36" ca="1">IF(ROWS($9:35)&lt;=COUNTIF(Condition30,"o"),INDEX(Liste30,SMALL(IF(Condition30="o",ROW(INDIRECT("1:"&amp;ROWS(Liste30)))),ROWS($9:35))),"")</f>
        <v/>
      </c>
      <c r="DZ36" s="175">
        <f t="shared" ca="1" si="62"/>
        <v>0</v>
      </c>
      <c r="EA36" s="175" t="str">
        <f t="shared" ca="1" si="63"/>
        <v/>
      </c>
      <c r="EB36" s="169" t="str">
        <f t="shared" ca="1" si="123"/>
        <v/>
      </c>
      <c r="EC36" s="169" t="str">
        <f t="array" aca="1" ref="EC36" ca="1">IF(ROWS($9:35)&lt;=COUNTIF(Condition31,"o"),INDEX(Liste31,SMALL(IF(Condition31="o",ROW(INDIRECT("1:"&amp;ROWS(Liste31)))),ROWS($9:35))),"")</f>
        <v/>
      </c>
      <c r="ED36" s="175">
        <f t="shared" ca="1" si="64"/>
        <v>0</v>
      </c>
      <c r="EE36" s="175" t="str">
        <f t="shared" ca="1" si="65"/>
        <v/>
      </c>
      <c r="EF36" s="169" t="str">
        <f t="shared" ca="1" si="124"/>
        <v/>
      </c>
      <c r="EG36" s="169" t="str">
        <f t="array" aca="1" ref="EG36" ca="1">IF(ROWS($9:35)&lt;=COUNTIF(Condition32,"o"),INDEX(Liste32,SMALL(IF(Condition32="o",ROW(INDIRECT("1:"&amp;ROWS(Liste32)))),ROWS($9:35))),"")</f>
        <v/>
      </c>
      <c r="EH36" s="175">
        <f t="shared" ca="1" si="66"/>
        <v>0</v>
      </c>
      <c r="EI36" s="175" t="str">
        <f t="shared" ca="1" si="67"/>
        <v/>
      </c>
      <c r="EJ36" s="169" t="str">
        <f t="shared" ca="1" si="125"/>
        <v/>
      </c>
      <c r="EK36" s="169" t="str">
        <f t="array" aca="1" ref="EK36" ca="1">IF(ROWS($9:35)&lt;=COUNTIF(Condition33,"o"),INDEX(Liste33,SMALL(IF(Condition33="o",ROW(INDIRECT("1:"&amp;ROWS(Liste33)))),ROWS($9:35))),"")</f>
        <v/>
      </c>
      <c r="EL36" s="175">
        <f t="shared" ca="1" si="68"/>
        <v>0</v>
      </c>
      <c r="EM36" s="175" t="str">
        <f t="shared" ca="1" si="69"/>
        <v/>
      </c>
      <c r="EN36" s="169" t="str">
        <f t="shared" ca="1" si="126"/>
        <v/>
      </c>
      <c r="EO36" s="169" t="str">
        <f t="array" aca="1" ref="EO36" ca="1">IF(ROWS($9:35)&lt;=COUNTIF(Condition34,"o"),INDEX(Liste34,SMALL(IF(Condition34="o",ROW(INDIRECT("1:"&amp;ROWS(Liste34)))),ROWS($9:35))),"")</f>
        <v/>
      </c>
      <c r="EP36" s="175">
        <f t="shared" ca="1" si="70"/>
        <v>0</v>
      </c>
      <c r="EQ36" s="175" t="str">
        <f t="shared" ca="1" si="71"/>
        <v/>
      </c>
      <c r="ER36" s="169" t="str">
        <f t="shared" ca="1" si="127"/>
        <v/>
      </c>
      <c r="ES36" s="169" t="str">
        <f t="array" aca="1" ref="ES36" ca="1">IF(ROWS($9:35)&lt;=COUNTIF(Condition35,"o"),INDEX(Liste35,SMALL(IF(Condition35="o",ROW(INDIRECT("1:"&amp;ROWS(Liste35)))),ROWS($9:35))),"")</f>
        <v/>
      </c>
      <c r="ET36" s="175">
        <f t="shared" ca="1" si="72"/>
        <v>0</v>
      </c>
      <c r="EU36" s="175" t="str">
        <f t="shared" ca="1" si="73"/>
        <v/>
      </c>
      <c r="EV36" s="169" t="str">
        <f t="shared" ca="1" si="128"/>
        <v/>
      </c>
      <c r="EW36" s="169" t="str">
        <f t="array" aca="1" ref="EW36" ca="1">IF(ROWS($9:35)&lt;=COUNTIF(Condition36,"o"),INDEX(Liste36,SMALL(IF(Condition36="o",ROW(INDIRECT("1:"&amp;ROWS(Liste36)))),ROWS($9:35))),"")</f>
        <v/>
      </c>
      <c r="EX36" s="175">
        <f t="shared" ca="1" si="74"/>
        <v>0</v>
      </c>
      <c r="EY36" s="175" t="str">
        <f t="shared" ca="1" si="75"/>
        <v/>
      </c>
      <c r="EZ36" s="169" t="str">
        <f t="shared" ca="1" si="85"/>
        <v/>
      </c>
      <c r="FA36" s="169" t="str">
        <f t="array" aca="1" ref="FA36" ca="1">IF(ROWS($9:35)&lt;=COUNTIF(Condition36,"o"),INDEX(Liste36,SMALL(IF(Condition36="o",ROW(INDIRECT("1:"&amp;ROWS(Liste36)))),ROWS($9:35))),"")</f>
        <v/>
      </c>
      <c r="FB36" s="175">
        <f t="shared" ca="1" si="76"/>
        <v>0</v>
      </c>
      <c r="FC36" s="175" t="str">
        <f t="shared" ca="1" si="77"/>
        <v/>
      </c>
      <c r="FD36" s="169" t="str">
        <f t="shared" ca="1" si="86"/>
        <v/>
      </c>
      <c r="FE36" s="169" t="str">
        <f t="array" aca="1" ref="FE36" ca="1">IF(ROWS($9:35)&lt;=COUNTIF(condition38,"o"),INDEX(liste38,SMALL(IF(condition38="o",ROW(INDIRECT("1:"&amp;ROWS(liste38)))),ROWS($9:35))),"")</f>
        <v/>
      </c>
      <c r="FF36" s="175">
        <f t="shared" ca="1" si="78"/>
        <v>0</v>
      </c>
      <c r="FG36" s="175" t="str">
        <f t="shared" ca="1" si="79"/>
        <v/>
      </c>
      <c r="FH36" s="169" t="str">
        <f t="shared" ca="1" si="87"/>
        <v/>
      </c>
      <c r="FI36" s="169" t="str">
        <f t="array" aca="1" ref="FI36" ca="1">IF(ROWS($9:35)&lt;=COUNTIF(Condition39,"o"),INDEX(Liste39,SMALL(IF(Condition39="o",ROW(INDIRECT("1:"&amp;ROWS(Liste39)))),ROWS($9:35))),"")</f>
        <v/>
      </c>
      <c r="FM36" s="1" t="s">
        <v>1213</v>
      </c>
      <c r="FN36" s="1" t="s">
        <v>1164</v>
      </c>
      <c r="FO36" s="180">
        <f>'Suivi objectifs'!D31</f>
        <v>0</v>
      </c>
      <c r="FP36" s="1366" t="str">
        <f>'Suivi objectifs'!C31</f>
        <v>Solaire thermique</v>
      </c>
      <c r="FQ36" s="181" t="str">
        <f ca="1">IF(ISNA(VLOOKUP(FR36,Actions!$G$2:$AP$70,31,0)),"",VLOOKUP(FR36,Actions!$G$2:$AP$70,36,0))</f>
        <v/>
      </c>
      <c r="FR36" s="59" t="str">
        <f t="shared" ca="1" si="88"/>
        <v/>
      </c>
      <c r="FS36" s="287">
        <f t="shared" ca="1" si="80"/>
        <v>0</v>
      </c>
      <c r="FT36" s="181" t="str">
        <f ca="1">IF(ISNA(VLOOKUP(FU36,Actions!$G$2:$AP$70,31,0)),"",VLOOKUP(FU36,Actions!$G$2:$AP$70,36,0))</f>
        <v/>
      </c>
      <c r="FU36" s="59" t="str">
        <f t="shared" ca="1" si="89"/>
        <v/>
      </c>
      <c r="FV36" s="287">
        <f t="shared" ca="1" si="81"/>
        <v>0</v>
      </c>
      <c r="FW36" s="181" t="str">
        <f ca="1">IF(ISNA(VLOOKUP(FX36,Actions!$G$2:$AP$70,31,0)),"",VLOOKUP(FX36,Actions!$G$2:$AP$70,36,0))</f>
        <v/>
      </c>
      <c r="FX36" s="59" t="str">
        <f t="shared" ca="1" si="90"/>
        <v/>
      </c>
      <c r="FY36" s="287">
        <f t="shared" ca="1" si="82"/>
        <v>0</v>
      </c>
      <c r="FZ36" s="181" t="str">
        <f ca="1">IF(ISNA(VLOOKUP(GA36,Actions!$G$2:$AP$70,31,0)),"",VLOOKUP(GA36,Actions!$G$2:$AP$70,36,0))</f>
        <v/>
      </c>
      <c r="GA36" s="59" t="str">
        <f t="shared" ca="1" si="91"/>
        <v/>
      </c>
      <c r="GB36" s="287">
        <f t="shared" ca="1" si="83"/>
        <v>0</v>
      </c>
      <c r="GC36" s="181" t="str">
        <f ca="1">IF(ISNA(VLOOKUP(GD36,Actions!$G$2:$AP$70,31,0)),"",VLOOKUP(GD36,Actions!$G$2:$AP$70,36,0))</f>
        <v/>
      </c>
      <c r="GD36" s="59" t="str">
        <f t="shared" ca="1" si="92"/>
        <v/>
      </c>
      <c r="GE36" s="287">
        <f t="shared" ca="1" si="84"/>
        <v>0</v>
      </c>
      <c r="GF36" s="186">
        <f t="shared" ca="1" si="129"/>
        <v>0</v>
      </c>
      <c r="GG36" s="233"/>
    </row>
    <row r="37" spans="1:189" hidden="1">
      <c r="A37" s="1" t="s">
        <v>1214</v>
      </c>
      <c r="B37" s="1">
        <f>Actions!F30</f>
        <v>29</v>
      </c>
      <c r="C37" s="1">
        <f ca="1">Actions!G30</f>
        <v>0</v>
      </c>
      <c r="D37" s="1">
        <f ca="1">Actions!H30</f>
        <v>0</v>
      </c>
      <c r="E37" s="1" t="str">
        <f ca="1">Actions!I30</f>
        <v>-</v>
      </c>
      <c r="F37" s="1" t="str">
        <f t="shared" ca="1" si="0"/>
        <v>-</v>
      </c>
      <c r="G37" s="1" t="e">
        <f t="shared" ca="1" si="1"/>
        <v>#REF!</v>
      </c>
      <c r="I37" s="1">
        <v>29</v>
      </c>
      <c r="J37" s="175">
        <f t="shared" ca="1" si="2"/>
        <v>0</v>
      </c>
      <c r="K37" s="175" t="str">
        <f t="shared" ca="1" si="3"/>
        <v/>
      </c>
      <c r="L37" s="169" t="str">
        <f t="shared" ca="1" si="93"/>
        <v/>
      </c>
      <c r="M37" s="169" t="str">
        <f t="array" aca="1" ref="M37" ca="1">IF(ROWS($9:36)&lt;=COUNTIF(Condition1,"o"),INDEX(Liste1,SMALL(IF(Condition1="o",ROW(INDIRECT("1:"&amp;ROWS(Liste1)))),ROWS($9:36))),"")</f>
        <v/>
      </c>
      <c r="N37" s="175">
        <f t="shared" ca="1" si="4"/>
        <v>0</v>
      </c>
      <c r="O37" s="175" t="str">
        <f t="shared" ca="1" si="5"/>
        <v/>
      </c>
      <c r="P37" s="169" t="str">
        <f t="shared" ca="1" si="94"/>
        <v/>
      </c>
      <c r="Q37" s="169" t="str">
        <f t="array" aca="1" ref="Q37" ca="1">IF(ROWS($9:36)&lt;=COUNTIF(Condition2,"o"),INDEX(Liste2,SMALL(IF(Condition2="o",ROW(INDIRECT("1:"&amp;ROWS(Liste2)))),ROWS($9:36))),"")</f>
        <v/>
      </c>
      <c r="R37" s="175">
        <f t="shared" ca="1" si="6"/>
        <v>0</v>
      </c>
      <c r="S37" s="175" t="str">
        <f t="shared" ca="1" si="7"/>
        <v/>
      </c>
      <c r="T37" s="169" t="str">
        <f t="shared" ca="1" si="95"/>
        <v/>
      </c>
      <c r="U37" s="169" t="str">
        <f t="array" aca="1" ref="U37" ca="1">IF(ROWS($9:36)&lt;=COUNTIF(Condition3,"o"),INDEX(Liste3,SMALL(IF(Condition3="o",ROW(INDIRECT("1:"&amp;ROWS(Liste3)))),ROWS($9:36))),"")</f>
        <v/>
      </c>
      <c r="V37" s="175">
        <f t="shared" ca="1" si="8"/>
        <v>0</v>
      </c>
      <c r="W37" s="175" t="str">
        <f t="shared" ca="1" si="9"/>
        <v/>
      </c>
      <c r="X37" s="169" t="str">
        <f t="shared" ca="1" si="96"/>
        <v/>
      </c>
      <c r="Y37" s="169" t="str">
        <f t="array" aca="1" ref="Y37" ca="1">IF(ROWS($9:36)&lt;=COUNTIF(Condition4,"o"),INDEX(Liste4,SMALL(IF(Condition4="o",ROW(INDIRECT("1:"&amp;ROWS(Liste4)))),ROWS($9:36))),"")</f>
        <v/>
      </c>
      <c r="Z37" s="175">
        <f t="shared" ca="1" si="10"/>
        <v>0</v>
      </c>
      <c r="AA37" s="175" t="str">
        <f t="shared" ca="1" si="11"/>
        <v/>
      </c>
      <c r="AB37" s="169" t="str">
        <f t="shared" ca="1" si="97"/>
        <v/>
      </c>
      <c r="AC37" s="169" t="str">
        <f t="array" aca="1" ref="AC37" ca="1">IF(ROWS($9:36)&lt;=COUNTIF(Condition5,"o"),INDEX(Liste5,SMALL(IF(Condition5="o",ROW(INDIRECT("1:"&amp;ROWS(Liste5)))),ROWS($9:36))),"")</f>
        <v/>
      </c>
      <c r="AD37" s="175">
        <f t="shared" ca="1" si="12"/>
        <v>0</v>
      </c>
      <c r="AE37" s="175" t="str">
        <f t="shared" ca="1" si="13"/>
        <v/>
      </c>
      <c r="AF37" s="169" t="str">
        <f t="shared" ca="1" si="98"/>
        <v/>
      </c>
      <c r="AG37" s="169" t="str">
        <f t="array" aca="1" ref="AG37" ca="1">IF(ROWS($9:36)&lt;=COUNTIF(Condition6,"o"),INDEX(Liste6,SMALL(IF(Condition6="o",ROW(INDIRECT("1:"&amp;ROWS(Liste6)))),ROWS($9:36))),"")</f>
        <v/>
      </c>
      <c r="AH37" s="175">
        <f t="shared" ca="1" si="14"/>
        <v>0</v>
      </c>
      <c r="AI37" s="175" t="str">
        <f t="shared" ca="1" si="15"/>
        <v/>
      </c>
      <c r="AJ37" s="169" t="str">
        <f t="shared" ca="1" si="99"/>
        <v/>
      </c>
      <c r="AK37" s="169" t="str">
        <f t="array" aca="1" ref="AK37" ca="1">IF(ROWS($9:36)&lt;=COUNTIF(Condition7,"o"),INDEX(Liste7,SMALL(IF(Condition7="o",ROW(INDIRECT("1:"&amp;ROWS(Liste7)))),ROWS($9:36))),"")</f>
        <v/>
      </c>
      <c r="AL37" s="175">
        <f t="shared" ca="1" si="16"/>
        <v>0</v>
      </c>
      <c r="AM37" s="175" t="str">
        <f t="shared" ca="1" si="17"/>
        <v/>
      </c>
      <c r="AN37" s="169" t="str">
        <f t="shared" ca="1" si="100"/>
        <v/>
      </c>
      <c r="AO37" s="169" t="str">
        <f t="array" aca="1" ref="AO37" ca="1">IF(ROWS($9:36)&lt;=COUNTIF(Condition8,"o"),INDEX(Liste8,SMALL(IF(Condition8="o",ROW(INDIRECT("1:"&amp;ROWS(Liste8)))),ROWS($9:36))),"")</f>
        <v/>
      </c>
      <c r="AP37" s="175">
        <f t="shared" ca="1" si="18"/>
        <v>0</v>
      </c>
      <c r="AQ37" s="175" t="str">
        <f t="shared" ca="1" si="19"/>
        <v/>
      </c>
      <c r="AR37" s="169" t="str">
        <f t="shared" ca="1" si="101"/>
        <v/>
      </c>
      <c r="AS37" s="169" t="str">
        <f t="array" aca="1" ref="AS37" ca="1">IF(ROWS($9:36)&lt;=COUNTIF(Condition9,"o"),INDEX(Liste9,SMALL(IF(Condition9="o",ROW(INDIRECT("1:"&amp;ROWS(Liste9)))),ROWS($9:36))),"")</f>
        <v/>
      </c>
      <c r="AT37" s="175">
        <f t="shared" ca="1" si="20"/>
        <v>0</v>
      </c>
      <c r="AU37" s="175" t="str">
        <f t="shared" ca="1" si="21"/>
        <v/>
      </c>
      <c r="AV37" s="169" t="str">
        <f t="shared" ca="1" si="102"/>
        <v/>
      </c>
      <c r="AW37" s="169" t="str">
        <f t="array" aca="1" ref="AW37" ca="1">IF(ROWS($9:36)&lt;=COUNTIF(Condition10,"o"),INDEX(Liste10,SMALL(IF(Condition10="o",ROW(INDIRECT("1:"&amp;ROWS(Liste10)))),ROWS($9:36))),"")</f>
        <v/>
      </c>
      <c r="AX37" s="175">
        <f t="shared" ca="1" si="22"/>
        <v>0</v>
      </c>
      <c r="AY37" s="175" t="str">
        <f t="shared" ca="1" si="23"/>
        <v/>
      </c>
      <c r="AZ37" s="169" t="str">
        <f t="shared" ca="1" si="103"/>
        <v/>
      </c>
      <c r="BA37" s="169" t="str">
        <f t="array" aca="1" ref="BA37" ca="1">IF(ROWS($9:36)&lt;=COUNTIF(Condition11,"o"),INDEX(Liste11,SMALL(IF(Condition11="o",ROW(INDIRECT("1:"&amp;ROWS(Liste11)))),ROWS($9:36))),"")</f>
        <v/>
      </c>
      <c r="BB37" s="175">
        <f t="shared" ca="1" si="24"/>
        <v>0</v>
      </c>
      <c r="BC37" s="175" t="str">
        <f t="shared" ca="1" si="25"/>
        <v/>
      </c>
      <c r="BD37" s="169" t="str">
        <f t="shared" ca="1" si="104"/>
        <v/>
      </c>
      <c r="BE37" s="169" t="str">
        <f t="array" aca="1" ref="BE37" ca="1">IF(ROWS($9:36)&lt;=COUNTIF(Condition12,"o"),INDEX(Liste12,SMALL(IF(Condition12="o",ROW(INDIRECT("1:"&amp;ROWS(Liste12)))),ROWS($9:36))),"")</f>
        <v/>
      </c>
      <c r="BF37" s="175">
        <f t="shared" ca="1" si="26"/>
        <v>0</v>
      </c>
      <c r="BG37" s="175" t="str">
        <f t="shared" ca="1" si="27"/>
        <v/>
      </c>
      <c r="BH37" s="169" t="str">
        <f t="shared" ca="1" si="105"/>
        <v/>
      </c>
      <c r="BI37" s="169" t="str">
        <f t="array" aca="1" ref="BI37" ca="1">IF(ROWS($9:36)&lt;=COUNTIF(Condition13,"o"),INDEX(Liste13,SMALL(IF(Condition13="o",ROW(INDIRECT("1:"&amp;ROWS(Liste13)))),ROWS($9:36))),"")</f>
        <v/>
      </c>
      <c r="BJ37" s="175">
        <f t="shared" ca="1" si="28"/>
        <v>0</v>
      </c>
      <c r="BK37" s="175" t="str">
        <f t="shared" ca="1" si="29"/>
        <v/>
      </c>
      <c r="BL37" s="169" t="str">
        <f t="shared" ca="1" si="106"/>
        <v/>
      </c>
      <c r="BM37" s="169" t="str">
        <f t="array" aca="1" ref="BM37" ca="1">IF(ROWS($9:36)&lt;=COUNTIF(Condition14,"o"),INDEX(Liste14,SMALL(IF(Condition14="o",ROW(INDIRECT("1:"&amp;ROWS(Liste14)))),ROWS($9:36))),"")</f>
        <v/>
      </c>
      <c r="BN37" s="175">
        <f t="shared" ca="1" si="30"/>
        <v>0</v>
      </c>
      <c r="BO37" s="175" t="str">
        <f t="shared" ca="1" si="31"/>
        <v/>
      </c>
      <c r="BP37" s="169" t="str">
        <f t="shared" ca="1" si="107"/>
        <v/>
      </c>
      <c r="BQ37" s="169" t="str">
        <f t="array" aca="1" ref="BQ37" ca="1">IF(ROWS($9:36)&lt;=COUNTIF(Condition15,"o"),INDEX(Liste15,SMALL(IF(Condition15="o",ROW(INDIRECT("1:"&amp;ROWS(Liste15)))),ROWS($9:36))),"")</f>
        <v/>
      </c>
      <c r="BR37" s="175">
        <f t="shared" ca="1" si="32"/>
        <v>0</v>
      </c>
      <c r="BS37" s="175" t="str">
        <f t="shared" ca="1" si="33"/>
        <v/>
      </c>
      <c r="BT37" s="169" t="str">
        <f t="shared" ca="1" si="108"/>
        <v/>
      </c>
      <c r="BU37" s="169" t="str">
        <f t="array" aca="1" ref="BU37" ca="1">IF(ROWS($9:36)&lt;=COUNTIF(Condition16,"o"),INDEX(Liste16,SMALL(IF(Condition16="o",ROW(INDIRECT("1:"&amp;ROWS(Liste16)))),ROWS($9:36))),"")</f>
        <v/>
      </c>
      <c r="BV37" s="175">
        <f t="shared" ca="1" si="34"/>
        <v>0</v>
      </c>
      <c r="BW37" s="175" t="str">
        <f t="shared" ca="1" si="35"/>
        <v/>
      </c>
      <c r="BX37" s="169" t="str">
        <f t="shared" ca="1" si="109"/>
        <v/>
      </c>
      <c r="BY37" s="169" t="str">
        <f t="array" aca="1" ref="BY37" ca="1">IF(ROWS($9:36)&lt;=COUNTIF(Condition17,"o"),INDEX(Liste17,SMALL(IF(Condition17="o",ROW(INDIRECT("1:"&amp;ROWS(Liste17)))),ROWS($9:36))),"")</f>
        <v/>
      </c>
      <c r="BZ37" s="175">
        <f t="shared" ca="1" si="36"/>
        <v>0</v>
      </c>
      <c r="CA37" s="175" t="str">
        <f t="shared" ca="1" si="37"/>
        <v/>
      </c>
      <c r="CB37" s="169" t="str">
        <f t="shared" ca="1" si="110"/>
        <v/>
      </c>
      <c r="CC37" s="169" t="str">
        <f t="array" aca="1" ref="CC37" ca="1">IF(ROWS($9:36)&lt;=COUNTIF(Condition18,"o"),INDEX(Liste18,SMALL(IF(Condition18="o",ROW(INDIRECT("1:"&amp;ROWS(Liste18)))),ROWS($9:36))),"")</f>
        <v/>
      </c>
      <c r="CD37" s="175">
        <f t="shared" ca="1" si="38"/>
        <v>0</v>
      </c>
      <c r="CE37" s="175" t="str">
        <f t="shared" ca="1" si="39"/>
        <v/>
      </c>
      <c r="CF37" s="169" t="str">
        <f t="shared" ca="1" si="111"/>
        <v/>
      </c>
      <c r="CG37" s="169" t="str">
        <f t="array" aca="1" ref="CG37" ca="1">IF(ROWS($9:36)&lt;=COUNTIF(Condition19,"o"),INDEX(Liste19,SMALL(IF(Condition19="o",ROW(INDIRECT("1:"&amp;ROWS(Liste19)))),ROWS($9:36))),"")</f>
        <v/>
      </c>
      <c r="CH37" s="175">
        <f t="shared" ca="1" si="40"/>
        <v>0</v>
      </c>
      <c r="CI37" s="175" t="str">
        <f t="shared" ca="1" si="41"/>
        <v/>
      </c>
      <c r="CJ37" s="169" t="str">
        <f t="shared" ca="1" si="112"/>
        <v/>
      </c>
      <c r="CK37" s="169" t="str">
        <f t="array" aca="1" ref="CK37" ca="1">IF(ROWS($9:36)&lt;=COUNTIF(Condition20,"o"),INDEX(Liste20,SMALL(IF(Condition20="o",ROW(INDIRECT("1:"&amp;ROWS(Liste20)))),ROWS($9:36))),"")</f>
        <v/>
      </c>
      <c r="CL37" s="175">
        <f t="shared" ca="1" si="42"/>
        <v>0</v>
      </c>
      <c r="CM37" s="175" t="str">
        <f t="shared" ca="1" si="43"/>
        <v/>
      </c>
      <c r="CN37" s="169" t="str">
        <f t="shared" ca="1" si="113"/>
        <v/>
      </c>
      <c r="CO37" s="169" t="str">
        <f t="array" aca="1" ref="CO37" ca="1">IF(ROWS($9:36)&lt;=COUNTIF(Condition21,"o"),INDEX(Liste21,SMALL(IF(Condition21="o",ROW(INDIRECT("1:"&amp;ROWS(Liste21)))),ROWS($9:36))),"")</f>
        <v/>
      </c>
      <c r="CP37" s="175">
        <f t="shared" ca="1" si="44"/>
        <v>0</v>
      </c>
      <c r="CQ37" s="175" t="str">
        <f t="shared" ca="1" si="45"/>
        <v/>
      </c>
      <c r="CR37" s="169" t="str">
        <f t="shared" ca="1" si="114"/>
        <v/>
      </c>
      <c r="CS37" s="169" t="str">
        <f t="array" aca="1" ref="CS37" ca="1">IF(ROWS($9:36)&lt;=COUNTIF(Condition22,"o"),INDEX(Liste22,SMALL(IF(Condition22="o",ROW(INDIRECT("1:"&amp;ROWS(Liste22)))),ROWS($9:36))),"")</f>
        <v/>
      </c>
      <c r="CT37" s="175">
        <f t="shared" ca="1" si="46"/>
        <v>0</v>
      </c>
      <c r="CU37" s="175" t="str">
        <f t="shared" ca="1" si="47"/>
        <v/>
      </c>
      <c r="CV37" s="169" t="str">
        <f t="shared" ca="1" si="115"/>
        <v/>
      </c>
      <c r="CW37" s="169" t="str">
        <f t="array" aca="1" ref="CW37" ca="1">IF(ROWS($9:36)&lt;=COUNTIF(Condition23,"o"),INDEX(Liste23,SMALL(IF(Condition23="o",ROW(INDIRECT("1:"&amp;ROWS(Liste23)))),ROWS($9:36))),"")</f>
        <v/>
      </c>
      <c r="CX37" s="175">
        <f t="shared" ca="1" si="48"/>
        <v>0</v>
      </c>
      <c r="CY37" s="175" t="str">
        <f t="shared" ca="1" si="49"/>
        <v/>
      </c>
      <c r="CZ37" s="169" t="str">
        <f t="shared" ca="1" si="116"/>
        <v/>
      </c>
      <c r="DA37" s="169" t="str">
        <f t="array" aca="1" ref="DA37" ca="1">IF(ROWS($9:36)&lt;=COUNTIF(Condition24,"o"),INDEX(Liste24,SMALL(IF(Condition24="o",ROW(INDIRECT("1:"&amp;ROWS(Liste24)))),ROWS($9:36))),"")</f>
        <v/>
      </c>
      <c r="DB37" s="175">
        <f t="shared" ca="1" si="50"/>
        <v>0</v>
      </c>
      <c r="DC37" s="175" t="str">
        <f t="shared" ca="1" si="51"/>
        <v/>
      </c>
      <c r="DD37" s="169" t="str">
        <f t="shared" ca="1" si="117"/>
        <v/>
      </c>
      <c r="DE37" s="169" t="str">
        <f t="array" aca="1" ref="DE37" ca="1">IF(ROWS($9:36)&lt;=COUNTIF(Condition25,"o"),INDEX(Liste25,SMALL(IF(Condition25="o",ROW(INDIRECT("1:"&amp;ROWS(Liste25)))),ROWS($9:36))),"")</f>
        <v/>
      </c>
      <c r="DF37" s="175">
        <f t="shared" ca="1" si="52"/>
        <v>0</v>
      </c>
      <c r="DG37" s="175" t="str">
        <f t="shared" ca="1" si="53"/>
        <v/>
      </c>
      <c r="DH37" s="169" t="str">
        <f t="shared" ca="1" si="118"/>
        <v/>
      </c>
      <c r="DI37" s="169" t="str">
        <f t="array" aca="1" ref="DI37" ca="1">IF(ROWS($9:36)&lt;=COUNTIF(Condition26,"o"),INDEX(Liste26,SMALL(IF(Condition26="o",ROW(INDIRECT("1:"&amp;ROWS(Liste26)))),ROWS($9:36))),"")</f>
        <v/>
      </c>
      <c r="DJ37" s="175">
        <f t="shared" ca="1" si="54"/>
        <v>0</v>
      </c>
      <c r="DK37" s="175" t="str">
        <f t="shared" ca="1" si="55"/>
        <v/>
      </c>
      <c r="DL37" s="169" t="str">
        <f t="shared" ca="1" si="119"/>
        <v/>
      </c>
      <c r="DM37" s="169" t="str">
        <f t="array" aca="1" ref="DM37" ca="1">IF(ROWS($9:36)&lt;=COUNTIF(Condition27,"o"),INDEX(Liste27,SMALL(IF(Condition27="o",ROW(INDIRECT("1:"&amp;ROWS(Liste27)))),ROWS($9:36))),"")</f>
        <v/>
      </c>
      <c r="DN37" s="175">
        <f t="shared" ca="1" si="56"/>
        <v>0</v>
      </c>
      <c r="DO37" s="175" t="str">
        <f t="shared" ca="1" si="57"/>
        <v/>
      </c>
      <c r="DP37" s="169" t="str">
        <f t="shared" ca="1" si="120"/>
        <v/>
      </c>
      <c r="DQ37" s="169" t="str">
        <f t="array" aca="1" ref="DQ37" ca="1">IF(ROWS($9:36)&lt;=COUNTIF(Condition28,"o"),INDEX(Liste28,SMALL(IF(Condition28="o",ROW(INDIRECT("1:"&amp;ROWS(Liste28)))),ROWS($9:36))),"")</f>
        <v/>
      </c>
      <c r="DR37" s="175">
        <f t="shared" ca="1" si="58"/>
        <v>0</v>
      </c>
      <c r="DS37" s="175" t="str">
        <f t="shared" ca="1" si="59"/>
        <v/>
      </c>
      <c r="DT37" s="169" t="str">
        <f t="shared" ca="1" si="121"/>
        <v/>
      </c>
      <c r="DU37" s="169" t="str">
        <f t="array" aca="1" ref="DU37" ca="1">IF(ROWS($9:36)&lt;=COUNTIF(Condition29,"o"),INDEX(Liste29,SMALL(IF(Condition29="o",ROW(INDIRECT("1:"&amp;ROWS(Liste29)))),ROWS($9:36))),"")</f>
        <v/>
      </c>
      <c r="DV37" s="175">
        <f t="shared" ca="1" si="60"/>
        <v>0</v>
      </c>
      <c r="DW37" s="175" t="str">
        <f t="shared" ca="1" si="61"/>
        <v/>
      </c>
      <c r="DX37" s="169" t="str">
        <f t="shared" ca="1" si="122"/>
        <v/>
      </c>
      <c r="DY37" s="169" t="str">
        <f t="array" aca="1" ref="DY37" ca="1">IF(ROWS($9:36)&lt;=COUNTIF(Condition30,"o"),INDEX(Liste30,SMALL(IF(Condition30="o",ROW(INDIRECT("1:"&amp;ROWS(Liste30)))),ROWS($9:36))),"")</f>
        <v/>
      </c>
      <c r="DZ37" s="175">
        <f t="shared" ca="1" si="62"/>
        <v>0</v>
      </c>
      <c r="EA37" s="175" t="str">
        <f t="shared" ca="1" si="63"/>
        <v/>
      </c>
      <c r="EB37" s="169" t="str">
        <f t="shared" ca="1" si="123"/>
        <v/>
      </c>
      <c r="EC37" s="169" t="str">
        <f t="array" aca="1" ref="EC37" ca="1">IF(ROWS($9:36)&lt;=COUNTIF(Condition31,"o"),INDEX(Liste31,SMALL(IF(Condition31="o",ROW(INDIRECT("1:"&amp;ROWS(Liste31)))),ROWS($9:36))),"")</f>
        <v/>
      </c>
      <c r="ED37" s="175">
        <f t="shared" ca="1" si="64"/>
        <v>0</v>
      </c>
      <c r="EE37" s="175" t="str">
        <f t="shared" ca="1" si="65"/>
        <v/>
      </c>
      <c r="EF37" s="169" t="str">
        <f t="shared" ca="1" si="124"/>
        <v/>
      </c>
      <c r="EG37" s="169" t="str">
        <f t="array" aca="1" ref="EG37" ca="1">IF(ROWS($9:36)&lt;=COUNTIF(Condition32,"o"),INDEX(Liste32,SMALL(IF(Condition32="o",ROW(INDIRECT("1:"&amp;ROWS(Liste32)))),ROWS($9:36))),"")</f>
        <v/>
      </c>
      <c r="EH37" s="175">
        <f t="shared" ca="1" si="66"/>
        <v>0</v>
      </c>
      <c r="EI37" s="175" t="str">
        <f t="shared" ca="1" si="67"/>
        <v/>
      </c>
      <c r="EJ37" s="169" t="str">
        <f t="shared" ca="1" si="125"/>
        <v/>
      </c>
      <c r="EK37" s="169" t="str">
        <f t="array" aca="1" ref="EK37" ca="1">IF(ROWS($9:36)&lt;=COUNTIF(Condition33,"o"),INDEX(Liste33,SMALL(IF(Condition33="o",ROW(INDIRECT("1:"&amp;ROWS(Liste33)))),ROWS($9:36))),"")</f>
        <v/>
      </c>
      <c r="EL37" s="175">
        <f t="shared" ca="1" si="68"/>
        <v>0</v>
      </c>
      <c r="EM37" s="175" t="str">
        <f t="shared" ca="1" si="69"/>
        <v/>
      </c>
      <c r="EN37" s="169" t="str">
        <f t="shared" ca="1" si="126"/>
        <v/>
      </c>
      <c r="EO37" s="169" t="str">
        <f t="array" aca="1" ref="EO37" ca="1">IF(ROWS($9:36)&lt;=COUNTIF(Condition34,"o"),INDEX(Liste34,SMALL(IF(Condition34="o",ROW(INDIRECT("1:"&amp;ROWS(Liste34)))),ROWS($9:36))),"")</f>
        <v/>
      </c>
      <c r="EP37" s="175">
        <f t="shared" ca="1" si="70"/>
        <v>0</v>
      </c>
      <c r="EQ37" s="175" t="str">
        <f t="shared" ca="1" si="71"/>
        <v/>
      </c>
      <c r="ER37" s="169" t="str">
        <f t="shared" ca="1" si="127"/>
        <v/>
      </c>
      <c r="ES37" s="169" t="str">
        <f t="array" aca="1" ref="ES37" ca="1">IF(ROWS($9:36)&lt;=COUNTIF(Condition35,"o"),INDEX(Liste35,SMALL(IF(Condition35="o",ROW(INDIRECT("1:"&amp;ROWS(Liste35)))),ROWS($9:36))),"")</f>
        <v/>
      </c>
      <c r="ET37" s="175">
        <f t="shared" ca="1" si="72"/>
        <v>0</v>
      </c>
      <c r="EU37" s="175" t="str">
        <f t="shared" ca="1" si="73"/>
        <v/>
      </c>
      <c r="EV37" s="169" t="str">
        <f t="shared" ca="1" si="128"/>
        <v/>
      </c>
      <c r="EW37" s="169" t="str">
        <f t="array" aca="1" ref="EW37" ca="1">IF(ROWS($9:36)&lt;=COUNTIF(Condition36,"o"),INDEX(Liste36,SMALL(IF(Condition36="o",ROW(INDIRECT("1:"&amp;ROWS(Liste36)))),ROWS($9:36))),"")</f>
        <v/>
      </c>
      <c r="EX37" s="175">
        <f t="shared" ca="1" si="74"/>
        <v>0</v>
      </c>
      <c r="EY37" s="175" t="str">
        <f t="shared" ca="1" si="75"/>
        <v/>
      </c>
      <c r="EZ37" s="169" t="str">
        <f t="shared" ca="1" si="85"/>
        <v/>
      </c>
      <c r="FA37" s="169" t="str">
        <f t="array" aca="1" ref="FA37" ca="1">IF(ROWS($9:36)&lt;=COUNTIF(Condition36,"o"),INDEX(Liste36,SMALL(IF(Condition36="o",ROW(INDIRECT("1:"&amp;ROWS(Liste36)))),ROWS($9:36))),"")</f>
        <v/>
      </c>
      <c r="FB37" s="175">
        <f t="shared" ca="1" si="76"/>
        <v>0</v>
      </c>
      <c r="FC37" s="175" t="str">
        <f t="shared" ca="1" si="77"/>
        <v/>
      </c>
      <c r="FD37" s="169" t="str">
        <f t="shared" ca="1" si="86"/>
        <v/>
      </c>
      <c r="FE37" s="169" t="str">
        <f t="array" aca="1" ref="FE37" ca="1">IF(ROWS($9:36)&lt;=COUNTIF(condition38,"o"),INDEX(liste38,SMALL(IF(condition38="o",ROW(INDIRECT("1:"&amp;ROWS(liste38)))),ROWS($9:36))),"")</f>
        <v/>
      </c>
      <c r="FF37" s="175">
        <f t="shared" ca="1" si="78"/>
        <v>0</v>
      </c>
      <c r="FG37" s="175" t="str">
        <f t="shared" ca="1" si="79"/>
        <v/>
      </c>
      <c r="FH37" s="169" t="str">
        <f t="shared" ca="1" si="87"/>
        <v/>
      </c>
      <c r="FI37" s="169" t="str">
        <f t="array" aca="1" ref="FI37" ca="1">IF(ROWS($9:36)&lt;=COUNTIF(Condition39,"o"),INDEX(Liste39,SMALL(IF(Condition39="o",ROW(INDIRECT("1:"&amp;ROWS(Liste39)))),ROWS($9:36))),"")</f>
        <v/>
      </c>
      <c r="FM37" s="1" t="s">
        <v>1215</v>
      </c>
      <c r="FN37" s="1" t="s">
        <v>1165</v>
      </c>
      <c r="FO37" s="180">
        <f>'Suivi objectifs'!D32</f>
        <v>0</v>
      </c>
      <c r="FP37" s="1366" t="str">
        <f>'Suivi objectifs'!C32</f>
        <v>Biométhanisation</v>
      </c>
      <c r="FQ37" s="181" t="str">
        <f ca="1">IF(ISNA(VLOOKUP(FR37,Actions!$G$2:$AP$70,31,0)),"",VLOOKUP(FR37,Actions!$G$2:$AP$70,36,0))</f>
        <v/>
      </c>
      <c r="FR37" s="59" t="str">
        <f t="shared" ca="1" si="88"/>
        <v/>
      </c>
      <c r="FS37" s="287">
        <f t="shared" ca="1" si="80"/>
        <v>0</v>
      </c>
      <c r="FT37" s="181" t="str">
        <f ca="1">IF(ISNA(VLOOKUP(FU37,Actions!$G$2:$AP$70,31,0)),"",VLOOKUP(FU37,Actions!$G$2:$AP$70,36,0))</f>
        <v/>
      </c>
      <c r="FU37" s="59" t="str">
        <f t="shared" ca="1" si="89"/>
        <v/>
      </c>
      <c r="FV37" s="287">
        <f t="shared" ca="1" si="81"/>
        <v>0</v>
      </c>
      <c r="FW37" s="181" t="str">
        <f ca="1">IF(ISNA(VLOOKUP(FX37,Actions!$G$2:$AP$70,31,0)),"",VLOOKUP(FX37,Actions!$G$2:$AP$70,36,0))</f>
        <v/>
      </c>
      <c r="FX37" s="59" t="str">
        <f t="shared" ca="1" si="90"/>
        <v/>
      </c>
      <c r="FY37" s="287">
        <f t="shared" ca="1" si="82"/>
        <v>0</v>
      </c>
      <c r="FZ37" s="181" t="str">
        <f ca="1">IF(ISNA(VLOOKUP(GA37,Actions!$G$2:$AP$70,31,0)),"",VLOOKUP(GA37,Actions!$G$2:$AP$70,36,0))</f>
        <v/>
      </c>
      <c r="GA37" s="59" t="str">
        <f t="shared" ca="1" si="91"/>
        <v/>
      </c>
      <c r="GB37" s="287">
        <f t="shared" ca="1" si="83"/>
        <v>0</v>
      </c>
      <c r="GC37" s="181" t="str">
        <f ca="1">IF(ISNA(VLOOKUP(GD37,Actions!$G$2:$AP$70,31,0)),"",VLOOKUP(GD37,Actions!$G$2:$AP$70,36,0))</f>
        <v/>
      </c>
      <c r="GD37" s="59" t="str">
        <f t="shared" ca="1" si="92"/>
        <v/>
      </c>
      <c r="GE37" s="287">
        <f t="shared" ca="1" si="84"/>
        <v>0</v>
      </c>
      <c r="GF37" s="186">
        <f t="shared" ca="1" si="129"/>
        <v>0</v>
      </c>
      <c r="GG37" s="233"/>
    </row>
    <row r="38" spans="1:189" hidden="1">
      <c r="A38" s="1" t="s">
        <v>1216</v>
      </c>
      <c r="B38" s="1">
        <f>Actions!F31</f>
        <v>30</v>
      </c>
      <c r="C38" s="1">
        <f ca="1">Actions!G31</f>
        <v>0</v>
      </c>
      <c r="D38" s="1">
        <f ca="1">Actions!H31</f>
        <v>0</v>
      </c>
      <c r="E38" s="1" t="str">
        <f ca="1">Actions!I31</f>
        <v>-</v>
      </c>
      <c r="F38" s="1" t="str">
        <f t="shared" ca="1" si="0"/>
        <v>-</v>
      </c>
      <c r="G38" s="1" t="e">
        <f t="shared" ca="1" si="1"/>
        <v>#REF!</v>
      </c>
      <c r="I38" s="1">
        <v>30</v>
      </c>
      <c r="J38" s="175">
        <f t="shared" ca="1" si="2"/>
        <v>0</v>
      </c>
      <c r="K38" s="175" t="str">
        <f t="shared" ca="1" si="3"/>
        <v/>
      </c>
      <c r="L38" s="169" t="str">
        <f t="shared" ca="1" si="93"/>
        <v/>
      </c>
      <c r="M38" s="169" t="str">
        <f t="array" aca="1" ref="M38" ca="1">IF(ROWS($9:37)&lt;=COUNTIF(Condition1,"o"),INDEX(Liste1,SMALL(IF(Condition1="o",ROW(INDIRECT("1:"&amp;ROWS(Liste1)))),ROWS($9:37))),"")</f>
        <v/>
      </c>
      <c r="N38" s="175">
        <f t="shared" ca="1" si="4"/>
        <v>0</v>
      </c>
      <c r="O38" s="175" t="str">
        <f t="shared" ca="1" si="5"/>
        <v/>
      </c>
      <c r="P38" s="169" t="str">
        <f t="shared" ca="1" si="94"/>
        <v/>
      </c>
      <c r="Q38" s="169" t="str">
        <f t="array" aca="1" ref="Q38" ca="1">IF(ROWS($9:37)&lt;=COUNTIF(Condition2,"o"),INDEX(Liste2,SMALL(IF(Condition2="o",ROW(INDIRECT("1:"&amp;ROWS(Liste2)))),ROWS($9:37))),"")</f>
        <v/>
      </c>
      <c r="R38" s="175">
        <f t="shared" ca="1" si="6"/>
        <v>0</v>
      </c>
      <c r="S38" s="175" t="str">
        <f t="shared" ca="1" si="7"/>
        <v/>
      </c>
      <c r="T38" s="169" t="str">
        <f t="shared" ca="1" si="95"/>
        <v/>
      </c>
      <c r="U38" s="169" t="str">
        <f t="array" aca="1" ref="U38" ca="1">IF(ROWS($9:37)&lt;=COUNTIF(Condition3,"o"),INDEX(Liste3,SMALL(IF(Condition3="o",ROW(INDIRECT("1:"&amp;ROWS(Liste3)))),ROWS($9:37))),"")</f>
        <v/>
      </c>
      <c r="V38" s="175">
        <f t="shared" ca="1" si="8"/>
        <v>0</v>
      </c>
      <c r="W38" s="175" t="str">
        <f t="shared" ca="1" si="9"/>
        <v/>
      </c>
      <c r="X38" s="169" t="str">
        <f t="shared" ca="1" si="96"/>
        <v/>
      </c>
      <c r="Y38" s="169" t="str">
        <f t="array" aca="1" ref="Y38" ca="1">IF(ROWS($9:37)&lt;=COUNTIF(Condition4,"o"),INDEX(Liste4,SMALL(IF(Condition4="o",ROW(INDIRECT("1:"&amp;ROWS(Liste4)))),ROWS($9:37))),"")</f>
        <v/>
      </c>
      <c r="Z38" s="175">
        <f t="shared" ca="1" si="10"/>
        <v>0</v>
      </c>
      <c r="AA38" s="175" t="str">
        <f t="shared" ca="1" si="11"/>
        <v/>
      </c>
      <c r="AB38" s="169" t="str">
        <f t="shared" ca="1" si="97"/>
        <v/>
      </c>
      <c r="AC38" s="169" t="str">
        <f t="array" aca="1" ref="AC38" ca="1">IF(ROWS($9:37)&lt;=COUNTIF(Condition5,"o"),INDEX(Liste5,SMALL(IF(Condition5="o",ROW(INDIRECT("1:"&amp;ROWS(Liste5)))),ROWS($9:37))),"")</f>
        <v/>
      </c>
      <c r="AD38" s="175">
        <f t="shared" ca="1" si="12"/>
        <v>0</v>
      </c>
      <c r="AE38" s="175" t="str">
        <f t="shared" ca="1" si="13"/>
        <v/>
      </c>
      <c r="AF38" s="169" t="str">
        <f t="shared" ca="1" si="98"/>
        <v/>
      </c>
      <c r="AG38" s="169" t="str">
        <f t="array" aca="1" ref="AG38" ca="1">IF(ROWS($9:37)&lt;=COUNTIF(Condition6,"o"),INDEX(Liste6,SMALL(IF(Condition6="o",ROW(INDIRECT("1:"&amp;ROWS(Liste6)))),ROWS($9:37))),"")</f>
        <v/>
      </c>
      <c r="AH38" s="175">
        <f t="shared" ca="1" si="14"/>
        <v>0</v>
      </c>
      <c r="AI38" s="175" t="str">
        <f t="shared" ca="1" si="15"/>
        <v/>
      </c>
      <c r="AJ38" s="169" t="str">
        <f t="shared" ca="1" si="99"/>
        <v/>
      </c>
      <c r="AK38" s="169" t="str">
        <f t="array" aca="1" ref="AK38" ca="1">IF(ROWS($9:37)&lt;=COUNTIF(Condition7,"o"),INDEX(Liste7,SMALL(IF(Condition7="o",ROW(INDIRECT("1:"&amp;ROWS(Liste7)))),ROWS($9:37))),"")</f>
        <v/>
      </c>
      <c r="AL38" s="175">
        <f t="shared" ca="1" si="16"/>
        <v>0</v>
      </c>
      <c r="AM38" s="175" t="str">
        <f t="shared" ca="1" si="17"/>
        <v/>
      </c>
      <c r="AN38" s="169" t="str">
        <f t="shared" ca="1" si="100"/>
        <v/>
      </c>
      <c r="AO38" s="169" t="str">
        <f t="array" aca="1" ref="AO38" ca="1">IF(ROWS($9:37)&lt;=COUNTIF(Condition8,"o"),INDEX(Liste8,SMALL(IF(Condition8="o",ROW(INDIRECT("1:"&amp;ROWS(Liste8)))),ROWS($9:37))),"")</f>
        <v/>
      </c>
      <c r="AP38" s="175">
        <f t="shared" ca="1" si="18"/>
        <v>0</v>
      </c>
      <c r="AQ38" s="175" t="str">
        <f t="shared" ca="1" si="19"/>
        <v/>
      </c>
      <c r="AR38" s="169" t="str">
        <f t="shared" ca="1" si="101"/>
        <v/>
      </c>
      <c r="AS38" s="169" t="str">
        <f t="array" aca="1" ref="AS38" ca="1">IF(ROWS($9:37)&lt;=COUNTIF(Condition9,"o"),INDEX(Liste9,SMALL(IF(Condition9="o",ROW(INDIRECT("1:"&amp;ROWS(Liste9)))),ROWS($9:37))),"")</f>
        <v/>
      </c>
      <c r="AT38" s="175">
        <f t="shared" ca="1" si="20"/>
        <v>0</v>
      </c>
      <c r="AU38" s="175" t="str">
        <f t="shared" ca="1" si="21"/>
        <v/>
      </c>
      <c r="AV38" s="169" t="str">
        <f t="shared" ca="1" si="102"/>
        <v/>
      </c>
      <c r="AW38" s="169" t="str">
        <f t="array" aca="1" ref="AW38" ca="1">IF(ROWS($9:37)&lt;=COUNTIF(Condition10,"o"),INDEX(Liste10,SMALL(IF(Condition10="o",ROW(INDIRECT("1:"&amp;ROWS(Liste10)))),ROWS($9:37))),"")</f>
        <v/>
      </c>
      <c r="AX38" s="175">
        <f t="shared" ca="1" si="22"/>
        <v>0</v>
      </c>
      <c r="AY38" s="175" t="str">
        <f t="shared" ca="1" si="23"/>
        <v/>
      </c>
      <c r="AZ38" s="169" t="str">
        <f t="shared" ca="1" si="103"/>
        <v/>
      </c>
      <c r="BA38" s="169" t="str">
        <f t="array" aca="1" ref="BA38" ca="1">IF(ROWS($9:37)&lt;=COUNTIF(Condition11,"o"),INDEX(Liste11,SMALL(IF(Condition11="o",ROW(INDIRECT("1:"&amp;ROWS(Liste11)))),ROWS($9:37))),"")</f>
        <v/>
      </c>
      <c r="BB38" s="175">
        <f t="shared" ca="1" si="24"/>
        <v>0</v>
      </c>
      <c r="BC38" s="175" t="str">
        <f t="shared" ca="1" si="25"/>
        <v/>
      </c>
      <c r="BD38" s="169" t="str">
        <f t="shared" ca="1" si="104"/>
        <v/>
      </c>
      <c r="BE38" s="169" t="str">
        <f t="array" aca="1" ref="BE38" ca="1">IF(ROWS($9:37)&lt;=COUNTIF(Condition12,"o"),INDEX(Liste12,SMALL(IF(Condition12="o",ROW(INDIRECT("1:"&amp;ROWS(Liste12)))),ROWS($9:37))),"")</f>
        <v/>
      </c>
      <c r="BF38" s="175">
        <f t="shared" ca="1" si="26"/>
        <v>0</v>
      </c>
      <c r="BG38" s="175" t="str">
        <f t="shared" ca="1" si="27"/>
        <v/>
      </c>
      <c r="BH38" s="169" t="str">
        <f t="shared" ca="1" si="105"/>
        <v/>
      </c>
      <c r="BI38" s="169" t="str">
        <f t="array" aca="1" ref="BI38" ca="1">IF(ROWS($9:37)&lt;=COUNTIF(Condition13,"o"),INDEX(Liste13,SMALL(IF(Condition13="o",ROW(INDIRECT("1:"&amp;ROWS(Liste13)))),ROWS($9:37))),"")</f>
        <v/>
      </c>
      <c r="BJ38" s="175">
        <f t="shared" ca="1" si="28"/>
        <v>0</v>
      </c>
      <c r="BK38" s="175" t="str">
        <f t="shared" ca="1" si="29"/>
        <v/>
      </c>
      <c r="BL38" s="169" t="str">
        <f t="shared" ca="1" si="106"/>
        <v/>
      </c>
      <c r="BM38" s="169" t="str">
        <f t="array" aca="1" ref="BM38" ca="1">IF(ROWS($9:37)&lt;=COUNTIF(Condition14,"o"),INDEX(Liste14,SMALL(IF(Condition14="o",ROW(INDIRECT("1:"&amp;ROWS(Liste14)))),ROWS($9:37))),"")</f>
        <v/>
      </c>
      <c r="BN38" s="175">
        <f t="shared" ca="1" si="30"/>
        <v>0</v>
      </c>
      <c r="BO38" s="175" t="str">
        <f t="shared" ca="1" si="31"/>
        <v/>
      </c>
      <c r="BP38" s="169" t="str">
        <f t="shared" ca="1" si="107"/>
        <v/>
      </c>
      <c r="BQ38" s="169" t="str">
        <f t="array" aca="1" ref="BQ38" ca="1">IF(ROWS($9:37)&lt;=COUNTIF(Condition15,"o"),INDEX(Liste15,SMALL(IF(Condition15="o",ROW(INDIRECT("1:"&amp;ROWS(Liste15)))),ROWS($9:37))),"")</f>
        <v/>
      </c>
      <c r="BR38" s="175">
        <f t="shared" ca="1" si="32"/>
        <v>0</v>
      </c>
      <c r="BS38" s="175" t="str">
        <f t="shared" ca="1" si="33"/>
        <v/>
      </c>
      <c r="BT38" s="169" t="str">
        <f t="shared" ca="1" si="108"/>
        <v/>
      </c>
      <c r="BU38" s="169" t="str">
        <f t="array" aca="1" ref="BU38" ca="1">IF(ROWS($9:37)&lt;=COUNTIF(Condition16,"o"),INDEX(Liste16,SMALL(IF(Condition16="o",ROW(INDIRECT("1:"&amp;ROWS(Liste16)))),ROWS($9:37))),"")</f>
        <v/>
      </c>
      <c r="BV38" s="175">
        <f t="shared" ca="1" si="34"/>
        <v>0</v>
      </c>
      <c r="BW38" s="175" t="str">
        <f t="shared" ca="1" si="35"/>
        <v/>
      </c>
      <c r="BX38" s="169" t="str">
        <f t="shared" ca="1" si="109"/>
        <v/>
      </c>
      <c r="BY38" s="169" t="str">
        <f t="array" aca="1" ref="BY38" ca="1">IF(ROWS($9:37)&lt;=COUNTIF(Condition17,"o"),INDEX(Liste17,SMALL(IF(Condition17="o",ROW(INDIRECT("1:"&amp;ROWS(Liste17)))),ROWS($9:37))),"")</f>
        <v/>
      </c>
      <c r="BZ38" s="175">
        <f t="shared" ca="1" si="36"/>
        <v>0</v>
      </c>
      <c r="CA38" s="175" t="str">
        <f t="shared" ca="1" si="37"/>
        <v/>
      </c>
      <c r="CB38" s="169" t="str">
        <f t="shared" ca="1" si="110"/>
        <v/>
      </c>
      <c r="CC38" s="169" t="str">
        <f t="array" aca="1" ref="CC38" ca="1">IF(ROWS($9:37)&lt;=COUNTIF(Condition18,"o"),INDEX(Liste18,SMALL(IF(Condition18="o",ROW(INDIRECT("1:"&amp;ROWS(Liste18)))),ROWS($9:37))),"")</f>
        <v/>
      </c>
      <c r="CD38" s="175">
        <f t="shared" ca="1" si="38"/>
        <v>0</v>
      </c>
      <c r="CE38" s="175" t="str">
        <f t="shared" ca="1" si="39"/>
        <v/>
      </c>
      <c r="CF38" s="169" t="str">
        <f t="shared" ca="1" si="111"/>
        <v/>
      </c>
      <c r="CG38" s="169" t="str">
        <f t="array" aca="1" ref="CG38" ca="1">IF(ROWS($9:37)&lt;=COUNTIF(Condition19,"o"),INDEX(Liste19,SMALL(IF(Condition19="o",ROW(INDIRECT("1:"&amp;ROWS(Liste19)))),ROWS($9:37))),"")</f>
        <v/>
      </c>
      <c r="CH38" s="175">
        <f t="shared" ca="1" si="40"/>
        <v>0</v>
      </c>
      <c r="CI38" s="175" t="str">
        <f t="shared" ca="1" si="41"/>
        <v/>
      </c>
      <c r="CJ38" s="169" t="str">
        <f t="shared" ca="1" si="112"/>
        <v/>
      </c>
      <c r="CK38" s="169" t="str">
        <f t="array" aca="1" ref="CK38" ca="1">IF(ROWS($9:37)&lt;=COUNTIF(Condition20,"o"),INDEX(Liste20,SMALL(IF(Condition20="o",ROW(INDIRECT("1:"&amp;ROWS(Liste20)))),ROWS($9:37))),"")</f>
        <v/>
      </c>
      <c r="CL38" s="175">
        <f t="shared" ca="1" si="42"/>
        <v>0</v>
      </c>
      <c r="CM38" s="175" t="str">
        <f t="shared" ca="1" si="43"/>
        <v/>
      </c>
      <c r="CN38" s="169" t="str">
        <f t="shared" ca="1" si="113"/>
        <v/>
      </c>
      <c r="CO38" s="169" t="str">
        <f t="array" aca="1" ref="CO38" ca="1">IF(ROWS($9:37)&lt;=COUNTIF(Condition21,"o"),INDEX(Liste21,SMALL(IF(Condition21="o",ROW(INDIRECT("1:"&amp;ROWS(Liste21)))),ROWS($9:37))),"")</f>
        <v/>
      </c>
      <c r="CP38" s="175">
        <f t="shared" ca="1" si="44"/>
        <v>0</v>
      </c>
      <c r="CQ38" s="175" t="str">
        <f t="shared" ca="1" si="45"/>
        <v/>
      </c>
      <c r="CR38" s="169" t="str">
        <f t="shared" ca="1" si="114"/>
        <v/>
      </c>
      <c r="CS38" s="169" t="str">
        <f t="array" aca="1" ref="CS38" ca="1">IF(ROWS($9:37)&lt;=COUNTIF(Condition22,"o"),INDEX(Liste22,SMALL(IF(Condition22="o",ROW(INDIRECT("1:"&amp;ROWS(Liste22)))),ROWS($9:37))),"")</f>
        <v/>
      </c>
      <c r="CT38" s="175">
        <f t="shared" ca="1" si="46"/>
        <v>0</v>
      </c>
      <c r="CU38" s="175" t="str">
        <f t="shared" ca="1" si="47"/>
        <v/>
      </c>
      <c r="CV38" s="169" t="str">
        <f t="shared" ca="1" si="115"/>
        <v/>
      </c>
      <c r="CW38" s="169" t="str">
        <f t="array" aca="1" ref="CW38" ca="1">IF(ROWS($9:37)&lt;=COUNTIF(Condition23,"o"),INDEX(Liste23,SMALL(IF(Condition23="o",ROW(INDIRECT("1:"&amp;ROWS(Liste23)))),ROWS($9:37))),"")</f>
        <v/>
      </c>
      <c r="CX38" s="175">
        <f t="shared" ca="1" si="48"/>
        <v>0</v>
      </c>
      <c r="CY38" s="175" t="str">
        <f t="shared" ca="1" si="49"/>
        <v/>
      </c>
      <c r="CZ38" s="169" t="str">
        <f t="shared" ca="1" si="116"/>
        <v/>
      </c>
      <c r="DA38" s="169" t="str">
        <f t="array" aca="1" ref="DA38" ca="1">IF(ROWS($9:37)&lt;=COUNTIF(Condition24,"o"),INDEX(Liste24,SMALL(IF(Condition24="o",ROW(INDIRECT("1:"&amp;ROWS(Liste24)))),ROWS($9:37))),"")</f>
        <v/>
      </c>
      <c r="DB38" s="175">
        <f t="shared" ca="1" si="50"/>
        <v>0</v>
      </c>
      <c r="DC38" s="175" t="str">
        <f t="shared" ca="1" si="51"/>
        <v/>
      </c>
      <c r="DD38" s="169" t="str">
        <f t="shared" ca="1" si="117"/>
        <v/>
      </c>
      <c r="DE38" s="169" t="str">
        <f t="array" aca="1" ref="DE38" ca="1">IF(ROWS($9:37)&lt;=COUNTIF(Condition25,"o"),INDEX(Liste25,SMALL(IF(Condition25="o",ROW(INDIRECT("1:"&amp;ROWS(Liste25)))),ROWS($9:37))),"")</f>
        <v/>
      </c>
      <c r="DF38" s="175">
        <f t="shared" ca="1" si="52"/>
        <v>0</v>
      </c>
      <c r="DG38" s="175" t="str">
        <f t="shared" ca="1" si="53"/>
        <v/>
      </c>
      <c r="DH38" s="169" t="str">
        <f t="shared" ca="1" si="118"/>
        <v/>
      </c>
      <c r="DI38" s="169" t="str">
        <f t="array" aca="1" ref="DI38" ca="1">IF(ROWS($9:37)&lt;=COUNTIF(Condition26,"o"),INDEX(Liste26,SMALL(IF(Condition26="o",ROW(INDIRECT("1:"&amp;ROWS(Liste26)))),ROWS($9:37))),"")</f>
        <v/>
      </c>
      <c r="DJ38" s="175">
        <f t="shared" ca="1" si="54"/>
        <v>0</v>
      </c>
      <c r="DK38" s="175" t="str">
        <f t="shared" ca="1" si="55"/>
        <v/>
      </c>
      <c r="DL38" s="169" t="str">
        <f t="shared" ca="1" si="119"/>
        <v/>
      </c>
      <c r="DM38" s="169" t="str">
        <f t="array" aca="1" ref="DM38" ca="1">IF(ROWS($9:37)&lt;=COUNTIF(Condition27,"o"),INDEX(Liste27,SMALL(IF(Condition27="o",ROW(INDIRECT("1:"&amp;ROWS(Liste27)))),ROWS($9:37))),"")</f>
        <v/>
      </c>
      <c r="DN38" s="175">
        <f t="shared" ca="1" si="56"/>
        <v>0</v>
      </c>
      <c r="DO38" s="175" t="str">
        <f t="shared" ca="1" si="57"/>
        <v/>
      </c>
      <c r="DP38" s="169" t="str">
        <f t="shared" ca="1" si="120"/>
        <v/>
      </c>
      <c r="DQ38" s="169" t="str">
        <f t="array" aca="1" ref="DQ38" ca="1">IF(ROWS($9:37)&lt;=COUNTIF(Condition28,"o"),INDEX(Liste28,SMALL(IF(Condition28="o",ROW(INDIRECT("1:"&amp;ROWS(Liste28)))),ROWS($9:37))),"")</f>
        <v/>
      </c>
      <c r="DR38" s="175">
        <f t="shared" ca="1" si="58"/>
        <v>0</v>
      </c>
      <c r="DS38" s="175" t="str">
        <f t="shared" ca="1" si="59"/>
        <v/>
      </c>
      <c r="DT38" s="169" t="str">
        <f t="shared" ca="1" si="121"/>
        <v/>
      </c>
      <c r="DU38" s="169" t="str">
        <f t="array" aca="1" ref="DU38" ca="1">IF(ROWS($9:37)&lt;=COUNTIF(Condition29,"o"),INDEX(Liste29,SMALL(IF(Condition29="o",ROW(INDIRECT("1:"&amp;ROWS(Liste29)))),ROWS($9:37))),"")</f>
        <v/>
      </c>
      <c r="DV38" s="175">
        <f t="shared" ca="1" si="60"/>
        <v>0</v>
      </c>
      <c r="DW38" s="175" t="str">
        <f t="shared" ca="1" si="61"/>
        <v/>
      </c>
      <c r="DX38" s="169" t="str">
        <f t="shared" ca="1" si="122"/>
        <v/>
      </c>
      <c r="DY38" s="169" t="str">
        <f t="array" aca="1" ref="DY38" ca="1">IF(ROWS($9:37)&lt;=COUNTIF(Condition30,"o"),INDEX(Liste30,SMALL(IF(Condition30="o",ROW(INDIRECT("1:"&amp;ROWS(Liste30)))),ROWS($9:37))),"")</f>
        <v/>
      </c>
      <c r="DZ38" s="175">
        <f t="shared" ca="1" si="62"/>
        <v>0</v>
      </c>
      <c r="EA38" s="175" t="str">
        <f t="shared" ca="1" si="63"/>
        <v/>
      </c>
      <c r="EB38" s="169" t="str">
        <f t="shared" ca="1" si="123"/>
        <v/>
      </c>
      <c r="EC38" s="169" t="str">
        <f t="array" aca="1" ref="EC38" ca="1">IF(ROWS($9:37)&lt;=COUNTIF(Condition31,"o"),INDEX(Liste31,SMALL(IF(Condition31="o",ROW(INDIRECT("1:"&amp;ROWS(Liste31)))),ROWS($9:37))),"")</f>
        <v/>
      </c>
      <c r="ED38" s="175">
        <f t="shared" ca="1" si="64"/>
        <v>0</v>
      </c>
      <c r="EE38" s="175" t="str">
        <f t="shared" ca="1" si="65"/>
        <v/>
      </c>
      <c r="EF38" s="169" t="str">
        <f t="shared" ca="1" si="124"/>
        <v/>
      </c>
      <c r="EG38" s="169" t="str">
        <f t="array" aca="1" ref="EG38" ca="1">IF(ROWS($9:37)&lt;=COUNTIF(Condition32,"o"),INDEX(Liste32,SMALL(IF(Condition32="o",ROW(INDIRECT("1:"&amp;ROWS(Liste32)))),ROWS($9:37))),"")</f>
        <v/>
      </c>
      <c r="EH38" s="175">
        <f t="shared" ca="1" si="66"/>
        <v>0</v>
      </c>
      <c r="EI38" s="175" t="str">
        <f t="shared" ca="1" si="67"/>
        <v/>
      </c>
      <c r="EJ38" s="169" t="str">
        <f t="shared" ca="1" si="125"/>
        <v/>
      </c>
      <c r="EK38" s="169" t="str">
        <f t="array" aca="1" ref="EK38" ca="1">IF(ROWS($9:37)&lt;=COUNTIF(Condition33,"o"),INDEX(Liste33,SMALL(IF(Condition33="o",ROW(INDIRECT("1:"&amp;ROWS(Liste33)))),ROWS($9:37))),"")</f>
        <v/>
      </c>
      <c r="EL38" s="175">
        <f t="shared" ca="1" si="68"/>
        <v>0</v>
      </c>
      <c r="EM38" s="175" t="str">
        <f t="shared" ca="1" si="69"/>
        <v/>
      </c>
      <c r="EN38" s="169" t="str">
        <f t="shared" ca="1" si="126"/>
        <v/>
      </c>
      <c r="EO38" s="169" t="str">
        <f t="array" aca="1" ref="EO38" ca="1">IF(ROWS($9:37)&lt;=COUNTIF(Condition34,"o"),INDEX(Liste34,SMALL(IF(Condition34="o",ROW(INDIRECT("1:"&amp;ROWS(Liste34)))),ROWS($9:37))),"")</f>
        <v/>
      </c>
      <c r="EP38" s="175">
        <f t="shared" ca="1" si="70"/>
        <v>0</v>
      </c>
      <c r="EQ38" s="175" t="str">
        <f t="shared" ca="1" si="71"/>
        <v/>
      </c>
      <c r="ER38" s="169" t="str">
        <f t="shared" ca="1" si="127"/>
        <v/>
      </c>
      <c r="ES38" s="169" t="str">
        <f t="array" aca="1" ref="ES38" ca="1">IF(ROWS($9:37)&lt;=COUNTIF(Condition35,"o"),INDEX(Liste35,SMALL(IF(Condition35="o",ROW(INDIRECT("1:"&amp;ROWS(Liste35)))),ROWS($9:37))),"")</f>
        <v/>
      </c>
      <c r="ET38" s="175">
        <f t="shared" ca="1" si="72"/>
        <v>0</v>
      </c>
      <c r="EU38" s="175" t="str">
        <f t="shared" ca="1" si="73"/>
        <v/>
      </c>
      <c r="EV38" s="169" t="str">
        <f t="shared" ca="1" si="128"/>
        <v/>
      </c>
      <c r="EW38" s="169" t="str">
        <f t="array" aca="1" ref="EW38" ca="1">IF(ROWS($9:37)&lt;=COUNTIF(Condition36,"o"),INDEX(Liste36,SMALL(IF(Condition36="o",ROW(INDIRECT("1:"&amp;ROWS(Liste36)))),ROWS($9:37))),"")</f>
        <v/>
      </c>
      <c r="EX38" s="175">
        <f t="shared" ca="1" si="74"/>
        <v>0</v>
      </c>
      <c r="EY38" s="175" t="str">
        <f t="shared" ca="1" si="75"/>
        <v/>
      </c>
      <c r="EZ38" s="169" t="str">
        <f t="shared" ca="1" si="85"/>
        <v/>
      </c>
      <c r="FA38" s="169" t="str">
        <f t="array" aca="1" ref="FA38" ca="1">IF(ROWS($9:37)&lt;=COUNTIF(Condition36,"o"),INDEX(Liste36,SMALL(IF(Condition36="o",ROW(INDIRECT("1:"&amp;ROWS(Liste36)))),ROWS($9:37))),"")</f>
        <v/>
      </c>
      <c r="FB38" s="175">
        <f t="shared" ca="1" si="76"/>
        <v>0</v>
      </c>
      <c r="FC38" s="175" t="str">
        <f t="shared" ca="1" si="77"/>
        <v/>
      </c>
      <c r="FD38" s="169" t="str">
        <f t="shared" ca="1" si="86"/>
        <v/>
      </c>
      <c r="FE38" s="175">
        <f>IF(ISNA(HLOOKUP(FE$7,$B$147:$AW$217,$I38,0)),IF(ISNA(HLOOKUP(FE$8,$B$147:$AW$217,$I38,0)),0,HLOOKUP(FE$8,$B$147:$AW$217,$I38,0)),IF(HLOOKUP(FE$7,$B$147:$AW$217,$I38,0)=0,IF(ISNA(HLOOKUP(FE$8,$B$147:$AW$217,$I38,0)),0,HLOOKUP(FE$8,$B$147:$AW$217,$I38,0)),HLOOKUP(FE$7,$B$147:$AW$217,$I38,0)))</f>
        <v>0</v>
      </c>
      <c r="FF38" s="175">
        <f t="shared" ca="1" si="78"/>
        <v>0</v>
      </c>
      <c r="FG38" s="175" t="str">
        <f t="shared" ca="1" si="79"/>
        <v/>
      </c>
      <c r="FH38" s="169" t="str">
        <f t="shared" ca="1" si="87"/>
        <v/>
      </c>
      <c r="FI38" s="169" t="str">
        <f t="array" aca="1" ref="FI38" ca="1">IF(ROWS($9:37)&lt;=COUNTIF(Condition39,"o"),INDEX(Liste39,SMALL(IF(Condition39="o",ROW(INDIRECT("1:"&amp;ROWS(Liste39)))),ROWS($9:37))),"")</f>
        <v/>
      </c>
      <c r="FM38" s="1" t="s">
        <v>1217</v>
      </c>
      <c r="FN38" s="1" t="s">
        <v>1166</v>
      </c>
      <c r="FO38" s="180">
        <f>'Suivi objectifs'!D33</f>
        <v>0</v>
      </c>
      <c r="FP38" s="1366" t="str">
        <f>'Suivi objectifs'!C35</f>
        <v>Hydroénergie</v>
      </c>
      <c r="FQ38" s="181" t="str">
        <f ca="1">IF(ISNA(VLOOKUP(FR38,Actions!$G$2:$AP$70,31,0)),"",VLOOKUP(FR38,Actions!$G$2:$AP$70,36,0))</f>
        <v/>
      </c>
      <c r="FR38" s="185" t="str">
        <f t="shared" ca="1" si="88"/>
        <v/>
      </c>
      <c r="FS38" s="286">
        <f t="shared" ca="1" si="80"/>
        <v>0</v>
      </c>
      <c r="FT38" s="181" t="str">
        <f ca="1">IF(ISNA(VLOOKUP(FU38,Actions!$G$2:$AP$70,31,0)),"",VLOOKUP(FU38,Actions!$G$2:$AP$70,36,0))</f>
        <v/>
      </c>
      <c r="FU38" s="185" t="str">
        <f t="shared" ca="1" si="89"/>
        <v/>
      </c>
      <c r="FV38" s="286">
        <f t="shared" ca="1" si="81"/>
        <v>0</v>
      </c>
      <c r="FW38" s="181" t="str">
        <f ca="1">IF(ISNA(VLOOKUP(FX38,Actions!$G$2:$AP$70,31,0)),"",VLOOKUP(FX38,Actions!$G$2:$AP$70,36,0))</f>
        <v/>
      </c>
      <c r="FX38" s="185" t="str">
        <f t="shared" ca="1" si="90"/>
        <v/>
      </c>
      <c r="FY38" s="286">
        <f t="shared" ca="1" si="82"/>
        <v>0</v>
      </c>
      <c r="FZ38" s="181" t="str">
        <f ca="1">IF(ISNA(VLOOKUP(GA38,Actions!$G$2:$AP$70,31,0)),"",VLOOKUP(GA38,Actions!$G$2:$AP$70,36,0))</f>
        <v/>
      </c>
      <c r="GA38" s="185" t="str">
        <f t="shared" ca="1" si="91"/>
        <v/>
      </c>
      <c r="GB38" s="286">
        <f t="shared" ca="1" si="83"/>
        <v>0</v>
      </c>
      <c r="GC38" s="181" t="str">
        <f ca="1">IF(ISNA(VLOOKUP(GD38,Actions!$G$2:$AP$70,31,0)),"",VLOOKUP(GD38,Actions!$G$2:$AP$70,36,0))</f>
        <v/>
      </c>
      <c r="GD38" s="185" t="str">
        <f t="shared" ca="1" si="92"/>
        <v/>
      </c>
      <c r="GE38" s="286">
        <f t="shared" ca="1" si="84"/>
        <v>0</v>
      </c>
      <c r="GF38" s="186">
        <f t="shared" ca="1" si="129"/>
        <v>0</v>
      </c>
      <c r="GG38" s="233"/>
    </row>
    <row r="39" spans="1:189" hidden="1">
      <c r="A39" s="1" t="s">
        <v>899</v>
      </c>
      <c r="B39" s="1">
        <f>Actions!F32</f>
        <v>31</v>
      </c>
      <c r="C39" s="1">
        <f ca="1">Actions!G32</f>
        <v>0</v>
      </c>
      <c r="D39" s="1">
        <f ca="1">Actions!H32</f>
        <v>0</v>
      </c>
      <c r="E39" s="1" t="str">
        <f ca="1">Actions!I32</f>
        <v>-</v>
      </c>
      <c r="F39" s="1" t="str">
        <f t="shared" ca="1" si="0"/>
        <v>-</v>
      </c>
      <c r="G39" s="1" t="e">
        <f t="shared" ca="1" si="1"/>
        <v>#REF!</v>
      </c>
      <c r="I39" s="1">
        <v>31</v>
      </c>
      <c r="J39" s="175">
        <f t="shared" ca="1" si="2"/>
        <v>0</v>
      </c>
      <c r="K39" s="175" t="str">
        <f t="shared" ca="1" si="3"/>
        <v/>
      </c>
      <c r="L39" s="169" t="str">
        <f t="shared" ca="1" si="93"/>
        <v/>
      </c>
      <c r="M39" s="169" t="str">
        <f t="array" aca="1" ref="M39" ca="1">IF(ROWS($9:38)&lt;=COUNTIF(Condition1,"o"),INDEX(Liste1,SMALL(IF(Condition1="o",ROW(INDIRECT("1:"&amp;ROWS(Liste1)))),ROWS($9:38))),"")</f>
        <v/>
      </c>
      <c r="N39" s="175">
        <f t="shared" ca="1" si="4"/>
        <v>0</v>
      </c>
      <c r="O39" s="175" t="str">
        <f t="shared" ca="1" si="5"/>
        <v/>
      </c>
      <c r="P39" s="169" t="str">
        <f t="shared" ca="1" si="94"/>
        <v/>
      </c>
      <c r="Q39" s="169" t="str">
        <f t="array" aca="1" ref="Q39" ca="1">IF(ROWS($9:38)&lt;=COUNTIF(Condition2,"o"),INDEX(Liste2,SMALL(IF(Condition2="o",ROW(INDIRECT("1:"&amp;ROWS(Liste2)))),ROWS($9:38))),"")</f>
        <v/>
      </c>
      <c r="R39" s="175">
        <f t="shared" ca="1" si="6"/>
        <v>0</v>
      </c>
      <c r="S39" s="175" t="str">
        <f t="shared" ca="1" si="7"/>
        <v/>
      </c>
      <c r="T39" s="169" t="str">
        <f t="shared" ca="1" si="95"/>
        <v/>
      </c>
      <c r="U39" s="169" t="str">
        <f t="array" aca="1" ref="U39" ca="1">IF(ROWS($9:38)&lt;=COUNTIF(Condition3,"o"),INDEX(Liste3,SMALL(IF(Condition3="o",ROW(INDIRECT("1:"&amp;ROWS(Liste3)))),ROWS($9:38))),"")</f>
        <v/>
      </c>
      <c r="V39" s="175">
        <f t="shared" ca="1" si="8"/>
        <v>0</v>
      </c>
      <c r="W39" s="175" t="str">
        <f t="shared" ca="1" si="9"/>
        <v/>
      </c>
      <c r="X39" s="169" t="str">
        <f t="shared" ca="1" si="96"/>
        <v/>
      </c>
      <c r="Y39" s="169" t="str">
        <f t="array" aca="1" ref="Y39" ca="1">IF(ROWS($9:38)&lt;=COUNTIF(Condition4,"o"),INDEX(Liste4,SMALL(IF(Condition4="o",ROW(INDIRECT("1:"&amp;ROWS(Liste4)))),ROWS($9:38))),"")</f>
        <v/>
      </c>
      <c r="Z39" s="175">
        <f t="shared" ca="1" si="10"/>
        <v>0</v>
      </c>
      <c r="AA39" s="175" t="str">
        <f t="shared" ca="1" si="11"/>
        <v/>
      </c>
      <c r="AB39" s="169" t="str">
        <f t="shared" ca="1" si="97"/>
        <v/>
      </c>
      <c r="AC39" s="169" t="str">
        <f t="array" aca="1" ref="AC39" ca="1">IF(ROWS($9:38)&lt;=COUNTIF(Condition5,"o"),INDEX(Liste5,SMALL(IF(Condition5="o",ROW(INDIRECT("1:"&amp;ROWS(Liste5)))),ROWS($9:38))),"")</f>
        <v/>
      </c>
      <c r="AD39" s="175">
        <f t="shared" ca="1" si="12"/>
        <v>0</v>
      </c>
      <c r="AE39" s="175" t="str">
        <f t="shared" ca="1" si="13"/>
        <v/>
      </c>
      <c r="AF39" s="169" t="str">
        <f t="shared" ca="1" si="98"/>
        <v/>
      </c>
      <c r="AG39" s="169" t="str">
        <f t="array" aca="1" ref="AG39" ca="1">IF(ROWS($9:38)&lt;=COUNTIF(Condition6,"o"),INDEX(Liste6,SMALL(IF(Condition6="o",ROW(INDIRECT("1:"&amp;ROWS(Liste6)))),ROWS($9:38))),"")</f>
        <v/>
      </c>
      <c r="AH39" s="175">
        <f t="shared" ca="1" si="14"/>
        <v>0</v>
      </c>
      <c r="AI39" s="175" t="str">
        <f t="shared" ca="1" si="15"/>
        <v/>
      </c>
      <c r="AJ39" s="169" t="str">
        <f t="shared" ca="1" si="99"/>
        <v/>
      </c>
      <c r="AK39" s="169" t="str">
        <f t="array" aca="1" ref="AK39" ca="1">IF(ROWS($9:38)&lt;=COUNTIF(Condition7,"o"),INDEX(Liste7,SMALL(IF(Condition7="o",ROW(INDIRECT("1:"&amp;ROWS(Liste7)))),ROWS($9:38))),"")</f>
        <v/>
      </c>
      <c r="AL39" s="175">
        <f t="shared" ca="1" si="16"/>
        <v>0</v>
      </c>
      <c r="AM39" s="175" t="str">
        <f t="shared" ca="1" si="17"/>
        <v/>
      </c>
      <c r="AN39" s="169" t="str">
        <f t="shared" ca="1" si="100"/>
        <v/>
      </c>
      <c r="AO39" s="169" t="str">
        <f t="array" aca="1" ref="AO39" ca="1">IF(ROWS($9:38)&lt;=COUNTIF(Condition8,"o"),INDEX(Liste8,SMALL(IF(Condition8="o",ROW(INDIRECT("1:"&amp;ROWS(Liste8)))),ROWS($9:38))),"")</f>
        <v/>
      </c>
      <c r="AP39" s="175">
        <f t="shared" ca="1" si="18"/>
        <v>0</v>
      </c>
      <c r="AQ39" s="175" t="str">
        <f t="shared" ca="1" si="19"/>
        <v/>
      </c>
      <c r="AR39" s="169" t="str">
        <f t="shared" ca="1" si="101"/>
        <v/>
      </c>
      <c r="AS39" s="169" t="str">
        <f t="array" aca="1" ref="AS39" ca="1">IF(ROWS($9:38)&lt;=COUNTIF(Condition9,"o"),INDEX(Liste9,SMALL(IF(Condition9="o",ROW(INDIRECT("1:"&amp;ROWS(Liste9)))),ROWS($9:38))),"")</f>
        <v/>
      </c>
      <c r="AT39" s="175">
        <f t="shared" ca="1" si="20"/>
        <v>0</v>
      </c>
      <c r="AU39" s="175" t="str">
        <f t="shared" ca="1" si="21"/>
        <v/>
      </c>
      <c r="AV39" s="169" t="str">
        <f t="shared" ca="1" si="102"/>
        <v/>
      </c>
      <c r="AW39" s="169" t="str">
        <f t="array" aca="1" ref="AW39" ca="1">IF(ROWS($9:38)&lt;=COUNTIF(Condition10,"o"),INDEX(Liste10,SMALL(IF(Condition10="o",ROW(INDIRECT("1:"&amp;ROWS(Liste10)))),ROWS($9:38))),"")</f>
        <v/>
      </c>
      <c r="AX39" s="175">
        <f t="shared" ca="1" si="22"/>
        <v>0</v>
      </c>
      <c r="AY39" s="175" t="str">
        <f t="shared" ca="1" si="23"/>
        <v/>
      </c>
      <c r="AZ39" s="169" t="str">
        <f t="shared" ca="1" si="103"/>
        <v/>
      </c>
      <c r="BA39" s="169" t="str">
        <f t="array" aca="1" ref="BA39" ca="1">IF(ROWS($9:38)&lt;=COUNTIF(Condition11,"o"),INDEX(Liste11,SMALL(IF(Condition11="o",ROW(INDIRECT("1:"&amp;ROWS(Liste11)))),ROWS($9:38))),"")</f>
        <v/>
      </c>
      <c r="BB39" s="175">
        <f t="shared" ca="1" si="24"/>
        <v>0</v>
      </c>
      <c r="BC39" s="175" t="str">
        <f t="shared" ca="1" si="25"/>
        <v/>
      </c>
      <c r="BD39" s="169" t="str">
        <f t="shared" ca="1" si="104"/>
        <v/>
      </c>
      <c r="BE39" s="169" t="str">
        <f t="array" aca="1" ref="BE39" ca="1">IF(ROWS($9:38)&lt;=COUNTIF(Condition12,"o"),INDEX(Liste12,SMALL(IF(Condition12="o",ROW(INDIRECT("1:"&amp;ROWS(Liste12)))),ROWS($9:38))),"")</f>
        <v/>
      </c>
      <c r="BF39" s="175">
        <f t="shared" ca="1" si="26"/>
        <v>0</v>
      </c>
      <c r="BG39" s="175" t="str">
        <f t="shared" ca="1" si="27"/>
        <v/>
      </c>
      <c r="BH39" s="169" t="str">
        <f t="shared" ca="1" si="105"/>
        <v/>
      </c>
      <c r="BI39" s="169" t="str">
        <f t="array" aca="1" ref="BI39" ca="1">IF(ROWS($9:38)&lt;=COUNTIF(Condition13,"o"),INDEX(Liste13,SMALL(IF(Condition13="o",ROW(INDIRECT("1:"&amp;ROWS(Liste13)))),ROWS($9:38))),"")</f>
        <v/>
      </c>
      <c r="BJ39" s="175">
        <f t="shared" ca="1" si="28"/>
        <v>0</v>
      </c>
      <c r="BK39" s="175" t="str">
        <f t="shared" ca="1" si="29"/>
        <v/>
      </c>
      <c r="BL39" s="169" t="str">
        <f t="shared" ca="1" si="106"/>
        <v/>
      </c>
      <c r="BM39" s="169" t="str">
        <f t="array" aca="1" ref="BM39" ca="1">IF(ROWS($9:38)&lt;=COUNTIF(Condition14,"o"),INDEX(Liste14,SMALL(IF(Condition14="o",ROW(INDIRECT("1:"&amp;ROWS(Liste14)))),ROWS($9:38))),"")</f>
        <v/>
      </c>
      <c r="BN39" s="175">
        <f t="shared" ca="1" si="30"/>
        <v>0</v>
      </c>
      <c r="BO39" s="175" t="str">
        <f t="shared" ca="1" si="31"/>
        <v/>
      </c>
      <c r="BP39" s="169" t="str">
        <f t="shared" ca="1" si="107"/>
        <v/>
      </c>
      <c r="BQ39" s="169" t="str">
        <f t="array" aca="1" ref="BQ39" ca="1">IF(ROWS($9:38)&lt;=COUNTIF(Condition15,"o"),INDEX(Liste15,SMALL(IF(Condition15="o",ROW(INDIRECT("1:"&amp;ROWS(Liste15)))),ROWS($9:38))),"")</f>
        <v/>
      </c>
      <c r="BR39" s="175">
        <f t="shared" ca="1" si="32"/>
        <v>0</v>
      </c>
      <c r="BS39" s="175" t="str">
        <f t="shared" ca="1" si="33"/>
        <v/>
      </c>
      <c r="BT39" s="169" t="str">
        <f t="shared" ca="1" si="108"/>
        <v/>
      </c>
      <c r="BU39" s="169" t="str">
        <f t="array" aca="1" ref="BU39" ca="1">IF(ROWS($9:38)&lt;=COUNTIF(Condition16,"o"),INDEX(Liste16,SMALL(IF(Condition16="o",ROW(INDIRECT("1:"&amp;ROWS(Liste16)))),ROWS($9:38))),"")</f>
        <v/>
      </c>
      <c r="BV39" s="175">
        <f t="shared" ca="1" si="34"/>
        <v>0</v>
      </c>
      <c r="BW39" s="175" t="str">
        <f t="shared" ca="1" si="35"/>
        <v/>
      </c>
      <c r="BX39" s="169" t="str">
        <f t="shared" ca="1" si="109"/>
        <v/>
      </c>
      <c r="BY39" s="169" t="str">
        <f t="array" aca="1" ref="BY39" ca="1">IF(ROWS($9:38)&lt;=COUNTIF(Condition17,"o"),INDEX(Liste17,SMALL(IF(Condition17="o",ROW(INDIRECT("1:"&amp;ROWS(Liste17)))),ROWS($9:38))),"")</f>
        <v/>
      </c>
      <c r="BZ39" s="175">
        <f t="shared" ca="1" si="36"/>
        <v>0</v>
      </c>
      <c r="CA39" s="175" t="str">
        <f t="shared" ca="1" si="37"/>
        <v/>
      </c>
      <c r="CB39" s="169" t="str">
        <f t="shared" ca="1" si="110"/>
        <v/>
      </c>
      <c r="CC39" s="169" t="str">
        <f t="array" aca="1" ref="CC39" ca="1">IF(ROWS($9:38)&lt;=COUNTIF(Condition18,"o"),INDEX(Liste18,SMALL(IF(Condition18="o",ROW(INDIRECT("1:"&amp;ROWS(Liste18)))),ROWS($9:38))),"")</f>
        <v/>
      </c>
      <c r="CD39" s="175">
        <f t="shared" ca="1" si="38"/>
        <v>0</v>
      </c>
      <c r="CE39" s="175" t="str">
        <f t="shared" ca="1" si="39"/>
        <v/>
      </c>
      <c r="CF39" s="169" t="str">
        <f t="shared" ca="1" si="111"/>
        <v/>
      </c>
      <c r="CG39" s="169" t="str">
        <f t="array" aca="1" ref="CG39" ca="1">IF(ROWS($9:38)&lt;=COUNTIF(Condition19,"o"),INDEX(Liste19,SMALL(IF(Condition19="o",ROW(INDIRECT("1:"&amp;ROWS(Liste19)))),ROWS($9:38))),"")</f>
        <v/>
      </c>
      <c r="CH39" s="175">
        <f t="shared" ca="1" si="40"/>
        <v>0</v>
      </c>
      <c r="CI39" s="175" t="str">
        <f t="shared" ca="1" si="41"/>
        <v/>
      </c>
      <c r="CJ39" s="169" t="str">
        <f t="shared" ca="1" si="112"/>
        <v/>
      </c>
      <c r="CK39" s="169" t="str">
        <f t="array" aca="1" ref="CK39" ca="1">IF(ROWS($9:38)&lt;=COUNTIF(Condition20,"o"),INDEX(Liste20,SMALL(IF(Condition20="o",ROW(INDIRECT("1:"&amp;ROWS(Liste20)))),ROWS($9:38))),"")</f>
        <v/>
      </c>
      <c r="CL39" s="175">
        <f t="shared" ca="1" si="42"/>
        <v>0</v>
      </c>
      <c r="CM39" s="175" t="str">
        <f t="shared" ca="1" si="43"/>
        <v/>
      </c>
      <c r="CN39" s="169" t="str">
        <f t="shared" ca="1" si="113"/>
        <v/>
      </c>
      <c r="CO39" s="169" t="str">
        <f t="array" aca="1" ref="CO39" ca="1">IF(ROWS($9:38)&lt;=COUNTIF(Condition21,"o"),INDEX(Liste21,SMALL(IF(Condition21="o",ROW(INDIRECT("1:"&amp;ROWS(Liste21)))),ROWS($9:38))),"")</f>
        <v/>
      </c>
      <c r="CP39" s="175">
        <f t="shared" ca="1" si="44"/>
        <v>0</v>
      </c>
      <c r="CQ39" s="175" t="str">
        <f t="shared" ca="1" si="45"/>
        <v/>
      </c>
      <c r="CR39" s="169" t="str">
        <f t="shared" ca="1" si="114"/>
        <v/>
      </c>
      <c r="CS39" s="169" t="str">
        <f t="array" aca="1" ref="CS39" ca="1">IF(ROWS($9:38)&lt;=COUNTIF(Condition22,"o"),INDEX(Liste22,SMALL(IF(Condition22="o",ROW(INDIRECT("1:"&amp;ROWS(Liste22)))),ROWS($9:38))),"")</f>
        <v/>
      </c>
      <c r="CT39" s="175">
        <f t="shared" ca="1" si="46"/>
        <v>0</v>
      </c>
      <c r="CU39" s="175" t="str">
        <f t="shared" ca="1" si="47"/>
        <v/>
      </c>
      <c r="CV39" s="169" t="str">
        <f t="shared" ca="1" si="115"/>
        <v/>
      </c>
      <c r="CW39" s="169" t="str">
        <f t="array" aca="1" ref="CW39" ca="1">IF(ROWS($9:38)&lt;=COUNTIF(Condition23,"o"),INDEX(Liste23,SMALL(IF(Condition23="o",ROW(INDIRECT("1:"&amp;ROWS(Liste23)))),ROWS($9:38))),"")</f>
        <v/>
      </c>
      <c r="CX39" s="175">
        <f t="shared" ca="1" si="48"/>
        <v>0</v>
      </c>
      <c r="CY39" s="175" t="str">
        <f t="shared" ca="1" si="49"/>
        <v/>
      </c>
      <c r="CZ39" s="169" t="str">
        <f t="shared" ca="1" si="116"/>
        <v/>
      </c>
      <c r="DA39" s="169" t="str">
        <f t="array" aca="1" ref="DA39" ca="1">IF(ROWS($9:38)&lt;=COUNTIF(Condition24,"o"),INDEX(Liste24,SMALL(IF(Condition24="o",ROW(INDIRECT("1:"&amp;ROWS(Liste24)))),ROWS($9:38))),"")</f>
        <v/>
      </c>
      <c r="DB39" s="175">
        <f t="shared" ca="1" si="50"/>
        <v>0</v>
      </c>
      <c r="DC39" s="175" t="str">
        <f t="shared" ca="1" si="51"/>
        <v/>
      </c>
      <c r="DD39" s="169" t="str">
        <f t="shared" ca="1" si="117"/>
        <v/>
      </c>
      <c r="DE39" s="169" t="str">
        <f t="array" aca="1" ref="DE39" ca="1">IF(ROWS($9:38)&lt;=COUNTIF(Condition25,"o"),INDEX(Liste25,SMALL(IF(Condition25="o",ROW(INDIRECT("1:"&amp;ROWS(Liste25)))),ROWS($9:38))),"")</f>
        <v/>
      </c>
      <c r="DF39" s="175">
        <f t="shared" ca="1" si="52"/>
        <v>0</v>
      </c>
      <c r="DG39" s="175" t="str">
        <f t="shared" ca="1" si="53"/>
        <v/>
      </c>
      <c r="DH39" s="169" t="str">
        <f t="shared" ca="1" si="118"/>
        <v/>
      </c>
      <c r="DI39" s="169" t="str">
        <f t="array" aca="1" ref="DI39" ca="1">IF(ROWS($9:38)&lt;=COUNTIF(Condition26,"o"),INDEX(Liste26,SMALL(IF(Condition26="o",ROW(INDIRECT("1:"&amp;ROWS(Liste26)))),ROWS($9:38))),"")</f>
        <v/>
      </c>
      <c r="DJ39" s="175">
        <f t="shared" ca="1" si="54"/>
        <v>0</v>
      </c>
      <c r="DK39" s="175" t="str">
        <f t="shared" ca="1" si="55"/>
        <v/>
      </c>
      <c r="DL39" s="169" t="str">
        <f t="shared" ca="1" si="119"/>
        <v/>
      </c>
      <c r="DM39" s="169" t="str">
        <f t="array" aca="1" ref="DM39" ca="1">IF(ROWS($9:38)&lt;=COUNTIF(Condition27,"o"),INDEX(Liste27,SMALL(IF(Condition27="o",ROW(INDIRECT("1:"&amp;ROWS(Liste27)))),ROWS($9:38))),"")</f>
        <v/>
      </c>
      <c r="DN39" s="175">
        <f t="shared" ca="1" si="56"/>
        <v>0</v>
      </c>
      <c r="DO39" s="175" t="str">
        <f t="shared" ca="1" si="57"/>
        <v/>
      </c>
      <c r="DP39" s="169" t="str">
        <f t="shared" ca="1" si="120"/>
        <v/>
      </c>
      <c r="DQ39" s="169" t="str">
        <f t="array" aca="1" ref="DQ39" ca="1">IF(ROWS($9:38)&lt;=COUNTIF(Condition28,"o"),INDEX(Liste28,SMALL(IF(Condition28="o",ROW(INDIRECT("1:"&amp;ROWS(Liste28)))),ROWS($9:38))),"")</f>
        <v/>
      </c>
      <c r="DR39" s="175">
        <f t="shared" ca="1" si="58"/>
        <v>0</v>
      </c>
      <c r="DS39" s="175" t="str">
        <f t="shared" ca="1" si="59"/>
        <v/>
      </c>
      <c r="DT39" s="169" t="str">
        <f t="shared" ca="1" si="121"/>
        <v/>
      </c>
      <c r="DU39" s="169" t="str">
        <f t="array" aca="1" ref="DU39" ca="1">IF(ROWS($9:38)&lt;=COUNTIF(Condition29,"o"),INDEX(Liste29,SMALL(IF(Condition29="o",ROW(INDIRECT("1:"&amp;ROWS(Liste29)))),ROWS($9:38))),"")</f>
        <v/>
      </c>
      <c r="DV39" s="175">
        <f t="shared" ca="1" si="60"/>
        <v>0</v>
      </c>
      <c r="DW39" s="175" t="str">
        <f t="shared" ca="1" si="61"/>
        <v/>
      </c>
      <c r="DX39" s="169" t="str">
        <f t="shared" ca="1" si="122"/>
        <v/>
      </c>
      <c r="DY39" s="169" t="str">
        <f t="array" aca="1" ref="DY39" ca="1">IF(ROWS($9:38)&lt;=COUNTIF(Condition30,"o"),INDEX(Liste30,SMALL(IF(Condition30="o",ROW(INDIRECT("1:"&amp;ROWS(Liste30)))),ROWS($9:38))),"")</f>
        <v/>
      </c>
      <c r="DZ39" s="175">
        <f t="shared" ca="1" si="62"/>
        <v>0</v>
      </c>
      <c r="EA39" s="175" t="str">
        <f t="shared" ca="1" si="63"/>
        <v/>
      </c>
      <c r="EB39" s="169" t="str">
        <f t="shared" ca="1" si="123"/>
        <v/>
      </c>
      <c r="EC39" s="169" t="str">
        <f t="array" aca="1" ref="EC39" ca="1">IF(ROWS($9:38)&lt;=COUNTIF(Condition31,"o"),INDEX(Liste31,SMALL(IF(Condition31="o",ROW(INDIRECT("1:"&amp;ROWS(Liste31)))),ROWS($9:38))),"")</f>
        <v/>
      </c>
      <c r="ED39" s="175">
        <f t="shared" ca="1" si="64"/>
        <v>0</v>
      </c>
      <c r="EE39" s="175" t="str">
        <f t="shared" ca="1" si="65"/>
        <v/>
      </c>
      <c r="EF39" s="169" t="str">
        <f t="shared" ca="1" si="124"/>
        <v/>
      </c>
      <c r="EG39" s="169" t="str">
        <f t="array" aca="1" ref="EG39" ca="1">IF(ROWS($9:38)&lt;=COUNTIF(Condition32,"o"),INDEX(Liste32,SMALL(IF(Condition32="o",ROW(INDIRECT("1:"&amp;ROWS(Liste32)))),ROWS($9:38))),"")</f>
        <v/>
      </c>
      <c r="EH39" s="175">
        <f t="shared" ca="1" si="66"/>
        <v>0</v>
      </c>
      <c r="EI39" s="175" t="str">
        <f t="shared" ca="1" si="67"/>
        <v/>
      </c>
      <c r="EJ39" s="169" t="str">
        <f t="shared" ca="1" si="125"/>
        <v/>
      </c>
      <c r="EK39" s="169" t="str">
        <f t="array" aca="1" ref="EK39" ca="1">IF(ROWS($9:38)&lt;=COUNTIF(Condition33,"o"),INDEX(Liste33,SMALL(IF(Condition33="o",ROW(INDIRECT("1:"&amp;ROWS(Liste33)))),ROWS($9:38))),"")</f>
        <v/>
      </c>
      <c r="EL39" s="175">
        <f t="shared" ca="1" si="68"/>
        <v>0</v>
      </c>
      <c r="EM39" s="175" t="str">
        <f t="shared" ca="1" si="69"/>
        <v/>
      </c>
      <c r="EN39" s="169" t="str">
        <f t="shared" ca="1" si="126"/>
        <v/>
      </c>
      <c r="EO39" s="169" t="str">
        <f t="array" aca="1" ref="EO39" ca="1">IF(ROWS($9:38)&lt;=COUNTIF(Condition34,"o"),INDEX(Liste34,SMALL(IF(Condition34="o",ROW(INDIRECT("1:"&amp;ROWS(Liste34)))),ROWS($9:38))),"")</f>
        <v/>
      </c>
      <c r="EP39" s="175">
        <f t="shared" ca="1" si="70"/>
        <v>0</v>
      </c>
      <c r="EQ39" s="175" t="str">
        <f t="shared" ca="1" si="71"/>
        <v/>
      </c>
      <c r="ER39" s="169" t="str">
        <f t="shared" ca="1" si="127"/>
        <v/>
      </c>
      <c r="ES39" s="169" t="str">
        <f t="array" aca="1" ref="ES39" ca="1">IF(ROWS($9:38)&lt;=COUNTIF(Condition35,"o"),INDEX(Liste35,SMALL(IF(Condition35="o",ROW(INDIRECT("1:"&amp;ROWS(Liste35)))),ROWS($9:38))),"")</f>
        <v/>
      </c>
      <c r="ET39" s="175">
        <f t="shared" ca="1" si="72"/>
        <v>0</v>
      </c>
      <c r="EU39" s="175" t="str">
        <f t="shared" ca="1" si="73"/>
        <v/>
      </c>
      <c r="EV39" s="169" t="str">
        <f t="shared" ca="1" si="128"/>
        <v/>
      </c>
      <c r="EW39" s="169" t="str">
        <f t="array" aca="1" ref="EW39" ca="1">IF(ROWS($9:38)&lt;=COUNTIF(Condition36,"o"),INDEX(Liste36,SMALL(IF(Condition36="o",ROW(INDIRECT("1:"&amp;ROWS(Liste36)))),ROWS($9:38))),"")</f>
        <v/>
      </c>
      <c r="EX39" s="175">
        <f t="shared" ca="1" si="74"/>
        <v>0</v>
      </c>
      <c r="EY39" s="175" t="str">
        <f t="shared" ca="1" si="75"/>
        <v/>
      </c>
      <c r="EZ39" s="169" t="str">
        <f t="shared" ca="1" si="85"/>
        <v/>
      </c>
      <c r="FA39" s="169" t="str">
        <f t="array" aca="1" ref="FA39" ca="1">IF(ROWS($9:38)&lt;=COUNTIF(Condition36,"o"),INDEX(Liste36,SMALL(IF(Condition36="o",ROW(INDIRECT("1:"&amp;ROWS(Liste36)))),ROWS($9:38))),"")</f>
        <v/>
      </c>
      <c r="FB39" s="175">
        <f t="shared" ca="1" si="76"/>
        <v>0</v>
      </c>
      <c r="FC39" s="175" t="str">
        <f t="shared" ca="1" si="77"/>
        <v/>
      </c>
      <c r="FD39" s="169" t="str">
        <f t="shared" ca="1" si="86"/>
        <v/>
      </c>
      <c r="FE39" s="175">
        <f>IF(ISNA(HLOOKUP(FE$7,$B$147:$AW$217,$I39,0)),IF(ISNA(HLOOKUP(FE$8,$B$147:$AW$217,$I39,0)),0,HLOOKUP(FE$8,$B$147:$AW$217,$I39,0)),IF(HLOOKUP(FE$7,$B$147:$AW$217,$I39,0)=0,IF(ISNA(HLOOKUP(FE$8,$B$147:$AW$217,$I39,0)),0,HLOOKUP(FE$8,$B$147:$AW$217,$I39,0)),HLOOKUP(FE$7,$B$147:$AW$217,$I39,0)))</f>
        <v>0</v>
      </c>
      <c r="FF39" s="175">
        <f t="shared" ca="1" si="78"/>
        <v>0</v>
      </c>
      <c r="FG39" s="175" t="str">
        <f t="shared" ca="1" si="79"/>
        <v/>
      </c>
      <c r="FH39" s="169" t="str">
        <f t="shared" ca="1" si="87"/>
        <v/>
      </c>
      <c r="FI39" s="169" t="str">
        <f t="array" aca="1" ref="FI39" ca="1">IF(ROWS($9:38)&lt;=COUNTIF(Condition39,"o"),INDEX(Liste39,SMALL(IF(Condition39="o",ROW(INDIRECT("1:"&amp;ROWS(Liste39)))),ROWS($9:38))),"")</f>
        <v/>
      </c>
      <c r="FM39" s="1" t="s">
        <v>1218</v>
      </c>
      <c r="FN39" s="1" t="s">
        <v>1167</v>
      </c>
      <c r="FO39" s="180">
        <f>'Suivi objectifs'!D34</f>
        <v>0</v>
      </c>
      <c r="FP39" s="1366" t="str">
        <f>'Suivi objectifs'!C36</f>
        <v>Gestion des déchets</v>
      </c>
      <c r="FQ39" s="181" t="str">
        <f ca="1">IF(ISNA(VLOOKUP(FR39,Actions!$G$2:$AP$70,31,0)),"",VLOOKUP(FR39,Actions!$G$2:$AP$70,36,0))</f>
        <v/>
      </c>
      <c r="FR39" s="185" t="str">
        <f t="shared" ca="1" si="88"/>
        <v/>
      </c>
      <c r="FS39" s="286">
        <f t="shared" ca="1" si="80"/>
        <v>0</v>
      </c>
      <c r="FT39" s="181" t="str">
        <f ca="1">IF(ISNA(VLOOKUP(FU39,Actions!$G$2:$AP$70,31,0)),"",VLOOKUP(FU39,Actions!$G$2:$AP$70,36,0))</f>
        <v/>
      </c>
      <c r="FU39" s="185" t="str">
        <f t="shared" ca="1" si="89"/>
        <v/>
      </c>
      <c r="FV39" s="286">
        <f t="shared" ca="1" si="81"/>
        <v>0</v>
      </c>
      <c r="FW39" s="181" t="str">
        <f ca="1">IF(ISNA(VLOOKUP(FX39,Actions!$G$2:$AP$70,31,0)),"",VLOOKUP(FX39,Actions!$G$2:$AP$70,36,0))</f>
        <v/>
      </c>
      <c r="FX39" s="185" t="str">
        <f t="shared" ca="1" si="90"/>
        <v/>
      </c>
      <c r="FY39" s="286">
        <f t="shared" ca="1" si="82"/>
        <v>0</v>
      </c>
      <c r="FZ39" s="181" t="str">
        <f ca="1">IF(ISNA(VLOOKUP(GA39,Actions!$G$2:$AP$70,31,0)),"",VLOOKUP(GA39,Actions!$G$2:$AP$70,36,0))</f>
        <v/>
      </c>
      <c r="GA39" s="185" t="str">
        <f t="shared" ca="1" si="91"/>
        <v/>
      </c>
      <c r="GB39" s="286">
        <f t="shared" ca="1" si="83"/>
        <v>0</v>
      </c>
      <c r="GC39" s="181" t="str">
        <f ca="1">IF(ISNA(VLOOKUP(GD39,Actions!$G$2:$AP$70,31,0)),"",VLOOKUP(GD39,Actions!$G$2:$AP$70,36,0))</f>
        <v/>
      </c>
      <c r="GD39" s="185" t="str">
        <f t="shared" ca="1" si="92"/>
        <v/>
      </c>
      <c r="GE39" s="286">
        <f t="shared" ca="1" si="84"/>
        <v>0</v>
      </c>
      <c r="GF39" s="186">
        <f t="shared" ca="1" si="129"/>
        <v>0</v>
      </c>
      <c r="GG39" s="233"/>
    </row>
    <row r="40" spans="1:189" hidden="1">
      <c r="A40" s="1" t="s">
        <v>905</v>
      </c>
      <c r="B40" s="1">
        <f>Actions!F33</f>
        <v>32</v>
      </c>
      <c r="C40" s="1">
        <f ca="1">Actions!G33</f>
        <v>0</v>
      </c>
      <c r="D40" s="1">
        <f ca="1">Actions!H33</f>
        <v>0</v>
      </c>
      <c r="E40" s="1" t="str">
        <f ca="1">Actions!I33</f>
        <v>-</v>
      </c>
      <c r="F40" s="1" t="str">
        <f t="shared" ca="1" si="0"/>
        <v>-</v>
      </c>
      <c r="G40" s="1" t="e">
        <f t="shared" ca="1" si="1"/>
        <v>#REF!</v>
      </c>
      <c r="I40" s="1">
        <v>32</v>
      </c>
      <c r="J40" s="175">
        <f t="shared" ca="1" si="2"/>
        <v>0</v>
      </c>
      <c r="K40" s="175" t="str">
        <f t="shared" ca="1" si="3"/>
        <v/>
      </c>
      <c r="L40" s="169" t="str">
        <f t="shared" ca="1" si="93"/>
        <v/>
      </c>
      <c r="M40" s="169" t="str">
        <f t="array" aca="1" ref="M40" ca="1">IF(ROWS($9:39)&lt;=COUNTIF(Condition1,"o"),INDEX(Liste1,SMALL(IF(Condition1="o",ROW(INDIRECT("1:"&amp;ROWS(Liste1)))),ROWS($9:39))),"")</f>
        <v/>
      </c>
      <c r="N40" s="175">
        <f t="shared" ca="1" si="4"/>
        <v>0</v>
      </c>
      <c r="O40" s="175" t="str">
        <f t="shared" ca="1" si="5"/>
        <v/>
      </c>
      <c r="P40" s="169" t="str">
        <f t="shared" ca="1" si="94"/>
        <v/>
      </c>
      <c r="Q40" s="169" t="str">
        <f t="array" aca="1" ref="Q40" ca="1">IF(ROWS($9:39)&lt;=COUNTIF(Condition2,"o"),INDEX(Liste2,SMALL(IF(Condition2="o",ROW(INDIRECT("1:"&amp;ROWS(Liste2)))),ROWS($9:39))),"")</f>
        <v/>
      </c>
      <c r="R40" s="175">
        <f t="shared" ca="1" si="6"/>
        <v>0</v>
      </c>
      <c r="S40" s="175" t="str">
        <f t="shared" ca="1" si="7"/>
        <v/>
      </c>
      <c r="T40" s="169" t="str">
        <f t="shared" ca="1" si="95"/>
        <v/>
      </c>
      <c r="U40" s="169" t="str">
        <f t="array" aca="1" ref="U40" ca="1">IF(ROWS($9:39)&lt;=COUNTIF(Condition3,"o"),INDEX(Liste3,SMALL(IF(Condition3="o",ROW(INDIRECT("1:"&amp;ROWS(Liste3)))),ROWS($9:39))),"")</f>
        <v/>
      </c>
      <c r="V40" s="175">
        <f t="shared" ca="1" si="8"/>
        <v>0</v>
      </c>
      <c r="W40" s="175" t="str">
        <f t="shared" ca="1" si="9"/>
        <v/>
      </c>
      <c r="X40" s="169" t="str">
        <f t="shared" ca="1" si="96"/>
        <v/>
      </c>
      <c r="Y40" s="169" t="str">
        <f t="array" aca="1" ref="Y40" ca="1">IF(ROWS($9:39)&lt;=COUNTIF(Condition4,"o"),INDEX(Liste4,SMALL(IF(Condition4="o",ROW(INDIRECT("1:"&amp;ROWS(Liste4)))),ROWS($9:39))),"")</f>
        <v/>
      </c>
      <c r="Z40" s="175">
        <f t="shared" ca="1" si="10"/>
        <v>0</v>
      </c>
      <c r="AA40" s="175" t="str">
        <f t="shared" ca="1" si="11"/>
        <v/>
      </c>
      <c r="AB40" s="169" t="str">
        <f t="shared" ca="1" si="97"/>
        <v/>
      </c>
      <c r="AC40" s="169" t="str">
        <f t="array" aca="1" ref="AC40" ca="1">IF(ROWS($9:39)&lt;=COUNTIF(Condition5,"o"),INDEX(Liste5,SMALL(IF(Condition5="o",ROW(INDIRECT("1:"&amp;ROWS(Liste5)))),ROWS($9:39))),"")</f>
        <v/>
      </c>
      <c r="AD40" s="175">
        <f t="shared" ca="1" si="12"/>
        <v>0</v>
      </c>
      <c r="AE40" s="175" t="str">
        <f t="shared" ca="1" si="13"/>
        <v/>
      </c>
      <c r="AF40" s="169" t="str">
        <f t="shared" ca="1" si="98"/>
        <v/>
      </c>
      <c r="AG40" s="169" t="str">
        <f t="array" aca="1" ref="AG40" ca="1">IF(ROWS($9:39)&lt;=COUNTIF(Condition6,"o"),INDEX(Liste6,SMALL(IF(Condition6="o",ROW(INDIRECT("1:"&amp;ROWS(Liste6)))),ROWS($9:39))),"")</f>
        <v/>
      </c>
      <c r="AH40" s="175">
        <f t="shared" ca="1" si="14"/>
        <v>0</v>
      </c>
      <c r="AI40" s="175" t="str">
        <f t="shared" ca="1" si="15"/>
        <v/>
      </c>
      <c r="AJ40" s="169" t="str">
        <f t="shared" ca="1" si="99"/>
        <v/>
      </c>
      <c r="AK40" s="169" t="str">
        <f t="array" aca="1" ref="AK40" ca="1">IF(ROWS($9:39)&lt;=COUNTIF(Condition7,"o"),INDEX(Liste7,SMALL(IF(Condition7="o",ROW(INDIRECT("1:"&amp;ROWS(Liste7)))),ROWS($9:39))),"")</f>
        <v/>
      </c>
      <c r="AL40" s="175">
        <f t="shared" ca="1" si="16"/>
        <v>0</v>
      </c>
      <c r="AM40" s="175" t="str">
        <f t="shared" ca="1" si="17"/>
        <v/>
      </c>
      <c r="AN40" s="169" t="str">
        <f t="shared" ca="1" si="100"/>
        <v/>
      </c>
      <c r="AO40" s="169" t="str">
        <f t="array" aca="1" ref="AO40" ca="1">IF(ROWS($9:39)&lt;=COUNTIF(Condition8,"o"),INDEX(Liste8,SMALL(IF(Condition8="o",ROW(INDIRECT("1:"&amp;ROWS(Liste8)))),ROWS($9:39))),"")</f>
        <v/>
      </c>
      <c r="AP40" s="175">
        <f t="shared" ca="1" si="18"/>
        <v>0</v>
      </c>
      <c r="AQ40" s="175" t="str">
        <f t="shared" ca="1" si="19"/>
        <v/>
      </c>
      <c r="AR40" s="169" t="str">
        <f t="shared" ca="1" si="101"/>
        <v/>
      </c>
      <c r="AS40" s="169" t="str">
        <f t="array" aca="1" ref="AS40" ca="1">IF(ROWS($9:39)&lt;=COUNTIF(Condition9,"o"),INDEX(Liste9,SMALL(IF(Condition9="o",ROW(INDIRECT("1:"&amp;ROWS(Liste9)))),ROWS($9:39))),"")</f>
        <v/>
      </c>
      <c r="AT40" s="175">
        <f t="shared" ca="1" si="20"/>
        <v>0</v>
      </c>
      <c r="AU40" s="175" t="str">
        <f t="shared" ca="1" si="21"/>
        <v/>
      </c>
      <c r="AV40" s="169" t="str">
        <f t="shared" ca="1" si="102"/>
        <v/>
      </c>
      <c r="AW40" s="169" t="str">
        <f t="array" aca="1" ref="AW40" ca="1">IF(ROWS($9:39)&lt;=COUNTIF(Condition10,"o"),INDEX(Liste10,SMALL(IF(Condition10="o",ROW(INDIRECT("1:"&amp;ROWS(Liste10)))),ROWS($9:39))),"")</f>
        <v/>
      </c>
      <c r="AX40" s="175">
        <f t="shared" ca="1" si="22"/>
        <v>0</v>
      </c>
      <c r="AY40" s="175" t="str">
        <f t="shared" ca="1" si="23"/>
        <v/>
      </c>
      <c r="AZ40" s="169" t="str">
        <f t="shared" ca="1" si="103"/>
        <v/>
      </c>
      <c r="BA40" s="169" t="str">
        <f t="array" aca="1" ref="BA40" ca="1">IF(ROWS($9:39)&lt;=COUNTIF(Condition11,"o"),INDEX(Liste11,SMALL(IF(Condition11="o",ROW(INDIRECT("1:"&amp;ROWS(Liste11)))),ROWS($9:39))),"")</f>
        <v/>
      </c>
      <c r="BB40" s="175">
        <f t="shared" ca="1" si="24"/>
        <v>0</v>
      </c>
      <c r="BC40" s="175" t="str">
        <f t="shared" ca="1" si="25"/>
        <v/>
      </c>
      <c r="BD40" s="169" t="str">
        <f t="shared" ca="1" si="104"/>
        <v/>
      </c>
      <c r="BE40" s="169" t="str">
        <f t="array" aca="1" ref="BE40" ca="1">IF(ROWS($9:39)&lt;=COUNTIF(Condition12,"o"),INDEX(Liste12,SMALL(IF(Condition12="o",ROW(INDIRECT("1:"&amp;ROWS(Liste12)))),ROWS($9:39))),"")</f>
        <v/>
      </c>
      <c r="BF40" s="175">
        <f t="shared" ca="1" si="26"/>
        <v>0</v>
      </c>
      <c r="BG40" s="175" t="str">
        <f t="shared" ca="1" si="27"/>
        <v/>
      </c>
      <c r="BH40" s="169" t="str">
        <f t="shared" ca="1" si="105"/>
        <v/>
      </c>
      <c r="BI40" s="169" t="str">
        <f t="array" aca="1" ref="BI40" ca="1">IF(ROWS($9:39)&lt;=COUNTIF(Condition13,"o"),INDEX(Liste13,SMALL(IF(Condition13="o",ROW(INDIRECT("1:"&amp;ROWS(Liste13)))),ROWS($9:39))),"")</f>
        <v/>
      </c>
      <c r="BJ40" s="175">
        <f t="shared" ca="1" si="28"/>
        <v>0</v>
      </c>
      <c r="BK40" s="175" t="str">
        <f t="shared" ca="1" si="29"/>
        <v/>
      </c>
      <c r="BL40" s="169" t="str">
        <f t="shared" ca="1" si="106"/>
        <v/>
      </c>
      <c r="BM40" s="169" t="str">
        <f t="array" aca="1" ref="BM40" ca="1">IF(ROWS($9:39)&lt;=COUNTIF(Condition14,"o"),INDEX(Liste14,SMALL(IF(Condition14="o",ROW(INDIRECT("1:"&amp;ROWS(Liste14)))),ROWS($9:39))),"")</f>
        <v/>
      </c>
      <c r="BN40" s="175">
        <f t="shared" ca="1" si="30"/>
        <v>0</v>
      </c>
      <c r="BO40" s="175" t="str">
        <f t="shared" ca="1" si="31"/>
        <v/>
      </c>
      <c r="BP40" s="169" t="str">
        <f t="shared" ca="1" si="107"/>
        <v/>
      </c>
      <c r="BQ40" s="169" t="str">
        <f t="array" aca="1" ref="BQ40" ca="1">IF(ROWS($9:39)&lt;=COUNTIF(Condition15,"o"),INDEX(Liste15,SMALL(IF(Condition15="o",ROW(INDIRECT("1:"&amp;ROWS(Liste15)))),ROWS($9:39))),"")</f>
        <v/>
      </c>
      <c r="BR40" s="175">
        <f t="shared" ca="1" si="32"/>
        <v>0</v>
      </c>
      <c r="BS40" s="175" t="str">
        <f t="shared" ca="1" si="33"/>
        <v/>
      </c>
      <c r="BT40" s="169" t="str">
        <f t="shared" ca="1" si="108"/>
        <v/>
      </c>
      <c r="BU40" s="169" t="str">
        <f t="array" aca="1" ref="BU40" ca="1">IF(ROWS($9:39)&lt;=COUNTIF(Condition16,"o"),INDEX(Liste16,SMALL(IF(Condition16="o",ROW(INDIRECT("1:"&amp;ROWS(Liste16)))),ROWS($9:39))),"")</f>
        <v/>
      </c>
      <c r="BV40" s="175">
        <f t="shared" ca="1" si="34"/>
        <v>0</v>
      </c>
      <c r="BW40" s="175" t="str">
        <f t="shared" ca="1" si="35"/>
        <v/>
      </c>
      <c r="BX40" s="169" t="str">
        <f t="shared" ca="1" si="109"/>
        <v/>
      </c>
      <c r="BY40" s="169" t="str">
        <f t="array" aca="1" ref="BY40" ca="1">IF(ROWS($9:39)&lt;=COUNTIF(Condition17,"o"),INDEX(Liste17,SMALL(IF(Condition17="o",ROW(INDIRECT("1:"&amp;ROWS(Liste17)))),ROWS($9:39))),"")</f>
        <v/>
      </c>
      <c r="BZ40" s="175">
        <f t="shared" ca="1" si="36"/>
        <v>0</v>
      </c>
      <c r="CA40" s="175" t="str">
        <f t="shared" ca="1" si="37"/>
        <v/>
      </c>
      <c r="CB40" s="169" t="str">
        <f t="shared" ca="1" si="110"/>
        <v/>
      </c>
      <c r="CC40" s="169" t="str">
        <f t="array" aca="1" ref="CC40" ca="1">IF(ROWS($9:39)&lt;=COUNTIF(Condition18,"o"),INDEX(Liste18,SMALL(IF(Condition18="o",ROW(INDIRECT("1:"&amp;ROWS(Liste18)))),ROWS($9:39))),"")</f>
        <v/>
      </c>
      <c r="CD40" s="175">
        <f t="shared" ca="1" si="38"/>
        <v>0</v>
      </c>
      <c r="CE40" s="175" t="str">
        <f t="shared" ca="1" si="39"/>
        <v/>
      </c>
      <c r="CF40" s="169" t="str">
        <f t="shared" ca="1" si="111"/>
        <v/>
      </c>
      <c r="CG40" s="169" t="str">
        <f t="array" aca="1" ref="CG40" ca="1">IF(ROWS($9:39)&lt;=COUNTIF(Condition19,"o"),INDEX(Liste19,SMALL(IF(Condition19="o",ROW(INDIRECT("1:"&amp;ROWS(Liste19)))),ROWS($9:39))),"")</f>
        <v/>
      </c>
      <c r="CH40" s="175">
        <f t="shared" ca="1" si="40"/>
        <v>0</v>
      </c>
      <c r="CI40" s="175" t="str">
        <f t="shared" ca="1" si="41"/>
        <v/>
      </c>
      <c r="CJ40" s="169" t="str">
        <f t="shared" ca="1" si="112"/>
        <v/>
      </c>
      <c r="CK40" s="169" t="str">
        <f t="array" aca="1" ref="CK40" ca="1">IF(ROWS($9:39)&lt;=COUNTIF(Condition20,"o"),INDEX(Liste20,SMALL(IF(Condition20="o",ROW(INDIRECT("1:"&amp;ROWS(Liste20)))),ROWS($9:39))),"")</f>
        <v/>
      </c>
      <c r="CL40" s="175">
        <f t="shared" ca="1" si="42"/>
        <v>0</v>
      </c>
      <c r="CM40" s="175" t="str">
        <f t="shared" ca="1" si="43"/>
        <v/>
      </c>
      <c r="CN40" s="169" t="str">
        <f t="shared" ca="1" si="113"/>
        <v/>
      </c>
      <c r="CO40" s="169" t="str">
        <f t="array" aca="1" ref="CO40" ca="1">IF(ROWS($9:39)&lt;=COUNTIF(Condition21,"o"),INDEX(Liste21,SMALL(IF(Condition21="o",ROW(INDIRECT("1:"&amp;ROWS(Liste21)))),ROWS($9:39))),"")</f>
        <v/>
      </c>
      <c r="CP40" s="175">
        <f t="shared" ca="1" si="44"/>
        <v>0</v>
      </c>
      <c r="CQ40" s="175" t="str">
        <f t="shared" ca="1" si="45"/>
        <v/>
      </c>
      <c r="CR40" s="169" t="str">
        <f t="shared" ca="1" si="114"/>
        <v/>
      </c>
      <c r="CS40" s="169" t="str">
        <f t="array" aca="1" ref="CS40" ca="1">IF(ROWS($9:39)&lt;=COUNTIF(Condition22,"o"),INDEX(Liste22,SMALL(IF(Condition22="o",ROW(INDIRECT("1:"&amp;ROWS(Liste22)))),ROWS($9:39))),"")</f>
        <v/>
      </c>
      <c r="CT40" s="175">
        <f t="shared" ca="1" si="46"/>
        <v>0</v>
      </c>
      <c r="CU40" s="175" t="str">
        <f t="shared" ca="1" si="47"/>
        <v/>
      </c>
      <c r="CV40" s="169" t="str">
        <f t="shared" ca="1" si="115"/>
        <v/>
      </c>
      <c r="CW40" s="169" t="str">
        <f t="array" aca="1" ref="CW40" ca="1">IF(ROWS($9:39)&lt;=COUNTIF(Condition23,"o"),INDEX(Liste23,SMALL(IF(Condition23="o",ROW(INDIRECT("1:"&amp;ROWS(Liste23)))),ROWS($9:39))),"")</f>
        <v/>
      </c>
      <c r="CX40" s="175">
        <f t="shared" ca="1" si="48"/>
        <v>0</v>
      </c>
      <c r="CY40" s="175" t="str">
        <f t="shared" ca="1" si="49"/>
        <v/>
      </c>
      <c r="CZ40" s="169" t="str">
        <f t="shared" ca="1" si="116"/>
        <v/>
      </c>
      <c r="DA40" s="169" t="str">
        <f t="array" aca="1" ref="DA40" ca="1">IF(ROWS($9:39)&lt;=COUNTIF(Condition24,"o"),INDEX(Liste24,SMALL(IF(Condition24="o",ROW(INDIRECT("1:"&amp;ROWS(Liste24)))),ROWS($9:39))),"")</f>
        <v/>
      </c>
      <c r="DB40" s="175">
        <f t="shared" ca="1" si="50"/>
        <v>0</v>
      </c>
      <c r="DC40" s="175" t="str">
        <f t="shared" ca="1" si="51"/>
        <v/>
      </c>
      <c r="DD40" s="169" t="str">
        <f t="shared" ca="1" si="117"/>
        <v/>
      </c>
      <c r="DE40" s="169" t="str">
        <f t="array" aca="1" ref="DE40" ca="1">IF(ROWS($9:39)&lt;=COUNTIF(Condition25,"o"),INDEX(Liste25,SMALL(IF(Condition25="o",ROW(INDIRECT("1:"&amp;ROWS(Liste25)))),ROWS($9:39))),"")</f>
        <v/>
      </c>
      <c r="DF40" s="175">
        <f t="shared" ca="1" si="52"/>
        <v>0</v>
      </c>
      <c r="DG40" s="175" t="str">
        <f t="shared" ca="1" si="53"/>
        <v/>
      </c>
      <c r="DH40" s="169" t="str">
        <f t="shared" ca="1" si="118"/>
        <v/>
      </c>
      <c r="DI40" s="169" t="str">
        <f t="array" aca="1" ref="DI40" ca="1">IF(ROWS($9:39)&lt;=COUNTIF(Condition26,"o"),INDEX(Liste26,SMALL(IF(Condition26="o",ROW(INDIRECT("1:"&amp;ROWS(Liste26)))),ROWS($9:39))),"")</f>
        <v/>
      </c>
      <c r="DJ40" s="175">
        <f t="shared" ca="1" si="54"/>
        <v>0</v>
      </c>
      <c r="DK40" s="175" t="str">
        <f t="shared" ca="1" si="55"/>
        <v/>
      </c>
      <c r="DL40" s="169" t="str">
        <f t="shared" ca="1" si="119"/>
        <v/>
      </c>
      <c r="DM40" s="169" t="str">
        <f t="array" aca="1" ref="DM40" ca="1">IF(ROWS($9:39)&lt;=COUNTIF(Condition27,"o"),INDEX(Liste27,SMALL(IF(Condition27="o",ROW(INDIRECT("1:"&amp;ROWS(Liste27)))),ROWS($9:39))),"")</f>
        <v/>
      </c>
      <c r="DN40" s="175">
        <f t="shared" ca="1" si="56"/>
        <v>0</v>
      </c>
      <c r="DO40" s="175" t="str">
        <f t="shared" ca="1" si="57"/>
        <v/>
      </c>
      <c r="DP40" s="169" t="str">
        <f t="shared" ca="1" si="120"/>
        <v/>
      </c>
      <c r="DQ40" s="169" t="str">
        <f t="array" aca="1" ref="DQ40" ca="1">IF(ROWS($9:39)&lt;=COUNTIF(Condition28,"o"),INDEX(Liste28,SMALL(IF(Condition28="o",ROW(INDIRECT("1:"&amp;ROWS(Liste28)))),ROWS($9:39))),"")</f>
        <v/>
      </c>
      <c r="DR40" s="175">
        <f t="shared" ca="1" si="58"/>
        <v>0</v>
      </c>
      <c r="DS40" s="175" t="str">
        <f t="shared" ca="1" si="59"/>
        <v/>
      </c>
      <c r="DT40" s="169" t="str">
        <f t="shared" ca="1" si="121"/>
        <v/>
      </c>
      <c r="DU40" s="169" t="str">
        <f t="array" aca="1" ref="DU40" ca="1">IF(ROWS($9:39)&lt;=COUNTIF(Condition29,"o"),INDEX(Liste29,SMALL(IF(Condition29="o",ROW(INDIRECT("1:"&amp;ROWS(Liste29)))),ROWS($9:39))),"")</f>
        <v/>
      </c>
      <c r="DV40" s="175">
        <f t="shared" ca="1" si="60"/>
        <v>0</v>
      </c>
      <c r="DW40" s="175" t="str">
        <f t="shared" ca="1" si="61"/>
        <v/>
      </c>
      <c r="DX40" s="169" t="str">
        <f t="shared" ca="1" si="122"/>
        <v/>
      </c>
      <c r="DY40" s="169" t="str">
        <f t="array" aca="1" ref="DY40" ca="1">IF(ROWS($9:39)&lt;=COUNTIF(Condition30,"o"),INDEX(Liste30,SMALL(IF(Condition30="o",ROW(INDIRECT("1:"&amp;ROWS(Liste30)))),ROWS($9:39))),"")</f>
        <v/>
      </c>
      <c r="DZ40" s="175">
        <f t="shared" ca="1" si="62"/>
        <v>0</v>
      </c>
      <c r="EA40" s="175" t="str">
        <f t="shared" ca="1" si="63"/>
        <v/>
      </c>
      <c r="EB40" s="169" t="str">
        <f t="shared" ca="1" si="123"/>
        <v/>
      </c>
      <c r="EC40" s="169" t="str">
        <f t="array" aca="1" ref="EC40" ca="1">IF(ROWS($9:39)&lt;=COUNTIF(Condition31,"o"),INDEX(Liste31,SMALL(IF(Condition31="o",ROW(INDIRECT("1:"&amp;ROWS(Liste31)))),ROWS($9:39))),"")</f>
        <v/>
      </c>
      <c r="ED40" s="175">
        <f t="shared" ca="1" si="64"/>
        <v>0</v>
      </c>
      <c r="EE40" s="175" t="str">
        <f t="shared" ca="1" si="65"/>
        <v/>
      </c>
      <c r="EF40" s="169" t="str">
        <f t="shared" ca="1" si="124"/>
        <v/>
      </c>
      <c r="EG40" s="169" t="str">
        <f t="array" aca="1" ref="EG40" ca="1">IF(ROWS($9:39)&lt;=COUNTIF(Condition32,"o"),INDEX(Liste32,SMALL(IF(Condition32="o",ROW(INDIRECT("1:"&amp;ROWS(Liste32)))),ROWS($9:39))),"")</f>
        <v/>
      </c>
      <c r="EH40" s="175">
        <f t="shared" ca="1" si="66"/>
        <v>0</v>
      </c>
      <c r="EI40" s="175" t="str">
        <f t="shared" ca="1" si="67"/>
        <v/>
      </c>
      <c r="EJ40" s="169" t="str">
        <f t="shared" ca="1" si="125"/>
        <v/>
      </c>
      <c r="EK40" s="169" t="str">
        <f t="array" aca="1" ref="EK40" ca="1">IF(ROWS($9:39)&lt;=COUNTIF(Condition33,"o"),INDEX(Liste33,SMALL(IF(Condition33="o",ROW(INDIRECT("1:"&amp;ROWS(Liste33)))),ROWS($9:39))),"")</f>
        <v/>
      </c>
      <c r="EL40" s="175">
        <f t="shared" ca="1" si="68"/>
        <v>0</v>
      </c>
      <c r="EM40" s="175" t="str">
        <f t="shared" ca="1" si="69"/>
        <v/>
      </c>
      <c r="EN40" s="169" t="str">
        <f t="shared" ca="1" si="126"/>
        <v/>
      </c>
      <c r="EO40" s="169" t="str">
        <f t="array" aca="1" ref="EO40" ca="1">IF(ROWS($9:39)&lt;=COUNTIF(Condition34,"o"),INDEX(Liste34,SMALL(IF(Condition34="o",ROW(INDIRECT("1:"&amp;ROWS(Liste34)))),ROWS($9:39))),"")</f>
        <v/>
      </c>
      <c r="EP40" s="175">
        <f t="shared" ca="1" si="70"/>
        <v>0</v>
      </c>
      <c r="EQ40" s="175" t="str">
        <f t="shared" ca="1" si="71"/>
        <v/>
      </c>
      <c r="ER40" s="169" t="str">
        <f t="shared" ca="1" si="127"/>
        <v/>
      </c>
      <c r="ES40" s="169" t="str">
        <f t="array" aca="1" ref="ES40" ca="1">IF(ROWS($9:39)&lt;=COUNTIF(Condition35,"o"),INDEX(Liste35,SMALL(IF(Condition35="o",ROW(INDIRECT("1:"&amp;ROWS(Liste35)))),ROWS($9:39))),"")</f>
        <v/>
      </c>
      <c r="ET40" s="175">
        <f t="shared" ca="1" si="72"/>
        <v>0</v>
      </c>
      <c r="EU40" s="175" t="str">
        <f t="shared" ca="1" si="73"/>
        <v/>
      </c>
      <c r="EV40" s="169" t="str">
        <f t="shared" ca="1" si="128"/>
        <v/>
      </c>
      <c r="EW40" s="169" t="str">
        <f t="array" aca="1" ref="EW40" ca="1">IF(ROWS($9:39)&lt;=COUNTIF(Condition36,"o"),INDEX(Liste36,SMALL(IF(Condition36="o",ROW(INDIRECT("1:"&amp;ROWS(Liste36)))),ROWS($9:39))),"")</f>
        <v/>
      </c>
      <c r="EX40" s="175">
        <f t="shared" ca="1" si="74"/>
        <v>0</v>
      </c>
      <c r="EY40" s="175" t="str">
        <f t="shared" ca="1" si="75"/>
        <v/>
      </c>
      <c r="EZ40" s="169" t="str">
        <f t="shared" ca="1" si="85"/>
        <v/>
      </c>
      <c r="FA40" s="169" t="str">
        <f t="array" aca="1" ref="FA40" ca="1">IF(ROWS($9:39)&lt;=COUNTIF(Condition36,"o"),INDEX(Liste36,SMALL(IF(Condition36="o",ROW(INDIRECT("1:"&amp;ROWS(Liste36)))),ROWS($9:39))),"")</f>
        <v/>
      </c>
      <c r="FB40" s="175">
        <f t="shared" ca="1" si="76"/>
        <v>0</v>
      </c>
      <c r="FC40" s="175" t="str">
        <f t="shared" ca="1" si="77"/>
        <v/>
      </c>
      <c r="FD40" s="169" t="str">
        <f t="shared" ca="1" si="86"/>
        <v/>
      </c>
      <c r="FE40" s="175">
        <f>IF(ISNA(HLOOKUP(FE$7,$B$147:$AW$217,$I40,0)),IF(ISNA(HLOOKUP(FE$8,$B$147:$AW$217,$I40,0)),0,HLOOKUP(FE$8,$B$147:$AW$217,$I40,0)),IF(HLOOKUP(FE$7,$B$147:$AW$217,$I40,0)=0,IF(ISNA(HLOOKUP(FE$8,$B$147:$AW$217,$I40,0)),0,HLOOKUP(FE$8,$B$147:$AW$217,$I40,0)),HLOOKUP(FE$7,$B$147:$AW$217,$I40,0)))</f>
        <v>0</v>
      </c>
      <c r="FF40" s="175">
        <f t="shared" ca="1" si="78"/>
        <v>0</v>
      </c>
      <c r="FG40" s="175" t="str">
        <f t="shared" ca="1" si="79"/>
        <v/>
      </c>
      <c r="FH40" s="169" t="str">
        <f t="shared" ca="1" si="87"/>
        <v/>
      </c>
      <c r="FI40" s="169" t="str">
        <f t="array" aca="1" ref="FI40" ca="1">IF(ROWS($9:39)&lt;=COUNTIF(Condition39,"o"),INDEX(Liste39,SMALL(IF(Condition39="o",ROW(INDIRECT("1:"&amp;ROWS(Liste39)))),ROWS($9:39))),"")</f>
        <v/>
      </c>
      <c r="FM40" s="1" t="s">
        <v>1219</v>
      </c>
      <c r="FN40" s="1" t="s">
        <v>1168</v>
      </c>
      <c r="FO40" s="180">
        <f>'Suivi objectifs'!D35</f>
        <v>0</v>
      </c>
      <c r="FP40" s="1366" t="str">
        <f>'Suivi objectifs'!C37</f>
        <v>Traitement des eaux usées</v>
      </c>
      <c r="FQ40" s="181" t="str">
        <f ca="1">IF(ISNA(VLOOKUP(FR40,Actions!$G$2:$AP$70,31,0)),"",VLOOKUP(FR40,Actions!$G$2:$AP$70,36,0))</f>
        <v/>
      </c>
      <c r="FR40" s="59" t="str">
        <f t="shared" ca="1" si="88"/>
        <v/>
      </c>
      <c r="FS40" s="287">
        <f t="shared" ca="1" si="80"/>
        <v>0</v>
      </c>
      <c r="FT40" s="181" t="str">
        <f ca="1">IF(ISNA(VLOOKUP(FU40,Actions!$G$2:$AP$70,31,0)),"",VLOOKUP(FU40,Actions!$G$2:$AP$70,36,0))</f>
        <v/>
      </c>
      <c r="FU40" s="59" t="str">
        <f t="shared" ca="1" si="89"/>
        <v/>
      </c>
      <c r="FV40" s="287">
        <f t="shared" ca="1" si="81"/>
        <v>0</v>
      </c>
      <c r="FW40" s="181" t="str">
        <f ca="1">IF(ISNA(VLOOKUP(FX40,Actions!$G$2:$AP$70,31,0)),"",VLOOKUP(FX40,Actions!$G$2:$AP$70,36,0))</f>
        <v/>
      </c>
      <c r="FX40" s="59" t="str">
        <f t="shared" ca="1" si="90"/>
        <v/>
      </c>
      <c r="FY40" s="287">
        <f t="shared" ca="1" si="82"/>
        <v>0</v>
      </c>
      <c r="FZ40" s="181" t="str">
        <f ca="1">IF(ISNA(VLOOKUP(GA40,Actions!$G$2:$AP$70,31,0)),"",VLOOKUP(GA40,Actions!$G$2:$AP$70,36,0))</f>
        <v/>
      </c>
      <c r="GA40" s="59" t="str">
        <f t="shared" ca="1" si="91"/>
        <v/>
      </c>
      <c r="GB40" s="287">
        <f t="shared" ca="1" si="83"/>
        <v>0</v>
      </c>
      <c r="GC40" s="181" t="str">
        <f ca="1">IF(ISNA(VLOOKUP(GD40,Actions!$G$2:$AP$70,31,0)),"",VLOOKUP(GD40,Actions!$G$2:$AP$70,36,0))</f>
        <v/>
      </c>
      <c r="GD40" s="59" t="str">
        <f t="shared" ca="1" si="92"/>
        <v/>
      </c>
      <c r="GE40" s="287">
        <f t="shared" ca="1" si="84"/>
        <v>0</v>
      </c>
      <c r="GF40" s="186">
        <f t="shared" ca="1" si="129"/>
        <v>0</v>
      </c>
      <c r="GG40" s="233"/>
    </row>
    <row r="41" spans="1:189" hidden="1">
      <c r="A41" s="1" t="s">
        <v>910</v>
      </c>
      <c r="B41" s="1">
        <f>Actions!F34</f>
        <v>33</v>
      </c>
      <c r="C41" s="1">
        <f ca="1">Actions!G34</f>
        <v>0</v>
      </c>
      <c r="D41" s="1">
        <f ca="1">Actions!H34</f>
        <v>0</v>
      </c>
      <c r="E41" s="1" t="str">
        <f ca="1">Actions!I34</f>
        <v>-</v>
      </c>
      <c r="F41" s="1" t="str">
        <f t="shared" ca="1" si="0"/>
        <v>-</v>
      </c>
      <c r="G41" s="1" t="e">
        <f t="shared" ca="1" si="1"/>
        <v>#REF!</v>
      </c>
      <c r="I41" s="1">
        <v>33</v>
      </c>
      <c r="J41" s="175">
        <f t="shared" ca="1" si="2"/>
        <v>0</v>
      </c>
      <c r="K41" s="175" t="str">
        <f t="shared" ca="1" si="3"/>
        <v/>
      </c>
      <c r="L41" s="169" t="str">
        <f t="shared" ca="1" si="93"/>
        <v/>
      </c>
      <c r="M41" s="169" t="str">
        <f t="array" aca="1" ref="M41" ca="1">IF(ROWS($9:40)&lt;=COUNTIF(Condition1,"o"),INDEX(Liste1,SMALL(IF(Condition1="o",ROW(INDIRECT("1:"&amp;ROWS(Liste1)))),ROWS($9:40))),"")</f>
        <v/>
      </c>
      <c r="N41" s="175">
        <f t="shared" ca="1" si="4"/>
        <v>0</v>
      </c>
      <c r="O41" s="175" t="str">
        <f t="shared" ca="1" si="5"/>
        <v/>
      </c>
      <c r="P41" s="169" t="str">
        <f t="shared" ca="1" si="94"/>
        <v/>
      </c>
      <c r="Q41" s="169" t="str">
        <f t="array" aca="1" ref="Q41" ca="1">IF(ROWS($9:40)&lt;=COUNTIF(Condition2,"o"),INDEX(Liste2,SMALL(IF(Condition2="o",ROW(INDIRECT("1:"&amp;ROWS(Liste2)))),ROWS($9:40))),"")</f>
        <v/>
      </c>
      <c r="R41" s="175">
        <f t="shared" ca="1" si="6"/>
        <v>0</v>
      </c>
      <c r="S41" s="175" t="str">
        <f t="shared" ca="1" si="7"/>
        <v/>
      </c>
      <c r="T41" s="169" t="str">
        <f t="shared" ca="1" si="95"/>
        <v/>
      </c>
      <c r="U41" s="169" t="str">
        <f t="array" aca="1" ref="U41" ca="1">IF(ROWS($9:40)&lt;=COUNTIF(Condition3,"o"),INDEX(Liste3,SMALL(IF(Condition3="o",ROW(INDIRECT("1:"&amp;ROWS(Liste3)))),ROWS($9:40))),"")</f>
        <v/>
      </c>
      <c r="V41" s="175">
        <f t="shared" ca="1" si="8"/>
        <v>0</v>
      </c>
      <c r="W41" s="175" t="str">
        <f t="shared" ca="1" si="9"/>
        <v/>
      </c>
      <c r="X41" s="169" t="str">
        <f t="shared" ca="1" si="96"/>
        <v/>
      </c>
      <c r="Y41" s="169" t="str">
        <f t="array" aca="1" ref="Y41" ca="1">IF(ROWS($9:40)&lt;=COUNTIF(Condition4,"o"),INDEX(Liste4,SMALL(IF(Condition4="o",ROW(INDIRECT("1:"&amp;ROWS(Liste4)))),ROWS($9:40))),"")</f>
        <v/>
      </c>
      <c r="Z41" s="175">
        <f t="shared" ca="1" si="10"/>
        <v>0</v>
      </c>
      <c r="AA41" s="175" t="str">
        <f t="shared" ca="1" si="11"/>
        <v/>
      </c>
      <c r="AB41" s="169" t="str">
        <f t="shared" ca="1" si="97"/>
        <v/>
      </c>
      <c r="AC41" s="169" t="str">
        <f t="array" aca="1" ref="AC41" ca="1">IF(ROWS($9:40)&lt;=COUNTIF(Condition5,"o"),INDEX(Liste5,SMALL(IF(Condition5="o",ROW(INDIRECT("1:"&amp;ROWS(Liste5)))),ROWS($9:40))),"")</f>
        <v/>
      </c>
      <c r="AD41" s="175">
        <f t="shared" ca="1" si="12"/>
        <v>0</v>
      </c>
      <c r="AE41" s="175" t="str">
        <f t="shared" ca="1" si="13"/>
        <v/>
      </c>
      <c r="AF41" s="169" t="str">
        <f t="shared" ca="1" si="98"/>
        <v/>
      </c>
      <c r="AG41" s="169" t="str">
        <f t="array" aca="1" ref="AG41" ca="1">IF(ROWS($9:40)&lt;=COUNTIF(Condition6,"o"),INDEX(Liste6,SMALL(IF(Condition6="o",ROW(INDIRECT("1:"&amp;ROWS(Liste6)))),ROWS($9:40))),"")</f>
        <v/>
      </c>
      <c r="AH41" s="175">
        <f t="shared" ca="1" si="14"/>
        <v>0</v>
      </c>
      <c r="AI41" s="175" t="str">
        <f t="shared" ca="1" si="15"/>
        <v/>
      </c>
      <c r="AJ41" s="169" t="str">
        <f t="shared" ca="1" si="99"/>
        <v/>
      </c>
      <c r="AK41" s="169" t="str">
        <f t="array" aca="1" ref="AK41" ca="1">IF(ROWS($9:40)&lt;=COUNTIF(Condition7,"o"),INDEX(Liste7,SMALL(IF(Condition7="o",ROW(INDIRECT("1:"&amp;ROWS(Liste7)))),ROWS($9:40))),"")</f>
        <v/>
      </c>
      <c r="AL41" s="175">
        <f t="shared" ca="1" si="16"/>
        <v>0</v>
      </c>
      <c r="AM41" s="175" t="str">
        <f t="shared" ca="1" si="17"/>
        <v/>
      </c>
      <c r="AN41" s="169" t="str">
        <f t="shared" ca="1" si="100"/>
        <v/>
      </c>
      <c r="AO41" s="169" t="str">
        <f t="array" aca="1" ref="AO41" ca="1">IF(ROWS($9:40)&lt;=COUNTIF(Condition8,"o"),INDEX(Liste8,SMALL(IF(Condition8="o",ROW(INDIRECT("1:"&amp;ROWS(Liste8)))),ROWS($9:40))),"")</f>
        <v/>
      </c>
      <c r="AP41" s="175">
        <f t="shared" ca="1" si="18"/>
        <v>0</v>
      </c>
      <c r="AQ41" s="175" t="str">
        <f t="shared" ca="1" si="19"/>
        <v/>
      </c>
      <c r="AR41" s="169" t="str">
        <f t="shared" ca="1" si="101"/>
        <v/>
      </c>
      <c r="AS41" s="169" t="str">
        <f t="array" aca="1" ref="AS41" ca="1">IF(ROWS($9:40)&lt;=COUNTIF(Condition9,"o"),INDEX(Liste9,SMALL(IF(Condition9="o",ROW(INDIRECT("1:"&amp;ROWS(Liste9)))),ROWS($9:40))),"")</f>
        <v/>
      </c>
      <c r="AT41" s="175">
        <f t="shared" ca="1" si="20"/>
        <v>0</v>
      </c>
      <c r="AU41" s="175" t="str">
        <f t="shared" ca="1" si="21"/>
        <v/>
      </c>
      <c r="AV41" s="169" t="str">
        <f t="shared" ca="1" si="102"/>
        <v/>
      </c>
      <c r="AW41" s="169" t="str">
        <f t="array" aca="1" ref="AW41" ca="1">IF(ROWS($9:40)&lt;=COUNTIF(Condition10,"o"),INDEX(Liste10,SMALL(IF(Condition10="o",ROW(INDIRECT("1:"&amp;ROWS(Liste10)))),ROWS($9:40))),"")</f>
        <v/>
      </c>
      <c r="AX41" s="175">
        <f t="shared" ca="1" si="22"/>
        <v>0</v>
      </c>
      <c r="AY41" s="175" t="str">
        <f t="shared" ca="1" si="23"/>
        <v/>
      </c>
      <c r="AZ41" s="169" t="str">
        <f t="shared" ca="1" si="103"/>
        <v/>
      </c>
      <c r="BA41" s="169" t="str">
        <f t="array" aca="1" ref="BA41" ca="1">IF(ROWS($9:40)&lt;=COUNTIF(Condition11,"o"),INDEX(Liste11,SMALL(IF(Condition11="o",ROW(INDIRECT("1:"&amp;ROWS(Liste11)))),ROWS($9:40))),"")</f>
        <v/>
      </c>
      <c r="BB41" s="175">
        <f t="shared" ca="1" si="24"/>
        <v>0</v>
      </c>
      <c r="BC41" s="175" t="str">
        <f t="shared" ca="1" si="25"/>
        <v/>
      </c>
      <c r="BD41" s="169" t="str">
        <f t="shared" ca="1" si="104"/>
        <v/>
      </c>
      <c r="BE41" s="169" t="str">
        <f t="array" aca="1" ref="BE41" ca="1">IF(ROWS($9:40)&lt;=COUNTIF(Condition12,"o"),INDEX(Liste12,SMALL(IF(Condition12="o",ROW(INDIRECT("1:"&amp;ROWS(Liste12)))),ROWS($9:40))),"")</f>
        <v/>
      </c>
      <c r="BF41" s="175">
        <f t="shared" ca="1" si="26"/>
        <v>0</v>
      </c>
      <c r="BG41" s="175" t="str">
        <f t="shared" ca="1" si="27"/>
        <v/>
      </c>
      <c r="BH41" s="169" t="str">
        <f t="shared" ca="1" si="105"/>
        <v/>
      </c>
      <c r="BI41" s="169" t="str">
        <f t="array" aca="1" ref="BI41" ca="1">IF(ROWS($9:40)&lt;=COUNTIF(Condition13,"o"),INDEX(Liste13,SMALL(IF(Condition13="o",ROW(INDIRECT("1:"&amp;ROWS(Liste13)))),ROWS($9:40))),"")</f>
        <v/>
      </c>
      <c r="BJ41" s="175">
        <f t="shared" ca="1" si="28"/>
        <v>0</v>
      </c>
      <c r="BK41" s="175" t="str">
        <f t="shared" ca="1" si="29"/>
        <v/>
      </c>
      <c r="BL41" s="169" t="str">
        <f t="shared" ca="1" si="106"/>
        <v/>
      </c>
      <c r="BM41" s="169" t="str">
        <f t="array" aca="1" ref="BM41" ca="1">IF(ROWS($9:40)&lt;=COUNTIF(Condition14,"o"),INDEX(Liste14,SMALL(IF(Condition14="o",ROW(INDIRECT("1:"&amp;ROWS(Liste14)))),ROWS($9:40))),"")</f>
        <v/>
      </c>
      <c r="BN41" s="175">
        <f t="shared" ca="1" si="30"/>
        <v>0</v>
      </c>
      <c r="BO41" s="175" t="str">
        <f t="shared" ca="1" si="31"/>
        <v/>
      </c>
      <c r="BP41" s="169" t="str">
        <f t="shared" ca="1" si="107"/>
        <v/>
      </c>
      <c r="BQ41" s="169" t="str">
        <f t="array" aca="1" ref="BQ41" ca="1">IF(ROWS($9:40)&lt;=COUNTIF(Condition15,"o"),INDEX(Liste15,SMALL(IF(Condition15="o",ROW(INDIRECT("1:"&amp;ROWS(Liste15)))),ROWS($9:40))),"")</f>
        <v/>
      </c>
      <c r="BR41" s="175">
        <f t="shared" ca="1" si="32"/>
        <v>0</v>
      </c>
      <c r="BS41" s="175" t="str">
        <f t="shared" ca="1" si="33"/>
        <v/>
      </c>
      <c r="BT41" s="169" t="str">
        <f t="shared" ca="1" si="108"/>
        <v/>
      </c>
      <c r="BU41" s="169" t="str">
        <f t="array" aca="1" ref="BU41" ca="1">IF(ROWS($9:40)&lt;=COUNTIF(Condition16,"o"),INDEX(Liste16,SMALL(IF(Condition16="o",ROW(INDIRECT("1:"&amp;ROWS(Liste16)))),ROWS($9:40))),"")</f>
        <v/>
      </c>
      <c r="BV41" s="175">
        <f t="shared" ca="1" si="34"/>
        <v>0</v>
      </c>
      <c r="BW41" s="175" t="str">
        <f t="shared" ca="1" si="35"/>
        <v/>
      </c>
      <c r="BX41" s="169" t="str">
        <f t="shared" ca="1" si="109"/>
        <v/>
      </c>
      <c r="BY41" s="169" t="str">
        <f t="array" aca="1" ref="BY41" ca="1">IF(ROWS($9:40)&lt;=COUNTIF(Condition17,"o"),INDEX(Liste17,SMALL(IF(Condition17="o",ROW(INDIRECT("1:"&amp;ROWS(Liste17)))),ROWS($9:40))),"")</f>
        <v/>
      </c>
      <c r="BZ41" s="175">
        <f t="shared" ca="1" si="36"/>
        <v>0</v>
      </c>
      <c r="CA41" s="175" t="str">
        <f t="shared" ca="1" si="37"/>
        <v/>
      </c>
      <c r="CB41" s="169" t="str">
        <f t="shared" ca="1" si="110"/>
        <v/>
      </c>
      <c r="CC41" s="169" t="str">
        <f t="array" aca="1" ref="CC41" ca="1">IF(ROWS($9:40)&lt;=COUNTIF(Condition18,"o"),INDEX(Liste18,SMALL(IF(Condition18="o",ROW(INDIRECT("1:"&amp;ROWS(Liste18)))),ROWS($9:40))),"")</f>
        <v/>
      </c>
      <c r="CD41" s="175">
        <f t="shared" ca="1" si="38"/>
        <v>0</v>
      </c>
      <c r="CE41" s="175" t="str">
        <f t="shared" ca="1" si="39"/>
        <v/>
      </c>
      <c r="CF41" s="169" t="str">
        <f t="shared" ca="1" si="111"/>
        <v/>
      </c>
      <c r="CG41" s="169" t="str">
        <f t="array" aca="1" ref="CG41" ca="1">IF(ROWS($9:40)&lt;=COUNTIF(Condition19,"o"),INDEX(Liste19,SMALL(IF(Condition19="o",ROW(INDIRECT("1:"&amp;ROWS(Liste19)))),ROWS($9:40))),"")</f>
        <v/>
      </c>
      <c r="CH41" s="175">
        <f t="shared" ca="1" si="40"/>
        <v>0</v>
      </c>
      <c r="CI41" s="175" t="str">
        <f t="shared" ca="1" si="41"/>
        <v/>
      </c>
      <c r="CJ41" s="169" t="str">
        <f t="shared" ca="1" si="112"/>
        <v/>
      </c>
      <c r="CK41" s="169" t="str">
        <f t="array" aca="1" ref="CK41" ca="1">IF(ROWS($9:40)&lt;=COUNTIF(Condition20,"o"),INDEX(Liste20,SMALL(IF(Condition20="o",ROW(INDIRECT("1:"&amp;ROWS(Liste20)))),ROWS($9:40))),"")</f>
        <v/>
      </c>
      <c r="CL41" s="175">
        <f t="shared" ca="1" si="42"/>
        <v>0</v>
      </c>
      <c r="CM41" s="175" t="str">
        <f t="shared" ca="1" si="43"/>
        <v/>
      </c>
      <c r="CN41" s="169" t="str">
        <f t="shared" ca="1" si="113"/>
        <v/>
      </c>
      <c r="CO41" s="169" t="str">
        <f t="array" aca="1" ref="CO41" ca="1">IF(ROWS($9:40)&lt;=COUNTIF(Condition21,"o"),INDEX(Liste21,SMALL(IF(Condition21="o",ROW(INDIRECT("1:"&amp;ROWS(Liste21)))),ROWS($9:40))),"")</f>
        <v/>
      </c>
      <c r="CP41" s="175">
        <f t="shared" ca="1" si="44"/>
        <v>0</v>
      </c>
      <c r="CQ41" s="175" t="str">
        <f t="shared" ca="1" si="45"/>
        <v/>
      </c>
      <c r="CR41" s="169" t="str">
        <f t="shared" ca="1" si="114"/>
        <v/>
      </c>
      <c r="CS41" s="169" t="str">
        <f t="array" aca="1" ref="CS41" ca="1">IF(ROWS($9:40)&lt;=COUNTIF(Condition22,"o"),INDEX(Liste22,SMALL(IF(Condition22="o",ROW(INDIRECT("1:"&amp;ROWS(Liste22)))),ROWS($9:40))),"")</f>
        <v/>
      </c>
      <c r="CT41" s="175">
        <f t="shared" ca="1" si="46"/>
        <v>0</v>
      </c>
      <c r="CU41" s="175" t="str">
        <f t="shared" ca="1" si="47"/>
        <v/>
      </c>
      <c r="CV41" s="169" t="str">
        <f t="shared" ca="1" si="115"/>
        <v/>
      </c>
      <c r="CW41" s="169" t="str">
        <f t="array" aca="1" ref="CW41" ca="1">IF(ROWS($9:40)&lt;=COUNTIF(Condition23,"o"),INDEX(Liste23,SMALL(IF(Condition23="o",ROW(INDIRECT("1:"&amp;ROWS(Liste23)))),ROWS($9:40))),"")</f>
        <v/>
      </c>
      <c r="CX41" s="175">
        <f t="shared" ca="1" si="48"/>
        <v>0</v>
      </c>
      <c r="CY41" s="175" t="str">
        <f t="shared" ca="1" si="49"/>
        <v/>
      </c>
      <c r="CZ41" s="169" t="str">
        <f t="shared" ca="1" si="116"/>
        <v/>
      </c>
      <c r="DA41" s="169" t="str">
        <f t="array" aca="1" ref="DA41" ca="1">IF(ROWS($9:40)&lt;=COUNTIF(Condition24,"o"),INDEX(Liste24,SMALL(IF(Condition24="o",ROW(INDIRECT("1:"&amp;ROWS(Liste24)))),ROWS($9:40))),"")</f>
        <v/>
      </c>
      <c r="DB41" s="175">
        <f t="shared" ca="1" si="50"/>
        <v>0</v>
      </c>
      <c r="DC41" s="175" t="str">
        <f t="shared" ca="1" si="51"/>
        <v/>
      </c>
      <c r="DD41" s="169" t="str">
        <f t="shared" ca="1" si="117"/>
        <v/>
      </c>
      <c r="DE41" s="169" t="str">
        <f t="array" aca="1" ref="DE41" ca="1">IF(ROWS($9:40)&lt;=COUNTIF(Condition25,"o"),INDEX(Liste25,SMALL(IF(Condition25="o",ROW(INDIRECT("1:"&amp;ROWS(Liste25)))),ROWS($9:40))),"")</f>
        <v/>
      </c>
      <c r="DF41" s="175">
        <f t="shared" ca="1" si="52"/>
        <v>0</v>
      </c>
      <c r="DG41" s="175" t="str">
        <f t="shared" ca="1" si="53"/>
        <v/>
      </c>
      <c r="DH41" s="169" t="str">
        <f t="shared" ca="1" si="118"/>
        <v/>
      </c>
      <c r="DI41" s="169" t="str">
        <f t="array" aca="1" ref="DI41" ca="1">IF(ROWS($9:40)&lt;=COUNTIF(Condition26,"o"),INDEX(Liste26,SMALL(IF(Condition26="o",ROW(INDIRECT("1:"&amp;ROWS(Liste26)))),ROWS($9:40))),"")</f>
        <v/>
      </c>
      <c r="DJ41" s="175">
        <f t="shared" ca="1" si="54"/>
        <v>0</v>
      </c>
      <c r="DK41" s="175" t="str">
        <f t="shared" ca="1" si="55"/>
        <v/>
      </c>
      <c r="DL41" s="169" t="str">
        <f t="shared" ca="1" si="119"/>
        <v/>
      </c>
      <c r="DM41" s="169" t="str">
        <f t="array" aca="1" ref="DM41" ca="1">IF(ROWS($9:40)&lt;=COUNTIF(Condition27,"o"),INDEX(Liste27,SMALL(IF(Condition27="o",ROW(INDIRECT("1:"&amp;ROWS(Liste27)))),ROWS($9:40))),"")</f>
        <v/>
      </c>
      <c r="DN41" s="175">
        <f t="shared" ca="1" si="56"/>
        <v>0</v>
      </c>
      <c r="DO41" s="175" t="str">
        <f t="shared" ca="1" si="57"/>
        <v/>
      </c>
      <c r="DP41" s="169" t="str">
        <f t="shared" ca="1" si="120"/>
        <v/>
      </c>
      <c r="DQ41" s="169" t="str">
        <f t="array" aca="1" ref="DQ41" ca="1">IF(ROWS($9:40)&lt;=COUNTIF(Condition28,"o"),INDEX(Liste28,SMALL(IF(Condition28="o",ROW(INDIRECT("1:"&amp;ROWS(Liste28)))),ROWS($9:40))),"")</f>
        <v/>
      </c>
      <c r="DR41" s="175">
        <f t="shared" ca="1" si="58"/>
        <v>0</v>
      </c>
      <c r="DS41" s="175" t="str">
        <f t="shared" ca="1" si="59"/>
        <v/>
      </c>
      <c r="DT41" s="169" t="str">
        <f t="shared" ca="1" si="121"/>
        <v/>
      </c>
      <c r="DU41" s="169" t="str">
        <f t="array" aca="1" ref="DU41" ca="1">IF(ROWS($9:40)&lt;=COUNTIF(Condition29,"o"),INDEX(Liste29,SMALL(IF(Condition29="o",ROW(INDIRECT("1:"&amp;ROWS(Liste29)))),ROWS($9:40))),"")</f>
        <v/>
      </c>
      <c r="DV41" s="175">
        <f t="shared" ca="1" si="60"/>
        <v>0</v>
      </c>
      <c r="DW41" s="175" t="str">
        <f t="shared" ca="1" si="61"/>
        <v/>
      </c>
      <c r="DX41" s="169" t="str">
        <f t="shared" ca="1" si="122"/>
        <v/>
      </c>
      <c r="DY41" s="169" t="str">
        <f t="array" aca="1" ref="DY41" ca="1">IF(ROWS($9:40)&lt;=COUNTIF(Condition30,"o"),INDEX(Liste30,SMALL(IF(Condition30="o",ROW(INDIRECT("1:"&amp;ROWS(Liste30)))),ROWS($9:40))),"")</f>
        <v/>
      </c>
      <c r="DZ41" s="175">
        <f t="shared" ca="1" si="62"/>
        <v>0</v>
      </c>
      <c r="EA41" s="175" t="str">
        <f t="shared" ca="1" si="63"/>
        <v/>
      </c>
      <c r="EB41" s="169" t="str">
        <f t="shared" ca="1" si="123"/>
        <v/>
      </c>
      <c r="EC41" s="169" t="str">
        <f t="array" aca="1" ref="EC41" ca="1">IF(ROWS($9:40)&lt;=COUNTIF(Condition31,"o"),INDEX(Liste31,SMALL(IF(Condition31="o",ROW(INDIRECT("1:"&amp;ROWS(Liste31)))),ROWS($9:40))),"")</f>
        <v/>
      </c>
      <c r="ED41" s="175">
        <f t="shared" ca="1" si="64"/>
        <v>0</v>
      </c>
      <c r="EE41" s="175" t="str">
        <f t="shared" ca="1" si="65"/>
        <v/>
      </c>
      <c r="EF41" s="169" t="str">
        <f t="shared" ca="1" si="124"/>
        <v/>
      </c>
      <c r="EG41" s="169" t="str">
        <f t="array" aca="1" ref="EG41" ca="1">IF(ROWS($9:40)&lt;=COUNTIF(Condition32,"o"),INDEX(Liste32,SMALL(IF(Condition32="o",ROW(INDIRECT("1:"&amp;ROWS(Liste32)))),ROWS($9:40))),"")</f>
        <v/>
      </c>
      <c r="EH41" s="175">
        <f t="shared" ca="1" si="66"/>
        <v>0</v>
      </c>
      <c r="EI41" s="175" t="str">
        <f t="shared" ca="1" si="67"/>
        <v/>
      </c>
      <c r="EJ41" s="169" t="str">
        <f t="shared" ca="1" si="125"/>
        <v/>
      </c>
      <c r="EK41" s="169" t="str">
        <f t="array" aca="1" ref="EK41" ca="1">IF(ROWS($9:40)&lt;=COUNTIF(Condition33,"o"),INDEX(Liste33,SMALL(IF(Condition33="o",ROW(INDIRECT("1:"&amp;ROWS(Liste33)))),ROWS($9:40))),"")</f>
        <v/>
      </c>
      <c r="EL41" s="175">
        <f t="shared" ca="1" si="68"/>
        <v>0</v>
      </c>
      <c r="EM41" s="175" t="str">
        <f t="shared" ca="1" si="69"/>
        <v/>
      </c>
      <c r="EN41" s="169" t="str">
        <f t="shared" ca="1" si="126"/>
        <v/>
      </c>
      <c r="EO41" s="169" t="str">
        <f t="array" aca="1" ref="EO41" ca="1">IF(ROWS($9:40)&lt;=COUNTIF(Condition34,"o"),INDEX(Liste34,SMALL(IF(Condition34="o",ROW(INDIRECT("1:"&amp;ROWS(Liste34)))),ROWS($9:40))),"")</f>
        <v/>
      </c>
      <c r="EP41" s="175">
        <f t="shared" ca="1" si="70"/>
        <v>0</v>
      </c>
      <c r="EQ41" s="175" t="str">
        <f t="shared" ca="1" si="71"/>
        <v/>
      </c>
      <c r="ER41" s="169" t="str">
        <f t="shared" ca="1" si="127"/>
        <v/>
      </c>
      <c r="ES41" s="169" t="str">
        <f t="array" aca="1" ref="ES41" ca="1">IF(ROWS($9:40)&lt;=COUNTIF(Condition35,"o"),INDEX(Liste35,SMALL(IF(Condition35="o",ROW(INDIRECT("1:"&amp;ROWS(Liste35)))),ROWS($9:40))),"")</f>
        <v/>
      </c>
      <c r="ET41" s="175">
        <f t="shared" ca="1" si="72"/>
        <v>0</v>
      </c>
      <c r="EU41" s="175" t="str">
        <f t="shared" ca="1" si="73"/>
        <v/>
      </c>
      <c r="EV41" s="169" t="str">
        <f t="shared" ca="1" si="128"/>
        <v/>
      </c>
      <c r="EW41" s="169" t="str">
        <f t="array" aca="1" ref="EW41" ca="1">IF(ROWS($9:40)&lt;=COUNTIF(Condition36,"o"),INDEX(Liste36,SMALL(IF(Condition36="o",ROW(INDIRECT("1:"&amp;ROWS(Liste36)))),ROWS($9:40))),"")</f>
        <v/>
      </c>
      <c r="EX41" s="175">
        <f t="shared" ca="1" si="74"/>
        <v>0</v>
      </c>
      <c r="EY41" s="175" t="str">
        <f t="shared" ca="1" si="75"/>
        <v/>
      </c>
      <c r="EZ41" s="169" t="str">
        <f t="shared" ca="1" si="85"/>
        <v/>
      </c>
      <c r="FA41" s="169" t="str">
        <f t="array" aca="1" ref="FA41" ca="1">IF(ROWS($9:40)&lt;=COUNTIF(Condition36,"o"),INDEX(Liste36,SMALL(IF(Condition36="o",ROW(INDIRECT("1:"&amp;ROWS(Liste36)))),ROWS($9:40))),"")</f>
        <v/>
      </c>
      <c r="FB41" s="175">
        <f t="shared" ca="1" si="76"/>
        <v>0</v>
      </c>
      <c r="FC41" s="175" t="str">
        <f t="shared" ca="1" si="77"/>
        <v/>
      </c>
      <c r="FD41" s="169" t="str">
        <f t="shared" ca="1" si="86"/>
        <v/>
      </c>
      <c r="FF41" s="175">
        <f t="shared" ca="1" si="78"/>
        <v>0</v>
      </c>
      <c r="FG41" s="175" t="str">
        <f t="shared" ca="1" si="79"/>
        <v/>
      </c>
      <c r="FH41" s="169" t="str">
        <f t="shared" ca="1" si="87"/>
        <v/>
      </c>
      <c r="FI41" s="169" t="str">
        <f t="array" aca="1" ref="FI41" ca="1">IF(ROWS($9:40)&lt;=COUNTIF(Condition39,"o"),INDEX(Liste39,SMALL(IF(Condition39="o",ROW(INDIRECT("1:"&amp;ROWS(Liste39)))),ROWS($9:40))),"")</f>
        <v/>
      </c>
      <c r="FM41" s="1" t="s">
        <v>1220</v>
      </c>
      <c r="FN41" s="1" t="s">
        <v>1169</v>
      </c>
      <c r="FO41" s="180">
        <f>'Suivi objectifs'!D36</f>
        <v>0</v>
      </c>
      <c r="FP41" s="1366" t="str">
        <f>'Suivi objectifs'!C38</f>
        <v>Autres non-énergétiques</v>
      </c>
      <c r="FQ41" s="181" t="str">
        <f ca="1">IF(ISNA(VLOOKUP(FR41,Actions!$G$2:$AP$70,31,0)),"",VLOOKUP(FR41,Actions!$G$2:$AP$70,36,0))</f>
        <v/>
      </c>
      <c r="FR41" s="185" t="str">
        <f t="shared" ca="1" si="88"/>
        <v/>
      </c>
      <c r="FS41" s="286">
        <f t="shared" ca="1" si="80"/>
        <v>0</v>
      </c>
      <c r="FT41" s="181" t="str">
        <f ca="1">IF(ISNA(VLOOKUP(FU41,Actions!$G$2:$AP$70,31,0)),"",VLOOKUP(FU41,Actions!$G$2:$AP$70,36,0))</f>
        <v/>
      </c>
      <c r="FU41" s="185" t="str">
        <f t="shared" ca="1" si="89"/>
        <v/>
      </c>
      <c r="FV41" s="286">
        <f t="shared" ca="1" si="81"/>
        <v>0</v>
      </c>
      <c r="FW41" s="181" t="str">
        <f ca="1">IF(ISNA(VLOOKUP(FX41,Actions!$G$2:$AP$70,31,0)),"",VLOOKUP(FX41,Actions!$G$2:$AP$70,36,0))</f>
        <v/>
      </c>
      <c r="FX41" s="185" t="str">
        <f t="shared" ca="1" si="90"/>
        <v/>
      </c>
      <c r="FY41" s="286">
        <f t="shared" ca="1" si="82"/>
        <v>0</v>
      </c>
      <c r="FZ41" s="181" t="str">
        <f ca="1">IF(ISNA(VLOOKUP(GA41,Actions!$G$2:$AP$70,31,0)),"",VLOOKUP(GA41,Actions!$G$2:$AP$70,36,0))</f>
        <v/>
      </c>
      <c r="GA41" s="185" t="str">
        <f t="shared" ca="1" si="91"/>
        <v/>
      </c>
      <c r="GB41" s="286">
        <f t="shared" ca="1" si="83"/>
        <v>0</v>
      </c>
      <c r="GC41" s="181" t="str">
        <f ca="1">IF(ISNA(VLOOKUP(GD41,Actions!$G$2:$AP$70,31,0)),"",VLOOKUP(GD41,Actions!$G$2:$AP$70,36,0))</f>
        <v/>
      </c>
      <c r="GD41" s="185" t="str">
        <f t="shared" ca="1" si="92"/>
        <v/>
      </c>
      <c r="GE41" s="287">
        <f t="shared" ca="1" si="84"/>
        <v>0</v>
      </c>
      <c r="GF41" s="186">
        <f t="shared" ca="1" si="129"/>
        <v>0</v>
      </c>
      <c r="GG41" s="233"/>
    </row>
    <row r="42" spans="1:189" hidden="1">
      <c r="A42" s="1" t="s">
        <v>915</v>
      </c>
      <c r="B42" s="1">
        <f>Actions!F35</f>
        <v>34</v>
      </c>
      <c r="C42" s="1">
        <f ca="1">Actions!G35</f>
        <v>0</v>
      </c>
      <c r="D42" s="1">
        <f ca="1">Actions!H35</f>
        <v>0</v>
      </c>
      <c r="E42" s="1" t="str">
        <f ca="1">Actions!I35</f>
        <v>-</v>
      </c>
      <c r="F42" s="1" t="str">
        <f t="shared" ca="1" si="0"/>
        <v>-</v>
      </c>
      <c r="G42" s="1" t="e">
        <f t="shared" ca="1" si="1"/>
        <v>#REF!</v>
      </c>
      <c r="I42" s="1">
        <v>34</v>
      </c>
      <c r="J42" s="175">
        <f t="shared" ca="1" si="2"/>
        <v>0</v>
      </c>
      <c r="K42" s="175" t="str">
        <f t="shared" ca="1" si="3"/>
        <v/>
      </c>
      <c r="L42" s="169" t="str">
        <f t="shared" ca="1" si="93"/>
        <v/>
      </c>
      <c r="M42" s="169" t="str">
        <f t="array" aca="1" ref="M42" ca="1">IF(ROWS($9:41)&lt;=COUNTIF(Condition1,"o"),INDEX(Liste1,SMALL(IF(Condition1="o",ROW(INDIRECT("1:"&amp;ROWS(Liste1)))),ROWS($9:41))),"")</f>
        <v/>
      </c>
      <c r="N42" s="175">
        <f t="shared" ca="1" si="4"/>
        <v>0</v>
      </c>
      <c r="O42" s="175" t="str">
        <f t="shared" ca="1" si="5"/>
        <v/>
      </c>
      <c r="P42" s="169" t="str">
        <f t="shared" ca="1" si="94"/>
        <v/>
      </c>
      <c r="Q42" s="169" t="str">
        <f t="array" aca="1" ref="Q42" ca="1">IF(ROWS($9:41)&lt;=COUNTIF(Condition2,"o"),INDEX(Liste2,SMALL(IF(Condition2="o",ROW(INDIRECT("1:"&amp;ROWS(Liste2)))),ROWS($9:41))),"")</f>
        <v/>
      </c>
      <c r="R42" s="175">
        <f t="shared" ca="1" si="6"/>
        <v>0</v>
      </c>
      <c r="S42" s="175" t="str">
        <f t="shared" ca="1" si="7"/>
        <v/>
      </c>
      <c r="T42" s="169" t="str">
        <f t="shared" ca="1" si="95"/>
        <v/>
      </c>
      <c r="U42" s="169" t="str">
        <f t="array" aca="1" ref="U42" ca="1">IF(ROWS($9:41)&lt;=COUNTIF(Condition3,"o"),INDEX(Liste3,SMALL(IF(Condition3="o",ROW(INDIRECT("1:"&amp;ROWS(Liste3)))),ROWS($9:41))),"")</f>
        <v/>
      </c>
      <c r="V42" s="175">
        <f t="shared" ca="1" si="8"/>
        <v>0</v>
      </c>
      <c r="W42" s="175" t="str">
        <f t="shared" ca="1" si="9"/>
        <v/>
      </c>
      <c r="X42" s="169" t="str">
        <f t="shared" ca="1" si="96"/>
        <v/>
      </c>
      <c r="Y42" s="169" t="str">
        <f t="array" aca="1" ref="Y42" ca="1">IF(ROWS($9:41)&lt;=COUNTIF(Condition4,"o"),INDEX(Liste4,SMALL(IF(Condition4="o",ROW(INDIRECT("1:"&amp;ROWS(Liste4)))),ROWS($9:41))),"")</f>
        <v/>
      </c>
      <c r="Z42" s="175">
        <f t="shared" ca="1" si="10"/>
        <v>0</v>
      </c>
      <c r="AA42" s="175" t="str">
        <f t="shared" ca="1" si="11"/>
        <v/>
      </c>
      <c r="AB42" s="169" t="str">
        <f t="shared" ca="1" si="97"/>
        <v/>
      </c>
      <c r="AC42" s="169" t="str">
        <f t="array" aca="1" ref="AC42" ca="1">IF(ROWS($9:41)&lt;=COUNTIF(Condition5,"o"),INDEX(Liste5,SMALL(IF(Condition5="o",ROW(INDIRECT("1:"&amp;ROWS(Liste5)))),ROWS($9:41))),"")</f>
        <v/>
      </c>
      <c r="AD42" s="175">
        <f t="shared" ca="1" si="12"/>
        <v>0</v>
      </c>
      <c r="AE42" s="175" t="str">
        <f t="shared" ca="1" si="13"/>
        <v/>
      </c>
      <c r="AF42" s="169" t="str">
        <f t="shared" ca="1" si="98"/>
        <v/>
      </c>
      <c r="AG42" s="169" t="str">
        <f t="array" aca="1" ref="AG42" ca="1">IF(ROWS($9:41)&lt;=COUNTIF(Condition6,"o"),INDEX(Liste6,SMALL(IF(Condition6="o",ROW(INDIRECT("1:"&amp;ROWS(Liste6)))),ROWS($9:41))),"")</f>
        <v/>
      </c>
      <c r="AH42" s="175">
        <f t="shared" ca="1" si="14"/>
        <v>0</v>
      </c>
      <c r="AI42" s="175" t="str">
        <f t="shared" ca="1" si="15"/>
        <v/>
      </c>
      <c r="AJ42" s="169" t="str">
        <f t="shared" ca="1" si="99"/>
        <v/>
      </c>
      <c r="AK42" s="169" t="str">
        <f t="array" aca="1" ref="AK42" ca="1">IF(ROWS($9:41)&lt;=COUNTIF(Condition7,"o"),INDEX(Liste7,SMALL(IF(Condition7="o",ROW(INDIRECT("1:"&amp;ROWS(Liste7)))),ROWS($9:41))),"")</f>
        <v/>
      </c>
      <c r="AL42" s="175">
        <f t="shared" ca="1" si="16"/>
        <v>0</v>
      </c>
      <c r="AM42" s="175" t="str">
        <f t="shared" ca="1" si="17"/>
        <v/>
      </c>
      <c r="AN42" s="169" t="str">
        <f t="shared" ca="1" si="100"/>
        <v/>
      </c>
      <c r="AO42" s="169" t="str">
        <f t="array" aca="1" ref="AO42" ca="1">IF(ROWS($9:41)&lt;=COUNTIF(Condition8,"o"),INDEX(Liste8,SMALL(IF(Condition8="o",ROW(INDIRECT("1:"&amp;ROWS(Liste8)))),ROWS($9:41))),"")</f>
        <v/>
      </c>
      <c r="AP42" s="175">
        <f t="shared" ca="1" si="18"/>
        <v>0</v>
      </c>
      <c r="AQ42" s="175" t="str">
        <f t="shared" ca="1" si="19"/>
        <v/>
      </c>
      <c r="AR42" s="169" t="str">
        <f t="shared" ca="1" si="101"/>
        <v/>
      </c>
      <c r="AS42" s="169" t="str">
        <f t="array" aca="1" ref="AS42" ca="1">IF(ROWS($9:41)&lt;=COUNTIF(Condition9,"o"),INDEX(Liste9,SMALL(IF(Condition9="o",ROW(INDIRECT("1:"&amp;ROWS(Liste9)))),ROWS($9:41))),"")</f>
        <v/>
      </c>
      <c r="AT42" s="175">
        <f t="shared" ca="1" si="20"/>
        <v>0</v>
      </c>
      <c r="AU42" s="175" t="str">
        <f t="shared" ca="1" si="21"/>
        <v/>
      </c>
      <c r="AV42" s="169" t="str">
        <f t="shared" ca="1" si="102"/>
        <v/>
      </c>
      <c r="AW42" s="169" t="str">
        <f t="array" aca="1" ref="AW42" ca="1">IF(ROWS($9:41)&lt;=COUNTIF(Condition10,"o"),INDEX(Liste10,SMALL(IF(Condition10="o",ROW(INDIRECT("1:"&amp;ROWS(Liste10)))),ROWS($9:41))),"")</f>
        <v/>
      </c>
      <c r="AX42" s="175">
        <f t="shared" ca="1" si="22"/>
        <v>0</v>
      </c>
      <c r="AY42" s="175" t="str">
        <f t="shared" ca="1" si="23"/>
        <v/>
      </c>
      <c r="AZ42" s="169" t="str">
        <f t="shared" ca="1" si="103"/>
        <v/>
      </c>
      <c r="BA42" s="169" t="str">
        <f t="array" aca="1" ref="BA42" ca="1">IF(ROWS($9:41)&lt;=COUNTIF(Condition11,"o"),INDEX(Liste11,SMALL(IF(Condition11="o",ROW(INDIRECT("1:"&amp;ROWS(Liste11)))),ROWS($9:41))),"")</f>
        <v/>
      </c>
      <c r="BB42" s="175">
        <f t="shared" ca="1" si="24"/>
        <v>0</v>
      </c>
      <c r="BC42" s="175" t="str">
        <f t="shared" ca="1" si="25"/>
        <v/>
      </c>
      <c r="BD42" s="169" t="str">
        <f t="shared" ca="1" si="104"/>
        <v/>
      </c>
      <c r="BE42" s="169" t="str">
        <f t="array" aca="1" ref="BE42" ca="1">IF(ROWS($9:41)&lt;=COUNTIF(Condition12,"o"),INDEX(Liste12,SMALL(IF(Condition12="o",ROW(INDIRECT("1:"&amp;ROWS(Liste12)))),ROWS($9:41))),"")</f>
        <v/>
      </c>
      <c r="BF42" s="175">
        <f t="shared" ca="1" si="26"/>
        <v>0</v>
      </c>
      <c r="BG42" s="175" t="str">
        <f t="shared" ca="1" si="27"/>
        <v/>
      </c>
      <c r="BH42" s="169" t="str">
        <f t="shared" ca="1" si="105"/>
        <v/>
      </c>
      <c r="BI42" s="169" t="str">
        <f t="array" aca="1" ref="BI42" ca="1">IF(ROWS($9:41)&lt;=COUNTIF(Condition13,"o"),INDEX(Liste13,SMALL(IF(Condition13="o",ROW(INDIRECT("1:"&amp;ROWS(Liste13)))),ROWS($9:41))),"")</f>
        <v/>
      </c>
      <c r="BJ42" s="175">
        <f t="shared" ca="1" si="28"/>
        <v>0</v>
      </c>
      <c r="BK42" s="175" t="str">
        <f t="shared" ca="1" si="29"/>
        <v/>
      </c>
      <c r="BL42" s="169" t="str">
        <f t="shared" ca="1" si="106"/>
        <v/>
      </c>
      <c r="BM42" s="169" t="str">
        <f t="array" aca="1" ref="BM42" ca="1">IF(ROWS($9:41)&lt;=COUNTIF(Condition14,"o"),INDEX(Liste14,SMALL(IF(Condition14="o",ROW(INDIRECT("1:"&amp;ROWS(Liste14)))),ROWS($9:41))),"")</f>
        <v/>
      </c>
      <c r="BN42" s="175">
        <f t="shared" ca="1" si="30"/>
        <v>0</v>
      </c>
      <c r="BO42" s="175" t="str">
        <f t="shared" ca="1" si="31"/>
        <v/>
      </c>
      <c r="BP42" s="169" t="str">
        <f t="shared" ca="1" si="107"/>
        <v/>
      </c>
      <c r="BQ42" s="169" t="str">
        <f t="array" aca="1" ref="BQ42" ca="1">IF(ROWS($9:41)&lt;=COUNTIF(Condition15,"o"),INDEX(Liste15,SMALL(IF(Condition15="o",ROW(INDIRECT("1:"&amp;ROWS(Liste15)))),ROWS($9:41))),"")</f>
        <v/>
      </c>
      <c r="BR42" s="175">
        <f t="shared" ca="1" si="32"/>
        <v>0</v>
      </c>
      <c r="BS42" s="175" t="str">
        <f t="shared" ca="1" si="33"/>
        <v/>
      </c>
      <c r="BT42" s="169" t="str">
        <f t="shared" ca="1" si="108"/>
        <v/>
      </c>
      <c r="BU42" s="169" t="str">
        <f t="array" aca="1" ref="BU42" ca="1">IF(ROWS($9:41)&lt;=COUNTIF(Condition16,"o"),INDEX(Liste16,SMALL(IF(Condition16="o",ROW(INDIRECT("1:"&amp;ROWS(Liste16)))),ROWS($9:41))),"")</f>
        <v/>
      </c>
      <c r="BV42" s="175">
        <f t="shared" ca="1" si="34"/>
        <v>0</v>
      </c>
      <c r="BW42" s="175" t="str">
        <f t="shared" ca="1" si="35"/>
        <v/>
      </c>
      <c r="BX42" s="169" t="str">
        <f t="shared" ca="1" si="109"/>
        <v/>
      </c>
      <c r="BY42" s="169" t="str">
        <f t="array" aca="1" ref="BY42" ca="1">IF(ROWS($9:41)&lt;=COUNTIF(Condition17,"o"),INDEX(Liste17,SMALL(IF(Condition17="o",ROW(INDIRECT("1:"&amp;ROWS(Liste17)))),ROWS($9:41))),"")</f>
        <v/>
      </c>
      <c r="BZ42" s="175">
        <f t="shared" ca="1" si="36"/>
        <v>0</v>
      </c>
      <c r="CA42" s="175" t="str">
        <f t="shared" ca="1" si="37"/>
        <v/>
      </c>
      <c r="CB42" s="169" t="str">
        <f t="shared" ca="1" si="110"/>
        <v/>
      </c>
      <c r="CC42" s="169" t="str">
        <f t="array" aca="1" ref="CC42" ca="1">IF(ROWS($9:41)&lt;=COUNTIF(Condition18,"o"),INDEX(Liste18,SMALL(IF(Condition18="o",ROW(INDIRECT("1:"&amp;ROWS(Liste18)))),ROWS($9:41))),"")</f>
        <v/>
      </c>
      <c r="CD42" s="175">
        <f t="shared" ca="1" si="38"/>
        <v>0</v>
      </c>
      <c r="CE42" s="175" t="str">
        <f t="shared" ca="1" si="39"/>
        <v/>
      </c>
      <c r="CF42" s="169" t="str">
        <f t="shared" ca="1" si="111"/>
        <v/>
      </c>
      <c r="CG42" s="169" t="str">
        <f t="array" aca="1" ref="CG42" ca="1">IF(ROWS($9:41)&lt;=COUNTIF(Condition19,"o"),INDEX(Liste19,SMALL(IF(Condition19="o",ROW(INDIRECT("1:"&amp;ROWS(Liste19)))),ROWS($9:41))),"")</f>
        <v/>
      </c>
      <c r="CH42" s="175">
        <f t="shared" ca="1" si="40"/>
        <v>0</v>
      </c>
      <c r="CI42" s="175" t="str">
        <f t="shared" ca="1" si="41"/>
        <v/>
      </c>
      <c r="CJ42" s="169" t="str">
        <f t="shared" ca="1" si="112"/>
        <v/>
      </c>
      <c r="CK42" s="169" t="str">
        <f t="array" aca="1" ref="CK42" ca="1">IF(ROWS($9:41)&lt;=COUNTIF(Condition20,"o"),INDEX(Liste20,SMALL(IF(Condition20="o",ROW(INDIRECT("1:"&amp;ROWS(Liste20)))),ROWS($9:41))),"")</f>
        <v/>
      </c>
      <c r="CL42" s="175">
        <f t="shared" ca="1" si="42"/>
        <v>0</v>
      </c>
      <c r="CM42" s="175" t="str">
        <f t="shared" ca="1" si="43"/>
        <v/>
      </c>
      <c r="CN42" s="169" t="str">
        <f t="shared" ca="1" si="113"/>
        <v/>
      </c>
      <c r="CO42" s="169" t="str">
        <f t="array" aca="1" ref="CO42" ca="1">IF(ROWS($9:41)&lt;=COUNTIF(Condition21,"o"),INDEX(Liste21,SMALL(IF(Condition21="o",ROW(INDIRECT("1:"&amp;ROWS(Liste21)))),ROWS($9:41))),"")</f>
        <v/>
      </c>
      <c r="CP42" s="175">
        <f t="shared" ca="1" si="44"/>
        <v>0</v>
      </c>
      <c r="CQ42" s="175" t="str">
        <f t="shared" ca="1" si="45"/>
        <v/>
      </c>
      <c r="CR42" s="169" t="str">
        <f t="shared" ca="1" si="114"/>
        <v/>
      </c>
      <c r="CS42" s="169" t="str">
        <f t="array" aca="1" ref="CS42" ca="1">IF(ROWS($9:41)&lt;=COUNTIF(Condition22,"o"),INDEX(Liste22,SMALL(IF(Condition22="o",ROW(INDIRECT("1:"&amp;ROWS(Liste22)))),ROWS($9:41))),"")</f>
        <v/>
      </c>
      <c r="CT42" s="175">
        <f t="shared" ca="1" si="46"/>
        <v>0</v>
      </c>
      <c r="CU42" s="175" t="str">
        <f t="shared" ca="1" si="47"/>
        <v/>
      </c>
      <c r="CV42" s="169" t="str">
        <f t="shared" ca="1" si="115"/>
        <v/>
      </c>
      <c r="CW42" s="169" t="str">
        <f t="array" aca="1" ref="CW42" ca="1">IF(ROWS($9:41)&lt;=COUNTIF(Condition23,"o"),INDEX(Liste23,SMALL(IF(Condition23="o",ROW(INDIRECT("1:"&amp;ROWS(Liste23)))),ROWS($9:41))),"")</f>
        <v/>
      </c>
      <c r="CX42" s="175">
        <f t="shared" ca="1" si="48"/>
        <v>0</v>
      </c>
      <c r="CY42" s="175" t="str">
        <f t="shared" ca="1" si="49"/>
        <v/>
      </c>
      <c r="CZ42" s="169" t="str">
        <f t="shared" ca="1" si="116"/>
        <v/>
      </c>
      <c r="DA42" s="169" t="str">
        <f t="array" aca="1" ref="DA42" ca="1">IF(ROWS($9:41)&lt;=COUNTIF(Condition24,"o"),INDEX(Liste24,SMALL(IF(Condition24="o",ROW(INDIRECT("1:"&amp;ROWS(Liste24)))),ROWS($9:41))),"")</f>
        <v/>
      </c>
      <c r="DB42" s="175">
        <f t="shared" ca="1" si="50"/>
        <v>0</v>
      </c>
      <c r="DC42" s="175" t="str">
        <f t="shared" ca="1" si="51"/>
        <v/>
      </c>
      <c r="DD42" s="169" t="str">
        <f t="shared" ca="1" si="117"/>
        <v/>
      </c>
      <c r="DE42" s="169" t="str">
        <f t="array" aca="1" ref="DE42" ca="1">IF(ROWS($9:41)&lt;=COUNTIF(Condition25,"o"),INDEX(Liste25,SMALL(IF(Condition25="o",ROW(INDIRECT("1:"&amp;ROWS(Liste25)))),ROWS($9:41))),"")</f>
        <v/>
      </c>
      <c r="DF42" s="175">
        <f t="shared" ca="1" si="52"/>
        <v>0</v>
      </c>
      <c r="DG42" s="175" t="str">
        <f t="shared" ca="1" si="53"/>
        <v/>
      </c>
      <c r="DH42" s="169" t="str">
        <f t="shared" ca="1" si="118"/>
        <v/>
      </c>
      <c r="DI42" s="169" t="str">
        <f t="array" aca="1" ref="DI42" ca="1">IF(ROWS($9:41)&lt;=COUNTIF(Condition26,"o"),INDEX(Liste26,SMALL(IF(Condition26="o",ROW(INDIRECT("1:"&amp;ROWS(Liste26)))),ROWS($9:41))),"")</f>
        <v/>
      </c>
      <c r="DJ42" s="175">
        <f t="shared" ca="1" si="54"/>
        <v>0</v>
      </c>
      <c r="DK42" s="175" t="str">
        <f t="shared" ca="1" si="55"/>
        <v/>
      </c>
      <c r="DL42" s="169" t="str">
        <f t="shared" ca="1" si="119"/>
        <v/>
      </c>
      <c r="DM42" s="169" t="str">
        <f t="array" aca="1" ref="DM42" ca="1">IF(ROWS($9:41)&lt;=COUNTIF(Condition27,"o"),INDEX(Liste27,SMALL(IF(Condition27="o",ROW(INDIRECT("1:"&amp;ROWS(Liste27)))),ROWS($9:41))),"")</f>
        <v/>
      </c>
      <c r="DN42" s="175">
        <f t="shared" ca="1" si="56"/>
        <v>0</v>
      </c>
      <c r="DO42" s="175" t="str">
        <f t="shared" ca="1" si="57"/>
        <v/>
      </c>
      <c r="DP42" s="169" t="str">
        <f t="shared" ca="1" si="120"/>
        <v/>
      </c>
      <c r="DQ42" s="169" t="str">
        <f t="array" aca="1" ref="DQ42" ca="1">IF(ROWS($9:41)&lt;=COUNTIF(Condition28,"o"),INDEX(Liste28,SMALL(IF(Condition28="o",ROW(INDIRECT("1:"&amp;ROWS(Liste28)))),ROWS($9:41))),"")</f>
        <v/>
      </c>
      <c r="DR42" s="175">
        <f t="shared" ca="1" si="58"/>
        <v>0</v>
      </c>
      <c r="DS42" s="175" t="str">
        <f t="shared" ca="1" si="59"/>
        <v/>
      </c>
      <c r="DT42" s="169" t="str">
        <f t="shared" ca="1" si="121"/>
        <v/>
      </c>
      <c r="DU42" s="169" t="str">
        <f t="array" aca="1" ref="DU42" ca="1">IF(ROWS($9:41)&lt;=COUNTIF(Condition29,"o"),INDEX(Liste29,SMALL(IF(Condition29="o",ROW(INDIRECT("1:"&amp;ROWS(Liste29)))),ROWS($9:41))),"")</f>
        <v/>
      </c>
      <c r="DV42" s="175">
        <f t="shared" ca="1" si="60"/>
        <v>0</v>
      </c>
      <c r="DW42" s="175" t="str">
        <f t="shared" ca="1" si="61"/>
        <v/>
      </c>
      <c r="DX42" s="169" t="str">
        <f t="shared" ca="1" si="122"/>
        <v/>
      </c>
      <c r="DY42" s="169" t="str">
        <f t="array" aca="1" ref="DY42" ca="1">IF(ROWS($9:41)&lt;=COUNTIF(Condition30,"o"),INDEX(Liste30,SMALL(IF(Condition30="o",ROW(INDIRECT("1:"&amp;ROWS(Liste30)))),ROWS($9:41))),"")</f>
        <v/>
      </c>
      <c r="DZ42" s="175">
        <f t="shared" ca="1" si="62"/>
        <v>0</v>
      </c>
      <c r="EA42" s="175" t="str">
        <f t="shared" ca="1" si="63"/>
        <v/>
      </c>
      <c r="EB42" s="169" t="str">
        <f t="shared" ca="1" si="123"/>
        <v/>
      </c>
      <c r="EC42" s="169" t="str">
        <f t="array" aca="1" ref="EC42" ca="1">IF(ROWS($9:41)&lt;=COUNTIF(Condition31,"o"),INDEX(Liste31,SMALL(IF(Condition31="o",ROW(INDIRECT("1:"&amp;ROWS(Liste31)))),ROWS($9:41))),"")</f>
        <v/>
      </c>
      <c r="ED42" s="175">
        <f t="shared" ca="1" si="64"/>
        <v>0</v>
      </c>
      <c r="EE42" s="175" t="str">
        <f t="shared" ca="1" si="65"/>
        <v/>
      </c>
      <c r="EF42" s="169" t="str">
        <f t="shared" ca="1" si="124"/>
        <v/>
      </c>
      <c r="EG42" s="169" t="str">
        <f t="array" aca="1" ref="EG42" ca="1">IF(ROWS($9:41)&lt;=COUNTIF(Condition32,"o"),INDEX(Liste32,SMALL(IF(Condition32="o",ROW(INDIRECT("1:"&amp;ROWS(Liste32)))),ROWS($9:41))),"")</f>
        <v/>
      </c>
      <c r="EH42" s="175">
        <f t="shared" ca="1" si="66"/>
        <v>0</v>
      </c>
      <c r="EI42" s="175" t="str">
        <f t="shared" ca="1" si="67"/>
        <v/>
      </c>
      <c r="EJ42" s="169" t="str">
        <f t="shared" ca="1" si="125"/>
        <v/>
      </c>
      <c r="EK42" s="169" t="str">
        <f t="array" aca="1" ref="EK42" ca="1">IF(ROWS($9:41)&lt;=COUNTIF(Condition33,"o"),INDEX(Liste33,SMALL(IF(Condition33="o",ROW(INDIRECT("1:"&amp;ROWS(Liste33)))),ROWS($9:41))),"")</f>
        <v/>
      </c>
      <c r="EL42" s="175">
        <f t="shared" ca="1" si="68"/>
        <v>0</v>
      </c>
      <c r="EM42" s="175" t="str">
        <f t="shared" ca="1" si="69"/>
        <v/>
      </c>
      <c r="EN42" s="169" t="str">
        <f t="shared" ca="1" si="126"/>
        <v/>
      </c>
      <c r="EO42" s="169" t="str">
        <f t="array" aca="1" ref="EO42" ca="1">IF(ROWS($9:41)&lt;=COUNTIF(Condition34,"o"),INDEX(Liste34,SMALL(IF(Condition34="o",ROW(INDIRECT("1:"&amp;ROWS(Liste34)))),ROWS($9:41))),"")</f>
        <v/>
      </c>
      <c r="EP42" s="175">
        <f t="shared" ca="1" si="70"/>
        <v>0</v>
      </c>
      <c r="EQ42" s="175" t="str">
        <f t="shared" ca="1" si="71"/>
        <v/>
      </c>
      <c r="ER42" s="169" t="str">
        <f t="shared" ca="1" si="127"/>
        <v/>
      </c>
      <c r="ES42" s="169" t="str">
        <f t="array" aca="1" ref="ES42" ca="1">IF(ROWS($9:41)&lt;=COUNTIF(Condition35,"o"),INDEX(Liste35,SMALL(IF(Condition35="o",ROW(INDIRECT("1:"&amp;ROWS(Liste35)))),ROWS($9:41))),"")</f>
        <v/>
      </c>
      <c r="ET42" s="175">
        <f t="shared" ca="1" si="72"/>
        <v>0</v>
      </c>
      <c r="EU42" s="175" t="str">
        <f t="shared" ca="1" si="73"/>
        <v/>
      </c>
      <c r="EV42" s="169" t="str">
        <f t="shared" ca="1" si="128"/>
        <v/>
      </c>
      <c r="EW42" s="169" t="str">
        <f t="array" aca="1" ref="EW42" ca="1">IF(ROWS($9:41)&lt;=COUNTIF(Condition36,"o"),INDEX(Liste36,SMALL(IF(Condition36="o",ROW(INDIRECT("1:"&amp;ROWS(Liste36)))),ROWS($9:41))),"")</f>
        <v/>
      </c>
      <c r="EX42" s="175">
        <f t="shared" ca="1" si="74"/>
        <v>0</v>
      </c>
      <c r="EY42" s="175" t="str">
        <f t="shared" ca="1" si="75"/>
        <v/>
      </c>
      <c r="EZ42" s="169" t="str">
        <f t="shared" ca="1" si="85"/>
        <v/>
      </c>
      <c r="FA42" s="169" t="str">
        <f t="array" aca="1" ref="FA42" ca="1">IF(ROWS($9:41)&lt;=COUNTIF(Condition36,"o"),INDEX(Liste36,SMALL(IF(Condition36="o",ROW(INDIRECT("1:"&amp;ROWS(Liste36)))),ROWS($9:41))),"")</f>
        <v/>
      </c>
      <c r="FB42" s="175">
        <f t="shared" ca="1" si="76"/>
        <v>0</v>
      </c>
      <c r="FC42" s="175" t="str">
        <f t="shared" ca="1" si="77"/>
        <v/>
      </c>
      <c r="FD42" s="169" t="str">
        <f t="shared" ca="1" si="86"/>
        <v/>
      </c>
      <c r="FF42" s="175">
        <f t="shared" ca="1" si="78"/>
        <v>0</v>
      </c>
      <c r="FG42" s="175" t="str">
        <f t="shared" ca="1" si="79"/>
        <v/>
      </c>
      <c r="FH42" s="169" t="str">
        <f t="shared" ca="1" si="87"/>
        <v/>
      </c>
      <c r="FI42" s="169" t="str">
        <f t="array" aca="1" ref="FI42" ca="1">IF(ROWS($9:41)&lt;=COUNTIF(Condition39,"o"),INDEX(Liste39,SMALL(IF(Condition39="o",ROW(INDIRECT("1:"&amp;ROWS(Liste39)))),ROWS($9:41))),"")</f>
        <v/>
      </c>
      <c r="FM42" s="1" t="s">
        <v>1221</v>
      </c>
      <c r="FN42" s="1" t="s">
        <v>1170</v>
      </c>
      <c r="FO42" s="180">
        <f>'Suivi objectifs'!D37</f>
        <v>0</v>
      </c>
      <c r="FP42" s="1366">
        <f>'Suivi objectifs'!C39</f>
        <v>0</v>
      </c>
      <c r="FQ42" s="181" t="str">
        <f ca="1">IF(ISNA(VLOOKUP(FR42,Actions!$G$2:$AP$70,31,0)),"",VLOOKUP(FR42,Actions!$G$2:$AP$70,36,0))</f>
        <v/>
      </c>
      <c r="FR42" s="187" t="str">
        <f t="shared" ca="1" si="88"/>
        <v/>
      </c>
      <c r="FS42" s="286">
        <f t="shared" ca="1" si="80"/>
        <v>0</v>
      </c>
      <c r="FT42" s="181" t="str">
        <f ca="1">IF(ISNA(VLOOKUP(FU42,Actions!$G$2:$AP$70,31,0)),"",VLOOKUP(FU42,Actions!$G$2:$AP$70,36,0))</f>
        <v/>
      </c>
      <c r="FU42" s="187" t="str">
        <f t="shared" ca="1" si="89"/>
        <v/>
      </c>
      <c r="FV42" s="286">
        <f t="shared" ca="1" si="81"/>
        <v>0</v>
      </c>
      <c r="FW42" s="181" t="str">
        <f ca="1">IF(ISNA(VLOOKUP(FX42,Actions!$G$2:$AP$70,31,0)),"",VLOOKUP(FX42,Actions!$G$2:$AP$70,36,0))</f>
        <v/>
      </c>
      <c r="FX42" s="187" t="str">
        <f t="shared" ca="1" si="90"/>
        <v/>
      </c>
      <c r="FY42" s="286">
        <f t="shared" ca="1" si="82"/>
        <v>0</v>
      </c>
      <c r="FZ42" s="181" t="str">
        <f ca="1">IF(ISNA(VLOOKUP(GA42,Actions!$G$2:$AP$70,31,0)),"",VLOOKUP(GA42,Actions!$G$2:$AP$70,36,0))</f>
        <v/>
      </c>
      <c r="GA42" s="187" t="str">
        <f t="shared" ca="1" si="91"/>
        <v/>
      </c>
      <c r="GB42" s="286">
        <f t="shared" ca="1" si="83"/>
        <v>0</v>
      </c>
      <c r="GC42" s="181" t="str">
        <f ca="1">IF(ISNA(VLOOKUP(GD42,Actions!$G$2:$AP$70,31,0)),"",VLOOKUP(GD42,Actions!$G$2:$AP$70,36,0))</f>
        <v/>
      </c>
      <c r="GD42" s="187" t="str">
        <f t="shared" ca="1" si="92"/>
        <v/>
      </c>
      <c r="GE42" s="287">
        <f t="shared" ca="1" si="84"/>
        <v>0</v>
      </c>
      <c r="GF42" s="186">
        <f t="shared" ca="1" si="129"/>
        <v>0</v>
      </c>
      <c r="GG42" s="233"/>
    </row>
    <row r="43" spans="1:189" hidden="1">
      <c r="A43" s="1" t="s">
        <v>920</v>
      </c>
      <c r="B43" s="1">
        <f>Actions!F36</f>
        <v>35</v>
      </c>
      <c r="C43" s="1">
        <f ca="1">Actions!G36</f>
        <v>0</v>
      </c>
      <c r="D43" s="1">
        <f ca="1">Actions!H36</f>
        <v>0</v>
      </c>
      <c r="E43" s="1" t="str">
        <f ca="1">Actions!I36</f>
        <v>-</v>
      </c>
      <c r="F43" s="1" t="str">
        <f t="shared" ca="1" si="0"/>
        <v>-</v>
      </c>
      <c r="G43" s="1" t="e">
        <f t="shared" ca="1" si="1"/>
        <v>#REF!</v>
      </c>
      <c r="I43" s="1">
        <v>35</v>
      </c>
      <c r="J43" s="175">
        <f t="shared" ca="1" si="2"/>
        <v>0</v>
      </c>
      <c r="K43" s="175" t="str">
        <f t="shared" ca="1" si="3"/>
        <v/>
      </c>
      <c r="L43" s="169" t="str">
        <f t="shared" ca="1" si="93"/>
        <v/>
      </c>
      <c r="M43" s="169" t="str">
        <f t="array" aca="1" ref="M43" ca="1">IF(ROWS($9:42)&lt;=COUNTIF(Condition1,"o"),INDEX(Liste1,SMALL(IF(Condition1="o",ROW(INDIRECT("1:"&amp;ROWS(Liste1)))),ROWS($9:42))),"")</f>
        <v/>
      </c>
      <c r="N43" s="175">
        <f t="shared" ca="1" si="4"/>
        <v>0</v>
      </c>
      <c r="O43" s="175" t="str">
        <f t="shared" ca="1" si="5"/>
        <v/>
      </c>
      <c r="P43" s="169" t="str">
        <f t="shared" ca="1" si="94"/>
        <v/>
      </c>
      <c r="Q43" s="169" t="str">
        <f t="array" aca="1" ref="Q43" ca="1">IF(ROWS($9:42)&lt;=COUNTIF(Condition2,"o"),INDEX(Liste2,SMALL(IF(Condition2="o",ROW(INDIRECT("1:"&amp;ROWS(Liste2)))),ROWS($9:42))),"")</f>
        <v/>
      </c>
      <c r="R43" s="175">
        <f t="shared" ca="1" si="6"/>
        <v>0</v>
      </c>
      <c r="S43" s="175" t="str">
        <f t="shared" ca="1" si="7"/>
        <v/>
      </c>
      <c r="T43" s="169" t="str">
        <f t="shared" ca="1" si="95"/>
        <v/>
      </c>
      <c r="U43" s="169" t="str">
        <f t="array" aca="1" ref="U43" ca="1">IF(ROWS($9:42)&lt;=COUNTIF(Condition3,"o"),INDEX(Liste3,SMALL(IF(Condition3="o",ROW(INDIRECT("1:"&amp;ROWS(Liste3)))),ROWS($9:42))),"")</f>
        <v/>
      </c>
      <c r="V43" s="175">
        <f t="shared" ca="1" si="8"/>
        <v>0</v>
      </c>
      <c r="W43" s="175" t="str">
        <f t="shared" ca="1" si="9"/>
        <v/>
      </c>
      <c r="X43" s="169" t="str">
        <f t="shared" ca="1" si="96"/>
        <v/>
      </c>
      <c r="Y43" s="169" t="str">
        <f t="array" aca="1" ref="Y43" ca="1">IF(ROWS($9:42)&lt;=COUNTIF(Condition4,"o"),INDEX(Liste4,SMALL(IF(Condition4="o",ROW(INDIRECT("1:"&amp;ROWS(Liste4)))),ROWS($9:42))),"")</f>
        <v/>
      </c>
      <c r="Z43" s="175">
        <f t="shared" ca="1" si="10"/>
        <v>0</v>
      </c>
      <c r="AA43" s="175" t="str">
        <f t="shared" ca="1" si="11"/>
        <v/>
      </c>
      <c r="AB43" s="169" t="str">
        <f t="shared" ca="1" si="97"/>
        <v/>
      </c>
      <c r="AC43" s="169" t="str">
        <f t="array" aca="1" ref="AC43" ca="1">IF(ROWS($9:42)&lt;=COUNTIF(Condition5,"o"),INDEX(Liste5,SMALL(IF(Condition5="o",ROW(INDIRECT("1:"&amp;ROWS(Liste5)))),ROWS($9:42))),"")</f>
        <v/>
      </c>
      <c r="AD43" s="175">
        <f t="shared" ca="1" si="12"/>
        <v>0</v>
      </c>
      <c r="AE43" s="175" t="str">
        <f t="shared" ca="1" si="13"/>
        <v/>
      </c>
      <c r="AF43" s="169" t="str">
        <f t="shared" ca="1" si="98"/>
        <v/>
      </c>
      <c r="AG43" s="169" t="str">
        <f t="array" aca="1" ref="AG43" ca="1">IF(ROWS($9:42)&lt;=COUNTIF(Condition6,"o"),INDEX(Liste6,SMALL(IF(Condition6="o",ROW(INDIRECT("1:"&amp;ROWS(Liste6)))),ROWS($9:42))),"")</f>
        <v/>
      </c>
      <c r="AH43" s="175">
        <f t="shared" ca="1" si="14"/>
        <v>0</v>
      </c>
      <c r="AI43" s="175" t="str">
        <f t="shared" ca="1" si="15"/>
        <v/>
      </c>
      <c r="AJ43" s="169" t="str">
        <f t="shared" ca="1" si="99"/>
        <v/>
      </c>
      <c r="AK43" s="169" t="str">
        <f t="array" aca="1" ref="AK43" ca="1">IF(ROWS($9:42)&lt;=COUNTIF(Condition7,"o"),INDEX(Liste7,SMALL(IF(Condition7="o",ROW(INDIRECT("1:"&amp;ROWS(Liste7)))),ROWS($9:42))),"")</f>
        <v/>
      </c>
      <c r="AL43" s="175">
        <f t="shared" ca="1" si="16"/>
        <v>0</v>
      </c>
      <c r="AM43" s="175" t="str">
        <f t="shared" ca="1" si="17"/>
        <v/>
      </c>
      <c r="AN43" s="169" t="str">
        <f t="shared" ca="1" si="100"/>
        <v/>
      </c>
      <c r="AO43" s="169" t="str">
        <f t="array" aca="1" ref="AO43" ca="1">IF(ROWS($9:42)&lt;=COUNTIF(Condition8,"o"),INDEX(Liste8,SMALL(IF(Condition8="o",ROW(INDIRECT("1:"&amp;ROWS(Liste8)))),ROWS($9:42))),"")</f>
        <v/>
      </c>
      <c r="AP43" s="175">
        <f t="shared" ca="1" si="18"/>
        <v>0</v>
      </c>
      <c r="AQ43" s="175" t="str">
        <f t="shared" ca="1" si="19"/>
        <v/>
      </c>
      <c r="AR43" s="169" t="str">
        <f t="shared" ca="1" si="101"/>
        <v/>
      </c>
      <c r="AS43" s="169" t="str">
        <f t="array" aca="1" ref="AS43" ca="1">IF(ROWS($9:42)&lt;=COUNTIF(Condition9,"o"),INDEX(Liste9,SMALL(IF(Condition9="o",ROW(INDIRECT("1:"&amp;ROWS(Liste9)))),ROWS($9:42))),"")</f>
        <v/>
      </c>
      <c r="AT43" s="175">
        <f t="shared" ca="1" si="20"/>
        <v>0</v>
      </c>
      <c r="AU43" s="175" t="str">
        <f t="shared" ca="1" si="21"/>
        <v/>
      </c>
      <c r="AV43" s="169" t="str">
        <f t="shared" ca="1" si="102"/>
        <v/>
      </c>
      <c r="AW43" s="169" t="str">
        <f t="array" aca="1" ref="AW43" ca="1">IF(ROWS($9:42)&lt;=COUNTIF(Condition10,"o"),INDEX(Liste10,SMALL(IF(Condition10="o",ROW(INDIRECT("1:"&amp;ROWS(Liste10)))),ROWS($9:42))),"")</f>
        <v/>
      </c>
      <c r="AX43" s="175">
        <f t="shared" ca="1" si="22"/>
        <v>0</v>
      </c>
      <c r="AY43" s="175" t="str">
        <f t="shared" ca="1" si="23"/>
        <v/>
      </c>
      <c r="AZ43" s="169" t="str">
        <f t="shared" ca="1" si="103"/>
        <v/>
      </c>
      <c r="BA43" s="169" t="str">
        <f t="array" aca="1" ref="BA43" ca="1">IF(ROWS($9:42)&lt;=COUNTIF(Condition11,"o"),INDEX(Liste11,SMALL(IF(Condition11="o",ROW(INDIRECT("1:"&amp;ROWS(Liste11)))),ROWS($9:42))),"")</f>
        <v/>
      </c>
      <c r="BB43" s="175">
        <f t="shared" ca="1" si="24"/>
        <v>0</v>
      </c>
      <c r="BC43" s="175" t="str">
        <f t="shared" ca="1" si="25"/>
        <v/>
      </c>
      <c r="BD43" s="169" t="str">
        <f t="shared" ca="1" si="104"/>
        <v/>
      </c>
      <c r="BE43" s="169" t="str">
        <f t="array" aca="1" ref="BE43" ca="1">IF(ROWS($9:42)&lt;=COUNTIF(Condition12,"o"),INDEX(Liste12,SMALL(IF(Condition12="o",ROW(INDIRECT("1:"&amp;ROWS(Liste12)))),ROWS($9:42))),"")</f>
        <v/>
      </c>
      <c r="BF43" s="175">
        <f t="shared" ca="1" si="26"/>
        <v>0</v>
      </c>
      <c r="BG43" s="175" t="str">
        <f t="shared" ca="1" si="27"/>
        <v/>
      </c>
      <c r="BH43" s="169" t="str">
        <f t="shared" ca="1" si="105"/>
        <v/>
      </c>
      <c r="BI43" s="169" t="str">
        <f t="array" aca="1" ref="BI43" ca="1">IF(ROWS($9:42)&lt;=COUNTIF(Condition13,"o"),INDEX(Liste13,SMALL(IF(Condition13="o",ROW(INDIRECT("1:"&amp;ROWS(Liste13)))),ROWS($9:42))),"")</f>
        <v/>
      </c>
      <c r="BJ43" s="175">
        <f t="shared" ca="1" si="28"/>
        <v>0</v>
      </c>
      <c r="BK43" s="175" t="str">
        <f t="shared" ca="1" si="29"/>
        <v/>
      </c>
      <c r="BL43" s="169" t="str">
        <f t="shared" ca="1" si="106"/>
        <v/>
      </c>
      <c r="BM43" s="169" t="str">
        <f t="array" aca="1" ref="BM43" ca="1">IF(ROWS($9:42)&lt;=COUNTIF(Condition14,"o"),INDEX(Liste14,SMALL(IF(Condition14="o",ROW(INDIRECT("1:"&amp;ROWS(Liste14)))),ROWS($9:42))),"")</f>
        <v/>
      </c>
      <c r="BN43" s="175">
        <f t="shared" ca="1" si="30"/>
        <v>0</v>
      </c>
      <c r="BO43" s="175" t="str">
        <f t="shared" ca="1" si="31"/>
        <v/>
      </c>
      <c r="BP43" s="169" t="str">
        <f t="shared" ca="1" si="107"/>
        <v/>
      </c>
      <c r="BQ43" s="169" t="str">
        <f t="array" aca="1" ref="BQ43" ca="1">IF(ROWS($9:42)&lt;=COUNTIF(Condition15,"o"),INDEX(Liste15,SMALL(IF(Condition15="o",ROW(INDIRECT("1:"&amp;ROWS(Liste15)))),ROWS($9:42))),"")</f>
        <v/>
      </c>
      <c r="BR43" s="175">
        <f t="shared" ca="1" si="32"/>
        <v>0</v>
      </c>
      <c r="BS43" s="175" t="str">
        <f t="shared" ca="1" si="33"/>
        <v/>
      </c>
      <c r="BT43" s="169" t="str">
        <f t="shared" ca="1" si="108"/>
        <v/>
      </c>
      <c r="BU43" s="169" t="str">
        <f t="array" aca="1" ref="BU43" ca="1">IF(ROWS($9:42)&lt;=COUNTIF(Condition16,"o"),INDEX(Liste16,SMALL(IF(Condition16="o",ROW(INDIRECT("1:"&amp;ROWS(Liste16)))),ROWS($9:42))),"")</f>
        <v/>
      </c>
      <c r="BV43" s="175">
        <f t="shared" ca="1" si="34"/>
        <v>0</v>
      </c>
      <c r="BW43" s="175" t="str">
        <f t="shared" ca="1" si="35"/>
        <v/>
      </c>
      <c r="BX43" s="169" t="str">
        <f t="shared" ca="1" si="109"/>
        <v/>
      </c>
      <c r="BY43" s="169" t="str">
        <f t="array" aca="1" ref="BY43" ca="1">IF(ROWS($9:42)&lt;=COUNTIF(Condition17,"o"),INDEX(Liste17,SMALL(IF(Condition17="o",ROW(INDIRECT("1:"&amp;ROWS(Liste17)))),ROWS($9:42))),"")</f>
        <v/>
      </c>
      <c r="BZ43" s="175">
        <f t="shared" ca="1" si="36"/>
        <v>0</v>
      </c>
      <c r="CA43" s="175" t="str">
        <f t="shared" ca="1" si="37"/>
        <v/>
      </c>
      <c r="CB43" s="169" t="str">
        <f t="shared" ca="1" si="110"/>
        <v/>
      </c>
      <c r="CC43" s="169" t="str">
        <f t="array" aca="1" ref="CC43" ca="1">IF(ROWS($9:42)&lt;=COUNTIF(Condition18,"o"),INDEX(Liste18,SMALL(IF(Condition18="o",ROW(INDIRECT("1:"&amp;ROWS(Liste18)))),ROWS($9:42))),"")</f>
        <v/>
      </c>
      <c r="CD43" s="175">
        <f t="shared" ca="1" si="38"/>
        <v>0</v>
      </c>
      <c r="CE43" s="175" t="str">
        <f t="shared" ca="1" si="39"/>
        <v/>
      </c>
      <c r="CF43" s="169" t="str">
        <f t="shared" ca="1" si="111"/>
        <v/>
      </c>
      <c r="CG43" s="169" t="str">
        <f t="array" aca="1" ref="CG43" ca="1">IF(ROWS($9:42)&lt;=COUNTIF(Condition19,"o"),INDEX(Liste19,SMALL(IF(Condition19="o",ROW(INDIRECT("1:"&amp;ROWS(Liste19)))),ROWS($9:42))),"")</f>
        <v/>
      </c>
      <c r="CH43" s="175">
        <f t="shared" ca="1" si="40"/>
        <v>0</v>
      </c>
      <c r="CI43" s="175" t="str">
        <f t="shared" ca="1" si="41"/>
        <v/>
      </c>
      <c r="CJ43" s="169" t="str">
        <f t="shared" ca="1" si="112"/>
        <v/>
      </c>
      <c r="CK43" s="169" t="str">
        <f t="array" aca="1" ref="CK43" ca="1">IF(ROWS($9:42)&lt;=COUNTIF(Condition20,"o"),INDEX(Liste20,SMALL(IF(Condition20="o",ROW(INDIRECT("1:"&amp;ROWS(Liste20)))),ROWS($9:42))),"")</f>
        <v/>
      </c>
      <c r="CL43" s="175">
        <f t="shared" ca="1" si="42"/>
        <v>0</v>
      </c>
      <c r="CM43" s="175" t="str">
        <f t="shared" ca="1" si="43"/>
        <v/>
      </c>
      <c r="CN43" s="169" t="str">
        <f t="shared" ca="1" si="113"/>
        <v/>
      </c>
      <c r="CO43" s="169" t="str">
        <f t="array" aca="1" ref="CO43" ca="1">IF(ROWS($9:42)&lt;=COUNTIF(Condition21,"o"),INDEX(Liste21,SMALL(IF(Condition21="o",ROW(INDIRECT("1:"&amp;ROWS(Liste21)))),ROWS($9:42))),"")</f>
        <v/>
      </c>
      <c r="CP43" s="175">
        <f t="shared" ca="1" si="44"/>
        <v>0</v>
      </c>
      <c r="CQ43" s="175" t="str">
        <f t="shared" ca="1" si="45"/>
        <v/>
      </c>
      <c r="CR43" s="169" t="str">
        <f t="shared" ca="1" si="114"/>
        <v/>
      </c>
      <c r="CS43" s="169" t="str">
        <f t="array" aca="1" ref="CS43" ca="1">IF(ROWS($9:42)&lt;=COUNTIF(Condition22,"o"),INDEX(Liste22,SMALL(IF(Condition22="o",ROW(INDIRECT("1:"&amp;ROWS(Liste22)))),ROWS($9:42))),"")</f>
        <v/>
      </c>
      <c r="CT43" s="175">
        <f t="shared" ca="1" si="46"/>
        <v>0</v>
      </c>
      <c r="CU43" s="175" t="str">
        <f t="shared" ca="1" si="47"/>
        <v/>
      </c>
      <c r="CV43" s="169" t="str">
        <f t="shared" ca="1" si="115"/>
        <v/>
      </c>
      <c r="CW43" s="169" t="str">
        <f t="array" aca="1" ref="CW43" ca="1">IF(ROWS($9:42)&lt;=COUNTIF(Condition23,"o"),INDEX(Liste23,SMALL(IF(Condition23="o",ROW(INDIRECT("1:"&amp;ROWS(Liste23)))),ROWS($9:42))),"")</f>
        <v/>
      </c>
      <c r="CX43" s="175">
        <f t="shared" ca="1" si="48"/>
        <v>0</v>
      </c>
      <c r="CY43" s="175" t="str">
        <f t="shared" ca="1" si="49"/>
        <v/>
      </c>
      <c r="CZ43" s="169" t="str">
        <f t="shared" ca="1" si="116"/>
        <v/>
      </c>
      <c r="DA43" s="169" t="str">
        <f t="array" aca="1" ref="DA43" ca="1">IF(ROWS($9:42)&lt;=COUNTIF(Condition24,"o"),INDEX(Liste24,SMALL(IF(Condition24="o",ROW(INDIRECT("1:"&amp;ROWS(Liste24)))),ROWS($9:42))),"")</f>
        <v/>
      </c>
      <c r="DB43" s="175">
        <f t="shared" ca="1" si="50"/>
        <v>0</v>
      </c>
      <c r="DC43" s="175" t="str">
        <f t="shared" ca="1" si="51"/>
        <v/>
      </c>
      <c r="DD43" s="169" t="str">
        <f t="shared" ca="1" si="117"/>
        <v/>
      </c>
      <c r="DE43" s="169" t="str">
        <f t="array" aca="1" ref="DE43" ca="1">IF(ROWS($9:42)&lt;=COUNTIF(Condition25,"o"),INDEX(Liste25,SMALL(IF(Condition25="o",ROW(INDIRECT("1:"&amp;ROWS(Liste25)))),ROWS($9:42))),"")</f>
        <v/>
      </c>
      <c r="DF43" s="175">
        <f t="shared" ca="1" si="52"/>
        <v>0</v>
      </c>
      <c r="DG43" s="175" t="str">
        <f t="shared" ca="1" si="53"/>
        <v/>
      </c>
      <c r="DH43" s="169" t="str">
        <f t="shared" ca="1" si="118"/>
        <v/>
      </c>
      <c r="DI43" s="169" t="str">
        <f t="array" aca="1" ref="DI43" ca="1">IF(ROWS($9:42)&lt;=COUNTIF(Condition26,"o"),INDEX(Liste26,SMALL(IF(Condition26="o",ROW(INDIRECT("1:"&amp;ROWS(Liste26)))),ROWS($9:42))),"")</f>
        <v/>
      </c>
      <c r="DJ43" s="175">
        <f t="shared" ca="1" si="54"/>
        <v>0</v>
      </c>
      <c r="DK43" s="175" t="str">
        <f t="shared" ca="1" si="55"/>
        <v/>
      </c>
      <c r="DL43" s="169" t="str">
        <f t="shared" ca="1" si="119"/>
        <v/>
      </c>
      <c r="DM43" s="169" t="str">
        <f t="array" aca="1" ref="DM43" ca="1">IF(ROWS($9:42)&lt;=COUNTIF(Condition27,"o"),INDEX(Liste27,SMALL(IF(Condition27="o",ROW(INDIRECT("1:"&amp;ROWS(Liste27)))),ROWS($9:42))),"")</f>
        <v/>
      </c>
      <c r="DN43" s="175">
        <f t="shared" ca="1" si="56"/>
        <v>0</v>
      </c>
      <c r="DO43" s="175" t="str">
        <f t="shared" ca="1" si="57"/>
        <v/>
      </c>
      <c r="DP43" s="169" t="str">
        <f t="shared" ca="1" si="120"/>
        <v/>
      </c>
      <c r="DQ43" s="169" t="str">
        <f t="array" aca="1" ref="DQ43" ca="1">IF(ROWS($9:42)&lt;=COUNTIF(Condition28,"o"),INDEX(Liste28,SMALL(IF(Condition28="o",ROW(INDIRECT("1:"&amp;ROWS(Liste28)))),ROWS($9:42))),"")</f>
        <v/>
      </c>
      <c r="DR43" s="175">
        <f t="shared" ca="1" si="58"/>
        <v>0</v>
      </c>
      <c r="DS43" s="175" t="str">
        <f t="shared" ca="1" si="59"/>
        <v/>
      </c>
      <c r="DT43" s="169" t="str">
        <f t="shared" ca="1" si="121"/>
        <v/>
      </c>
      <c r="DU43" s="169" t="str">
        <f t="array" aca="1" ref="DU43" ca="1">IF(ROWS($9:42)&lt;=COUNTIF(Condition29,"o"),INDEX(Liste29,SMALL(IF(Condition29="o",ROW(INDIRECT("1:"&amp;ROWS(Liste29)))),ROWS($9:42))),"")</f>
        <v/>
      </c>
      <c r="DV43" s="175">
        <f t="shared" ca="1" si="60"/>
        <v>0</v>
      </c>
      <c r="DW43" s="175" t="str">
        <f t="shared" ca="1" si="61"/>
        <v/>
      </c>
      <c r="DX43" s="169" t="str">
        <f t="shared" ca="1" si="122"/>
        <v/>
      </c>
      <c r="DY43" s="169" t="str">
        <f t="array" aca="1" ref="DY43" ca="1">IF(ROWS($9:42)&lt;=COUNTIF(Condition30,"o"),INDEX(Liste30,SMALL(IF(Condition30="o",ROW(INDIRECT("1:"&amp;ROWS(Liste30)))),ROWS($9:42))),"")</f>
        <v/>
      </c>
      <c r="DZ43" s="175">
        <f t="shared" ca="1" si="62"/>
        <v>0</v>
      </c>
      <c r="EA43" s="175" t="str">
        <f t="shared" ca="1" si="63"/>
        <v/>
      </c>
      <c r="EB43" s="169" t="str">
        <f t="shared" ca="1" si="123"/>
        <v/>
      </c>
      <c r="EC43" s="169" t="str">
        <f t="array" aca="1" ref="EC43" ca="1">IF(ROWS($9:42)&lt;=COUNTIF(Condition31,"o"),INDEX(Liste31,SMALL(IF(Condition31="o",ROW(INDIRECT("1:"&amp;ROWS(Liste31)))),ROWS($9:42))),"")</f>
        <v/>
      </c>
      <c r="ED43" s="175">
        <f t="shared" ca="1" si="64"/>
        <v>0</v>
      </c>
      <c r="EE43" s="175" t="str">
        <f t="shared" ca="1" si="65"/>
        <v/>
      </c>
      <c r="EF43" s="169" t="str">
        <f t="shared" ca="1" si="124"/>
        <v/>
      </c>
      <c r="EG43" s="169" t="str">
        <f t="array" aca="1" ref="EG43" ca="1">IF(ROWS($9:42)&lt;=COUNTIF(Condition32,"o"),INDEX(Liste32,SMALL(IF(Condition32="o",ROW(INDIRECT("1:"&amp;ROWS(Liste32)))),ROWS($9:42))),"")</f>
        <v/>
      </c>
      <c r="EH43" s="175">
        <f t="shared" ca="1" si="66"/>
        <v>0</v>
      </c>
      <c r="EI43" s="175" t="str">
        <f t="shared" ca="1" si="67"/>
        <v/>
      </c>
      <c r="EJ43" s="169" t="str">
        <f t="shared" ca="1" si="125"/>
        <v/>
      </c>
      <c r="EK43" s="169" t="str">
        <f t="array" aca="1" ref="EK43" ca="1">IF(ROWS($9:42)&lt;=COUNTIF(Condition33,"o"),INDEX(Liste33,SMALL(IF(Condition33="o",ROW(INDIRECT("1:"&amp;ROWS(Liste33)))),ROWS($9:42))),"")</f>
        <v/>
      </c>
      <c r="EL43" s="175">
        <f t="shared" ca="1" si="68"/>
        <v>0</v>
      </c>
      <c r="EM43" s="175" t="str">
        <f t="shared" ca="1" si="69"/>
        <v/>
      </c>
      <c r="EN43" s="169" t="str">
        <f t="shared" ca="1" si="126"/>
        <v/>
      </c>
      <c r="EO43" s="169" t="str">
        <f t="array" aca="1" ref="EO43" ca="1">IF(ROWS($9:42)&lt;=COUNTIF(Condition34,"o"),INDEX(Liste34,SMALL(IF(Condition34="o",ROW(INDIRECT("1:"&amp;ROWS(Liste34)))),ROWS($9:42))),"")</f>
        <v/>
      </c>
      <c r="EP43" s="175">
        <f t="shared" ca="1" si="70"/>
        <v>0</v>
      </c>
      <c r="EQ43" s="175" t="str">
        <f t="shared" ca="1" si="71"/>
        <v/>
      </c>
      <c r="ER43" s="169" t="str">
        <f t="shared" ca="1" si="127"/>
        <v/>
      </c>
      <c r="ES43" s="169" t="str">
        <f t="array" aca="1" ref="ES43" ca="1">IF(ROWS($9:42)&lt;=COUNTIF(Condition35,"o"),INDEX(Liste35,SMALL(IF(Condition35="o",ROW(INDIRECT("1:"&amp;ROWS(Liste35)))),ROWS($9:42))),"")</f>
        <v/>
      </c>
      <c r="ET43" s="175">
        <f t="shared" ca="1" si="72"/>
        <v>0</v>
      </c>
      <c r="EU43" s="175" t="str">
        <f t="shared" ca="1" si="73"/>
        <v/>
      </c>
      <c r="EV43" s="169" t="str">
        <f t="shared" ca="1" si="128"/>
        <v/>
      </c>
      <c r="EW43" s="169" t="str">
        <f t="array" aca="1" ref="EW43" ca="1">IF(ROWS($9:42)&lt;=COUNTIF(Condition36,"o"),INDEX(Liste36,SMALL(IF(Condition36="o",ROW(INDIRECT("1:"&amp;ROWS(Liste36)))),ROWS($9:42))),"")</f>
        <v/>
      </c>
      <c r="EX43" s="175">
        <f t="shared" ca="1" si="74"/>
        <v>0</v>
      </c>
      <c r="EY43" s="175" t="str">
        <f t="shared" ca="1" si="75"/>
        <v/>
      </c>
      <c r="EZ43" s="169" t="str">
        <f t="shared" ca="1" si="85"/>
        <v/>
      </c>
      <c r="FA43" s="169" t="str">
        <f t="array" aca="1" ref="FA43" ca="1">IF(ROWS($9:42)&lt;=COUNTIF(Condition36,"o"),INDEX(Liste36,SMALL(IF(Condition36="o",ROW(INDIRECT("1:"&amp;ROWS(Liste36)))),ROWS($9:42))),"")</f>
        <v/>
      </c>
      <c r="FB43" s="175">
        <f t="shared" ca="1" si="76"/>
        <v>0</v>
      </c>
      <c r="FC43" s="175" t="str">
        <f t="shared" ca="1" si="77"/>
        <v/>
      </c>
      <c r="FD43" s="169" t="str">
        <f t="shared" ca="1" si="86"/>
        <v/>
      </c>
      <c r="FE43" s="175">
        <f>IF(ISNA(HLOOKUP(FE$7,$B$147:$AW$217,$I43,0)),IF(ISNA(HLOOKUP(FE$8,$B$147:$AW$217,$I43,0)),0,HLOOKUP(FE$8,$B$147:$AW$217,$I43,0)),IF(HLOOKUP(FE$7,$B$147:$AW$217,$I43,0)=0,IF(ISNA(HLOOKUP(FE$8,$B$147:$AW$217,$I43,0)),0,HLOOKUP(FE$8,$B$147:$AW$217,$I43,0)),HLOOKUP(FE$7,$B$147:$AW$217,$I43,0)))</f>
        <v>0</v>
      </c>
      <c r="FF43" s="175">
        <f t="shared" ca="1" si="78"/>
        <v>0</v>
      </c>
      <c r="FG43" s="175" t="str">
        <f t="shared" ca="1" si="79"/>
        <v/>
      </c>
      <c r="FH43" s="169" t="str">
        <f t="shared" ca="1" si="87"/>
        <v/>
      </c>
      <c r="FI43" s="169" t="str">
        <f t="array" aca="1" ref="FI43" ca="1">IF(ROWS($9:42)&lt;=COUNTIF(Condition39,"o"),INDEX(Liste39,SMALL(IF(Condition39="o",ROW(INDIRECT("1:"&amp;ROWS(Liste39)))),ROWS($9:42))),"")</f>
        <v/>
      </c>
      <c r="FM43" s="1" t="s">
        <v>1222</v>
      </c>
      <c r="FN43" s="1" t="s">
        <v>1171</v>
      </c>
      <c r="FO43" s="180">
        <f>'Suivi objectifs'!D38</f>
        <v>0</v>
      </c>
      <c r="FP43" s="1366">
        <f>'Suivi objectifs'!C40</f>
        <v>0</v>
      </c>
      <c r="FQ43" s="181" t="str">
        <f ca="1">IF(ISNA(VLOOKUP(FR43,Actions!$G$2:$AP$70,31,0)),"",VLOOKUP(FR43,Actions!$G$2:$AP$70,36,0))</f>
        <v/>
      </c>
      <c r="FR43" s="185" t="str">
        <f t="shared" ca="1" si="88"/>
        <v/>
      </c>
      <c r="FS43" s="286">
        <f t="shared" ca="1" si="80"/>
        <v>0</v>
      </c>
      <c r="FT43" s="181" t="str">
        <f ca="1">IF(ISNA(VLOOKUP(FU43,Actions!$G$2:$AP$70,31,0)),"",VLOOKUP(FU43,Actions!$G$2:$AP$70,36,0))</f>
        <v/>
      </c>
      <c r="FU43" s="185" t="str">
        <f t="shared" ca="1" si="89"/>
        <v/>
      </c>
      <c r="FV43" s="286">
        <f t="shared" ca="1" si="81"/>
        <v>0</v>
      </c>
      <c r="FW43" s="181" t="str">
        <f ca="1">IF(ISNA(VLOOKUP(FX43,Actions!$G$2:$AP$70,31,0)),"",VLOOKUP(FX43,Actions!$G$2:$AP$70,36,0))</f>
        <v/>
      </c>
      <c r="FX43" s="185" t="str">
        <f t="shared" ca="1" si="90"/>
        <v/>
      </c>
      <c r="FY43" s="286">
        <f t="shared" ca="1" si="82"/>
        <v>0</v>
      </c>
      <c r="FZ43" s="181" t="str">
        <f ca="1">IF(ISNA(VLOOKUP(GA43,Actions!$G$2:$AP$70,31,0)),"",VLOOKUP(GA43,Actions!$G$2:$AP$70,36,0))</f>
        <v/>
      </c>
      <c r="GA43" s="185" t="str">
        <f t="shared" ca="1" si="91"/>
        <v/>
      </c>
      <c r="GB43" s="286">
        <f t="shared" ca="1" si="83"/>
        <v>0</v>
      </c>
      <c r="GC43" s="181" t="str">
        <f ca="1">IF(ISNA(VLOOKUP(GD43,Actions!$G$2:$AP$70,31,0)),"",VLOOKUP(GD43,Actions!$G$2:$AP$70,36,0))</f>
        <v/>
      </c>
      <c r="GD43" s="185" t="str">
        <f t="shared" ca="1" si="92"/>
        <v/>
      </c>
      <c r="GE43" s="286">
        <f t="shared" ca="1" si="84"/>
        <v>0</v>
      </c>
      <c r="GF43" s="186">
        <f t="shared" ca="1" si="129"/>
        <v>0</v>
      </c>
      <c r="GG43" s="233"/>
    </row>
    <row r="44" spans="1:189" hidden="1">
      <c r="A44" s="1" t="s">
        <v>1223</v>
      </c>
      <c r="B44" s="1">
        <f>Actions!F37</f>
        <v>36</v>
      </c>
      <c r="C44" s="1">
        <f ca="1">Actions!G37</f>
        <v>0</v>
      </c>
      <c r="D44" s="1">
        <f ca="1">Actions!H37</f>
        <v>0</v>
      </c>
      <c r="E44" s="1" t="str">
        <f ca="1">Actions!I37</f>
        <v>-</v>
      </c>
      <c r="F44" s="1" t="str">
        <f t="shared" ca="1" si="0"/>
        <v>-</v>
      </c>
      <c r="G44" s="1" t="e">
        <f t="shared" ca="1" si="1"/>
        <v>#REF!</v>
      </c>
      <c r="I44" s="1">
        <v>36</v>
      </c>
      <c r="J44" s="175">
        <f t="shared" ca="1" si="2"/>
        <v>0</v>
      </c>
      <c r="K44" s="175" t="str">
        <f t="shared" ca="1" si="3"/>
        <v/>
      </c>
      <c r="L44" s="169" t="str">
        <f t="shared" ca="1" si="93"/>
        <v/>
      </c>
      <c r="M44" s="169" t="str">
        <f t="array" aca="1" ref="M44" ca="1">IF(ROWS($9:43)&lt;=COUNTIF(Condition1,"o"),INDEX(Liste1,SMALL(IF(Condition1="o",ROW(INDIRECT("1:"&amp;ROWS(Liste1)))),ROWS($9:43))),"")</f>
        <v/>
      </c>
      <c r="N44" s="175">
        <f t="shared" ca="1" si="4"/>
        <v>0</v>
      </c>
      <c r="O44" s="175" t="str">
        <f t="shared" ca="1" si="5"/>
        <v/>
      </c>
      <c r="P44" s="169" t="str">
        <f t="shared" ca="1" si="94"/>
        <v/>
      </c>
      <c r="Q44" s="169" t="str">
        <f t="array" aca="1" ref="Q44" ca="1">IF(ROWS($9:43)&lt;=COUNTIF(Condition2,"o"),INDEX(Liste2,SMALL(IF(Condition2="o",ROW(INDIRECT("1:"&amp;ROWS(Liste2)))),ROWS($9:43))),"")</f>
        <v/>
      </c>
      <c r="R44" s="175">
        <f t="shared" ca="1" si="6"/>
        <v>0</v>
      </c>
      <c r="S44" s="175" t="str">
        <f t="shared" ca="1" si="7"/>
        <v/>
      </c>
      <c r="T44" s="169" t="str">
        <f t="shared" ca="1" si="95"/>
        <v/>
      </c>
      <c r="U44" s="169" t="str">
        <f t="array" aca="1" ref="U44" ca="1">IF(ROWS($9:43)&lt;=COUNTIF(Condition3,"o"),INDEX(Liste3,SMALL(IF(Condition3="o",ROW(INDIRECT("1:"&amp;ROWS(Liste3)))),ROWS($9:43))),"")</f>
        <v/>
      </c>
      <c r="V44" s="175">
        <f t="shared" ca="1" si="8"/>
        <v>0</v>
      </c>
      <c r="W44" s="175" t="str">
        <f t="shared" ca="1" si="9"/>
        <v/>
      </c>
      <c r="X44" s="169" t="str">
        <f t="shared" ca="1" si="96"/>
        <v/>
      </c>
      <c r="Y44" s="169" t="str">
        <f t="array" aca="1" ref="Y44" ca="1">IF(ROWS($9:43)&lt;=COUNTIF(Condition4,"o"),INDEX(Liste4,SMALL(IF(Condition4="o",ROW(INDIRECT("1:"&amp;ROWS(Liste4)))),ROWS($9:43))),"")</f>
        <v/>
      </c>
      <c r="Z44" s="175">
        <f t="shared" ca="1" si="10"/>
        <v>0</v>
      </c>
      <c r="AA44" s="175" t="str">
        <f t="shared" ca="1" si="11"/>
        <v/>
      </c>
      <c r="AB44" s="169" t="str">
        <f t="shared" ca="1" si="97"/>
        <v/>
      </c>
      <c r="AC44" s="169" t="str">
        <f t="array" aca="1" ref="AC44" ca="1">IF(ROWS($9:43)&lt;=COUNTIF(Condition5,"o"),INDEX(Liste5,SMALL(IF(Condition5="o",ROW(INDIRECT("1:"&amp;ROWS(Liste5)))),ROWS($9:43))),"")</f>
        <v/>
      </c>
      <c r="AD44" s="175">
        <f t="shared" ca="1" si="12"/>
        <v>0</v>
      </c>
      <c r="AE44" s="175" t="str">
        <f t="shared" ca="1" si="13"/>
        <v/>
      </c>
      <c r="AF44" s="169" t="str">
        <f t="shared" ca="1" si="98"/>
        <v/>
      </c>
      <c r="AG44" s="169" t="str">
        <f t="array" aca="1" ref="AG44" ca="1">IF(ROWS($9:43)&lt;=COUNTIF(Condition6,"o"),INDEX(Liste6,SMALL(IF(Condition6="o",ROW(INDIRECT("1:"&amp;ROWS(Liste6)))),ROWS($9:43))),"")</f>
        <v/>
      </c>
      <c r="AH44" s="175">
        <f t="shared" ca="1" si="14"/>
        <v>0</v>
      </c>
      <c r="AI44" s="175" t="str">
        <f t="shared" ca="1" si="15"/>
        <v/>
      </c>
      <c r="AJ44" s="169" t="str">
        <f t="shared" ca="1" si="99"/>
        <v/>
      </c>
      <c r="AK44" s="169" t="str">
        <f t="array" aca="1" ref="AK44" ca="1">IF(ROWS($9:43)&lt;=COUNTIF(Condition7,"o"),INDEX(Liste7,SMALL(IF(Condition7="o",ROW(INDIRECT("1:"&amp;ROWS(Liste7)))),ROWS($9:43))),"")</f>
        <v/>
      </c>
      <c r="AL44" s="175">
        <f t="shared" ca="1" si="16"/>
        <v>0</v>
      </c>
      <c r="AM44" s="175" t="str">
        <f t="shared" ca="1" si="17"/>
        <v/>
      </c>
      <c r="AN44" s="169" t="str">
        <f t="shared" ca="1" si="100"/>
        <v/>
      </c>
      <c r="AO44" s="169" t="str">
        <f t="array" aca="1" ref="AO44" ca="1">IF(ROWS($9:43)&lt;=COUNTIF(Condition8,"o"),INDEX(Liste8,SMALL(IF(Condition8="o",ROW(INDIRECT("1:"&amp;ROWS(Liste8)))),ROWS($9:43))),"")</f>
        <v/>
      </c>
      <c r="AP44" s="175">
        <f t="shared" ca="1" si="18"/>
        <v>0</v>
      </c>
      <c r="AQ44" s="175" t="str">
        <f t="shared" ca="1" si="19"/>
        <v/>
      </c>
      <c r="AR44" s="169" t="str">
        <f t="shared" ca="1" si="101"/>
        <v/>
      </c>
      <c r="AS44" s="169" t="str">
        <f t="array" aca="1" ref="AS44" ca="1">IF(ROWS($9:43)&lt;=COUNTIF(Condition9,"o"),INDEX(Liste9,SMALL(IF(Condition9="o",ROW(INDIRECT("1:"&amp;ROWS(Liste9)))),ROWS($9:43))),"")</f>
        <v/>
      </c>
      <c r="AT44" s="175">
        <f t="shared" ca="1" si="20"/>
        <v>0</v>
      </c>
      <c r="AU44" s="175" t="str">
        <f t="shared" ca="1" si="21"/>
        <v/>
      </c>
      <c r="AV44" s="169" t="str">
        <f t="shared" ca="1" si="102"/>
        <v/>
      </c>
      <c r="AW44" s="169" t="str">
        <f t="array" aca="1" ref="AW44" ca="1">IF(ROWS($9:43)&lt;=COUNTIF(Condition10,"o"),INDEX(Liste10,SMALL(IF(Condition10="o",ROW(INDIRECT("1:"&amp;ROWS(Liste10)))),ROWS($9:43))),"")</f>
        <v/>
      </c>
      <c r="AX44" s="175">
        <f t="shared" ca="1" si="22"/>
        <v>0</v>
      </c>
      <c r="AY44" s="175" t="str">
        <f t="shared" ca="1" si="23"/>
        <v/>
      </c>
      <c r="AZ44" s="169" t="str">
        <f t="shared" ca="1" si="103"/>
        <v/>
      </c>
      <c r="BA44" s="169" t="str">
        <f t="array" aca="1" ref="BA44" ca="1">IF(ROWS($9:43)&lt;=COUNTIF(Condition11,"o"),INDEX(Liste11,SMALL(IF(Condition11="o",ROW(INDIRECT("1:"&amp;ROWS(Liste11)))),ROWS($9:43))),"")</f>
        <v/>
      </c>
      <c r="BB44" s="175">
        <f t="shared" ca="1" si="24"/>
        <v>0</v>
      </c>
      <c r="BC44" s="175" t="str">
        <f t="shared" ca="1" si="25"/>
        <v/>
      </c>
      <c r="BD44" s="169" t="str">
        <f t="shared" ca="1" si="104"/>
        <v/>
      </c>
      <c r="BE44" s="169" t="str">
        <f t="array" aca="1" ref="BE44" ca="1">IF(ROWS($9:43)&lt;=COUNTIF(Condition12,"o"),INDEX(Liste12,SMALL(IF(Condition12="o",ROW(INDIRECT("1:"&amp;ROWS(Liste12)))),ROWS($9:43))),"")</f>
        <v/>
      </c>
      <c r="BF44" s="175">
        <f t="shared" ca="1" si="26"/>
        <v>0</v>
      </c>
      <c r="BG44" s="175" t="str">
        <f t="shared" ca="1" si="27"/>
        <v/>
      </c>
      <c r="BH44" s="169" t="str">
        <f t="shared" ca="1" si="105"/>
        <v/>
      </c>
      <c r="BI44" s="169" t="str">
        <f t="array" aca="1" ref="BI44" ca="1">IF(ROWS($9:43)&lt;=COUNTIF(Condition13,"o"),INDEX(Liste13,SMALL(IF(Condition13="o",ROW(INDIRECT("1:"&amp;ROWS(Liste13)))),ROWS($9:43))),"")</f>
        <v/>
      </c>
      <c r="BJ44" s="175">
        <f t="shared" ca="1" si="28"/>
        <v>0</v>
      </c>
      <c r="BK44" s="175" t="str">
        <f t="shared" ca="1" si="29"/>
        <v/>
      </c>
      <c r="BL44" s="169" t="str">
        <f t="shared" ca="1" si="106"/>
        <v/>
      </c>
      <c r="BM44" s="169" t="str">
        <f t="array" aca="1" ref="BM44" ca="1">IF(ROWS($9:43)&lt;=COUNTIF(Condition14,"o"),INDEX(Liste14,SMALL(IF(Condition14="o",ROW(INDIRECT("1:"&amp;ROWS(Liste14)))),ROWS($9:43))),"")</f>
        <v/>
      </c>
      <c r="BN44" s="175">
        <f t="shared" ca="1" si="30"/>
        <v>0</v>
      </c>
      <c r="BO44" s="175" t="str">
        <f t="shared" ca="1" si="31"/>
        <v/>
      </c>
      <c r="BP44" s="169" t="str">
        <f t="shared" ca="1" si="107"/>
        <v/>
      </c>
      <c r="BQ44" s="169" t="str">
        <f t="array" aca="1" ref="BQ44" ca="1">IF(ROWS($9:43)&lt;=COUNTIF(Condition15,"o"),INDEX(Liste15,SMALL(IF(Condition15="o",ROW(INDIRECT("1:"&amp;ROWS(Liste15)))),ROWS($9:43))),"")</f>
        <v/>
      </c>
      <c r="BR44" s="175">
        <f t="shared" ca="1" si="32"/>
        <v>0</v>
      </c>
      <c r="BS44" s="175" t="str">
        <f t="shared" ca="1" si="33"/>
        <v/>
      </c>
      <c r="BT44" s="169" t="str">
        <f t="shared" ca="1" si="108"/>
        <v/>
      </c>
      <c r="BU44" s="169" t="str">
        <f t="array" aca="1" ref="BU44" ca="1">IF(ROWS($9:43)&lt;=COUNTIF(Condition16,"o"),INDEX(Liste16,SMALL(IF(Condition16="o",ROW(INDIRECT("1:"&amp;ROWS(Liste16)))),ROWS($9:43))),"")</f>
        <v/>
      </c>
      <c r="BV44" s="175">
        <f t="shared" ca="1" si="34"/>
        <v>0</v>
      </c>
      <c r="BW44" s="175" t="str">
        <f t="shared" ca="1" si="35"/>
        <v/>
      </c>
      <c r="BX44" s="169" t="str">
        <f t="shared" ca="1" si="109"/>
        <v/>
      </c>
      <c r="BY44" s="169" t="str">
        <f t="array" aca="1" ref="BY44" ca="1">IF(ROWS($9:43)&lt;=COUNTIF(Condition17,"o"),INDEX(Liste17,SMALL(IF(Condition17="o",ROW(INDIRECT("1:"&amp;ROWS(Liste17)))),ROWS($9:43))),"")</f>
        <v/>
      </c>
      <c r="BZ44" s="175">
        <f t="shared" ca="1" si="36"/>
        <v>0</v>
      </c>
      <c r="CA44" s="175" t="str">
        <f t="shared" ca="1" si="37"/>
        <v/>
      </c>
      <c r="CB44" s="169" t="str">
        <f t="shared" ca="1" si="110"/>
        <v/>
      </c>
      <c r="CC44" s="169" t="str">
        <f t="array" aca="1" ref="CC44" ca="1">IF(ROWS($9:43)&lt;=COUNTIF(Condition18,"o"),INDEX(Liste18,SMALL(IF(Condition18="o",ROW(INDIRECT("1:"&amp;ROWS(Liste18)))),ROWS($9:43))),"")</f>
        <v/>
      </c>
      <c r="CD44" s="175">
        <f t="shared" ca="1" si="38"/>
        <v>0</v>
      </c>
      <c r="CE44" s="175" t="str">
        <f t="shared" ca="1" si="39"/>
        <v/>
      </c>
      <c r="CF44" s="169" t="str">
        <f t="shared" ca="1" si="111"/>
        <v/>
      </c>
      <c r="CG44" s="169" t="str">
        <f t="array" aca="1" ref="CG44" ca="1">IF(ROWS($9:43)&lt;=COUNTIF(Condition19,"o"),INDEX(Liste19,SMALL(IF(Condition19="o",ROW(INDIRECT("1:"&amp;ROWS(Liste19)))),ROWS($9:43))),"")</f>
        <v/>
      </c>
      <c r="CH44" s="175">
        <f t="shared" ca="1" si="40"/>
        <v>0</v>
      </c>
      <c r="CI44" s="175" t="str">
        <f t="shared" ca="1" si="41"/>
        <v/>
      </c>
      <c r="CJ44" s="169" t="str">
        <f t="shared" ca="1" si="112"/>
        <v/>
      </c>
      <c r="CK44" s="169" t="str">
        <f t="array" aca="1" ref="CK44" ca="1">IF(ROWS($9:43)&lt;=COUNTIF(Condition20,"o"),INDEX(Liste20,SMALL(IF(Condition20="o",ROW(INDIRECT("1:"&amp;ROWS(Liste20)))),ROWS($9:43))),"")</f>
        <v/>
      </c>
      <c r="CL44" s="175">
        <f t="shared" ca="1" si="42"/>
        <v>0</v>
      </c>
      <c r="CM44" s="175" t="str">
        <f t="shared" ca="1" si="43"/>
        <v/>
      </c>
      <c r="CN44" s="169" t="str">
        <f t="shared" ca="1" si="113"/>
        <v/>
      </c>
      <c r="CO44" s="169" t="str">
        <f t="array" aca="1" ref="CO44" ca="1">IF(ROWS($9:43)&lt;=COUNTIF(Condition21,"o"),INDEX(Liste21,SMALL(IF(Condition21="o",ROW(INDIRECT("1:"&amp;ROWS(Liste21)))),ROWS($9:43))),"")</f>
        <v/>
      </c>
      <c r="CP44" s="175">
        <f t="shared" ca="1" si="44"/>
        <v>0</v>
      </c>
      <c r="CQ44" s="175" t="str">
        <f t="shared" ca="1" si="45"/>
        <v/>
      </c>
      <c r="CR44" s="169" t="str">
        <f t="shared" ca="1" si="114"/>
        <v/>
      </c>
      <c r="CS44" s="169" t="str">
        <f t="array" aca="1" ref="CS44" ca="1">IF(ROWS($9:43)&lt;=COUNTIF(Condition22,"o"),INDEX(Liste22,SMALL(IF(Condition22="o",ROW(INDIRECT("1:"&amp;ROWS(Liste22)))),ROWS($9:43))),"")</f>
        <v/>
      </c>
      <c r="CT44" s="175">
        <f t="shared" ca="1" si="46"/>
        <v>0</v>
      </c>
      <c r="CU44" s="175" t="str">
        <f t="shared" ca="1" si="47"/>
        <v/>
      </c>
      <c r="CV44" s="169" t="str">
        <f t="shared" ca="1" si="115"/>
        <v/>
      </c>
      <c r="CW44" s="169" t="str">
        <f t="array" aca="1" ref="CW44" ca="1">IF(ROWS($9:43)&lt;=COUNTIF(Condition23,"o"),INDEX(Liste23,SMALL(IF(Condition23="o",ROW(INDIRECT("1:"&amp;ROWS(Liste23)))),ROWS($9:43))),"")</f>
        <v/>
      </c>
      <c r="CX44" s="175">
        <f t="shared" ca="1" si="48"/>
        <v>0</v>
      </c>
      <c r="CY44" s="175" t="str">
        <f t="shared" ca="1" si="49"/>
        <v/>
      </c>
      <c r="CZ44" s="169" t="str">
        <f t="shared" ca="1" si="116"/>
        <v/>
      </c>
      <c r="DA44" s="169" t="str">
        <f t="array" aca="1" ref="DA44" ca="1">IF(ROWS($9:43)&lt;=COUNTIF(Condition24,"o"),INDEX(Liste24,SMALL(IF(Condition24="o",ROW(INDIRECT("1:"&amp;ROWS(Liste24)))),ROWS($9:43))),"")</f>
        <v/>
      </c>
      <c r="DB44" s="175">
        <f t="shared" ca="1" si="50"/>
        <v>0</v>
      </c>
      <c r="DC44" s="175" t="str">
        <f t="shared" ca="1" si="51"/>
        <v/>
      </c>
      <c r="DD44" s="169" t="str">
        <f t="shared" ca="1" si="117"/>
        <v/>
      </c>
      <c r="DE44" s="169" t="str">
        <f t="array" aca="1" ref="DE44" ca="1">IF(ROWS($9:43)&lt;=COUNTIF(Condition25,"o"),INDEX(Liste25,SMALL(IF(Condition25="o",ROW(INDIRECT("1:"&amp;ROWS(Liste25)))),ROWS($9:43))),"")</f>
        <v/>
      </c>
      <c r="DF44" s="175">
        <f t="shared" ca="1" si="52"/>
        <v>0</v>
      </c>
      <c r="DG44" s="175" t="str">
        <f t="shared" ca="1" si="53"/>
        <v/>
      </c>
      <c r="DH44" s="169" t="str">
        <f t="shared" ca="1" si="118"/>
        <v/>
      </c>
      <c r="DI44" s="169" t="str">
        <f t="array" aca="1" ref="DI44" ca="1">IF(ROWS($9:43)&lt;=COUNTIF(Condition26,"o"),INDEX(Liste26,SMALL(IF(Condition26="o",ROW(INDIRECT("1:"&amp;ROWS(Liste26)))),ROWS($9:43))),"")</f>
        <v/>
      </c>
      <c r="DJ44" s="175">
        <f t="shared" ca="1" si="54"/>
        <v>0</v>
      </c>
      <c r="DK44" s="175" t="str">
        <f t="shared" ca="1" si="55"/>
        <v/>
      </c>
      <c r="DL44" s="169" t="str">
        <f t="shared" ca="1" si="119"/>
        <v/>
      </c>
      <c r="DM44" s="169" t="str">
        <f t="array" aca="1" ref="DM44" ca="1">IF(ROWS($9:43)&lt;=COUNTIF(Condition27,"o"),INDEX(Liste27,SMALL(IF(Condition27="o",ROW(INDIRECT("1:"&amp;ROWS(Liste27)))),ROWS($9:43))),"")</f>
        <v/>
      </c>
      <c r="DN44" s="175">
        <f t="shared" ca="1" si="56"/>
        <v>0</v>
      </c>
      <c r="DO44" s="175" t="str">
        <f t="shared" ca="1" si="57"/>
        <v/>
      </c>
      <c r="DP44" s="169" t="str">
        <f t="shared" ca="1" si="120"/>
        <v/>
      </c>
      <c r="DQ44" s="169" t="str">
        <f t="array" aca="1" ref="DQ44" ca="1">IF(ROWS($9:43)&lt;=COUNTIF(Condition28,"o"),INDEX(Liste28,SMALL(IF(Condition28="o",ROW(INDIRECT("1:"&amp;ROWS(Liste28)))),ROWS($9:43))),"")</f>
        <v/>
      </c>
      <c r="DR44" s="175">
        <f t="shared" ca="1" si="58"/>
        <v>0</v>
      </c>
      <c r="DS44" s="175" t="str">
        <f t="shared" ca="1" si="59"/>
        <v/>
      </c>
      <c r="DT44" s="169" t="str">
        <f t="shared" ca="1" si="121"/>
        <v/>
      </c>
      <c r="DU44" s="169" t="str">
        <f t="array" aca="1" ref="DU44" ca="1">IF(ROWS($9:43)&lt;=COUNTIF(Condition29,"o"),INDEX(Liste29,SMALL(IF(Condition29="o",ROW(INDIRECT("1:"&amp;ROWS(Liste29)))),ROWS($9:43))),"")</f>
        <v/>
      </c>
      <c r="DV44" s="175">
        <f t="shared" ca="1" si="60"/>
        <v>0</v>
      </c>
      <c r="DW44" s="175" t="str">
        <f t="shared" ca="1" si="61"/>
        <v/>
      </c>
      <c r="DX44" s="169" t="str">
        <f t="shared" ca="1" si="122"/>
        <v/>
      </c>
      <c r="DY44" s="169" t="str">
        <f t="array" aca="1" ref="DY44" ca="1">IF(ROWS($9:43)&lt;=COUNTIF(Condition30,"o"),INDEX(Liste30,SMALL(IF(Condition30="o",ROW(INDIRECT("1:"&amp;ROWS(Liste30)))),ROWS($9:43))),"")</f>
        <v/>
      </c>
      <c r="DZ44" s="175">
        <f t="shared" ca="1" si="62"/>
        <v>0</v>
      </c>
      <c r="EA44" s="175" t="str">
        <f t="shared" ca="1" si="63"/>
        <v/>
      </c>
      <c r="EB44" s="169" t="str">
        <f t="shared" ca="1" si="123"/>
        <v/>
      </c>
      <c r="EC44" s="169" t="str">
        <f t="array" aca="1" ref="EC44" ca="1">IF(ROWS($9:43)&lt;=COUNTIF(Condition31,"o"),INDEX(Liste31,SMALL(IF(Condition31="o",ROW(INDIRECT("1:"&amp;ROWS(Liste31)))),ROWS($9:43))),"")</f>
        <v/>
      </c>
      <c r="ED44" s="175">
        <f t="shared" ca="1" si="64"/>
        <v>0</v>
      </c>
      <c r="EE44" s="175" t="str">
        <f t="shared" ca="1" si="65"/>
        <v/>
      </c>
      <c r="EF44" s="169" t="str">
        <f t="shared" ca="1" si="124"/>
        <v/>
      </c>
      <c r="EG44" s="169" t="str">
        <f t="array" aca="1" ref="EG44" ca="1">IF(ROWS($9:43)&lt;=COUNTIF(Condition32,"o"),INDEX(Liste32,SMALL(IF(Condition32="o",ROW(INDIRECT("1:"&amp;ROWS(Liste32)))),ROWS($9:43))),"")</f>
        <v/>
      </c>
      <c r="EH44" s="175">
        <f t="shared" ca="1" si="66"/>
        <v>0</v>
      </c>
      <c r="EI44" s="175" t="str">
        <f t="shared" ca="1" si="67"/>
        <v/>
      </c>
      <c r="EJ44" s="169" t="str">
        <f t="shared" ca="1" si="125"/>
        <v/>
      </c>
      <c r="EK44" s="169" t="str">
        <f t="array" aca="1" ref="EK44" ca="1">IF(ROWS($9:43)&lt;=COUNTIF(Condition33,"o"),INDEX(Liste33,SMALL(IF(Condition33="o",ROW(INDIRECT("1:"&amp;ROWS(Liste33)))),ROWS($9:43))),"")</f>
        <v/>
      </c>
      <c r="EL44" s="175">
        <f t="shared" ca="1" si="68"/>
        <v>0</v>
      </c>
      <c r="EM44" s="175" t="str">
        <f t="shared" ca="1" si="69"/>
        <v/>
      </c>
      <c r="EN44" s="169" t="str">
        <f t="shared" ca="1" si="126"/>
        <v/>
      </c>
      <c r="EO44" s="169" t="str">
        <f t="array" aca="1" ref="EO44" ca="1">IF(ROWS($9:43)&lt;=COUNTIF(Condition34,"o"),INDEX(Liste34,SMALL(IF(Condition34="o",ROW(INDIRECT("1:"&amp;ROWS(Liste34)))),ROWS($9:43))),"")</f>
        <v/>
      </c>
      <c r="EP44" s="175">
        <f t="shared" ca="1" si="70"/>
        <v>0</v>
      </c>
      <c r="EQ44" s="175" t="str">
        <f t="shared" ca="1" si="71"/>
        <v/>
      </c>
      <c r="ER44" s="169" t="str">
        <f t="shared" ca="1" si="127"/>
        <v/>
      </c>
      <c r="ES44" s="169" t="str">
        <f t="array" aca="1" ref="ES44" ca="1">IF(ROWS($9:43)&lt;=COUNTIF(Condition35,"o"),INDEX(Liste35,SMALL(IF(Condition35="o",ROW(INDIRECT("1:"&amp;ROWS(Liste35)))),ROWS($9:43))),"")</f>
        <v/>
      </c>
      <c r="ET44" s="175">
        <f t="shared" ca="1" si="72"/>
        <v>0</v>
      </c>
      <c r="EU44" s="175" t="str">
        <f t="shared" ca="1" si="73"/>
        <v/>
      </c>
      <c r="EV44" s="169" t="str">
        <f t="shared" ca="1" si="128"/>
        <v/>
      </c>
      <c r="EW44" s="169" t="str">
        <f t="array" aca="1" ref="EW44" ca="1">IF(ROWS($9:43)&lt;=COUNTIF(Condition36,"o"),INDEX(Liste36,SMALL(IF(Condition36="o",ROW(INDIRECT("1:"&amp;ROWS(Liste36)))),ROWS($9:43))),"")</f>
        <v/>
      </c>
      <c r="EX44" s="175">
        <f t="shared" ca="1" si="74"/>
        <v>0</v>
      </c>
      <c r="EY44" s="175" t="str">
        <f t="shared" ca="1" si="75"/>
        <v/>
      </c>
      <c r="EZ44" s="169" t="str">
        <f t="shared" ca="1" si="85"/>
        <v/>
      </c>
      <c r="FA44" s="169" t="str">
        <f t="array" aca="1" ref="FA44" ca="1">IF(ROWS($9:43)&lt;=COUNTIF(Condition36,"o"),INDEX(Liste36,SMALL(IF(Condition36="o",ROW(INDIRECT("1:"&amp;ROWS(Liste36)))),ROWS($9:43))),"")</f>
        <v/>
      </c>
      <c r="FB44" s="175">
        <f t="shared" ca="1" si="76"/>
        <v>0</v>
      </c>
      <c r="FC44" s="175" t="str">
        <f t="shared" ca="1" si="77"/>
        <v/>
      </c>
      <c r="FD44" s="169" t="str">
        <f t="shared" ca="1" si="86"/>
        <v/>
      </c>
      <c r="FE44" s="175">
        <f>IF(ISNA(HLOOKUP(FE$7,$B$147:$AW$217,$I44,0)),IF(ISNA(HLOOKUP(FE$8,$B$147:$AW$217,$I44,0)),0,HLOOKUP(FE$8,$B$147:$AW$217,$I44,0)),IF(HLOOKUP(FE$7,$B$147:$AW$217,$I44,0)=0,IF(ISNA(HLOOKUP(FE$8,$B$147:$AW$217,$I44,0)),0,HLOOKUP(FE$8,$B$147:$AW$217,$I44,0)),HLOOKUP(FE$7,$B$147:$AW$217,$I44,0)))</f>
        <v>0</v>
      </c>
      <c r="FF44" s="175">
        <f t="shared" ca="1" si="78"/>
        <v>0</v>
      </c>
      <c r="FG44" s="175" t="str">
        <f t="shared" ca="1" si="79"/>
        <v/>
      </c>
      <c r="FH44" s="169" t="str">
        <f t="shared" ca="1" si="87"/>
        <v/>
      </c>
      <c r="FI44" s="169" t="str">
        <f t="array" aca="1" ref="FI44" ca="1">IF(ROWS($9:43)&lt;=COUNTIF(Condition39,"o"),INDEX(Liste39,SMALL(IF(Condition39="o",ROW(INDIRECT("1:"&amp;ROWS(Liste39)))),ROWS($9:43))),"")</f>
        <v/>
      </c>
      <c r="FM44" s="1" t="s">
        <v>1224</v>
      </c>
      <c r="FN44" s="1" t="s">
        <v>1172</v>
      </c>
      <c r="FO44" s="180">
        <f>'Suivi objectifs'!D39</f>
        <v>0</v>
      </c>
      <c r="FP44" s="1366">
        <f>'Suivi objectifs'!C41</f>
        <v>0</v>
      </c>
      <c r="FQ44" s="181" t="str">
        <f ca="1">IF(ISNA(VLOOKUP(FR44,Actions!$G$2:$AP$70,31,0)),"",VLOOKUP(FR44,Actions!$G$2:$AP$70,36,0))</f>
        <v/>
      </c>
      <c r="FR44" s="185" t="str">
        <f t="shared" ca="1" si="88"/>
        <v/>
      </c>
      <c r="FS44" s="286">
        <f t="shared" ca="1" si="80"/>
        <v>0</v>
      </c>
      <c r="FT44" s="181" t="str">
        <f ca="1">IF(ISNA(VLOOKUP(FU44,Actions!$G$2:$AP$70,31,0)),"",VLOOKUP(FU44,Actions!$G$2:$AP$70,36,0))</f>
        <v/>
      </c>
      <c r="FU44" s="185" t="str">
        <f t="shared" ca="1" si="89"/>
        <v/>
      </c>
      <c r="FV44" s="286">
        <f t="shared" ca="1" si="81"/>
        <v>0</v>
      </c>
      <c r="FW44" s="181" t="str">
        <f ca="1">IF(ISNA(VLOOKUP(FX44,Actions!$G$2:$AP$70,31,0)),"",VLOOKUP(FX44,Actions!$G$2:$AP$70,36,0))</f>
        <v/>
      </c>
      <c r="FX44" s="185" t="str">
        <f t="shared" ca="1" si="90"/>
        <v/>
      </c>
      <c r="FY44" s="286">
        <f t="shared" ca="1" si="82"/>
        <v>0</v>
      </c>
      <c r="FZ44" s="181" t="str">
        <f ca="1">IF(ISNA(VLOOKUP(GA44,Actions!$G$2:$AP$70,31,0)),"",VLOOKUP(GA44,Actions!$G$2:$AP$70,36,0))</f>
        <v/>
      </c>
      <c r="GA44" s="185" t="str">
        <f t="shared" ca="1" si="91"/>
        <v/>
      </c>
      <c r="GB44" s="286">
        <f t="shared" ca="1" si="83"/>
        <v>0</v>
      </c>
      <c r="GC44" s="181" t="str">
        <f ca="1">IF(ISNA(VLOOKUP(GD44,Actions!$G$2:$AP$70,31,0)),"",VLOOKUP(GD44,Actions!$G$2:$AP$70,36,0))</f>
        <v/>
      </c>
      <c r="GD44" s="185" t="str">
        <f t="shared" ca="1" si="92"/>
        <v/>
      </c>
      <c r="GE44" s="286">
        <f t="shared" ca="1" si="84"/>
        <v>0</v>
      </c>
      <c r="GF44" s="186">
        <f t="shared" ca="1" si="129"/>
        <v>0</v>
      </c>
      <c r="GG44" s="233"/>
    </row>
    <row r="45" spans="1:189" hidden="1">
      <c r="J45" s="175"/>
      <c r="K45" s="175"/>
      <c r="L45" s="169"/>
      <c r="M45" s="169"/>
      <c r="N45" s="175"/>
      <c r="O45" s="175"/>
      <c r="P45" s="169"/>
      <c r="Q45" s="169"/>
      <c r="R45" s="175"/>
      <c r="S45" s="175"/>
      <c r="T45" s="169"/>
      <c r="U45" s="169"/>
      <c r="V45" s="175"/>
      <c r="W45" s="175"/>
      <c r="X45" s="169"/>
      <c r="Y45" s="169"/>
      <c r="Z45" s="175"/>
      <c r="AA45" s="175"/>
      <c r="AB45" s="169"/>
      <c r="AC45" s="169"/>
      <c r="AD45" s="175"/>
      <c r="AE45" s="175"/>
      <c r="AF45" s="169"/>
      <c r="AG45" s="169"/>
      <c r="AH45" s="175"/>
      <c r="AI45" s="175"/>
      <c r="AJ45" s="169"/>
      <c r="AK45" s="169"/>
      <c r="AL45" s="175"/>
      <c r="AM45" s="175"/>
      <c r="AN45" s="169"/>
      <c r="AO45" s="169"/>
      <c r="AP45" s="175"/>
      <c r="AQ45" s="175"/>
      <c r="AR45" s="169"/>
      <c r="AS45" s="169"/>
      <c r="AT45" s="175"/>
      <c r="AU45" s="175"/>
      <c r="AV45" s="169"/>
      <c r="AW45" s="169"/>
      <c r="AX45" s="175"/>
      <c r="AY45" s="175"/>
      <c r="AZ45" s="169"/>
      <c r="BA45" s="169"/>
      <c r="BB45" s="175"/>
      <c r="BC45" s="175"/>
      <c r="BD45" s="169"/>
      <c r="BE45" s="169"/>
      <c r="BF45" s="175"/>
      <c r="BG45" s="175"/>
      <c r="BH45" s="169"/>
      <c r="BI45" s="169"/>
      <c r="BJ45" s="175"/>
      <c r="BK45" s="175"/>
      <c r="BL45" s="169"/>
      <c r="BM45" s="169"/>
      <c r="BN45" s="175"/>
      <c r="BO45" s="175"/>
      <c r="BP45" s="169"/>
      <c r="BQ45" s="169"/>
      <c r="BR45" s="175"/>
      <c r="BS45" s="175"/>
      <c r="BT45" s="169"/>
      <c r="BU45" s="169"/>
      <c r="BV45" s="175"/>
      <c r="BW45" s="175"/>
      <c r="BX45" s="169"/>
      <c r="BY45" s="169"/>
      <c r="BZ45" s="175"/>
      <c r="CA45" s="175"/>
      <c r="CB45" s="169"/>
      <c r="CC45" s="169"/>
      <c r="CD45" s="175"/>
      <c r="CE45" s="175"/>
      <c r="CF45" s="169"/>
      <c r="CG45" s="169"/>
      <c r="CH45" s="175"/>
      <c r="CI45" s="175"/>
      <c r="CJ45" s="169"/>
      <c r="CK45" s="169"/>
      <c r="CL45" s="175"/>
      <c r="CM45" s="175"/>
      <c r="CN45" s="169"/>
      <c r="CO45" s="169"/>
      <c r="CP45" s="175"/>
      <c r="CQ45" s="175"/>
      <c r="CR45" s="169"/>
      <c r="CS45" s="169"/>
      <c r="CT45" s="175"/>
      <c r="CU45" s="175"/>
      <c r="CV45" s="169"/>
      <c r="CW45" s="169"/>
      <c r="CX45" s="175"/>
      <c r="CY45" s="175"/>
      <c r="CZ45" s="169"/>
      <c r="DA45" s="169"/>
      <c r="DB45" s="175"/>
      <c r="DC45" s="175"/>
      <c r="DD45" s="169"/>
      <c r="DE45" s="169"/>
      <c r="DF45" s="175"/>
      <c r="DG45" s="175"/>
      <c r="DH45" s="169"/>
      <c r="DI45" s="169"/>
      <c r="DJ45" s="175"/>
      <c r="DK45" s="175"/>
      <c r="DL45" s="169"/>
      <c r="DM45" s="169"/>
      <c r="DN45" s="175"/>
      <c r="DO45" s="175"/>
      <c r="DP45" s="169"/>
      <c r="DQ45" s="169"/>
      <c r="DR45" s="175"/>
      <c r="DS45" s="175"/>
      <c r="DT45" s="169"/>
      <c r="DU45" s="169"/>
      <c r="DV45" s="175"/>
      <c r="DW45" s="175"/>
      <c r="DX45" s="169"/>
      <c r="DY45" s="169"/>
      <c r="DZ45" s="175"/>
      <c r="EA45" s="175"/>
      <c r="EB45" s="169"/>
      <c r="EC45" s="169"/>
      <c r="ED45" s="175"/>
      <c r="EE45" s="175"/>
      <c r="EF45" s="169"/>
      <c r="EG45" s="169"/>
      <c r="EH45" s="175"/>
      <c r="EI45" s="175"/>
      <c r="EJ45" s="169"/>
      <c r="EK45" s="169"/>
      <c r="EL45" s="175"/>
      <c r="EM45" s="175"/>
      <c r="EN45" s="169"/>
      <c r="EO45" s="169"/>
      <c r="EP45" s="175"/>
      <c r="EQ45" s="175"/>
      <c r="ER45" s="169"/>
      <c r="ES45" s="169"/>
      <c r="ET45" s="175"/>
      <c r="EU45" s="175"/>
      <c r="EV45" s="169"/>
      <c r="EW45" s="169"/>
      <c r="EX45" s="175"/>
      <c r="EY45" s="175" t="str">
        <f t="shared" si="75"/>
        <v/>
      </c>
      <c r="EZ45" s="169" t="str">
        <f t="shared" si="85"/>
        <v/>
      </c>
      <c r="FA45" s="169" t="str">
        <f t="array" aca="1" ref="FA45" ca="1">IF(ROWS($9:44)&lt;=COUNTIF(Condition36,"o"),INDEX(Liste36,SMALL(IF(Condition36="o",ROW(INDIRECT("1:"&amp;ROWS(Liste36)))),ROWS($9:44))),"")</f>
        <v/>
      </c>
      <c r="FB45" s="175"/>
      <c r="FC45" s="175" t="str">
        <f t="shared" si="77"/>
        <v/>
      </c>
      <c r="FD45" s="169" t="str">
        <f t="shared" si="86"/>
        <v/>
      </c>
      <c r="FF45" s="175"/>
      <c r="FG45" s="175"/>
      <c r="FH45" s="169"/>
      <c r="FI45" s="169" t="str">
        <f t="array" aca="1" ref="FI45" ca="1">IF(ROWS($9:44)&lt;=COUNTIF(Condition39,"o"),INDEX(Liste39,SMALL(IF(Condition39="o",ROW(INDIRECT("1:"&amp;ROWS(Liste39)))),ROWS($9:44))),"")</f>
        <v/>
      </c>
      <c r="FM45" s="1" t="s">
        <v>1225</v>
      </c>
      <c r="FN45" s="1" t="s">
        <v>1173</v>
      </c>
      <c r="FO45" s="180">
        <f>'Suivi objectifs'!D40</f>
        <v>0</v>
      </c>
      <c r="FP45" s="1366">
        <f>'Suivi objectifs'!C42</f>
        <v>0</v>
      </c>
      <c r="FQ45" s="181" t="str">
        <f ca="1">IF(ISNA(VLOOKUP(FR45,Actions!$G$2:$AP$70,31,0)),"",VLOOKUP(FR45,Actions!$G$2:$AP$70,36,0))</f>
        <v/>
      </c>
      <c r="FR45" s="185" t="str">
        <f t="shared" ca="1" si="88"/>
        <v/>
      </c>
      <c r="FS45" s="286">
        <f t="shared" ca="1" si="80"/>
        <v>0</v>
      </c>
      <c r="FT45" s="181" t="str">
        <f ca="1">IF(ISNA(VLOOKUP(FU45,Actions!$G$2:$AP$70,31,0)),"",VLOOKUP(FU45,Actions!$G$2:$AP$70,36,0))</f>
        <v/>
      </c>
      <c r="FU45" s="185" t="str">
        <f ca="1">INDIRECT($FN45&amp;FT$1)</f>
        <v/>
      </c>
      <c r="FV45" s="286">
        <f t="shared" ca="1" si="81"/>
        <v>0</v>
      </c>
      <c r="FW45" s="181" t="str">
        <f ca="1">IF(ISNA(VLOOKUP(FX45,Actions!$G$2:$AP$70,31,0)),"",VLOOKUP(FX45,Actions!$G$2:$AP$70,36,0))</f>
        <v/>
      </c>
      <c r="FX45" s="185" t="str">
        <f ca="1">INDIRECT($FN45&amp;FW$1)</f>
        <v/>
      </c>
      <c r="FY45" s="286">
        <f t="shared" ca="1" si="82"/>
        <v>0</v>
      </c>
      <c r="FZ45" s="181" t="str">
        <f ca="1">IF(ISNA(VLOOKUP(GA45,Actions!$G$2:$AP$70,31,0)),"",VLOOKUP(GA45,Actions!$G$2:$AP$70,36,0))</f>
        <v/>
      </c>
      <c r="GA45" s="185" t="str">
        <f ca="1">INDIRECT($FN45&amp;FZ$1)</f>
        <v/>
      </c>
      <c r="GB45" s="286">
        <f t="shared" ca="1" si="83"/>
        <v>0</v>
      </c>
      <c r="GC45" s="181" t="str">
        <f ca="1">IF(ISNA(VLOOKUP(GD45,Actions!$G$2:$AP$70,31,0)),"",VLOOKUP(GD45,Actions!$G$2:$AP$70,36,0))</f>
        <v/>
      </c>
      <c r="GD45" s="185" t="str">
        <f ca="1">INDIRECT($FN45&amp;GC$1)</f>
        <v/>
      </c>
      <c r="GE45" s="286">
        <f t="shared" ca="1" si="84"/>
        <v>0</v>
      </c>
      <c r="GF45" s="186">
        <f t="shared" ca="1" si="129"/>
        <v>0</v>
      </c>
      <c r="GG45" s="233"/>
    </row>
    <row r="46" spans="1:189" hidden="1">
      <c r="A46" s="1" t="s">
        <v>1226</v>
      </c>
      <c r="B46" s="1">
        <f>Actions!F38</f>
        <v>37</v>
      </c>
      <c r="C46" s="1">
        <f ca="1">Actions!G38</f>
        <v>0</v>
      </c>
      <c r="D46" s="1">
        <f ca="1">Actions!H38</f>
        <v>0</v>
      </c>
      <c r="E46" s="1" t="str">
        <f ca="1">Actions!I38</f>
        <v>-</v>
      </c>
      <c r="F46" s="1" t="str">
        <f t="shared" ca="1" si="0"/>
        <v>-</v>
      </c>
      <c r="G46" s="1" t="e">
        <f t="shared" ca="1" si="1"/>
        <v>#REF!</v>
      </c>
      <c r="I46" s="1">
        <v>37</v>
      </c>
      <c r="J46" s="175">
        <f t="shared" ref="J46:J72" ca="1" si="130">IF(ISNA(HLOOKUP(J$7,$B$147:$AW$217,$I46,0)),IF(ISNA(HLOOKUP(J$8,$B$147:$AW$217,$I46,0)),0,HLOOKUP(J$8,$B$147:$AW$217,$I46,0)),IF(HLOOKUP(J$7,$B$147:$AW$217,$I46,0)=0,IF(ISNA(HLOOKUP(J$8,$B$147:$AW$217,$I46,0)),0,HLOOKUP(J$8,$B$147:$AW$217,$I46,0)),HLOOKUP(J$7,$B$147:$AW$217,$I46,0)))</f>
        <v>0</v>
      </c>
      <c r="K46" s="175" t="str">
        <f ca="1">IF(J46&lt;&gt;0,$B183,"")</f>
        <v/>
      </c>
      <c r="L46" s="169" t="str">
        <f t="shared" ca="1" si="93"/>
        <v/>
      </c>
      <c r="M46" s="169" t="str">
        <f t="array" aca="1" ref="M46" ca="1">IF(ROWS($9:44)&lt;=COUNTIF(Condition1,"o"),INDEX(Liste1,SMALL(IF(Condition1="o",ROW(INDIRECT("1:"&amp;ROWS(Liste1)))),ROWS($9:44))),"")</f>
        <v/>
      </c>
      <c r="N46" s="175">
        <f t="shared" ref="N46:N72" ca="1" si="131">IF(ISNA(HLOOKUP(N$7,$B$147:$AW$217,$I46,0)),IF(ISNA(HLOOKUP(N$8,$B$147:$AW$217,$I46,0)),0,HLOOKUP(N$8,$B$147:$AW$217,$I46,0)),IF(HLOOKUP(N$7,$B$147:$AW$217,$I46,0)=0,IF(ISNA(HLOOKUP(N$8,$B$147:$AW$217,$I46,0)),0,HLOOKUP(N$8,$B$147:$AW$217,$I46,0)),HLOOKUP(N$7,$B$147:$AW$217,$I46,0)))</f>
        <v>0</v>
      </c>
      <c r="O46" s="175" t="str">
        <f ca="1">IF(N46&lt;&gt;0,$B183,"")</f>
        <v/>
      </c>
      <c r="P46" s="169" t="str">
        <f t="shared" ca="1" si="94"/>
        <v/>
      </c>
      <c r="Q46" s="169" t="str">
        <f t="array" aca="1" ref="Q46" ca="1">IF(ROWS($9:44)&lt;=COUNTIF(Condition2,"o"),INDEX(Liste2,SMALL(IF(Condition2="o",ROW(INDIRECT("1:"&amp;ROWS(Liste2)))),ROWS($9:44))),"")</f>
        <v/>
      </c>
      <c r="R46" s="175">
        <f t="shared" ref="R46:R72" ca="1" si="132">IF(ISNA(HLOOKUP(R$7,$B$147:$AW$217,$I46,0)),IF(ISNA(HLOOKUP(R$8,$B$147:$AW$217,$I46,0)),0,HLOOKUP(R$8,$B$147:$AW$217,$I46,0)),IF(HLOOKUP(R$7,$B$147:$AW$217,$I46,0)=0,IF(ISNA(HLOOKUP(R$8,$B$147:$AW$217,$I46,0)),0,HLOOKUP(R$8,$B$147:$AW$217,$I46,0)),HLOOKUP(R$7,$B$147:$AW$217,$I46,0)))</f>
        <v>0</v>
      </c>
      <c r="S46" s="175" t="str">
        <f ca="1">IF(R46&lt;&gt;0,$B183,"")</f>
        <v/>
      </c>
      <c r="T46" s="169" t="str">
        <f t="shared" ca="1" si="95"/>
        <v/>
      </c>
      <c r="U46" s="169" t="str">
        <f t="array" aca="1" ref="U46" ca="1">IF(ROWS($9:44)&lt;=COUNTIF(Condition3,"o"),INDEX(Liste3,SMALL(IF(Condition3="o",ROW(INDIRECT("1:"&amp;ROWS(Liste3)))),ROWS($9:44))),"")</f>
        <v/>
      </c>
      <c r="V46" s="175">
        <f t="shared" ref="V46:V72" ca="1" si="133">IF(ISNA(HLOOKUP(V$7,$B$147:$AW$217,$I46,0)),IF(ISNA(HLOOKUP(V$8,$B$147:$AW$217,$I46,0)),0,HLOOKUP(V$8,$B$147:$AW$217,$I46,0)),IF(HLOOKUP(V$7,$B$147:$AW$217,$I46,0)=0,IF(ISNA(HLOOKUP(V$8,$B$147:$AW$217,$I46,0)),0,HLOOKUP(V$8,$B$147:$AW$217,$I46,0)),HLOOKUP(V$7,$B$147:$AW$217,$I46,0)))</f>
        <v>0</v>
      </c>
      <c r="W46" s="175" t="str">
        <f ca="1">IF(V46&lt;&gt;0,$B183,"")</f>
        <v/>
      </c>
      <c r="X46" s="169" t="str">
        <f t="shared" ca="1" si="96"/>
        <v/>
      </c>
      <c r="Y46" s="169" t="str">
        <f t="array" aca="1" ref="Y46" ca="1">IF(ROWS($9:44)&lt;=COUNTIF(Condition4,"o"),INDEX(Liste4,SMALL(IF(Condition4="o",ROW(INDIRECT("1:"&amp;ROWS(Liste4)))),ROWS($9:44))),"")</f>
        <v/>
      </c>
      <c r="Z46" s="175">
        <f t="shared" ref="Z46:Z72" ca="1" si="134">IF(ISNA(HLOOKUP(Z$7,$B$147:$AW$217,$I46,0)),IF(ISNA(HLOOKUP(Z$8,$B$147:$AW$217,$I46,0)),0,HLOOKUP(Z$8,$B$147:$AW$217,$I46,0)),IF(HLOOKUP(Z$7,$B$147:$AW$217,$I46,0)=0,IF(ISNA(HLOOKUP(Z$8,$B$147:$AW$217,$I46,0)),0,HLOOKUP(Z$8,$B$147:$AW$217,$I46,0)),HLOOKUP(Z$7,$B$147:$AW$217,$I46,0)))</f>
        <v>0</v>
      </c>
      <c r="AA46" s="175" t="str">
        <f ca="1">IF(Z46&lt;&gt;0,$B183,"")</f>
        <v/>
      </c>
      <c r="AB46" s="169" t="str">
        <f t="shared" ca="1" si="97"/>
        <v/>
      </c>
      <c r="AC46" s="169" t="str">
        <f t="array" aca="1" ref="AC46" ca="1">IF(ROWS($9:44)&lt;=COUNTIF(Condition5,"o"),INDEX(Liste5,SMALL(IF(Condition5="o",ROW(INDIRECT("1:"&amp;ROWS(Liste5)))),ROWS($9:44))),"")</f>
        <v/>
      </c>
      <c r="AD46" s="175">
        <f t="shared" ref="AD46:AD72" ca="1" si="135">IF(ISNA(HLOOKUP(AD$7,$B$147:$AW$217,$I46,0)),IF(ISNA(HLOOKUP(AD$8,$B$147:$AW$217,$I46,0)),0,HLOOKUP(AD$8,$B$147:$AW$217,$I46,0)),IF(HLOOKUP(AD$7,$B$147:$AW$217,$I46,0)=0,IF(ISNA(HLOOKUP(AD$8,$B$147:$AW$217,$I46,0)),0,HLOOKUP(AD$8,$B$147:$AW$217,$I46,0)),HLOOKUP(AD$7,$B$147:$AW$217,$I46,0)))</f>
        <v>0</v>
      </c>
      <c r="AE46" s="175" t="str">
        <f ca="1">IF(AD46&lt;&gt;0,$B183,"")</f>
        <v/>
      </c>
      <c r="AF46" s="169" t="str">
        <f t="shared" ca="1" si="98"/>
        <v/>
      </c>
      <c r="AG46" s="169" t="str">
        <f t="array" aca="1" ref="AG46" ca="1">IF(ROWS($9:44)&lt;=COUNTIF(Condition6,"o"),INDEX(Liste6,SMALL(IF(Condition6="o",ROW(INDIRECT("1:"&amp;ROWS(Liste6)))),ROWS($9:44))),"")</f>
        <v/>
      </c>
      <c r="AH46" s="175">
        <f t="shared" ref="AH46:AH72" ca="1" si="136">IF(ISNA(HLOOKUP(AH$7,$B$147:$AW$217,$I46,0)),IF(ISNA(HLOOKUP(AH$8,$B$147:$AW$217,$I46,0)),0,HLOOKUP(AH$8,$B$147:$AW$217,$I46,0)),IF(HLOOKUP(AH$7,$B$147:$AW$217,$I46,0)=0,IF(ISNA(HLOOKUP(AH$8,$B$147:$AW$217,$I46,0)),0,HLOOKUP(AH$8,$B$147:$AW$217,$I46,0)),HLOOKUP(AH$7,$B$147:$AW$217,$I46,0)))</f>
        <v>0</v>
      </c>
      <c r="AI46" s="175" t="str">
        <f ca="1">IF(AH46&lt;&gt;0,$B183,"")</f>
        <v/>
      </c>
      <c r="AJ46" s="169" t="str">
        <f t="shared" ca="1" si="99"/>
        <v/>
      </c>
      <c r="AK46" s="169" t="str">
        <f t="array" aca="1" ref="AK46" ca="1">IF(ROWS($9:44)&lt;=COUNTIF(Condition7,"o"),INDEX(Liste7,SMALL(IF(Condition7="o",ROW(INDIRECT("1:"&amp;ROWS(Liste7)))),ROWS($9:44))),"")</f>
        <v/>
      </c>
      <c r="AL46" s="175">
        <f t="shared" ref="AL46:AL72" ca="1" si="137">IF(ISNA(HLOOKUP(AL$7,$B$147:$AW$217,$I46,0)),IF(ISNA(HLOOKUP(AL$8,$B$147:$AW$217,$I46,0)),0,HLOOKUP(AL$8,$B$147:$AW$217,$I46,0)),IF(HLOOKUP(AL$7,$B$147:$AW$217,$I46,0)=0,IF(ISNA(HLOOKUP(AL$8,$B$147:$AW$217,$I46,0)),0,HLOOKUP(AL$8,$B$147:$AW$217,$I46,0)),HLOOKUP(AL$7,$B$147:$AW$217,$I46,0)))</f>
        <v>0</v>
      </c>
      <c r="AM46" s="175" t="str">
        <f ca="1">IF(AL46&lt;&gt;0,$B183,"")</f>
        <v/>
      </c>
      <c r="AN46" s="169" t="str">
        <f t="shared" ca="1" si="100"/>
        <v/>
      </c>
      <c r="AO46" s="169" t="str">
        <f t="array" aca="1" ref="AO46" ca="1">IF(ROWS($9:44)&lt;=COUNTIF(Condition8,"o"),INDEX(Liste8,SMALL(IF(Condition8="o",ROW(INDIRECT("1:"&amp;ROWS(Liste8)))),ROWS($9:44))),"")</f>
        <v/>
      </c>
      <c r="AP46" s="175">
        <f t="shared" ref="AP46:AP72" ca="1" si="138">IF(ISNA(HLOOKUP(AP$7,$B$147:$AW$217,$I46,0)),IF(ISNA(HLOOKUP(AP$8,$B$147:$AW$217,$I46,0)),0,HLOOKUP(AP$8,$B$147:$AW$217,$I46,0)),IF(HLOOKUP(AP$7,$B$147:$AW$217,$I46,0)=0,IF(ISNA(HLOOKUP(AP$8,$B$147:$AW$217,$I46,0)),0,HLOOKUP(AP$8,$B$147:$AW$217,$I46,0)),HLOOKUP(AP$7,$B$147:$AW$217,$I46,0)))</f>
        <v>0</v>
      </c>
      <c r="AQ46" s="175" t="str">
        <f ca="1">IF(AP46&lt;&gt;0,$B183,"")</f>
        <v/>
      </c>
      <c r="AR46" s="169" t="str">
        <f t="shared" ca="1" si="101"/>
        <v/>
      </c>
      <c r="AS46" s="169" t="str">
        <f t="array" aca="1" ref="AS46" ca="1">IF(ROWS($9:44)&lt;=COUNTIF(Condition9,"o"),INDEX(Liste9,SMALL(IF(Condition9="o",ROW(INDIRECT("1:"&amp;ROWS(Liste9)))),ROWS($9:44))),"")</f>
        <v/>
      </c>
      <c r="AT46" s="175">
        <f t="shared" ref="AT46:AT72" ca="1" si="139">IF(ISNA(HLOOKUP(AT$7,$B$147:$AW$217,$I46,0)),IF(ISNA(HLOOKUP(AT$8,$B$147:$AW$217,$I46,0)),0,HLOOKUP(AT$8,$B$147:$AW$217,$I46,0)),IF(HLOOKUP(AT$7,$B$147:$AW$217,$I46,0)=0,IF(ISNA(HLOOKUP(AT$8,$B$147:$AW$217,$I46,0)),0,HLOOKUP(AT$8,$B$147:$AW$217,$I46,0)),HLOOKUP(AT$7,$B$147:$AW$217,$I46,0)))</f>
        <v>0</v>
      </c>
      <c r="AU46" s="175" t="str">
        <f ca="1">IF(AT46&lt;&gt;0,$B183,"")</f>
        <v/>
      </c>
      <c r="AV46" s="169" t="str">
        <f t="shared" ca="1" si="102"/>
        <v/>
      </c>
      <c r="AW46" s="169" t="str">
        <f t="array" aca="1" ref="AW46" ca="1">IF(ROWS($9:44)&lt;=COUNTIF(Condition10,"o"),INDEX(Liste10,SMALL(IF(Condition10="o",ROW(INDIRECT("1:"&amp;ROWS(Liste10)))),ROWS($9:44))),"")</f>
        <v/>
      </c>
      <c r="AX46" s="175">
        <f t="shared" ref="AX46:AX72" ca="1" si="140">IF(ISNA(HLOOKUP(AX$7,$B$147:$AW$217,$I46,0)),IF(ISNA(HLOOKUP(AX$8,$B$147:$AW$217,$I46,0)),0,HLOOKUP(AX$8,$B$147:$AW$217,$I46,0)),IF(HLOOKUP(AX$7,$B$147:$AW$217,$I46,0)=0,IF(ISNA(HLOOKUP(AX$8,$B$147:$AW$217,$I46,0)),0,HLOOKUP(AX$8,$B$147:$AW$217,$I46,0)),HLOOKUP(AX$7,$B$147:$AW$217,$I46,0)))</f>
        <v>0</v>
      </c>
      <c r="AY46" s="175" t="str">
        <f ca="1">IF(AX46&lt;&gt;0,$B183,"")</f>
        <v/>
      </c>
      <c r="AZ46" s="169" t="str">
        <f t="shared" ca="1" si="103"/>
        <v/>
      </c>
      <c r="BA46" s="169" t="str">
        <f t="array" aca="1" ref="BA46" ca="1">IF(ROWS($9:44)&lt;=COUNTIF(Condition11,"o"),INDEX(Liste11,SMALL(IF(Condition11="o",ROW(INDIRECT("1:"&amp;ROWS(Liste11)))),ROWS($9:44))),"")</f>
        <v/>
      </c>
      <c r="BB46" s="175">
        <f t="shared" ref="BB46:BB72" ca="1" si="141">IF(ISNA(HLOOKUP(BB$7,$B$147:$AW$217,$I46,0)),IF(ISNA(HLOOKUP(BB$8,$B$147:$AW$217,$I46,0)),0,HLOOKUP(BB$8,$B$147:$AW$217,$I46,0)),IF(HLOOKUP(BB$7,$B$147:$AW$217,$I46,0)=0,IF(ISNA(HLOOKUP(BB$8,$B$147:$AW$217,$I46,0)),0,HLOOKUP(BB$8,$B$147:$AW$217,$I46,0)),HLOOKUP(BB$7,$B$147:$AW$217,$I46,0)))</f>
        <v>0</v>
      </c>
      <c r="BC46" s="175" t="str">
        <f ca="1">IF(BB46&lt;&gt;0,$B183,"")</f>
        <v/>
      </c>
      <c r="BD46" s="169" t="str">
        <f t="shared" ca="1" si="104"/>
        <v/>
      </c>
      <c r="BE46" s="169" t="str">
        <f t="array" aca="1" ref="BE46" ca="1">IF(ROWS($9:44)&lt;=COUNTIF(Condition12,"o"),INDEX(Liste12,SMALL(IF(Condition12="o",ROW(INDIRECT("1:"&amp;ROWS(Liste12)))),ROWS($9:44))),"")</f>
        <v/>
      </c>
      <c r="BF46" s="175">
        <f t="shared" ref="BF46:BF72" ca="1" si="142">IF(ISNA(HLOOKUP(BF$7,$B$147:$AW$217,$I46,0)),IF(ISNA(HLOOKUP(BF$8,$B$147:$AW$217,$I46,0)),0,HLOOKUP(BF$8,$B$147:$AW$217,$I46,0)),IF(HLOOKUP(BF$7,$B$147:$AW$217,$I46,0)=0,IF(ISNA(HLOOKUP(BF$8,$B$147:$AW$217,$I46,0)),0,HLOOKUP(BF$8,$B$147:$AW$217,$I46,0)),HLOOKUP(BF$7,$B$147:$AW$217,$I46,0)))</f>
        <v>0</v>
      </c>
      <c r="BG46" s="175" t="str">
        <f ca="1">IF(BF46&lt;&gt;0,$B183,"")</f>
        <v/>
      </c>
      <c r="BH46" s="169" t="str">
        <f t="shared" ca="1" si="105"/>
        <v/>
      </c>
      <c r="BI46" s="169" t="str">
        <f t="array" aca="1" ref="BI46" ca="1">IF(ROWS($9:44)&lt;=COUNTIF(Condition13,"o"),INDEX(Liste13,SMALL(IF(Condition13="o",ROW(INDIRECT("1:"&amp;ROWS(Liste13)))),ROWS($9:44))),"")</f>
        <v/>
      </c>
      <c r="BJ46" s="175">
        <f t="shared" ref="BJ46:BJ72" ca="1" si="143">IF(ISNA(HLOOKUP(BJ$7,$B$147:$AW$217,$I46,0)),IF(ISNA(HLOOKUP(BJ$8,$B$147:$AW$217,$I46,0)),0,HLOOKUP(BJ$8,$B$147:$AW$217,$I46,0)),IF(HLOOKUP(BJ$7,$B$147:$AW$217,$I46,0)=0,IF(ISNA(HLOOKUP(BJ$8,$B$147:$AW$217,$I46,0)),0,HLOOKUP(BJ$8,$B$147:$AW$217,$I46,0)),HLOOKUP(BJ$7,$B$147:$AW$217,$I46,0)))</f>
        <v>0</v>
      </c>
      <c r="BK46" s="175" t="str">
        <f ca="1">IF(BJ46&lt;&gt;0,$B183,"")</f>
        <v/>
      </c>
      <c r="BL46" s="169" t="str">
        <f t="shared" ca="1" si="106"/>
        <v/>
      </c>
      <c r="BM46" s="169" t="str">
        <f t="array" aca="1" ref="BM46" ca="1">IF(ROWS($9:44)&lt;=COUNTIF(Condition14,"o"),INDEX(Liste14,SMALL(IF(Condition14="o",ROW(INDIRECT("1:"&amp;ROWS(Liste14)))),ROWS($9:44))),"")</f>
        <v/>
      </c>
      <c r="BN46" s="175">
        <f t="shared" ref="BN46:BN72" ca="1" si="144">IF(ISNA(HLOOKUP(BN$7,$B$147:$AW$217,$I46,0)),IF(ISNA(HLOOKUP(BN$8,$B$147:$AW$217,$I46,0)),0,HLOOKUP(BN$8,$B$147:$AW$217,$I46,0)),IF(HLOOKUP(BN$7,$B$147:$AW$217,$I46,0)=0,IF(ISNA(HLOOKUP(BN$8,$B$147:$AW$217,$I46,0)),0,HLOOKUP(BN$8,$B$147:$AW$217,$I46,0)),HLOOKUP(BN$7,$B$147:$AW$217,$I46,0)))</f>
        <v>0</v>
      </c>
      <c r="BO46" s="175" t="str">
        <f ca="1">IF(BN46&lt;&gt;0,$B183,"")</f>
        <v/>
      </c>
      <c r="BP46" s="169" t="str">
        <f t="shared" ca="1" si="107"/>
        <v/>
      </c>
      <c r="BQ46" s="169" t="str">
        <f t="array" aca="1" ref="BQ46" ca="1">IF(ROWS($9:44)&lt;=COUNTIF(Condition15,"o"),INDEX(Liste15,SMALL(IF(Condition15="o",ROW(INDIRECT("1:"&amp;ROWS(Liste15)))),ROWS($9:44))),"")</f>
        <v/>
      </c>
      <c r="BR46" s="175">
        <f t="shared" ref="BR46:BR72" ca="1" si="145">IF(ISNA(HLOOKUP(BR$7,$B$147:$AW$217,$I46,0)),IF(ISNA(HLOOKUP(BR$8,$B$147:$AW$217,$I46,0)),0,HLOOKUP(BR$8,$B$147:$AW$217,$I46,0)),IF(HLOOKUP(BR$7,$B$147:$AW$217,$I46,0)=0,IF(ISNA(HLOOKUP(BR$8,$B$147:$AW$217,$I46,0)),0,HLOOKUP(BR$8,$B$147:$AW$217,$I46,0)),HLOOKUP(BR$7,$B$147:$AW$217,$I46,0)))</f>
        <v>0</v>
      </c>
      <c r="BS46" s="175" t="str">
        <f ca="1">IF(BR46&lt;&gt;0,$B183,"")</f>
        <v/>
      </c>
      <c r="BT46" s="169" t="str">
        <f t="shared" ca="1" si="108"/>
        <v/>
      </c>
      <c r="BU46" s="169" t="str">
        <f t="array" aca="1" ref="BU46" ca="1">IF(ROWS($9:44)&lt;=COUNTIF(Condition16,"o"),INDEX(Liste16,SMALL(IF(Condition16="o",ROW(INDIRECT("1:"&amp;ROWS(Liste16)))),ROWS($9:44))),"")</f>
        <v/>
      </c>
      <c r="BV46" s="175">
        <f t="shared" ref="BV46:BV72" ca="1" si="146">IF(ISNA(HLOOKUP(BV$7,$B$147:$AW$217,$I46,0)),IF(ISNA(HLOOKUP(BV$8,$B$147:$AW$217,$I46,0)),0,HLOOKUP(BV$8,$B$147:$AW$217,$I46,0)),IF(HLOOKUP(BV$7,$B$147:$AW$217,$I46,0)=0,IF(ISNA(HLOOKUP(BV$8,$B$147:$AW$217,$I46,0)),0,HLOOKUP(BV$8,$B$147:$AW$217,$I46,0)),HLOOKUP(BV$7,$B$147:$AW$217,$I46,0)))</f>
        <v>0</v>
      </c>
      <c r="BW46" s="175" t="str">
        <f ca="1">IF(BV46&lt;&gt;0,$B183,"")</f>
        <v/>
      </c>
      <c r="BX46" s="169" t="str">
        <f t="shared" ca="1" si="109"/>
        <v/>
      </c>
      <c r="BY46" s="169" t="str">
        <f t="array" aca="1" ref="BY46" ca="1">IF(ROWS($9:44)&lt;=COUNTIF(Condition17,"o"),INDEX(Liste17,SMALL(IF(Condition17="o",ROW(INDIRECT("1:"&amp;ROWS(Liste17)))),ROWS($9:44))),"")</f>
        <v/>
      </c>
      <c r="BZ46" s="175">
        <f t="shared" ref="BZ46:BZ72" ca="1" si="147">IF(ISNA(HLOOKUP(BZ$7,$B$147:$AW$217,$I46,0)),IF(ISNA(HLOOKUP(BZ$8,$B$147:$AW$217,$I46,0)),0,HLOOKUP(BZ$8,$B$147:$AW$217,$I46,0)),IF(HLOOKUP(BZ$7,$B$147:$AW$217,$I46,0)=0,IF(ISNA(HLOOKUP(BZ$8,$B$147:$AW$217,$I46,0)),0,HLOOKUP(BZ$8,$B$147:$AW$217,$I46,0)),HLOOKUP(BZ$7,$B$147:$AW$217,$I46,0)))</f>
        <v>0</v>
      </c>
      <c r="CA46" s="175" t="str">
        <f ca="1">IF(BZ46&lt;&gt;0,$B183,"")</f>
        <v/>
      </c>
      <c r="CB46" s="169" t="str">
        <f t="shared" ca="1" si="110"/>
        <v/>
      </c>
      <c r="CC46" s="169" t="str">
        <f t="array" aca="1" ref="CC46" ca="1">IF(ROWS($9:44)&lt;=COUNTIF(Condition18,"o"),INDEX(Liste18,SMALL(IF(Condition18="o",ROW(INDIRECT("1:"&amp;ROWS(Liste18)))),ROWS($9:44))),"")</f>
        <v/>
      </c>
      <c r="CD46" s="175">
        <f t="shared" ref="CD46:CD72" ca="1" si="148">IF(ISNA(HLOOKUP(CD$7,$B$147:$AW$217,$I46,0)),IF(ISNA(HLOOKUP(CD$8,$B$147:$AW$217,$I46,0)),0,HLOOKUP(CD$8,$B$147:$AW$217,$I46,0)),IF(HLOOKUP(CD$7,$B$147:$AW$217,$I46,0)=0,IF(ISNA(HLOOKUP(CD$8,$B$147:$AW$217,$I46,0)),0,HLOOKUP(CD$8,$B$147:$AW$217,$I46,0)),HLOOKUP(CD$7,$B$147:$AW$217,$I46,0)))</f>
        <v>0</v>
      </c>
      <c r="CE46" s="175" t="str">
        <f ca="1">IF(CD46&lt;&gt;0,$B183,"")</f>
        <v/>
      </c>
      <c r="CF46" s="169" t="str">
        <f t="shared" ca="1" si="111"/>
        <v/>
      </c>
      <c r="CG46" s="169" t="str">
        <f t="array" aca="1" ref="CG46" ca="1">IF(ROWS($9:44)&lt;=COUNTIF(Condition19,"o"),INDEX(Liste19,SMALL(IF(Condition19="o",ROW(INDIRECT("1:"&amp;ROWS(Liste19)))),ROWS($9:44))),"")</f>
        <v/>
      </c>
      <c r="CH46" s="175">
        <f t="shared" ref="CH46:CH72" ca="1" si="149">IF(ISNA(HLOOKUP(CH$7,$B$147:$AW$217,$I46,0)),IF(ISNA(HLOOKUP(CH$8,$B$147:$AW$217,$I46,0)),0,HLOOKUP(CH$8,$B$147:$AW$217,$I46,0)),IF(HLOOKUP(CH$7,$B$147:$AW$217,$I46,0)=0,IF(ISNA(HLOOKUP(CH$8,$B$147:$AW$217,$I46,0)),0,HLOOKUP(CH$8,$B$147:$AW$217,$I46,0)),HLOOKUP(CH$7,$B$147:$AW$217,$I46,0)))</f>
        <v>0</v>
      </c>
      <c r="CI46" s="175" t="str">
        <f ca="1">IF(CH46&lt;&gt;0,$B183,"")</f>
        <v/>
      </c>
      <c r="CJ46" s="169" t="str">
        <f t="shared" ca="1" si="112"/>
        <v/>
      </c>
      <c r="CK46" s="169" t="str">
        <f t="array" aca="1" ref="CK46" ca="1">IF(ROWS($9:44)&lt;=COUNTIF(Condition20,"o"),INDEX(Liste20,SMALL(IF(Condition20="o",ROW(INDIRECT("1:"&amp;ROWS(Liste20)))),ROWS($9:44))),"")</f>
        <v/>
      </c>
      <c r="CL46" s="175">
        <f t="shared" ref="CL46:CL72" ca="1" si="150">IF(ISNA(HLOOKUP(CL$7,$B$147:$AW$217,$I46,0)),IF(ISNA(HLOOKUP(CL$8,$B$147:$AW$217,$I46,0)),0,HLOOKUP(CL$8,$B$147:$AW$217,$I46,0)),IF(HLOOKUP(CL$7,$B$147:$AW$217,$I46,0)=0,IF(ISNA(HLOOKUP(CL$8,$B$147:$AW$217,$I46,0)),0,HLOOKUP(CL$8,$B$147:$AW$217,$I46,0)),HLOOKUP(CL$7,$B$147:$AW$217,$I46,0)))</f>
        <v>0</v>
      </c>
      <c r="CM46" s="175" t="str">
        <f ca="1">IF(CL46&lt;&gt;0,$B183,"")</f>
        <v/>
      </c>
      <c r="CN46" s="169" t="str">
        <f t="shared" ca="1" si="113"/>
        <v/>
      </c>
      <c r="CO46" s="169" t="str">
        <f t="array" aca="1" ref="CO46" ca="1">IF(ROWS($9:44)&lt;=COUNTIF(Condition21,"o"),INDEX(Liste21,SMALL(IF(Condition21="o",ROW(INDIRECT("1:"&amp;ROWS(Liste21)))),ROWS($9:44))),"")</f>
        <v/>
      </c>
      <c r="CP46" s="175">
        <f t="shared" ref="CP46:CP72" ca="1" si="151">IF(ISNA(HLOOKUP(CP$7,$B$147:$AW$217,$I46,0)),IF(ISNA(HLOOKUP(CP$8,$B$147:$AW$217,$I46,0)),0,HLOOKUP(CP$8,$B$147:$AW$217,$I46,0)),IF(HLOOKUP(CP$7,$B$147:$AW$217,$I46,0)=0,IF(ISNA(HLOOKUP(CP$8,$B$147:$AW$217,$I46,0)),0,HLOOKUP(CP$8,$B$147:$AW$217,$I46,0)),HLOOKUP(CP$7,$B$147:$AW$217,$I46,0)))</f>
        <v>0</v>
      </c>
      <c r="CQ46" s="175" t="str">
        <f ca="1">IF(CP46&lt;&gt;0,$B183,"")</f>
        <v/>
      </c>
      <c r="CR46" s="169" t="str">
        <f t="shared" ca="1" si="114"/>
        <v/>
      </c>
      <c r="CS46" s="169" t="str">
        <f t="array" aca="1" ref="CS46" ca="1">IF(ROWS($9:44)&lt;=COUNTIF(Condition22,"o"),INDEX(Liste22,SMALL(IF(Condition22="o",ROW(INDIRECT("1:"&amp;ROWS(Liste22)))),ROWS($9:44))),"")</f>
        <v/>
      </c>
      <c r="CT46" s="175">
        <f t="shared" ref="CT46:CT72" ca="1" si="152">IF(ISNA(HLOOKUP(CT$7,$B$147:$AW$217,$I46,0)),IF(ISNA(HLOOKUP(CT$8,$B$147:$AW$217,$I46,0)),0,HLOOKUP(CT$8,$B$147:$AW$217,$I46,0)),IF(HLOOKUP(CT$7,$B$147:$AW$217,$I46,0)=0,IF(ISNA(HLOOKUP(CT$8,$B$147:$AW$217,$I46,0)),0,HLOOKUP(CT$8,$B$147:$AW$217,$I46,0)),HLOOKUP(CT$7,$B$147:$AW$217,$I46,0)))</f>
        <v>0</v>
      </c>
      <c r="CU46" s="175" t="str">
        <f ca="1">IF(CT46&lt;&gt;0,$B183,"")</f>
        <v/>
      </c>
      <c r="CV46" s="169" t="str">
        <f t="shared" ca="1" si="115"/>
        <v/>
      </c>
      <c r="CW46" s="169" t="str">
        <f t="array" aca="1" ref="CW46" ca="1">IF(ROWS($9:44)&lt;=COUNTIF(Condition23,"o"),INDEX(Liste23,SMALL(IF(Condition23="o",ROW(INDIRECT("1:"&amp;ROWS(Liste23)))),ROWS($9:44))),"")</f>
        <v/>
      </c>
      <c r="CX46" s="175">
        <f t="shared" ref="CX46:CX72" ca="1" si="153">IF(ISNA(HLOOKUP(CX$7,$B$147:$AW$217,$I46,0)),IF(ISNA(HLOOKUP(CX$8,$B$147:$AW$217,$I46,0)),0,HLOOKUP(CX$8,$B$147:$AW$217,$I46,0)),IF(HLOOKUP(CX$7,$B$147:$AW$217,$I46,0)=0,IF(ISNA(HLOOKUP(CX$8,$B$147:$AW$217,$I46,0)),0,HLOOKUP(CX$8,$B$147:$AW$217,$I46,0)),HLOOKUP(CX$7,$B$147:$AW$217,$I46,0)))</f>
        <v>0</v>
      </c>
      <c r="CY46" s="175" t="str">
        <f ca="1">IF(CX46&lt;&gt;0,$B183,"")</f>
        <v/>
      </c>
      <c r="CZ46" s="169" t="str">
        <f t="shared" ca="1" si="116"/>
        <v/>
      </c>
      <c r="DA46" s="169" t="str">
        <f t="array" aca="1" ref="DA46" ca="1">IF(ROWS($9:44)&lt;=COUNTIF(Condition24,"o"),INDEX(Liste24,SMALL(IF(Condition24="o",ROW(INDIRECT("1:"&amp;ROWS(Liste24)))),ROWS($9:44))),"")</f>
        <v/>
      </c>
      <c r="DB46" s="175">
        <f t="shared" ref="DB46:DB72" ca="1" si="154">IF(ISNA(HLOOKUP(DB$7,$B$147:$AW$217,$I46,0)),IF(ISNA(HLOOKUP(DB$8,$B$147:$AW$217,$I46,0)),0,HLOOKUP(DB$8,$B$147:$AW$217,$I46,0)),IF(HLOOKUP(DB$7,$B$147:$AW$217,$I46,0)=0,IF(ISNA(HLOOKUP(DB$8,$B$147:$AW$217,$I46,0)),0,HLOOKUP(DB$8,$B$147:$AW$217,$I46,0)),HLOOKUP(DB$7,$B$147:$AW$217,$I46,0)))</f>
        <v>0</v>
      </c>
      <c r="DC46" s="175" t="str">
        <f ca="1">IF(DB46&lt;&gt;0,$B183,"")</f>
        <v/>
      </c>
      <c r="DD46" s="169" t="str">
        <f t="shared" ca="1" si="117"/>
        <v/>
      </c>
      <c r="DE46" s="169" t="str">
        <f t="array" aca="1" ref="DE46" ca="1">IF(ROWS($9:44)&lt;=COUNTIF(Condition25,"o"),INDEX(Liste25,SMALL(IF(Condition25="o",ROW(INDIRECT("1:"&amp;ROWS(Liste25)))),ROWS($9:44))),"")</f>
        <v/>
      </c>
      <c r="DF46" s="175">
        <f t="shared" ref="DF46:DF72" ca="1" si="155">IF(ISNA(HLOOKUP(DF$7,$B$147:$AW$217,$I46,0)),IF(ISNA(HLOOKUP(DF$8,$B$147:$AW$217,$I46,0)),0,HLOOKUP(DF$8,$B$147:$AW$217,$I46,0)),IF(HLOOKUP(DF$7,$B$147:$AW$217,$I46,0)=0,IF(ISNA(HLOOKUP(DF$8,$B$147:$AW$217,$I46,0)),0,HLOOKUP(DF$8,$B$147:$AW$217,$I46,0)),HLOOKUP(DF$7,$B$147:$AW$217,$I46,0)))</f>
        <v>0</v>
      </c>
      <c r="DG46" s="175" t="str">
        <f ca="1">IF(DF46&lt;&gt;0,$B183,"")</f>
        <v/>
      </c>
      <c r="DH46" s="169" t="str">
        <f t="shared" ca="1" si="118"/>
        <v/>
      </c>
      <c r="DI46" s="169" t="str">
        <f t="array" aca="1" ref="DI46" ca="1">IF(ROWS($9:44)&lt;=COUNTIF(Condition26,"o"),INDEX(Liste26,SMALL(IF(Condition26="o",ROW(INDIRECT("1:"&amp;ROWS(Liste26)))),ROWS($9:44))),"")</f>
        <v/>
      </c>
      <c r="DJ46" s="175">
        <f t="shared" ref="DJ46:DJ72" ca="1" si="156">IF(ISNA(HLOOKUP(DJ$7,$B$147:$AW$217,$I46,0)),IF(ISNA(HLOOKUP(DJ$8,$B$147:$AW$217,$I46,0)),0,HLOOKUP(DJ$8,$B$147:$AW$217,$I46,0)),IF(HLOOKUP(DJ$7,$B$147:$AW$217,$I46,0)=0,IF(ISNA(HLOOKUP(DJ$8,$B$147:$AW$217,$I46,0)),0,HLOOKUP(DJ$8,$B$147:$AW$217,$I46,0)),HLOOKUP(DJ$7,$B$147:$AW$217,$I46,0)))</f>
        <v>0</v>
      </c>
      <c r="DK46" s="175" t="str">
        <f ca="1">IF(DJ46&lt;&gt;0,$B183,"")</f>
        <v/>
      </c>
      <c r="DL46" s="169" t="str">
        <f t="shared" ca="1" si="119"/>
        <v/>
      </c>
      <c r="DM46" s="169" t="str">
        <f t="array" aca="1" ref="DM46" ca="1">IF(ROWS($9:44)&lt;=COUNTIF(Condition27,"o"),INDEX(Liste27,SMALL(IF(Condition27="o",ROW(INDIRECT("1:"&amp;ROWS(Liste27)))),ROWS($9:44))),"")</f>
        <v/>
      </c>
      <c r="DN46" s="175">
        <f t="shared" ref="DN46:DN72" ca="1" si="157">IF(ISNA(HLOOKUP(DN$7,$B$147:$AW$217,$I46,0)),IF(ISNA(HLOOKUP(DN$8,$B$147:$AW$217,$I46,0)),0,HLOOKUP(DN$8,$B$147:$AW$217,$I46,0)),IF(HLOOKUP(DN$7,$B$147:$AW$217,$I46,0)=0,IF(ISNA(HLOOKUP(DN$8,$B$147:$AW$217,$I46,0)),0,HLOOKUP(DN$8,$B$147:$AW$217,$I46,0)),HLOOKUP(DN$7,$B$147:$AW$217,$I46,0)))</f>
        <v>0</v>
      </c>
      <c r="DO46" s="175" t="str">
        <f ca="1">IF(DN46&lt;&gt;0,$B183,"")</f>
        <v/>
      </c>
      <c r="DP46" s="169" t="str">
        <f t="shared" ca="1" si="120"/>
        <v/>
      </c>
      <c r="DQ46" s="169" t="str">
        <f t="array" aca="1" ref="DQ46" ca="1">IF(ROWS($9:44)&lt;=COUNTIF(Condition28,"o"),INDEX(Liste28,SMALL(IF(Condition28="o",ROW(INDIRECT("1:"&amp;ROWS(Liste28)))),ROWS($9:44))),"")</f>
        <v/>
      </c>
      <c r="DR46" s="175">
        <f t="shared" ref="DR46:DR72" ca="1" si="158">IF(ISNA(HLOOKUP(DR$7,$B$147:$AW$217,$I46,0)),IF(ISNA(HLOOKUP(DR$8,$B$147:$AW$217,$I46,0)),0,HLOOKUP(DR$8,$B$147:$AW$217,$I46,0)),IF(HLOOKUP(DR$7,$B$147:$AW$217,$I46,0)=0,IF(ISNA(HLOOKUP(DR$8,$B$147:$AW$217,$I46,0)),0,HLOOKUP(DR$8,$B$147:$AW$217,$I46,0)),HLOOKUP(DR$7,$B$147:$AW$217,$I46,0)))</f>
        <v>0</v>
      </c>
      <c r="DS46" s="175" t="str">
        <f ca="1">IF(DR46&lt;&gt;0,$B183,"")</f>
        <v/>
      </c>
      <c r="DT46" s="169" t="str">
        <f t="shared" ca="1" si="121"/>
        <v/>
      </c>
      <c r="DU46" s="169" t="str">
        <f t="array" aca="1" ref="DU46" ca="1">IF(ROWS($9:44)&lt;=COUNTIF(Condition29,"o"),INDEX(Liste29,SMALL(IF(Condition29="o",ROW(INDIRECT("1:"&amp;ROWS(Liste29)))),ROWS($9:44))),"")</f>
        <v/>
      </c>
      <c r="DV46" s="175">
        <f t="shared" ref="DV46:DV72" ca="1" si="159">IF(ISNA(HLOOKUP(DV$7,$B$147:$AW$217,$I46,0)),IF(ISNA(HLOOKUP(DV$8,$B$147:$AW$217,$I46,0)),0,HLOOKUP(DV$8,$B$147:$AW$217,$I46,0)),IF(HLOOKUP(DV$7,$B$147:$AW$217,$I46,0)=0,IF(ISNA(HLOOKUP(DV$8,$B$147:$AW$217,$I46,0)),0,HLOOKUP(DV$8,$B$147:$AW$217,$I46,0)),HLOOKUP(DV$7,$B$147:$AW$217,$I46,0)))</f>
        <v>0</v>
      </c>
      <c r="DW46" s="175" t="str">
        <f ca="1">IF(DV46&lt;&gt;0,$B183,"")</f>
        <v/>
      </c>
      <c r="DX46" s="169" t="str">
        <f t="shared" ca="1" si="122"/>
        <v/>
      </c>
      <c r="DY46" s="169" t="str">
        <f t="array" aca="1" ref="DY46" ca="1">IF(ROWS($9:44)&lt;=COUNTIF(Condition30,"o"),INDEX(Liste30,SMALL(IF(Condition30="o",ROW(INDIRECT("1:"&amp;ROWS(Liste30)))),ROWS($9:44))),"")</f>
        <v/>
      </c>
      <c r="DZ46" s="175">
        <f t="shared" ref="DZ46:DZ72" ca="1" si="160">IF(ISNA(HLOOKUP(DZ$7,$B$147:$AW$217,$I46,0)),IF(ISNA(HLOOKUP(DZ$8,$B$147:$AW$217,$I46,0)),0,HLOOKUP(DZ$8,$B$147:$AW$217,$I46,0)),IF(HLOOKUP(DZ$7,$B$147:$AW$217,$I46,0)=0,IF(ISNA(HLOOKUP(DZ$8,$B$147:$AW$217,$I46,0)),0,HLOOKUP(DZ$8,$B$147:$AW$217,$I46,0)),HLOOKUP(DZ$7,$B$147:$AW$217,$I46,0)))</f>
        <v>0</v>
      </c>
      <c r="EA46" s="175" t="str">
        <f ca="1">IF(DZ46&lt;&gt;0,$B183,"")</f>
        <v/>
      </c>
      <c r="EB46" s="169" t="str">
        <f t="shared" ca="1" si="123"/>
        <v/>
      </c>
      <c r="EC46" s="169" t="str">
        <f t="array" aca="1" ref="EC46" ca="1">IF(ROWS($9:44)&lt;=COUNTIF(Condition31,"o"),INDEX(Liste31,SMALL(IF(Condition31="o",ROW(INDIRECT("1:"&amp;ROWS(Liste31)))),ROWS($9:44))),"")</f>
        <v/>
      </c>
      <c r="ED46" s="175">
        <f t="shared" ref="ED46:ED72" ca="1" si="161">IF(ISNA(HLOOKUP(ED$7,$B$147:$AW$217,$I46,0)),IF(ISNA(HLOOKUP(ED$8,$B$147:$AW$217,$I46,0)),0,HLOOKUP(ED$8,$B$147:$AW$217,$I46,0)),IF(HLOOKUP(ED$7,$B$147:$AW$217,$I46,0)=0,IF(ISNA(HLOOKUP(ED$8,$B$147:$AW$217,$I46,0)),0,HLOOKUP(ED$8,$B$147:$AW$217,$I46,0)),HLOOKUP(ED$7,$B$147:$AW$217,$I46,0)))</f>
        <v>0</v>
      </c>
      <c r="EE46" s="175" t="str">
        <f ca="1">IF(ED46&lt;&gt;0,$B183,"")</f>
        <v/>
      </c>
      <c r="EF46" s="169" t="str">
        <f t="shared" ca="1" si="124"/>
        <v/>
      </c>
      <c r="EG46" s="169" t="str">
        <f t="array" aca="1" ref="EG46" ca="1">IF(ROWS($9:44)&lt;=COUNTIF(Condition32,"o"),INDEX(Liste32,SMALL(IF(Condition32="o",ROW(INDIRECT("1:"&amp;ROWS(Liste32)))),ROWS($9:44))),"")</f>
        <v/>
      </c>
      <c r="EH46" s="175">
        <f t="shared" ref="EH46:EH72" ca="1" si="162">IF(ISNA(HLOOKUP(EH$7,$B$147:$AW$217,$I46,0)),IF(ISNA(HLOOKUP(EH$8,$B$147:$AW$217,$I46,0)),0,HLOOKUP(EH$8,$B$147:$AW$217,$I46,0)),IF(HLOOKUP(EH$7,$B$147:$AW$217,$I46,0)=0,IF(ISNA(HLOOKUP(EH$8,$B$147:$AW$217,$I46,0)),0,HLOOKUP(EH$8,$B$147:$AW$217,$I46,0)),HLOOKUP(EH$7,$B$147:$AW$217,$I46,0)))</f>
        <v>0</v>
      </c>
      <c r="EI46" s="175" t="str">
        <f ca="1">IF(EH46&lt;&gt;0,$B183,"")</f>
        <v/>
      </c>
      <c r="EJ46" s="169" t="str">
        <f t="shared" ca="1" si="125"/>
        <v/>
      </c>
      <c r="EK46" s="169" t="str">
        <f t="array" aca="1" ref="EK46" ca="1">IF(ROWS($9:44)&lt;=COUNTIF(Condition33,"o"),INDEX(Liste33,SMALL(IF(Condition33="o",ROW(INDIRECT("1:"&amp;ROWS(Liste33)))),ROWS($9:44))),"")</f>
        <v/>
      </c>
      <c r="EL46" s="175">
        <f t="shared" ref="EL46:EL72" ca="1" si="163">IF(ISNA(HLOOKUP(EL$7,$B$147:$AW$217,$I46,0)),IF(ISNA(HLOOKUP(EL$8,$B$147:$AW$217,$I46,0)),0,HLOOKUP(EL$8,$B$147:$AW$217,$I46,0)),IF(HLOOKUP(EL$7,$B$147:$AW$217,$I46,0)=0,IF(ISNA(HLOOKUP(EL$8,$B$147:$AW$217,$I46,0)),0,HLOOKUP(EL$8,$B$147:$AW$217,$I46,0)),HLOOKUP(EL$7,$B$147:$AW$217,$I46,0)))</f>
        <v>0</v>
      </c>
      <c r="EM46" s="175" t="str">
        <f ca="1">IF(EL46&lt;&gt;0,$B183,"")</f>
        <v/>
      </c>
      <c r="EN46" s="169" t="str">
        <f t="shared" ca="1" si="126"/>
        <v/>
      </c>
      <c r="EO46" s="169" t="str">
        <f t="array" aca="1" ref="EO46" ca="1">IF(ROWS($9:44)&lt;=COUNTIF(Condition34,"o"),INDEX(Liste34,SMALL(IF(Condition34="o",ROW(INDIRECT("1:"&amp;ROWS(Liste34)))),ROWS($9:44))),"")</f>
        <v/>
      </c>
      <c r="EP46" s="175">
        <f t="shared" ref="EP46:EP72" ca="1" si="164">IF(ISNA(HLOOKUP(EP$7,$B$147:$AW$217,$I46,0)),IF(ISNA(HLOOKUP(EP$8,$B$147:$AW$217,$I46,0)),0,HLOOKUP(EP$8,$B$147:$AW$217,$I46,0)),IF(HLOOKUP(EP$7,$B$147:$AW$217,$I46,0)=0,IF(ISNA(HLOOKUP(EP$8,$B$147:$AW$217,$I46,0)),0,HLOOKUP(EP$8,$B$147:$AW$217,$I46,0)),HLOOKUP(EP$7,$B$147:$AW$217,$I46,0)))</f>
        <v>0</v>
      </c>
      <c r="EQ46" s="175" t="str">
        <f ca="1">IF(EP46&lt;&gt;0,$B183,"")</f>
        <v/>
      </c>
      <c r="ER46" s="169" t="str">
        <f t="shared" ca="1" si="127"/>
        <v/>
      </c>
      <c r="ES46" s="169" t="str">
        <f t="array" aca="1" ref="ES46" ca="1">IF(ROWS($9:44)&lt;=COUNTIF(Condition35,"o"),INDEX(Liste35,SMALL(IF(Condition35="o",ROW(INDIRECT("1:"&amp;ROWS(Liste35)))),ROWS($9:44))),"")</f>
        <v/>
      </c>
      <c r="ET46" s="175">
        <f t="shared" ref="ET46:ET72" ca="1" si="165">IF(ISNA(HLOOKUP(ET$7,$B$147:$AW$217,$I46,0)),IF(ISNA(HLOOKUP(ET$8,$B$147:$AW$217,$I46,0)),0,HLOOKUP(ET$8,$B$147:$AW$217,$I46,0)),IF(HLOOKUP(ET$7,$B$147:$AW$217,$I46,0)=0,IF(ISNA(HLOOKUP(ET$8,$B$147:$AW$217,$I46,0)),0,HLOOKUP(ET$8,$B$147:$AW$217,$I46,0)),HLOOKUP(ET$7,$B$147:$AW$217,$I46,0)))</f>
        <v>0</v>
      </c>
      <c r="EU46" s="175" t="str">
        <f ca="1">IF(ET46&lt;&gt;0,$B183,"")</f>
        <v/>
      </c>
      <c r="EV46" s="169" t="str">
        <f t="shared" ca="1" si="128"/>
        <v/>
      </c>
      <c r="EW46" s="169" t="str">
        <f t="array" aca="1" ref="EW46" ca="1">IF(ROWS($9:44)&lt;=COUNTIF(Condition36,"o"),INDEX(Liste36,SMALL(IF(Condition36="o",ROW(INDIRECT("1:"&amp;ROWS(Liste36)))),ROWS($9:44))),"")</f>
        <v/>
      </c>
      <c r="EX46" s="175">
        <f t="shared" ref="EX46:EX72" ca="1" si="166">IF(ISNA(HLOOKUP(EX$7,$B$147:$AW$217,$I46,0)),IF(ISNA(HLOOKUP(EX$8,$B$147:$AW$217,$I46,0)),0,HLOOKUP(EX$8,$B$147:$AW$217,$I46,0)),IF(HLOOKUP(EX$7,$B$147:$AW$217,$I46,0)=0,IF(ISNA(HLOOKUP(EX$8,$B$147:$AW$217,$I46,0)),0,HLOOKUP(EX$8,$B$147:$AW$217,$I46,0)),HLOOKUP(EX$7,$B$147:$AW$217,$I46,0)))</f>
        <v>0</v>
      </c>
      <c r="EY46" s="175" t="str">
        <f t="shared" ca="1" si="75"/>
        <v/>
      </c>
      <c r="EZ46" s="169" t="str">
        <f t="shared" ca="1" si="85"/>
        <v/>
      </c>
      <c r="FA46" s="169" t="str">
        <f t="array" aca="1" ref="FA46" ca="1">IF(ROWS($9:45)&lt;=COUNTIF(Condition36,"o"),INDEX(Liste36,SMALL(IF(Condition36="o",ROW(INDIRECT("1:"&amp;ROWS(Liste36)))),ROWS($9:45))),"")</f>
        <v/>
      </c>
      <c r="FB46" s="175">
        <f t="shared" ref="FB46:FB72" ca="1" si="167">IF(ISNA(HLOOKUP(FB$7,$B$147:$AW$217,$I46,0)),IF(ISNA(HLOOKUP(FB$8,$B$147:$AW$217,$I46,0)),0,HLOOKUP(FB$8,$B$147:$AW$217,$I46,0)),IF(HLOOKUP(FB$7,$B$147:$AW$217,$I46,0)=0,IF(ISNA(HLOOKUP(FB$8,$B$147:$AW$217,$I46,0)),0,HLOOKUP(FB$8,$B$147:$AW$217,$I46,0)),HLOOKUP(FB$7,$B$147:$AW$217,$I46,0)))</f>
        <v>0</v>
      </c>
      <c r="FC46" s="175" t="str">
        <f t="shared" ca="1" si="77"/>
        <v/>
      </c>
      <c r="FD46" s="169" t="str">
        <f t="shared" ca="1" si="86"/>
        <v/>
      </c>
      <c r="FE46" s="175">
        <f t="shared" ref="FE46:FF72" si="168">IF(ISNA(HLOOKUP(FE$7,$B$147:$AW$217,$I46,0)),IF(ISNA(HLOOKUP(FE$8,$B$147:$AW$217,$I46,0)),0,HLOOKUP(FE$8,$B$147:$AW$217,$I46,0)),IF(HLOOKUP(FE$7,$B$147:$AW$217,$I46,0)=0,IF(ISNA(HLOOKUP(FE$8,$B$147:$AW$217,$I46,0)),0,HLOOKUP(FE$8,$B$147:$AW$217,$I46,0)),HLOOKUP(FE$7,$B$147:$AW$217,$I46,0)))</f>
        <v>0</v>
      </c>
      <c r="FF46" s="175">
        <f t="shared" ca="1" si="168"/>
        <v>0</v>
      </c>
      <c r="FG46" s="175" t="str">
        <f ca="1">IF(FF46&lt;&gt;0,$B184,"")</f>
        <v/>
      </c>
      <c r="FH46" s="169" t="str">
        <f t="shared" ca="1" si="87"/>
        <v/>
      </c>
      <c r="FI46" s="169" t="str">
        <f t="array" aca="1" ref="FI46" ca="1">IF(ROWS($9:45)&lt;=COUNTIF(Condition39,"o"),INDEX(Liste39,SMALL(IF(Condition39="o",ROW(INDIRECT("1:"&amp;ROWS(Liste39)))),ROWS($9:45))),"")</f>
        <v/>
      </c>
      <c r="FM46" s="1" t="s">
        <v>1227</v>
      </c>
      <c r="FN46" s="1" t="s">
        <v>1228</v>
      </c>
      <c r="FO46" s="180">
        <f>'Suivi objectifs'!D41</f>
        <v>0</v>
      </c>
      <c r="FP46" s="1366">
        <f>'Suivi objectifs'!C43</f>
        <v>0</v>
      </c>
      <c r="FQ46" s="181" t="str">
        <f ca="1">IF(ISNA(VLOOKUP(FR46,Actions!$G$2:$AP$70,31,0)),"",VLOOKUP(FR46,Actions!$G$2:$AP$70,36,0))</f>
        <v/>
      </c>
      <c r="FR46" s="185" t="str">
        <f t="shared" ca="1" si="88"/>
        <v/>
      </c>
      <c r="FS46" s="286">
        <f t="shared" ca="1" si="80"/>
        <v>0</v>
      </c>
      <c r="FT46" s="181" t="str">
        <f ca="1">IF(ISNA(VLOOKUP(FU46,Actions!$G$2:$AP$70,31,0)),"",VLOOKUP(FU46,Actions!$G$2:$AP$70,36,0))</f>
        <v/>
      </c>
      <c r="FU46" s="185" t="str">
        <f ca="1">INDIRECT($FN46&amp;FT$1)</f>
        <v/>
      </c>
      <c r="FV46" s="286">
        <f t="shared" ca="1" si="81"/>
        <v>0</v>
      </c>
      <c r="FW46" s="181" t="str">
        <f ca="1">IF(ISNA(VLOOKUP(FX46,Actions!$G$2:$AP$70,31,0)),"",VLOOKUP(FX46,Actions!$G$2:$AP$70,36,0))</f>
        <v/>
      </c>
      <c r="FX46" s="185" t="str">
        <f ca="1">INDIRECT($FN46&amp;FW$1)</f>
        <v/>
      </c>
      <c r="FY46" s="286">
        <f t="shared" ca="1" si="82"/>
        <v>0</v>
      </c>
      <c r="FZ46" s="181" t="str">
        <f ca="1">IF(ISNA(VLOOKUP(GA46,Actions!$G$2:$AP$70,31,0)),"",VLOOKUP(GA46,Actions!$G$2:$AP$70,36,0))</f>
        <v/>
      </c>
      <c r="GA46" s="185" t="str">
        <f ca="1">INDIRECT($FN46&amp;FZ$1)</f>
        <v/>
      </c>
      <c r="GB46" s="286">
        <f t="shared" ca="1" si="83"/>
        <v>0</v>
      </c>
      <c r="GC46" s="181" t="str">
        <f ca="1">IF(ISNA(VLOOKUP(GD46,Actions!$G$2:$AP$70,31,0)),"",VLOOKUP(GD46,Actions!$G$2:$AP$70,36,0))</f>
        <v/>
      </c>
      <c r="GD46" s="185" t="str">
        <f ca="1">INDIRECT($FN46&amp;GC$1)</f>
        <v/>
      </c>
      <c r="GE46" s="286">
        <f t="shared" ca="1" si="84"/>
        <v>0</v>
      </c>
      <c r="GF46" s="186">
        <f t="shared" ca="1" si="129"/>
        <v>0</v>
      </c>
      <c r="GG46" s="233"/>
    </row>
    <row r="47" spans="1:189" hidden="1">
      <c r="A47" s="1" t="s">
        <v>1229</v>
      </c>
      <c r="B47" s="1">
        <f>Actions!F39</f>
        <v>38</v>
      </c>
      <c r="C47" s="1">
        <f ca="1">Actions!G39</f>
        <v>0</v>
      </c>
      <c r="D47" s="1">
        <f ca="1">Actions!H39</f>
        <v>0</v>
      </c>
      <c r="E47" s="1" t="str">
        <f ca="1">Actions!I39</f>
        <v>-</v>
      </c>
      <c r="F47" s="1" t="str">
        <f t="shared" ca="1" si="0"/>
        <v>-</v>
      </c>
      <c r="G47" s="1" t="e">
        <f t="shared" ca="1" si="1"/>
        <v>#REF!</v>
      </c>
      <c r="I47" s="1">
        <v>38</v>
      </c>
      <c r="J47" s="175">
        <f t="shared" ca="1" si="130"/>
        <v>0</v>
      </c>
      <c r="K47" s="175" t="str">
        <f ca="1">IF(J47&lt;&gt;0,$B184,"")</f>
        <v/>
      </c>
      <c r="L47" s="169" t="str">
        <f t="shared" ca="1" si="93"/>
        <v/>
      </c>
      <c r="M47" s="169" t="str">
        <f t="array" aca="1" ref="M47" ca="1">IF(ROWS($9:46)&lt;=COUNTIF(Condition1,"o"),INDEX(Liste1,SMALL(IF(Condition1="o",ROW(INDIRECT("1:"&amp;ROWS(Liste1)))),ROWS($9:46))),"")</f>
        <v/>
      </c>
      <c r="N47" s="175">
        <f t="shared" ca="1" si="131"/>
        <v>0</v>
      </c>
      <c r="O47" s="175" t="str">
        <f ca="1">IF(N47&lt;&gt;0,$B184,"")</f>
        <v/>
      </c>
      <c r="P47" s="169" t="str">
        <f t="shared" ca="1" si="94"/>
        <v/>
      </c>
      <c r="Q47" s="169" t="str">
        <f t="array" aca="1" ref="Q47" ca="1">IF(ROWS($9:46)&lt;=COUNTIF(Condition2,"o"),INDEX(Liste2,SMALL(IF(Condition2="o",ROW(INDIRECT("1:"&amp;ROWS(Liste2)))),ROWS($9:46))),"")</f>
        <v/>
      </c>
      <c r="R47" s="175">
        <f t="shared" ca="1" si="132"/>
        <v>0</v>
      </c>
      <c r="S47" s="175" t="str">
        <f ca="1">IF(R47&lt;&gt;0,$B184,"")</f>
        <v/>
      </c>
      <c r="T47" s="169" t="str">
        <f t="shared" ca="1" si="95"/>
        <v/>
      </c>
      <c r="U47" s="169" t="str">
        <f t="array" aca="1" ref="U47" ca="1">IF(ROWS($9:46)&lt;=COUNTIF(Condition3,"o"),INDEX(Liste3,SMALL(IF(Condition3="o",ROW(INDIRECT("1:"&amp;ROWS(Liste3)))),ROWS($9:46))),"")</f>
        <v/>
      </c>
      <c r="V47" s="175">
        <f t="shared" ca="1" si="133"/>
        <v>0</v>
      </c>
      <c r="W47" s="175" t="str">
        <f ca="1">IF(V47&lt;&gt;0,$B184,"")</f>
        <v/>
      </c>
      <c r="X47" s="169" t="str">
        <f t="shared" ca="1" si="96"/>
        <v/>
      </c>
      <c r="Y47" s="169" t="str">
        <f t="array" aca="1" ref="Y47" ca="1">IF(ROWS($9:46)&lt;=COUNTIF(Condition4,"o"),INDEX(Liste4,SMALL(IF(Condition4="o",ROW(INDIRECT("1:"&amp;ROWS(Liste4)))),ROWS($9:46))),"")</f>
        <v/>
      </c>
      <c r="Z47" s="175">
        <f t="shared" ca="1" si="134"/>
        <v>0</v>
      </c>
      <c r="AA47" s="175" t="str">
        <f ca="1">IF(Z47&lt;&gt;0,$B184,"")</f>
        <v/>
      </c>
      <c r="AB47" s="169" t="str">
        <f t="shared" ca="1" si="97"/>
        <v/>
      </c>
      <c r="AC47" s="169" t="str">
        <f t="array" aca="1" ref="AC47" ca="1">IF(ROWS($9:46)&lt;=COUNTIF(Condition5,"o"),INDEX(Liste5,SMALL(IF(Condition5="o",ROW(INDIRECT("1:"&amp;ROWS(Liste5)))),ROWS($9:46))),"")</f>
        <v/>
      </c>
      <c r="AD47" s="175">
        <f t="shared" ca="1" si="135"/>
        <v>0</v>
      </c>
      <c r="AE47" s="175" t="str">
        <f ca="1">IF(AD47&lt;&gt;0,$B184,"")</f>
        <v/>
      </c>
      <c r="AF47" s="169" t="str">
        <f t="shared" ca="1" si="98"/>
        <v/>
      </c>
      <c r="AG47" s="169" t="str">
        <f t="array" aca="1" ref="AG47" ca="1">IF(ROWS($9:46)&lt;=COUNTIF(Condition6,"o"),INDEX(Liste6,SMALL(IF(Condition6="o",ROW(INDIRECT("1:"&amp;ROWS(Liste6)))),ROWS($9:46))),"")</f>
        <v/>
      </c>
      <c r="AH47" s="175">
        <f t="shared" ca="1" si="136"/>
        <v>0</v>
      </c>
      <c r="AI47" s="175" t="str">
        <f ca="1">IF(AH47&lt;&gt;0,$B184,"")</f>
        <v/>
      </c>
      <c r="AJ47" s="169" t="str">
        <f t="shared" ca="1" si="99"/>
        <v/>
      </c>
      <c r="AK47" s="169" t="str">
        <f t="array" aca="1" ref="AK47" ca="1">IF(ROWS($9:46)&lt;=COUNTIF(Condition7,"o"),INDEX(Liste7,SMALL(IF(Condition7="o",ROW(INDIRECT("1:"&amp;ROWS(Liste7)))),ROWS($9:46))),"")</f>
        <v/>
      </c>
      <c r="AL47" s="175">
        <f t="shared" ca="1" si="137"/>
        <v>0</v>
      </c>
      <c r="AM47" s="175" t="str">
        <f ca="1">IF(AL47&lt;&gt;0,$B184,"")</f>
        <v/>
      </c>
      <c r="AN47" s="169" t="str">
        <f t="shared" ca="1" si="100"/>
        <v/>
      </c>
      <c r="AO47" s="169" t="str">
        <f t="array" aca="1" ref="AO47" ca="1">IF(ROWS($9:46)&lt;=COUNTIF(Condition8,"o"),INDEX(Liste8,SMALL(IF(Condition8="o",ROW(INDIRECT("1:"&amp;ROWS(Liste8)))),ROWS($9:46))),"")</f>
        <v/>
      </c>
      <c r="AP47" s="175">
        <f t="shared" ca="1" si="138"/>
        <v>0</v>
      </c>
      <c r="AQ47" s="175" t="str">
        <f ca="1">IF(AP47&lt;&gt;0,$B184,"")</f>
        <v/>
      </c>
      <c r="AR47" s="169" t="str">
        <f t="shared" ca="1" si="101"/>
        <v/>
      </c>
      <c r="AS47" s="169" t="str">
        <f t="array" aca="1" ref="AS47" ca="1">IF(ROWS($9:46)&lt;=COUNTIF(Condition9,"o"),INDEX(Liste9,SMALL(IF(Condition9="o",ROW(INDIRECT("1:"&amp;ROWS(Liste9)))),ROWS($9:46))),"")</f>
        <v/>
      </c>
      <c r="AT47" s="175">
        <f t="shared" ca="1" si="139"/>
        <v>0</v>
      </c>
      <c r="AU47" s="175" t="str">
        <f ca="1">IF(AT47&lt;&gt;0,$B184,"")</f>
        <v/>
      </c>
      <c r="AV47" s="169" t="str">
        <f t="shared" ca="1" si="102"/>
        <v/>
      </c>
      <c r="AW47" s="169" t="str">
        <f t="array" aca="1" ref="AW47" ca="1">IF(ROWS($9:46)&lt;=COUNTIF(Condition10,"o"),INDEX(Liste10,SMALL(IF(Condition10="o",ROW(INDIRECT("1:"&amp;ROWS(Liste10)))),ROWS($9:46))),"")</f>
        <v/>
      </c>
      <c r="AX47" s="175">
        <f t="shared" ca="1" si="140"/>
        <v>0</v>
      </c>
      <c r="AY47" s="175" t="str">
        <f ca="1">IF(AX47&lt;&gt;0,$B184,"")</f>
        <v/>
      </c>
      <c r="AZ47" s="169" t="str">
        <f t="shared" ca="1" si="103"/>
        <v/>
      </c>
      <c r="BA47" s="169" t="str">
        <f t="array" aca="1" ref="BA47" ca="1">IF(ROWS($9:46)&lt;=COUNTIF(Condition11,"o"),INDEX(Liste11,SMALL(IF(Condition11="o",ROW(INDIRECT("1:"&amp;ROWS(Liste11)))),ROWS($9:46))),"")</f>
        <v/>
      </c>
      <c r="BB47" s="175">
        <f t="shared" ca="1" si="141"/>
        <v>0</v>
      </c>
      <c r="BC47" s="175" t="str">
        <f ca="1">IF(BB47&lt;&gt;0,$B184,"")</f>
        <v/>
      </c>
      <c r="BD47" s="169" t="str">
        <f t="shared" ca="1" si="104"/>
        <v/>
      </c>
      <c r="BE47" s="169" t="str">
        <f t="array" aca="1" ref="BE47" ca="1">IF(ROWS($9:46)&lt;=COUNTIF(Condition12,"o"),INDEX(Liste12,SMALL(IF(Condition12="o",ROW(INDIRECT("1:"&amp;ROWS(Liste12)))),ROWS($9:46))),"")</f>
        <v/>
      </c>
      <c r="BF47" s="175">
        <f t="shared" ca="1" si="142"/>
        <v>0</v>
      </c>
      <c r="BG47" s="175" t="str">
        <f ca="1">IF(BF47&lt;&gt;0,$B184,"")</f>
        <v/>
      </c>
      <c r="BH47" s="169" t="str">
        <f t="shared" ca="1" si="105"/>
        <v/>
      </c>
      <c r="BI47" s="169" t="str">
        <f t="array" aca="1" ref="BI47" ca="1">IF(ROWS($9:46)&lt;=COUNTIF(Condition13,"o"),INDEX(Liste13,SMALL(IF(Condition13="o",ROW(INDIRECT("1:"&amp;ROWS(Liste13)))),ROWS($9:46))),"")</f>
        <v/>
      </c>
      <c r="BJ47" s="175">
        <f t="shared" ca="1" si="143"/>
        <v>0</v>
      </c>
      <c r="BK47" s="175" t="str">
        <f ca="1">IF(BJ47&lt;&gt;0,$B184,"")</f>
        <v/>
      </c>
      <c r="BL47" s="169" t="str">
        <f t="shared" ca="1" si="106"/>
        <v/>
      </c>
      <c r="BM47" s="169" t="str">
        <f t="array" aca="1" ref="BM47" ca="1">IF(ROWS($9:46)&lt;=COUNTIF(Condition14,"o"),INDEX(Liste14,SMALL(IF(Condition14="o",ROW(INDIRECT("1:"&amp;ROWS(Liste14)))),ROWS($9:46))),"")</f>
        <v/>
      </c>
      <c r="BN47" s="175">
        <f t="shared" ca="1" si="144"/>
        <v>0</v>
      </c>
      <c r="BO47" s="175" t="str">
        <f ca="1">IF(BN47&lt;&gt;0,$B184,"")</f>
        <v/>
      </c>
      <c r="BP47" s="169" t="str">
        <f t="shared" ca="1" si="107"/>
        <v/>
      </c>
      <c r="BQ47" s="169" t="str">
        <f t="array" aca="1" ref="BQ47" ca="1">IF(ROWS($9:46)&lt;=COUNTIF(Condition15,"o"),INDEX(Liste15,SMALL(IF(Condition15="o",ROW(INDIRECT("1:"&amp;ROWS(Liste15)))),ROWS($9:46))),"")</f>
        <v/>
      </c>
      <c r="BR47" s="175">
        <f t="shared" ca="1" si="145"/>
        <v>0</v>
      </c>
      <c r="BS47" s="175" t="str">
        <f ca="1">IF(BR47&lt;&gt;0,$B184,"")</f>
        <v/>
      </c>
      <c r="BT47" s="169" t="str">
        <f t="shared" ca="1" si="108"/>
        <v/>
      </c>
      <c r="BU47" s="169" t="str">
        <f t="array" aca="1" ref="BU47" ca="1">IF(ROWS($9:46)&lt;=COUNTIF(Condition16,"o"),INDEX(Liste16,SMALL(IF(Condition16="o",ROW(INDIRECT("1:"&amp;ROWS(Liste16)))),ROWS($9:46))),"")</f>
        <v/>
      </c>
      <c r="BV47" s="175">
        <f t="shared" ca="1" si="146"/>
        <v>0</v>
      </c>
      <c r="BW47" s="175" t="str">
        <f ca="1">IF(BV47&lt;&gt;0,$B184,"")</f>
        <v/>
      </c>
      <c r="BX47" s="169" t="str">
        <f t="shared" ca="1" si="109"/>
        <v/>
      </c>
      <c r="BY47" s="169" t="str">
        <f t="array" aca="1" ref="BY47" ca="1">IF(ROWS($9:46)&lt;=COUNTIF(Condition17,"o"),INDEX(Liste17,SMALL(IF(Condition17="o",ROW(INDIRECT("1:"&amp;ROWS(Liste17)))),ROWS($9:46))),"")</f>
        <v/>
      </c>
      <c r="BZ47" s="175">
        <f t="shared" ca="1" si="147"/>
        <v>0</v>
      </c>
      <c r="CA47" s="175" t="str">
        <f ca="1">IF(BZ47&lt;&gt;0,$B184,"")</f>
        <v/>
      </c>
      <c r="CB47" s="169" t="str">
        <f t="shared" ca="1" si="110"/>
        <v/>
      </c>
      <c r="CC47" s="169" t="str">
        <f t="array" aca="1" ref="CC47" ca="1">IF(ROWS($9:46)&lt;=COUNTIF(Condition18,"o"),INDEX(Liste18,SMALL(IF(Condition18="o",ROW(INDIRECT("1:"&amp;ROWS(Liste18)))),ROWS($9:46))),"")</f>
        <v/>
      </c>
      <c r="CD47" s="175">
        <f t="shared" ca="1" si="148"/>
        <v>0</v>
      </c>
      <c r="CE47" s="175" t="str">
        <f ca="1">IF(CD47&lt;&gt;0,$B184,"")</f>
        <v/>
      </c>
      <c r="CF47" s="169" t="str">
        <f t="shared" ca="1" si="111"/>
        <v/>
      </c>
      <c r="CG47" s="169" t="str">
        <f t="array" aca="1" ref="CG47" ca="1">IF(ROWS($9:46)&lt;=COUNTIF(Condition19,"o"),INDEX(Liste19,SMALL(IF(Condition19="o",ROW(INDIRECT("1:"&amp;ROWS(Liste19)))),ROWS($9:46))),"")</f>
        <v/>
      </c>
      <c r="CH47" s="175">
        <f t="shared" ca="1" si="149"/>
        <v>0</v>
      </c>
      <c r="CI47" s="175" t="str">
        <f ca="1">IF(CH47&lt;&gt;0,$B184,"")</f>
        <v/>
      </c>
      <c r="CJ47" s="169" t="str">
        <f t="shared" ca="1" si="112"/>
        <v/>
      </c>
      <c r="CK47" s="169" t="str">
        <f t="array" aca="1" ref="CK47" ca="1">IF(ROWS($9:46)&lt;=COUNTIF(Condition20,"o"),INDEX(Liste20,SMALL(IF(Condition20="o",ROW(INDIRECT("1:"&amp;ROWS(Liste20)))),ROWS($9:46))),"")</f>
        <v/>
      </c>
      <c r="CL47" s="175">
        <f t="shared" ca="1" si="150"/>
        <v>0</v>
      </c>
      <c r="CM47" s="175" t="str">
        <f ca="1">IF(CL47&lt;&gt;0,$B184,"")</f>
        <v/>
      </c>
      <c r="CN47" s="169" t="str">
        <f t="shared" ca="1" si="113"/>
        <v/>
      </c>
      <c r="CO47" s="169" t="str">
        <f t="array" aca="1" ref="CO47" ca="1">IF(ROWS($9:46)&lt;=COUNTIF(Condition21,"o"),INDEX(Liste21,SMALL(IF(Condition21="o",ROW(INDIRECT("1:"&amp;ROWS(Liste21)))),ROWS($9:46))),"")</f>
        <v/>
      </c>
      <c r="CP47" s="175">
        <f t="shared" ca="1" si="151"/>
        <v>0</v>
      </c>
      <c r="CQ47" s="175" t="str">
        <f ca="1">IF(CP47&lt;&gt;0,$B184,"")</f>
        <v/>
      </c>
      <c r="CR47" s="169" t="str">
        <f t="shared" ca="1" si="114"/>
        <v/>
      </c>
      <c r="CS47" s="169" t="str">
        <f t="array" aca="1" ref="CS47" ca="1">IF(ROWS($9:46)&lt;=COUNTIF(Condition22,"o"),INDEX(Liste22,SMALL(IF(Condition22="o",ROW(INDIRECT("1:"&amp;ROWS(Liste22)))),ROWS($9:46))),"")</f>
        <v/>
      </c>
      <c r="CT47" s="175">
        <f t="shared" ca="1" si="152"/>
        <v>0</v>
      </c>
      <c r="CU47" s="175" t="str">
        <f ca="1">IF(CT47&lt;&gt;0,$B184,"")</f>
        <v/>
      </c>
      <c r="CV47" s="169" t="str">
        <f t="shared" ca="1" si="115"/>
        <v/>
      </c>
      <c r="CW47" s="169" t="str">
        <f t="array" aca="1" ref="CW47" ca="1">IF(ROWS($9:46)&lt;=COUNTIF(Condition23,"o"),INDEX(Liste23,SMALL(IF(Condition23="o",ROW(INDIRECT("1:"&amp;ROWS(Liste23)))),ROWS($9:46))),"")</f>
        <v/>
      </c>
      <c r="CX47" s="175">
        <f t="shared" ca="1" si="153"/>
        <v>0</v>
      </c>
      <c r="CY47" s="175" t="str">
        <f ca="1">IF(CX47&lt;&gt;0,$B184,"")</f>
        <v/>
      </c>
      <c r="CZ47" s="169" t="str">
        <f t="shared" ca="1" si="116"/>
        <v/>
      </c>
      <c r="DA47" s="169" t="str">
        <f t="array" aca="1" ref="DA47" ca="1">IF(ROWS($9:46)&lt;=COUNTIF(Condition24,"o"),INDEX(Liste24,SMALL(IF(Condition24="o",ROW(INDIRECT("1:"&amp;ROWS(Liste24)))),ROWS($9:46))),"")</f>
        <v/>
      </c>
      <c r="DB47" s="175">
        <f t="shared" ca="1" si="154"/>
        <v>0</v>
      </c>
      <c r="DC47" s="175" t="str">
        <f ca="1">IF(DB47&lt;&gt;0,$B184,"")</f>
        <v/>
      </c>
      <c r="DD47" s="169" t="str">
        <f t="shared" ca="1" si="117"/>
        <v/>
      </c>
      <c r="DE47" s="169" t="str">
        <f t="array" aca="1" ref="DE47" ca="1">IF(ROWS($9:46)&lt;=COUNTIF(Condition25,"o"),INDEX(Liste25,SMALL(IF(Condition25="o",ROW(INDIRECT("1:"&amp;ROWS(Liste25)))),ROWS($9:46))),"")</f>
        <v/>
      </c>
      <c r="DF47" s="175">
        <f t="shared" ca="1" si="155"/>
        <v>0</v>
      </c>
      <c r="DG47" s="175" t="str">
        <f ca="1">IF(DF47&lt;&gt;0,$B184,"")</f>
        <v/>
      </c>
      <c r="DH47" s="169" t="str">
        <f t="shared" ca="1" si="118"/>
        <v/>
      </c>
      <c r="DI47" s="169" t="str">
        <f t="array" aca="1" ref="DI47" ca="1">IF(ROWS($9:46)&lt;=COUNTIF(Condition26,"o"),INDEX(Liste26,SMALL(IF(Condition26="o",ROW(INDIRECT("1:"&amp;ROWS(Liste26)))),ROWS($9:46))),"")</f>
        <v/>
      </c>
      <c r="DJ47" s="175">
        <f t="shared" ca="1" si="156"/>
        <v>0</v>
      </c>
      <c r="DK47" s="175" t="str">
        <f ca="1">IF(DJ47&lt;&gt;0,$B184,"")</f>
        <v/>
      </c>
      <c r="DL47" s="169" t="str">
        <f t="shared" ca="1" si="119"/>
        <v/>
      </c>
      <c r="DM47" s="169" t="str">
        <f t="array" aca="1" ref="DM47" ca="1">IF(ROWS($9:46)&lt;=COUNTIF(Condition27,"o"),INDEX(Liste27,SMALL(IF(Condition27="o",ROW(INDIRECT("1:"&amp;ROWS(Liste27)))),ROWS($9:46))),"")</f>
        <v/>
      </c>
      <c r="DN47" s="175">
        <f t="shared" ca="1" si="157"/>
        <v>0</v>
      </c>
      <c r="DO47" s="175" t="str">
        <f ca="1">IF(DN47&lt;&gt;0,$B184,"")</f>
        <v/>
      </c>
      <c r="DP47" s="169" t="str">
        <f t="shared" ca="1" si="120"/>
        <v/>
      </c>
      <c r="DQ47" s="169" t="str">
        <f t="array" aca="1" ref="DQ47" ca="1">IF(ROWS($9:46)&lt;=COUNTIF(Condition28,"o"),INDEX(Liste28,SMALL(IF(Condition28="o",ROW(INDIRECT("1:"&amp;ROWS(Liste28)))),ROWS($9:46))),"")</f>
        <v/>
      </c>
      <c r="DR47" s="175">
        <f t="shared" ca="1" si="158"/>
        <v>0</v>
      </c>
      <c r="DS47" s="175" t="str">
        <f ca="1">IF(DR47&lt;&gt;0,$B184,"")</f>
        <v/>
      </c>
      <c r="DT47" s="169" t="str">
        <f t="shared" ca="1" si="121"/>
        <v/>
      </c>
      <c r="DU47" s="169" t="str">
        <f t="array" aca="1" ref="DU47" ca="1">IF(ROWS($9:46)&lt;=COUNTIF(Condition29,"o"),INDEX(Liste29,SMALL(IF(Condition29="o",ROW(INDIRECT("1:"&amp;ROWS(Liste29)))),ROWS($9:46))),"")</f>
        <v/>
      </c>
      <c r="DV47" s="175">
        <f t="shared" ca="1" si="159"/>
        <v>0</v>
      </c>
      <c r="DW47" s="175" t="str">
        <f ca="1">IF(DV47&lt;&gt;0,$B184,"")</f>
        <v/>
      </c>
      <c r="DX47" s="169" t="str">
        <f t="shared" ca="1" si="122"/>
        <v/>
      </c>
      <c r="DY47" s="169" t="str">
        <f t="array" aca="1" ref="DY47" ca="1">IF(ROWS($9:46)&lt;=COUNTIF(Condition30,"o"),INDEX(Liste30,SMALL(IF(Condition30="o",ROW(INDIRECT("1:"&amp;ROWS(Liste30)))),ROWS($9:46))),"")</f>
        <v/>
      </c>
      <c r="DZ47" s="175">
        <f t="shared" ca="1" si="160"/>
        <v>0</v>
      </c>
      <c r="EA47" s="175" t="str">
        <f ca="1">IF(DZ47&lt;&gt;0,$B184,"")</f>
        <v/>
      </c>
      <c r="EB47" s="169" t="str">
        <f t="shared" ca="1" si="123"/>
        <v/>
      </c>
      <c r="EC47" s="169" t="str">
        <f t="array" aca="1" ref="EC47" ca="1">IF(ROWS($9:46)&lt;=COUNTIF(Condition31,"o"),INDEX(Liste31,SMALL(IF(Condition31="o",ROW(INDIRECT("1:"&amp;ROWS(Liste31)))),ROWS($9:46))),"")</f>
        <v/>
      </c>
      <c r="ED47" s="175">
        <f t="shared" ca="1" si="161"/>
        <v>0</v>
      </c>
      <c r="EE47" s="175" t="str">
        <f ca="1">IF(ED47&lt;&gt;0,$B184,"")</f>
        <v/>
      </c>
      <c r="EF47" s="169" t="str">
        <f t="shared" ca="1" si="124"/>
        <v/>
      </c>
      <c r="EG47" s="169" t="str">
        <f t="array" aca="1" ref="EG47" ca="1">IF(ROWS($9:46)&lt;=COUNTIF(Condition32,"o"),INDEX(Liste32,SMALL(IF(Condition32="o",ROW(INDIRECT("1:"&amp;ROWS(Liste32)))),ROWS($9:46))),"")</f>
        <v/>
      </c>
      <c r="EH47" s="175">
        <f t="shared" ca="1" si="162"/>
        <v>0</v>
      </c>
      <c r="EI47" s="175" t="str">
        <f ca="1">IF(EH47&lt;&gt;0,$B184,"")</f>
        <v/>
      </c>
      <c r="EJ47" s="169" t="str">
        <f t="shared" ca="1" si="125"/>
        <v/>
      </c>
      <c r="EK47" s="169" t="str">
        <f t="array" aca="1" ref="EK47" ca="1">IF(ROWS($9:46)&lt;=COUNTIF(Condition33,"o"),INDEX(Liste33,SMALL(IF(Condition33="o",ROW(INDIRECT("1:"&amp;ROWS(Liste33)))),ROWS($9:46))),"")</f>
        <v/>
      </c>
      <c r="EL47" s="175">
        <f t="shared" ca="1" si="163"/>
        <v>0</v>
      </c>
      <c r="EM47" s="175" t="str">
        <f ca="1">IF(EL47&lt;&gt;0,$B184,"")</f>
        <v/>
      </c>
      <c r="EN47" s="169" t="str">
        <f t="shared" ca="1" si="126"/>
        <v/>
      </c>
      <c r="EO47" s="169" t="str">
        <f t="array" aca="1" ref="EO47" ca="1">IF(ROWS($9:46)&lt;=COUNTIF(Condition34,"o"),INDEX(Liste34,SMALL(IF(Condition34="o",ROW(INDIRECT("1:"&amp;ROWS(Liste34)))),ROWS($9:46))),"")</f>
        <v/>
      </c>
      <c r="EP47" s="175">
        <f t="shared" ca="1" si="164"/>
        <v>0</v>
      </c>
      <c r="EQ47" s="175" t="str">
        <f ca="1">IF(EP47&lt;&gt;0,$B184,"")</f>
        <v/>
      </c>
      <c r="ER47" s="169" t="str">
        <f t="shared" ca="1" si="127"/>
        <v/>
      </c>
      <c r="ES47" s="169" t="str">
        <f t="array" aca="1" ref="ES47" ca="1">IF(ROWS($9:46)&lt;=COUNTIF(Condition35,"o"),INDEX(Liste35,SMALL(IF(Condition35="o",ROW(INDIRECT("1:"&amp;ROWS(Liste35)))),ROWS($9:46))),"")</f>
        <v/>
      </c>
      <c r="ET47" s="175">
        <f t="shared" ca="1" si="165"/>
        <v>0</v>
      </c>
      <c r="EU47" s="175" t="str">
        <f ca="1">IF(ET47&lt;&gt;0,$B184,"")</f>
        <v/>
      </c>
      <c r="EV47" s="169" t="str">
        <f t="shared" ca="1" si="128"/>
        <v/>
      </c>
      <c r="EW47" s="169" t="str">
        <f t="array" aca="1" ref="EW47" ca="1">IF(ROWS($9:46)&lt;=COUNTIF(Condition36,"o"),INDEX(Liste36,SMALL(IF(Condition36="o",ROW(INDIRECT("1:"&amp;ROWS(Liste36)))),ROWS($9:46))),"")</f>
        <v/>
      </c>
      <c r="EX47" s="175">
        <f t="shared" ca="1" si="166"/>
        <v>0</v>
      </c>
      <c r="EY47" s="175" t="str">
        <f t="shared" ca="1" si="75"/>
        <v/>
      </c>
      <c r="EZ47" s="169" t="str">
        <f t="shared" ca="1" si="85"/>
        <v/>
      </c>
      <c r="FA47" s="169" t="str">
        <f t="array" aca="1" ref="FA47" ca="1">IF(ROWS($9:46)&lt;=COUNTIF(Condition36,"o"),INDEX(Liste36,SMALL(IF(Condition36="o",ROW(INDIRECT("1:"&amp;ROWS(Liste36)))),ROWS($9:46))),"")</f>
        <v/>
      </c>
      <c r="FB47" s="175">
        <f t="shared" ca="1" si="167"/>
        <v>0</v>
      </c>
      <c r="FC47" s="175" t="str">
        <f t="shared" ca="1" si="77"/>
        <v/>
      </c>
      <c r="FD47" s="169" t="str">
        <f t="shared" ca="1" si="86"/>
        <v/>
      </c>
      <c r="FE47" s="175">
        <f t="shared" si="168"/>
        <v>0</v>
      </c>
      <c r="FF47" s="175">
        <f t="shared" ca="1" si="168"/>
        <v>0</v>
      </c>
      <c r="FG47" s="175" t="str">
        <f ca="1">IF(FF47&lt;&gt;0,$B185,"")</f>
        <v/>
      </c>
      <c r="FH47" s="169" t="str">
        <f t="shared" ca="1" si="87"/>
        <v/>
      </c>
      <c r="FI47" s="169" t="str">
        <f t="array" aca="1" ref="FI47" ca="1">IF(ROWS($9:46)&lt;=COUNTIF(Condition39,"o"),INDEX(Liste39,SMALL(IF(Condition39="o",ROW(INDIRECT("1:"&amp;ROWS(Liste39)))),ROWS($9:46))),"")</f>
        <v/>
      </c>
      <c r="FM47" s="1" t="s">
        <v>1230</v>
      </c>
      <c r="FN47" s="1" t="s">
        <v>1231</v>
      </c>
      <c r="FO47" s="180">
        <f>'Suivi objectifs'!D42</f>
        <v>0</v>
      </c>
      <c r="FP47" s="1366">
        <f>'Suivi objectifs'!C44</f>
        <v>0</v>
      </c>
      <c r="FQ47" s="181" t="str">
        <f ca="1">IF(ISNA(VLOOKUP(FR47,Actions!$G$2:$AP$70,31,0)),"",VLOOKUP(FR47,Actions!$G$2:$AP$70,36,0))</f>
        <v/>
      </c>
      <c r="FR47" s="185" t="str">
        <f ca="1">INDIRECT($FN47&amp;FQ$1)</f>
        <v/>
      </c>
      <c r="FS47" s="286">
        <f t="shared" ca="1" si="80"/>
        <v>0</v>
      </c>
      <c r="FT47" s="181" t="str">
        <f ca="1">IF(ISNA(VLOOKUP(FU47,Actions!$G$2:$AP$70,31,0)),"",VLOOKUP(FU47,Actions!$G$2:$AP$70,36,0))</f>
        <v/>
      </c>
      <c r="FU47" s="185" t="str">
        <f ca="1">INDIRECT($FN47&amp;FT$1)</f>
        <v/>
      </c>
      <c r="FV47" s="286">
        <f t="shared" ca="1" si="81"/>
        <v>0</v>
      </c>
      <c r="FW47" s="181" t="str">
        <f ca="1">IF(ISNA(VLOOKUP(FX47,Actions!$G$2:$AP$70,31,0)),"",VLOOKUP(FX47,Actions!$G$2:$AP$70,36,0))</f>
        <v/>
      </c>
      <c r="FX47" s="185" t="str">
        <f ca="1">INDIRECT($FN47&amp;FW$1)</f>
        <v/>
      </c>
      <c r="FY47" s="286">
        <f t="shared" ca="1" si="82"/>
        <v>0</v>
      </c>
      <c r="FZ47" s="181" t="str">
        <f ca="1">IF(ISNA(VLOOKUP(GA47,Actions!$G$2:$AP$70,31,0)),"",VLOOKUP(GA47,Actions!$G$2:$AP$70,36,0))</f>
        <v/>
      </c>
      <c r="GA47" s="185" t="str">
        <f ca="1">INDIRECT($FN47&amp;FZ$1)</f>
        <v/>
      </c>
      <c r="GB47" s="286">
        <f t="shared" ca="1" si="83"/>
        <v>0</v>
      </c>
      <c r="GC47" s="181" t="str">
        <f ca="1">IF(ISNA(VLOOKUP(GD47,Actions!$G$2:$AP$70,31,0)),"",VLOOKUP(GD47,Actions!$G$2:$AP$70,36,0))</f>
        <v/>
      </c>
      <c r="GD47" s="185" t="str">
        <f ca="1">INDIRECT($FN47&amp;GC$1)</f>
        <v/>
      </c>
      <c r="GE47" s="286">
        <f t="shared" ca="1" si="84"/>
        <v>0</v>
      </c>
      <c r="GF47" s="186">
        <f ca="1">SUM(FS47,FV47,FY47,GB47,GE47,)</f>
        <v>0</v>
      </c>
      <c r="GG47" s="233"/>
    </row>
    <row r="48" spans="1:189" hidden="1">
      <c r="A48" s="1" t="s">
        <v>1232</v>
      </c>
      <c r="B48" s="1">
        <f>Actions!F40</f>
        <v>39</v>
      </c>
      <c r="C48" s="1">
        <f ca="1">Actions!G40</f>
        <v>0</v>
      </c>
      <c r="D48" s="1">
        <f ca="1">Actions!H40</f>
        <v>0</v>
      </c>
      <c r="E48" s="1" t="str">
        <f ca="1">Actions!I40</f>
        <v>-</v>
      </c>
      <c r="F48" s="1" t="str">
        <f t="shared" ca="1" si="0"/>
        <v>-</v>
      </c>
      <c r="G48" s="1" t="e">
        <f t="shared" ca="1" si="1"/>
        <v>#REF!</v>
      </c>
      <c r="I48" s="1">
        <v>39</v>
      </c>
      <c r="J48" s="175">
        <f t="shared" ca="1" si="130"/>
        <v>0</v>
      </c>
      <c r="K48" s="175" t="str">
        <f ca="1">IF(J48&lt;&gt;0,$B185,"")</f>
        <v/>
      </c>
      <c r="L48" s="169" t="str">
        <f t="shared" ca="1" si="93"/>
        <v/>
      </c>
      <c r="M48" s="169" t="str">
        <f t="array" aca="1" ref="M48" ca="1">IF(ROWS($9:47)&lt;=COUNTIF(Condition1,"o"),INDEX(Liste1,SMALL(IF(Condition1="o",ROW(INDIRECT("1:"&amp;ROWS(Liste1)))),ROWS($9:47))),"")</f>
        <v/>
      </c>
      <c r="N48" s="175">
        <f t="shared" ca="1" si="131"/>
        <v>0</v>
      </c>
      <c r="O48" s="175" t="str">
        <f ca="1">IF(N48&lt;&gt;0,$B185,"")</f>
        <v/>
      </c>
      <c r="P48" s="169" t="str">
        <f t="shared" ca="1" si="94"/>
        <v/>
      </c>
      <c r="Q48" s="169" t="str">
        <f t="array" aca="1" ref="Q48" ca="1">IF(ROWS($9:47)&lt;=COUNTIF(Condition2,"o"),INDEX(Liste2,SMALL(IF(Condition2="o",ROW(INDIRECT("1:"&amp;ROWS(Liste2)))),ROWS($9:47))),"")</f>
        <v/>
      </c>
      <c r="R48" s="175">
        <f t="shared" ca="1" si="132"/>
        <v>0</v>
      </c>
      <c r="S48" s="175" t="str">
        <f ca="1">IF(R48&lt;&gt;0,$B185,"")</f>
        <v/>
      </c>
      <c r="T48" s="169" t="str">
        <f t="shared" ca="1" si="95"/>
        <v/>
      </c>
      <c r="U48" s="169" t="str">
        <f t="array" aca="1" ref="U48" ca="1">IF(ROWS($9:47)&lt;=COUNTIF(Condition3,"o"),INDEX(Liste3,SMALL(IF(Condition3="o",ROW(INDIRECT("1:"&amp;ROWS(Liste3)))),ROWS($9:47))),"")</f>
        <v/>
      </c>
      <c r="V48" s="175">
        <f t="shared" ca="1" si="133"/>
        <v>0</v>
      </c>
      <c r="W48" s="175" t="str">
        <f ca="1">IF(V48&lt;&gt;0,$B185,"")</f>
        <v/>
      </c>
      <c r="X48" s="169" t="str">
        <f t="shared" ca="1" si="96"/>
        <v/>
      </c>
      <c r="Y48" s="169" t="str">
        <f t="array" aca="1" ref="Y48" ca="1">IF(ROWS($9:47)&lt;=COUNTIF(Condition4,"o"),INDEX(Liste4,SMALL(IF(Condition4="o",ROW(INDIRECT("1:"&amp;ROWS(Liste4)))),ROWS($9:47))),"")</f>
        <v/>
      </c>
      <c r="Z48" s="175">
        <f t="shared" ca="1" si="134"/>
        <v>0</v>
      </c>
      <c r="AA48" s="175" t="str">
        <f ca="1">IF(Z48&lt;&gt;0,$B185,"")</f>
        <v/>
      </c>
      <c r="AB48" s="169" t="str">
        <f t="shared" ca="1" si="97"/>
        <v/>
      </c>
      <c r="AC48" s="169" t="str">
        <f t="array" aca="1" ref="AC48" ca="1">IF(ROWS($9:47)&lt;=COUNTIF(Condition5,"o"),INDEX(Liste5,SMALL(IF(Condition5="o",ROW(INDIRECT("1:"&amp;ROWS(Liste5)))),ROWS($9:47))),"")</f>
        <v/>
      </c>
      <c r="AD48" s="175">
        <f t="shared" ca="1" si="135"/>
        <v>0</v>
      </c>
      <c r="AE48" s="175" t="str">
        <f ca="1">IF(AD48&lt;&gt;0,$B185,"")</f>
        <v/>
      </c>
      <c r="AF48" s="169" t="str">
        <f t="shared" ca="1" si="98"/>
        <v/>
      </c>
      <c r="AG48" s="169" t="str">
        <f t="array" aca="1" ref="AG48" ca="1">IF(ROWS($9:47)&lt;=COUNTIF(Condition6,"o"),INDEX(Liste6,SMALL(IF(Condition6="o",ROW(INDIRECT("1:"&amp;ROWS(Liste6)))),ROWS($9:47))),"")</f>
        <v/>
      </c>
      <c r="AH48" s="175">
        <f t="shared" ca="1" si="136"/>
        <v>0</v>
      </c>
      <c r="AI48" s="175" t="str">
        <f ca="1">IF(AH48&lt;&gt;0,$B185,"")</f>
        <v/>
      </c>
      <c r="AJ48" s="169" t="str">
        <f t="shared" ca="1" si="99"/>
        <v/>
      </c>
      <c r="AK48" s="169" t="str">
        <f t="array" aca="1" ref="AK48" ca="1">IF(ROWS($9:47)&lt;=COUNTIF(Condition7,"o"),INDEX(Liste7,SMALL(IF(Condition7="o",ROW(INDIRECT("1:"&amp;ROWS(Liste7)))),ROWS($9:47))),"")</f>
        <v/>
      </c>
      <c r="AL48" s="175">
        <f t="shared" ca="1" si="137"/>
        <v>0</v>
      </c>
      <c r="AM48" s="175" t="str">
        <f ca="1">IF(AL48&lt;&gt;0,$B185,"")</f>
        <v/>
      </c>
      <c r="AN48" s="169" t="str">
        <f t="shared" ca="1" si="100"/>
        <v/>
      </c>
      <c r="AO48" s="169" t="str">
        <f t="array" aca="1" ref="AO48" ca="1">IF(ROWS($9:47)&lt;=COUNTIF(Condition8,"o"),INDEX(Liste8,SMALL(IF(Condition8="o",ROW(INDIRECT("1:"&amp;ROWS(Liste8)))),ROWS($9:47))),"")</f>
        <v/>
      </c>
      <c r="AP48" s="175">
        <f t="shared" ca="1" si="138"/>
        <v>0</v>
      </c>
      <c r="AQ48" s="175" t="str">
        <f ca="1">IF(AP48&lt;&gt;0,$B185,"")</f>
        <v/>
      </c>
      <c r="AR48" s="169" t="str">
        <f t="shared" ca="1" si="101"/>
        <v/>
      </c>
      <c r="AS48" s="169" t="str">
        <f t="array" aca="1" ref="AS48" ca="1">IF(ROWS($9:47)&lt;=COUNTIF(Condition9,"o"),INDEX(Liste9,SMALL(IF(Condition9="o",ROW(INDIRECT("1:"&amp;ROWS(Liste9)))),ROWS($9:47))),"")</f>
        <v/>
      </c>
      <c r="AT48" s="175">
        <f t="shared" ca="1" si="139"/>
        <v>0</v>
      </c>
      <c r="AU48" s="175" t="str">
        <f ca="1">IF(AT48&lt;&gt;0,$B185,"")</f>
        <v/>
      </c>
      <c r="AV48" s="169" t="str">
        <f t="shared" ca="1" si="102"/>
        <v/>
      </c>
      <c r="AW48" s="169" t="str">
        <f t="array" aca="1" ref="AW48" ca="1">IF(ROWS($9:47)&lt;=COUNTIF(Condition10,"o"),INDEX(Liste10,SMALL(IF(Condition10="o",ROW(INDIRECT("1:"&amp;ROWS(Liste10)))),ROWS($9:47))),"")</f>
        <v/>
      </c>
      <c r="AX48" s="175">
        <f t="shared" ca="1" si="140"/>
        <v>0</v>
      </c>
      <c r="AY48" s="175" t="str">
        <f ca="1">IF(AX48&lt;&gt;0,$B185,"")</f>
        <v/>
      </c>
      <c r="AZ48" s="169" t="str">
        <f t="shared" ca="1" si="103"/>
        <v/>
      </c>
      <c r="BA48" s="169" t="str">
        <f t="array" aca="1" ref="BA48" ca="1">IF(ROWS($9:47)&lt;=COUNTIF(Condition11,"o"),INDEX(Liste11,SMALL(IF(Condition11="o",ROW(INDIRECT("1:"&amp;ROWS(Liste11)))),ROWS($9:47))),"")</f>
        <v/>
      </c>
      <c r="BB48" s="175">
        <f t="shared" ca="1" si="141"/>
        <v>0</v>
      </c>
      <c r="BC48" s="175" t="str">
        <f ca="1">IF(BB48&lt;&gt;0,$B185,"")</f>
        <v/>
      </c>
      <c r="BD48" s="169" t="str">
        <f t="shared" ca="1" si="104"/>
        <v/>
      </c>
      <c r="BE48" s="169" t="str">
        <f t="array" aca="1" ref="BE48" ca="1">IF(ROWS($9:47)&lt;=COUNTIF(Condition12,"o"),INDEX(Liste12,SMALL(IF(Condition12="o",ROW(INDIRECT("1:"&amp;ROWS(Liste12)))),ROWS($9:47))),"")</f>
        <v/>
      </c>
      <c r="BF48" s="175">
        <f t="shared" ca="1" si="142"/>
        <v>0</v>
      </c>
      <c r="BG48" s="175" t="str">
        <f ca="1">IF(BF48&lt;&gt;0,$B185,"")</f>
        <v/>
      </c>
      <c r="BH48" s="169" t="str">
        <f t="shared" ca="1" si="105"/>
        <v/>
      </c>
      <c r="BI48" s="169" t="str">
        <f t="array" aca="1" ref="BI48" ca="1">IF(ROWS($9:47)&lt;=COUNTIF(Condition13,"o"),INDEX(Liste13,SMALL(IF(Condition13="o",ROW(INDIRECT("1:"&amp;ROWS(Liste13)))),ROWS($9:47))),"")</f>
        <v/>
      </c>
      <c r="BJ48" s="175">
        <f t="shared" ca="1" si="143"/>
        <v>0</v>
      </c>
      <c r="BK48" s="175" t="str">
        <f ca="1">IF(BJ48&lt;&gt;0,$B185,"")</f>
        <v/>
      </c>
      <c r="BL48" s="169" t="str">
        <f t="shared" ca="1" si="106"/>
        <v/>
      </c>
      <c r="BM48" s="169" t="str">
        <f t="array" aca="1" ref="BM48" ca="1">IF(ROWS($9:47)&lt;=COUNTIF(Condition14,"o"),INDEX(Liste14,SMALL(IF(Condition14="o",ROW(INDIRECT("1:"&amp;ROWS(Liste14)))),ROWS($9:47))),"")</f>
        <v/>
      </c>
      <c r="BN48" s="175">
        <f t="shared" ca="1" si="144"/>
        <v>0</v>
      </c>
      <c r="BO48" s="175" t="str">
        <f ca="1">IF(BN48&lt;&gt;0,$B185,"")</f>
        <v/>
      </c>
      <c r="BP48" s="169" t="str">
        <f t="shared" ca="1" si="107"/>
        <v/>
      </c>
      <c r="BQ48" s="169" t="str">
        <f t="array" aca="1" ref="BQ48" ca="1">IF(ROWS($9:47)&lt;=COUNTIF(Condition15,"o"),INDEX(Liste15,SMALL(IF(Condition15="o",ROW(INDIRECT("1:"&amp;ROWS(Liste15)))),ROWS($9:47))),"")</f>
        <v/>
      </c>
      <c r="BR48" s="175">
        <f t="shared" ca="1" si="145"/>
        <v>0</v>
      </c>
      <c r="BS48" s="175" t="str">
        <f ca="1">IF(BR48&lt;&gt;0,$B185,"")</f>
        <v/>
      </c>
      <c r="BT48" s="169" t="str">
        <f t="shared" ca="1" si="108"/>
        <v/>
      </c>
      <c r="BU48" s="169" t="str">
        <f t="array" aca="1" ref="BU48" ca="1">IF(ROWS($9:47)&lt;=COUNTIF(Condition16,"o"),INDEX(Liste16,SMALL(IF(Condition16="o",ROW(INDIRECT("1:"&amp;ROWS(Liste16)))),ROWS($9:47))),"")</f>
        <v/>
      </c>
      <c r="BV48" s="175">
        <f t="shared" ca="1" si="146"/>
        <v>0</v>
      </c>
      <c r="BW48" s="175" t="str">
        <f ca="1">IF(BV48&lt;&gt;0,$B185,"")</f>
        <v/>
      </c>
      <c r="BX48" s="169" t="str">
        <f t="shared" ca="1" si="109"/>
        <v/>
      </c>
      <c r="BY48" s="169" t="str">
        <f t="array" aca="1" ref="BY48" ca="1">IF(ROWS($9:47)&lt;=COUNTIF(Condition17,"o"),INDEX(Liste17,SMALL(IF(Condition17="o",ROW(INDIRECT("1:"&amp;ROWS(Liste17)))),ROWS($9:47))),"")</f>
        <v/>
      </c>
      <c r="BZ48" s="175">
        <f t="shared" ca="1" si="147"/>
        <v>0</v>
      </c>
      <c r="CA48" s="175" t="str">
        <f ca="1">IF(BZ48&lt;&gt;0,$B185,"")</f>
        <v/>
      </c>
      <c r="CB48" s="169" t="str">
        <f t="shared" ca="1" si="110"/>
        <v/>
      </c>
      <c r="CC48" s="169" t="str">
        <f t="array" aca="1" ref="CC48" ca="1">IF(ROWS($9:47)&lt;=COUNTIF(Condition18,"o"),INDEX(Liste18,SMALL(IF(Condition18="o",ROW(INDIRECT("1:"&amp;ROWS(Liste18)))),ROWS($9:47))),"")</f>
        <v/>
      </c>
      <c r="CD48" s="175">
        <f t="shared" ca="1" si="148"/>
        <v>0</v>
      </c>
      <c r="CE48" s="175" t="str">
        <f ca="1">IF(CD48&lt;&gt;0,$B185,"")</f>
        <v/>
      </c>
      <c r="CF48" s="169" t="str">
        <f t="shared" ca="1" si="111"/>
        <v/>
      </c>
      <c r="CG48" s="169" t="str">
        <f t="array" aca="1" ref="CG48" ca="1">IF(ROWS($9:47)&lt;=COUNTIF(Condition19,"o"),INDEX(Liste19,SMALL(IF(Condition19="o",ROW(INDIRECT("1:"&amp;ROWS(Liste19)))),ROWS($9:47))),"")</f>
        <v/>
      </c>
      <c r="CH48" s="175">
        <f t="shared" ca="1" si="149"/>
        <v>0</v>
      </c>
      <c r="CI48" s="175" t="str">
        <f ca="1">IF(CH48&lt;&gt;0,$B185,"")</f>
        <v/>
      </c>
      <c r="CJ48" s="169" t="str">
        <f t="shared" ca="1" si="112"/>
        <v/>
      </c>
      <c r="CK48" s="169" t="str">
        <f t="array" aca="1" ref="CK48" ca="1">IF(ROWS($9:47)&lt;=COUNTIF(Condition20,"o"),INDEX(Liste20,SMALL(IF(Condition20="o",ROW(INDIRECT("1:"&amp;ROWS(Liste20)))),ROWS($9:47))),"")</f>
        <v/>
      </c>
      <c r="CL48" s="175">
        <f t="shared" ca="1" si="150"/>
        <v>0</v>
      </c>
      <c r="CM48" s="175" t="str">
        <f ca="1">IF(CL48&lt;&gt;0,$B185,"")</f>
        <v/>
      </c>
      <c r="CN48" s="169" t="str">
        <f t="shared" ca="1" si="113"/>
        <v/>
      </c>
      <c r="CO48" s="169" t="str">
        <f t="array" aca="1" ref="CO48" ca="1">IF(ROWS($9:47)&lt;=COUNTIF(Condition21,"o"),INDEX(Liste21,SMALL(IF(Condition21="o",ROW(INDIRECT("1:"&amp;ROWS(Liste21)))),ROWS($9:47))),"")</f>
        <v/>
      </c>
      <c r="CP48" s="175">
        <f t="shared" ca="1" si="151"/>
        <v>0</v>
      </c>
      <c r="CQ48" s="175" t="str">
        <f ca="1">IF(CP48&lt;&gt;0,$B185,"")</f>
        <v/>
      </c>
      <c r="CR48" s="169" t="str">
        <f t="shared" ca="1" si="114"/>
        <v/>
      </c>
      <c r="CS48" s="169" t="str">
        <f t="array" aca="1" ref="CS48" ca="1">IF(ROWS($9:47)&lt;=COUNTIF(Condition22,"o"),INDEX(Liste22,SMALL(IF(Condition22="o",ROW(INDIRECT("1:"&amp;ROWS(Liste22)))),ROWS($9:47))),"")</f>
        <v/>
      </c>
      <c r="CT48" s="175">
        <f t="shared" ca="1" si="152"/>
        <v>0</v>
      </c>
      <c r="CU48" s="175" t="str">
        <f ca="1">IF(CT48&lt;&gt;0,$B185,"")</f>
        <v/>
      </c>
      <c r="CV48" s="169" t="str">
        <f t="shared" ca="1" si="115"/>
        <v/>
      </c>
      <c r="CW48" s="169" t="str">
        <f t="array" aca="1" ref="CW48" ca="1">IF(ROWS($9:47)&lt;=COUNTIF(Condition23,"o"),INDEX(Liste23,SMALL(IF(Condition23="o",ROW(INDIRECT("1:"&amp;ROWS(Liste23)))),ROWS($9:47))),"")</f>
        <v/>
      </c>
      <c r="CX48" s="175">
        <f t="shared" ca="1" si="153"/>
        <v>0</v>
      </c>
      <c r="CY48" s="175" t="str">
        <f ca="1">IF(CX48&lt;&gt;0,$B185,"")</f>
        <v/>
      </c>
      <c r="CZ48" s="169" t="str">
        <f t="shared" ca="1" si="116"/>
        <v/>
      </c>
      <c r="DA48" s="169" t="str">
        <f t="array" aca="1" ref="DA48" ca="1">IF(ROWS($9:47)&lt;=COUNTIF(Condition24,"o"),INDEX(Liste24,SMALL(IF(Condition24="o",ROW(INDIRECT("1:"&amp;ROWS(Liste24)))),ROWS($9:47))),"")</f>
        <v/>
      </c>
      <c r="DB48" s="175">
        <f t="shared" ca="1" si="154"/>
        <v>0</v>
      </c>
      <c r="DC48" s="175" t="str">
        <f ca="1">IF(DB48&lt;&gt;0,$B185,"")</f>
        <v/>
      </c>
      <c r="DD48" s="169" t="str">
        <f t="shared" ca="1" si="117"/>
        <v/>
      </c>
      <c r="DE48" s="169" t="str">
        <f t="array" aca="1" ref="DE48" ca="1">IF(ROWS($9:47)&lt;=COUNTIF(Condition25,"o"),INDEX(Liste25,SMALL(IF(Condition25="o",ROW(INDIRECT("1:"&amp;ROWS(Liste25)))),ROWS($9:47))),"")</f>
        <v/>
      </c>
      <c r="DF48" s="175">
        <f t="shared" ca="1" si="155"/>
        <v>0</v>
      </c>
      <c r="DG48" s="175" t="str">
        <f ca="1">IF(DF48&lt;&gt;0,$B185,"")</f>
        <v/>
      </c>
      <c r="DH48" s="169" t="str">
        <f t="shared" ca="1" si="118"/>
        <v/>
      </c>
      <c r="DI48" s="169" t="str">
        <f t="array" aca="1" ref="DI48" ca="1">IF(ROWS($9:47)&lt;=COUNTIF(Condition26,"o"),INDEX(Liste26,SMALL(IF(Condition26="o",ROW(INDIRECT("1:"&amp;ROWS(Liste26)))),ROWS($9:47))),"")</f>
        <v/>
      </c>
      <c r="DJ48" s="175">
        <f t="shared" ca="1" si="156"/>
        <v>0</v>
      </c>
      <c r="DK48" s="175" t="str">
        <f ca="1">IF(DJ48&lt;&gt;0,$B185,"")</f>
        <v/>
      </c>
      <c r="DL48" s="169" t="str">
        <f t="shared" ca="1" si="119"/>
        <v/>
      </c>
      <c r="DM48" s="169" t="str">
        <f t="array" aca="1" ref="DM48" ca="1">IF(ROWS($9:47)&lt;=COUNTIF(Condition27,"o"),INDEX(Liste27,SMALL(IF(Condition27="o",ROW(INDIRECT("1:"&amp;ROWS(Liste27)))),ROWS($9:47))),"")</f>
        <v/>
      </c>
      <c r="DN48" s="175">
        <f t="shared" ca="1" si="157"/>
        <v>0</v>
      </c>
      <c r="DO48" s="175" t="str">
        <f ca="1">IF(DN48&lt;&gt;0,$B185,"")</f>
        <v/>
      </c>
      <c r="DP48" s="169" t="str">
        <f t="shared" ca="1" si="120"/>
        <v/>
      </c>
      <c r="DQ48" s="169" t="str">
        <f t="array" aca="1" ref="DQ48" ca="1">IF(ROWS($9:47)&lt;=COUNTIF(Condition28,"o"),INDEX(Liste28,SMALL(IF(Condition28="o",ROW(INDIRECT("1:"&amp;ROWS(Liste28)))),ROWS($9:47))),"")</f>
        <v/>
      </c>
      <c r="DR48" s="175">
        <f t="shared" ca="1" si="158"/>
        <v>0</v>
      </c>
      <c r="DS48" s="175" t="str">
        <f ca="1">IF(DR48&lt;&gt;0,$B185,"")</f>
        <v/>
      </c>
      <c r="DT48" s="169" t="str">
        <f t="shared" ca="1" si="121"/>
        <v/>
      </c>
      <c r="DU48" s="169" t="str">
        <f t="array" aca="1" ref="DU48" ca="1">IF(ROWS($9:47)&lt;=COUNTIF(Condition29,"o"),INDEX(Liste29,SMALL(IF(Condition29="o",ROW(INDIRECT("1:"&amp;ROWS(Liste29)))),ROWS($9:47))),"")</f>
        <v/>
      </c>
      <c r="DV48" s="175">
        <f t="shared" ca="1" si="159"/>
        <v>0</v>
      </c>
      <c r="DW48" s="175" t="str">
        <f ca="1">IF(DV48&lt;&gt;0,$B185,"")</f>
        <v/>
      </c>
      <c r="DX48" s="169" t="str">
        <f t="shared" ca="1" si="122"/>
        <v/>
      </c>
      <c r="DY48" s="169" t="str">
        <f t="array" aca="1" ref="DY48" ca="1">IF(ROWS($9:47)&lt;=COUNTIF(Condition30,"o"),INDEX(Liste30,SMALL(IF(Condition30="o",ROW(INDIRECT("1:"&amp;ROWS(Liste30)))),ROWS($9:47))),"")</f>
        <v/>
      </c>
      <c r="DZ48" s="175">
        <f t="shared" ca="1" si="160"/>
        <v>0</v>
      </c>
      <c r="EA48" s="175" t="str">
        <f ca="1">IF(DZ48&lt;&gt;0,$B185,"")</f>
        <v/>
      </c>
      <c r="EB48" s="169" t="str">
        <f t="shared" ca="1" si="123"/>
        <v/>
      </c>
      <c r="EC48" s="169" t="str">
        <f t="array" aca="1" ref="EC48" ca="1">IF(ROWS($9:47)&lt;=COUNTIF(Condition31,"o"),INDEX(Liste31,SMALL(IF(Condition31="o",ROW(INDIRECT("1:"&amp;ROWS(Liste31)))),ROWS($9:47))),"")</f>
        <v/>
      </c>
      <c r="ED48" s="175">
        <f t="shared" ca="1" si="161"/>
        <v>0</v>
      </c>
      <c r="EE48" s="175" t="str">
        <f ca="1">IF(ED48&lt;&gt;0,$B185,"")</f>
        <v/>
      </c>
      <c r="EF48" s="169" t="str">
        <f t="shared" ca="1" si="124"/>
        <v/>
      </c>
      <c r="EG48" s="169" t="str">
        <f t="array" aca="1" ref="EG48" ca="1">IF(ROWS($9:47)&lt;=COUNTIF(Condition32,"o"),INDEX(Liste32,SMALL(IF(Condition32="o",ROW(INDIRECT("1:"&amp;ROWS(Liste32)))),ROWS($9:47))),"")</f>
        <v/>
      </c>
      <c r="EH48" s="175">
        <f t="shared" ca="1" si="162"/>
        <v>0</v>
      </c>
      <c r="EI48" s="175" t="str">
        <f ca="1">IF(EH48&lt;&gt;0,$B185,"")</f>
        <v/>
      </c>
      <c r="EJ48" s="169" t="str">
        <f t="shared" ca="1" si="125"/>
        <v/>
      </c>
      <c r="EK48" s="169" t="str">
        <f t="array" aca="1" ref="EK48" ca="1">IF(ROWS($9:47)&lt;=COUNTIF(Condition33,"o"),INDEX(Liste33,SMALL(IF(Condition33="o",ROW(INDIRECT("1:"&amp;ROWS(Liste33)))),ROWS($9:47))),"")</f>
        <v/>
      </c>
      <c r="EL48" s="175">
        <f t="shared" ca="1" si="163"/>
        <v>0</v>
      </c>
      <c r="EM48" s="175" t="str">
        <f ca="1">IF(EL48&lt;&gt;0,$B185,"")</f>
        <v/>
      </c>
      <c r="EN48" s="169" t="str">
        <f t="shared" ca="1" si="126"/>
        <v/>
      </c>
      <c r="EO48" s="169" t="str">
        <f t="array" aca="1" ref="EO48" ca="1">IF(ROWS($9:47)&lt;=COUNTIF(Condition34,"o"),INDEX(Liste34,SMALL(IF(Condition34="o",ROW(INDIRECT("1:"&amp;ROWS(Liste34)))),ROWS($9:47))),"")</f>
        <v/>
      </c>
      <c r="EP48" s="175">
        <f t="shared" ca="1" si="164"/>
        <v>0</v>
      </c>
      <c r="EQ48" s="175" t="str">
        <f ca="1">IF(EP48&lt;&gt;0,$B185,"")</f>
        <v/>
      </c>
      <c r="ER48" s="169" t="str">
        <f t="shared" ca="1" si="127"/>
        <v/>
      </c>
      <c r="ES48" s="169" t="str">
        <f t="array" aca="1" ref="ES48" ca="1">IF(ROWS($9:47)&lt;=COUNTIF(Condition35,"o"),INDEX(Liste35,SMALL(IF(Condition35="o",ROW(INDIRECT("1:"&amp;ROWS(Liste35)))),ROWS($9:47))),"")</f>
        <v/>
      </c>
      <c r="ET48" s="175">
        <f t="shared" ca="1" si="165"/>
        <v>0</v>
      </c>
      <c r="EU48" s="175" t="str">
        <f ca="1">IF(ET48&lt;&gt;0,$B185,"")</f>
        <v/>
      </c>
      <c r="EV48" s="169" t="str">
        <f t="shared" ca="1" si="128"/>
        <v/>
      </c>
      <c r="EW48" s="169" t="str">
        <f t="array" aca="1" ref="EW48" ca="1">IF(ROWS($9:47)&lt;=COUNTIF(Condition36,"o"),INDEX(Liste36,SMALL(IF(Condition36="o",ROW(INDIRECT("1:"&amp;ROWS(Liste36)))),ROWS($9:47))),"")</f>
        <v/>
      </c>
      <c r="EX48" s="175">
        <f t="shared" ca="1" si="166"/>
        <v>0</v>
      </c>
      <c r="EY48" s="175" t="str">
        <f t="shared" ca="1" si="75"/>
        <v/>
      </c>
      <c r="EZ48" s="169" t="str">
        <f t="shared" ca="1" si="85"/>
        <v/>
      </c>
      <c r="FA48" s="169" t="str">
        <f t="array" aca="1" ref="FA48" ca="1">IF(ROWS($9:47)&lt;=COUNTIF(Condition36,"o"),INDEX(Liste36,SMALL(IF(Condition36="o",ROW(INDIRECT("1:"&amp;ROWS(Liste36)))),ROWS($9:47))),"")</f>
        <v/>
      </c>
      <c r="FB48" s="175">
        <f t="shared" ca="1" si="167"/>
        <v>0</v>
      </c>
      <c r="FC48" s="175" t="str">
        <f t="shared" ca="1" si="77"/>
        <v/>
      </c>
      <c r="FD48" s="169" t="str">
        <f t="shared" ca="1" si="86"/>
        <v/>
      </c>
      <c r="FE48" s="175">
        <f t="shared" si="168"/>
        <v>0</v>
      </c>
      <c r="FF48" s="175">
        <f t="shared" ca="1" si="168"/>
        <v>0</v>
      </c>
      <c r="FG48" s="175" t="str">
        <f ca="1">IF(FF48&lt;&gt;0,$B186,"")</f>
        <v/>
      </c>
      <c r="FH48" s="169" t="str">
        <f t="shared" ca="1" si="87"/>
        <v/>
      </c>
      <c r="FI48" s="169" t="str">
        <f t="array" aca="1" ref="FI48" ca="1">IF(ROWS($9:47)&lt;=COUNTIF(Condition39,"o"),INDEX(Liste39,SMALL(IF(Condition39="o",ROW(INDIRECT("1:"&amp;ROWS(Liste39)))),ROWS($9:47))),"")</f>
        <v/>
      </c>
      <c r="FM48" s="1" t="s">
        <v>1233</v>
      </c>
      <c r="FN48" s="1" t="s">
        <v>1234</v>
      </c>
      <c r="FO48" s="180">
        <f>'Suivi objectifs'!D43</f>
        <v>0</v>
      </c>
      <c r="FP48" s="1366">
        <f>'Suivi objectifs'!C45</f>
        <v>0</v>
      </c>
      <c r="FQ48" s="181" t="str">
        <f ca="1">IF(ISNA(VLOOKUP(FR48,Actions!$G$2:$AP$70,31,0)),"",VLOOKUP(FR48,Actions!$G$2:$AP$70,36,0))</f>
        <v/>
      </c>
      <c r="FR48" s="185" t="str">
        <f ca="1">INDIRECT($FN48&amp;FQ$1)</f>
        <v/>
      </c>
      <c r="FS48" s="286">
        <f t="shared" ca="1" si="80"/>
        <v>0</v>
      </c>
      <c r="FT48" s="181" t="str">
        <f ca="1">IF(ISNA(VLOOKUP(FU48,Actions!$G$2:$AP$70,31,0)),"",VLOOKUP(FU48,Actions!$G$2:$AP$70,36,0))</f>
        <v/>
      </c>
      <c r="FU48" s="185" t="str">
        <f ca="1">INDIRECT($FN48&amp;FT$1)</f>
        <v/>
      </c>
      <c r="FV48" s="286">
        <f t="shared" ca="1" si="81"/>
        <v>0</v>
      </c>
      <c r="FW48" s="181" t="str">
        <f ca="1">IF(ISNA(VLOOKUP(FX48,Actions!$G$2:$AP$70,31,0)),"",VLOOKUP(FX48,Actions!$G$2:$AP$70,36,0))</f>
        <v/>
      </c>
      <c r="FX48" s="185" t="str">
        <f ca="1">INDIRECT($FN48&amp;FW$1)</f>
        <v/>
      </c>
      <c r="FY48" s="286">
        <f t="shared" ca="1" si="82"/>
        <v>0</v>
      </c>
      <c r="FZ48" s="181" t="str">
        <f ca="1">IF(ISNA(VLOOKUP(GA48,Actions!$G$2:$AP$70,31,0)),"",VLOOKUP(GA48,Actions!$G$2:$AP$70,36,0))</f>
        <v/>
      </c>
      <c r="GA48" s="185" t="str">
        <f ca="1">INDIRECT($FN48&amp;FZ$1)</f>
        <v/>
      </c>
      <c r="GB48" s="286">
        <f t="shared" ca="1" si="83"/>
        <v>0</v>
      </c>
      <c r="GC48" s="181" t="str">
        <f ca="1">IF(ISNA(VLOOKUP(GD48,Actions!$G$2:$AP$70,31,0)),"",VLOOKUP(GD48,Actions!$G$2:$AP$70,36,0))</f>
        <v/>
      </c>
      <c r="GD48" s="185" t="str">
        <f ca="1">INDIRECT($FN48&amp;GC$1)</f>
        <v/>
      </c>
      <c r="GE48" s="286">
        <f t="shared" ca="1" si="84"/>
        <v>0</v>
      </c>
      <c r="GF48" s="186">
        <f ca="1">SUM(FS48,FV48,FY48,GB48,GE48,)</f>
        <v>0</v>
      </c>
      <c r="GG48" s="233"/>
    </row>
    <row r="49" spans="1:189">
      <c r="A49" s="1" t="s">
        <v>1235</v>
      </c>
      <c r="B49" s="1">
        <f>Actions!F41</f>
        <v>40</v>
      </c>
      <c r="C49" s="1">
        <f ca="1">Actions!G41</f>
        <v>0</v>
      </c>
      <c r="D49" s="1">
        <f ca="1">Actions!H41</f>
        <v>0</v>
      </c>
      <c r="E49" s="1" t="str">
        <f ca="1">Actions!I41</f>
        <v>-</v>
      </c>
      <c r="F49" s="1" t="str">
        <f t="shared" ca="1" si="0"/>
        <v>-</v>
      </c>
      <c r="G49" s="1" t="e">
        <f t="shared" ca="1" si="1"/>
        <v>#REF!</v>
      </c>
      <c r="I49" s="1">
        <v>40</v>
      </c>
      <c r="J49" s="175">
        <f t="shared" ca="1" si="130"/>
        <v>0</v>
      </c>
      <c r="K49" s="175" t="str">
        <f ca="1">IF(J49&lt;&gt;0,$B186,"")</f>
        <v/>
      </c>
      <c r="L49" s="169" t="str">
        <f t="shared" ca="1" si="93"/>
        <v/>
      </c>
      <c r="M49" s="169" t="str">
        <f t="array" aca="1" ref="M49" ca="1">IF(ROWS($9:48)&lt;=COUNTIF(Condition1,"o"),INDEX(Liste1,SMALL(IF(Condition1="o",ROW(INDIRECT("1:"&amp;ROWS(Liste1)))),ROWS($9:48))),"")</f>
        <v/>
      </c>
      <c r="N49" s="175">
        <f t="shared" ca="1" si="131"/>
        <v>0</v>
      </c>
      <c r="O49" s="175" t="str">
        <f ca="1">IF(N49&lt;&gt;0,$B186,"")</f>
        <v/>
      </c>
      <c r="P49" s="169" t="str">
        <f t="shared" ca="1" si="94"/>
        <v/>
      </c>
      <c r="Q49" s="169" t="str">
        <f t="array" aca="1" ref="Q49" ca="1">IF(ROWS($9:48)&lt;=COUNTIF(Condition2,"o"),INDEX(Liste2,SMALL(IF(Condition2="o",ROW(INDIRECT("1:"&amp;ROWS(Liste2)))),ROWS($9:48))),"")</f>
        <v/>
      </c>
      <c r="R49" s="175">
        <f t="shared" ca="1" si="132"/>
        <v>0</v>
      </c>
      <c r="S49" s="175" t="str">
        <f ca="1">IF(R49&lt;&gt;0,$B186,"")</f>
        <v/>
      </c>
      <c r="T49" s="169" t="str">
        <f t="shared" ca="1" si="95"/>
        <v/>
      </c>
      <c r="U49" s="169" t="str">
        <f t="array" aca="1" ref="U49" ca="1">IF(ROWS($9:48)&lt;=COUNTIF(Condition3,"o"),INDEX(Liste3,SMALL(IF(Condition3="o",ROW(INDIRECT("1:"&amp;ROWS(Liste3)))),ROWS($9:48))),"")</f>
        <v/>
      </c>
      <c r="V49" s="175">
        <f t="shared" ca="1" si="133"/>
        <v>0</v>
      </c>
      <c r="W49" s="175" t="str">
        <f ca="1">IF(V49&lt;&gt;0,$B186,"")</f>
        <v/>
      </c>
      <c r="X49" s="169" t="str">
        <f t="shared" ca="1" si="96"/>
        <v/>
      </c>
      <c r="Y49" s="169" t="str">
        <f t="array" aca="1" ref="Y49" ca="1">IF(ROWS($9:48)&lt;=COUNTIF(Condition4,"o"),INDEX(Liste4,SMALL(IF(Condition4="o",ROW(INDIRECT("1:"&amp;ROWS(Liste4)))),ROWS($9:48))),"")</f>
        <v/>
      </c>
      <c r="Z49" s="175">
        <f t="shared" ca="1" si="134"/>
        <v>0</v>
      </c>
      <c r="AA49" s="175" t="str">
        <f ca="1">IF(Z49&lt;&gt;0,$B186,"")</f>
        <v/>
      </c>
      <c r="AB49" s="169" t="str">
        <f t="shared" ca="1" si="97"/>
        <v/>
      </c>
      <c r="AC49" s="169" t="str">
        <f t="array" aca="1" ref="AC49" ca="1">IF(ROWS($9:48)&lt;=COUNTIF(Condition5,"o"),INDEX(Liste5,SMALL(IF(Condition5="o",ROW(INDIRECT("1:"&amp;ROWS(Liste5)))),ROWS($9:48))),"")</f>
        <v/>
      </c>
      <c r="AD49" s="175">
        <f t="shared" ca="1" si="135"/>
        <v>0</v>
      </c>
      <c r="AE49" s="175" t="str">
        <f ca="1">IF(AD49&lt;&gt;0,$B186,"")</f>
        <v/>
      </c>
      <c r="AF49" s="169" t="str">
        <f t="shared" ca="1" si="98"/>
        <v/>
      </c>
      <c r="AG49" s="169" t="str">
        <f t="array" aca="1" ref="AG49" ca="1">IF(ROWS($9:48)&lt;=COUNTIF(Condition6,"o"),INDEX(Liste6,SMALL(IF(Condition6="o",ROW(INDIRECT("1:"&amp;ROWS(Liste6)))),ROWS($9:48))),"")</f>
        <v/>
      </c>
      <c r="AH49" s="175">
        <f t="shared" ca="1" si="136"/>
        <v>0</v>
      </c>
      <c r="AI49" s="175" t="str">
        <f ca="1">IF(AH49&lt;&gt;0,$B186,"")</f>
        <v/>
      </c>
      <c r="AJ49" s="169" t="str">
        <f t="shared" ca="1" si="99"/>
        <v/>
      </c>
      <c r="AK49" s="169" t="str">
        <f t="array" aca="1" ref="AK49" ca="1">IF(ROWS($9:48)&lt;=COUNTIF(Condition7,"o"),INDEX(Liste7,SMALL(IF(Condition7="o",ROW(INDIRECT("1:"&amp;ROWS(Liste7)))),ROWS($9:48))),"")</f>
        <v/>
      </c>
      <c r="AL49" s="175">
        <f t="shared" ca="1" si="137"/>
        <v>0</v>
      </c>
      <c r="AM49" s="175" t="str">
        <f ca="1">IF(AL49&lt;&gt;0,$B186,"")</f>
        <v/>
      </c>
      <c r="AN49" s="169" t="str">
        <f t="shared" ca="1" si="100"/>
        <v/>
      </c>
      <c r="AO49" s="169" t="str">
        <f t="array" aca="1" ref="AO49" ca="1">IF(ROWS($9:48)&lt;=COUNTIF(Condition8,"o"),INDEX(Liste8,SMALL(IF(Condition8="o",ROW(INDIRECT("1:"&amp;ROWS(Liste8)))),ROWS($9:48))),"")</f>
        <v/>
      </c>
      <c r="AP49" s="175">
        <f t="shared" ca="1" si="138"/>
        <v>0</v>
      </c>
      <c r="AQ49" s="175" t="str">
        <f ca="1">IF(AP49&lt;&gt;0,$B186,"")</f>
        <v/>
      </c>
      <c r="AR49" s="169" t="str">
        <f t="shared" ca="1" si="101"/>
        <v/>
      </c>
      <c r="AS49" s="169" t="str">
        <f t="array" aca="1" ref="AS49" ca="1">IF(ROWS($9:48)&lt;=COUNTIF(Condition9,"o"),INDEX(Liste9,SMALL(IF(Condition9="o",ROW(INDIRECT("1:"&amp;ROWS(Liste9)))),ROWS($9:48))),"")</f>
        <v/>
      </c>
      <c r="AT49" s="175">
        <f t="shared" ca="1" si="139"/>
        <v>0</v>
      </c>
      <c r="AU49" s="175" t="str">
        <f ca="1">IF(AT49&lt;&gt;0,$B186,"")</f>
        <v/>
      </c>
      <c r="AV49" s="169" t="str">
        <f t="shared" ca="1" si="102"/>
        <v/>
      </c>
      <c r="AW49" s="169" t="str">
        <f t="array" aca="1" ref="AW49" ca="1">IF(ROWS($9:48)&lt;=COUNTIF(Condition10,"o"),INDEX(Liste10,SMALL(IF(Condition10="o",ROW(INDIRECT("1:"&amp;ROWS(Liste10)))),ROWS($9:48))),"")</f>
        <v/>
      </c>
      <c r="AX49" s="175">
        <f t="shared" ca="1" si="140"/>
        <v>0</v>
      </c>
      <c r="AY49" s="175" t="str">
        <f ca="1">IF(AX49&lt;&gt;0,$B186,"")</f>
        <v/>
      </c>
      <c r="AZ49" s="169" t="str">
        <f t="shared" ca="1" si="103"/>
        <v/>
      </c>
      <c r="BA49" s="169" t="str">
        <f t="array" aca="1" ref="BA49" ca="1">IF(ROWS($9:48)&lt;=COUNTIF(Condition11,"o"),INDEX(Liste11,SMALL(IF(Condition11="o",ROW(INDIRECT("1:"&amp;ROWS(Liste11)))),ROWS($9:48))),"")</f>
        <v/>
      </c>
      <c r="BB49" s="175">
        <f t="shared" ca="1" si="141"/>
        <v>0</v>
      </c>
      <c r="BC49" s="175" t="str">
        <f ca="1">IF(BB49&lt;&gt;0,$B186,"")</f>
        <v/>
      </c>
      <c r="BD49" s="169" t="str">
        <f t="shared" ca="1" si="104"/>
        <v/>
      </c>
      <c r="BE49" s="169" t="str">
        <f t="array" aca="1" ref="BE49" ca="1">IF(ROWS($9:48)&lt;=COUNTIF(Condition12,"o"),INDEX(Liste12,SMALL(IF(Condition12="o",ROW(INDIRECT("1:"&amp;ROWS(Liste12)))),ROWS($9:48))),"")</f>
        <v/>
      </c>
      <c r="BF49" s="175">
        <f t="shared" ca="1" si="142"/>
        <v>0</v>
      </c>
      <c r="BG49" s="175" t="str">
        <f ca="1">IF(BF49&lt;&gt;0,$B186,"")</f>
        <v/>
      </c>
      <c r="BH49" s="169" t="str">
        <f t="shared" ca="1" si="105"/>
        <v/>
      </c>
      <c r="BI49" s="169" t="str">
        <f t="array" aca="1" ref="BI49" ca="1">IF(ROWS($9:48)&lt;=COUNTIF(Condition13,"o"),INDEX(Liste13,SMALL(IF(Condition13="o",ROW(INDIRECT("1:"&amp;ROWS(Liste13)))),ROWS($9:48))),"")</f>
        <v/>
      </c>
      <c r="BJ49" s="175">
        <f t="shared" ca="1" si="143"/>
        <v>0</v>
      </c>
      <c r="BK49" s="175" t="str">
        <f ca="1">IF(BJ49&lt;&gt;0,$B186,"")</f>
        <v/>
      </c>
      <c r="BL49" s="169" t="str">
        <f t="shared" ca="1" si="106"/>
        <v/>
      </c>
      <c r="BM49" s="169" t="str">
        <f t="array" aca="1" ref="BM49" ca="1">IF(ROWS($9:48)&lt;=COUNTIF(Condition14,"o"),INDEX(Liste14,SMALL(IF(Condition14="o",ROW(INDIRECT("1:"&amp;ROWS(Liste14)))),ROWS($9:48))),"")</f>
        <v/>
      </c>
      <c r="BN49" s="175">
        <f t="shared" ca="1" si="144"/>
        <v>0</v>
      </c>
      <c r="BO49" s="175" t="str">
        <f ca="1">IF(BN49&lt;&gt;0,$B186,"")</f>
        <v/>
      </c>
      <c r="BP49" s="169" t="str">
        <f t="shared" ca="1" si="107"/>
        <v/>
      </c>
      <c r="BQ49" s="169" t="str">
        <f t="array" aca="1" ref="BQ49" ca="1">IF(ROWS($9:48)&lt;=COUNTIF(Condition15,"o"),INDEX(Liste15,SMALL(IF(Condition15="o",ROW(INDIRECT("1:"&amp;ROWS(Liste15)))),ROWS($9:48))),"")</f>
        <v/>
      </c>
      <c r="BR49" s="175">
        <f t="shared" ca="1" si="145"/>
        <v>0</v>
      </c>
      <c r="BS49" s="175" t="str">
        <f ca="1">IF(BR49&lt;&gt;0,$B186,"")</f>
        <v/>
      </c>
      <c r="BT49" s="169" t="str">
        <f t="shared" ca="1" si="108"/>
        <v/>
      </c>
      <c r="BU49" s="169" t="str">
        <f t="array" aca="1" ref="BU49" ca="1">IF(ROWS($9:48)&lt;=COUNTIF(Condition16,"o"),INDEX(Liste16,SMALL(IF(Condition16="o",ROW(INDIRECT("1:"&amp;ROWS(Liste16)))),ROWS($9:48))),"")</f>
        <v/>
      </c>
      <c r="BV49" s="175">
        <f t="shared" ca="1" si="146"/>
        <v>0</v>
      </c>
      <c r="BW49" s="175" t="str">
        <f ca="1">IF(BV49&lt;&gt;0,$B186,"")</f>
        <v/>
      </c>
      <c r="BX49" s="169" t="str">
        <f t="shared" ca="1" si="109"/>
        <v/>
      </c>
      <c r="BY49" s="169" t="str">
        <f t="array" aca="1" ref="BY49" ca="1">IF(ROWS($9:48)&lt;=COUNTIF(Condition17,"o"),INDEX(Liste17,SMALL(IF(Condition17="o",ROW(INDIRECT("1:"&amp;ROWS(Liste17)))),ROWS($9:48))),"")</f>
        <v/>
      </c>
      <c r="BZ49" s="175">
        <f t="shared" ca="1" si="147"/>
        <v>0</v>
      </c>
      <c r="CA49" s="175" t="str">
        <f ca="1">IF(BZ49&lt;&gt;0,$B186,"")</f>
        <v/>
      </c>
      <c r="CB49" s="169" t="str">
        <f t="shared" ca="1" si="110"/>
        <v/>
      </c>
      <c r="CC49" s="169" t="str">
        <f t="array" aca="1" ref="CC49" ca="1">IF(ROWS($9:48)&lt;=COUNTIF(Condition18,"o"),INDEX(Liste18,SMALL(IF(Condition18="o",ROW(INDIRECT("1:"&amp;ROWS(Liste18)))),ROWS($9:48))),"")</f>
        <v/>
      </c>
      <c r="CD49" s="175">
        <f t="shared" ca="1" si="148"/>
        <v>0</v>
      </c>
      <c r="CE49" s="175" t="str">
        <f ca="1">IF(CD49&lt;&gt;0,$B186,"")</f>
        <v/>
      </c>
      <c r="CF49" s="169" t="str">
        <f t="shared" ca="1" si="111"/>
        <v/>
      </c>
      <c r="CG49" s="169" t="str">
        <f t="array" aca="1" ref="CG49" ca="1">IF(ROWS($9:48)&lt;=COUNTIF(Condition19,"o"),INDEX(Liste19,SMALL(IF(Condition19="o",ROW(INDIRECT("1:"&amp;ROWS(Liste19)))),ROWS($9:48))),"")</f>
        <v/>
      </c>
      <c r="CH49" s="175">
        <f t="shared" ca="1" si="149"/>
        <v>0</v>
      </c>
      <c r="CI49" s="175" t="str">
        <f ca="1">IF(CH49&lt;&gt;0,$B186,"")</f>
        <v/>
      </c>
      <c r="CJ49" s="169" t="str">
        <f t="shared" ca="1" si="112"/>
        <v/>
      </c>
      <c r="CK49" s="169" t="str">
        <f t="array" aca="1" ref="CK49" ca="1">IF(ROWS($9:48)&lt;=COUNTIF(Condition20,"o"),INDEX(Liste20,SMALL(IF(Condition20="o",ROW(INDIRECT("1:"&amp;ROWS(Liste20)))),ROWS($9:48))),"")</f>
        <v/>
      </c>
      <c r="CL49" s="175">
        <f t="shared" ca="1" si="150"/>
        <v>0</v>
      </c>
      <c r="CM49" s="175" t="str">
        <f ca="1">IF(CL49&lt;&gt;0,$B186,"")</f>
        <v/>
      </c>
      <c r="CN49" s="169" t="str">
        <f t="shared" ca="1" si="113"/>
        <v/>
      </c>
      <c r="CO49" s="169" t="str">
        <f t="array" aca="1" ref="CO49" ca="1">IF(ROWS($9:48)&lt;=COUNTIF(Condition21,"o"),INDEX(Liste21,SMALL(IF(Condition21="o",ROW(INDIRECT("1:"&amp;ROWS(Liste21)))),ROWS($9:48))),"")</f>
        <v/>
      </c>
      <c r="CP49" s="175">
        <f t="shared" ca="1" si="151"/>
        <v>0</v>
      </c>
      <c r="CQ49" s="175" t="str">
        <f ca="1">IF(CP49&lt;&gt;0,$B186,"")</f>
        <v/>
      </c>
      <c r="CR49" s="169" t="str">
        <f t="shared" ca="1" si="114"/>
        <v/>
      </c>
      <c r="CS49" s="169" t="str">
        <f t="array" aca="1" ref="CS49" ca="1">IF(ROWS($9:48)&lt;=COUNTIF(Condition22,"o"),INDEX(Liste22,SMALL(IF(Condition22="o",ROW(INDIRECT("1:"&amp;ROWS(Liste22)))),ROWS($9:48))),"")</f>
        <v/>
      </c>
      <c r="CT49" s="175">
        <f t="shared" ca="1" si="152"/>
        <v>0</v>
      </c>
      <c r="CU49" s="175" t="str">
        <f ca="1">IF(CT49&lt;&gt;0,$B186,"")</f>
        <v/>
      </c>
      <c r="CV49" s="169" t="str">
        <f t="shared" ca="1" si="115"/>
        <v/>
      </c>
      <c r="CW49" s="169" t="str">
        <f t="array" aca="1" ref="CW49" ca="1">IF(ROWS($9:48)&lt;=COUNTIF(Condition23,"o"),INDEX(Liste23,SMALL(IF(Condition23="o",ROW(INDIRECT("1:"&amp;ROWS(Liste23)))),ROWS($9:48))),"")</f>
        <v/>
      </c>
      <c r="CX49" s="175">
        <f t="shared" ca="1" si="153"/>
        <v>0</v>
      </c>
      <c r="CY49" s="175" t="str">
        <f ca="1">IF(CX49&lt;&gt;0,$B186,"")</f>
        <v/>
      </c>
      <c r="CZ49" s="169" t="str">
        <f t="shared" ca="1" si="116"/>
        <v/>
      </c>
      <c r="DA49" s="169" t="str">
        <f t="array" aca="1" ref="DA49" ca="1">IF(ROWS($9:48)&lt;=COUNTIF(Condition24,"o"),INDEX(Liste24,SMALL(IF(Condition24="o",ROW(INDIRECT("1:"&amp;ROWS(Liste24)))),ROWS($9:48))),"")</f>
        <v/>
      </c>
      <c r="DB49" s="175">
        <f t="shared" ca="1" si="154"/>
        <v>0</v>
      </c>
      <c r="DC49" s="175" t="str">
        <f ca="1">IF(DB49&lt;&gt;0,$B186,"")</f>
        <v/>
      </c>
      <c r="DD49" s="169" t="str">
        <f t="shared" ca="1" si="117"/>
        <v/>
      </c>
      <c r="DE49" s="169" t="str">
        <f t="array" aca="1" ref="DE49" ca="1">IF(ROWS($9:48)&lt;=COUNTIF(Condition25,"o"),INDEX(Liste25,SMALL(IF(Condition25="o",ROW(INDIRECT("1:"&amp;ROWS(Liste25)))),ROWS($9:48))),"")</f>
        <v/>
      </c>
      <c r="DF49" s="175">
        <f t="shared" ca="1" si="155"/>
        <v>0</v>
      </c>
      <c r="DG49" s="175" t="str">
        <f ca="1">IF(DF49&lt;&gt;0,$B186,"")</f>
        <v/>
      </c>
      <c r="DH49" s="169" t="str">
        <f t="shared" ca="1" si="118"/>
        <v/>
      </c>
      <c r="DI49" s="169" t="str">
        <f t="array" aca="1" ref="DI49" ca="1">IF(ROWS($9:48)&lt;=COUNTIF(Condition26,"o"),INDEX(Liste26,SMALL(IF(Condition26="o",ROW(INDIRECT("1:"&amp;ROWS(Liste26)))),ROWS($9:48))),"")</f>
        <v/>
      </c>
      <c r="DJ49" s="175">
        <f t="shared" ca="1" si="156"/>
        <v>0</v>
      </c>
      <c r="DK49" s="175" t="str">
        <f ca="1">IF(DJ49&lt;&gt;0,$B186,"")</f>
        <v/>
      </c>
      <c r="DL49" s="169" t="str">
        <f t="shared" ca="1" si="119"/>
        <v/>
      </c>
      <c r="DM49" s="169" t="str">
        <f t="array" aca="1" ref="DM49" ca="1">IF(ROWS($9:48)&lt;=COUNTIF(Condition27,"o"),INDEX(Liste27,SMALL(IF(Condition27="o",ROW(INDIRECT("1:"&amp;ROWS(Liste27)))),ROWS($9:48))),"")</f>
        <v/>
      </c>
      <c r="DN49" s="175">
        <f t="shared" ca="1" si="157"/>
        <v>0</v>
      </c>
      <c r="DO49" s="175" t="str">
        <f ca="1">IF(DN49&lt;&gt;0,$B186,"")</f>
        <v/>
      </c>
      <c r="DP49" s="169" t="str">
        <f t="shared" ca="1" si="120"/>
        <v/>
      </c>
      <c r="DQ49" s="169" t="str">
        <f t="array" aca="1" ref="DQ49" ca="1">IF(ROWS($9:48)&lt;=COUNTIF(Condition28,"o"),INDEX(Liste28,SMALL(IF(Condition28="o",ROW(INDIRECT("1:"&amp;ROWS(Liste28)))),ROWS($9:48))),"")</f>
        <v/>
      </c>
      <c r="DR49" s="175">
        <f t="shared" ca="1" si="158"/>
        <v>0</v>
      </c>
      <c r="DS49" s="175" t="str">
        <f ca="1">IF(DR49&lt;&gt;0,$B186,"")</f>
        <v/>
      </c>
      <c r="DT49" s="169" t="str">
        <f t="shared" ca="1" si="121"/>
        <v/>
      </c>
      <c r="DU49" s="169" t="str">
        <f t="array" aca="1" ref="DU49" ca="1">IF(ROWS($9:48)&lt;=COUNTIF(Condition29,"o"),INDEX(Liste29,SMALL(IF(Condition29="o",ROW(INDIRECT("1:"&amp;ROWS(Liste29)))),ROWS($9:48))),"")</f>
        <v/>
      </c>
      <c r="DV49" s="175">
        <f t="shared" ca="1" si="159"/>
        <v>0</v>
      </c>
      <c r="DW49" s="175" t="str">
        <f ca="1">IF(DV49&lt;&gt;0,$B186,"")</f>
        <v/>
      </c>
      <c r="DX49" s="169" t="str">
        <f t="shared" ca="1" si="122"/>
        <v/>
      </c>
      <c r="DY49" s="169" t="str">
        <f t="array" aca="1" ref="DY49" ca="1">IF(ROWS($9:48)&lt;=COUNTIF(Condition30,"o"),INDEX(Liste30,SMALL(IF(Condition30="o",ROW(INDIRECT("1:"&amp;ROWS(Liste30)))),ROWS($9:48))),"")</f>
        <v/>
      </c>
      <c r="DZ49" s="175">
        <f t="shared" ca="1" si="160"/>
        <v>0</v>
      </c>
      <c r="EA49" s="175" t="str">
        <f ca="1">IF(DZ49&lt;&gt;0,$B186,"")</f>
        <v/>
      </c>
      <c r="EB49" s="169" t="str">
        <f t="shared" ca="1" si="123"/>
        <v/>
      </c>
      <c r="EC49" s="169" t="str">
        <f t="array" aca="1" ref="EC49" ca="1">IF(ROWS($9:48)&lt;=COUNTIF(Condition31,"o"),INDEX(Liste31,SMALL(IF(Condition31="o",ROW(INDIRECT("1:"&amp;ROWS(Liste31)))),ROWS($9:48))),"")</f>
        <v/>
      </c>
      <c r="ED49" s="175">
        <f t="shared" ca="1" si="161"/>
        <v>0</v>
      </c>
      <c r="EE49" s="175" t="str">
        <f ca="1">IF(ED49&lt;&gt;0,$B186,"")</f>
        <v/>
      </c>
      <c r="EF49" s="169" t="str">
        <f t="shared" ca="1" si="124"/>
        <v/>
      </c>
      <c r="EG49" s="169" t="str">
        <f t="array" aca="1" ref="EG49" ca="1">IF(ROWS($9:48)&lt;=COUNTIF(Condition32,"o"),INDEX(Liste32,SMALL(IF(Condition32="o",ROW(INDIRECT("1:"&amp;ROWS(Liste32)))),ROWS($9:48))),"")</f>
        <v/>
      </c>
      <c r="EH49" s="175">
        <f t="shared" ca="1" si="162"/>
        <v>0</v>
      </c>
      <c r="EI49" s="175" t="str">
        <f ca="1">IF(EH49&lt;&gt;0,$B186,"")</f>
        <v/>
      </c>
      <c r="EJ49" s="169" t="str">
        <f t="shared" ca="1" si="125"/>
        <v/>
      </c>
      <c r="EK49" s="169" t="str">
        <f t="array" aca="1" ref="EK49" ca="1">IF(ROWS($9:48)&lt;=COUNTIF(Condition33,"o"),INDEX(Liste33,SMALL(IF(Condition33="o",ROW(INDIRECT("1:"&amp;ROWS(Liste33)))),ROWS($9:48))),"")</f>
        <v/>
      </c>
      <c r="EL49" s="175">
        <f t="shared" ca="1" si="163"/>
        <v>0</v>
      </c>
      <c r="EM49" s="175" t="str">
        <f ca="1">IF(EL49&lt;&gt;0,$B186,"")</f>
        <v/>
      </c>
      <c r="EN49" s="169" t="str">
        <f t="shared" ca="1" si="126"/>
        <v/>
      </c>
      <c r="EO49" s="169" t="str">
        <f t="array" aca="1" ref="EO49" ca="1">IF(ROWS($9:48)&lt;=COUNTIF(Condition34,"o"),INDEX(Liste34,SMALL(IF(Condition34="o",ROW(INDIRECT("1:"&amp;ROWS(Liste34)))),ROWS($9:48))),"")</f>
        <v/>
      </c>
      <c r="EP49" s="175">
        <f t="shared" ca="1" si="164"/>
        <v>0</v>
      </c>
      <c r="EQ49" s="175" t="str">
        <f ca="1">IF(EP49&lt;&gt;0,$B186,"")</f>
        <v/>
      </c>
      <c r="ER49" s="169" t="str">
        <f t="shared" ca="1" si="127"/>
        <v/>
      </c>
      <c r="ES49" s="169" t="str">
        <f t="array" aca="1" ref="ES49" ca="1">IF(ROWS($9:48)&lt;=COUNTIF(Condition35,"o"),INDEX(Liste35,SMALL(IF(Condition35="o",ROW(INDIRECT("1:"&amp;ROWS(Liste35)))),ROWS($9:48))),"")</f>
        <v/>
      </c>
      <c r="ET49" s="175">
        <f t="shared" ca="1" si="165"/>
        <v>0</v>
      </c>
      <c r="EU49" s="175" t="str">
        <f ca="1">IF(ET49&lt;&gt;0,$B186,"")</f>
        <v/>
      </c>
      <c r="EV49" s="169" t="str">
        <f t="shared" ca="1" si="128"/>
        <v/>
      </c>
      <c r="EW49" s="169" t="str">
        <f t="array" aca="1" ref="EW49" ca="1">IF(ROWS($9:48)&lt;=COUNTIF(Condition36,"o"),INDEX(Liste36,SMALL(IF(Condition36="o",ROW(INDIRECT("1:"&amp;ROWS(Liste36)))),ROWS($9:48))),"")</f>
        <v/>
      </c>
      <c r="EX49" s="175">
        <f t="shared" ca="1" si="166"/>
        <v>0</v>
      </c>
      <c r="EY49" s="175" t="str">
        <f t="shared" ca="1" si="75"/>
        <v/>
      </c>
      <c r="EZ49" s="169" t="str">
        <f t="shared" ca="1" si="85"/>
        <v/>
      </c>
      <c r="FA49" s="169" t="str">
        <f t="array" aca="1" ref="FA49" ca="1">IF(ROWS($9:48)&lt;=COUNTIF(Condition36,"o"),INDEX(Liste36,SMALL(IF(Condition36="o",ROW(INDIRECT("1:"&amp;ROWS(Liste36)))),ROWS($9:48))),"")</f>
        <v/>
      </c>
      <c r="FB49" s="175">
        <f t="shared" ca="1" si="167"/>
        <v>0</v>
      </c>
      <c r="FC49" s="175" t="str">
        <f t="shared" ca="1" si="77"/>
        <v/>
      </c>
      <c r="FD49" s="169" t="str">
        <f t="shared" ca="1" si="86"/>
        <v/>
      </c>
      <c r="FE49" s="175">
        <f t="shared" si="168"/>
        <v>0</v>
      </c>
      <c r="FF49" s="175">
        <f t="shared" ca="1" si="168"/>
        <v>0</v>
      </c>
      <c r="FG49" s="175" t="str">
        <f ca="1">IF(FF49&lt;&gt;0,$B187,"")</f>
        <v/>
      </c>
      <c r="FH49" s="169" t="str">
        <f t="shared" ca="1" si="87"/>
        <v/>
      </c>
      <c r="FI49" s="169" t="str">
        <f t="array" aca="1" ref="FI49" ca="1">IF(ROWS($9:48)&lt;=COUNTIF(Condition39,"o"),INDEX(Liste39,SMALL(IF(Condition39="o",ROW(INDIRECT("1:"&amp;ROWS(Liste39)))),ROWS($9:48))),"")</f>
        <v/>
      </c>
      <c r="FO49" s="288"/>
      <c r="FQ49" s="289"/>
      <c r="FR49" s="288"/>
      <c r="FS49" s="290"/>
      <c r="FT49" s="291"/>
      <c r="FU49" s="288"/>
      <c r="FV49" s="290"/>
      <c r="FW49" s="291"/>
      <c r="FX49" s="288"/>
      <c r="FY49" s="290"/>
      <c r="FZ49" s="291"/>
      <c r="GA49" s="292"/>
      <c r="GB49" s="291"/>
      <c r="GC49" s="291"/>
      <c r="GD49" s="292"/>
      <c r="GE49" s="291"/>
      <c r="GF49" s="284"/>
      <c r="GG49" s="233"/>
    </row>
    <row r="50" spans="1:189">
      <c r="A50" s="1" t="s">
        <v>933</v>
      </c>
      <c r="B50" s="1">
        <f>Actions!F42</f>
        <v>41</v>
      </c>
      <c r="C50" s="1">
        <f ca="1">Actions!G42</f>
        <v>0</v>
      </c>
      <c r="D50" s="1">
        <f ca="1">Actions!H42</f>
        <v>0</v>
      </c>
      <c r="E50" s="1" t="str">
        <f ca="1">Actions!I42</f>
        <v>-</v>
      </c>
      <c r="F50" s="1" t="str">
        <f t="shared" ca="1" si="0"/>
        <v>-</v>
      </c>
      <c r="G50" s="1" t="e">
        <f t="shared" ca="1" si="1"/>
        <v>#REF!</v>
      </c>
      <c r="I50" s="1">
        <v>41</v>
      </c>
      <c r="J50" s="175">
        <f t="shared" ca="1" si="130"/>
        <v>0</v>
      </c>
      <c r="K50" s="175" t="str">
        <f ca="1">IF(J50&lt;&gt;0,$B187,"")</f>
        <v/>
      </c>
      <c r="L50" s="169" t="str">
        <f t="shared" ca="1" si="93"/>
        <v/>
      </c>
      <c r="M50" s="169" t="str">
        <f t="array" aca="1" ref="M50" ca="1">IF(ROWS($9:49)&lt;=COUNTIF(Condition1,"o"),INDEX(Liste1,SMALL(IF(Condition1="o",ROW(INDIRECT("1:"&amp;ROWS(Liste1)))),ROWS($9:49))),"")</f>
        <v/>
      </c>
      <c r="N50" s="175">
        <f t="shared" ca="1" si="131"/>
        <v>0</v>
      </c>
      <c r="O50" s="175" t="str">
        <f ca="1">IF(N50&lt;&gt;0,$B187,"")</f>
        <v/>
      </c>
      <c r="P50" s="169" t="str">
        <f t="shared" ca="1" si="94"/>
        <v/>
      </c>
      <c r="Q50" s="169" t="str">
        <f t="array" aca="1" ref="Q50" ca="1">IF(ROWS($9:49)&lt;=COUNTIF(Condition2,"o"),INDEX(Liste2,SMALL(IF(Condition2="o",ROW(INDIRECT("1:"&amp;ROWS(Liste2)))),ROWS($9:49))),"")</f>
        <v/>
      </c>
      <c r="R50" s="175">
        <f t="shared" ca="1" si="132"/>
        <v>0</v>
      </c>
      <c r="S50" s="175" t="str">
        <f ca="1">IF(R50&lt;&gt;0,$B187,"")</f>
        <v/>
      </c>
      <c r="T50" s="169" t="str">
        <f t="shared" ca="1" si="95"/>
        <v/>
      </c>
      <c r="U50" s="169" t="str">
        <f t="array" aca="1" ref="U50" ca="1">IF(ROWS($9:49)&lt;=COUNTIF(Condition3,"o"),INDEX(Liste3,SMALL(IF(Condition3="o",ROW(INDIRECT("1:"&amp;ROWS(Liste3)))),ROWS($9:49))),"")</f>
        <v/>
      </c>
      <c r="V50" s="175">
        <f t="shared" ca="1" si="133"/>
        <v>0</v>
      </c>
      <c r="W50" s="175" t="str">
        <f ca="1">IF(V50&lt;&gt;0,$B187,"")</f>
        <v/>
      </c>
      <c r="X50" s="169" t="str">
        <f t="shared" ca="1" si="96"/>
        <v/>
      </c>
      <c r="Y50" s="169" t="str">
        <f t="array" aca="1" ref="Y50" ca="1">IF(ROWS($9:49)&lt;=COUNTIF(Condition4,"o"),INDEX(Liste4,SMALL(IF(Condition4="o",ROW(INDIRECT("1:"&amp;ROWS(Liste4)))),ROWS($9:49))),"")</f>
        <v/>
      </c>
      <c r="Z50" s="175">
        <f t="shared" ca="1" si="134"/>
        <v>0</v>
      </c>
      <c r="AA50" s="175" t="str">
        <f ca="1">IF(Z50&lt;&gt;0,$B187,"")</f>
        <v/>
      </c>
      <c r="AB50" s="169" t="str">
        <f t="shared" ca="1" si="97"/>
        <v/>
      </c>
      <c r="AC50" s="169" t="str">
        <f t="array" aca="1" ref="AC50" ca="1">IF(ROWS($9:49)&lt;=COUNTIF(Condition5,"o"),INDEX(Liste5,SMALL(IF(Condition5="o",ROW(INDIRECT("1:"&amp;ROWS(Liste5)))),ROWS($9:49))),"")</f>
        <v/>
      </c>
      <c r="AD50" s="175">
        <f t="shared" ca="1" si="135"/>
        <v>0</v>
      </c>
      <c r="AE50" s="175" t="str">
        <f ca="1">IF(AD50&lt;&gt;0,$B187,"")</f>
        <v/>
      </c>
      <c r="AF50" s="169" t="str">
        <f t="shared" ca="1" si="98"/>
        <v/>
      </c>
      <c r="AG50" s="169" t="str">
        <f t="array" aca="1" ref="AG50" ca="1">IF(ROWS($9:49)&lt;=COUNTIF(Condition6,"o"),INDEX(Liste6,SMALL(IF(Condition6="o",ROW(INDIRECT("1:"&amp;ROWS(Liste6)))),ROWS($9:49))),"")</f>
        <v/>
      </c>
      <c r="AH50" s="175">
        <f t="shared" ca="1" si="136"/>
        <v>0</v>
      </c>
      <c r="AI50" s="175" t="str">
        <f ca="1">IF(AH50&lt;&gt;0,$B187,"")</f>
        <v/>
      </c>
      <c r="AJ50" s="169" t="str">
        <f t="shared" ca="1" si="99"/>
        <v/>
      </c>
      <c r="AK50" s="169" t="str">
        <f t="array" aca="1" ref="AK50" ca="1">IF(ROWS($9:49)&lt;=COUNTIF(Condition7,"o"),INDEX(Liste7,SMALL(IF(Condition7="o",ROW(INDIRECT("1:"&amp;ROWS(Liste7)))),ROWS($9:49))),"")</f>
        <v/>
      </c>
      <c r="AL50" s="175">
        <f t="shared" ca="1" si="137"/>
        <v>0</v>
      </c>
      <c r="AM50" s="175" t="str">
        <f ca="1">IF(AL50&lt;&gt;0,$B187,"")</f>
        <v/>
      </c>
      <c r="AN50" s="169" t="str">
        <f t="shared" ca="1" si="100"/>
        <v/>
      </c>
      <c r="AO50" s="169" t="str">
        <f t="array" aca="1" ref="AO50" ca="1">IF(ROWS($9:49)&lt;=COUNTIF(Condition8,"o"),INDEX(Liste8,SMALL(IF(Condition8="o",ROW(INDIRECT("1:"&amp;ROWS(Liste8)))),ROWS($9:49))),"")</f>
        <v/>
      </c>
      <c r="AP50" s="175">
        <f t="shared" ca="1" si="138"/>
        <v>0</v>
      </c>
      <c r="AQ50" s="175" t="str">
        <f ca="1">IF(AP50&lt;&gt;0,$B187,"")</f>
        <v/>
      </c>
      <c r="AR50" s="169" t="str">
        <f t="shared" ca="1" si="101"/>
        <v/>
      </c>
      <c r="AS50" s="169" t="str">
        <f t="array" aca="1" ref="AS50" ca="1">IF(ROWS($9:49)&lt;=COUNTIF(Condition9,"o"),INDEX(Liste9,SMALL(IF(Condition9="o",ROW(INDIRECT("1:"&amp;ROWS(Liste9)))),ROWS($9:49))),"")</f>
        <v/>
      </c>
      <c r="AT50" s="175">
        <f t="shared" ca="1" si="139"/>
        <v>0</v>
      </c>
      <c r="AU50" s="175" t="str">
        <f ca="1">IF(AT50&lt;&gt;0,$B187,"")</f>
        <v/>
      </c>
      <c r="AV50" s="169" t="str">
        <f t="shared" ca="1" si="102"/>
        <v/>
      </c>
      <c r="AW50" s="169" t="str">
        <f t="array" aca="1" ref="AW50" ca="1">IF(ROWS($9:49)&lt;=COUNTIF(Condition10,"o"),INDEX(Liste10,SMALL(IF(Condition10="o",ROW(INDIRECT("1:"&amp;ROWS(Liste10)))),ROWS($9:49))),"")</f>
        <v/>
      </c>
      <c r="AX50" s="175">
        <f t="shared" ca="1" si="140"/>
        <v>0</v>
      </c>
      <c r="AY50" s="175" t="str">
        <f ca="1">IF(AX50&lt;&gt;0,$B187,"")</f>
        <v/>
      </c>
      <c r="AZ50" s="169" t="str">
        <f t="shared" ca="1" si="103"/>
        <v/>
      </c>
      <c r="BA50" s="169" t="str">
        <f t="array" aca="1" ref="BA50" ca="1">IF(ROWS($9:49)&lt;=COUNTIF(Condition11,"o"),INDEX(Liste11,SMALL(IF(Condition11="o",ROW(INDIRECT("1:"&amp;ROWS(Liste11)))),ROWS($9:49))),"")</f>
        <v/>
      </c>
      <c r="BB50" s="175">
        <f t="shared" ca="1" si="141"/>
        <v>0</v>
      </c>
      <c r="BC50" s="175" t="str">
        <f ca="1">IF(BB50&lt;&gt;0,$B187,"")</f>
        <v/>
      </c>
      <c r="BD50" s="169" t="str">
        <f t="shared" ca="1" si="104"/>
        <v/>
      </c>
      <c r="BE50" s="169" t="str">
        <f t="array" aca="1" ref="BE50" ca="1">IF(ROWS($9:49)&lt;=COUNTIF(Condition12,"o"),INDEX(Liste12,SMALL(IF(Condition12="o",ROW(INDIRECT("1:"&amp;ROWS(Liste12)))),ROWS($9:49))),"")</f>
        <v/>
      </c>
      <c r="BF50" s="175">
        <f t="shared" ca="1" si="142"/>
        <v>0</v>
      </c>
      <c r="BG50" s="175" t="str">
        <f ca="1">IF(BF50&lt;&gt;0,$B187,"")</f>
        <v/>
      </c>
      <c r="BH50" s="169" t="str">
        <f t="shared" ca="1" si="105"/>
        <v/>
      </c>
      <c r="BI50" s="169" t="str">
        <f t="array" aca="1" ref="BI50" ca="1">IF(ROWS($9:49)&lt;=COUNTIF(Condition13,"o"),INDEX(Liste13,SMALL(IF(Condition13="o",ROW(INDIRECT("1:"&amp;ROWS(Liste13)))),ROWS($9:49))),"")</f>
        <v/>
      </c>
      <c r="BJ50" s="175">
        <f t="shared" ca="1" si="143"/>
        <v>0</v>
      </c>
      <c r="BK50" s="175" t="str">
        <f ca="1">IF(BJ50&lt;&gt;0,$B187,"")</f>
        <v/>
      </c>
      <c r="BL50" s="169" t="str">
        <f t="shared" ca="1" si="106"/>
        <v/>
      </c>
      <c r="BM50" s="169" t="str">
        <f t="array" aca="1" ref="BM50" ca="1">IF(ROWS($9:49)&lt;=COUNTIF(Condition14,"o"),INDEX(Liste14,SMALL(IF(Condition14="o",ROW(INDIRECT("1:"&amp;ROWS(Liste14)))),ROWS($9:49))),"")</f>
        <v/>
      </c>
      <c r="BN50" s="175">
        <f t="shared" ca="1" si="144"/>
        <v>0</v>
      </c>
      <c r="BO50" s="175" t="str">
        <f ca="1">IF(BN50&lt;&gt;0,$B187,"")</f>
        <v/>
      </c>
      <c r="BP50" s="169" t="str">
        <f t="shared" ca="1" si="107"/>
        <v/>
      </c>
      <c r="BQ50" s="169" t="str">
        <f t="array" aca="1" ref="BQ50" ca="1">IF(ROWS($9:49)&lt;=COUNTIF(Condition15,"o"),INDEX(Liste15,SMALL(IF(Condition15="o",ROW(INDIRECT("1:"&amp;ROWS(Liste15)))),ROWS($9:49))),"")</f>
        <v/>
      </c>
      <c r="BR50" s="175">
        <f t="shared" ca="1" si="145"/>
        <v>0</v>
      </c>
      <c r="BS50" s="175" t="str">
        <f ca="1">IF(BR50&lt;&gt;0,$B187,"")</f>
        <v/>
      </c>
      <c r="BT50" s="169" t="str">
        <f t="shared" ca="1" si="108"/>
        <v/>
      </c>
      <c r="BU50" s="169" t="str">
        <f t="array" aca="1" ref="BU50" ca="1">IF(ROWS($9:49)&lt;=COUNTIF(Condition16,"o"),INDEX(Liste16,SMALL(IF(Condition16="o",ROW(INDIRECT("1:"&amp;ROWS(Liste16)))),ROWS($9:49))),"")</f>
        <v/>
      </c>
      <c r="BV50" s="175">
        <f t="shared" ca="1" si="146"/>
        <v>0</v>
      </c>
      <c r="BW50" s="175" t="str">
        <f ca="1">IF(BV50&lt;&gt;0,$B187,"")</f>
        <v/>
      </c>
      <c r="BX50" s="169" t="str">
        <f t="shared" ca="1" si="109"/>
        <v/>
      </c>
      <c r="BY50" s="169" t="str">
        <f t="array" aca="1" ref="BY50" ca="1">IF(ROWS($9:49)&lt;=COUNTIF(Condition17,"o"),INDEX(Liste17,SMALL(IF(Condition17="o",ROW(INDIRECT("1:"&amp;ROWS(Liste17)))),ROWS($9:49))),"")</f>
        <v/>
      </c>
      <c r="BZ50" s="175">
        <f t="shared" ca="1" si="147"/>
        <v>0</v>
      </c>
      <c r="CA50" s="175" t="str">
        <f ca="1">IF(BZ50&lt;&gt;0,$B187,"")</f>
        <v/>
      </c>
      <c r="CB50" s="169" t="str">
        <f t="shared" ca="1" si="110"/>
        <v/>
      </c>
      <c r="CC50" s="169" t="str">
        <f t="array" aca="1" ref="CC50" ca="1">IF(ROWS($9:49)&lt;=COUNTIF(Condition18,"o"),INDEX(Liste18,SMALL(IF(Condition18="o",ROW(INDIRECT("1:"&amp;ROWS(Liste18)))),ROWS($9:49))),"")</f>
        <v/>
      </c>
      <c r="CD50" s="175">
        <f t="shared" ca="1" si="148"/>
        <v>0</v>
      </c>
      <c r="CE50" s="175" t="str">
        <f ca="1">IF(CD50&lt;&gt;0,$B187,"")</f>
        <v/>
      </c>
      <c r="CF50" s="169" t="str">
        <f t="shared" ca="1" si="111"/>
        <v/>
      </c>
      <c r="CG50" s="169" t="str">
        <f t="array" aca="1" ref="CG50" ca="1">IF(ROWS($9:49)&lt;=COUNTIF(Condition19,"o"),INDEX(Liste19,SMALL(IF(Condition19="o",ROW(INDIRECT("1:"&amp;ROWS(Liste19)))),ROWS($9:49))),"")</f>
        <v/>
      </c>
      <c r="CH50" s="175">
        <f t="shared" ca="1" si="149"/>
        <v>0</v>
      </c>
      <c r="CI50" s="175" t="str">
        <f ca="1">IF(CH50&lt;&gt;0,$B187,"")</f>
        <v/>
      </c>
      <c r="CJ50" s="169" t="str">
        <f t="shared" ca="1" si="112"/>
        <v/>
      </c>
      <c r="CK50" s="169" t="str">
        <f t="array" aca="1" ref="CK50" ca="1">IF(ROWS($9:49)&lt;=COUNTIF(Condition20,"o"),INDEX(Liste20,SMALL(IF(Condition20="o",ROW(INDIRECT("1:"&amp;ROWS(Liste20)))),ROWS($9:49))),"")</f>
        <v/>
      </c>
      <c r="CL50" s="175">
        <f t="shared" ca="1" si="150"/>
        <v>0</v>
      </c>
      <c r="CM50" s="175" t="str">
        <f ca="1">IF(CL50&lt;&gt;0,$B187,"")</f>
        <v/>
      </c>
      <c r="CN50" s="169" t="str">
        <f t="shared" ca="1" si="113"/>
        <v/>
      </c>
      <c r="CO50" s="169" t="str">
        <f t="array" aca="1" ref="CO50" ca="1">IF(ROWS($9:49)&lt;=COUNTIF(Condition21,"o"),INDEX(Liste21,SMALL(IF(Condition21="o",ROW(INDIRECT("1:"&amp;ROWS(Liste21)))),ROWS($9:49))),"")</f>
        <v/>
      </c>
      <c r="CP50" s="175">
        <f t="shared" ca="1" si="151"/>
        <v>0</v>
      </c>
      <c r="CQ50" s="175" t="str">
        <f ca="1">IF(CP50&lt;&gt;0,$B187,"")</f>
        <v/>
      </c>
      <c r="CR50" s="169" t="str">
        <f t="shared" ca="1" si="114"/>
        <v/>
      </c>
      <c r="CS50" s="169" t="str">
        <f t="array" aca="1" ref="CS50" ca="1">IF(ROWS($9:49)&lt;=COUNTIF(Condition22,"o"),INDEX(Liste22,SMALL(IF(Condition22="o",ROW(INDIRECT("1:"&amp;ROWS(Liste22)))),ROWS($9:49))),"")</f>
        <v/>
      </c>
      <c r="CT50" s="175">
        <f t="shared" ca="1" si="152"/>
        <v>0</v>
      </c>
      <c r="CU50" s="175" t="str">
        <f ca="1">IF(CT50&lt;&gt;0,$B187,"")</f>
        <v/>
      </c>
      <c r="CV50" s="169" t="str">
        <f t="shared" ca="1" si="115"/>
        <v/>
      </c>
      <c r="CW50" s="169" t="str">
        <f t="array" aca="1" ref="CW50" ca="1">IF(ROWS($9:49)&lt;=COUNTIF(Condition23,"o"),INDEX(Liste23,SMALL(IF(Condition23="o",ROW(INDIRECT("1:"&amp;ROWS(Liste23)))),ROWS($9:49))),"")</f>
        <v/>
      </c>
      <c r="CX50" s="175">
        <f t="shared" ca="1" si="153"/>
        <v>0</v>
      </c>
      <c r="CY50" s="175" t="str">
        <f ca="1">IF(CX50&lt;&gt;0,$B187,"")</f>
        <v/>
      </c>
      <c r="CZ50" s="169" t="str">
        <f t="shared" ca="1" si="116"/>
        <v/>
      </c>
      <c r="DA50" s="169" t="str">
        <f t="array" aca="1" ref="DA50" ca="1">IF(ROWS($9:49)&lt;=COUNTIF(Condition24,"o"),INDEX(Liste24,SMALL(IF(Condition24="o",ROW(INDIRECT("1:"&amp;ROWS(Liste24)))),ROWS($9:49))),"")</f>
        <v/>
      </c>
      <c r="DB50" s="175">
        <f t="shared" ca="1" si="154"/>
        <v>0</v>
      </c>
      <c r="DC50" s="175" t="str">
        <f ca="1">IF(DB50&lt;&gt;0,$B187,"")</f>
        <v/>
      </c>
      <c r="DD50" s="169" t="str">
        <f t="shared" ca="1" si="117"/>
        <v/>
      </c>
      <c r="DE50" s="169" t="str">
        <f t="array" aca="1" ref="DE50" ca="1">IF(ROWS($9:49)&lt;=COUNTIF(Condition25,"o"),INDEX(Liste25,SMALL(IF(Condition25="o",ROW(INDIRECT("1:"&amp;ROWS(Liste25)))),ROWS($9:49))),"")</f>
        <v/>
      </c>
      <c r="DF50" s="175">
        <f t="shared" ca="1" si="155"/>
        <v>0</v>
      </c>
      <c r="DG50" s="175" t="str">
        <f ca="1">IF(DF50&lt;&gt;0,$B187,"")</f>
        <v/>
      </c>
      <c r="DH50" s="169" t="str">
        <f t="shared" ca="1" si="118"/>
        <v/>
      </c>
      <c r="DI50" s="169" t="str">
        <f t="array" aca="1" ref="DI50" ca="1">IF(ROWS($9:49)&lt;=COUNTIF(Condition26,"o"),INDEX(Liste26,SMALL(IF(Condition26="o",ROW(INDIRECT("1:"&amp;ROWS(Liste26)))),ROWS($9:49))),"")</f>
        <v/>
      </c>
      <c r="DJ50" s="175">
        <f t="shared" ca="1" si="156"/>
        <v>0</v>
      </c>
      <c r="DK50" s="175" t="str">
        <f ca="1">IF(DJ50&lt;&gt;0,$B187,"")</f>
        <v/>
      </c>
      <c r="DL50" s="169" t="str">
        <f t="shared" ca="1" si="119"/>
        <v/>
      </c>
      <c r="DM50" s="169" t="str">
        <f t="array" aca="1" ref="DM50" ca="1">IF(ROWS($9:49)&lt;=COUNTIF(Condition27,"o"),INDEX(Liste27,SMALL(IF(Condition27="o",ROW(INDIRECT("1:"&amp;ROWS(Liste27)))),ROWS($9:49))),"")</f>
        <v/>
      </c>
      <c r="DN50" s="175">
        <f t="shared" ca="1" si="157"/>
        <v>0</v>
      </c>
      <c r="DO50" s="175" t="str">
        <f ca="1">IF(DN50&lt;&gt;0,$B187,"")</f>
        <v/>
      </c>
      <c r="DP50" s="169" t="str">
        <f t="shared" ca="1" si="120"/>
        <v/>
      </c>
      <c r="DQ50" s="169" t="str">
        <f t="array" aca="1" ref="DQ50" ca="1">IF(ROWS($9:49)&lt;=COUNTIF(Condition28,"o"),INDEX(Liste28,SMALL(IF(Condition28="o",ROW(INDIRECT("1:"&amp;ROWS(Liste28)))),ROWS($9:49))),"")</f>
        <v/>
      </c>
      <c r="DR50" s="175">
        <f t="shared" ca="1" si="158"/>
        <v>0</v>
      </c>
      <c r="DS50" s="175" t="str">
        <f ca="1">IF(DR50&lt;&gt;0,$B187,"")</f>
        <v/>
      </c>
      <c r="DT50" s="169" t="str">
        <f t="shared" ca="1" si="121"/>
        <v/>
      </c>
      <c r="DU50" s="169" t="str">
        <f t="array" aca="1" ref="DU50" ca="1">IF(ROWS($9:49)&lt;=COUNTIF(Condition29,"o"),INDEX(Liste29,SMALL(IF(Condition29="o",ROW(INDIRECT("1:"&amp;ROWS(Liste29)))),ROWS($9:49))),"")</f>
        <v/>
      </c>
      <c r="DV50" s="175">
        <f t="shared" ca="1" si="159"/>
        <v>0</v>
      </c>
      <c r="DW50" s="175" t="str">
        <f ca="1">IF(DV50&lt;&gt;0,$B187,"")</f>
        <v/>
      </c>
      <c r="DX50" s="169" t="str">
        <f t="shared" ca="1" si="122"/>
        <v/>
      </c>
      <c r="DY50" s="169" t="str">
        <f t="array" aca="1" ref="DY50" ca="1">IF(ROWS($9:49)&lt;=COUNTIF(Condition30,"o"),INDEX(Liste30,SMALL(IF(Condition30="o",ROW(INDIRECT("1:"&amp;ROWS(Liste30)))),ROWS($9:49))),"")</f>
        <v/>
      </c>
      <c r="DZ50" s="175">
        <f t="shared" ca="1" si="160"/>
        <v>0</v>
      </c>
      <c r="EA50" s="175" t="str">
        <f ca="1">IF(DZ50&lt;&gt;0,$B187,"")</f>
        <v/>
      </c>
      <c r="EB50" s="169" t="str">
        <f t="shared" ca="1" si="123"/>
        <v/>
      </c>
      <c r="EC50" s="169" t="str">
        <f t="array" aca="1" ref="EC50" ca="1">IF(ROWS($9:49)&lt;=COUNTIF(Condition31,"o"),INDEX(Liste31,SMALL(IF(Condition31="o",ROW(INDIRECT("1:"&amp;ROWS(Liste31)))),ROWS($9:49))),"")</f>
        <v/>
      </c>
      <c r="ED50" s="175">
        <f t="shared" ca="1" si="161"/>
        <v>0</v>
      </c>
      <c r="EE50" s="175" t="str">
        <f ca="1">IF(ED50&lt;&gt;0,$B187,"")</f>
        <v/>
      </c>
      <c r="EF50" s="169" t="str">
        <f t="shared" ca="1" si="124"/>
        <v/>
      </c>
      <c r="EG50" s="169" t="str">
        <f t="array" aca="1" ref="EG50" ca="1">IF(ROWS($9:49)&lt;=COUNTIF(Condition32,"o"),INDEX(Liste32,SMALL(IF(Condition32="o",ROW(INDIRECT("1:"&amp;ROWS(Liste32)))),ROWS($9:49))),"")</f>
        <v/>
      </c>
      <c r="EH50" s="175">
        <f t="shared" ca="1" si="162"/>
        <v>0</v>
      </c>
      <c r="EI50" s="175" t="str">
        <f ca="1">IF(EH50&lt;&gt;0,$B187,"")</f>
        <v/>
      </c>
      <c r="EJ50" s="169" t="str">
        <f t="shared" ca="1" si="125"/>
        <v/>
      </c>
      <c r="EK50" s="169" t="str">
        <f t="array" aca="1" ref="EK50" ca="1">IF(ROWS($9:49)&lt;=COUNTIF(Condition33,"o"),INDEX(Liste33,SMALL(IF(Condition33="o",ROW(INDIRECT("1:"&amp;ROWS(Liste33)))),ROWS($9:49))),"")</f>
        <v/>
      </c>
      <c r="EL50" s="175">
        <f t="shared" ca="1" si="163"/>
        <v>0</v>
      </c>
      <c r="EM50" s="175" t="str">
        <f ca="1">IF(EL50&lt;&gt;0,$B187,"")</f>
        <v/>
      </c>
      <c r="EN50" s="169" t="str">
        <f t="shared" ca="1" si="126"/>
        <v/>
      </c>
      <c r="EO50" s="169" t="str">
        <f t="array" aca="1" ref="EO50" ca="1">IF(ROWS($9:49)&lt;=COUNTIF(Condition34,"o"),INDEX(Liste34,SMALL(IF(Condition34="o",ROW(INDIRECT("1:"&amp;ROWS(Liste34)))),ROWS($9:49))),"")</f>
        <v/>
      </c>
      <c r="EP50" s="175">
        <f t="shared" ca="1" si="164"/>
        <v>0</v>
      </c>
      <c r="EQ50" s="175" t="str">
        <f ca="1">IF(EP50&lt;&gt;0,$B187,"")</f>
        <v/>
      </c>
      <c r="ER50" s="169" t="str">
        <f t="shared" ca="1" si="127"/>
        <v/>
      </c>
      <c r="ES50" s="169" t="str">
        <f t="array" aca="1" ref="ES50" ca="1">IF(ROWS($9:49)&lt;=COUNTIF(Condition35,"o"),INDEX(Liste35,SMALL(IF(Condition35="o",ROW(INDIRECT("1:"&amp;ROWS(Liste35)))),ROWS($9:49))),"")</f>
        <v/>
      </c>
      <c r="ET50" s="175">
        <f t="shared" ca="1" si="165"/>
        <v>0</v>
      </c>
      <c r="EU50" s="175" t="str">
        <f ca="1">IF(ET50&lt;&gt;0,$B187,"")</f>
        <v/>
      </c>
      <c r="EV50" s="169" t="str">
        <f t="shared" ca="1" si="128"/>
        <v/>
      </c>
      <c r="EW50" s="169" t="str">
        <f t="array" aca="1" ref="EW50" ca="1">IF(ROWS($9:49)&lt;=COUNTIF(Condition36,"o"),INDEX(Liste36,SMALL(IF(Condition36="o",ROW(INDIRECT("1:"&amp;ROWS(Liste36)))),ROWS($9:49))),"")</f>
        <v/>
      </c>
      <c r="EX50" s="175">
        <f t="shared" ca="1" si="166"/>
        <v>0</v>
      </c>
      <c r="EY50" s="175" t="str">
        <f t="shared" ca="1" si="75"/>
        <v/>
      </c>
      <c r="EZ50" s="169" t="str">
        <f t="shared" ca="1" si="85"/>
        <v/>
      </c>
      <c r="FA50" s="169" t="str">
        <f t="array" aca="1" ref="FA50" ca="1">IF(ROWS($9:49)&lt;=COUNTIF(Condition36,"o"),INDEX(Liste36,SMALL(IF(Condition36="o",ROW(INDIRECT("1:"&amp;ROWS(Liste36)))),ROWS($9:49))),"")</f>
        <v/>
      </c>
      <c r="FB50" s="175">
        <f t="shared" ca="1" si="167"/>
        <v>0</v>
      </c>
      <c r="FC50" s="175" t="str">
        <f t="shared" ca="1" si="77"/>
        <v/>
      </c>
      <c r="FD50" s="169" t="str">
        <f t="shared" ca="1" si="86"/>
        <v/>
      </c>
      <c r="FE50" s="175">
        <f t="shared" si="168"/>
        <v>0</v>
      </c>
      <c r="FF50" s="175">
        <f t="shared" ca="1" si="168"/>
        <v>0</v>
      </c>
      <c r="FG50" s="175" t="str">
        <f ca="1">IF(FF50&lt;&gt;0,$B188,"")</f>
        <v/>
      </c>
      <c r="FH50" s="169" t="str">
        <f t="shared" ca="1" si="87"/>
        <v/>
      </c>
      <c r="FI50" s="169" t="str">
        <f t="array" aca="1" ref="FI50" ca="1">IF(ROWS($9:49)&lt;=COUNTIF(Condition39,"o"),INDEX(Liste39,SMALL(IF(Condition39="o",ROW(INDIRECT("1:"&amp;ROWS(Liste39)))),ROWS($9:49))),"")</f>
        <v/>
      </c>
      <c r="FO50" s="288"/>
      <c r="FQ50" s="289"/>
      <c r="FR50" s="288"/>
      <c r="FS50" s="290"/>
      <c r="FT50" s="291"/>
      <c r="FU50" s="288"/>
      <c r="FV50" s="290"/>
      <c r="FW50" s="291"/>
      <c r="FX50" s="288"/>
      <c r="FY50" s="290"/>
      <c r="FZ50" s="291"/>
      <c r="GA50" s="292"/>
      <c r="GB50" s="291"/>
      <c r="GC50" s="291"/>
      <c r="GD50" s="292"/>
      <c r="GE50" s="291"/>
      <c r="GF50" s="284"/>
      <c r="GG50" s="233"/>
    </row>
    <row r="51" spans="1:189">
      <c r="A51" s="1" t="s">
        <v>945</v>
      </c>
      <c r="B51" s="1">
        <f>Actions!F44</f>
        <v>43</v>
      </c>
      <c r="C51" s="1">
        <f ca="1">Actions!G44</f>
        <v>0</v>
      </c>
      <c r="D51" s="1">
        <f ca="1">Actions!H44</f>
        <v>0</v>
      </c>
      <c r="E51" s="1" t="str">
        <f ca="1">Actions!I44</f>
        <v>-</v>
      </c>
      <c r="F51" s="1" t="str">
        <f t="shared" ca="1" si="0"/>
        <v>-</v>
      </c>
      <c r="G51" s="1" t="e">
        <f t="shared" ca="1" si="1"/>
        <v>#REF!</v>
      </c>
      <c r="I51" s="1">
        <v>43</v>
      </c>
      <c r="J51" s="175">
        <f t="shared" ca="1" si="130"/>
        <v>0</v>
      </c>
      <c r="K51" s="175" t="str">
        <f t="shared" ref="K51:K72" ca="1" si="169">IF(J51&lt;&gt;0,$B189,"")</f>
        <v/>
      </c>
      <c r="L51" s="169" t="str">
        <f t="shared" ca="1" si="93"/>
        <v/>
      </c>
      <c r="M51" s="169" t="str">
        <f t="array" aca="1" ref="M51" ca="1">IF(ROWS($9:50)&lt;=COUNTIF(Condition1,"o"),INDEX(Liste1,SMALL(IF(Condition1="o",ROW(INDIRECT("1:"&amp;ROWS(Liste1)))),ROWS($9:50))),"")</f>
        <v/>
      </c>
      <c r="N51" s="175">
        <f t="shared" ca="1" si="131"/>
        <v>0</v>
      </c>
      <c r="O51" s="175" t="str">
        <f t="shared" ref="O51:O72" ca="1" si="170">IF(N51&lt;&gt;0,$B189,"")</f>
        <v/>
      </c>
      <c r="P51" s="169" t="str">
        <f t="shared" ca="1" si="94"/>
        <v/>
      </c>
      <c r="Q51" s="169" t="str">
        <f t="array" aca="1" ref="Q51" ca="1">IF(ROWS($9:50)&lt;=COUNTIF(Condition2,"o"),INDEX(Liste2,SMALL(IF(Condition2="o",ROW(INDIRECT("1:"&amp;ROWS(Liste2)))),ROWS($9:50))),"")</f>
        <v/>
      </c>
      <c r="R51" s="175">
        <f t="shared" ca="1" si="132"/>
        <v>0</v>
      </c>
      <c r="S51" s="175" t="str">
        <f t="shared" ref="S51:S72" ca="1" si="171">IF(R51&lt;&gt;0,$B189,"")</f>
        <v/>
      </c>
      <c r="T51" s="169" t="str">
        <f t="shared" ca="1" si="95"/>
        <v/>
      </c>
      <c r="U51" s="169" t="str">
        <f t="array" aca="1" ref="U51" ca="1">IF(ROWS($9:50)&lt;=COUNTIF(Condition3,"o"),INDEX(Liste3,SMALL(IF(Condition3="o",ROW(INDIRECT("1:"&amp;ROWS(Liste3)))),ROWS($9:50))),"")</f>
        <v/>
      </c>
      <c r="V51" s="175">
        <f t="shared" ca="1" si="133"/>
        <v>0</v>
      </c>
      <c r="W51" s="175" t="str">
        <f t="shared" ref="W51:W72" ca="1" si="172">IF(V51&lt;&gt;0,$B189,"")</f>
        <v/>
      </c>
      <c r="X51" s="169" t="str">
        <f t="shared" ca="1" si="96"/>
        <v/>
      </c>
      <c r="Y51" s="169" t="str">
        <f t="array" aca="1" ref="Y51" ca="1">IF(ROWS($9:50)&lt;=COUNTIF(Condition4,"o"),INDEX(Liste4,SMALL(IF(Condition4="o",ROW(INDIRECT("1:"&amp;ROWS(Liste4)))),ROWS($9:50))),"")</f>
        <v/>
      </c>
      <c r="Z51" s="175">
        <f t="shared" ca="1" si="134"/>
        <v>0</v>
      </c>
      <c r="AA51" s="175" t="str">
        <f t="shared" ref="AA51:AA72" ca="1" si="173">IF(Z51&lt;&gt;0,$B189,"")</f>
        <v/>
      </c>
      <c r="AB51" s="169" t="str">
        <f t="shared" ca="1" si="97"/>
        <v/>
      </c>
      <c r="AC51" s="169" t="str">
        <f t="array" aca="1" ref="AC51" ca="1">IF(ROWS($9:50)&lt;=COUNTIF(Condition5,"o"),INDEX(Liste5,SMALL(IF(Condition5="o",ROW(INDIRECT("1:"&amp;ROWS(Liste5)))),ROWS($9:50))),"")</f>
        <v/>
      </c>
      <c r="AD51" s="175">
        <f t="shared" ca="1" si="135"/>
        <v>0</v>
      </c>
      <c r="AE51" s="175" t="str">
        <f t="shared" ref="AE51:AE72" ca="1" si="174">IF(AD51&lt;&gt;0,$B189,"")</f>
        <v/>
      </c>
      <c r="AF51" s="169" t="str">
        <f t="shared" ca="1" si="98"/>
        <v/>
      </c>
      <c r="AG51" s="169" t="str">
        <f t="array" aca="1" ref="AG51" ca="1">IF(ROWS($9:50)&lt;=COUNTIF(Condition6,"o"),INDEX(Liste6,SMALL(IF(Condition6="o",ROW(INDIRECT("1:"&amp;ROWS(Liste6)))),ROWS($9:50))),"")</f>
        <v/>
      </c>
      <c r="AH51" s="175">
        <f t="shared" ca="1" si="136"/>
        <v>0</v>
      </c>
      <c r="AI51" s="175" t="str">
        <f t="shared" ref="AI51:AI72" ca="1" si="175">IF(AH51&lt;&gt;0,$B189,"")</f>
        <v/>
      </c>
      <c r="AJ51" s="169" t="str">
        <f t="shared" ca="1" si="99"/>
        <v/>
      </c>
      <c r="AK51" s="169" t="str">
        <f t="array" aca="1" ref="AK51" ca="1">IF(ROWS($9:50)&lt;=COUNTIF(Condition7,"o"),INDEX(Liste7,SMALL(IF(Condition7="o",ROW(INDIRECT("1:"&amp;ROWS(Liste7)))),ROWS($9:50))),"")</f>
        <v/>
      </c>
      <c r="AL51" s="175">
        <f t="shared" ca="1" si="137"/>
        <v>0</v>
      </c>
      <c r="AM51" s="175" t="str">
        <f t="shared" ref="AM51:AM72" ca="1" si="176">IF(AL51&lt;&gt;0,$B189,"")</f>
        <v/>
      </c>
      <c r="AN51" s="169" t="str">
        <f t="shared" ca="1" si="100"/>
        <v/>
      </c>
      <c r="AO51" s="169" t="str">
        <f t="array" aca="1" ref="AO51" ca="1">IF(ROWS($9:50)&lt;=COUNTIF(Condition8,"o"),INDEX(Liste8,SMALL(IF(Condition8="o",ROW(INDIRECT("1:"&amp;ROWS(Liste8)))),ROWS($9:50))),"")</f>
        <v/>
      </c>
      <c r="AP51" s="175">
        <f t="shared" ca="1" si="138"/>
        <v>0</v>
      </c>
      <c r="AQ51" s="175" t="str">
        <f t="shared" ref="AQ51:AQ72" ca="1" si="177">IF(AP51&lt;&gt;0,$B189,"")</f>
        <v/>
      </c>
      <c r="AR51" s="169" t="str">
        <f t="shared" ca="1" si="101"/>
        <v/>
      </c>
      <c r="AS51" s="169" t="str">
        <f t="array" aca="1" ref="AS51" ca="1">IF(ROWS($9:50)&lt;=COUNTIF(Condition9,"o"),INDEX(Liste9,SMALL(IF(Condition9="o",ROW(INDIRECT("1:"&amp;ROWS(Liste9)))),ROWS($9:50))),"")</f>
        <v/>
      </c>
      <c r="AT51" s="175">
        <f t="shared" ca="1" si="139"/>
        <v>0</v>
      </c>
      <c r="AU51" s="175" t="str">
        <f t="shared" ref="AU51:AU72" ca="1" si="178">IF(AT51&lt;&gt;0,$B189,"")</f>
        <v/>
      </c>
      <c r="AV51" s="169" t="str">
        <f t="shared" ca="1" si="102"/>
        <v/>
      </c>
      <c r="AW51" s="169" t="str">
        <f t="array" aca="1" ref="AW51" ca="1">IF(ROWS($9:50)&lt;=COUNTIF(Condition10,"o"),INDEX(Liste10,SMALL(IF(Condition10="o",ROW(INDIRECT("1:"&amp;ROWS(Liste10)))),ROWS($9:50))),"")</f>
        <v/>
      </c>
      <c r="AX51" s="175">
        <f t="shared" ca="1" si="140"/>
        <v>0</v>
      </c>
      <c r="AY51" s="175" t="str">
        <f t="shared" ref="AY51:AY72" ca="1" si="179">IF(AX51&lt;&gt;0,$B189,"")</f>
        <v/>
      </c>
      <c r="AZ51" s="169" t="str">
        <f t="shared" ca="1" si="103"/>
        <v/>
      </c>
      <c r="BA51" s="169" t="str">
        <f t="array" aca="1" ref="BA51" ca="1">IF(ROWS($9:50)&lt;=COUNTIF(Condition11,"o"),INDEX(Liste11,SMALL(IF(Condition11="o",ROW(INDIRECT("1:"&amp;ROWS(Liste11)))),ROWS($9:50))),"")</f>
        <v/>
      </c>
      <c r="BB51" s="175">
        <f t="shared" ca="1" si="141"/>
        <v>0</v>
      </c>
      <c r="BC51" s="175" t="str">
        <f t="shared" ref="BC51:BC72" ca="1" si="180">IF(BB51&lt;&gt;0,$B189,"")</f>
        <v/>
      </c>
      <c r="BD51" s="169" t="str">
        <f t="shared" ca="1" si="104"/>
        <v/>
      </c>
      <c r="BE51" s="169" t="str">
        <f t="array" aca="1" ref="BE51" ca="1">IF(ROWS($9:50)&lt;=COUNTIF(Condition12,"o"),INDEX(Liste12,SMALL(IF(Condition12="o",ROW(INDIRECT("1:"&amp;ROWS(Liste12)))),ROWS($9:50))),"")</f>
        <v/>
      </c>
      <c r="BF51" s="175">
        <f t="shared" ca="1" si="142"/>
        <v>0</v>
      </c>
      <c r="BG51" s="175" t="str">
        <f t="shared" ref="BG51:BG72" ca="1" si="181">IF(BF51&lt;&gt;0,$B189,"")</f>
        <v/>
      </c>
      <c r="BH51" s="169" t="str">
        <f t="shared" ca="1" si="105"/>
        <v/>
      </c>
      <c r="BI51" s="169" t="str">
        <f t="array" aca="1" ref="BI51" ca="1">IF(ROWS($9:50)&lt;=COUNTIF(Condition13,"o"),INDEX(Liste13,SMALL(IF(Condition13="o",ROW(INDIRECT("1:"&amp;ROWS(Liste13)))),ROWS($9:50))),"")</f>
        <v/>
      </c>
      <c r="BJ51" s="175">
        <f t="shared" ca="1" si="143"/>
        <v>0</v>
      </c>
      <c r="BK51" s="175" t="str">
        <f t="shared" ref="BK51:BK72" ca="1" si="182">IF(BJ51&lt;&gt;0,$B189,"")</f>
        <v/>
      </c>
      <c r="BL51" s="169" t="str">
        <f t="shared" ca="1" si="106"/>
        <v/>
      </c>
      <c r="BM51" s="169" t="str">
        <f t="array" aca="1" ref="BM51" ca="1">IF(ROWS($9:50)&lt;=COUNTIF(Condition14,"o"),INDEX(Liste14,SMALL(IF(Condition14="o",ROW(INDIRECT("1:"&amp;ROWS(Liste14)))),ROWS($9:50))),"")</f>
        <v/>
      </c>
      <c r="BN51" s="175">
        <f t="shared" ca="1" si="144"/>
        <v>0</v>
      </c>
      <c r="BO51" s="175" t="str">
        <f t="shared" ref="BO51:BO72" ca="1" si="183">IF(BN51&lt;&gt;0,$B189,"")</f>
        <v/>
      </c>
      <c r="BP51" s="169" t="str">
        <f t="shared" ca="1" si="107"/>
        <v/>
      </c>
      <c r="BQ51" s="169" t="str">
        <f t="array" aca="1" ref="BQ51" ca="1">IF(ROWS($9:50)&lt;=COUNTIF(Condition15,"o"),INDEX(Liste15,SMALL(IF(Condition15="o",ROW(INDIRECT("1:"&amp;ROWS(Liste15)))),ROWS($9:50))),"")</f>
        <v/>
      </c>
      <c r="BR51" s="175">
        <f t="shared" ca="1" si="145"/>
        <v>0</v>
      </c>
      <c r="BS51" s="175" t="str">
        <f t="shared" ref="BS51:BS72" ca="1" si="184">IF(BR51&lt;&gt;0,$B189,"")</f>
        <v/>
      </c>
      <c r="BT51" s="169" t="str">
        <f t="shared" ca="1" si="108"/>
        <v/>
      </c>
      <c r="BU51" s="169" t="str">
        <f t="array" aca="1" ref="BU51" ca="1">IF(ROWS($9:50)&lt;=COUNTIF(Condition16,"o"),INDEX(Liste16,SMALL(IF(Condition16="o",ROW(INDIRECT("1:"&amp;ROWS(Liste16)))),ROWS($9:50))),"")</f>
        <v/>
      </c>
      <c r="BV51" s="175">
        <f t="shared" ca="1" si="146"/>
        <v>0</v>
      </c>
      <c r="BW51" s="175" t="str">
        <f t="shared" ref="BW51:BW72" ca="1" si="185">IF(BV51&lt;&gt;0,$B189,"")</f>
        <v/>
      </c>
      <c r="BX51" s="169" t="str">
        <f t="shared" ca="1" si="109"/>
        <v/>
      </c>
      <c r="BY51" s="169" t="str">
        <f t="array" aca="1" ref="BY51" ca="1">IF(ROWS($9:50)&lt;=COUNTIF(Condition17,"o"),INDEX(Liste17,SMALL(IF(Condition17="o",ROW(INDIRECT("1:"&amp;ROWS(Liste17)))),ROWS($9:50))),"")</f>
        <v/>
      </c>
      <c r="BZ51" s="175">
        <f t="shared" ca="1" si="147"/>
        <v>0</v>
      </c>
      <c r="CA51" s="175" t="str">
        <f t="shared" ref="CA51:CA72" ca="1" si="186">IF(BZ51&lt;&gt;0,$B189,"")</f>
        <v/>
      </c>
      <c r="CB51" s="169" t="str">
        <f t="shared" ca="1" si="110"/>
        <v/>
      </c>
      <c r="CC51" s="169" t="str">
        <f t="array" aca="1" ref="CC51" ca="1">IF(ROWS($9:50)&lt;=COUNTIF(Condition18,"o"),INDEX(Liste18,SMALL(IF(Condition18="o",ROW(INDIRECT("1:"&amp;ROWS(Liste18)))),ROWS($9:50))),"")</f>
        <v/>
      </c>
      <c r="CD51" s="175">
        <f t="shared" ca="1" si="148"/>
        <v>0</v>
      </c>
      <c r="CE51" s="175" t="str">
        <f t="shared" ref="CE51:CE72" ca="1" si="187">IF(CD51&lt;&gt;0,$B189,"")</f>
        <v/>
      </c>
      <c r="CF51" s="169" t="str">
        <f t="shared" ca="1" si="111"/>
        <v/>
      </c>
      <c r="CG51" s="169" t="str">
        <f t="array" aca="1" ref="CG51" ca="1">IF(ROWS($9:50)&lt;=COUNTIF(Condition19,"o"),INDEX(Liste19,SMALL(IF(Condition19="o",ROW(INDIRECT("1:"&amp;ROWS(Liste19)))),ROWS($9:50))),"")</f>
        <v/>
      </c>
      <c r="CH51" s="175">
        <f t="shared" ca="1" si="149"/>
        <v>0</v>
      </c>
      <c r="CI51" s="175" t="str">
        <f t="shared" ref="CI51:CI72" ca="1" si="188">IF(CH51&lt;&gt;0,$B189,"")</f>
        <v/>
      </c>
      <c r="CJ51" s="169" t="str">
        <f t="shared" ca="1" si="112"/>
        <v/>
      </c>
      <c r="CK51" s="169" t="str">
        <f t="array" aca="1" ref="CK51" ca="1">IF(ROWS($9:50)&lt;=COUNTIF(Condition20,"o"),INDEX(Liste20,SMALL(IF(Condition20="o",ROW(INDIRECT("1:"&amp;ROWS(Liste20)))),ROWS($9:50))),"")</f>
        <v/>
      </c>
      <c r="CL51" s="175">
        <f t="shared" ca="1" si="150"/>
        <v>0</v>
      </c>
      <c r="CM51" s="175" t="str">
        <f t="shared" ref="CM51:CM72" ca="1" si="189">IF(CL51&lt;&gt;0,$B189,"")</f>
        <v/>
      </c>
      <c r="CN51" s="169" t="str">
        <f t="shared" ca="1" si="113"/>
        <v/>
      </c>
      <c r="CO51" s="169" t="str">
        <f t="array" aca="1" ref="CO51" ca="1">IF(ROWS($9:50)&lt;=COUNTIF(Condition21,"o"),INDEX(Liste21,SMALL(IF(Condition21="o",ROW(INDIRECT("1:"&amp;ROWS(Liste21)))),ROWS($9:50))),"")</f>
        <v/>
      </c>
      <c r="CP51" s="175">
        <f t="shared" ca="1" si="151"/>
        <v>0</v>
      </c>
      <c r="CQ51" s="175" t="str">
        <f t="shared" ref="CQ51:CQ72" ca="1" si="190">IF(CP51&lt;&gt;0,$B189,"")</f>
        <v/>
      </c>
      <c r="CR51" s="169" t="str">
        <f t="shared" ca="1" si="114"/>
        <v/>
      </c>
      <c r="CS51" s="169" t="str">
        <f t="array" aca="1" ref="CS51" ca="1">IF(ROWS($9:50)&lt;=COUNTIF(Condition22,"o"),INDEX(Liste22,SMALL(IF(Condition22="o",ROW(INDIRECT("1:"&amp;ROWS(Liste22)))),ROWS($9:50))),"")</f>
        <v/>
      </c>
      <c r="CT51" s="175">
        <f t="shared" ca="1" si="152"/>
        <v>0</v>
      </c>
      <c r="CU51" s="175" t="str">
        <f t="shared" ref="CU51:CU72" ca="1" si="191">IF(CT51&lt;&gt;0,$B189,"")</f>
        <v/>
      </c>
      <c r="CV51" s="169" t="str">
        <f t="shared" ca="1" si="115"/>
        <v/>
      </c>
      <c r="CW51" s="169" t="str">
        <f t="array" aca="1" ref="CW51" ca="1">IF(ROWS($9:50)&lt;=COUNTIF(Condition23,"o"),INDEX(Liste23,SMALL(IF(Condition23="o",ROW(INDIRECT("1:"&amp;ROWS(Liste23)))),ROWS($9:50))),"")</f>
        <v/>
      </c>
      <c r="CX51" s="175">
        <f t="shared" ca="1" si="153"/>
        <v>0</v>
      </c>
      <c r="CY51" s="175" t="str">
        <f t="shared" ref="CY51:CY72" ca="1" si="192">IF(CX51&lt;&gt;0,$B189,"")</f>
        <v/>
      </c>
      <c r="CZ51" s="169" t="str">
        <f t="shared" ca="1" si="116"/>
        <v/>
      </c>
      <c r="DA51" s="169" t="str">
        <f t="array" aca="1" ref="DA51" ca="1">IF(ROWS($9:50)&lt;=COUNTIF(Condition24,"o"),INDEX(Liste24,SMALL(IF(Condition24="o",ROW(INDIRECT("1:"&amp;ROWS(Liste24)))),ROWS($9:50))),"")</f>
        <v/>
      </c>
      <c r="DB51" s="175">
        <f t="shared" ca="1" si="154"/>
        <v>0</v>
      </c>
      <c r="DC51" s="175" t="str">
        <f t="shared" ref="DC51:DC72" ca="1" si="193">IF(DB51&lt;&gt;0,$B189,"")</f>
        <v/>
      </c>
      <c r="DD51" s="169" t="str">
        <f t="shared" ca="1" si="117"/>
        <v/>
      </c>
      <c r="DE51" s="169" t="str">
        <f t="array" aca="1" ref="DE51" ca="1">IF(ROWS($9:50)&lt;=COUNTIF(Condition25,"o"),INDEX(Liste25,SMALL(IF(Condition25="o",ROW(INDIRECT("1:"&amp;ROWS(Liste25)))),ROWS($9:50))),"")</f>
        <v/>
      </c>
      <c r="DF51" s="175">
        <f t="shared" ca="1" si="155"/>
        <v>0</v>
      </c>
      <c r="DG51" s="175" t="str">
        <f t="shared" ref="DG51:DG72" ca="1" si="194">IF(DF51&lt;&gt;0,$B189,"")</f>
        <v/>
      </c>
      <c r="DH51" s="169" t="str">
        <f t="shared" ca="1" si="118"/>
        <v/>
      </c>
      <c r="DI51" s="169" t="str">
        <f t="array" aca="1" ref="DI51" ca="1">IF(ROWS($9:50)&lt;=COUNTIF(Condition26,"o"),INDEX(Liste26,SMALL(IF(Condition26="o",ROW(INDIRECT("1:"&amp;ROWS(Liste26)))),ROWS($9:50))),"")</f>
        <v/>
      </c>
      <c r="DJ51" s="175">
        <f t="shared" ca="1" si="156"/>
        <v>0</v>
      </c>
      <c r="DK51" s="175" t="str">
        <f t="shared" ref="DK51:DK72" ca="1" si="195">IF(DJ51&lt;&gt;0,$B189,"")</f>
        <v/>
      </c>
      <c r="DL51" s="169" t="str">
        <f t="shared" ca="1" si="119"/>
        <v/>
      </c>
      <c r="DM51" s="169" t="str">
        <f t="array" aca="1" ref="DM51" ca="1">IF(ROWS($9:50)&lt;=COUNTIF(Condition27,"o"),INDEX(Liste27,SMALL(IF(Condition27="o",ROW(INDIRECT("1:"&amp;ROWS(Liste27)))),ROWS($9:50))),"")</f>
        <v/>
      </c>
      <c r="DN51" s="175">
        <f t="shared" ca="1" si="157"/>
        <v>0</v>
      </c>
      <c r="DO51" s="175" t="str">
        <f t="shared" ref="DO51:DO72" ca="1" si="196">IF(DN51&lt;&gt;0,$B189,"")</f>
        <v/>
      </c>
      <c r="DP51" s="169" t="str">
        <f t="shared" ca="1" si="120"/>
        <v/>
      </c>
      <c r="DQ51" s="169" t="str">
        <f t="array" aca="1" ref="DQ51" ca="1">IF(ROWS($9:50)&lt;=COUNTIF(Condition28,"o"),INDEX(Liste28,SMALL(IF(Condition28="o",ROW(INDIRECT("1:"&amp;ROWS(Liste28)))),ROWS($9:50))),"")</f>
        <v/>
      </c>
      <c r="DR51" s="175">
        <f t="shared" ca="1" si="158"/>
        <v>0</v>
      </c>
      <c r="DS51" s="175" t="str">
        <f t="shared" ref="DS51:DS72" ca="1" si="197">IF(DR51&lt;&gt;0,$B189,"")</f>
        <v/>
      </c>
      <c r="DT51" s="169" t="str">
        <f t="shared" ca="1" si="121"/>
        <v/>
      </c>
      <c r="DU51" s="169" t="str">
        <f t="array" aca="1" ref="DU51" ca="1">IF(ROWS($9:50)&lt;=COUNTIF(Condition29,"o"),INDEX(Liste29,SMALL(IF(Condition29="o",ROW(INDIRECT("1:"&amp;ROWS(Liste29)))),ROWS($9:50))),"")</f>
        <v/>
      </c>
      <c r="DV51" s="175">
        <f t="shared" ca="1" si="159"/>
        <v>0</v>
      </c>
      <c r="DW51" s="175" t="str">
        <f t="shared" ref="DW51:DW72" ca="1" si="198">IF(DV51&lt;&gt;0,$B189,"")</f>
        <v/>
      </c>
      <c r="DX51" s="169" t="str">
        <f t="shared" ca="1" si="122"/>
        <v/>
      </c>
      <c r="DY51" s="169" t="str">
        <f t="array" aca="1" ref="DY51" ca="1">IF(ROWS($9:50)&lt;=COUNTIF(Condition30,"o"),INDEX(Liste30,SMALL(IF(Condition30="o",ROW(INDIRECT("1:"&amp;ROWS(Liste30)))),ROWS($9:50))),"")</f>
        <v/>
      </c>
      <c r="DZ51" s="175">
        <f t="shared" ca="1" si="160"/>
        <v>0</v>
      </c>
      <c r="EA51" s="175" t="str">
        <f t="shared" ref="EA51:EA72" ca="1" si="199">IF(DZ51&lt;&gt;0,$B189,"")</f>
        <v/>
      </c>
      <c r="EB51" s="169" t="str">
        <f t="shared" ca="1" si="123"/>
        <v/>
      </c>
      <c r="EC51" s="169" t="str">
        <f t="array" aca="1" ref="EC51" ca="1">IF(ROWS($9:50)&lt;=COUNTIF(Condition31,"o"),INDEX(Liste31,SMALL(IF(Condition31="o",ROW(INDIRECT("1:"&amp;ROWS(Liste31)))),ROWS($9:50))),"")</f>
        <v/>
      </c>
      <c r="ED51" s="175">
        <f t="shared" ca="1" si="161"/>
        <v>0</v>
      </c>
      <c r="EE51" s="175" t="str">
        <f t="shared" ref="EE51:EE72" ca="1" si="200">IF(ED51&lt;&gt;0,$B189,"")</f>
        <v/>
      </c>
      <c r="EF51" s="169" t="str">
        <f t="shared" ca="1" si="124"/>
        <v/>
      </c>
      <c r="EG51" s="169" t="str">
        <f t="array" aca="1" ref="EG51" ca="1">IF(ROWS($9:50)&lt;=COUNTIF(Condition32,"o"),INDEX(Liste32,SMALL(IF(Condition32="o",ROW(INDIRECT("1:"&amp;ROWS(Liste32)))),ROWS($9:50))),"")</f>
        <v/>
      </c>
      <c r="EH51" s="175">
        <f t="shared" ca="1" si="162"/>
        <v>0</v>
      </c>
      <c r="EI51" s="175" t="str">
        <f t="shared" ref="EI51:EI72" ca="1" si="201">IF(EH51&lt;&gt;0,$B189,"")</f>
        <v/>
      </c>
      <c r="EJ51" s="169" t="str">
        <f t="shared" ca="1" si="125"/>
        <v/>
      </c>
      <c r="EK51" s="169" t="str">
        <f t="array" aca="1" ref="EK51" ca="1">IF(ROWS($9:50)&lt;=COUNTIF(Condition33,"o"),INDEX(Liste33,SMALL(IF(Condition33="o",ROW(INDIRECT("1:"&amp;ROWS(Liste33)))),ROWS($9:50))),"")</f>
        <v/>
      </c>
      <c r="EL51" s="175">
        <f t="shared" ca="1" si="163"/>
        <v>0</v>
      </c>
      <c r="EM51" s="175" t="str">
        <f t="shared" ref="EM51:EM72" ca="1" si="202">IF(EL51&lt;&gt;0,$B189,"")</f>
        <v/>
      </c>
      <c r="EN51" s="169" t="str">
        <f t="shared" ca="1" si="126"/>
        <v/>
      </c>
      <c r="EO51" s="169" t="str">
        <f t="array" aca="1" ref="EO51" ca="1">IF(ROWS($9:50)&lt;=COUNTIF(Condition34,"o"),INDEX(Liste34,SMALL(IF(Condition34="o",ROW(INDIRECT("1:"&amp;ROWS(Liste34)))),ROWS($9:50))),"")</f>
        <v/>
      </c>
      <c r="EP51" s="175">
        <f t="shared" ca="1" si="164"/>
        <v>0</v>
      </c>
      <c r="EQ51" s="175" t="str">
        <f t="shared" ref="EQ51:EQ72" ca="1" si="203">IF(EP51&lt;&gt;0,$B189,"")</f>
        <v/>
      </c>
      <c r="ER51" s="169" t="str">
        <f t="shared" ca="1" si="127"/>
        <v/>
      </c>
      <c r="ES51" s="169" t="str">
        <f t="array" aca="1" ref="ES51" ca="1">IF(ROWS($9:50)&lt;=COUNTIF(Condition35,"o"),INDEX(Liste35,SMALL(IF(Condition35="o",ROW(INDIRECT("1:"&amp;ROWS(Liste35)))),ROWS($9:50))),"")</f>
        <v/>
      </c>
      <c r="ET51" s="175">
        <f t="shared" ca="1" si="165"/>
        <v>0</v>
      </c>
      <c r="EU51" s="175" t="str">
        <f t="shared" ref="EU51:EU72" ca="1" si="204">IF(ET51&lt;&gt;0,$B189,"")</f>
        <v/>
      </c>
      <c r="EV51" s="169" t="str">
        <f t="shared" ca="1" si="128"/>
        <v/>
      </c>
      <c r="EW51" s="169" t="str">
        <f t="array" aca="1" ref="EW51" ca="1">IF(ROWS($9:50)&lt;=COUNTIF(Condition36,"o"),INDEX(Liste36,SMALL(IF(Condition36="o",ROW(INDIRECT("1:"&amp;ROWS(Liste36)))),ROWS($9:50))),"")</f>
        <v/>
      </c>
      <c r="EX51" s="175">
        <f t="shared" ca="1" si="166"/>
        <v>0</v>
      </c>
      <c r="EY51" s="175" t="str">
        <f t="shared" ref="EY51:EY72" ca="1" si="205">IF(EX51&lt;&gt;0,$B190,"")</f>
        <v/>
      </c>
      <c r="EZ51" s="169" t="str">
        <f t="shared" ca="1" si="85"/>
        <v/>
      </c>
      <c r="FA51" s="169" t="str">
        <f t="array" aca="1" ref="FA51" ca="1">IF(ROWS($9:50)&lt;=COUNTIF(Condition36,"o"),INDEX(Liste36,SMALL(IF(Condition36="o",ROW(INDIRECT("1:"&amp;ROWS(Liste36)))),ROWS($9:50))),"")</f>
        <v/>
      </c>
      <c r="FB51" s="175">
        <f t="shared" ca="1" si="167"/>
        <v>0</v>
      </c>
      <c r="FC51" s="175" t="str">
        <f t="shared" ref="FC51:FC72" ca="1" si="206">IF(FB51&lt;&gt;0,$B190,"")</f>
        <v/>
      </c>
      <c r="FD51" s="169" t="str">
        <f t="shared" ca="1" si="86"/>
        <v/>
      </c>
      <c r="FE51" s="175">
        <f t="shared" si="168"/>
        <v>0</v>
      </c>
      <c r="FF51" s="175">
        <f t="shared" ca="1" si="168"/>
        <v>0</v>
      </c>
      <c r="FG51" s="175" t="str">
        <f t="shared" ref="FG51:FG72" ca="1" si="207">IF(FF51&lt;&gt;0,$B190,"")</f>
        <v/>
      </c>
      <c r="FH51" s="169" t="str">
        <f t="shared" ca="1" si="87"/>
        <v/>
      </c>
      <c r="FI51" s="169" t="str">
        <f t="array" aca="1" ref="FI51" ca="1">IF(ROWS($9:50)&lt;=COUNTIF(Condition39,"o"),INDEX(Liste39,SMALL(IF(Condition39="o",ROW(INDIRECT("1:"&amp;ROWS(Liste39)))),ROWS($9:50))),"")</f>
        <v/>
      </c>
      <c r="FO51" s="288"/>
      <c r="FQ51" s="289"/>
      <c r="FR51" s="288"/>
      <c r="FS51" s="290"/>
      <c r="FT51" s="291"/>
      <c r="FU51" s="288"/>
      <c r="FV51" s="290"/>
      <c r="FW51" s="291"/>
      <c r="FX51" s="288"/>
      <c r="FY51" s="290"/>
      <c r="FZ51" s="291"/>
      <c r="GA51" s="292"/>
      <c r="GB51" s="291"/>
      <c r="GC51" s="291"/>
      <c r="GD51" s="292"/>
      <c r="GE51" s="291"/>
      <c r="GF51" s="284"/>
      <c r="GG51" s="233"/>
    </row>
    <row r="52" spans="1:189">
      <c r="A52" s="1" t="s">
        <v>950</v>
      </c>
      <c r="B52" s="1">
        <f>Actions!F45</f>
        <v>44</v>
      </c>
      <c r="C52" s="1">
        <f ca="1">Actions!G45</f>
        <v>0</v>
      </c>
      <c r="D52" s="1">
        <f ca="1">Actions!H45</f>
        <v>0</v>
      </c>
      <c r="E52" s="1" t="str">
        <f ca="1">Actions!I45</f>
        <v>-</v>
      </c>
      <c r="F52" s="1" t="str">
        <f t="shared" ca="1" si="0"/>
        <v>-</v>
      </c>
      <c r="G52" s="1" t="e">
        <f t="shared" ca="1" si="1"/>
        <v>#REF!</v>
      </c>
      <c r="I52" s="1">
        <v>44</v>
      </c>
      <c r="J52" s="175">
        <f t="shared" ca="1" si="130"/>
        <v>0</v>
      </c>
      <c r="K52" s="175" t="str">
        <f t="shared" ca="1" si="169"/>
        <v/>
      </c>
      <c r="L52" s="169" t="str">
        <f t="shared" ca="1" si="93"/>
        <v/>
      </c>
      <c r="M52" s="169" t="str">
        <f t="array" aca="1" ref="M52" ca="1">IF(ROWS($9:51)&lt;=COUNTIF(Condition1,"o"),INDEX(Liste1,SMALL(IF(Condition1="o",ROW(INDIRECT("1:"&amp;ROWS(Liste1)))),ROWS($9:51))),"")</f>
        <v/>
      </c>
      <c r="N52" s="175">
        <f t="shared" ca="1" si="131"/>
        <v>0</v>
      </c>
      <c r="O52" s="175" t="str">
        <f t="shared" ca="1" si="170"/>
        <v/>
      </c>
      <c r="P52" s="169" t="str">
        <f t="shared" ca="1" si="94"/>
        <v/>
      </c>
      <c r="Q52" s="169" t="str">
        <f t="array" aca="1" ref="Q52" ca="1">IF(ROWS($9:51)&lt;=COUNTIF(Condition2,"o"),INDEX(Liste2,SMALL(IF(Condition2="o",ROW(INDIRECT("1:"&amp;ROWS(Liste2)))),ROWS($9:51))),"")</f>
        <v/>
      </c>
      <c r="R52" s="175">
        <f t="shared" ca="1" si="132"/>
        <v>0</v>
      </c>
      <c r="S52" s="175" t="str">
        <f t="shared" ca="1" si="171"/>
        <v/>
      </c>
      <c r="T52" s="169" t="str">
        <f t="shared" ca="1" si="95"/>
        <v/>
      </c>
      <c r="U52" s="169" t="str">
        <f t="array" aca="1" ref="U52" ca="1">IF(ROWS($9:51)&lt;=COUNTIF(Condition3,"o"),INDEX(Liste3,SMALL(IF(Condition3="o",ROW(INDIRECT("1:"&amp;ROWS(Liste3)))),ROWS($9:51))),"")</f>
        <v/>
      </c>
      <c r="V52" s="175">
        <f t="shared" ca="1" si="133"/>
        <v>0</v>
      </c>
      <c r="W52" s="175" t="str">
        <f t="shared" ca="1" si="172"/>
        <v/>
      </c>
      <c r="X52" s="169" t="str">
        <f t="shared" ca="1" si="96"/>
        <v/>
      </c>
      <c r="Y52" s="169" t="str">
        <f t="array" aca="1" ref="Y52" ca="1">IF(ROWS($9:51)&lt;=COUNTIF(Condition4,"o"),INDEX(Liste4,SMALL(IF(Condition4="o",ROW(INDIRECT("1:"&amp;ROWS(Liste4)))),ROWS($9:51))),"")</f>
        <v/>
      </c>
      <c r="Z52" s="175">
        <f t="shared" ca="1" si="134"/>
        <v>0</v>
      </c>
      <c r="AA52" s="175" t="str">
        <f t="shared" ca="1" si="173"/>
        <v/>
      </c>
      <c r="AB52" s="169" t="str">
        <f t="shared" ca="1" si="97"/>
        <v/>
      </c>
      <c r="AC52" s="169" t="str">
        <f t="array" aca="1" ref="AC52" ca="1">IF(ROWS($9:51)&lt;=COUNTIF(Condition5,"o"),INDEX(Liste5,SMALL(IF(Condition5="o",ROW(INDIRECT("1:"&amp;ROWS(Liste5)))),ROWS($9:51))),"")</f>
        <v/>
      </c>
      <c r="AD52" s="175">
        <f t="shared" ca="1" si="135"/>
        <v>0</v>
      </c>
      <c r="AE52" s="175" t="str">
        <f t="shared" ca="1" si="174"/>
        <v/>
      </c>
      <c r="AF52" s="169" t="str">
        <f t="shared" ca="1" si="98"/>
        <v/>
      </c>
      <c r="AG52" s="169" t="str">
        <f t="array" aca="1" ref="AG52" ca="1">IF(ROWS($9:51)&lt;=COUNTIF(Condition6,"o"),INDEX(Liste6,SMALL(IF(Condition6="o",ROW(INDIRECT("1:"&amp;ROWS(Liste6)))),ROWS($9:51))),"")</f>
        <v/>
      </c>
      <c r="AH52" s="175">
        <f t="shared" ca="1" si="136"/>
        <v>0</v>
      </c>
      <c r="AI52" s="175" t="str">
        <f t="shared" ca="1" si="175"/>
        <v/>
      </c>
      <c r="AJ52" s="169" t="str">
        <f t="shared" ca="1" si="99"/>
        <v/>
      </c>
      <c r="AK52" s="169" t="str">
        <f t="array" aca="1" ref="AK52" ca="1">IF(ROWS($9:51)&lt;=COUNTIF(Condition7,"o"),INDEX(Liste7,SMALL(IF(Condition7="o",ROW(INDIRECT("1:"&amp;ROWS(Liste7)))),ROWS($9:51))),"")</f>
        <v/>
      </c>
      <c r="AL52" s="175">
        <f t="shared" ca="1" si="137"/>
        <v>0</v>
      </c>
      <c r="AM52" s="175" t="str">
        <f t="shared" ca="1" si="176"/>
        <v/>
      </c>
      <c r="AN52" s="169" t="str">
        <f t="shared" ca="1" si="100"/>
        <v/>
      </c>
      <c r="AO52" s="169" t="str">
        <f t="array" aca="1" ref="AO52" ca="1">IF(ROWS($9:51)&lt;=COUNTIF(Condition8,"o"),INDEX(Liste8,SMALL(IF(Condition8="o",ROW(INDIRECT("1:"&amp;ROWS(Liste8)))),ROWS($9:51))),"")</f>
        <v/>
      </c>
      <c r="AP52" s="175">
        <f t="shared" ca="1" si="138"/>
        <v>0</v>
      </c>
      <c r="AQ52" s="175" t="str">
        <f t="shared" ca="1" si="177"/>
        <v/>
      </c>
      <c r="AR52" s="169" t="str">
        <f t="shared" ca="1" si="101"/>
        <v/>
      </c>
      <c r="AS52" s="169" t="str">
        <f t="array" aca="1" ref="AS52" ca="1">IF(ROWS($9:51)&lt;=COUNTIF(Condition9,"o"),INDEX(Liste9,SMALL(IF(Condition9="o",ROW(INDIRECT("1:"&amp;ROWS(Liste9)))),ROWS($9:51))),"")</f>
        <v/>
      </c>
      <c r="AT52" s="175">
        <f t="shared" ca="1" si="139"/>
        <v>0</v>
      </c>
      <c r="AU52" s="175" t="str">
        <f t="shared" ca="1" si="178"/>
        <v/>
      </c>
      <c r="AV52" s="169" t="str">
        <f t="shared" ca="1" si="102"/>
        <v/>
      </c>
      <c r="AW52" s="169" t="str">
        <f t="array" aca="1" ref="AW52" ca="1">IF(ROWS($9:51)&lt;=COUNTIF(Condition10,"o"),INDEX(Liste10,SMALL(IF(Condition10="o",ROW(INDIRECT("1:"&amp;ROWS(Liste10)))),ROWS($9:51))),"")</f>
        <v/>
      </c>
      <c r="AX52" s="175">
        <f t="shared" ca="1" si="140"/>
        <v>0</v>
      </c>
      <c r="AY52" s="175" t="str">
        <f t="shared" ca="1" si="179"/>
        <v/>
      </c>
      <c r="AZ52" s="169" t="str">
        <f t="shared" ca="1" si="103"/>
        <v/>
      </c>
      <c r="BA52" s="169" t="str">
        <f t="array" aca="1" ref="BA52" ca="1">IF(ROWS($9:51)&lt;=COUNTIF(Condition11,"o"),INDEX(Liste11,SMALL(IF(Condition11="o",ROW(INDIRECT("1:"&amp;ROWS(Liste11)))),ROWS($9:51))),"")</f>
        <v/>
      </c>
      <c r="BB52" s="175">
        <f t="shared" ca="1" si="141"/>
        <v>0</v>
      </c>
      <c r="BC52" s="175" t="str">
        <f t="shared" ca="1" si="180"/>
        <v/>
      </c>
      <c r="BD52" s="169" t="str">
        <f t="shared" ca="1" si="104"/>
        <v/>
      </c>
      <c r="BE52" s="169" t="str">
        <f t="array" aca="1" ref="BE52" ca="1">IF(ROWS($9:51)&lt;=COUNTIF(Condition12,"o"),INDEX(Liste12,SMALL(IF(Condition12="o",ROW(INDIRECT("1:"&amp;ROWS(Liste12)))),ROWS($9:51))),"")</f>
        <v/>
      </c>
      <c r="BF52" s="175">
        <f t="shared" ca="1" si="142"/>
        <v>0</v>
      </c>
      <c r="BG52" s="175" t="str">
        <f t="shared" ca="1" si="181"/>
        <v/>
      </c>
      <c r="BH52" s="169" t="str">
        <f t="shared" ca="1" si="105"/>
        <v/>
      </c>
      <c r="BI52" s="169" t="str">
        <f t="array" aca="1" ref="BI52" ca="1">IF(ROWS($9:51)&lt;=COUNTIF(Condition13,"o"),INDEX(Liste13,SMALL(IF(Condition13="o",ROW(INDIRECT("1:"&amp;ROWS(Liste13)))),ROWS($9:51))),"")</f>
        <v/>
      </c>
      <c r="BJ52" s="175">
        <f t="shared" ca="1" si="143"/>
        <v>0</v>
      </c>
      <c r="BK52" s="175" t="str">
        <f t="shared" ca="1" si="182"/>
        <v/>
      </c>
      <c r="BL52" s="169" t="str">
        <f t="shared" ca="1" si="106"/>
        <v/>
      </c>
      <c r="BM52" s="169" t="str">
        <f t="array" aca="1" ref="BM52" ca="1">IF(ROWS($9:51)&lt;=COUNTIF(Condition14,"o"),INDEX(Liste14,SMALL(IF(Condition14="o",ROW(INDIRECT("1:"&amp;ROWS(Liste14)))),ROWS($9:51))),"")</f>
        <v/>
      </c>
      <c r="BN52" s="175">
        <f t="shared" ca="1" si="144"/>
        <v>0</v>
      </c>
      <c r="BO52" s="175" t="str">
        <f t="shared" ca="1" si="183"/>
        <v/>
      </c>
      <c r="BP52" s="169" t="str">
        <f t="shared" ca="1" si="107"/>
        <v/>
      </c>
      <c r="BQ52" s="169" t="str">
        <f t="array" aca="1" ref="BQ52" ca="1">IF(ROWS($9:51)&lt;=COUNTIF(Condition15,"o"),INDEX(Liste15,SMALL(IF(Condition15="o",ROW(INDIRECT("1:"&amp;ROWS(Liste15)))),ROWS($9:51))),"")</f>
        <v/>
      </c>
      <c r="BR52" s="175">
        <f t="shared" ca="1" si="145"/>
        <v>0</v>
      </c>
      <c r="BS52" s="175" t="str">
        <f t="shared" ca="1" si="184"/>
        <v/>
      </c>
      <c r="BT52" s="169" t="str">
        <f t="shared" ca="1" si="108"/>
        <v/>
      </c>
      <c r="BU52" s="169" t="str">
        <f t="array" aca="1" ref="BU52" ca="1">IF(ROWS($9:51)&lt;=COUNTIF(Condition16,"o"),INDEX(Liste16,SMALL(IF(Condition16="o",ROW(INDIRECT("1:"&amp;ROWS(Liste16)))),ROWS($9:51))),"")</f>
        <v/>
      </c>
      <c r="BV52" s="175">
        <f t="shared" ca="1" si="146"/>
        <v>0</v>
      </c>
      <c r="BW52" s="175" t="str">
        <f t="shared" ca="1" si="185"/>
        <v/>
      </c>
      <c r="BX52" s="169" t="str">
        <f t="shared" ca="1" si="109"/>
        <v/>
      </c>
      <c r="BY52" s="169" t="str">
        <f t="array" aca="1" ref="BY52" ca="1">IF(ROWS($9:51)&lt;=COUNTIF(Condition17,"o"),INDEX(Liste17,SMALL(IF(Condition17="o",ROW(INDIRECT("1:"&amp;ROWS(Liste17)))),ROWS($9:51))),"")</f>
        <v/>
      </c>
      <c r="BZ52" s="175">
        <f t="shared" ca="1" si="147"/>
        <v>0</v>
      </c>
      <c r="CA52" s="175" t="str">
        <f t="shared" ca="1" si="186"/>
        <v/>
      </c>
      <c r="CB52" s="169" t="str">
        <f t="shared" ca="1" si="110"/>
        <v/>
      </c>
      <c r="CC52" s="169" t="str">
        <f t="array" aca="1" ref="CC52" ca="1">IF(ROWS($9:51)&lt;=COUNTIF(Condition18,"o"),INDEX(Liste18,SMALL(IF(Condition18="o",ROW(INDIRECT("1:"&amp;ROWS(Liste18)))),ROWS($9:51))),"")</f>
        <v/>
      </c>
      <c r="CD52" s="175">
        <f t="shared" ca="1" si="148"/>
        <v>0</v>
      </c>
      <c r="CE52" s="175" t="str">
        <f t="shared" ca="1" si="187"/>
        <v/>
      </c>
      <c r="CF52" s="169" t="str">
        <f t="shared" ca="1" si="111"/>
        <v/>
      </c>
      <c r="CG52" s="169" t="str">
        <f t="array" aca="1" ref="CG52" ca="1">IF(ROWS($9:51)&lt;=COUNTIF(Condition19,"o"),INDEX(Liste19,SMALL(IF(Condition19="o",ROW(INDIRECT("1:"&amp;ROWS(Liste19)))),ROWS($9:51))),"")</f>
        <v/>
      </c>
      <c r="CH52" s="175">
        <f t="shared" ca="1" si="149"/>
        <v>0</v>
      </c>
      <c r="CI52" s="175" t="str">
        <f t="shared" ca="1" si="188"/>
        <v/>
      </c>
      <c r="CJ52" s="169" t="str">
        <f t="shared" ca="1" si="112"/>
        <v/>
      </c>
      <c r="CK52" s="169" t="str">
        <f t="array" aca="1" ref="CK52" ca="1">IF(ROWS($9:51)&lt;=COUNTIF(Condition20,"o"),INDEX(Liste20,SMALL(IF(Condition20="o",ROW(INDIRECT("1:"&amp;ROWS(Liste20)))),ROWS($9:51))),"")</f>
        <v/>
      </c>
      <c r="CL52" s="175">
        <f t="shared" ca="1" si="150"/>
        <v>0</v>
      </c>
      <c r="CM52" s="175" t="str">
        <f t="shared" ca="1" si="189"/>
        <v/>
      </c>
      <c r="CN52" s="169" t="str">
        <f t="shared" ca="1" si="113"/>
        <v/>
      </c>
      <c r="CO52" s="169" t="str">
        <f t="array" aca="1" ref="CO52" ca="1">IF(ROWS($9:51)&lt;=COUNTIF(Condition21,"o"),INDEX(Liste21,SMALL(IF(Condition21="o",ROW(INDIRECT("1:"&amp;ROWS(Liste21)))),ROWS($9:51))),"")</f>
        <v/>
      </c>
      <c r="CP52" s="175">
        <f t="shared" ca="1" si="151"/>
        <v>0</v>
      </c>
      <c r="CQ52" s="175" t="str">
        <f t="shared" ca="1" si="190"/>
        <v/>
      </c>
      <c r="CR52" s="169" t="str">
        <f t="shared" ca="1" si="114"/>
        <v/>
      </c>
      <c r="CS52" s="169" t="str">
        <f t="array" aca="1" ref="CS52" ca="1">IF(ROWS($9:51)&lt;=COUNTIF(Condition22,"o"),INDEX(Liste22,SMALL(IF(Condition22="o",ROW(INDIRECT("1:"&amp;ROWS(Liste22)))),ROWS($9:51))),"")</f>
        <v/>
      </c>
      <c r="CT52" s="175">
        <f t="shared" ca="1" si="152"/>
        <v>0</v>
      </c>
      <c r="CU52" s="175" t="str">
        <f t="shared" ca="1" si="191"/>
        <v/>
      </c>
      <c r="CV52" s="169" t="str">
        <f t="shared" ca="1" si="115"/>
        <v/>
      </c>
      <c r="CW52" s="169" t="str">
        <f t="array" aca="1" ref="CW52" ca="1">IF(ROWS($9:51)&lt;=COUNTIF(Condition23,"o"),INDEX(Liste23,SMALL(IF(Condition23="o",ROW(INDIRECT("1:"&amp;ROWS(Liste23)))),ROWS($9:51))),"")</f>
        <v/>
      </c>
      <c r="CX52" s="175">
        <f t="shared" ca="1" si="153"/>
        <v>0</v>
      </c>
      <c r="CY52" s="175" t="str">
        <f t="shared" ca="1" si="192"/>
        <v/>
      </c>
      <c r="CZ52" s="169" t="str">
        <f t="shared" ca="1" si="116"/>
        <v/>
      </c>
      <c r="DA52" s="169" t="str">
        <f t="array" aca="1" ref="DA52" ca="1">IF(ROWS($9:51)&lt;=COUNTIF(Condition24,"o"),INDEX(Liste24,SMALL(IF(Condition24="o",ROW(INDIRECT("1:"&amp;ROWS(Liste24)))),ROWS($9:51))),"")</f>
        <v/>
      </c>
      <c r="DB52" s="175">
        <f t="shared" ca="1" si="154"/>
        <v>0</v>
      </c>
      <c r="DC52" s="175" t="str">
        <f t="shared" ca="1" si="193"/>
        <v/>
      </c>
      <c r="DD52" s="169" t="str">
        <f t="shared" ca="1" si="117"/>
        <v/>
      </c>
      <c r="DE52" s="169" t="str">
        <f t="array" aca="1" ref="DE52" ca="1">IF(ROWS($9:51)&lt;=COUNTIF(Condition25,"o"),INDEX(Liste25,SMALL(IF(Condition25="o",ROW(INDIRECT("1:"&amp;ROWS(Liste25)))),ROWS($9:51))),"")</f>
        <v/>
      </c>
      <c r="DF52" s="175">
        <f t="shared" ca="1" si="155"/>
        <v>0</v>
      </c>
      <c r="DG52" s="175" t="str">
        <f t="shared" ca="1" si="194"/>
        <v/>
      </c>
      <c r="DH52" s="169" t="str">
        <f t="shared" ca="1" si="118"/>
        <v/>
      </c>
      <c r="DI52" s="169" t="str">
        <f t="array" aca="1" ref="DI52" ca="1">IF(ROWS($9:51)&lt;=COUNTIF(Condition26,"o"),INDEX(Liste26,SMALL(IF(Condition26="o",ROW(INDIRECT("1:"&amp;ROWS(Liste26)))),ROWS($9:51))),"")</f>
        <v/>
      </c>
      <c r="DJ52" s="175">
        <f t="shared" ca="1" si="156"/>
        <v>0</v>
      </c>
      <c r="DK52" s="175" t="str">
        <f t="shared" ca="1" si="195"/>
        <v/>
      </c>
      <c r="DL52" s="169" t="str">
        <f t="shared" ca="1" si="119"/>
        <v/>
      </c>
      <c r="DM52" s="169" t="str">
        <f t="array" aca="1" ref="DM52" ca="1">IF(ROWS($9:51)&lt;=COUNTIF(Condition27,"o"),INDEX(Liste27,SMALL(IF(Condition27="o",ROW(INDIRECT("1:"&amp;ROWS(Liste27)))),ROWS($9:51))),"")</f>
        <v/>
      </c>
      <c r="DN52" s="175">
        <f t="shared" ca="1" si="157"/>
        <v>0</v>
      </c>
      <c r="DO52" s="175" t="str">
        <f t="shared" ca="1" si="196"/>
        <v/>
      </c>
      <c r="DP52" s="169" t="str">
        <f t="shared" ca="1" si="120"/>
        <v/>
      </c>
      <c r="DQ52" s="169" t="str">
        <f t="array" aca="1" ref="DQ52" ca="1">IF(ROWS($9:51)&lt;=COUNTIF(Condition28,"o"),INDEX(Liste28,SMALL(IF(Condition28="o",ROW(INDIRECT("1:"&amp;ROWS(Liste28)))),ROWS($9:51))),"")</f>
        <v/>
      </c>
      <c r="DR52" s="175">
        <f t="shared" ca="1" si="158"/>
        <v>0</v>
      </c>
      <c r="DS52" s="175" t="str">
        <f t="shared" ca="1" si="197"/>
        <v/>
      </c>
      <c r="DT52" s="169" t="str">
        <f t="shared" ca="1" si="121"/>
        <v/>
      </c>
      <c r="DU52" s="169" t="str">
        <f t="array" aca="1" ref="DU52" ca="1">IF(ROWS($9:51)&lt;=COUNTIF(Condition29,"o"),INDEX(Liste29,SMALL(IF(Condition29="o",ROW(INDIRECT("1:"&amp;ROWS(Liste29)))),ROWS($9:51))),"")</f>
        <v/>
      </c>
      <c r="DV52" s="175">
        <f t="shared" ca="1" si="159"/>
        <v>0</v>
      </c>
      <c r="DW52" s="175" t="str">
        <f t="shared" ca="1" si="198"/>
        <v/>
      </c>
      <c r="DX52" s="169" t="str">
        <f t="shared" ca="1" si="122"/>
        <v/>
      </c>
      <c r="DY52" s="169" t="str">
        <f t="array" aca="1" ref="DY52" ca="1">IF(ROWS($9:51)&lt;=COUNTIF(Condition30,"o"),INDEX(Liste30,SMALL(IF(Condition30="o",ROW(INDIRECT("1:"&amp;ROWS(Liste30)))),ROWS($9:51))),"")</f>
        <v/>
      </c>
      <c r="DZ52" s="175">
        <f t="shared" ca="1" si="160"/>
        <v>0</v>
      </c>
      <c r="EA52" s="175" t="str">
        <f t="shared" ca="1" si="199"/>
        <v/>
      </c>
      <c r="EB52" s="169" t="str">
        <f t="shared" ca="1" si="123"/>
        <v/>
      </c>
      <c r="EC52" s="169" t="str">
        <f t="array" aca="1" ref="EC52" ca="1">IF(ROWS($9:51)&lt;=COUNTIF(Condition31,"o"),INDEX(Liste31,SMALL(IF(Condition31="o",ROW(INDIRECT("1:"&amp;ROWS(Liste31)))),ROWS($9:51))),"")</f>
        <v/>
      </c>
      <c r="ED52" s="175">
        <f t="shared" ca="1" si="161"/>
        <v>0</v>
      </c>
      <c r="EE52" s="175" t="str">
        <f t="shared" ca="1" si="200"/>
        <v/>
      </c>
      <c r="EF52" s="169" t="str">
        <f t="shared" ca="1" si="124"/>
        <v/>
      </c>
      <c r="EG52" s="169" t="str">
        <f t="array" aca="1" ref="EG52" ca="1">IF(ROWS($9:51)&lt;=COUNTIF(Condition32,"o"),INDEX(Liste32,SMALL(IF(Condition32="o",ROW(INDIRECT("1:"&amp;ROWS(Liste32)))),ROWS($9:51))),"")</f>
        <v/>
      </c>
      <c r="EH52" s="175">
        <f t="shared" ca="1" si="162"/>
        <v>0</v>
      </c>
      <c r="EI52" s="175" t="str">
        <f t="shared" ca="1" si="201"/>
        <v/>
      </c>
      <c r="EJ52" s="169" t="str">
        <f t="shared" ca="1" si="125"/>
        <v/>
      </c>
      <c r="EK52" s="169" t="str">
        <f t="array" aca="1" ref="EK52" ca="1">IF(ROWS($9:51)&lt;=COUNTIF(Condition33,"o"),INDEX(Liste33,SMALL(IF(Condition33="o",ROW(INDIRECT("1:"&amp;ROWS(Liste33)))),ROWS($9:51))),"")</f>
        <v/>
      </c>
      <c r="EL52" s="175">
        <f t="shared" ca="1" si="163"/>
        <v>0</v>
      </c>
      <c r="EM52" s="175" t="str">
        <f t="shared" ca="1" si="202"/>
        <v/>
      </c>
      <c r="EN52" s="169" t="str">
        <f t="shared" ca="1" si="126"/>
        <v/>
      </c>
      <c r="EO52" s="169" t="str">
        <f t="array" aca="1" ref="EO52" ca="1">IF(ROWS($9:51)&lt;=COUNTIF(Condition34,"o"),INDEX(Liste34,SMALL(IF(Condition34="o",ROW(INDIRECT("1:"&amp;ROWS(Liste34)))),ROWS($9:51))),"")</f>
        <v/>
      </c>
      <c r="EP52" s="175">
        <f t="shared" ca="1" si="164"/>
        <v>0</v>
      </c>
      <c r="EQ52" s="175" t="str">
        <f t="shared" ca="1" si="203"/>
        <v/>
      </c>
      <c r="ER52" s="169" t="str">
        <f t="shared" ca="1" si="127"/>
        <v/>
      </c>
      <c r="ES52" s="169" t="str">
        <f t="array" aca="1" ref="ES52" ca="1">IF(ROWS($9:51)&lt;=COUNTIF(Condition35,"o"),INDEX(Liste35,SMALL(IF(Condition35="o",ROW(INDIRECT("1:"&amp;ROWS(Liste35)))),ROWS($9:51))),"")</f>
        <v/>
      </c>
      <c r="ET52" s="175">
        <f t="shared" ca="1" si="165"/>
        <v>0</v>
      </c>
      <c r="EU52" s="175" t="str">
        <f t="shared" ca="1" si="204"/>
        <v/>
      </c>
      <c r="EV52" s="169" t="str">
        <f t="shared" ca="1" si="128"/>
        <v/>
      </c>
      <c r="EW52" s="169" t="str">
        <f t="array" aca="1" ref="EW52" ca="1">IF(ROWS($9:51)&lt;=COUNTIF(Condition36,"o"),INDEX(Liste36,SMALL(IF(Condition36="o",ROW(INDIRECT("1:"&amp;ROWS(Liste36)))),ROWS($9:51))),"")</f>
        <v/>
      </c>
      <c r="EX52" s="175">
        <f t="shared" ca="1" si="166"/>
        <v>0</v>
      </c>
      <c r="EY52" s="175" t="str">
        <f t="shared" ca="1" si="205"/>
        <v/>
      </c>
      <c r="EZ52" s="169" t="str">
        <f t="shared" ca="1" si="85"/>
        <v/>
      </c>
      <c r="FA52" s="169" t="str">
        <f t="array" aca="1" ref="FA52" ca="1">IF(ROWS($9:51)&lt;=COUNTIF(Condition36,"o"),INDEX(Liste36,SMALL(IF(Condition36="o",ROW(INDIRECT("1:"&amp;ROWS(Liste36)))),ROWS($9:51))),"")</f>
        <v/>
      </c>
      <c r="FB52" s="175">
        <f t="shared" ca="1" si="167"/>
        <v>0</v>
      </c>
      <c r="FC52" s="175" t="str">
        <f t="shared" ca="1" si="206"/>
        <v/>
      </c>
      <c r="FD52" s="169" t="str">
        <f t="shared" ca="1" si="86"/>
        <v/>
      </c>
      <c r="FE52" s="175">
        <f t="shared" si="168"/>
        <v>0</v>
      </c>
      <c r="FF52" s="175">
        <f t="shared" ca="1" si="168"/>
        <v>0</v>
      </c>
      <c r="FG52" s="175" t="str">
        <f t="shared" ca="1" si="207"/>
        <v/>
      </c>
      <c r="FH52" s="169" t="str">
        <f t="shared" ca="1" si="87"/>
        <v/>
      </c>
      <c r="FI52" s="169" t="str">
        <f t="array" aca="1" ref="FI52" ca="1">IF(ROWS($9:51)&lt;=COUNTIF(Condition39,"o"),INDEX(Liste39,SMALL(IF(Condition39="o",ROW(INDIRECT("1:"&amp;ROWS(Liste39)))),ROWS($9:51))),"")</f>
        <v/>
      </c>
      <c r="FO52" s="288"/>
      <c r="FQ52" s="289"/>
      <c r="FR52" s="288"/>
      <c r="FS52" s="290"/>
      <c r="FT52" s="291"/>
      <c r="FU52" s="288"/>
      <c r="FV52" s="290"/>
      <c r="FW52" s="291"/>
      <c r="FX52" s="288"/>
      <c r="FY52" s="290"/>
      <c r="FZ52" s="291"/>
      <c r="GA52" s="292"/>
      <c r="GB52" s="291"/>
      <c r="GC52" s="291"/>
      <c r="GD52" s="292"/>
      <c r="GE52" s="291"/>
      <c r="GF52" s="284"/>
      <c r="GG52" s="233"/>
    </row>
    <row r="53" spans="1:189">
      <c r="A53" s="1" t="s">
        <v>956</v>
      </c>
      <c r="B53" s="1">
        <f>Actions!F46</f>
        <v>45</v>
      </c>
      <c r="C53" s="1">
        <f ca="1">Actions!G46</f>
        <v>0</v>
      </c>
      <c r="D53" s="1">
        <f ca="1">Actions!H46</f>
        <v>0</v>
      </c>
      <c r="E53" s="1" t="str">
        <f ca="1">Actions!I46</f>
        <v>-</v>
      </c>
      <c r="F53" s="1" t="str">
        <f t="shared" ca="1" si="0"/>
        <v>-</v>
      </c>
      <c r="G53" s="1" t="e">
        <f t="shared" ca="1" si="1"/>
        <v>#REF!</v>
      </c>
      <c r="I53" s="1">
        <v>45</v>
      </c>
      <c r="J53" s="175">
        <f t="shared" ca="1" si="130"/>
        <v>0</v>
      </c>
      <c r="K53" s="175" t="str">
        <f t="shared" ca="1" si="169"/>
        <v/>
      </c>
      <c r="L53" s="169" t="str">
        <f t="shared" ca="1" si="93"/>
        <v/>
      </c>
      <c r="M53" s="169" t="str">
        <f t="array" aca="1" ref="M53" ca="1">IF(ROWS($9:52)&lt;=COUNTIF(Condition1,"o"),INDEX(Liste1,SMALL(IF(Condition1="o",ROW(INDIRECT("1:"&amp;ROWS(Liste1)))),ROWS($9:52))),"")</f>
        <v/>
      </c>
      <c r="N53" s="175">
        <f t="shared" ca="1" si="131"/>
        <v>0</v>
      </c>
      <c r="O53" s="175" t="str">
        <f t="shared" ca="1" si="170"/>
        <v/>
      </c>
      <c r="P53" s="169" t="str">
        <f t="shared" ca="1" si="94"/>
        <v/>
      </c>
      <c r="Q53" s="169" t="str">
        <f t="array" aca="1" ref="Q53" ca="1">IF(ROWS($9:52)&lt;=COUNTIF(Condition2,"o"),INDEX(Liste2,SMALL(IF(Condition2="o",ROW(INDIRECT("1:"&amp;ROWS(Liste2)))),ROWS($9:52))),"")</f>
        <v/>
      </c>
      <c r="R53" s="175">
        <f t="shared" ca="1" si="132"/>
        <v>0</v>
      </c>
      <c r="S53" s="175" t="str">
        <f t="shared" ca="1" si="171"/>
        <v/>
      </c>
      <c r="T53" s="169" t="str">
        <f t="shared" ca="1" si="95"/>
        <v/>
      </c>
      <c r="U53" s="169" t="str">
        <f t="array" aca="1" ref="U53" ca="1">IF(ROWS($9:52)&lt;=COUNTIF(Condition3,"o"),INDEX(Liste3,SMALL(IF(Condition3="o",ROW(INDIRECT("1:"&amp;ROWS(Liste3)))),ROWS($9:52))),"")</f>
        <v/>
      </c>
      <c r="V53" s="175">
        <f t="shared" ca="1" si="133"/>
        <v>0</v>
      </c>
      <c r="W53" s="175" t="str">
        <f t="shared" ca="1" si="172"/>
        <v/>
      </c>
      <c r="X53" s="169" t="str">
        <f t="shared" ca="1" si="96"/>
        <v/>
      </c>
      <c r="Y53" s="169" t="str">
        <f t="array" aca="1" ref="Y53" ca="1">IF(ROWS($9:52)&lt;=COUNTIF(Condition4,"o"),INDEX(Liste4,SMALL(IF(Condition4="o",ROW(INDIRECT("1:"&amp;ROWS(Liste4)))),ROWS($9:52))),"")</f>
        <v/>
      </c>
      <c r="Z53" s="175">
        <f t="shared" ca="1" si="134"/>
        <v>0</v>
      </c>
      <c r="AA53" s="175" t="str">
        <f t="shared" ca="1" si="173"/>
        <v/>
      </c>
      <c r="AB53" s="169" t="str">
        <f t="shared" ca="1" si="97"/>
        <v/>
      </c>
      <c r="AC53" s="169" t="str">
        <f t="array" aca="1" ref="AC53" ca="1">IF(ROWS($9:52)&lt;=COUNTIF(Condition5,"o"),INDEX(Liste5,SMALL(IF(Condition5="o",ROW(INDIRECT("1:"&amp;ROWS(Liste5)))),ROWS($9:52))),"")</f>
        <v/>
      </c>
      <c r="AD53" s="175">
        <f t="shared" ca="1" si="135"/>
        <v>0</v>
      </c>
      <c r="AE53" s="175" t="str">
        <f t="shared" ca="1" si="174"/>
        <v/>
      </c>
      <c r="AF53" s="169" t="str">
        <f t="shared" ca="1" si="98"/>
        <v/>
      </c>
      <c r="AG53" s="169" t="str">
        <f t="array" aca="1" ref="AG53" ca="1">IF(ROWS($9:52)&lt;=COUNTIF(Condition6,"o"),INDEX(Liste6,SMALL(IF(Condition6="o",ROW(INDIRECT("1:"&amp;ROWS(Liste6)))),ROWS($9:52))),"")</f>
        <v/>
      </c>
      <c r="AH53" s="175">
        <f t="shared" ca="1" si="136"/>
        <v>0</v>
      </c>
      <c r="AI53" s="175" t="str">
        <f t="shared" ca="1" si="175"/>
        <v/>
      </c>
      <c r="AJ53" s="169" t="str">
        <f t="shared" ca="1" si="99"/>
        <v/>
      </c>
      <c r="AK53" s="169" t="str">
        <f t="array" aca="1" ref="AK53" ca="1">IF(ROWS($9:52)&lt;=COUNTIF(Condition7,"o"),INDEX(Liste7,SMALL(IF(Condition7="o",ROW(INDIRECT("1:"&amp;ROWS(Liste7)))),ROWS($9:52))),"")</f>
        <v/>
      </c>
      <c r="AL53" s="175">
        <f t="shared" ca="1" si="137"/>
        <v>0</v>
      </c>
      <c r="AM53" s="175" t="str">
        <f t="shared" ca="1" si="176"/>
        <v/>
      </c>
      <c r="AN53" s="169" t="str">
        <f t="shared" ca="1" si="100"/>
        <v/>
      </c>
      <c r="AO53" s="169" t="str">
        <f t="array" aca="1" ref="AO53" ca="1">IF(ROWS($9:52)&lt;=COUNTIF(Condition8,"o"),INDEX(Liste8,SMALL(IF(Condition8="o",ROW(INDIRECT("1:"&amp;ROWS(Liste8)))),ROWS($9:52))),"")</f>
        <v/>
      </c>
      <c r="AP53" s="175">
        <f t="shared" ca="1" si="138"/>
        <v>0</v>
      </c>
      <c r="AQ53" s="175" t="str">
        <f t="shared" ca="1" si="177"/>
        <v/>
      </c>
      <c r="AR53" s="169" t="str">
        <f t="shared" ca="1" si="101"/>
        <v/>
      </c>
      <c r="AS53" s="169" t="str">
        <f t="array" aca="1" ref="AS53" ca="1">IF(ROWS($9:52)&lt;=COUNTIF(Condition9,"o"),INDEX(Liste9,SMALL(IF(Condition9="o",ROW(INDIRECT("1:"&amp;ROWS(Liste9)))),ROWS($9:52))),"")</f>
        <v/>
      </c>
      <c r="AT53" s="175">
        <f t="shared" ca="1" si="139"/>
        <v>0</v>
      </c>
      <c r="AU53" s="175" t="str">
        <f t="shared" ca="1" si="178"/>
        <v/>
      </c>
      <c r="AV53" s="169" t="str">
        <f t="shared" ca="1" si="102"/>
        <v/>
      </c>
      <c r="AW53" s="169" t="str">
        <f t="array" aca="1" ref="AW53" ca="1">IF(ROWS($9:52)&lt;=COUNTIF(Condition10,"o"),INDEX(Liste10,SMALL(IF(Condition10="o",ROW(INDIRECT("1:"&amp;ROWS(Liste10)))),ROWS($9:52))),"")</f>
        <v/>
      </c>
      <c r="AX53" s="175">
        <f t="shared" ca="1" si="140"/>
        <v>0</v>
      </c>
      <c r="AY53" s="175" t="str">
        <f t="shared" ca="1" si="179"/>
        <v/>
      </c>
      <c r="AZ53" s="169" t="str">
        <f t="shared" ca="1" si="103"/>
        <v/>
      </c>
      <c r="BA53" s="169" t="str">
        <f t="array" aca="1" ref="BA53" ca="1">IF(ROWS($9:52)&lt;=COUNTIF(Condition11,"o"),INDEX(Liste11,SMALL(IF(Condition11="o",ROW(INDIRECT("1:"&amp;ROWS(Liste11)))),ROWS($9:52))),"")</f>
        <v/>
      </c>
      <c r="BB53" s="175">
        <f t="shared" ca="1" si="141"/>
        <v>0</v>
      </c>
      <c r="BC53" s="175" t="str">
        <f t="shared" ca="1" si="180"/>
        <v/>
      </c>
      <c r="BD53" s="169" t="str">
        <f t="shared" ca="1" si="104"/>
        <v/>
      </c>
      <c r="BE53" s="169" t="str">
        <f t="array" aca="1" ref="BE53" ca="1">IF(ROWS($9:52)&lt;=COUNTIF(Condition12,"o"),INDEX(Liste12,SMALL(IF(Condition12="o",ROW(INDIRECT("1:"&amp;ROWS(Liste12)))),ROWS($9:52))),"")</f>
        <v/>
      </c>
      <c r="BF53" s="175">
        <f t="shared" ca="1" si="142"/>
        <v>0</v>
      </c>
      <c r="BG53" s="175" t="str">
        <f t="shared" ca="1" si="181"/>
        <v/>
      </c>
      <c r="BH53" s="169" t="str">
        <f t="shared" ca="1" si="105"/>
        <v/>
      </c>
      <c r="BI53" s="169" t="str">
        <f t="array" aca="1" ref="BI53" ca="1">IF(ROWS($9:52)&lt;=COUNTIF(Condition13,"o"),INDEX(Liste13,SMALL(IF(Condition13="o",ROW(INDIRECT("1:"&amp;ROWS(Liste13)))),ROWS($9:52))),"")</f>
        <v/>
      </c>
      <c r="BJ53" s="175">
        <f t="shared" ca="1" si="143"/>
        <v>0</v>
      </c>
      <c r="BK53" s="175" t="str">
        <f t="shared" ca="1" si="182"/>
        <v/>
      </c>
      <c r="BL53" s="169" t="str">
        <f t="shared" ca="1" si="106"/>
        <v/>
      </c>
      <c r="BM53" s="169" t="str">
        <f t="array" aca="1" ref="BM53" ca="1">IF(ROWS($9:52)&lt;=COUNTIF(Condition14,"o"),INDEX(Liste14,SMALL(IF(Condition14="o",ROW(INDIRECT("1:"&amp;ROWS(Liste14)))),ROWS($9:52))),"")</f>
        <v/>
      </c>
      <c r="BN53" s="175">
        <f t="shared" ca="1" si="144"/>
        <v>0</v>
      </c>
      <c r="BO53" s="175" t="str">
        <f t="shared" ca="1" si="183"/>
        <v/>
      </c>
      <c r="BP53" s="169" t="str">
        <f t="shared" ca="1" si="107"/>
        <v/>
      </c>
      <c r="BQ53" s="169" t="str">
        <f t="array" aca="1" ref="BQ53" ca="1">IF(ROWS($9:52)&lt;=COUNTIF(Condition15,"o"),INDEX(Liste15,SMALL(IF(Condition15="o",ROW(INDIRECT("1:"&amp;ROWS(Liste15)))),ROWS($9:52))),"")</f>
        <v/>
      </c>
      <c r="BR53" s="175">
        <f t="shared" ca="1" si="145"/>
        <v>0</v>
      </c>
      <c r="BS53" s="175" t="str">
        <f t="shared" ca="1" si="184"/>
        <v/>
      </c>
      <c r="BT53" s="169" t="str">
        <f t="shared" ca="1" si="108"/>
        <v/>
      </c>
      <c r="BU53" s="169" t="str">
        <f t="array" aca="1" ref="BU53" ca="1">IF(ROWS($9:52)&lt;=COUNTIF(Condition16,"o"),INDEX(Liste16,SMALL(IF(Condition16="o",ROW(INDIRECT("1:"&amp;ROWS(Liste16)))),ROWS($9:52))),"")</f>
        <v/>
      </c>
      <c r="BV53" s="175">
        <f t="shared" ca="1" si="146"/>
        <v>0</v>
      </c>
      <c r="BW53" s="175" t="str">
        <f t="shared" ca="1" si="185"/>
        <v/>
      </c>
      <c r="BX53" s="169" t="str">
        <f t="shared" ca="1" si="109"/>
        <v/>
      </c>
      <c r="BY53" s="169" t="str">
        <f t="array" aca="1" ref="BY53" ca="1">IF(ROWS($9:52)&lt;=COUNTIF(Condition17,"o"),INDEX(Liste17,SMALL(IF(Condition17="o",ROW(INDIRECT("1:"&amp;ROWS(Liste17)))),ROWS($9:52))),"")</f>
        <v/>
      </c>
      <c r="BZ53" s="175">
        <f t="shared" ca="1" si="147"/>
        <v>0</v>
      </c>
      <c r="CA53" s="175" t="str">
        <f t="shared" ca="1" si="186"/>
        <v/>
      </c>
      <c r="CB53" s="169" t="str">
        <f t="shared" ca="1" si="110"/>
        <v/>
      </c>
      <c r="CC53" s="169" t="str">
        <f t="array" aca="1" ref="CC53" ca="1">IF(ROWS($9:52)&lt;=COUNTIF(Condition18,"o"),INDEX(Liste18,SMALL(IF(Condition18="o",ROW(INDIRECT("1:"&amp;ROWS(Liste18)))),ROWS($9:52))),"")</f>
        <v/>
      </c>
      <c r="CD53" s="175">
        <f t="shared" ca="1" si="148"/>
        <v>0</v>
      </c>
      <c r="CE53" s="175" t="str">
        <f t="shared" ca="1" si="187"/>
        <v/>
      </c>
      <c r="CF53" s="169" t="str">
        <f t="shared" ca="1" si="111"/>
        <v/>
      </c>
      <c r="CG53" s="169" t="str">
        <f t="array" aca="1" ref="CG53" ca="1">IF(ROWS($9:52)&lt;=COUNTIF(Condition19,"o"),INDEX(Liste19,SMALL(IF(Condition19="o",ROW(INDIRECT("1:"&amp;ROWS(Liste19)))),ROWS($9:52))),"")</f>
        <v/>
      </c>
      <c r="CH53" s="175">
        <f t="shared" ca="1" si="149"/>
        <v>0</v>
      </c>
      <c r="CI53" s="175" t="str">
        <f t="shared" ca="1" si="188"/>
        <v/>
      </c>
      <c r="CJ53" s="169" t="str">
        <f t="shared" ca="1" si="112"/>
        <v/>
      </c>
      <c r="CK53" s="169" t="str">
        <f t="array" aca="1" ref="CK53" ca="1">IF(ROWS($9:52)&lt;=COUNTIF(Condition20,"o"),INDEX(Liste20,SMALL(IF(Condition20="o",ROW(INDIRECT("1:"&amp;ROWS(Liste20)))),ROWS($9:52))),"")</f>
        <v/>
      </c>
      <c r="CL53" s="175">
        <f t="shared" ca="1" si="150"/>
        <v>0</v>
      </c>
      <c r="CM53" s="175" t="str">
        <f t="shared" ca="1" si="189"/>
        <v/>
      </c>
      <c r="CN53" s="169" t="str">
        <f t="shared" ca="1" si="113"/>
        <v/>
      </c>
      <c r="CO53" s="169" t="str">
        <f t="array" aca="1" ref="CO53" ca="1">IF(ROWS($9:52)&lt;=COUNTIF(Condition21,"o"),INDEX(Liste21,SMALL(IF(Condition21="o",ROW(INDIRECT("1:"&amp;ROWS(Liste21)))),ROWS($9:52))),"")</f>
        <v/>
      </c>
      <c r="CP53" s="175">
        <f t="shared" ca="1" si="151"/>
        <v>0</v>
      </c>
      <c r="CQ53" s="175" t="str">
        <f t="shared" ca="1" si="190"/>
        <v/>
      </c>
      <c r="CR53" s="169" t="str">
        <f t="shared" ca="1" si="114"/>
        <v/>
      </c>
      <c r="CS53" s="169" t="str">
        <f t="array" aca="1" ref="CS53" ca="1">IF(ROWS($9:52)&lt;=COUNTIF(Condition22,"o"),INDEX(Liste22,SMALL(IF(Condition22="o",ROW(INDIRECT("1:"&amp;ROWS(Liste22)))),ROWS($9:52))),"")</f>
        <v/>
      </c>
      <c r="CT53" s="175">
        <f t="shared" ca="1" si="152"/>
        <v>0</v>
      </c>
      <c r="CU53" s="175" t="str">
        <f t="shared" ca="1" si="191"/>
        <v/>
      </c>
      <c r="CV53" s="169" t="str">
        <f t="shared" ca="1" si="115"/>
        <v/>
      </c>
      <c r="CW53" s="169" t="str">
        <f t="array" aca="1" ref="CW53" ca="1">IF(ROWS($9:52)&lt;=COUNTIF(Condition23,"o"),INDEX(Liste23,SMALL(IF(Condition23="o",ROW(INDIRECT("1:"&amp;ROWS(Liste23)))),ROWS($9:52))),"")</f>
        <v/>
      </c>
      <c r="CX53" s="175">
        <f t="shared" ca="1" si="153"/>
        <v>0</v>
      </c>
      <c r="CY53" s="175" t="str">
        <f t="shared" ca="1" si="192"/>
        <v/>
      </c>
      <c r="CZ53" s="169" t="str">
        <f t="shared" ca="1" si="116"/>
        <v/>
      </c>
      <c r="DA53" s="169" t="str">
        <f t="array" aca="1" ref="DA53" ca="1">IF(ROWS($9:52)&lt;=COUNTIF(Condition24,"o"),INDEX(Liste24,SMALL(IF(Condition24="o",ROW(INDIRECT("1:"&amp;ROWS(Liste24)))),ROWS($9:52))),"")</f>
        <v/>
      </c>
      <c r="DB53" s="175">
        <f t="shared" ca="1" si="154"/>
        <v>0</v>
      </c>
      <c r="DC53" s="175" t="str">
        <f t="shared" ca="1" si="193"/>
        <v/>
      </c>
      <c r="DD53" s="169" t="str">
        <f t="shared" ca="1" si="117"/>
        <v/>
      </c>
      <c r="DE53" s="169" t="str">
        <f t="array" aca="1" ref="DE53" ca="1">IF(ROWS($9:52)&lt;=COUNTIF(Condition25,"o"),INDEX(Liste25,SMALL(IF(Condition25="o",ROW(INDIRECT("1:"&amp;ROWS(Liste25)))),ROWS($9:52))),"")</f>
        <v/>
      </c>
      <c r="DF53" s="175">
        <f t="shared" ca="1" si="155"/>
        <v>0</v>
      </c>
      <c r="DG53" s="175" t="str">
        <f t="shared" ca="1" si="194"/>
        <v/>
      </c>
      <c r="DH53" s="169" t="str">
        <f t="shared" ca="1" si="118"/>
        <v/>
      </c>
      <c r="DI53" s="169" t="str">
        <f t="array" aca="1" ref="DI53" ca="1">IF(ROWS($9:52)&lt;=COUNTIF(Condition26,"o"),INDEX(Liste26,SMALL(IF(Condition26="o",ROW(INDIRECT("1:"&amp;ROWS(Liste26)))),ROWS($9:52))),"")</f>
        <v/>
      </c>
      <c r="DJ53" s="175">
        <f t="shared" ca="1" si="156"/>
        <v>0</v>
      </c>
      <c r="DK53" s="175" t="str">
        <f t="shared" ca="1" si="195"/>
        <v/>
      </c>
      <c r="DL53" s="169" t="str">
        <f t="shared" ca="1" si="119"/>
        <v/>
      </c>
      <c r="DM53" s="169" t="str">
        <f t="array" aca="1" ref="DM53" ca="1">IF(ROWS($9:52)&lt;=COUNTIF(Condition27,"o"),INDEX(Liste27,SMALL(IF(Condition27="o",ROW(INDIRECT("1:"&amp;ROWS(Liste27)))),ROWS($9:52))),"")</f>
        <v/>
      </c>
      <c r="DN53" s="175">
        <f t="shared" ca="1" si="157"/>
        <v>0</v>
      </c>
      <c r="DO53" s="175" t="str">
        <f t="shared" ca="1" si="196"/>
        <v/>
      </c>
      <c r="DP53" s="169" t="str">
        <f t="shared" ca="1" si="120"/>
        <v/>
      </c>
      <c r="DQ53" s="169" t="str">
        <f t="array" aca="1" ref="DQ53" ca="1">IF(ROWS($9:52)&lt;=COUNTIF(Condition28,"o"),INDEX(Liste28,SMALL(IF(Condition28="o",ROW(INDIRECT("1:"&amp;ROWS(Liste28)))),ROWS($9:52))),"")</f>
        <v/>
      </c>
      <c r="DR53" s="175">
        <f t="shared" ca="1" si="158"/>
        <v>0</v>
      </c>
      <c r="DS53" s="175" t="str">
        <f t="shared" ca="1" si="197"/>
        <v/>
      </c>
      <c r="DT53" s="169" t="str">
        <f t="shared" ca="1" si="121"/>
        <v/>
      </c>
      <c r="DU53" s="169" t="str">
        <f t="array" aca="1" ref="DU53" ca="1">IF(ROWS($9:52)&lt;=COUNTIF(Condition29,"o"),INDEX(Liste29,SMALL(IF(Condition29="o",ROW(INDIRECT("1:"&amp;ROWS(Liste29)))),ROWS($9:52))),"")</f>
        <v/>
      </c>
      <c r="DV53" s="175">
        <f t="shared" ca="1" si="159"/>
        <v>0</v>
      </c>
      <c r="DW53" s="175" t="str">
        <f t="shared" ca="1" si="198"/>
        <v/>
      </c>
      <c r="DX53" s="169" t="str">
        <f t="shared" ca="1" si="122"/>
        <v/>
      </c>
      <c r="DY53" s="169" t="str">
        <f t="array" aca="1" ref="DY53" ca="1">IF(ROWS($9:52)&lt;=COUNTIF(Condition30,"o"),INDEX(Liste30,SMALL(IF(Condition30="o",ROW(INDIRECT("1:"&amp;ROWS(Liste30)))),ROWS($9:52))),"")</f>
        <v/>
      </c>
      <c r="DZ53" s="175">
        <f t="shared" ca="1" si="160"/>
        <v>0</v>
      </c>
      <c r="EA53" s="175" t="str">
        <f t="shared" ca="1" si="199"/>
        <v/>
      </c>
      <c r="EB53" s="169" t="str">
        <f t="shared" ca="1" si="123"/>
        <v/>
      </c>
      <c r="EC53" s="169" t="str">
        <f t="array" aca="1" ref="EC53" ca="1">IF(ROWS($9:52)&lt;=COUNTIF(Condition31,"o"),INDEX(Liste31,SMALL(IF(Condition31="o",ROW(INDIRECT("1:"&amp;ROWS(Liste31)))),ROWS($9:52))),"")</f>
        <v/>
      </c>
      <c r="ED53" s="175">
        <f t="shared" ca="1" si="161"/>
        <v>0</v>
      </c>
      <c r="EE53" s="175" t="str">
        <f t="shared" ca="1" si="200"/>
        <v/>
      </c>
      <c r="EF53" s="169" t="str">
        <f t="shared" ca="1" si="124"/>
        <v/>
      </c>
      <c r="EG53" s="169" t="str">
        <f t="array" aca="1" ref="EG53" ca="1">IF(ROWS($9:52)&lt;=COUNTIF(Condition32,"o"),INDEX(Liste32,SMALL(IF(Condition32="o",ROW(INDIRECT("1:"&amp;ROWS(Liste32)))),ROWS($9:52))),"")</f>
        <v/>
      </c>
      <c r="EH53" s="175">
        <f t="shared" ca="1" si="162"/>
        <v>0</v>
      </c>
      <c r="EI53" s="175" t="str">
        <f t="shared" ca="1" si="201"/>
        <v/>
      </c>
      <c r="EJ53" s="169" t="str">
        <f t="shared" ca="1" si="125"/>
        <v/>
      </c>
      <c r="EK53" s="169" t="str">
        <f t="array" aca="1" ref="EK53" ca="1">IF(ROWS($9:52)&lt;=COUNTIF(Condition33,"o"),INDEX(Liste33,SMALL(IF(Condition33="o",ROW(INDIRECT("1:"&amp;ROWS(Liste33)))),ROWS($9:52))),"")</f>
        <v/>
      </c>
      <c r="EL53" s="175">
        <f t="shared" ca="1" si="163"/>
        <v>0</v>
      </c>
      <c r="EM53" s="175" t="str">
        <f t="shared" ca="1" si="202"/>
        <v/>
      </c>
      <c r="EN53" s="169" t="str">
        <f t="shared" ca="1" si="126"/>
        <v/>
      </c>
      <c r="EO53" s="169" t="str">
        <f t="array" aca="1" ref="EO53" ca="1">IF(ROWS($9:52)&lt;=COUNTIF(Condition34,"o"),INDEX(Liste34,SMALL(IF(Condition34="o",ROW(INDIRECT("1:"&amp;ROWS(Liste34)))),ROWS($9:52))),"")</f>
        <v/>
      </c>
      <c r="EP53" s="175">
        <f t="shared" ca="1" si="164"/>
        <v>0</v>
      </c>
      <c r="EQ53" s="175" t="str">
        <f t="shared" ca="1" si="203"/>
        <v/>
      </c>
      <c r="ER53" s="169" t="str">
        <f t="shared" ca="1" si="127"/>
        <v/>
      </c>
      <c r="ES53" s="169" t="str">
        <f t="array" aca="1" ref="ES53" ca="1">IF(ROWS($9:52)&lt;=COUNTIF(Condition35,"o"),INDEX(Liste35,SMALL(IF(Condition35="o",ROW(INDIRECT("1:"&amp;ROWS(Liste35)))),ROWS($9:52))),"")</f>
        <v/>
      </c>
      <c r="ET53" s="175">
        <f t="shared" ca="1" si="165"/>
        <v>0</v>
      </c>
      <c r="EU53" s="175" t="str">
        <f t="shared" ca="1" si="204"/>
        <v/>
      </c>
      <c r="EV53" s="169" t="str">
        <f t="shared" ca="1" si="128"/>
        <v/>
      </c>
      <c r="EW53" s="169" t="str">
        <f t="array" aca="1" ref="EW53" ca="1">IF(ROWS($9:52)&lt;=COUNTIF(Condition36,"o"),INDEX(Liste36,SMALL(IF(Condition36="o",ROW(INDIRECT("1:"&amp;ROWS(Liste36)))),ROWS($9:52))),"")</f>
        <v/>
      </c>
      <c r="EX53" s="175">
        <f t="shared" ca="1" si="166"/>
        <v>0</v>
      </c>
      <c r="EY53" s="175" t="str">
        <f t="shared" ca="1" si="205"/>
        <v/>
      </c>
      <c r="EZ53" s="169" t="str">
        <f t="shared" ca="1" si="85"/>
        <v/>
      </c>
      <c r="FA53" s="169" t="str">
        <f t="array" aca="1" ref="FA53" ca="1">IF(ROWS($9:52)&lt;=COUNTIF(Condition36,"o"),INDEX(Liste36,SMALL(IF(Condition36="o",ROW(INDIRECT("1:"&amp;ROWS(Liste36)))),ROWS($9:52))),"")</f>
        <v/>
      </c>
      <c r="FB53" s="175">
        <f t="shared" ca="1" si="167"/>
        <v>0</v>
      </c>
      <c r="FC53" s="175" t="str">
        <f t="shared" ca="1" si="206"/>
        <v/>
      </c>
      <c r="FD53" s="169" t="str">
        <f t="shared" ca="1" si="86"/>
        <v/>
      </c>
      <c r="FE53" s="175">
        <f t="shared" si="168"/>
        <v>0</v>
      </c>
      <c r="FF53" s="175">
        <f t="shared" ca="1" si="168"/>
        <v>0</v>
      </c>
      <c r="FG53" s="175" t="str">
        <f t="shared" ca="1" si="207"/>
        <v/>
      </c>
      <c r="FH53" s="169" t="str">
        <f t="shared" ca="1" si="87"/>
        <v/>
      </c>
      <c r="FI53" s="169" t="str">
        <f t="array" aca="1" ref="FI53" ca="1">IF(ROWS($9:52)&lt;=COUNTIF(Condition39,"o"),INDEX(Liste39,SMALL(IF(Condition39="o",ROW(INDIRECT("1:"&amp;ROWS(Liste39)))),ROWS($9:52))),"")</f>
        <v/>
      </c>
      <c r="FO53" s="288"/>
      <c r="FQ53" s="289"/>
      <c r="FR53" s="288"/>
      <c r="FS53" s="290"/>
      <c r="FT53" s="291"/>
      <c r="FU53" s="288"/>
      <c r="FV53" s="290"/>
      <c r="FW53" s="291"/>
      <c r="FX53" s="288"/>
      <c r="FY53" s="290"/>
      <c r="FZ53" s="291"/>
      <c r="GA53" s="292"/>
      <c r="GB53" s="291"/>
      <c r="GC53" s="291"/>
      <c r="GD53" s="292"/>
      <c r="GE53" s="291"/>
      <c r="GF53" s="284"/>
      <c r="GG53" s="233"/>
    </row>
    <row r="54" spans="1:189">
      <c r="A54" s="1" t="s">
        <v>767</v>
      </c>
      <c r="B54" s="1">
        <f t="shared" ref="B54:D73" si="208">B9</f>
        <v>1</v>
      </c>
      <c r="C54" s="1">
        <f t="shared" ca="1" si="208"/>
        <v>0</v>
      </c>
      <c r="D54" s="1">
        <f t="shared" ca="1" si="208"/>
        <v>0</v>
      </c>
      <c r="E54" s="1">
        <f ca="1">Actions!K2</f>
        <v>0</v>
      </c>
      <c r="F54" s="1">
        <f t="shared" ca="1" si="0"/>
        <v>0</v>
      </c>
      <c r="G54" s="1">
        <f ca="1">INDIRECT("'"&amp;A54&amp;"'!c$7")</f>
        <v>0</v>
      </c>
      <c r="I54" s="1">
        <v>46</v>
      </c>
      <c r="J54" s="175">
        <f t="shared" ca="1" si="130"/>
        <v>0</v>
      </c>
      <c r="K54" s="175" t="str">
        <f t="shared" ca="1" si="169"/>
        <v/>
      </c>
      <c r="L54" s="169" t="str">
        <f t="shared" ca="1" si="93"/>
        <v/>
      </c>
      <c r="M54" s="169" t="str">
        <f t="array" aca="1" ref="M54" ca="1">IF(ROWS($9:53)&lt;=COUNTIF(Condition1,"o"),INDEX(Liste1,SMALL(IF(Condition1="o",ROW(INDIRECT("1:"&amp;ROWS(Liste1)))),ROWS($9:53))),"")</f>
        <v/>
      </c>
      <c r="N54" s="175">
        <f t="shared" ca="1" si="131"/>
        <v>0</v>
      </c>
      <c r="O54" s="175" t="str">
        <f t="shared" ca="1" si="170"/>
        <v/>
      </c>
      <c r="P54" s="169" t="str">
        <f t="shared" ca="1" si="94"/>
        <v/>
      </c>
      <c r="Q54" s="169" t="str">
        <f t="array" aca="1" ref="Q54" ca="1">IF(ROWS($9:53)&lt;=COUNTIF(Condition2,"o"),INDEX(Liste2,SMALL(IF(Condition2="o",ROW(INDIRECT("1:"&amp;ROWS(Liste2)))),ROWS($9:53))),"")</f>
        <v/>
      </c>
      <c r="R54" s="175">
        <f t="shared" ca="1" si="132"/>
        <v>0</v>
      </c>
      <c r="S54" s="175" t="str">
        <f t="shared" ca="1" si="171"/>
        <v/>
      </c>
      <c r="T54" s="169" t="str">
        <f t="shared" ca="1" si="95"/>
        <v/>
      </c>
      <c r="U54" s="169" t="str">
        <f t="array" aca="1" ref="U54" ca="1">IF(ROWS($9:53)&lt;=COUNTIF(Condition3,"o"),INDEX(Liste3,SMALL(IF(Condition3="o",ROW(INDIRECT("1:"&amp;ROWS(Liste3)))),ROWS($9:53))),"")</f>
        <v/>
      </c>
      <c r="V54" s="175">
        <f t="shared" ca="1" si="133"/>
        <v>0</v>
      </c>
      <c r="W54" s="175" t="str">
        <f t="shared" ca="1" si="172"/>
        <v/>
      </c>
      <c r="X54" s="169" t="str">
        <f t="shared" ca="1" si="96"/>
        <v/>
      </c>
      <c r="Y54" s="169" t="str">
        <f t="array" aca="1" ref="Y54" ca="1">IF(ROWS($9:53)&lt;=COUNTIF(Condition4,"o"),INDEX(Liste4,SMALL(IF(Condition4="o",ROW(INDIRECT("1:"&amp;ROWS(Liste4)))),ROWS($9:53))),"")</f>
        <v/>
      </c>
      <c r="Z54" s="175">
        <f t="shared" ca="1" si="134"/>
        <v>0</v>
      </c>
      <c r="AA54" s="175" t="str">
        <f t="shared" ca="1" si="173"/>
        <v/>
      </c>
      <c r="AB54" s="169" t="str">
        <f t="shared" ca="1" si="97"/>
        <v/>
      </c>
      <c r="AC54" s="169" t="str">
        <f t="array" aca="1" ref="AC54" ca="1">IF(ROWS($9:53)&lt;=COUNTIF(Condition5,"o"),INDEX(Liste5,SMALL(IF(Condition5="o",ROW(INDIRECT("1:"&amp;ROWS(Liste5)))),ROWS($9:53))),"")</f>
        <v/>
      </c>
      <c r="AD54" s="175">
        <f t="shared" ca="1" si="135"/>
        <v>0</v>
      </c>
      <c r="AE54" s="175" t="str">
        <f t="shared" ca="1" si="174"/>
        <v/>
      </c>
      <c r="AF54" s="169" t="str">
        <f t="shared" ca="1" si="98"/>
        <v/>
      </c>
      <c r="AG54" s="169" t="str">
        <f t="array" aca="1" ref="AG54" ca="1">IF(ROWS($9:53)&lt;=COUNTIF(Condition6,"o"),INDEX(Liste6,SMALL(IF(Condition6="o",ROW(INDIRECT("1:"&amp;ROWS(Liste6)))),ROWS($9:53))),"")</f>
        <v/>
      </c>
      <c r="AH54" s="175">
        <f t="shared" ca="1" si="136"/>
        <v>0</v>
      </c>
      <c r="AI54" s="175" t="str">
        <f t="shared" ca="1" si="175"/>
        <v/>
      </c>
      <c r="AJ54" s="169" t="str">
        <f t="shared" ca="1" si="99"/>
        <v/>
      </c>
      <c r="AK54" s="169" t="str">
        <f t="array" aca="1" ref="AK54" ca="1">IF(ROWS($9:53)&lt;=COUNTIF(Condition7,"o"),INDEX(Liste7,SMALL(IF(Condition7="o",ROW(INDIRECT("1:"&amp;ROWS(Liste7)))),ROWS($9:53))),"")</f>
        <v/>
      </c>
      <c r="AL54" s="175">
        <f t="shared" ca="1" si="137"/>
        <v>0</v>
      </c>
      <c r="AM54" s="175" t="str">
        <f t="shared" ca="1" si="176"/>
        <v/>
      </c>
      <c r="AN54" s="169" t="str">
        <f t="shared" ca="1" si="100"/>
        <v/>
      </c>
      <c r="AO54" s="169" t="str">
        <f t="array" aca="1" ref="AO54" ca="1">IF(ROWS($9:53)&lt;=COUNTIF(Condition8,"o"),INDEX(Liste8,SMALL(IF(Condition8="o",ROW(INDIRECT("1:"&amp;ROWS(Liste8)))),ROWS($9:53))),"")</f>
        <v/>
      </c>
      <c r="AP54" s="175">
        <f t="shared" ca="1" si="138"/>
        <v>0</v>
      </c>
      <c r="AQ54" s="175" t="str">
        <f t="shared" ca="1" si="177"/>
        <v/>
      </c>
      <c r="AR54" s="169" t="str">
        <f t="shared" ca="1" si="101"/>
        <v/>
      </c>
      <c r="AS54" s="169" t="str">
        <f t="array" aca="1" ref="AS54" ca="1">IF(ROWS($9:53)&lt;=COUNTIF(Condition9,"o"),INDEX(Liste9,SMALL(IF(Condition9="o",ROW(INDIRECT("1:"&amp;ROWS(Liste9)))),ROWS($9:53))),"")</f>
        <v/>
      </c>
      <c r="AT54" s="175">
        <f t="shared" ca="1" si="139"/>
        <v>0</v>
      </c>
      <c r="AU54" s="175" t="str">
        <f t="shared" ca="1" si="178"/>
        <v/>
      </c>
      <c r="AV54" s="169" t="str">
        <f t="shared" ca="1" si="102"/>
        <v/>
      </c>
      <c r="AW54" s="169" t="str">
        <f t="array" aca="1" ref="AW54" ca="1">IF(ROWS($9:53)&lt;=COUNTIF(Condition10,"o"),INDEX(Liste10,SMALL(IF(Condition10="o",ROW(INDIRECT("1:"&amp;ROWS(Liste10)))),ROWS($9:53))),"")</f>
        <v/>
      </c>
      <c r="AX54" s="175">
        <f t="shared" ca="1" si="140"/>
        <v>0</v>
      </c>
      <c r="AY54" s="175" t="str">
        <f t="shared" ca="1" si="179"/>
        <v/>
      </c>
      <c r="AZ54" s="169" t="str">
        <f t="shared" ca="1" si="103"/>
        <v/>
      </c>
      <c r="BA54" s="169" t="str">
        <f t="array" aca="1" ref="BA54" ca="1">IF(ROWS($9:53)&lt;=COUNTIF(Condition11,"o"),INDEX(Liste11,SMALL(IF(Condition11="o",ROW(INDIRECT("1:"&amp;ROWS(Liste11)))),ROWS($9:53))),"")</f>
        <v/>
      </c>
      <c r="BB54" s="175">
        <f t="shared" ca="1" si="141"/>
        <v>0</v>
      </c>
      <c r="BC54" s="175" t="str">
        <f t="shared" ca="1" si="180"/>
        <v/>
      </c>
      <c r="BD54" s="169" t="str">
        <f t="shared" ca="1" si="104"/>
        <v/>
      </c>
      <c r="BE54" s="169" t="str">
        <f t="array" aca="1" ref="BE54" ca="1">IF(ROWS($9:53)&lt;=COUNTIF(Condition12,"o"),INDEX(Liste12,SMALL(IF(Condition12="o",ROW(INDIRECT("1:"&amp;ROWS(Liste12)))),ROWS($9:53))),"")</f>
        <v/>
      </c>
      <c r="BF54" s="175">
        <f t="shared" ca="1" si="142"/>
        <v>0</v>
      </c>
      <c r="BG54" s="175" t="str">
        <f t="shared" ca="1" si="181"/>
        <v/>
      </c>
      <c r="BH54" s="169" t="str">
        <f t="shared" ca="1" si="105"/>
        <v/>
      </c>
      <c r="BI54" s="169" t="str">
        <f t="array" aca="1" ref="BI54" ca="1">IF(ROWS($9:53)&lt;=COUNTIF(Condition13,"o"),INDEX(Liste13,SMALL(IF(Condition13="o",ROW(INDIRECT("1:"&amp;ROWS(Liste13)))),ROWS($9:53))),"")</f>
        <v/>
      </c>
      <c r="BJ54" s="175">
        <f t="shared" ca="1" si="143"/>
        <v>0</v>
      </c>
      <c r="BK54" s="175" t="str">
        <f t="shared" ca="1" si="182"/>
        <v/>
      </c>
      <c r="BL54" s="169" t="str">
        <f t="shared" ca="1" si="106"/>
        <v/>
      </c>
      <c r="BM54" s="169" t="str">
        <f t="array" aca="1" ref="BM54" ca="1">IF(ROWS($9:53)&lt;=COUNTIF(Condition14,"o"),INDEX(Liste14,SMALL(IF(Condition14="o",ROW(INDIRECT("1:"&amp;ROWS(Liste14)))),ROWS($9:53))),"")</f>
        <v/>
      </c>
      <c r="BN54" s="175">
        <f t="shared" ca="1" si="144"/>
        <v>0</v>
      </c>
      <c r="BO54" s="175" t="str">
        <f t="shared" ca="1" si="183"/>
        <v/>
      </c>
      <c r="BP54" s="169" t="str">
        <f t="shared" ca="1" si="107"/>
        <v/>
      </c>
      <c r="BQ54" s="169" t="str">
        <f t="array" aca="1" ref="BQ54" ca="1">IF(ROWS($9:53)&lt;=COUNTIF(Condition15,"o"),INDEX(Liste15,SMALL(IF(Condition15="o",ROW(INDIRECT("1:"&amp;ROWS(Liste15)))),ROWS($9:53))),"")</f>
        <v/>
      </c>
      <c r="BR54" s="175">
        <f t="shared" ca="1" si="145"/>
        <v>0</v>
      </c>
      <c r="BS54" s="175" t="str">
        <f t="shared" ca="1" si="184"/>
        <v/>
      </c>
      <c r="BT54" s="169" t="str">
        <f t="shared" ca="1" si="108"/>
        <v/>
      </c>
      <c r="BU54" s="169" t="str">
        <f t="array" aca="1" ref="BU54" ca="1">IF(ROWS($9:53)&lt;=COUNTIF(Condition16,"o"),INDEX(Liste16,SMALL(IF(Condition16="o",ROW(INDIRECT("1:"&amp;ROWS(Liste16)))),ROWS($9:53))),"")</f>
        <v/>
      </c>
      <c r="BV54" s="175">
        <f t="shared" ca="1" si="146"/>
        <v>0</v>
      </c>
      <c r="BW54" s="175" t="str">
        <f t="shared" ca="1" si="185"/>
        <v/>
      </c>
      <c r="BX54" s="169" t="str">
        <f t="shared" ca="1" si="109"/>
        <v/>
      </c>
      <c r="BY54" s="169" t="str">
        <f t="array" aca="1" ref="BY54" ca="1">IF(ROWS($9:53)&lt;=COUNTIF(Condition17,"o"),INDEX(Liste17,SMALL(IF(Condition17="o",ROW(INDIRECT("1:"&amp;ROWS(Liste17)))),ROWS($9:53))),"")</f>
        <v/>
      </c>
      <c r="BZ54" s="175">
        <f t="shared" ca="1" si="147"/>
        <v>0</v>
      </c>
      <c r="CA54" s="175" t="str">
        <f t="shared" ca="1" si="186"/>
        <v/>
      </c>
      <c r="CB54" s="169" t="str">
        <f t="shared" ca="1" si="110"/>
        <v/>
      </c>
      <c r="CC54" s="169" t="str">
        <f t="array" aca="1" ref="CC54" ca="1">IF(ROWS($9:53)&lt;=COUNTIF(Condition18,"o"),INDEX(Liste18,SMALL(IF(Condition18="o",ROW(INDIRECT("1:"&amp;ROWS(Liste18)))),ROWS($9:53))),"")</f>
        <v/>
      </c>
      <c r="CD54" s="175">
        <f t="shared" ca="1" si="148"/>
        <v>0</v>
      </c>
      <c r="CE54" s="175" t="str">
        <f t="shared" ca="1" si="187"/>
        <v/>
      </c>
      <c r="CF54" s="169" t="str">
        <f t="shared" ca="1" si="111"/>
        <v/>
      </c>
      <c r="CG54" s="169" t="str">
        <f t="array" aca="1" ref="CG54" ca="1">IF(ROWS($9:53)&lt;=COUNTIF(Condition19,"o"),INDEX(Liste19,SMALL(IF(Condition19="o",ROW(INDIRECT("1:"&amp;ROWS(Liste19)))),ROWS($9:53))),"")</f>
        <v/>
      </c>
      <c r="CH54" s="175">
        <f t="shared" ca="1" si="149"/>
        <v>0</v>
      </c>
      <c r="CI54" s="175" t="str">
        <f t="shared" ca="1" si="188"/>
        <v/>
      </c>
      <c r="CJ54" s="169" t="str">
        <f t="shared" ca="1" si="112"/>
        <v/>
      </c>
      <c r="CK54" s="169" t="str">
        <f t="array" aca="1" ref="CK54" ca="1">IF(ROWS($9:53)&lt;=COUNTIF(Condition20,"o"),INDEX(Liste20,SMALL(IF(Condition20="o",ROW(INDIRECT("1:"&amp;ROWS(Liste20)))),ROWS($9:53))),"")</f>
        <v/>
      </c>
      <c r="CL54" s="175">
        <f t="shared" ca="1" si="150"/>
        <v>0</v>
      </c>
      <c r="CM54" s="175" t="str">
        <f t="shared" ca="1" si="189"/>
        <v/>
      </c>
      <c r="CN54" s="169" t="str">
        <f t="shared" ca="1" si="113"/>
        <v/>
      </c>
      <c r="CO54" s="169" t="str">
        <f t="array" aca="1" ref="CO54" ca="1">IF(ROWS($9:53)&lt;=COUNTIF(Condition21,"o"),INDEX(Liste21,SMALL(IF(Condition21="o",ROW(INDIRECT("1:"&amp;ROWS(Liste21)))),ROWS($9:53))),"")</f>
        <v/>
      </c>
      <c r="CP54" s="175">
        <f t="shared" ca="1" si="151"/>
        <v>0</v>
      </c>
      <c r="CQ54" s="175" t="str">
        <f t="shared" ca="1" si="190"/>
        <v/>
      </c>
      <c r="CR54" s="169" t="str">
        <f t="shared" ca="1" si="114"/>
        <v/>
      </c>
      <c r="CS54" s="169" t="str">
        <f t="array" aca="1" ref="CS54" ca="1">IF(ROWS($9:53)&lt;=COUNTIF(Condition22,"o"),INDEX(Liste22,SMALL(IF(Condition22="o",ROW(INDIRECT("1:"&amp;ROWS(Liste22)))),ROWS($9:53))),"")</f>
        <v/>
      </c>
      <c r="CT54" s="175">
        <f t="shared" ca="1" si="152"/>
        <v>0</v>
      </c>
      <c r="CU54" s="175" t="str">
        <f t="shared" ca="1" si="191"/>
        <v/>
      </c>
      <c r="CV54" s="169" t="str">
        <f t="shared" ca="1" si="115"/>
        <v/>
      </c>
      <c r="CW54" s="169" t="str">
        <f t="array" aca="1" ref="CW54" ca="1">IF(ROWS($9:53)&lt;=COUNTIF(Condition23,"o"),INDEX(Liste23,SMALL(IF(Condition23="o",ROW(INDIRECT("1:"&amp;ROWS(Liste23)))),ROWS($9:53))),"")</f>
        <v/>
      </c>
      <c r="CX54" s="175">
        <f t="shared" ca="1" si="153"/>
        <v>0</v>
      </c>
      <c r="CY54" s="175" t="str">
        <f t="shared" ca="1" si="192"/>
        <v/>
      </c>
      <c r="CZ54" s="169" t="str">
        <f t="shared" ca="1" si="116"/>
        <v/>
      </c>
      <c r="DA54" s="169" t="str">
        <f t="array" aca="1" ref="DA54" ca="1">IF(ROWS($9:53)&lt;=COUNTIF(Condition24,"o"),INDEX(Liste24,SMALL(IF(Condition24="o",ROW(INDIRECT("1:"&amp;ROWS(Liste24)))),ROWS($9:53))),"")</f>
        <v/>
      </c>
      <c r="DB54" s="175">
        <f t="shared" ca="1" si="154"/>
        <v>0</v>
      </c>
      <c r="DC54" s="175" t="str">
        <f t="shared" ca="1" si="193"/>
        <v/>
      </c>
      <c r="DD54" s="169" t="str">
        <f t="shared" ca="1" si="117"/>
        <v/>
      </c>
      <c r="DE54" s="169" t="str">
        <f t="array" aca="1" ref="DE54" ca="1">IF(ROWS($9:53)&lt;=COUNTIF(Condition25,"o"),INDEX(Liste25,SMALL(IF(Condition25="o",ROW(INDIRECT("1:"&amp;ROWS(Liste25)))),ROWS($9:53))),"")</f>
        <v/>
      </c>
      <c r="DF54" s="175">
        <f t="shared" ca="1" si="155"/>
        <v>0</v>
      </c>
      <c r="DG54" s="175" t="str">
        <f t="shared" ca="1" si="194"/>
        <v/>
      </c>
      <c r="DH54" s="169" t="str">
        <f t="shared" ca="1" si="118"/>
        <v/>
      </c>
      <c r="DI54" s="169" t="str">
        <f t="array" aca="1" ref="DI54" ca="1">IF(ROWS($9:53)&lt;=COUNTIF(Condition26,"o"),INDEX(Liste26,SMALL(IF(Condition26="o",ROW(INDIRECT("1:"&amp;ROWS(Liste26)))),ROWS($9:53))),"")</f>
        <v/>
      </c>
      <c r="DJ54" s="175">
        <f t="shared" ca="1" si="156"/>
        <v>0</v>
      </c>
      <c r="DK54" s="175" t="str">
        <f t="shared" ca="1" si="195"/>
        <v/>
      </c>
      <c r="DL54" s="169" t="str">
        <f t="shared" ca="1" si="119"/>
        <v/>
      </c>
      <c r="DM54" s="169" t="str">
        <f t="array" aca="1" ref="DM54" ca="1">IF(ROWS($9:53)&lt;=COUNTIF(Condition27,"o"),INDEX(Liste27,SMALL(IF(Condition27="o",ROW(INDIRECT("1:"&amp;ROWS(Liste27)))),ROWS($9:53))),"")</f>
        <v/>
      </c>
      <c r="DN54" s="175">
        <f t="shared" ca="1" si="157"/>
        <v>0</v>
      </c>
      <c r="DO54" s="175" t="str">
        <f t="shared" ca="1" si="196"/>
        <v/>
      </c>
      <c r="DP54" s="169" t="str">
        <f t="shared" ca="1" si="120"/>
        <v/>
      </c>
      <c r="DQ54" s="169" t="str">
        <f t="array" aca="1" ref="DQ54" ca="1">IF(ROWS($9:53)&lt;=COUNTIF(Condition28,"o"),INDEX(Liste28,SMALL(IF(Condition28="o",ROW(INDIRECT("1:"&amp;ROWS(Liste28)))),ROWS($9:53))),"")</f>
        <v/>
      </c>
      <c r="DR54" s="175">
        <f t="shared" ca="1" si="158"/>
        <v>0</v>
      </c>
      <c r="DS54" s="175" t="str">
        <f t="shared" ca="1" si="197"/>
        <v/>
      </c>
      <c r="DT54" s="169" t="str">
        <f t="shared" ca="1" si="121"/>
        <v/>
      </c>
      <c r="DU54" s="169" t="str">
        <f t="array" aca="1" ref="DU54" ca="1">IF(ROWS($9:53)&lt;=COUNTIF(Condition29,"o"),INDEX(Liste29,SMALL(IF(Condition29="o",ROW(INDIRECT("1:"&amp;ROWS(Liste29)))),ROWS($9:53))),"")</f>
        <v/>
      </c>
      <c r="DV54" s="175">
        <f t="shared" ca="1" si="159"/>
        <v>0</v>
      </c>
      <c r="DW54" s="175" t="str">
        <f t="shared" ca="1" si="198"/>
        <v/>
      </c>
      <c r="DX54" s="169" t="str">
        <f t="shared" ca="1" si="122"/>
        <v/>
      </c>
      <c r="DY54" s="169" t="str">
        <f t="array" aca="1" ref="DY54" ca="1">IF(ROWS($9:53)&lt;=COUNTIF(Condition30,"o"),INDEX(Liste30,SMALL(IF(Condition30="o",ROW(INDIRECT("1:"&amp;ROWS(Liste30)))),ROWS($9:53))),"")</f>
        <v/>
      </c>
      <c r="DZ54" s="175">
        <f t="shared" ca="1" si="160"/>
        <v>0</v>
      </c>
      <c r="EA54" s="175" t="str">
        <f t="shared" ca="1" si="199"/>
        <v/>
      </c>
      <c r="EB54" s="169" t="str">
        <f t="shared" ca="1" si="123"/>
        <v/>
      </c>
      <c r="EC54" s="169" t="str">
        <f t="array" aca="1" ref="EC54" ca="1">IF(ROWS($9:53)&lt;=COUNTIF(Condition31,"o"),INDEX(Liste31,SMALL(IF(Condition31="o",ROW(INDIRECT("1:"&amp;ROWS(Liste31)))),ROWS($9:53))),"")</f>
        <v/>
      </c>
      <c r="ED54" s="175">
        <f t="shared" ca="1" si="161"/>
        <v>0</v>
      </c>
      <c r="EE54" s="175" t="str">
        <f t="shared" ca="1" si="200"/>
        <v/>
      </c>
      <c r="EF54" s="169" t="str">
        <f t="shared" ca="1" si="124"/>
        <v/>
      </c>
      <c r="EG54" s="169" t="str">
        <f t="array" aca="1" ref="EG54" ca="1">IF(ROWS($9:53)&lt;=COUNTIF(Condition32,"o"),INDEX(Liste32,SMALL(IF(Condition32="o",ROW(INDIRECT("1:"&amp;ROWS(Liste32)))),ROWS($9:53))),"")</f>
        <v/>
      </c>
      <c r="EH54" s="175">
        <f t="shared" ca="1" si="162"/>
        <v>0</v>
      </c>
      <c r="EI54" s="175" t="str">
        <f t="shared" ca="1" si="201"/>
        <v/>
      </c>
      <c r="EJ54" s="169" t="str">
        <f t="shared" ca="1" si="125"/>
        <v/>
      </c>
      <c r="EK54" s="169" t="str">
        <f t="array" aca="1" ref="EK54" ca="1">IF(ROWS($9:53)&lt;=COUNTIF(Condition33,"o"),INDEX(Liste33,SMALL(IF(Condition33="o",ROW(INDIRECT("1:"&amp;ROWS(Liste33)))),ROWS($9:53))),"")</f>
        <v/>
      </c>
      <c r="EL54" s="175">
        <f t="shared" ca="1" si="163"/>
        <v>0</v>
      </c>
      <c r="EM54" s="175" t="str">
        <f t="shared" ca="1" si="202"/>
        <v/>
      </c>
      <c r="EN54" s="169" t="str">
        <f t="shared" ca="1" si="126"/>
        <v/>
      </c>
      <c r="EO54" s="169" t="str">
        <f t="array" aca="1" ref="EO54" ca="1">IF(ROWS($9:53)&lt;=COUNTIF(Condition34,"o"),INDEX(Liste34,SMALL(IF(Condition34="o",ROW(INDIRECT("1:"&amp;ROWS(Liste34)))),ROWS($9:53))),"")</f>
        <v/>
      </c>
      <c r="EP54" s="175">
        <f t="shared" ca="1" si="164"/>
        <v>0</v>
      </c>
      <c r="EQ54" s="175" t="str">
        <f t="shared" ca="1" si="203"/>
        <v/>
      </c>
      <c r="ER54" s="169" t="str">
        <f t="shared" ca="1" si="127"/>
        <v/>
      </c>
      <c r="ES54" s="169" t="str">
        <f t="array" aca="1" ref="ES54" ca="1">IF(ROWS($9:53)&lt;=COUNTIF(Condition35,"o"),INDEX(Liste35,SMALL(IF(Condition35="o",ROW(INDIRECT("1:"&amp;ROWS(Liste35)))),ROWS($9:53))),"")</f>
        <v/>
      </c>
      <c r="ET54" s="175">
        <f t="shared" ca="1" si="165"/>
        <v>0</v>
      </c>
      <c r="EU54" s="175" t="str">
        <f t="shared" ca="1" si="204"/>
        <v/>
      </c>
      <c r="EV54" s="169" t="str">
        <f t="shared" ca="1" si="128"/>
        <v/>
      </c>
      <c r="EW54" s="169" t="str">
        <f t="array" aca="1" ref="EW54" ca="1">IF(ROWS($9:53)&lt;=COUNTIF(Condition36,"o"),INDEX(Liste36,SMALL(IF(Condition36="o",ROW(INDIRECT("1:"&amp;ROWS(Liste36)))),ROWS($9:53))),"")</f>
        <v/>
      </c>
      <c r="EX54" s="175">
        <f t="shared" ca="1" si="166"/>
        <v>0</v>
      </c>
      <c r="EY54" s="175" t="str">
        <f t="shared" ca="1" si="205"/>
        <v/>
      </c>
      <c r="EZ54" s="169" t="str">
        <f t="shared" ca="1" si="85"/>
        <v/>
      </c>
      <c r="FA54" s="169" t="str">
        <f t="array" aca="1" ref="FA54" ca="1">IF(ROWS($9:53)&lt;=COUNTIF(Condition36,"o"),INDEX(Liste36,SMALL(IF(Condition36="o",ROW(INDIRECT("1:"&amp;ROWS(Liste36)))),ROWS($9:53))),"")</f>
        <v/>
      </c>
      <c r="FB54" s="175">
        <f t="shared" ca="1" si="167"/>
        <v>0</v>
      </c>
      <c r="FC54" s="175" t="str">
        <f t="shared" ca="1" si="206"/>
        <v/>
      </c>
      <c r="FD54" s="169" t="str">
        <f t="shared" ca="1" si="86"/>
        <v/>
      </c>
      <c r="FE54" s="175">
        <f t="shared" si="168"/>
        <v>0</v>
      </c>
      <c r="FF54" s="175">
        <f t="shared" ca="1" si="168"/>
        <v>0</v>
      </c>
      <c r="FG54" s="175" t="str">
        <f t="shared" ca="1" si="207"/>
        <v/>
      </c>
      <c r="FH54" s="169" t="str">
        <f t="shared" ca="1" si="87"/>
        <v/>
      </c>
      <c r="FI54" s="169" t="str">
        <f t="array" aca="1" ref="FI54" ca="1">IF(ROWS($9:53)&lt;=COUNTIF(Condition39,"o"),INDEX(Liste39,SMALL(IF(Condition39="o",ROW(INDIRECT("1:"&amp;ROWS(Liste39)))),ROWS($9:53))),"")</f>
        <v/>
      </c>
      <c r="FO54" s="288"/>
      <c r="FQ54" s="289"/>
      <c r="FR54" s="288"/>
      <c r="FS54" s="290"/>
      <c r="FT54" s="291"/>
      <c r="FU54" s="288"/>
      <c r="FV54" s="290"/>
      <c r="FW54" s="291"/>
      <c r="FX54" s="288"/>
      <c r="FY54" s="290"/>
      <c r="FZ54" s="291"/>
      <c r="GA54" s="292"/>
      <c r="GB54" s="291"/>
      <c r="GC54" s="291"/>
      <c r="GD54" s="292"/>
      <c r="GE54" s="291"/>
      <c r="GF54" s="284"/>
      <c r="GG54" s="233"/>
    </row>
    <row r="55" spans="1:189">
      <c r="A55" s="1" t="s">
        <v>867</v>
      </c>
      <c r="B55" s="1">
        <f t="shared" si="208"/>
        <v>2</v>
      </c>
      <c r="C55" s="1">
        <f t="shared" ca="1" si="208"/>
        <v>0</v>
      </c>
      <c r="D55" s="1">
        <f t="shared" ca="1" si="208"/>
        <v>0</v>
      </c>
      <c r="E55" s="1" t="str">
        <f ca="1">Actions!K3</f>
        <v>-</v>
      </c>
      <c r="F55" s="1" t="str">
        <f t="shared" ca="1" si="0"/>
        <v>-</v>
      </c>
      <c r="G55" s="1" t="e">
        <f t="shared" ref="G55:G98" ca="1" si="209">INDIRECT("'"&amp;A55&amp;"'!c$7")</f>
        <v>#REF!</v>
      </c>
      <c r="I55" s="1">
        <v>47</v>
      </c>
      <c r="J55" s="175">
        <f t="shared" ca="1" si="130"/>
        <v>0</v>
      </c>
      <c r="K55" s="175" t="str">
        <f t="shared" ca="1" si="169"/>
        <v/>
      </c>
      <c r="L55" s="169" t="str">
        <f t="shared" ca="1" si="93"/>
        <v/>
      </c>
      <c r="M55" s="169" t="str">
        <f t="array" aca="1" ref="M55" ca="1">IF(ROWS($9:54)&lt;=COUNTIF(Condition1,"o"),INDEX(Liste1,SMALL(IF(Condition1="o",ROW(INDIRECT("1:"&amp;ROWS(Liste1)))),ROWS($9:54))),"")</f>
        <v/>
      </c>
      <c r="N55" s="175">
        <f t="shared" ca="1" si="131"/>
        <v>0</v>
      </c>
      <c r="O55" s="175" t="str">
        <f t="shared" ca="1" si="170"/>
        <v/>
      </c>
      <c r="P55" s="169" t="str">
        <f t="shared" ca="1" si="94"/>
        <v/>
      </c>
      <c r="Q55" s="169" t="str">
        <f t="array" aca="1" ref="Q55" ca="1">IF(ROWS($9:54)&lt;=COUNTIF(Condition2,"o"),INDEX(Liste2,SMALL(IF(Condition2="o",ROW(INDIRECT("1:"&amp;ROWS(Liste2)))),ROWS($9:54))),"")</f>
        <v/>
      </c>
      <c r="R55" s="175">
        <f t="shared" ca="1" si="132"/>
        <v>0</v>
      </c>
      <c r="S55" s="175" t="str">
        <f t="shared" ca="1" si="171"/>
        <v/>
      </c>
      <c r="T55" s="169" t="str">
        <f t="shared" ca="1" si="95"/>
        <v/>
      </c>
      <c r="U55" s="169" t="str">
        <f t="array" aca="1" ref="U55" ca="1">IF(ROWS($9:54)&lt;=COUNTIF(Condition3,"o"),INDEX(Liste3,SMALL(IF(Condition3="o",ROW(INDIRECT("1:"&amp;ROWS(Liste3)))),ROWS($9:54))),"")</f>
        <v/>
      </c>
      <c r="V55" s="175">
        <f t="shared" ca="1" si="133"/>
        <v>0</v>
      </c>
      <c r="W55" s="175" t="str">
        <f t="shared" ca="1" si="172"/>
        <v/>
      </c>
      <c r="X55" s="169" t="str">
        <f t="shared" ca="1" si="96"/>
        <v/>
      </c>
      <c r="Y55" s="169" t="str">
        <f t="array" aca="1" ref="Y55" ca="1">IF(ROWS($9:54)&lt;=COUNTIF(Condition4,"o"),INDEX(Liste4,SMALL(IF(Condition4="o",ROW(INDIRECT("1:"&amp;ROWS(Liste4)))),ROWS($9:54))),"")</f>
        <v/>
      </c>
      <c r="Z55" s="175">
        <f t="shared" ca="1" si="134"/>
        <v>0</v>
      </c>
      <c r="AA55" s="175" t="str">
        <f t="shared" ca="1" si="173"/>
        <v/>
      </c>
      <c r="AB55" s="169" t="str">
        <f t="shared" ca="1" si="97"/>
        <v/>
      </c>
      <c r="AC55" s="169" t="str">
        <f t="array" aca="1" ref="AC55" ca="1">IF(ROWS($9:54)&lt;=COUNTIF(Condition5,"o"),INDEX(Liste5,SMALL(IF(Condition5="o",ROW(INDIRECT("1:"&amp;ROWS(Liste5)))),ROWS($9:54))),"")</f>
        <v/>
      </c>
      <c r="AD55" s="175">
        <f t="shared" ca="1" si="135"/>
        <v>0</v>
      </c>
      <c r="AE55" s="175" t="str">
        <f t="shared" ca="1" si="174"/>
        <v/>
      </c>
      <c r="AF55" s="169" t="str">
        <f t="shared" ca="1" si="98"/>
        <v/>
      </c>
      <c r="AG55" s="169" t="str">
        <f t="array" aca="1" ref="AG55" ca="1">IF(ROWS($9:54)&lt;=COUNTIF(Condition6,"o"),INDEX(Liste6,SMALL(IF(Condition6="o",ROW(INDIRECT("1:"&amp;ROWS(Liste6)))),ROWS($9:54))),"")</f>
        <v/>
      </c>
      <c r="AH55" s="175">
        <f t="shared" ca="1" si="136"/>
        <v>0</v>
      </c>
      <c r="AI55" s="175" t="str">
        <f t="shared" ca="1" si="175"/>
        <v/>
      </c>
      <c r="AJ55" s="169" t="str">
        <f t="shared" ca="1" si="99"/>
        <v/>
      </c>
      <c r="AK55" s="169" t="str">
        <f t="array" aca="1" ref="AK55" ca="1">IF(ROWS($9:54)&lt;=COUNTIF(Condition7,"o"),INDEX(Liste7,SMALL(IF(Condition7="o",ROW(INDIRECT("1:"&amp;ROWS(Liste7)))),ROWS($9:54))),"")</f>
        <v/>
      </c>
      <c r="AL55" s="175">
        <f t="shared" ca="1" si="137"/>
        <v>0</v>
      </c>
      <c r="AM55" s="175" t="str">
        <f t="shared" ca="1" si="176"/>
        <v/>
      </c>
      <c r="AN55" s="169" t="str">
        <f t="shared" ca="1" si="100"/>
        <v/>
      </c>
      <c r="AO55" s="169" t="str">
        <f t="array" aca="1" ref="AO55" ca="1">IF(ROWS($9:54)&lt;=COUNTIF(Condition8,"o"),INDEX(Liste8,SMALL(IF(Condition8="o",ROW(INDIRECT("1:"&amp;ROWS(Liste8)))),ROWS($9:54))),"")</f>
        <v/>
      </c>
      <c r="AP55" s="175">
        <f t="shared" ca="1" si="138"/>
        <v>0</v>
      </c>
      <c r="AQ55" s="175" t="str">
        <f t="shared" ca="1" si="177"/>
        <v/>
      </c>
      <c r="AR55" s="169" t="str">
        <f t="shared" ca="1" si="101"/>
        <v/>
      </c>
      <c r="AS55" s="169" t="str">
        <f t="array" aca="1" ref="AS55" ca="1">IF(ROWS($9:54)&lt;=COUNTIF(Condition9,"o"),INDEX(Liste9,SMALL(IF(Condition9="o",ROW(INDIRECT("1:"&amp;ROWS(Liste9)))),ROWS($9:54))),"")</f>
        <v/>
      </c>
      <c r="AT55" s="175">
        <f t="shared" ca="1" si="139"/>
        <v>0</v>
      </c>
      <c r="AU55" s="175" t="str">
        <f t="shared" ca="1" si="178"/>
        <v/>
      </c>
      <c r="AV55" s="169" t="str">
        <f t="shared" ca="1" si="102"/>
        <v/>
      </c>
      <c r="AW55" s="169" t="str">
        <f t="array" aca="1" ref="AW55" ca="1">IF(ROWS($9:54)&lt;=COUNTIF(Condition10,"o"),INDEX(Liste10,SMALL(IF(Condition10="o",ROW(INDIRECT("1:"&amp;ROWS(Liste10)))),ROWS($9:54))),"")</f>
        <v/>
      </c>
      <c r="AX55" s="175">
        <f t="shared" ca="1" si="140"/>
        <v>0</v>
      </c>
      <c r="AY55" s="175" t="str">
        <f t="shared" ca="1" si="179"/>
        <v/>
      </c>
      <c r="AZ55" s="169" t="str">
        <f t="shared" ca="1" si="103"/>
        <v/>
      </c>
      <c r="BA55" s="169" t="str">
        <f t="array" aca="1" ref="BA55" ca="1">IF(ROWS($9:54)&lt;=COUNTIF(Condition11,"o"),INDEX(Liste11,SMALL(IF(Condition11="o",ROW(INDIRECT("1:"&amp;ROWS(Liste11)))),ROWS($9:54))),"")</f>
        <v/>
      </c>
      <c r="BB55" s="175">
        <f t="shared" ca="1" si="141"/>
        <v>0</v>
      </c>
      <c r="BC55" s="175" t="str">
        <f t="shared" ca="1" si="180"/>
        <v/>
      </c>
      <c r="BD55" s="169" t="str">
        <f t="shared" ca="1" si="104"/>
        <v/>
      </c>
      <c r="BE55" s="169" t="str">
        <f t="array" aca="1" ref="BE55" ca="1">IF(ROWS($9:54)&lt;=COUNTIF(Condition12,"o"),INDEX(Liste12,SMALL(IF(Condition12="o",ROW(INDIRECT("1:"&amp;ROWS(Liste12)))),ROWS($9:54))),"")</f>
        <v/>
      </c>
      <c r="BF55" s="175">
        <f t="shared" ca="1" si="142"/>
        <v>0</v>
      </c>
      <c r="BG55" s="175" t="str">
        <f t="shared" ca="1" si="181"/>
        <v/>
      </c>
      <c r="BH55" s="169" t="str">
        <f t="shared" ca="1" si="105"/>
        <v/>
      </c>
      <c r="BI55" s="169" t="str">
        <f t="array" aca="1" ref="BI55" ca="1">IF(ROWS($9:54)&lt;=COUNTIF(Condition13,"o"),INDEX(Liste13,SMALL(IF(Condition13="o",ROW(INDIRECT("1:"&amp;ROWS(Liste13)))),ROWS($9:54))),"")</f>
        <v/>
      </c>
      <c r="BJ55" s="175">
        <f t="shared" ca="1" si="143"/>
        <v>0</v>
      </c>
      <c r="BK55" s="175" t="str">
        <f t="shared" ca="1" si="182"/>
        <v/>
      </c>
      <c r="BL55" s="169" t="str">
        <f t="shared" ca="1" si="106"/>
        <v/>
      </c>
      <c r="BM55" s="169" t="str">
        <f t="array" aca="1" ref="BM55" ca="1">IF(ROWS($9:54)&lt;=COUNTIF(Condition14,"o"),INDEX(Liste14,SMALL(IF(Condition14="o",ROW(INDIRECT("1:"&amp;ROWS(Liste14)))),ROWS($9:54))),"")</f>
        <v/>
      </c>
      <c r="BN55" s="175">
        <f t="shared" ca="1" si="144"/>
        <v>0</v>
      </c>
      <c r="BO55" s="175" t="str">
        <f t="shared" ca="1" si="183"/>
        <v/>
      </c>
      <c r="BP55" s="169" t="str">
        <f t="shared" ca="1" si="107"/>
        <v/>
      </c>
      <c r="BQ55" s="169" t="str">
        <f t="array" aca="1" ref="BQ55" ca="1">IF(ROWS($9:54)&lt;=COUNTIF(Condition15,"o"),INDEX(Liste15,SMALL(IF(Condition15="o",ROW(INDIRECT("1:"&amp;ROWS(Liste15)))),ROWS($9:54))),"")</f>
        <v/>
      </c>
      <c r="BR55" s="175">
        <f t="shared" ca="1" si="145"/>
        <v>0</v>
      </c>
      <c r="BS55" s="175" t="str">
        <f t="shared" ca="1" si="184"/>
        <v/>
      </c>
      <c r="BT55" s="169" t="str">
        <f t="shared" ca="1" si="108"/>
        <v/>
      </c>
      <c r="BU55" s="169" t="str">
        <f t="array" aca="1" ref="BU55" ca="1">IF(ROWS($9:54)&lt;=COUNTIF(Condition16,"o"),INDEX(Liste16,SMALL(IF(Condition16="o",ROW(INDIRECT("1:"&amp;ROWS(Liste16)))),ROWS($9:54))),"")</f>
        <v/>
      </c>
      <c r="BV55" s="175">
        <f t="shared" ca="1" si="146"/>
        <v>0</v>
      </c>
      <c r="BW55" s="175" t="str">
        <f t="shared" ca="1" si="185"/>
        <v/>
      </c>
      <c r="BX55" s="169" t="str">
        <f t="shared" ca="1" si="109"/>
        <v/>
      </c>
      <c r="BY55" s="169" t="str">
        <f t="array" aca="1" ref="BY55" ca="1">IF(ROWS($9:54)&lt;=COUNTIF(Condition17,"o"),INDEX(Liste17,SMALL(IF(Condition17="o",ROW(INDIRECT("1:"&amp;ROWS(Liste17)))),ROWS($9:54))),"")</f>
        <v/>
      </c>
      <c r="BZ55" s="175">
        <f t="shared" ca="1" si="147"/>
        <v>0</v>
      </c>
      <c r="CA55" s="175" t="str">
        <f t="shared" ca="1" si="186"/>
        <v/>
      </c>
      <c r="CB55" s="169" t="str">
        <f t="shared" ca="1" si="110"/>
        <v/>
      </c>
      <c r="CC55" s="169" t="str">
        <f t="array" aca="1" ref="CC55" ca="1">IF(ROWS($9:54)&lt;=COUNTIF(Condition18,"o"),INDEX(Liste18,SMALL(IF(Condition18="o",ROW(INDIRECT("1:"&amp;ROWS(Liste18)))),ROWS($9:54))),"")</f>
        <v/>
      </c>
      <c r="CD55" s="175">
        <f t="shared" ca="1" si="148"/>
        <v>0</v>
      </c>
      <c r="CE55" s="175" t="str">
        <f t="shared" ca="1" si="187"/>
        <v/>
      </c>
      <c r="CF55" s="169" t="str">
        <f t="shared" ca="1" si="111"/>
        <v/>
      </c>
      <c r="CG55" s="169" t="str">
        <f t="array" aca="1" ref="CG55" ca="1">IF(ROWS($9:54)&lt;=COUNTIF(Condition19,"o"),INDEX(Liste19,SMALL(IF(Condition19="o",ROW(INDIRECT("1:"&amp;ROWS(Liste19)))),ROWS($9:54))),"")</f>
        <v/>
      </c>
      <c r="CH55" s="175">
        <f t="shared" ca="1" si="149"/>
        <v>0</v>
      </c>
      <c r="CI55" s="175" t="str">
        <f t="shared" ca="1" si="188"/>
        <v/>
      </c>
      <c r="CJ55" s="169" t="str">
        <f t="shared" ca="1" si="112"/>
        <v/>
      </c>
      <c r="CK55" s="169" t="str">
        <f t="array" aca="1" ref="CK55" ca="1">IF(ROWS($9:54)&lt;=COUNTIF(Condition20,"o"),INDEX(Liste20,SMALL(IF(Condition20="o",ROW(INDIRECT("1:"&amp;ROWS(Liste20)))),ROWS($9:54))),"")</f>
        <v/>
      </c>
      <c r="CL55" s="175">
        <f t="shared" ca="1" si="150"/>
        <v>0</v>
      </c>
      <c r="CM55" s="175" t="str">
        <f t="shared" ca="1" si="189"/>
        <v/>
      </c>
      <c r="CN55" s="169" t="str">
        <f t="shared" ca="1" si="113"/>
        <v/>
      </c>
      <c r="CO55" s="169" t="str">
        <f t="array" aca="1" ref="CO55" ca="1">IF(ROWS($9:54)&lt;=COUNTIF(Condition21,"o"),INDEX(Liste21,SMALL(IF(Condition21="o",ROW(INDIRECT("1:"&amp;ROWS(Liste21)))),ROWS($9:54))),"")</f>
        <v/>
      </c>
      <c r="CP55" s="175">
        <f t="shared" ca="1" si="151"/>
        <v>0</v>
      </c>
      <c r="CQ55" s="175" t="str">
        <f t="shared" ca="1" si="190"/>
        <v/>
      </c>
      <c r="CR55" s="169" t="str">
        <f t="shared" ca="1" si="114"/>
        <v/>
      </c>
      <c r="CS55" s="169" t="str">
        <f t="array" aca="1" ref="CS55" ca="1">IF(ROWS($9:54)&lt;=COUNTIF(Condition22,"o"),INDEX(Liste22,SMALL(IF(Condition22="o",ROW(INDIRECT("1:"&amp;ROWS(Liste22)))),ROWS($9:54))),"")</f>
        <v/>
      </c>
      <c r="CT55" s="175">
        <f t="shared" ca="1" si="152"/>
        <v>0</v>
      </c>
      <c r="CU55" s="175" t="str">
        <f t="shared" ca="1" si="191"/>
        <v/>
      </c>
      <c r="CV55" s="169" t="str">
        <f t="shared" ca="1" si="115"/>
        <v/>
      </c>
      <c r="CW55" s="169" t="str">
        <f t="array" aca="1" ref="CW55" ca="1">IF(ROWS($9:54)&lt;=COUNTIF(Condition23,"o"),INDEX(Liste23,SMALL(IF(Condition23="o",ROW(INDIRECT("1:"&amp;ROWS(Liste23)))),ROWS($9:54))),"")</f>
        <v/>
      </c>
      <c r="CX55" s="175">
        <f t="shared" ca="1" si="153"/>
        <v>0</v>
      </c>
      <c r="CY55" s="175" t="str">
        <f t="shared" ca="1" si="192"/>
        <v/>
      </c>
      <c r="CZ55" s="169" t="str">
        <f t="shared" ca="1" si="116"/>
        <v/>
      </c>
      <c r="DA55" s="169" t="str">
        <f t="array" aca="1" ref="DA55" ca="1">IF(ROWS($9:54)&lt;=COUNTIF(Condition24,"o"),INDEX(Liste24,SMALL(IF(Condition24="o",ROW(INDIRECT("1:"&amp;ROWS(Liste24)))),ROWS($9:54))),"")</f>
        <v/>
      </c>
      <c r="DB55" s="175">
        <f t="shared" ca="1" si="154"/>
        <v>0</v>
      </c>
      <c r="DC55" s="175" t="str">
        <f t="shared" ca="1" si="193"/>
        <v/>
      </c>
      <c r="DD55" s="169" t="str">
        <f t="shared" ca="1" si="117"/>
        <v/>
      </c>
      <c r="DE55" s="169" t="str">
        <f t="array" aca="1" ref="DE55" ca="1">IF(ROWS($9:54)&lt;=COUNTIF(Condition25,"o"),INDEX(Liste25,SMALL(IF(Condition25="o",ROW(INDIRECT("1:"&amp;ROWS(Liste25)))),ROWS($9:54))),"")</f>
        <v/>
      </c>
      <c r="DF55" s="175">
        <f t="shared" ca="1" si="155"/>
        <v>0</v>
      </c>
      <c r="DG55" s="175" t="str">
        <f t="shared" ca="1" si="194"/>
        <v/>
      </c>
      <c r="DH55" s="169" t="str">
        <f t="shared" ca="1" si="118"/>
        <v/>
      </c>
      <c r="DI55" s="169" t="str">
        <f t="array" aca="1" ref="DI55" ca="1">IF(ROWS($9:54)&lt;=COUNTIF(Condition26,"o"),INDEX(Liste26,SMALL(IF(Condition26="o",ROW(INDIRECT("1:"&amp;ROWS(Liste26)))),ROWS($9:54))),"")</f>
        <v/>
      </c>
      <c r="DJ55" s="175">
        <f t="shared" ca="1" si="156"/>
        <v>0</v>
      </c>
      <c r="DK55" s="175" t="str">
        <f t="shared" ca="1" si="195"/>
        <v/>
      </c>
      <c r="DL55" s="169" t="str">
        <f t="shared" ca="1" si="119"/>
        <v/>
      </c>
      <c r="DM55" s="169" t="str">
        <f t="array" aca="1" ref="DM55" ca="1">IF(ROWS($9:54)&lt;=COUNTIF(Condition27,"o"),INDEX(Liste27,SMALL(IF(Condition27="o",ROW(INDIRECT("1:"&amp;ROWS(Liste27)))),ROWS($9:54))),"")</f>
        <v/>
      </c>
      <c r="DN55" s="175">
        <f t="shared" ca="1" si="157"/>
        <v>0</v>
      </c>
      <c r="DO55" s="175" t="str">
        <f t="shared" ca="1" si="196"/>
        <v/>
      </c>
      <c r="DP55" s="169" t="str">
        <f t="shared" ca="1" si="120"/>
        <v/>
      </c>
      <c r="DQ55" s="169" t="str">
        <f t="array" aca="1" ref="DQ55" ca="1">IF(ROWS($9:54)&lt;=COUNTIF(Condition28,"o"),INDEX(Liste28,SMALL(IF(Condition28="o",ROW(INDIRECT("1:"&amp;ROWS(Liste28)))),ROWS($9:54))),"")</f>
        <v/>
      </c>
      <c r="DR55" s="175">
        <f t="shared" ca="1" si="158"/>
        <v>0</v>
      </c>
      <c r="DS55" s="175" t="str">
        <f t="shared" ca="1" si="197"/>
        <v/>
      </c>
      <c r="DT55" s="169" t="str">
        <f t="shared" ca="1" si="121"/>
        <v/>
      </c>
      <c r="DU55" s="169" t="str">
        <f t="array" aca="1" ref="DU55" ca="1">IF(ROWS($9:54)&lt;=COUNTIF(Condition29,"o"),INDEX(Liste29,SMALL(IF(Condition29="o",ROW(INDIRECT("1:"&amp;ROWS(Liste29)))),ROWS($9:54))),"")</f>
        <v/>
      </c>
      <c r="DV55" s="175">
        <f t="shared" ca="1" si="159"/>
        <v>0</v>
      </c>
      <c r="DW55" s="175" t="str">
        <f t="shared" ca="1" si="198"/>
        <v/>
      </c>
      <c r="DX55" s="169" t="str">
        <f t="shared" ca="1" si="122"/>
        <v/>
      </c>
      <c r="DY55" s="169" t="str">
        <f t="array" aca="1" ref="DY55" ca="1">IF(ROWS($9:54)&lt;=COUNTIF(Condition30,"o"),INDEX(Liste30,SMALL(IF(Condition30="o",ROW(INDIRECT("1:"&amp;ROWS(Liste30)))),ROWS($9:54))),"")</f>
        <v/>
      </c>
      <c r="DZ55" s="175">
        <f t="shared" ca="1" si="160"/>
        <v>0</v>
      </c>
      <c r="EA55" s="175" t="str">
        <f t="shared" ca="1" si="199"/>
        <v/>
      </c>
      <c r="EB55" s="169" t="str">
        <f t="shared" ca="1" si="123"/>
        <v/>
      </c>
      <c r="EC55" s="169" t="str">
        <f t="array" aca="1" ref="EC55" ca="1">IF(ROWS($9:54)&lt;=COUNTIF(Condition31,"o"),INDEX(Liste31,SMALL(IF(Condition31="o",ROW(INDIRECT("1:"&amp;ROWS(Liste31)))),ROWS($9:54))),"")</f>
        <v/>
      </c>
      <c r="ED55" s="175">
        <f t="shared" ca="1" si="161"/>
        <v>0</v>
      </c>
      <c r="EE55" s="175" t="str">
        <f t="shared" ca="1" si="200"/>
        <v/>
      </c>
      <c r="EF55" s="169" t="str">
        <f t="shared" ca="1" si="124"/>
        <v/>
      </c>
      <c r="EG55" s="169" t="str">
        <f t="array" aca="1" ref="EG55" ca="1">IF(ROWS($9:54)&lt;=COUNTIF(Condition32,"o"),INDEX(Liste32,SMALL(IF(Condition32="o",ROW(INDIRECT("1:"&amp;ROWS(Liste32)))),ROWS($9:54))),"")</f>
        <v/>
      </c>
      <c r="EH55" s="175">
        <f t="shared" ca="1" si="162"/>
        <v>0</v>
      </c>
      <c r="EI55" s="175" t="str">
        <f t="shared" ca="1" si="201"/>
        <v/>
      </c>
      <c r="EJ55" s="169" t="str">
        <f t="shared" ca="1" si="125"/>
        <v/>
      </c>
      <c r="EK55" s="169" t="str">
        <f t="array" aca="1" ref="EK55" ca="1">IF(ROWS($9:54)&lt;=COUNTIF(Condition33,"o"),INDEX(Liste33,SMALL(IF(Condition33="o",ROW(INDIRECT("1:"&amp;ROWS(Liste33)))),ROWS($9:54))),"")</f>
        <v/>
      </c>
      <c r="EL55" s="175">
        <f t="shared" ca="1" si="163"/>
        <v>0</v>
      </c>
      <c r="EM55" s="175" t="str">
        <f t="shared" ca="1" si="202"/>
        <v/>
      </c>
      <c r="EN55" s="169" t="str">
        <f t="shared" ca="1" si="126"/>
        <v/>
      </c>
      <c r="EO55" s="169" t="str">
        <f t="array" aca="1" ref="EO55" ca="1">IF(ROWS($9:54)&lt;=COUNTIF(Condition34,"o"),INDEX(Liste34,SMALL(IF(Condition34="o",ROW(INDIRECT("1:"&amp;ROWS(Liste34)))),ROWS($9:54))),"")</f>
        <v/>
      </c>
      <c r="EP55" s="175">
        <f t="shared" ca="1" si="164"/>
        <v>0</v>
      </c>
      <c r="EQ55" s="175" t="str">
        <f t="shared" ca="1" si="203"/>
        <v/>
      </c>
      <c r="ER55" s="169" t="str">
        <f t="shared" ca="1" si="127"/>
        <v/>
      </c>
      <c r="ES55" s="169" t="str">
        <f t="array" aca="1" ref="ES55" ca="1">IF(ROWS($9:54)&lt;=COUNTIF(Condition35,"o"),INDEX(Liste35,SMALL(IF(Condition35="o",ROW(INDIRECT("1:"&amp;ROWS(Liste35)))),ROWS($9:54))),"")</f>
        <v/>
      </c>
      <c r="ET55" s="175">
        <f t="shared" ca="1" si="165"/>
        <v>0</v>
      </c>
      <c r="EU55" s="175" t="str">
        <f t="shared" ca="1" si="204"/>
        <v/>
      </c>
      <c r="EV55" s="169" t="str">
        <f t="shared" ca="1" si="128"/>
        <v/>
      </c>
      <c r="EW55" s="169" t="str">
        <f t="array" aca="1" ref="EW55" ca="1">IF(ROWS($9:54)&lt;=COUNTIF(Condition36,"o"),INDEX(Liste36,SMALL(IF(Condition36="o",ROW(INDIRECT("1:"&amp;ROWS(Liste36)))),ROWS($9:54))),"")</f>
        <v/>
      </c>
      <c r="EX55" s="175">
        <f t="shared" ca="1" si="166"/>
        <v>0</v>
      </c>
      <c r="EY55" s="175" t="str">
        <f t="shared" ca="1" si="205"/>
        <v/>
      </c>
      <c r="EZ55" s="169" t="str">
        <f t="shared" ca="1" si="85"/>
        <v/>
      </c>
      <c r="FA55" s="169" t="str">
        <f t="array" aca="1" ref="FA55" ca="1">IF(ROWS($9:54)&lt;=COUNTIF(Condition36,"o"),INDEX(Liste36,SMALL(IF(Condition36="o",ROW(INDIRECT("1:"&amp;ROWS(Liste36)))),ROWS($9:54))),"")</f>
        <v/>
      </c>
      <c r="FB55" s="175">
        <f t="shared" ca="1" si="167"/>
        <v>0</v>
      </c>
      <c r="FC55" s="175" t="str">
        <f t="shared" ca="1" si="206"/>
        <v/>
      </c>
      <c r="FD55" s="169" t="str">
        <f t="shared" ca="1" si="86"/>
        <v/>
      </c>
      <c r="FE55" s="175">
        <f t="shared" si="168"/>
        <v>0</v>
      </c>
      <c r="FF55" s="175">
        <f t="shared" ca="1" si="168"/>
        <v>0</v>
      </c>
      <c r="FG55" s="175" t="str">
        <f t="shared" ca="1" si="207"/>
        <v/>
      </c>
      <c r="FH55" s="169" t="str">
        <f t="shared" ca="1" si="87"/>
        <v/>
      </c>
      <c r="FI55" s="169" t="str">
        <f t="array" aca="1" ref="FI55" ca="1">IF(ROWS($9:54)&lt;=COUNTIF(Condition39,"o"),INDEX(Liste39,SMALL(IF(Condition39="o",ROW(INDIRECT("1:"&amp;ROWS(Liste39)))),ROWS($9:54))),"")</f>
        <v/>
      </c>
      <c r="FO55" s="288"/>
      <c r="FQ55" s="289"/>
      <c r="FR55" s="288"/>
      <c r="FS55" s="290"/>
      <c r="FT55" s="291"/>
      <c r="FU55" s="288"/>
      <c r="FV55" s="290"/>
      <c r="FW55" s="291"/>
      <c r="FX55" s="288"/>
      <c r="FY55" s="290"/>
      <c r="FZ55" s="291"/>
      <c r="GA55" s="292"/>
      <c r="GB55" s="291"/>
      <c r="GC55" s="291"/>
      <c r="GD55" s="292"/>
      <c r="GE55" s="291"/>
      <c r="GF55" s="284"/>
      <c r="GG55" s="233"/>
    </row>
    <row r="56" spans="1:189">
      <c r="A56" s="1" t="s">
        <v>893</v>
      </c>
      <c r="B56" s="1">
        <f t="shared" si="208"/>
        <v>3</v>
      </c>
      <c r="C56" s="1">
        <f t="shared" ca="1" si="208"/>
        <v>0</v>
      </c>
      <c r="D56" s="1">
        <f t="shared" ca="1" si="208"/>
        <v>0</v>
      </c>
      <c r="E56" s="1" t="str">
        <f ca="1">Actions!K4</f>
        <v>-</v>
      </c>
      <c r="F56" s="1" t="str">
        <f t="shared" ca="1" si="0"/>
        <v>-</v>
      </c>
      <c r="G56" s="1" t="e">
        <f t="shared" ca="1" si="209"/>
        <v>#REF!</v>
      </c>
      <c r="I56" s="1">
        <v>48</v>
      </c>
      <c r="J56" s="175">
        <f t="shared" ca="1" si="130"/>
        <v>0</v>
      </c>
      <c r="K56" s="175" t="str">
        <f t="shared" ca="1" si="169"/>
        <v/>
      </c>
      <c r="L56" s="169" t="str">
        <f t="shared" ca="1" si="93"/>
        <v/>
      </c>
      <c r="M56" s="169" t="str">
        <f t="array" aca="1" ref="M56" ca="1">IF(ROWS($9:55)&lt;=COUNTIF(Condition1,"o"),INDEX(Liste1,SMALL(IF(Condition1="o",ROW(INDIRECT("1:"&amp;ROWS(Liste1)))),ROWS($9:55))),"")</f>
        <v/>
      </c>
      <c r="N56" s="175">
        <f t="shared" ca="1" si="131"/>
        <v>0</v>
      </c>
      <c r="O56" s="175" t="str">
        <f t="shared" ca="1" si="170"/>
        <v/>
      </c>
      <c r="P56" s="169" t="str">
        <f t="shared" ca="1" si="94"/>
        <v/>
      </c>
      <c r="Q56" s="169" t="str">
        <f t="array" aca="1" ref="Q56" ca="1">IF(ROWS($9:55)&lt;=COUNTIF(Condition2,"o"),INDEX(Liste2,SMALL(IF(Condition2="o",ROW(INDIRECT("1:"&amp;ROWS(Liste2)))),ROWS($9:55))),"")</f>
        <v/>
      </c>
      <c r="R56" s="175">
        <f t="shared" ca="1" si="132"/>
        <v>0</v>
      </c>
      <c r="S56" s="175" t="str">
        <f t="shared" ca="1" si="171"/>
        <v/>
      </c>
      <c r="T56" s="169" t="str">
        <f t="shared" ca="1" si="95"/>
        <v/>
      </c>
      <c r="U56" s="169" t="str">
        <f t="array" aca="1" ref="U56" ca="1">IF(ROWS($9:55)&lt;=COUNTIF(Condition3,"o"),INDEX(Liste3,SMALL(IF(Condition3="o",ROW(INDIRECT("1:"&amp;ROWS(Liste3)))),ROWS($9:55))),"")</f>
        <v/>
      </c>
      <c r="V56" s="175">
        <f t="shared" ca="1" si="133"/>
        <v>0</v>
      </c>
      <c r="W56" s="175" t="str">
        <f t="shared" ca="1" si="172"/>
        <v/>
      </c>
      <c r="X56" s="169" t="str">
        <f t="shared" ca="1" si="96"/>
        <v/>
      </c>
      <c r="Y56" s="169" t="str">
        <f t="array" aca="1" ref="Y56" ca="1">IF(ROWS($9:55)&lt;=COUNTIF(Condition4,"o"),INDEX(Liste4,SMALL(IF(Condition4="o",ROW(INDIRECT("1:"&amp;ROWS(Liste4)))),ROWS($9:55))),"")</f>
        <v/>
      </c>
      <c r="Z56" s="175">
        <f t="shared" ca="1" si="134"/>
        <v>0</v>
      </c>
      <c r="AA56" s="175" t="str">
        <f t="shared" ca="1" si="173"/>
        <v/>
      </c>
      <c r="AB56" s="169" t="str">
        <f t="shared" ca="1" si="97"/>
        <v/>
      </c>
      <c r="AC56" s="169" t="str">
        <f t="array" aca="1" ref="AC56" ca="1">IF(ROWS($9:55)&lt;=COUNTIF(Condition5,"o"),INDEX(Liste5,SMALL(IF(Condition5="o",ROW(INDIRECT("1:"&amp;ROWS(Liste5)))),ROWS($9:55))),"")</f>
        <v/>
      </c>
      <c r="AD56" s="175">
        <f t="shared" ca="1" si="135"/>
        <v>0</v>
      </c>
      <c r="AE56" s="175" t="str">
        <f t="shared" ca="1" si="174"/>
        <v/>
      </c>
      <c r="AF56" s="169" t="str">
        <f t="shared" ca="1" si="98"/>
        <v/>
      </c>
      <c r="AG56" s="169" t="str">
        <f t="array" aca="1" ref="AG56" ca="1">IF(ROWS($9:55)&lt;=COUNTIF(Condition6,"o"),INDEX(Liste6,SMALL(IF(Condition6="o",ROW(INDIRECT("1:"&amp;ROWS(Liste6)))),ROWS($9:55))),"")</f>
        <v/>
      </c>
      <c r="AH56" s="175">
        <f t="shared" ca="1" si="136"/>
        <v>0</v>
      </c>
      <c r="AI56" s="175" t="str">
        <f t="shared" ca="1" si="175"/>
        <v/>
      </c>
      <c r="AJ56" s="169" t="str">
        <f t="shared" ca="1" si="99"/>
        <v/>
      </c>
      <c r="AK56" s="169" t="str">
        <f t="array" aca="1" ref="AK56" ca="1">IF(ROWS($9:55)&lt;=COUNTIF(Condition7,"o"),INDEX(Liste7,SMALL(IF(Condition7="o",ROW(INDIRECT("1:"&amp;ROWS(Liste7)))),ROWS($9:55))),"")</f>
        <v/>
      </c>
      <c r="AL56" s="175">
        <f t="shared" ca="1" si="137"/>
        <v>0</v>
      </c>
      <c r="AM56" s="175" t="str">
        <f t="shared" ca="1" si="176"/>
        <v/>
      </c>
      <c r="AN56" s="169" t="str">
        <f t="shared" ca="1" si="100"/>
        <v/>
      </c>
      <c r="AO56" s="169" t="str">
        <f t="array" aca="1" ref="AO56" ca="1">IF(ROWS($9:55)&lt;=COUNTIF(Condition8,"o"),INDEX(Liste8,SMALL(IF(Condition8="o",ROW(INDIRECT("1:"&amp;ROWS(Liste8)))),ROWS($9:55))),"")</f>
        <v/>
      </c>
      <c r="AP56" s="175">
        <f t="shared" ca="1" si="138"/>
        <v>0</v>
      </c>
      <c r="AQ56" s="175" t="str">
        <f t="shared" ca="1" si="177"/>
        <v/>
      </c>
      <c r="AR56" s="169" t="str">
        <f t="shared" ca="1" si="101"/>
        <v/>
      </c>
      <c r="AS56" s="169" t="str">
        <f t="array" aca="1" ref="AS56" ca="1">IF(ROWS($9:55)&lt;=COUNTIF(Condition9,"o"),INDEX(Liste9,SMALL(IF(Condition9="o",ROW(INDIRECT("1:"&amp;ROWS(Liste9)))),ROWS($9:55))),"")</f>
        <v/>
      </c>
      <c r="AT56" s="175">
        <f t="shared" ca="1" si="139"/>
        <v>0</v>
      </c>
      <c r="AU56" s="175" t="str">
        <f t="shared" ca="1" si="178"/>
        <v/>
      </c>
      <c r="AV56" s="169" t="str">
        <f t="shared" ca="1" si="102"/>
        <v/>
      </c>
      <c r="AW56" s="169" t="str">
        <f t="array" aca="1" ref="AW56" ca="1">IF(ROWS($9:55)&lt;=COUNTIF(Condition10,"o"),INDEX(Liste10,SMALL(IF(Condition10="o",ROW(INDIRECT("1:"&amp;ROWS(Liste10)))),ROWS($9:55))),"")</f>
        <v/>
      </c>
      <c r="AX56" s="175">
        <f t="shared" ca="1" si="140"/>
        <v>0</v>
      </c>
      <c r="AY56" s="175" t="str">
        <f t="shared" ca="1" si="179"/>
        <v/>
      </c>
      <c r="AZ56" s="169" t="str">
        <f t="shared" ca="1" si="103"/>
        <v/>
      </c>
      <c r="BA56" s="169" t="str">
        <f t="array" aca="1" ref="BA56" ca="1">IF(ROWS($9:55)&lt;=COUNTIF(Condition11,"o"),INDEX(Liste11,SMALL(IF(Condition11="o",ROW(INDIRECT("1:"&amp;ROWS(Liste11)))),ROWS($9:55))),"")</f>
        <v/>
      </c>
      <c r="BB56" s="175">
        <f t="shared" ca="1" si="141"/>
        <v>0</v>
      </c>
      <c r="BC56" s="175" t="str">
        <f t="shared" ca="1" si="180"/>
        <v/>
      </c>
      <c r="BD56" s="169" t="str">
        <f t="shared" ca="1" si="104"/>
        <v/>
      </c>
      <c r="BE56" s="169" t="str">
        <f t="array" aca="1" ref="BE56" ca="1">IF(ROWS($9:55)&lt;=COUNTIF(Condition12,"o"),INDEX(Liste12,SMALL(IF(Condition12="o",ROW(INDIRECT("1:"&amp;ROWS(Liste12)))),ROWS($9:55))),"")</f>
        <v/>
      </c>
      <c r="BF56" s="175">
        <f t="shared" ca="1" si="142"/>
        <v>0</v>
      </c>
      <c r="BG56" s="175" t="str">
        <f t="shared" ca="1" si="181"/>
        <v/>
      </c>
      <c r="BH56" s="169" t="str">
        <f t="shared" ca="1" si="105"/>
        <v/>
      </c>
      <c r="BI56" s="169" t="str">
        <f t="array" aca="1" ref="BI56" ca="1">IF(ROWS($9:55)&lt;=COUNTIF(Condition13,"o"),INDEX(Liste13,SMALL(IF(Condition13="o",ROW(INDIRECT("1:"&amp;ROWS(Liste13)))),ROWS($9:55))),"")</f>
        <v/>
      </c>
      <c r="BJ56" s="175">
        <f t="shared" ca="1" si="143"/>
        <v>0</v>
      </c>
      <c r="BK56" s="175" t="str">
        <f t="shared" ca="1" si="182"/>
        <v/>
      </c>
      <c r="BL56" s="169" t="str">
        <f t="shared" ca="1" si="106"/>
        <v/>
      </c>
      <c r="BM56" s="169" t="str">
        <f t="array" aca="1" ref="BM56" ca="1">IF(ROWS($9:55)&lt;=COUNTIF(Condition14,"o"),INDEX(Liste14,SMALL(IF(Condition14="o",ROW(INDIRECT("1:"&amp;ROWS(Liste14)))),ROWS($9:55))),"")</f>
        <v/>
      </c>
      <c r="BN56" s="175">
        <f t="shared" ca="1" si="144"/>
        <v>0</v>
      </c>
      <c r="BO56" s="175" t="str">
        <f t="shared" ca="1" si="183"/>
        <v/>
      </c>
      <c r="BP56" s="169" t="str">
        <f t="shared" ca="1" si="107"/>
        <v/>
      </c>
      <c r="BQ56" s="169" t="str">
        <f t="array" aca="1" ref="BQ56" ca="1">IF(ROWS($9:55)&lt;=COUNTIF(Condition15,"o"),INDEX(Liste15,SMALL(IF(Condition15="o",ROW(INDIRECT("1:"&amp;ROWS(Liste15)))),ROWS($9:55))),"")</f>
        <v/>
      </c>
      <c r="BR56" s="175">
        <f t="shared" ca="1" si="145"/>
        <v>0</v>
      </c>
      <c r="BS56" s="175" t="str">
        <f t="shared" ca="1" si="184"/>
        <v/>
      </c>
      <c r="BT56" s="169" t="str">
        <f t="shared" ca="1" si="108"/>
        <v/>
      </c>
      <c r="BU56" s="169" t="str">
        <f t="array" aca="1" ref="BU56" ca="1">IF(ROWS($9:55)&lt;=COUNTIF(Condition16,"o"),INDEX(Liste16,SMALL(IF(Condition16="o",ROW(INDIRECT("1:"&amp;ROWS(Liste16)))),ROWS($9:55))),"")</f>
        <v/>
      </c>
      <c r="BV56" s="175">
        <f t="shared" ca="1" si="146"/>
        <v>0</v>
      </c>
      <c r="BW56" s="175" t="str">
        <f t="shared" ca="1" si="185"/>
        <v/>
      </c>
      <c r="BX56" s="169" t="str">
        <f t="shared" ca="1" si="109"/>
        <v/>
      </c>
      <c r="BY56" s="169" t="str">
        <f t="array" aca="1" ref="BY56" ca="1">IF(ROWS($9:55)&lt;=COUNTIF(Condition17,"o"),INDEX(Liste17,SMALL(IF(Condition17="o",ROW(INDIRECT("1:"&amp;ROWS(Liste17)))),ROWS($9:55))),"")</f>
        <v/>
      </c>
      <c r="BZ56" s="175">
        <f t="shared" ca="1" si="147"/>
        <v>0</v>
      </c>
      <c r="CA56" s="175" t="str">
        <f t="shared" ca="1" si="186"/>
        <v/>
      </c>
      <c r="CB56" s="169" t="str">
        <f t="shared" ca="1" si="110"/>
        <v/>
      </c>
      <c r="CC56" s="169" t="str">
        <f t="array" aca="1" ref="CC56" ca="1">IF(ROWS($9:55)&lt;=COUNTIF(Condition18,"o"),INDEX(Liste18,SMALL(IF(Condition18="o",ROW(INDIRECT("1:"&amp;ROWS(Liste18)))),ROWS($9:55))),"")</f>
        <v/>
      </c>
      <c r="CD56" s="175">
        <f t="shared" ca="1" si="148"/>
        <v>0</v>
      </c>
      <c r="CE56" s="175" t="str">
        <f t="shared" ca="1" si="187"/>
        <v/>
      </c>
      <c r="CF56" s="169" t="str">
        <f t="shared" ca="1" si="111"/>
        <v/>
      </c>
      <c r="CG56" s="169" t="str">
        <f t="array" aca="1" ref="CG56" ca="1">IF(ROWS($9:55)&lt;=COUNTIF(Condition19,"o"),INDEX(Liste19,SMALL(IF(Condition19="o",ROW(INDIRECT("1:"&amp;ROWS(Liste19)))),ROWS($9:55))),"")</f>
        <v/>
      </c>
      <c r="CH56" s="175">
        <f t="shared" ca="1" si="149"/>
        <v>0</v>
      </c>
      <c r="CI56" s="175" t="str">
        <f t="shared" ca="1" si="188"/>
        <v/>
      </c>
      <c r="CJ56" s="169" t="str">
        <f t="shared" ca="1" si="112"/>
        <v/>
      </c>
      <c r="CK56" s="169" t="str">
        <f t="array" aca="1" ref="CK56" ca="1">IF(ROWS($9:55)&lt;=COUNTIF(Condition20,"o"),INDEX(Liste20,SMALL(IF(Condition20="o",ROW(INDIRECT("1:"&amp;ROWS(Liste20)))),ROWS($9:55))),"")</f>
        <v/>
      </c>
      <c r="CL56" s="175">
        <f t="shared" ca="1" si="150"/>
        <v>0</v>
      </c>
      <c r="CM56" s="175" t="str">
        <f t="shared" ca="1" si="189"/>
        <v/>
      </c>
      <c r="CN56" s="169" t="str">
        <f t="shared" ca="1" si="113"/>
        <v/>
      </c>
      <c r="CO56" s="169" t="str">
        <f t="array" aca="1" ref="CO56" ca="1">IF(ROWS($9:55)&lt;=COUNTIF(Condition21,"o"),INDEX(Liste21,SMALL(IF(Condition21="o",ROW(INDIRECT("1:"&amp;ROWS(Liste21)))),ROWS($9:55))),"")</f>
        <v/>
      </c>
      <c r="CP56" s="175">
        <f t="shared" ca="1" si="151"/>
        <v>0</v>
      </c>
      <c r="CQ56" s="175" t="str">
        <f t="shared" ca="1" si="190"/>
        <v/>
      </c>
      <c r="CR56" s="169" t="str">
        <f t="shared" ca="1" si="114"/>
        <v/>
      </c>
      <c r="CS56" s="169" t="str">
        <f t="array" aca="1" ref="CS56" ca="1">IF(ROWS($9:55)&lt;=COUNTIF(Condition22,"o"),INDEX(Liste22,SMALL(IF(Condition22="o",ROW(INDIRECT("1:"&amp;ROWS(Liste22)))),ROWS($9:55))),"")</f>
        <v/>
      </c>
      <c r="CT56" s="175">
        <f t="shared" ca="1" si="152"/>
        <v>0</v>
      </c>
      <c r="CU56" s="175" t="str">
        <f t="shared" ca="1" si="191"/>
        <v/>
      </c>
      <c r="CV56" s="169" t="str">
        <f t="shared" ca="1" si="115"/>
        <v/>
      </c>
      <c r="CW56" s="169" t="str">
        <f t="array" aca="1" ref="CW56" ca="1">IF(ROWS($9:55)&lt;=COUNTIF(Condition23,"o"),INDEX(Liste23,SMALL(IF(Condition23="o",ROW(INDIRECT("1:"&amp;ROWS(Liste23)))),ROWS($9:55))),"")</f>
        <v/>
      </c>
      <c r="CX56" s="175">
        <f t="shared" ca="1" si="153"/>
        <v>0</v>
      </c>
      <c r="CY56" s="175" t="str">
        <f t="shared" ca="1" si="192"/>
        <v/>
      </c>
      <c r="CZ56" s="169" t="str">
        <f t="shared" ca="1" si="116"/>
        <v/>
      </c>
      <c r="DA56" s="169" t="str">
        <f t="array" aca="1" ref="DA56" ca="1">IF(ROWS($9:55)&lt;=COUNTIF(Condition24,"o"),INDEX(Liste24,SMALL(IF(Condition24="o",ROW(INDIRECT("1:"&amp;ROWS(Liste24)))),ROWS($9:55))),"")</f>
        <v/>
      </c>
      <c r="DB56" s="175">
        <f t="shared" ca="1" si="154"/>
        <v>0</v>
      </c>
      <c r="DC56" s="175" t="str">
        <f t="shared" ca="1" si="193"/>
        <v/>
      </c>
      <c r="DD56" s="169" t="str">
        <f t="shared" ca="1" si="117"/>
        <v/>
      </c>
      <c r="DE56" s="169" t="str">
        <f t="array" aca="1" ref="DE56" ca="1">IF(ROWS($9:55)&lt;=COUNTIF(Condition25,"o"),INDEX(Liste25,SMALL(IF(Condition25="o",ROW(INDIRECT("1:"&amp;ROWS(Liste25)))),ROWS($9:55))),"")</f>
        <v/>
      </c>
      <c r="DF56" s="175">
        <f t="shared" ca="1" si="155"/>
        <v>0</v>
      </c>
      <c r="DG56" s="175" t="str">
        <f t="shared" ca="1" si="194"/>
        <v/>
      </c>
      <c r="DH56" s="169" t="str">
        <f t="shared" ca="1" si="118"/>
        <v/>
      </c>
      <c r="DI56" s="169" t="str">
        <f t="array" aca="1" ref="DI56" ca="1">IF(ROWS($9:55)&lt;=COUNTIF(Condition26,"o"),INDEX(Liste26,SMALL(IF(Condition26="o",ROW(INDIRECT("1:"&amp;ROWS(Liste26)))),ROWS($9:55))),"")</f>
        <v/>
      </c>
      <c r="DJ56" s="175">
        <f t="shared" ca="1" si="156"/>
        <v>0</v>
      </c>
      <c r="DK56" s="175" t="str">
        <f t="shared" ca="1" si="195"/>
        <v/>
      </c>
      <c r="DL56" s="169" t="str">
        <f t="shared" ca="1" si="119"/>
        <v/>
      </c>
      <c r="DM56" s="169" t="str">
        <f t="array" aca="1" ref="DM56" ca="1">IF(ROWS($9:55)&lt;=COUNTIF(Condition27,"o"),INDEX(Liste27,SMALL(IF(Condition27="o",ROW(INDIRECT("1:"&amp;ROWS(Liste27)))),ROWS($9:55))),"")</f>
        <v/>
      </c>
      <c r="DN56" s="175">
        <f t="shared" ca="1" si="157"/>
        <v>0</v>
      </c>
      <c r="DO56" s="175" t="str">
        <f t="shared" ca="1" si="196"/>
        <v/>
      </c>
      <c r="DP56" s="169" t="str">
        <f t="shared" ca="1" si="120"/>
        <v/>
      </c>
      <c r="DQ56" s="169" t="str">
        <f t="array" aca="1" ref="DQ56" ca="1">IF(ROWS($9:55)&lt;=COUNTIF(Condition28,"o"),INDEX(Liste28,SMALL(IF(Condition28="o",ROW(INDIRECT("1:"&amp;ROWS(Liste28)))),ROWS($9:55))),"")</f>
        <v/>
      </c>
      <c r="DR56" s="175">
        <f t="shared" ca="1" si="158"/>
        <v>0</v>
      </c>
      <c r="DS56" s="175" t="str">
        <f t="shared" ca="1" si="197"/>
        <v/>
      </c>
      <c r="DT56" s="169" t="str">
        <f t="shared" ca="1" si="121"/>
        <v/>
      </c>
      <c r="DU56" s="169" t="str">
        <f t="array" aca="1" ref="DU56" ca="1">IF(ROWS($9:55)&lt;=COUNTIF(Condition29,"o"),INDEX(Liste29,SMALL(IF(Condition29="o",ROW(INDIRECT("1:"&amp;ROWS(Liste29)))),ROWS($9:55))),"")</f>
        <v/>
      </c>
      <c r="DV56" s="175">
        <f t="shared" ca="1" si="159"/>
        <v>0</v>
      </c>
      <c r="DW56" s="175" t="str">
        <f t="shared" ca="1" si="198"/>
        <v/>
      </c>
      <c r="DX56" s="169" t="str">
        <f t="shared" ca="1" si="122"/>
        <v/>
      </c>
      <c r="DY56" s="169" t="str">
        <f t="array" aca="1" ref="DY56" ca="1">IF(ROWS($9:55)&lt;=COUNTIF(Condition30,"o"),INDEX(Liste30,SMALL(IF(Condition30="o",ROW(INDIRECT("1:"&amp;ROWS(Liste30)))),ROWS($9:55))),"")</f>
        <v/>
      </c>
      <c r="DZ56" s="175">
        <f t="shared" ca="1" si="160"/>
        <v>0</v>
      </c>
      <c r="EA56" s="175" t="str">
        <f t="shared" ca="1" si="199"/>
        <v/>
      </c>
      <c r="EB56" s="169" t="str">
        <f t="shared" ca="1" si="123"/>
        <v/>
      </c>
      <c r="EC56" s="169" t="str">
        <f t="array" aca="1" ref="EC56" ca="1">IF(ROWS($9:55)&lt;=COUNTIF(Condition31,"o"),INDEX(Liste31,SMALL(IF(Condition31="o",ROW(INDIRECT("1:"&amp;ROWS(Liste31)))),ROWS($9:55))),"")</f>
        <v/>
      </c>
      <c r="ED56" s="175">
        <f t="shared" ca="1" si="161"/>
        <v>0</v>
      </c>
      <c r="EE56" s="175" t="str">
        <f t="shared" ca="1" si="200"/>
        <v/>
      </c>
      <c r="EF56" s="169" t="str">
        <f t="shared" ca="1" si="124"/>
        <v/>
      </c>
      <c r="EG56" s="169" t="str">
        <f t="array" aca="1" ref="EG56" ca="1">IF(ROWS($9:55)&lt;=COUNTIF(Condition32,"o"),INDEX(Liste32,SMALL(IF(Condition32="o",ROW(INDIRECT("1:"&amp;ROWS(Liste32)))),ROWS($9:55))),"")</f>
        <v/>
      </c>
      <c r="EH56" s="175">
        <f t="shared" ca="1" si="162"/>
        <v>0</v>
      </c>
      <c r="EI56" s="175" t="str">
        <f t="shared" ca="1" si="201"/>
        <v/>
      </c>
      <c r="EJ56" s="169" t="str">
        <f t="shared" ca="1" si="125"/>
        <v/>
      </c>
      <c r="EK56" s="169" t="str">
        <f t="array" aca="1" ref="EK56" ca="1">IF(ROWS($9:55)&lt;=COUNTIF(Condition33,"o"),INDEX(Liste33,SMALL(IF(Condition33="o",ROW(INDIRECT("1:"&amp;ROWS(Liste33)))),ROWS($9:55))),"")</f>
        <v/>
      </c>
      <c r="EL56" s="175">
        <f t="shared" ca="1" si="163"/>
        <v>0</v>
      </c>
      <c r="EM56" s="175" t="str">
        <f t="shared" ca="1" si="202"/>
        <v/>
      </c>
      <c r="EN56" s="169" t="str">
        <f t="shared" ca="1" si="126"/>
        <v/>
      </c>
      <c r="EO56" s="169" t="str">
        <f t="array" aca="1" ref="EO56" ca="1">IF(ROWS($9:55)&lt;=COUNTIF(Condition34,"o"),INDEX(Liste34,SMALL(IF(Condition34="o",ROW(INDIRECT("1:"&amp;ROWS(Liste34)))),ROWS($9:55))),"")</f>
        <v/>
      </c>
      <c r="EP56" s="175">
        <f t="shared" ca="1" si="164"/>
        <v>0</v>
      </c>
      <c r="EQ56" s="175" t="str">
        <f t="shared" ca="1" si="203"/>
        <v/>
      </c>
      <c r="ER56" s="169" t="str">
        <f t="shared" ca="1" si="127"/>
        <v/>
      </c>
      <c r="ES56" s="169" t="str">
        <f t="array" aca="1" ref="ES56" ca="1">IF(ROWS($9:55)&lt;=COUNTIF(Condition35,"o"),INDEX(Liste35,SMALL(IF(Condition35="o",ROW(INDIRECT("1:"&amp;ROWS(Liste35)))),ROWS($9:55))),"")</f>
        <v/>
      </c>
      <c r="ET56" s="175">
        <f t="shared" ca="1" si="165"/>
        <v>0</v>
      </c>
      <c r="EU56" s="175" t="str">
        <f t="shared" ca="1" si="204"/>
        <v/>
      </c>
      <c r="EV56" s="169" t="str">
        <f t="shared" ca="1" si="128"/>
        <v/>
      </c>
      <c r="EW56" s="169" t="str">
        <f t="array" aca="1" ref="EW56" ca="1">IF(ROWS($9:55)&lt;=COUNTIF(Condition36,"o"),INDEX(Liste36,SMALL(IF(Condition36="o",ROW(INDIRECT("1:"&amp;ROWS(Liste36)))),ROWS($9:55))),"")</f>
        <v/>
      </c>
      <c r="EX56" s="175">
        <f t="shared" ca="1" si="166"/>
        <v>0</v>
      </c>
      <c r="EY56" s="175" t="str">
        <f t="shared" ca="1" si="205"/>
        <v/>
      </c>
      <c r="EZ56" s="169" t="str">
        <f t="shared" ca="1" si="85"/>
        <v/>
      </c>
      <c r="FA56" s="169" t="str">
        <f t="array" aca="1" ref="FA56" ca="1">IF(ROWS($9:55)&lt;=COUNTIF(Condition36,"o"),INDEX(Liste36,SMALL(IF(Condition36="o",ROW(INDIRECT("1:"&amp;ROWS(Liste36)))),ROWS($9:55))),"")</f>
        <v/>
      </c>
      <c r="FB56" s="175">
        <f t="shared" ca="1" si="167"/>
        <v>0</v>
      </c>
      <c r="FC56" s="175" t="str">
        <f t="shared" ca="1" si="206"/>
        <v/>
      </c>
      <c r="FD56" s="169" t="str">
        <f t="shared" ca="1" si="86"/>
        <v/>
      </c>
      <c r="FE56" s="175">
        <f t="shared" si="168"/>
        <v>0</v>
      </c>
      <c r="FF56" s="175">
        <f t="shared" ca="1" si="168"/>
        <v>0</v>
      </c>
      <c r="FG56" s="175" t="str">
        <f t="shared" ca="1" si="207"/>
        <v/>
      </c>
      <c r="FH56" s="169" t="str">
        <f t="shared" ca="1" si="87"/>
        <v/>
      </c>
      <c r="FI56" s="169" t="str">
        <f t="array" aca="1" ref="FI56" ca="1">IF(ROWS($9:55)&lt;=COUNTIF(Condition39,"o"),INDEX(Liste39,SMALL(IF(Condition39="o",ROW(INDIRECT("1:"&amp;ROWS(Liste39)))),ROWS($9:55))),"")</f>
        <v/>
      </c>
      <c r="FO56" s="288"/>
      <c r="FQ56" s="289"/>
      <c r="FR56" s="288"/>
      <c r="FS56" s="290"/>
      <c r="FT56" s="291"/>
      <c r="FU56" s="288"/>
      <c r="FV56" s="290"/>
      <c r="FW56" s="291"/>
      <c r="FX56" s="288"/>
      <c r="FY56" s="290"/>
      <c r="FZ56" s="291"/>
      <c r="GA56" s="292"/>
      <c r="GB56" s="291"/>
      <c r="GC56" s="291"/>
      <c r="GD56" s="292"/>
      <c r="GE56" s="291"/>
      <c r="GF56" s="284"/>
      <c r="GG56" s="233"/>
    </row>
    <row r="57" spans="1:189">
      <c r="A57" s="1" t="s">
        <v>930</v>
      </c>
      <c r="B57" s="1">
        <f t="shared" si="208"/>
        <v>4</v>
      </c>
      <c r="C57" s="1">
        <f t="shared" ca="1" si="208"/>
        <v>0</v>
      </c>
      <c r="D57" s="1">
        <f t="shared" ca="1" si="208"/>
        <v>0</v>
      </c>
      <c r="E57" s="1" t="str">
        <f ca="1">Actions!K5</f>
        <v>-</v>
      </c>
      <c r="F57" s="1" t="str">
        <f t="shared" ca="1" si="0"/>
        <v>-</v>
      </c>
      <c r="G57" s="1" t="e">
        <f t="shared" ca="1" si="209"/>
        <v>#REF!</v>
      </c>
      <c r="I57" s="1">
        <v>49</v>
      </c>
      <c r="J57" s="175">
        <f t="shared" ca="1" si="130"/>
        <v>0</v>
      </c>
      <c r="K57" s="175" t="str">
        <f t="shared" ca="1" si="169"/>
        <v/>
      </c>
      <c r="L57" s="169" t="str">
        <f t="shared" ca="1" si="93"/>
        <v/>
      </c>
      <c r="M57" s="169" t="str">
        <f t="array" aca="1" ref="M57" ca="1">IF(ROWS($9:56)&lt;=COUNTIF(Condition1,"o"),INDEX(Liste1,SMALL(IF(Condition1="o",ROW(INDIRECT("1:"&amp;ROWS(Liste1)))),ROWS($9:56))),"")</f>
        <v/>
      </c>
      <c r="N57" s="175">
        <f t="shared" ca="1" si="131"/>
        <v>0</v>
      </c>
      <c r="O57" s="175" t="str">
        <f t="shared" ca="1" si="170"/>
        <v/>
      </c>
      <c r="P57" s="169" t="str">
        <f t="shared" ca="1" si="94"/>
        <v/>
      </c>
      <c r="Q57" s="169" t="str">
        <f t="array" aca="1" ref="Q57" ca="1">IF(ROWS($9:56)&lt;=COUNTIF(Condition2,"o"),INDEX(Liste2,SMALL(IF(Condition2="o",ROW(INDIRECT("1:"&amp;ROWS(Liste2)))),ROWS($9:56))),"")</f>
        <v/>
      </c>
      <c r="R57" s="175">
        <f t="shared" ca="1" si="132"/>
        <v>0</v>
      </c>
      <c r="S57" s="175" t="str">
        <f t="shared" ca="1" si="171"/>
        <v/>
      </c>
      <c r="T57" s="169" t="str">
        <f t="shared" ca="1" si="95"/>
        <v/>
      </c>
      <c r="U57" s="169" t="str">
        <f t="array" aca="1" ref="U57" ca="1">IF(ROWS($9:56)&lt;=COUNTIF(Condition3,"o"),INDEX(Liste3,SMALL(IF(Condition3="o",ROW(INDIRECT("1:"&amp;ROWS(Liste3)))),ROWS($9:56))),"")</f>
        <v/>
      </c>
      <c r="V57" s="175">
        <f t="shared" ca="1" si="133"/>
        <v>0</v>
      </c>
      <c r="W57" s="175" t="str">
        <f t="shared" ca="1" si="172"/>
        <v/>
      </c>
      <c r="X57" s="169" t="str">
        <f t="shared" ca="1" si="96"/>
        <v/>
      </c>
      <c r="Y57" s="169" t="str">
        <f t="array" aca="1" ref="Y57" ca="1">IF(ROWS($9:56)&lt;=COUNTIF(Condition4,"o"),INDEX(Liste4,SMALL(IF(Condition4="o",ROW(INDIRECT("1:"&amp;ROWS(Liste4)))),ROWS($9:56))),"")</f>
        <v/>
      </c>
      <c r="Z57" s="175">
        <f t="shared" ca="1" si="134"/>
        <v>0</v>
      </c>
      <c r="AA57" s="175" t="str">
        <f t="shared" ca="1" si="173"/>
        <v/>
      </c>
      <c r="AB57" s="169" t="str">
        <f t="shared" ca="1" si="97"/>
        <v/>
      </c>
      <c r="AC57" s="169" t="str">
        <f t="array" aca="1" ref="AC57" ca="1">IF(ROWS($9:56)&lt;=COUNTIF(Condition5,"o"),INDEX(Liste5,SMALL(IF(Condition5="o",ROW(INDIRECT("1:"&amp;ROWS(Liste5)))),ROWS($9:56))),"")</f>
        <v/>
      </c>
      <c r="AD57" s="175">
        <f t="shared" ca="1" si="135"/>
        <v>0</v>
      </c>
      <c r="AE57" s="175" t="str">
        <f t="shared" ca="1" si="174"/>
        <v/>
      </c>
      <c r="AF57" s="169" t="str">
        <f t="shared" ca="1" si="98"/>
        <v/>
      </c>
      <c r="AG57" s="169" t="str">
        <f t="array" aca="1" ref="AG57" ca="1">IF(ROWS($9:56)&lt;=COUNTIF(Condition6,"o"),INDEX(Liste6,SMALL(IF(Condition6="o",ROW(INDIRECT("1:"&amp;ROWS(Liste6)))),ROWS($9:56))),"")</f>
        <v/>
      </c>
      <c r="AH57" s="175">
        <f t="shared" ca="1" si="136"/>
        <v>0</v>
      </c>
      <c r="AI57" s="175" t="str">
        <f t="shared" ca="1" si="175"/>
        <v/>
      </c>
      <c r="AJ57" s="169" t="str">
        <f t="shared" ca="1" si="99"/>
        <v/>
      </c>
      <c r="AK57" s="169" t="str">
        <f t="array" aca="1" ref="AK57" ca="1">IF(ROWS($9:56)&lt;=COUNTIF(Condition7,"o"),INDEX(Liste7,SMALL(IF(Condition7="o",ROW(INDIRECT("1:"&amp;ROWS(Liste7)))),ROWS($9:56))),"")</f>
        <v/>
      </c>
      <c r="AL57" s="175">
        <f t="shared" ca="1" si="137"/>
        <v>0</v>
      </c>
      <c r="AM57" s="175" t="str">
        <f t="shared" ca="1" si="176"/>
        <v/>
      </c>
      <c r="AN57" s="169" t="str">
        <f t="shared" ca="1" si="100"/>
        <v/>
      </c>
      <c r="AO57" s="169" t="str">
        <f t="array" aca="1" ref="AO57" ca="1">IF(ROWS($9:56)&lt;=COUNTIF(Condition8,"o"),INDEX(Liste8,SMALL(IF(Condition8="o",ROW(INDIRECT("1:"&amp;ROWS(Liste8)))),ROWS($9:56))),"")</f>
        <v/>
      </c>
      <c r="AP57" s="175">
        <f t="shared" ca="1" si="138"/>
        <v>0</v>
      </c>
      <c r="AQ57" s="175" t="str">
        <f t="shared" ca="1" si="177"/>
        <v/>
      </c>
      <c r="AR57" s="169" t="str">
        <f t="shared" ca="1" si="101"/>
        <v/>
      </c>
      <c r="AS57" s="169" t="str">
        <f t="array" aca="1" ref="AS57" ca="1">IF(ROWS($9:56)&lt;=COUNTIF(Condition9,"o"),INDEX(Liste9,SMALL(IF(Condition9="o",ROW(INDIRECT("1:"&amp;ROWS(Liste9)))),ROWS($9:56))),"")</f>
        <v/>
      </c>
      <c r="AT57" s="175">
        <f t="shared" ca="1" si="139"/>
        <v>0</v>
      </c>
      <c r="AU57" s="175" t="str">
        <f t="shared" ca="1" si="178"/>
        <v/>
      </c>
      <c r="AV57" s="169" t="str">
        <f t="shared" ca="1" si="102"/>
        <v/>
      </c>
      <c r="AW57" s="169" t="str">
        <f t="array" aca="1" ref="AW57" ca="1">IF(ROWS($9:56)&lt;=COUNTIF(Condition10,"o"),INDEX(Liste10,SMALL(IF(Condition10="o",ROW(INDIRECT("1:"&amp;ROWS(Liste10)))),ROWS($9:56))),"")</f>
        <v/>
      </c>
      <c r="AX57" s="175">
        <f t="shared" ca="1" si="140"/>
        <v>0</v>
      </c>
      <c r="AY57" s="175" t="str">
        <f t="shared" ca="1" si="179"/>
        <v/>
      </c>
      <c r="AZ57" s="169" t="str">
        <f t="shared" ca="1" si="103"/>
        <v/>
      </c>
      <c r="BA57" s="169" t="str">
        <f t="array" aca="1" ref="BA57" ca="1">IF(ROWS($9:56)&lt;=COUNTIF(Condition11,"o"),INDEX(Liste11,SMALL(IF(Condition11="o",ROW(INDIRECT("1:"&amp;ROWS(Liste11)))),ROWS($9:56))),"")</f>
        <v/>
      </c>
      <c r="BB57" s="175">
        <f t="shared" ca="1" si="141"/>
        <v>0</v>
      </c>
      <c r="BC57" s="175" t="str">
        <f t="shared" ca="1" si="180"/>
        <v/>
      </c>
      <c r="BD57" s="169" t="str">
        <f t="shared" ca="1" si="104"/>
        <v/>
      </c>
      <c r="BE57" s="169" t="str">
        <f t="array" aca="1" ref="BE57" ca="1">IF(ROWS($9:56)&lt;=COUNTIF(Condition12,"o"),INDEX(Liste12,SMALL(IF(Condition12="o",ROW(INDIRECT("1:"&amp;ROWS(Liste12)))),ROWS($9:56))),"")</f>
        <v/>
      </c>
      <c r="BF57" s="175">
        <f t="shared" ca="1" si="142"/>
        <v>0</v>
      </c>
      <c r="BG57" s="175" t="str">
        <f t="shared" ca="1" si="181"/>
        <v/>
      </c>
      <c r="BH57" s="169" t="str">
        <f t="shared" ca="1" si="105"/>
        <v/>
      </c>
      <c r="BI57" s="169" t="str">
        <f t="array" aca="1" ref="BI57" ca="1">IF(ROWS($9:56)&lt;=COUNTIF(Condition13,"o"),INDEX(Liste13,SMALL(IF(Condition13="o",ROW(INDIRECT("1:"&amp;ROWS(Liste13)))),ROWS($9:56))),"")</f>
        <v/>
      </c>
      <c r="BJ57" s="175">
        <f t="shared" ca="1" si="143"/>
        <v>0</v>
      </c>
      <c r="BK57" s="175" t="str">
        <f t="shared" ca="1" si="182"/>
        <v/>
      </c>
      <c r="BL57" s="169" t="str">
        <f t="shared" ca="1" si="106"/>
        <v/>
      </c>
      <c r="BM57" s="169" t="str">
        <f t="array" aca="1" ref="BM57" ca="1">IF(ROWS($9:56)&lt;=COUNTIF(Condition14,"o"),INDEX(Liste14,SMALL(IF(Condition14="o",ROW(INDIRECT("1:"&amp;ROWS(Liste14)))),ROWS($9:56))),"")</f>
        <v/>
      </c>
      <c r="BN57" s="175">
        <f t="shared" ca="1" si="144"/>
        <v>0</v>
      </c>
      <c r="BO57" s="175" t="str">
        <f t="shared" ca="1" si="183"/>
        <v/>
      </c>
      <c r="BP57" s="169" t="str">
        <f t="shared" ca="1" si="107"/>
        <v/>
      </c>
      <c r="BQ57" s="169" t="str">
        <f t="array" aca="1" ref="BQ57" ca="1">IF(ROWS($9:56)&lt;=COUNTIF(Condition15,"o"),INDEX(Liste15,SMALL(IF(Condition15="o",ROW(INDIRECT("1:"&amp;ROWS(Liste15)))),ROWS($9:56))),"")</f>
        <v/>
      </c>
      <c r="BR57" s="175">
        <f t="shared" ca="1" si="145"/>
        <v>0</v>
      </c>
      <c r="BS57" s="175" t="str">
        <f t="shared" ca="1" si="184"/>
        <v/>
      </c>
      <c r="BT57" s="169" t="str">
        <f t="shared" ca="1" si="108"/>
        <v/>
      </c>
      <c r="BU57" s="169" t="str">
        <f t="array" aca="1" ref="BU57" ca="1">IF(ROWS($9:56)&lt;=COUNTIF(Condition16,"o"),INDEX(Liste16,SMALL(IF(Condition16="o",ROW(INDIRECT("1:"&amp;ROWS(Liste16)))),ROWS($9:56))),"")</f>
        <v/>
      </c>
      <c r="BV57" s="175">
        <f t="shared" ca="1" si="146"/>
        <v>0</v>
      </c>
      <c r="BW57" s="175" t="str">
        <f t="shared" ca="1" si="185"/>
        <v/>
      </c>
      <c r="BX57" s="169" t="str">
        <f t="shared" ca="1" si="109"/>
        <v/>
      </c>
      <c r="BY57" s="169" t="str">
        <f t="array" aca="1" ref="BY57" ca="1">IF(ROWS($9:56)&lt;=COUNTIF(Condition17,"o"),INDEX(Liste17,SMALL(IF(Condition17="o",ROW(INDIRECT("1:"&amp;ROWS(Liste17)))),ROWS($9:56))),"")</f>
        <v/>
      </c>
      <c r="BZ57" s="175">
        <f t="shared" ca="1" si="147"/>
        <v>0</v>
      </c>
      <c r="CA57" s="175" t="str">
        <f t="shared" ca="1" si="186"/>
        <v/>
      </c>
      <c r="CB57" s="169" t="str">
        <f t="shared" ca="1" si="110"/>
        <v/>
      </c>
      <c r="CC57" s="169" t="str">
        <f t="array" aca="1" ref="CC57" ca="1">IF(ROWS($9:56)&lt;=COUNTIF(Condition18,"o"),INDEX(Liste18,SMALL(IF(Condition18="o",ROW(INDIRECT("1:"&amp;ROWS(Liste18)))),ROWS($9:56))),"")</f>
        <v/>
      </c>
      <c r="CD57" s="175">
        <f t="shared" ca="1" si="148"/>
        <v>0</v>
      </c>
      <c r="CE57" s="175" t="str">
        <f t="shared" ca="1" si="187"/>
        <v/>
      </c>
      <c r="CF57" s="169" t="str">
        <f t="shared" ca="1" si="111"/>
        <v/>
      </c>
      <c r="CG57" s="169" t="str">
        <f t="array" aca="1" ref="CG57" ca="1">IF(ROWS($9:56)&lt;=COUNTIF(Condition19,"o"),INDEX(Liste19,SMALL(IF(Condition19="o",ROW(INDIRECT("1:"&amp;ROWS(Liste19)))),ROWS($9:56))),"")</f>
        <v/>
      </c>
      <c r="CH57" s="175">
        <f t="shared" ca="1" si="149"/>
        <v>0</v>
      </c>
      <c r="CI57" s="175" t="str">
        <f t="shared" ca="1" si="188"/>
        <v/>
      </c>
      <c r="CJ57" s="169" t="str">
        <f t="shared" ca="1" si="112"/>
        <v/>
      </c>
      <c r="CK57" s="169" t="str">
        <f t="array" aca="1" ref="CK57" ca="1">IF(ROWS($9:56)&lt;=COUNTIF(Condition20,"o"),INDEX(Liste20,SMALL(IF(Condition20="o",ROW(INDIRECT("1:"&amp;ROWS(Liste20)))),ROWS($9:56))),"")</f>
        <v/>
      </c>
      <c r="CL57" s="175">
        <f t="shared" ca="1" si="150"/>
        <v>0</v>
      </c>
      <c r="CM57" s="175" t="str">
        <f t="shared" ca="1" si="189"/>
        <v/>
      </c>
      <c r="CN57" s="169" t="str">
        <f t="shared" ca="1" si="113"/>
        <v/>
      </c>
      <c r="CO57" s="169" t="str">
        <f t="array" aca="1" ref="CO57" ca="1">IF(ROWS($9:56)&lt;=COUNTIF(Condition21,"o"),INDEX(Liste21,SMALL(IF(Condition21="o",ROW(INDIRECT("1:"&amp;ROWS(Liste21)))),ROWS($9:56))),"")</f>
        <v/>
      </c>
      <c r="CP57" s="175">
        <f t="shared" ca="1" si="151"/>
        <v>0</v>
      </c>
      <c r="CQ57" s="175" t="str">
        <f t="shared" ca="1" si="190"/>
        <v/>
      </c>
      <c r="CR57" s="169" t="str">
        <f t="shared" ca="1" si="114"/>
        <v/>
      </c>
      <c r="CS57" s="169" t="str">
        <f t="array" aca="1" ref="CS57" ca="1">IF(ROWS($9:56)&lt;=COUNTIF(Condition22,"o"),INDEX(Liste22,SMALL(IF(Condition22="o",ROW(INDIRECT("1:"&amp;ROWS(Liste22)))),ROWS($9:56))),"")</f>
        <v/>
      </c>
      <c r="CT57" s="175">
        <f t="shared" ca="1" si="152"/>
        <v>0</v>
      </c>
      <c r="CU57" s="175" t="str">
        <f t="shared" ca="1" si="191"/>
        <v/>
      </c>
      <c r="CV57" s="169" t="str">
        <f t="shared" ca="1" si="115"/>
        <v/>
      </c>
      <c r="CW57" s="169" t="str">
        <f t="array" aca="1" ref="CW57" ca="1">IF(ROWS($9:56)&lt;=COUNTIF(Condition23,"o"),INDEX(Liste23,SMALL(IF(Condition23="o",ROW(INDIRECT("1:"&amp;ROWS(Liste23)))),ROWS($9:56))),"")</f>
        <v/>
      </c>
      <c r="CX57" s="175">
        <f t="shared" ca="1" si="153"/>
        <v>0</v>
      </c>
      <c r="CY57" s="175" t="str">
        <f t="shared" ca="1" si="192"/>
        <v/>
      </c>
      <c r="CZ57" s="169" t="str">
        <f t="shared" ca="1" si="116"/>
        <v/>
      </c>
      <c r="DA57" s="169" t="str">
        <f t="array" aca="1" ref="DA57" ca="1">IF(ROWS($9:56)&lt;=COUNTIF(Condition24,"o"),INDEX(Liste24,SMALL(IF(Condition24="o",ROW(INDIRECT("1:"&amp;ROWS(Liste24)))),ROWS($9:56))),"")</f>
        <v/>
      </c>
      <c r="DB57" s="175">
        <f t="shared" ca="1" si="154"/>
        <v>0</v>
      </c>
      <c r="DC57" s="175" t="str">
        <f t="shared" ca="1" si="193"/>
        <v/>
      </c>
      <c r="DD57" s="169" t="str">
        <f t="shared" ca="1" si="117"/>
        <v/>
      </c>
      <c r="DE57" s="169" t="str">
        <f t="array" aca="1" ref="DE57" ca="1">IF(ROWS($9:56)&lt;=COUNTIF(Condition25,"o"),INDEX(Liste25,SMALL(IF(Condition25="o",ROW(INDIRECT("1:"&amp;ROWS(Liste25)))),ROWS($9:56))),"")</f>
        <v/>
      </c>
      <c r="DF57" s="175">
        <f t="shared" ca="1" si="155"/>
        <v>0</v>
      </c>
      <c r="DG57" s="175" t="str">
        <f t="shared" ca="1" si="194"/>
        <v/>
      </c>
      <c r="DH57" s="169" t="str">
        <f t="shared" ca="1" si="118"/>
        <v/>
      </c>
      <c r="DI57" s="169" t="str">
        <f t="array" aca="1" ref="DI57" ca="1">IF(ROWS($9:56)&lt;=COUNTIF(Condition26,"o"),INDEX(Liste26,SMALL(IF(Condition26="o",ROW(INDIRECT("1:"&amp;ROWS(Liste26)))),ROWS($9:56))),"")</f>
        <v/>
      </c>
      <c r="DJ57" s="175">
        <f t="shared" ca="1" si="156"/>
        <v>0</v>
      </c>
      <c r="DK57" s="175" t="str">
        <f t="shared" ca="1" si="195"/>
        <v/>
      </c>
      <c r="DL57" s="169" t="str">
        <f t="shared" ca="1" si="119"/>
        <v/>
      </c>
      <c r="DM57" s="169" t="str">
        <f t="array" aca="1" ref="DM57" ca="1">IF(ROWS($9:56)&lt;=COUNTIF(Condition27,"o"),INDEX(Liste27,SMALL(IF(Condition27="o",ROW(INDIRECT("1:"&amp;ROWS(Liste27)))),ROWS($9:56))),"")</f>
        <v/>
      </c>
      <c r="DN57" s="175">
        <f t="shared" ca="1" si="157"/>
        <v>0</v>
      </c>
      <c r="DO57" s="175" t="str">
        <f t="shared" ca="1" si="196"/>
        <v/>
      </c>
      <c r="DP57" s="169" t="str">
        <f t="shared" ca="1" si="120"/>
        <v/>
      </c>
      <c r="DQ57" s="169" t="str">
        <f t="array" aca="1" ref="DQ57" ca="1">IF(ROWS($9:56)&lt;=COUNTIF(Condition28,"o"),INDEX(Liste28,SMALL(IF(Condition28="o",ROW(INDIRECT("1:"&amp;ROWS(Liste28)))),ROWS($9:56))),"")</f>
        <v/>
      </c>
      <c r="DR57" s="175">
        <f t="shared" ca="1" si="158"/>
        <v>0</v>
      </c>
      <c r="DS57" s="175" t="str">
        <f t="shared" ca="1" si="197"/>
        <v/>
      </c>
      <c r="DT57" s="169" t="str">
        <f t="shared" ca="1" si="121"/>
        <v/>
      </c>
      <c r="DU57" s="169" t="str">
        <f t="array" aca="1" ref="DU57" ca="1">IF(ROWS($9:56)&lt;=COUNTIF(Condition29,"o"),INDEX(Liste29,SMALL(IF(Condition29="o",ROW(INDIRECT("1:"&amp;ROWS(Liste29)))),ROWS($9:56))),"")</f>
        <v/>
      </c>
      <c r="DV57" s="175">
        <f t="shared" ca="1" si="159"/>
        <v>0</v>
      </c>
      <c r="DW57" s="175" t="str">
        <f t="shared" ca="1" si="198"/>
        <v/>
      </c>
      <c r="DX57" s="169" t="str">
        <f t="shared" ca="1" si="122"/>
        <v/>
      </c>
      <c r="DY57" s="169" t="str">
        <f t="array" aca="1" ref="DY57" ca="1">IF(ROWS($9:56)&lt;=COUNTIF(Condition30,"o"),INDEX(Liste30,SMALL(IF(Condition30="o",ROW(INDIRECT("1:"&amp;ROWS(Liste30)))),ROWS($9:56))),"")</f>
        <v/>
      </c>
      <c r="DZ57" s="175">
        <f t="shared" ca="1" si="160"/>
        <v>0</v>
      </c>
      <c r="EA57" s="175" t="str">
        <f t="shared" ca="1" si="199"/>
        <v/>
      </c>
      <c r="EB57" s="169" t="str">
        <f t="shared" ca="1" si="123"/>
        <v/>
      </c>
      <c r="EC57" s="169" t="str">
        <f t="array" aca="1" ref="EC57" ca="1">IF(ROWS($9:56)&lt;=COUNTIF(Condition31,"o"),INDEX(Liste31,SMALL(IF(Condition31="o",ROW(INDIRECT("1:"&amp;ROWS(Liste31)))),ROWS($9:56))),"")</f>
        <v/>
      </c>
      <c r="ED57" s="175">
        <f t="shared" ca="1" si="161"/>
        <v>0</v>
      </c>
      <c r="EE57" s="175" t="str">
        <f t="shared" ca="1" si="200"/>
        <v/>
      </c>
      <c r="EF57" s="169" t="str">
        <f t="shared" ca="1" si="124"/>
        <v/>
      </c>
      <c r="EG57" s="169" t="str">
        <f t="array" aca="1" ref="EG57" ca="1">IF(ROWS($9:56)&lt;=COUNTIF(Condition32,"o"),INDEX(Liste32,SMALL(IF(Condition32="o",ROW(INDIRECT("1:"&amp;ROWS(Liste32)))),ROWS($9:56))),"")</f>
        <v/>
      </c>
      <c r="EH57" s="175">
        <f t="shared" ca="1" si="162"/>
        <v>0</v>
      </c>
      <c r="EI57" s="175" t="str">
        <f t="shared" ca="1" si="201"/>
        <v/>
      </c>
      <c r="EJ57" s="169" t="str">
        <f t="shared" ca="1" si="125"/>
        <v/>
      </c>
      <c r="EK57" s="169" t="str">
        <f t="array" aca="1" ref="EK57" ca="1">IF(ROWS($9:56)&lt;=COUNTIF(Condition33,"o"),INDEX(Liste33,SMALL(IF(Condition33="o",ROW(INDIRECT("1:"&amp;ROWS(Liste33)))),ROWS($9:56))),"")</f>
        <v/>
      </c>
      <c r="EL57" s="175">
        <f t="shared" ca="1" si="163"/>
        <v>0</v>
      </c>
      <c r="EM57" s="175" t="str">
        <f t="shared" ca="1" si="202"/>
        <v/>
      </c>
      <c r="EN57" s="169" t="str">
        <f t="shared" ca="1" si="126"/>
        <v/>
      </c>
      <c r="EO57" s="169" t="str">
        <f t="array" aca="1" ref="EO57" ca="1">IF(ROWS($9:56)&lt;=COUNTIF(Condition34,"o"),INDEX(Liste34,SMALL(IF(Condition34="o",ROW(INDIRECT("1:"&amp;ROWS(Liste34)))),ROWS($9:56))),"")</f>
        <v/>
      </c>
      <c r="EP57" s="175">
        <f t="shared" ca="1" si="164"/>
        <v>0</v>
      </c>
      <c r="EQ57" s="175" t="str">
        <f t="shared" ca="1" si="203"/>
        <v/>
      </c>
      <c r="ER57" s="169" t="str">
        <f t="shared" ca="1" si="127"/>
        <v/>
      </c>
      <c r="ES57" s="169" t="str">
        <f t="array" aca="1" ref="ES57" ca="1">IF(ROWS($9:56)&lt;=COUNTIF(Condition35,"o"),INDEX(Liste35,SMALL(IF(Condition35="o",ROW(INDIRECT("1:"&amp;ROWS(Liste35)))),ROWS($9:56))),"")</f>
        <v/>
      </c>
      <c r="ET57" s="175">
        <f t="shared" ca="1" si="165"/>
        <v>0</v>
      </c>
      <c r="EU57" s="175" t="str">
        <f t="shared" ca="1" si="204"/>
        <v/>
      </c>
      <c r="EV57" s="169" t="str">
        <f t="shared" ca="1" si="128"/>
        <v/>
      </c>
      <c r="EW57" s="169" t="str">
        <f t="array" aca="1" ref="EW57" ca="1">IF(ROWS($9:56)&lt;=COUNTIF(Condition36,"o"),INDEX(Liste36,SMALL(IF(Condition36="o",ROW(INDIRECT("1:"&amp;ROWS(Liste36)))),ROWS($9:56))),"")</f>
        <v/>
      </c>
      <c r="EX57" s="175">
        <f t="shared" ca="1" si="166"/>
        <v>0</v>
      </c>
      <c r="EY57" s="175" t="str">
        <f t="shared" ca="1" si="205"/>
        <v/>
      </c>
      <c r="EZ57" s="169" t="str">
        <f t="shared" ca="1" si="85"/>
        <v/>
      </c>
      <c r="FA57" s="169" t="str">
        <f t="array" aca="1" ref="FA57" ca="1">IF(ROWS($9:56)&lt;=COUNTIF(Condition36,"o"),INDEX(Liste36,SMALL(IF(Condition36="o",ROW(INDIRECT("1:"&amp;ROWS(Liste36)))),ROWS($9:56))),"")</f>
        <v/>
      </c>
      <c r="FB57" s="175">
        <f t="shared" ca="1" si="167"/>
        <v>0</v>
      </c>
      <c r="FC57" s="175" t="str">
        <f t="shared" ca="1" si="206"/>
        <v/>
      </c>
      <c r="FD57" s="169" t="str">
        <f t="shared" ca="1" si="86"/>
        <v/>
      </c>
      <c r="FE57" s="175">
        <f t="shared" si="168"/>
        <v>0</v>
      </c>
      <c r="FF57" s="175">
        <f t="shared" ca="1" si="168"/>
        <v>0</v>
      </c>
      <c r="FG57" s="175" t="str">
        <f t="shared" ca="1" si="207"/>
        <v/>
      </c>
      <c r="FH57" s="169" t="str">
        <f t="shared" ca="1" si="87"/>
        <v/>
      </c>
      <c r="FI57" s="169" t="str">
        <f t="array" aca="1" ref="FI57" ca="1">IF(ROWS($9:56)&lt;=COUNTIF(Condition39,"o"),INDEX(Liste39,SMALL(IF(Condition39="o",ROW(INDIRECT("1:"&amp;ROWS(Liste39)))),ROWS($9:56))),"")</f>
        <v/>
      </c>
      <c r="FO57" s="288"/>
      <c r="FQ57" s="289"/>
      <c r="FR57" s="288"/>
      <c r="FS57" s="290"/>
      <c r="FT57" s="291"/>
      <c r="FU57" s="288"/>
      <c r="FV57" s="290"/>
      <c r="FW57" s="291"/>
      <c r="FX57" s="288"/>
      <c r="FY57" s="290"/>
      <c r="FZ57" s="291"/>
      <c r="GA57" s="292"/>
      <c r="GB57" s="291"/>
      <c r="GC57" s="291"/>
      <c r="GD57" s="292"/>
      <c r="GE57" s="291"/>
      <c r="GF57" s="284"/>
      <c r="GG57" s="233"/>
    </row>
    <row r="58" spans="1:189">
      <c r="A58" s="1" t="s">
        <v>984</v>
      </c>
      <c r="B58" s="1">
        <f t="shared" si="208"/>
        <v>5</v>
      </c>
      <c r="C58" s="1">
        <f t="shared" ca="1" si="208"/>
        <v>0</v>
      </c>
      <c r="D58" s="1">
        <f t="shared" ca="1" si="208"/>
        <v>0</v>
      </c>
      <c r="E58" s="1" t="str">
        <f ca="1">Actions!K6</f>
        <v>-</v>
      </c>
      <c r="F58" s="1" t="str">
        <f t="shared" ca="1" si="0"/>
        <v>-</v>
      </c>
      <c r="G58" s="1" t="e">
        <f t="shared" ca="1" si="209"/>
        <v>#REF!</v>
      </c>
      <c r="I58" s="1">
        <v>50</v>
      </c>
      <c r="J58" s="175">
        <f t="shared" ca="1" si="130"/>
        <v>0</v>
      </c>
      <c r="K58" s="175" t="str">
        <f t="shared" ca="1" si="169"/>
        <v/>
      </c>
      <c r="L58" s="169" t="str">
        <f t="shared" ca="1" si="93"/>
        <v/>
      </c>
      <c r="M58" s="169" t="str">
        <f t="array" aca="1" ref="M58" ca="1">IF(ROWS($9:57)&lt;=COUNTIF(Condition1,"o"),INDEX(Liste1,SMALL(IF(Condition1="o",ROW(INDIRECT("1:"&amp;ROWS(Liste1)))),ROWS($9:57))),"")</f>
        <v/>
      </c>
      <c r="N58" s="175">
        <f t="shared" ca="1" si="131"/>
        <v>0</v>
      </c>
      <c r="O58" s="175" t="str">
        <f t="shared" ca="1" si="170"/>
        <v/>
      </c>
      <c r="P58" s="169" t="str">
        <f t="shared" ca="1" si="94"/>
        <v/>
      </c>
      <c r="Q58" s="169" t="str">
        <f t="array" aca="1" ref="Q58" ca="1">IF(ROWS($9:57)&lt;=COUNTIF(Condition2,"o"),INDEX(Liste2,SMALL(IF(Condition2="o",ROW(INDIRECT("1:"&amp;ROWS(Liste2)))),ROWS($9:57))),"")</f>
        <v/>
      </c>
      <c r="R58" s="175">
        <f t="shared" ca="1" si="132"/>
        <v>0</v>
      </c>
      <c r="S58" s="175" t="str">
        <f t="shared" ca="1" si="171"/>
        <v/>
      </c>
      <c r="T58" s="169" t="str">
        <f t="shared" ca="1" si="95"/>
        <v/>
      </c>
      <c r="U58" s="169" t="str">
        <f t="array" aca="1" ref="U58" ca="1">IF(ROWS($9:57)&lt;=COUNTIF(Condition3,"o"),INDEX(Liste3,SMALL(IF(Condition3="o",ROW(INDIRECT("1:"&amp;ROWS(Liste3)))),ROWS($9:57))),"")</f>
        <v/>
      </c>
      <c r="V58" s="175">
        <f t="shared" ca="1" si="133"/>
        <v>0</v>
      </c>
      <c r="W58" s="175" t="str">
        <f t="shared" ca="1" si="172"/>
        <v/>
      </c>
      <c r="X58" s="169" t="str">
        <f t="shared" ca="1" si="96"/>
        <v/>
      </c>
      <c r="Y58" s="169" t="str">
        <f t="array" aca="1" ref="Y58" ca="1">IF(ROWS($9:57)&lt;=COUNTIF(Condition4,"o"),INDEX(Liste4,SMALL(IF(Condition4="o",ROW(INDIRECT("1:"&amp;ROWS(Liste4)))),ROWS($9:57))),"")</f>
        <v/>
      </c>
      <c r="Z58" s="175">
        <f t="shared" ca="1" si="134"/>
        <v>0</v>
      </c>
      <c r="AA58" s="175" t="str">
        <f t="shared" ca="1" si="173"/>
        <v/>
      </c>
      <c r="AB58" s="169" t="str">
        <f t="shared" ca="1" si="97"/>
        <v/>
      </c>
      <c r="AC58" s="169" t="str">
        <f t="array" aca="1" ref="AC58" ca="1">IF(ROWS($9:57)&lt;=COUNTIF(Condition5,"o"),INDEX(Liste5,SMALL(IF(Condition5="o",ROW(INDIRECT("1:"&amp;ROWS(Liste5)))),ROWS($9:57))),"")</f>
        <v/>
      </c>
      <c r="AD58" s="175">
        <f t="shared" ca="1" si="135"/>
        <v>0</v>
      </c>
      <c r="AE58" s="175" t="str">
        <f t="shared" ca="1" si="174"/>
        <v/>
      </c>
      <c r="AF58" s="169" t="str">
        <f t="shared" ca="1" si="98"/>
        <v/>
      </c>
      <c r="AG58" s="169" t="str">
        <f t="array" aca="1" ref="AG58" ca="1">IF(ROWS($9:57)&lt;=COUNTIF(Condition6,"o"),INDEX(Liste6,SMALL(IF(Condition6="o",ROW(INDIRECT("1:"&amp;ROWS(Liste6)))),ROWS($9:57))),"")</f>
        <v/>
      </c>
      <c r="AH58" s="175">
        <f t="shared" ca="1" si="136"/>
        <v>0</v>
      </c>
      <c r="AI58" s="175" t="str">
        <f t="shared" ca="1" si="175"/>
        <v/>
      </c>
      <c r="AJ58" s="169" t="str">
        <f t="shared" ca="1" si="99"/>
        <v/>
      </c>
      <c r="AK58" s="169" t="str">
        <f t="array" aca="1" ref="AK58" ca="1">IF(ROWS($9:57)&lt;=COUNTIF(Condition7,"o"),INDEX(Liste7,SMALL(IF(Condition7="o",ROW(INDIRECT("1:"&amp;ROWS(Liste7)))),ROWS($9:57))),"")</f>
        <v/>
      </c>
      <c r="AL58" s="175">
        <f t="shared" ca="1" si="137"/>
        <v>0</v>
      </c>
      <c r="AM58" s="175" t="str">
        <f t="shared" ca="1" si="176"/>
        <v/>
      </c>
      <c r="AN58" s="169" t="str">
        <f t="shared" ca="1" si="100"/>
        <v/>
      </c>
      <c r="AO58" s="169" t="str">
        <f t="array" aca="1" ref="AO58" ca="1">IF(ROWS($9:57)&lt;=COUNTIF(Condition8,"o"),INDEX(Liste8,SMALL(IF(Condition8="o",ROW(INDIRECT("1:"&amp;ROWS(Liste8)))),ROWS($9:57))),"")</f>
        <v/>
      </c>
      <c r="AP58" s="175">
        <f t="shared" ca="1" si="138"/>
        <v>0</v>
      </c>
      <c r="AQ58" s="175" t="str">
        <f t="shared" ca="1" si="177"/>
        <v/>
      </c>
      <c r="AR58" s="169" t="str">
        <f t="shared" ca="1" si="101"/>
        <v/>
      </c>
      <c r="AS58" s="169" t="str">
        <f t="array" aca="1" ref="AS58" ca="1">IF(ROWS($9:57)&lt;=COUNTIF(Condition9,"o"),INDEX(Liste9,SMALL(IF(Condition9="o",ROW(INDIRECT("1:"&amp;ROWS(Liste9)))),ROWS($9:57))),"")</f>
        <v/>
      </c>
      <c r="AT58" s="175">
        <f t="shared" ca="1" si="139"/>
        <v>0</v>
      </c>
      <c r="AU58" s="175" t="str">
        <f t="shared" ca="1" si="178"/>
        <v/>
      </c>
      <c r="AV58" s="169" t="str">
        <f t="shared" ca="1" si="102"/>
        <v/>
      </c>
      <c r="AW58" s="169" t="str">
        <f t="array" aca="1" ref="AW58" ca="1">IF(ROWS($9:57)&lt;=COUNTIF(Condition10,"o"),INDEX(Liste10,SMALL(IF(Condition10="o",ROW(INDIRECT("1:"&amp;ROWS(Liste10)))),ROWS($9:57))),"")</f>
        <v/>
      </c>
      <c r="AX58" s="175">
        <f t="shared" ca="1" si="140"/>
        <v>0</v>
      </c>
      <c r="AY58" s="175" t="str">
        <f t="shared" ca="1" si="179"/>
        <v/>
      </c>
      <c r="AZ58" s="169" t="str">
        <f t="shared" ca="1" si="103"/>
        <v/>
      </c>
      <c r="BA58" s="169" t="str">
        <f t="array" aca="1" ref="BA58" ca="1">IF(ROWS($9:57)&lt;=COUNTIF(Condition11,"o"),INDEX(Liste11,SMALL(IF(Condition11="o",ROW(INDIRECT("1:"&amp;ROWS(Liste11)))),ROWS($9:57))),"")</f>
        <v/>
      </c>
      <c r="BB58" s="175">
        <f t="shared" ca="1" si="141"/>
        <v>0</v>
      </c>
      <c r="BC58" s="175" t="str">
        <f t="shared" ca="1" si="180"/>
        <v/>
      </c>
      <c r="BD58" s="169" t="str">
        <f t="shared" ca="1" si="104"/>
        <v/>
      </c>
      <c r="BE58" s="169" t="str">
        <f t="array" aca="1" ref="BE58" ca="1">IF(ROWS($9:57)&lt;=COUNTIF(Condition12,"o"),INDEX(Liste12,SMALL(IF(Condition12="o",ROW(INDIRECT("1:"&amp;ROWS(Liste12)))),ROWS($9:57))),"")</f>
        <v/>
      </c>
      <c r="BF58" s="175">
        <f t="shared" ca="1" si="142"/>
        <v>0</v>
      </c>
      <c r="BG58" s="175" t="str">
        <f t="shared" ca="1" si="181"/>
        <v/>
      </c>
      <c r="BH58" s="169" t="str">
        <f t="shared" ca="1" si="105"/>
        <v/>
      </c>
      <c r="BI58" s="169" t="str">
        <f t="array" aca="1" ref="BI58" ca="1">IF(ROWS($9:57)&lt;=COUNTIF(Condition13,"o"),INDEX(Liste13,SMALL(IF(Condition13="o",ROW(INDIRECT("1:"&amp;ROWS(Liste13)))),ROWS($9:57))),"")</f>
        <v/>
      </c>
      <c r="BJ58" s="175">
        <f t="shared" ca="1" si="143"/>
        <v>0</v>
      </c>
      <c r="BK58" s="175" t="str">
        <f t="shared" ca="1" si="182"/>
        <v/>
      </c>
      <c r="BL58" s="169" t="str">
        <f t="shared" ca="1" si="106"/>
        <v/>
      </c>
      <c r="BM58" s="169" t="str">
        <f t="array" aca="1" ref="BM58" ca="1">IF(ROWS($9:57)&lt;=COUNTIF(Condition14,"o"),INDEX(Liste14,SMALL(IF(Condition14="o",ROW(INDIRECT("1:"&amp;ROWS(Liste14)))),ROWS($9:57))),"")</f>
        <v/>
      </c>
      <c r="BN58" s="175">
        <f t="shared" ca="1" si="144"/>
        <v>0</v>
      </c>
      <c r="BO58" s="175" t="str">
        <f t="shared" ca="1" si="183"/>
        <v/>
      </c>
      <c r="BP58" s="169" t="str">
        <f t="shared" ca="1" si="107"/>
        <v/>
      </c>
      <c r="BQ58" s="169" t="str">
        <f t="array" aca="1" ref="BQ58" ca="1">IF(ROWS($9:57)&lt;=COUNTIF(Condition15,"o"),INDEX(Liste15,SMALL(IF(Condition15="o",ROW(INDIRECT("1:"&amp;ROWS(Liste15)))),ROWS($9:57))),"")</f>
        <v/>
      </c>
      <c r="BR58" s="175">
        <f t="shared" ca="1" si="145"/>
        <v>0</v>
      </c>
      <c r="BS58" s="175" t="str">
        <f t="shared" ca="1" si="184"/>
        <v/>
      </c>
      <c r="BT58" s="169" t="str">
        <f t="shared" ca="1" si="108"/>
        <v/>
      </c>
      <c r="BU58" s="169" t="str">
        <f t="array" aca="1" ref="BU58" ca="1">IF(ROWS($9:57)&lt;=COUNTIF(Condition16,"o"),INDEX(Liste16,SMALL(IF(Condition16="o",ROW(INDIRECT("1:"&amp;ROWS(Liste16)))),ROWS($9:57))),"")</f>
        <v/>
      </c>
      <c r="BV58" s="175">
        <f t="shared" ca="1" si="146"/>
        <v>0</v>
      </c>
      <c r="BW58" s="175" t="str">
        <f t="shared" ca="1" si="185"/>
        <v/>
      </c>
      <c r="BX58" s="169" t="str">
        <f t="shared" ca="1" si="109"/>
        <v/>
      </c>
      <c r="BY58" s="169" t="str">
        <f t="array" aca="1" ref="BY58" ca="1">IF(ROWS($9:57)&lt;=COUNTIF(Condition17,"o"),INDEX(Liste17,SMALL(IF(Condition17="o",ROW(INDIRECT("1:"&amp;ROWS(Liste17)))),ROWS($9:57))),"")</f>
        <v/>
      </c>
      <c r="BZ58" s="175">
        <f t="shared" ca="1" si="147"/>
        <v>0</v>
      </c>
      <c r="CA58" s="175" t="str">
        <f t="shared" ca="1" si="186"/>
        <v/>
      </c>
      <c r="CB58" s="169" t="str">
        <f t="shared" ca="1" si="110"/>
        <v/>
      </c>
      <c r="CC58" s="169" t="str">
        <f t="array" aca="1" ref="CC58" ca="1">IF(ROWS($9:57)&lt;=COUNTIF(Condition18,"o"),INDEX(Liste18,SMALL(IF(Condition18="o",ROW(INDIRECT("1:"&amp;ROWS(Liste18)))),ROWS($9:57))),"")</f>
        <v/>
      </c>
      <c r="CD58" s="175">
        <f t="shared" ca="1" si="148"/>
        <v>0</v>
      </c>
      <c r="CE58" s="175" t="str">
        <f t="shared" ca="1" si="187"/>
        <v/>
      </c>
      <c r="CF58" s="169" t="str">
        <f t="shared" ca="1" si="111"/>
        <v/>
      </c>
      <c r="CG58" s="169" t="str">
        <f t="array" aca="1" ref="CG58" ca="1">IF(ROWS($9:57)&lt;=COUNTIF(Condition19,"o"),INDEX(Liste19,SMALL(IF(Condition19="o",ROW(INDIRECT("1:"&amp;ROWS(Liste19)))),ROWS($9:57))),"")</f>
        <v/>
      </c>
      <c r="CH58" s="175">
        <f t="shared" ca="1" si="149"/>
        <v>0</v>
      </c>
      <c r="CI58" s="175" t="str">
        <f t="shared" ca="1" si="188"/>
        <v/>
      </c>
      <c r="CJ58" s="169" t="str">
        <f t="shared" ca="1" si="112"/>
        <v/>
      </c>
      <c r="CK58" s="169" t="str">
        <f t="array" aca="1" ref="CK58" ca="1">IF(ROWS($9:57)&lt;=COUNTIF(Condition20,"o"),INDEX(Liste20,SMALL(IF(Condition20="o",ROW(INDIRECT("1:"&amp;ROWS(Liste20)))),ROWS($9:57))),"")</f>
        <v/>
      </c>
      <c r="CL58" s="175">
        <f t="shared" ca="1" si="150"/>
        <v>0</v>
      </c>
      <c r="CM58" s="175" t="str">
        <f t="shared" ca="1" si="189"/>
        <v/>
      </c>
      <c r="CN58" s="169" t="str">
        <f t="shared" ca="1" si="113"/>
        <v/>
      </c>
      <c r="CO58" s="169" t="str">
        <f t="array" aca="1" ref="CO58" ca="1">IF(ROWS($9:57)&lt;=COUNTIF(Condition21,"o"),INDEX(Liste21,SMALL(IF(Condition21="o",ROW(INDIRECT("1:"&amp;ROWS(Liste21)))),ROWS($9:57))),"")</f>
        <v/>
      </c>
      <c r="CP58" s="175">
        <f t="shared" ca="1" si="151"/>
        <v>0</v>
      </c>
      <c r="CQ58" s="175" t="str">
        <f t="shared" ca="1" si="190"/>
        <v/>
      </c>
      <c r="CR58" s="169" t="str">
        <f t="shared" ca="1" si="114"/>
        <v/>
      </c>
      <c r="CS58" s="169" t="str">
        <f t="array" aca="1" ref="CS58" ca="1">IF(ROWS($9:57)&lt;=COUNTIF(Condition22,"o"),INDEX(Liste22,SMALL(IF(Condition22="o",ROW(INDIRECT("1:"&amp;ROWS(Liste22)))),ROWS($9:57))),"")</f>
        <v/>
      </c>
      <c r="CT58" s="175">
        <f t="shared" ca="1" si="152"/>
        <v>0</v>
      </c>
      <c r="CU58" s="175" t="str">
        <f t="shared" ca="1" si="191"/>
        <v/>
      </c>
      <c r="CV58" s="169" t="str">
        <f t="shared" ca="1" si="115"/>
        <v/>
      </c>
      <c r="CW58" s="169" t="str">
        <f t="array" aca="1" ref="CW58" ca="1">IF(ROWS($9:57)&lt;=COUNTIF(Condition23,"o"),INDEX(Liste23,SMALL(IF(Condition23="o",ROW(INDIRECT("1:"&amp;ROWS(Liste23)))),ROWS($9:57))),"")</f>
        <v/>
      </c>
      <c r="CX58" s="175">
        <f t="shared" ca="1" si="153"/>
        <v>0</v>
      </c>
      <c r="CY58" s="175" t="str">
        <f t="shared" ca="1" si="192"/>
        <v/>
      </c>
      <c r="CZ58" s="169" t="str">
        <f t="shared" ca="1" si="116"/>
        <v/>
      </c>
      <c r="DA58" s="169" t="str">
        <f t="array" aca="1" ref="DA58" ca="1">IF(ROWS($9:57)&lt;=COUNTIF(Condition24,"o"),INDEX(Liste24,SMALL(IF(Condition24="o",ROW(INDIRECT("1:"&amp;ROWS(Liste24)))),ROWS($9:57))),"")</f>
        <v/>
      </c>
      <c r="DB58" s="175">
        <f t="shared" ca="1" si="154"/>
        <v>0</v>
      </c>
      <c r="DC58" s="175" t="str">
        <f t="shared" ca="1" si="193"/>
        <v/>
      </c>
      <c r="DD58" s="169" t="str">
        <f t="shared" ca="1" si="117"/>
        <v/>
      </c>
      <c r="DE58" s="169" t="str">
        <f t="array" aca="1" ref="DE58" ca="1">IF(ROWS($9:57)&lt;=COUNTIF(Condition25,"o"),INDEX(Liste25,SMALL(IF(Condition25="o",ROW(INDIRECT("1:"&amp;ROWS(Liste25)))),ROWS($9:57))),"")</f>
        <v/>
      </c>
      <c r="DF58" s="175">
        <f t="shared" ca="1" si="155"/>
        <v>0</v>
      </c>
      <c r="DG58" s="175" t="str">
        <f t="shared" ca="1" si="194"/>
        <v/>
      </c>
      <c r="DH58" s="169" t="str">
        <f t="shared" ca="1" si="118"/>
        <v/>
      </c>
      <c r="DI58" s="169" t="str">
        <f t="array" aca="1" ref="DI58" ca="1">IF(ROWS($9:57)&lt;=COUNTIF(Condition26,"o"),INDEX(Liste26,SMALL(IF(Condition26="o",ROW(INDIRECT("1:"&amp;ROWS(Liste26)))),ROWS($9:57))),"")</f>
        <v/>
      </c>
      <c r="DJ58" s="175">
        <f t="shared" ca="1" si="156"/>
        <v>0</v>
      </c>
      <c r="DK58" s="175" t="str">
        <f t="shared" ca="1" si="195"/>
        <v/>
      </c>
      <c r="DL58" s="169" t="str">
        <f t="shared" ca="1" si="119"/>
        <v/>
      </c>
      <c r="DM58" s="169" t="str">
        <f t="array" aca="1" ref="DM58" ca="1">IF(ROWS($9:57)&lt;=COUNTIF(Condition27,"o"),INDEX(Liste27,SMALL(IF(Condition27="o",ROW(INDIRECT("1:"&amp;ROWS(Liste27)))),ROWS($9:57))),"")</f>
        <v/>
      </c>
      <c r="DN58" s="175">
        <f t="shared" ca="1" si="157"/>
        <v>0</v>
      </c>
      <c r="DO58" s="175" t="str">
        <f t="shared" ca="1" si="196"/>
        <v/>
      </c>
      <c r="DP58" s="169" t="str">
        <f t="shared" ca="1" si="120"/>
        <v/>
      </c>
      <c r="DQ58" s="169" t="str">
        <f t="array" aca="1" ref="DQ58" ca="1">IF(ROWS($9:57)&lt;=COUNTIF(Condition28,"o"),INDEX(Liste28,SMALL(IF(Condition28="o",ROW(INDIRECT("1:"&amp;ROWS(Liste28)))),ROWS($9:57))),"")</f>
        <v/>
      </c>
      <c r="DR58" s="175">
        <f t="shared" ca="1" si="158"/>
        <v>0</v>
      </c>
      <c r="DS58" s="175" t="str">
        <f t="shared" ca="1" si="197"/>
        <v/>
      </c>
      <c r="DT58" s="169" t="str">
        <f t="shared" ca="1" si="121"/>
        <v/>
      </c>
      <c r="DU58" s="169" t="str">
        <f t="array" aca="1" ref="DU58" ca="1">IF(ROWS($9:57)&lt;=COUNTIF(Condition29,"o"),INDEX(Liste29,SMALL(IF(Condition29="o",ROW(INDIRECT("1:"&amp;ROWS(Liste29)))),ROWS($9:57))),"")</f>
        <v/>
      </c>
      <c r="DV58" s="175">
        <f t="shared" ca="1" si="159"/>
        <v>0</v>
      </c>
      <c r="DW58" s="175" t="str">
        <f t="shared" ca="1" si="198"/>
        <v/>
      </c>
      <c r="DX58" s="169" t="str">
        <f t="shared" ca="1" si="122"/>
        <v/>
      </c>
      <c r="DY58" s="169" t="str">
        <f t="array" aca="1" ref="DY58" ca="1">IF(ROWS($9:57)&lt;=COUNTIF(Condition30,"o"),INDEX(Liste30,SMALL(IF(Condition30="o",ROW(INDIRECT("1:"&amp;ROWS(Liste30)))),ROWS($9:57))),"")</f>
        <v/>
      </c>
      <c r="DZ58" s="175">
        <f t="shared" ca="1" si="160"/>
        <v>0</v>
      </c>
      <c r="EA58" s="175" t="str">
        <f t="shared" ca="1" si="199"/>
        <v/>
      </c>
      <c r="EB58" s="169" t="str">
        <f t="shared" ca="1" si="123"/>
        <v/>
      </c>
      <c r="EC58" s="169" t="str">
        <f t="array" aca="1" ref="EC58" ca="1">IF(ROWS($9:57)&lt;=COUNTIF(Condition31,"o"),INDEX(Liste31,SMALL(IF(Condition31="o",ROW(INDIRECT("1:"&amp;ROWS(Liste31)))),ROWS($9:57))),"")</f>
        <v/>
      </c>
      <c r="ED58" s="175">
        <f t="shared" ca="1" si="161"/>
        <v>0</v>
      </c>
      <c r="EE58" s="175" t="str">
        <f t="shared" ca="1" si="200"/>
        <v/>
      </c>
      <c r="EF58" s="169" t="str">
        <f t="shared" ca="1" si="124"/>
        <v/>
      </c>
      <c r="EG58" s="169" t="str">
        <f t="array" aca="1" ref="EG58" ca="1">IF(ROWS($9:57)&lt;=COUNTIF(Condition32,"o"),INDEX(Liste32,SMALL(IF(Condition32="o",ROW(INDIRECT("1:"&amp;ROWS(Liste32)))),ROWS($9:57))),"")</f>
        <v/>
      </c>
      <c r="EH58" s="175">
        <f t="shared" ca="1" si="162"/>
        <v>0</v>
      </c>
      <c r="EI58" s="175" t="str">
        <f t="shared" ca="1" si="201"/>
        <v/>
      </c>
      <c r="EJ58" s="169" t="str">
        <f t="shared" ca="1" si="125"/>
        <v/>
      </c>
      <c r="EK58" s="169" t="str">
        <f t="array" aca="1" ref="EK58" ca="1">IF(ROWS($9:57)&lt;=COUNTIF(Condition33,"o"),INDEX(Liste33,SMALL(IF(Condition33="o",ROW(INDIRECT("1:"&amp;ROWS(Liste33)))),ROWS($9:57))),"")</f>
        <v/>
      </c>
      <c r="EL58" s="175">
        <f t="shared" ca="1" si="163"/>
        <v>0</v>
      </c>
      <c r="EM58" s="175" t="str">
        <f t="shared" ca="1" si="202"/>
        <v/>
      </c>
      <c r="EN58" s="169" t="str">
        <f t="shared" ca="1" si="126"/>
        <v/>
      </c>
      <c r="EO58" s="169" t="str">
        <f t="array" aca="1" ref="EO58" ca="1">IF(ROWS($9:57)&lt;=COUNTIF(Condition34,"o"),INDEX(Liste34,SMALL(IF(Condition34="o",ROW(INDIRECT("1:"&amp;ROWS(Liste34)))),ROWS($9:57))),"")</f>
        <v/>
      </c>
      <c r="EP58" s="175">
        <f t="shared" ca="1" si="164"/>
        <v>0</v>
      </c>
      <c r="EQ58" s="175" t="str">
        <f t="shared" ca="1" si="203"/>
        <v/>
      </c>
      <c r="ER58" s="169" t="str">
        <f t="shared" ca="1" si="127"/>
        <v/>
      </c>
      <c r="ES58" s="169" t="str">
        <f t="array" aca="1" ref="ES58" ca="1">IF(ROWS($9:57)&lt;=COUNTIF(Condition35,"o"),INDEX(Liste35,SMALL(IF(Condition35="o",ROW(INDIRECT("1:"&amp;ROWS(Liste35)))),ROWS($9:57))),"")</f>
        <v/>
      </c>
      <c r="ET58" s="175">
        <f t="shared" ca="1" si="165"/>
        <v>0</v>
      </c>
      <c r="EU58" s="175" t="str">
        <f t="shared" ca="1" si="204"/>
        <v/>
      </c>
      <c r="EV58" s="169" t="str">
        <f t="shared" ca="1" si="128"/>
        <v/>
      </c>
      <c r="EW58" s="169" t="str">
        <f t="array" aca="1" ref="EW58" ca="1">IF(ROWS($9:57)&lt;=COUNTIF(Condition36,"o"),INDEX(Liste36,SMALL(IF(Condition36="o",ROW(INDIRECT("1:"&amp;ROWS(Liste36)))),ROWS($9:57))),"")</f>
        <v/>
      </c>
      <c r="EX58" s="175">
        <f t="shared" ca="1" si="166"/>
        <v>0</v>
      </c>
      <c r="EY58" s="175" t="str">
        <f t="shared" ca="1" si="205"/>
        <v/>
      </c>
      <c r="EZ58" s="169" t="str">
        <f t="shared" ca="1" si="85"/>
        <v/>
      </c>
      <c r="FA58" s="169" t="str">
        <f t="array" aca="1" ref="FA58" ca="1">IF(ROWS($9:57)&lt;=COUNTIF(Condition36,"o"),INDEX(Liste36,SMALL(IF(Condition36="o",ROW(INDIRECT("1:"&amp;ROWS(Liste36)))),ROWS($9:57))),"")</f>
        <v/>
      </c>
      <c r="FB58" s="175">
        <f t="shared" ca="1" si="167"/>
        <v>0</v>
      </c>
      <c r="FC58" s="175" t="str">
        <f t="shared" ca="1" si="206"/>
        <v/>
      </c>
      <c r="FD58" s="169" t="str">
        <f t="shared" ca="1" si="86"/>
        <v/>
      </c>
      <c r="FE58" s="175">
        <f t="shared" si="168"/>
        <v>0</v>
      </c>
      <c r="FF58" s="175">
        <f t="shared" ca="1" si="168"/>
        <v>0</v>
      </c>
      <c r="FG58" s="175" t="str">
        <f t="shared" ca="1" si="207"/>
        <v/>
      </c>
      <c r="FH58" s="169" t="str">
        <f t="shared" ca="1" si="87"/>
        <v/>
      </c>
      <c r="FI58" s="169" t="str">
        <f t="array" aca="1" ref="FI58" ca="1">IF(ROWS($9:57)&lt;=COUNTIF(Condition39,"o"),INDEX(Liste39,SMALL(IF(Condition39="o",ROW(INDIRECT("1:"&amp;ROWS(Liste39)))),ROWS($9:57))),"")</f>
        <v/>
      </c>
      <c r="FO58" s="288"/>
      <c r="FQ58" s="289"/>
      <c r="FR58" s="288"/>
      <c r="FS58" s="290"/>
      <c r="FT58" s="291"/>
      <c r="FU58" s="288"/>
      <c r="FV58" s="290"/>
      <c r="FW58" s="291"/>
      <c r="FX58" s="288"/>
      <c r="FY58" s="290"/>
      <c r="FZ58" s="291"/>
      <c r="GA58" s="292"/>
      <c r="GB58" s="291"/>
      <c r="GC58" s="291"/>
      <c r="GD58" s="292"/>
      <c r="GE58" s="291"/>
      <c r="GF58" s="284"/>
      <c r="GG58" s="233"/>
    </row>
    <row r="59" spans="1:189">
      <c r="A59" s="1" t="s">
        <v>1013</v>
      </c>
      <c r="B59" s="1">
        <f t="shared" si="208"/>
        <v>6</v>
      </c>
      <c r="C59" s="1">
        <f t="shared" ca="1" si="208"/>
        <v>0</v>
      </c>
      <c r="D59" s="1">
        <f t="shared" ca="1" si="208"/>
        <v>0</v>
      </c>
      <c r="E59" s="1" t="str">
        <f ca="1">Actions!K7</f>
        <v>-</v>
      </c>
      <c r="F59" s="1" t="str">
        <f t="shared" ca="1" si="0"/>
        <v>-</v>
      </c>
      <c r="G59" s="1" t="e">
        <f t="shared" ca="1" si="209"/>
        <v>#REF!</v>
      </c>
      <c r="I59" s="1">
        <v>51</v>
      </c>
      <c r="J59" s="175">
        <f t="shared" ca="1" si="130"/>
        <v>0</v>
      </c>
      <c r="K59" s="175" t="str">
        <f t="shared" ca="1" si="169"/>
        <v/>
      </c>
      <c r="L59" s="169" t="str">
        <f t="shared" ca="1" si="93"/>
        <v/>
      </c>
      <c r="M59" s="169" t="str">
        <f t="array" aca="1" ref="M59" ca="1">IF(ROWS($9:58)&lt;=COUNTIF(Condition1,"o"),INDEX(Liste1,SMALL(IF(Condition1="o",ROW(INDIRECT("1:"&amp;ROWS(Liste1)))),ROWS($9:58))),"")</f>
        <v/>
      </c>
      <c r="N59" s="175">
        <f t="shared" ca="1" si="131"/>
        <v>0</v>
      </c>
      <c r="O59" s="175" t="str">
        <f t="shared" ca="1" si="170"/>
        <v/>
      </c>
      <c r="P59" s="169" t="str">
        <f t="shared" ca="1" si="94"/>
        <v/>
      </c>
      <c r="Q59" s="169" t="str">
        <f t="array" aca="1" ref="Q59" ca="1">IF(ROWS($9:58)&lt;=COUNTIF(Condition2,"o"),INDEX(Liste2,SMALL(IF(Condition2="o",ROW(INDIRECT("1:"&amp;ROWS(Liste2)))),ROWS($9:58))),"")</f>
        <v/>
      </c>
      <c r="R59" s="175">
        <f t="shared" ca="1" si="132"/>
        <v>0</v>
      </c>
      <c r="S59" s="175" t="str">
        <f t="shared" ca="1" si="171"/>
        <v/>
      </c>
      <c r="T59" s="169" t="str">
        <f t="shared" ca="1" si="95"/>
        <v/>
      </c>
      <c r="U59" s="169" t="str">
        <f t="array" aca="1" ref="U59" ca="1">IF(ROWS($9:58)&lt;=COUNTIF(Condition3,"o"),INDEX(Liste3,SMALL(IF(Condition3="o",ROW(INDIRECT("1:"&amp;ROWS(Liste3)))),ROWS($9:58))),"")</f>
        <v/>
      </c>
      <c r="V59" s="175">
        <f t="shared" ca="1" si="133"/>
        <v>0</v>
      </c>
      <c r="W59" s="175" t="str">
        <f t="shared" ca="1" si="172"/>
        <v/>
      </c>
      <c r="X59" s="169" t="str">
        <f t="shared" ca="1" si="96"/>
        <v/>
      </c>
      <c r="Y59" s="169" t="str">
        <f t="array" aca="1" ref="Y59" ca="1">IF(ROWS($9:58)&lt;=COUNTIF(Condition4,"o"),INDEX(Liste4,SMALL(IF(Condition4="o",ROW(INDIRECT("1:"&amp;ROWS(Liste4)))),ROWS($9:58))),"")</f>
        <v/>
      </c>
      <c r="Z59" s="175">
        <f t="shared" ca="1" si="134"/>
        <v>0</v>
      </c>
      <c r="AA59" s="175" t="str">
        <f t="shared" ca="1" si="173"/>
        <v/>
      </c>
      <c r="AB59" s="169" t="str">
        <f t="shared" ca="1" si="97"/>
        <v/>
      </c>
      <c r="AC59" s="169" t="str">
        <f t="array" aca="1" ref="AC59" ca="1">IF(ROWS($9:58)&lt;=COUNTIF(Condition5,"o"),INDEX(Liste5,SMALL(IF(Condition5="o",ROW(INDIRECT("1:"&amp;ROWS(Liste5)))),ROWS($9:58))),"")</f>
        <v/>
      </c>
      <c r="AD59" s="175">
        <f t="shared" ca="1" si="135"/>
        <v>0</v>
      </c>
      <c r="AE59" s="175" t="str">
        <f t="shared" ca="1" si="174"/>
        <v/>
      </c>
      <c r="AF59" s="169" t="str">
        <f t="shared" ca="1" si="98"/>
        <v/>
      </c>
      <c r="AG59" s="169" t="str">
        <f t="array" aca="1" ref="AG59" ca="1">IF(ROWS($9:58)&lt;=COUNTIF(Condition6,"o"),INDEX(Liste6,SMALL(IF(Condition6="o",ROW(INDIRECT("1:"&amp;ROWS(Liste6)))),ROWS($9:58))),"")</f>
        <v/>
      </c>
      <c r="AH59" s="175">
        <f t="shared" ca="1" si="136"/>
        <v>0</v>
      </c>
      <c r="AI59" s="175" t="str">
        <f t="shared" ca="1" si="175"/>
        <v/>
      </c>
      <c r="AJ59" s="169" t="str">
        <f t="shared" ca="1" si="99"/>
        <v/>
      </c>
      <c r="AK59" s="169" t="str">
        <f t="array" aca="1" ref="AK59" ca="1">IF(ROWS($9:58)&lt;=COUNTIF(Condition7,"o"),INDEX(Liste7,SMALL(IF(Condition7="o",ROW(INDIRECT("1:"&amp;ROWS(Liste7)))),ROWS($9:58))),"")</f>
        <v/>
      </c>
      <c r="AL59" s="175">
        <f t="shared" ca="1" si="137"/>
        <v>0</v>
      </c>
      <c r="AM59" s="175" t="str">
        <f t="shared" ca="1" si="176"/>
        <v/>
      </c>
      <c r="AN59" s="169" t="str">
        <f t="shared" ca="1" si="100"/>
        <v/>
      </c>
      <c r="AO59" s="169" t="str">
        <f t="array" aca="1" ref="AO59" ca="1">IF(ROWS($9:58)&lt;=COUNTIF(Condition8,"o"),INDEX(Liste8,SMALL(IF(Condition8="o",ROW(INDIRECT("1:"&amp;ROWS(Liste8)))),ROWS($9:58))),"")</f>
        <v/>
      </c>
      <c r="AP59" s="175">
        <f t="shared" ca="1" si="138"/>
        <v>0</v>
      </c>
      <c r="AQ59" s="175" t="str">
        <f t="shared" ca="1" si="177"/>
        <v/>
      </c>
      <c r="AR59" s="169" t="str">
        <f t="shared" ca="1" si="101"/>
        <v/>
      </c>
      <c r="AS59" s="169" t="str">
        <f t="array" aca="1" ref="AS59" ca="1">IF(ROWS($9:58)&lt;=COUNTIF(Condition9,"o"),INDEX(Liste9,SMALL(IF(Condition9="o",ROW(INDIRECT("1:"&amp;ROWS(Liste9)))),ROWS($9:58))),"")</f>
        <v/>
      </c>
      <c r="AT59" s="175">
        <f t="shared" ca="1" si="139"/>
        <v>0</v>
      </c>
      <c r="AU59" s="175" t="str">
        <f t="shared" ca="1" si="178"/>
        <v/>
      </c>
      <c r="AV59" s="169" t="str">
        <f t="shared" ca="1" si="102"/>
        <v/>
      </c>
      <c r="AW59" s="169" t="str">
        <f t="array" aca="1" ref="AW59" ca="1">IF(ROWS($9:58)&lt;=COUNTIF(Condition10,"o"),INDEX(Liste10,SMALL(IF(Condition10="o",ROW(INDIRECT("1:"&amp;ROWS(Liste10)))),ROWS($9:58))),"")</f>
        <v/>
      </c>
      <c r="AX59" s="175">
        <f t="shared" ca="1" si="140"/>
        <v>0</v>
      </c>
      <c r="AY59" s="175" t="str">
        <f t="shared" ca="1" si="179"/>
        <v/>
      </c>
      <c r="AZ59" s="169" t="str">
        <f t="shared" ca="1" si="103"/>
        <v/>
      </c>
      <c r="BA59" s="169" t="str">
        <f t="array" aca="1" ref="BA59" ca="1">IF(ROWS($9:58)&lt;=COUNTIF(Condition11,"o"),INDEX(Liste11,SMALL(IF(Condition11="o",ROW(INDIRECT("1:"&amp;ROWS(Liste11)))),ROWS($9:58))),"")</f>
        <v/>
      </c>
      <c r="BB59" s="175">
        <f t="shared" ca="1" si="141"/>
        <v>0</v>
      </c>
      <c r="BC59" s="175" t="str">
        <f t="shared" ca="1" si="180"/>
        <v/>
      </c>
      <c r="BD59" s="169" t="str">
        <f t="shared" ca="1" si="104"/>
        <v/>
      </c>
      <c r="BE59" s="169" t="str">
        <f t="array" aca="1" ref="BE59" ca="1">IF(ROWS($9:58)&lt;=COUNTIF(Condition12,"o"),INDEX(Liste12,SMALL(IF(Condition12="o",ROW(INDIRECT("1:"&amp;ROWS(Liste12)))),ROWS($9:58))),"")</f>
        <v/>
      </c>
      <c r="BF59" s="175">
        <f t="shared" ca="1" si="142"/>
        <v>0</v>
      </c>
      <c r="BG59" s="175" t="str">
        <f t="shared" ca="1" si="181"/>
        <v/>
      </c>
      <c r="BH59" s="169" t="str">
        <f t="shared" ca="1" si="105"/>
        <v/>
      </c>
      <c r="BI59" s="169" t="str">
        <f t="array" aca="1" ref="BI59" ca="1">IF(ROWS($9:58)&lt;=COUNTIF(Condition13,"o"),INDEX(Liste13,SMALL(IF(Condition13="o",ROW(INDIRECT("1:"&amp;ROWS(Liste13)))),ROWS($9:58))),"")</f>
        <v/>
      </c>
      <c r="BJ59" s="175">
        <f t="shared" ca="1" si="143"/>
        <v>0</v>
      </c>
      <c r="BK59" s="175" t="str">
        <f t="shared" ca="1" si="182"/>
        <v/>
      </c>
      <c r="BL59" s="169" t="str">
        <f t="shared" ca="1" si="106"/>
        <v/>
      </c>
      <c r="BM59" s="169" t="str">
        <f t="array" aca="1" ref="BM59" ca="1">IF(ROWS($9:58)&lt;=COUNTIF(Condition14,"o"),INDEX(Liste14,SMALL(IF(Condition14="o",ROW(INDIRECT("1:"&amp;ROWS(Liste14)))),ROWS($9:58))),"")</f>
        <v/>
      </c>
      <c r="BN59" s="175">
        <f t="shared" ca="1" si="144"/>
        <v>0</v>
      </c>
      <c r="BO59" s="175" t="str">
        <f t="shared" ca="1" si="183"/>
        <v/>
      </c>
      <c r="BP59" s="169" t="str">
        <f t="shared" ca="1" si="107"/>
        <v/>
      </c>
      <c r="BQ59" s="169" t="str">
        <f t="array" aca="1" ref="BQ59" ca="1">IF(ROWS($9:58)&lt;=COUNTIF(Condition15,"o"),INDEX(Liste15,SMALL(IF(Condition15="o",ROW(INDIRECT("1:"&amp;ROWS(Liste15)))),ROWS($9:58))),"")</f>
        <v/>
      </c>
      <c r="BR59" s="175">
        <f t="shared" ca="1" si="145"/>
        <v>0</v>
      </c>
      <c r="BS59" s="175" t="str">
        <f t="shared" ca="1" si="184"/>
        <v/>
      </c>
      <c r="BT59" s="169" t="str">
        <f t="shared" ca="1" si="108"/>
        <v/>
      </c>
      <c r="BU59" s="169" t="str">
        <f t="array" aca="1" ref="BU59" ca="1">IF(ROWS($9:58)&lt;=COUNTIF(Condition16,"o"),INDEX(Liste16,SMALL(IF(Condition16="o",ROW(INDIRECT("1:"&amp;ROWS(Liste16)))),ROWS($9:58))),"")</f>
        <v/>
      </c>
      <c r="BV59" s="175">
        <f t="shared" ca="1" si="146"/>
        <v>0</v>
      </c>
      <c r="BW59" s="175" t="str">
        <f t="shared" ca="1" si="185"/>
        <v/>
      </c>
      <c r="BX59" s="169" t="str">
        <f t="shared" ca="1" si="109"/>
        <v/>
      </c>
      <c r="BY59" s="169" t="str">
        <f t="array" aca="1" ref="BY59" ca="1">IF(ROWS($9:58)&lt;=COUNTIF(Condition17,"o"),INDEX(Liste17,SMALL(IF(Condition17="o",ROW(INDIRECT("1:"&amp;ROWS(Liste17)))),ROWS($9:58))),"")</f>
        <v/>
      </c>
      <c r="BZ59" s="175">
        <f t="shared" ca="1" si="147"/>
        <v>0</v>
      </c>
      <c r="CA59" s="175" t="str">
        <f t="shared" ca="1" si="186"/>
        <v/>
      </c>
      <c r="CB59" s="169" t="str">
        <f t="shared" ca="1" si="110"/>
        <v/>
      </c>
      <c r="CC59" s="169" t="str">
        <f t="array" aca="1" ref="CC59" ca="1">IF(ROWS($9:58)&lt;=COUNTIF(Condition18,"o"),INDEX(Liste18,SMALL(IF(Condition18="o",ROW(INDIRECT("1:"&amp;ROWS(Liste18)))),ROWS($9:58))),"")</f>
        <v/>
      </c>
      <c r="CD59" s="175">
        <f t="shared" ca="1" si="148"/>
        <v>0</v>
      </c>
      <c r="CE59" s="175" t="str">
        <f t="shared" ca="1" si="187"/>
        <v/>
      </c>
      <c r="CF59" s="169" t="str">
        <f t="shared" ca="1" si="111"/>
        <v/>
      </c>
      <c r="CG59" s="169" t="str">
        <f t="array" aca="1" ref="CG59" ca="1">IF(ROWS($9:58)&lt;=COUNTIF(Condition19,"o"),INDEX(Liste19,SMALL(IF(Condition19="o",ROW(INDIRECT("1:"&amp;ROWS(Liste19)))),ROWS($9:58))),"")</f>
        <v/>
      </c>
      <c r="CH59" s="175">
        <f t="shared" ca="1" si="149"/>
        <v>0</v>
      </c>
      <c r="CI59" s="175" t="str">
        <f t="shared" ca="1" si="188"/>
        <v/>
      </c>
      <c r="CJ59" s="169" t="str">
        <f t="shared" ca="1" si="112"/>
        <v/>
      </c>
      <c r="CK59" s="169" t="str">
        <f t="array" aca="1" ref="CK59" ca="1">IF(ROWS($9:58)&lt;=COUNTIF(Condition20,"o"),INDEX(Liste20,SMALL(IF(Condition20="o",ROW(INDIRECT("1:"&amp;ROWS(Liste20)))),ROWS($9:58))),"")</f>
        <v/>
      </c>
      <c r="CL59" s="175">
        <f t="shared" ca="1" si="150"/>
        <v>0</v>
      </c>
      <c r="CM59" s="175" t="str">
        <f t="shared" ca="1" si="189"/>
        <v/>
      </c>
      <c r="CN59" s="169" t="str">
        <f t="shared" ca="1" si="113"/>
        <v/>
      </c>
      <c r="CO59" s="169" t="str">
        <f t="array" aca="1" ref="CO59" ca="1">IF(ROWS($9:58)&lt;=COUNTIF(Condition21,"o"),INDEX(Liste21,SMALL(IF(Condition21="o",ROW(INDIRECT("1:"&amp;ROWS(Liste21)))),ROWS($9:58))),"")</f>
        <v/>
      </c>
      <c r="CP59" s="175">
        <f t="shared" ca="1" si="151"/>
        <v>0</v>
      </c>
      <c r="CQ59" s="175" t="str">
        <f t="shared" ca="1" si="190"/>
        <v/>
      </c>
      <c r="CR59" s="169" t="str">
        <f t="shared" ca="1" si="114"/>
        <v/>
      </c>
      <c r="CS59" s="169" t="str">
        <f t="array" aca="1" ref="CS59" ca="1">IF(ROWS($9:58)&lt;=COUNTIF(Condition22,"o"),INDEX(Liste22,SMALL(IF(Condition22="o",ROW(INDIRECT("1:"&amp;ROWS(Liste22)))),ROWS($9:58))),"")</f>
        <v/>
      </c>
      <c r="CT59" s="175">
        <f t="shared" ca="1" si="152"/>
        <v>0</v>
      </c>
      <c r="CU59" s="175" t="str">
        <f t="shared" ca="1" si="191"/>
        <v/>
      </c>
      <c r="CV59" s="169" t="str">
        <f t="shared" ca="1" si="115"/>
        <v/>
      </c>
      <c r="CW59" s="169" t="str">
        <f t="array" aca="1" ref="CW59" ca="1">IF(ROWS($9:58)&lt;=COUNTIF(Condition23,"o"),INDEX(Liste23,SMALL(IF(Condition23="o",ROW(INDIRECT("1:"&amp;ROWS(Liste23)))),ROWS($9:58))),"")</f>
        <v/>
      </c>
      <c r="CX59" s="175">
        <f t="shared" ca="1" si="153"/>
        <v>0</v>
      </c>
      <c r="CY59" s="175" t="str">
        <f t="shared" ca="1" si="192"/>
        <v/>
      </c>
      <c r="CZ59" s="169" t="str">
        <f t="shared" ca="1" si="116"/>
        <v/>
      </c>
      <c r="DA59" s="169" t="str">
        <f t="array" aca="1" ref="DA59" ca="1">IF(ROWS($9:58)&lt;=COUNTIF(Condition24,"o"),INDEX(Liste24,SMALL(IF(Condition24="o",ROW(INDIRECT("1:"&amp;ROWS(Liste24)))),ROWS($9:58))),"")</f>
        <v/>
      </c>
      <c r="DB59" s="175">
        <f t="shared" ca="1" si="154"/>
        <v>0</v>
      </c>
      <c r="DC59" s="175" t="str">
        <f t="shared" ca="1" si="193"/>
        <v/>
      </c>
      <c r="DD59" s="169" t="str">
        <f t="shared" ca="1" si="117"/>
        <v/>
      </c>
      <c r="DE59" s="169" t="str">
        <f t="array" aca="1" ref="DE59" ca="1">IF(ROWS($9:58)&lt;=COUNTIF(Condition25,"o"),INDEX(Liste25,SMALL(IF(Condition25="o",ROW(INDIRECT("1:"&amp;ROWS(Liste25)))),ROWS($9:58))),"")</f>
        <v/>
      </c>
      <c r="DF59" s="175">
        <f t="shared" ca="1" si="155"/>
        <v>0</v>
      </c>
      <c r="DG59" s="175" t="str">
        <f t="shared" ca="1" si="194"/>
        <v/>
      </c>
      <c r="DH59" s="169" t="str">
        <f t="shared" ca="1" si="118"/>
        <v/>
      </c>
      <c r="DI59" s="169" t="str">
        <f t="array" aca="1" ref="DI59" ca="1">IF(ROWS($9:58)&lt;=COUNTIF(Condition26,"o"),INDEX(Liste26,SMALL(IF(Condition26="o",ROW(INDIRECT("1:"&amp;ROWS(Liste26)))),ROWS($9:58))),"")</f>
        <v/>
      </c>
      <c r="DJ59" s="175">
        <f t="shared" ca="1" si="156"/>
        <v>0</v>
      </c>
      <c r="DK59" s="175" t="str">
        <f t="shared" ca="1" si="195"/>
        <v/>
      </c>
      <c r="DL59" s="169" t="str">
        <f t="shared" ca="1" si="119"/>
        <v/>
      </c>
      <c r="DM59" s="169" t="str">
        <f t="array" aca="1" ref="DM59" ca="1">IF(ROWS($9:58)&lt;=COUNTIF(Condition27,"o"),INDEX(Liste27,SMALL(IF(Condition27="o",ROW(INDIRECT("1:"&amp;ROWS(Liste27)))),ROWS($9:58))),"")</f>
        <v/>
      </c>
      <c r="DN59" s="175">
        <f t="shared" ca="1" si="157"/>
        <v>0</v>
      </c>
      <c r="DO59" s="175" t="str">
        <f t="shared" ca="1" si="196"/>
        <v/>
      </c>
      <c r="DP59" s="169" t="str">
        <f t="shared" ca="1" si="120"/>
        <v/>
      </c>
      <c r="DQ59" s="169" t="str">
        <f t="array" aca="1" ref="DQ59" ca="1">IF(ROWS($9:58)&lt;=COUNTIF(Condition28,"o"),INDEX(Liste28,SMALL(IF(Condition28="o",ROW(INDIRECT("1:"&amp;ROWS(Liste28)))),ROWS($9:58))),"")</f>
        <v/>
      </c>
      <c r="DR59" s="175">
        <f t="shared" ca="1" si="158"/>
        <v>0</v>
      </c>
      <c r="DS59" s="175" t="str">
        <f t="shared" ca="1" si="197"/>
        <v/>
      </c>
      <c r="DT59" s="169" t="str">
        <f t="shared" ca="1" si="121"/>
        <v/>
      </c>
      <c r="DU59" s="169" t="str">
        <f t="array" aca="1" ref="DU59" ca="1">IF(ROWS($9:58)&lt;=COUNTIF(Condition29,"o"),INDEX(Liste29,SMALL(IF(Condition29="o",ROW(INDIRECT("1:"&amp;ROWS(Liste29)))),ROWS($9:58))),"")</f>
        <v/>
      </c>
      <c r="DV59" s="175">
        <f t="shared" ca="1" si="159"/>
        <v>0</v>
      </c>
      <c r="DW59" s="175" t="str">
        <f t="shared" ca="1" si="198"/>
        <v/>
      </c>
      <c r="DX59" s="169" t="str">
        <f t="shared" ca="1" si="122"/>
        <v/>
      </c>
      <c r="DY59" s="169" t="str">
        <f t="array" aca="1" ref="DY59" ca="1">IF(ROWS($9:58)&lt;=COUNTIF(Condition30,"o"),INDEX(Liste30,SMALL(IF(Condition30="o",ROW(INDIRECT("1:"&amp;ROWS(Liste30)))),ROWS($9:58))),"")</f>
        <v/>
      </c>
      <c r="DZ59" s="175">
        <f t="shared" ca="1" si="160"/>
        <v>0</v>
      </c>
      <c r="EA59" s="175" t="str">
        <f t="shared" ca="1" si="199"/>
        <v/>
      </c>
      <c r="EB59" s="169" t="str">
        <f t="shared" ca="1" si="123"/>
        <v/>
      </c>
      <c r="EC59" s="169" t="str">
        <f t="array" aca="1" ref="EC59" ca="1">IF(ROWS($9:58)&lt;=COUNTIF(Condition31,"o"),INDEX(Liste31,SMALL(IF(Condition31="o",ROW(INDIRECT("1:"&amp;ROWS(Liste31)))),ROWS($9:58))),"")</f>
        <v/>
      </c>
      <c r="ED59" s="175">
        <f t="shared" ca="1" si="161"/>
        <v>0</v>
      </c>
      <c r="EE59" s="175" t="str">
        <f t="shared" ca="1" si="200"/>
        <v/>
      </c>
      <c r="EF59" s="169" t="str">
        <f t="shared" ca="1" si="124"/>
        <v/>
      </c>
      <c r="EG59" s="169" t="str">
        <f t="array" aca="1" ref="EG59" ca="1">IF(ROWS($9:58)&lt;=COUNTIF(Condition32,"o"),INDEX(Liste32,SMALL(IF(Condition32="o",ROW(INDIRECT("1:"&amp;ROWS(Liste32)))),ROWS($9:58))),"")</f>
        <v/>
      </c>
      <c r="EH59" s="175">
        <f t="shared" ca="1" si="162"/>
        <v>0</v>
      </c>
      <c r="EI59" s="175" t="str">
        <f t="shared" ca="1" si="201"/>
        <v/>
      </c>
      <c r="EJ59" s="169" t="str">
        <f t="shared" ca="1" si="125"/>
        <v/>
      </c>
      <c r="EK59" s="169" t="str">
        <f t="array" aca="1" ref="EK59" ca="1">IF(ROWS($9:58)&lt;=COUNTIF(Condition33,"o"),INDEX(Liste33,SMALL(IF(Condition33="o",ROW(INDIRECT("1:"&amp;ROWS(Liste33)))),ROWS($9:58))),"")</f>
        <v/>
      </c>
      <c r="EL59" s="175">
        <f t="shared" ca="1" si="163"/>
        <v>0</v>
      </c>
      <c r="EM59" s="175" t="str">
        <f t="shared" ca="1" si="202"/>
        <v/>
      </c>
      <c r="EN59" s="169" t="str">
        <f t="shared" ca="1" si="126"/>
        <v/>
      </c>
      <c r="EO59" s="169" t="str">
        <f t="array" aca="1" ref="EO59" ca="1">IF(ROWS($9:58)&lt;=COUNTIF(Condition34,"o"),INDEX(Liste34,SMALL(IF(Condition34="o",ROW(INDIRECT("1:"&amp;ROWS(Liste34)))),ROWS($9:58))),"")</f>
        <v/>
      </c>
      <c r="EP59" s="175">
        <f t="shared" ca="1" si="164"/>
        <v>0</v>
      </c>
      <c r="EQ59" s="175" t="str">
        <f t="shared" ca="1" si="203"/>
        <v/>
      </c>
      <c r="ER59" s="169" t="str">
        <f t="shared" ca="1" si="127"/>
        <v/>
      </c>
      <c r="ES59" s="169" t="str">
        <f t="array" aca="1" ref="ES59" ca="1">IF(ROWS($9:58)&lt;=COUNTIF(Condition35,"o"),INDEX(Liste35,SMALL(IF(Condition35="o",ROW(INDIRECT("1:"&amp;ROWS(Liste35)))),ROWS($9:58))),"")</f>
        <v/>
      </c>
      <c r="ET59" s="175">
        <f t="shared" ca="1" si="165"/>
        <v>0</v>
      </c>
      <c r="EU59" s="175" t="str">
        <f t="shared" ca="1" si="204"/>
        <v/>
      </c>
      <c r="EV59" s="169" t="str">
        <f t="shared" ca="1" si="128"/>
        <v/>
      </c>
      <c r="EW59" s="169" t="str">
        <f t="array" aca="1" ref="EW59" ca="1">IF(ROWS($9:58)&lt;=COUNTIF(Condition36,"o"),INDEX(Liste36,SMALL(IF(Condition36="o",ROW(INDIRECT("1:"&amp;ROWS(Liste36)))),ROWS($9:58))),"")</f>
        <v/>
      </c>
      <c r="EX59" s="175">
        <f t="shared" ca="1" si="166"/>
        <v>0</v>
      </c>
      <c r="EY59" s="175" t="str">
        <f t="shared" ca="1" si="205"/>
        <v/>
      </c>
      <c r="EZ59" s="169" t="str">
        <f t="shared" ca="1" si="85"/>
        <v/>
      </c>
      <c r="FA59" s="169" t="str">
        <f t="array" aca="1" ref="FA59" ca="1">IF(ROWS($9:58)&lt;=COUNTIF(Condition36,"o"),INDEX(Liste36,SMALL(IF(Condition36="o",ROW(INDIRECT("1:"&amp;ROWS(Liste36)))),ROWS($9:58))),"")</f>
        <v/>
      </c>
      <c r="FB59" s="175">
        <f t="shared" ca="1" si="167"/>
        <v>0</v>
      </c>
      <c r="FC59" s="175" t="str">
        <f t="shared" ca="1" si="206"/>
        <v/>
      </c>
      <c r="FD59" s="169" t="str">
        <f t="shared" ca="1" si="86"/>
        <v/>
      </c>
      <c r="FE59" s="175">
        <f t="shared" si="168"/>
        <v>0</v>
      </c>
      <c r="FF59" s="175">
        <f t="shared" ca="1" si="168"/>
        <v>0</v>
      </c>
      <c r="FG59" s="175" t="str">
        <f t="shared" ca="1" si="207"/>
        <v/>
      </c>
      <c r="FH59" s="169" t="str">
        <f t="shared" ca="1" si="87"/>
        <v/>
      </c>
      <c r="FI59" s="169" t="str">
        <f t="array" aca="1" ref="FI59" ca="1">IF(ROWS($9:58)&lt;=COUNTIF(Condition39,"o"),INDEX(Liste39,SMALL(IF(Condition39="o",ROW(INDIRECT("1:"&amp;ROWS(Liste39)))),ROWS($9:58))),"")</f>
        <v/>
      </c>
      <c r="FO59" s="288"/>
      <c r="FQ59" s="289"/>
      <c r="FR59" s="288"/>
      <c r="FS59" s="290"/>
      <c r="FT59" s="291"/>
      <c r="FU59" s="288"/>
      <c r="FV59" s="290"/>
      <c r="FW59" s="291"/>
      <c r="FX59" s="288"/>
      <c r="FY59" s="290"/>
      <c r="FZ59" s="291"/>
      <c r="GA59" s="292"/>
      <c r="GB59" s="291"/>
      <c r="GC59" s="291"/>
      <c r="GD59" s="292"/>
      <c r="GE59" s="291"/>
      <c r="GF59" s="284"/>
      <c r="GG59" s="233"/>
    </row>
    <row r="60" spans="1:189">
      <c r="A60" s="1" t="s">
        <v>1031</v>
      </c>
      <c r="B60" s="1">
        <f t="shared" si="208"/>
        <v>7</v>
      </c>
      <c r="C60" s="1">
        <f t="shared" ca="1" si="208"/>
        <v>0</v>
      </c>
      <c r="D60" s="1">
        <f t="shared" ca="1" si="208"/>
        <v>0</v>
      </c>
      <c r="E60" s="1" t="str">
        <f ca="1">Actions!K8</f>
        <v>-</v>
      </c>
      <c r="F60" s="1" t="str">
        <f t="shared" ca="1" si="0"/>
        <v>-</v>
      </c>
      <c r="G60" s="1" t="e">
        <f t="shared" ca="1" si="209"/>
        <v>#REF!</v>
      </c>
      <c r="I60" s="1">
        <v>52</v>
      </c>
      <c r="J60" s="175">
        <f t="shared" ca="1" si="130"/>
        <v>0</v>
      </c>
      <c r="K60" s="175" t="str">
        <f t="shared" ca="1" si="169"/>
        <v/>
      </c>
      <c r="L60" s="169" t="str">
        <f t="shared" ca="1" si="93"/>
        <v/>
      </c>
      <c r="M60" s="169" t="str">
        <f t="array" aca="1" ref="M60" ca="1">IF(ROWS($9:59)&lt;=COUNTIF(Condition1,"o"),INDEX(Liste1,SMALL(IF(Condition1="o",ROW(INDIRECT("1:"&amp;ROWS(Liste1)))),ROWS($9:59))),"")</f>
        <v/>
      </c>
      <c r="N60" s="175">
        <f t="shared" ca="1" si="131"/>
        <v>0</v>
      </c>
      <c r="O60" s="175" t="str">
        <f t="shared" ca="1" si="170"/>
        <v/>
      </c>
      <c r="P60" s="169" t="str">
        <f t="shared" ca="1" si="94"/>
        <v/>
      </c>
      <c r="Q60" s="169" t="str">
        <f t="array" aca="1" ref="Q60" ca="1">IF(ROWS($9:59)&lt;=COUNTIF(Condition2,"o"),INDEX(Liste2,SMALL(IF(Condition2="o",ROW(INDIRECT("1:"&amp;ROWS(Liste2)))),ROWS($9:59))),"")</f>
        <v/>
      </c>
      <c r="R60" s="175">
        <f t="shared" ca="1" si="132"/>
        <v>0</v>
      </c>
      <c r="S60" s="175" t="str">
        <f t="shared" ca="1" si="171"/>
        <v/>
      </c>
      <c r="T60" s="169" t="str">
        <f t="shared" ca="1" si="95"/>
        <v/>
      </c>
      <c r="U60" s="169" t="str">
        <f t="array" aca="1" ref="U60" ca="1">IF(ROWS($9:59)&lt;=COUNTIF(Condition3,"o"),INDEX(Liste3,SMALL(IF(Condition3="o",ROW(INDIRECT("1:"&amp;ROWS(Liste3)))),ROWS($9:59))),"")</f>
        <v/>
      </c>
      <c r="V60" s="175">
        <f t="shared" ca="1" si="133"/>
        <v>0</v>
      </c>
      <c r="W60" s="175" t="str">
        <f t="shared" ca="1" si="172"/>
        <v/>
      </c>
      <c r="X60" s="169" t="str">
        <f t="shared" ca="1" si="96"/>
        <v/>
      </c>
      <c r="Y60" s="169" t="str">
        <f t="array" aca="1" ref="Y60" ca="1">IF(ROWS($9:59)&lt;=COUNTIF(Condition4,"o"),INDEX(Liste4,SMALL(IF(Condition4="o",ROW(INDIRECT("1:"&amp;ROWS(Liste4)))),ROWS($9:59))),"")</f>
        <v/>
      </c>
      <c r="Z60" s="175">
        <f t="shared" ca="1" si="134"/>
        <v>0</v>
      </c>
      <c r="AA60" s="175" t="str">
        <f t="shared" ca="1" si="173"/>
        <v/>
      </c>
      <c r="AB60" s="169" t="str">
        <f t="shared" ca="1" si="97"/>
        <v/>
      </c>
      <c r="AC60" s="169" t="str">
        <f t="array" aca="1" ref="AC60" ca="1">IF(ROWS($9:59)&lt;=COUNTIF(Condition5,"o"),INDEX(Liste5,SMALL(IF(Condition5="o",ROW(INDIRECT("1:"&amp;ROWS(Liste5)))),ROWS($9:59))),"")</f>
        <v/>
      </c>
      <c r="AD60" s="175">
        <f t="shared" ca="1" si="135"/>
        <v>0</v>
      </c>
      <c r="AE60" s="175" t="str">
        <f t="shared" ca="1" si="174"/>
        <v/>
      </c>
      <c r="AF60" s="169" t="str">
        <f t="shared" ca="1" si="98"/>
        <v/>
      </c>
      <c r="AG60" s="169" t="str">
        <f t="array" aca="1" ref="AG60" ca="1">IF(ROWS($9:59)&lt;=COUNTIF(Condition6,"o"),INDEX(Liste6,SMALL(IF(Condition6="o",ROW(INDIRECT("1:"&amp;ROWS(Liste6)))),ROWS($9:59))),"")</f>
        <v/>
      </c>
      <c r="AH60" s="175">
        <f t="shared" ca="1" si="136"/>
        <v>0</v>
      </c>
      <c r="AI60" s="175" t="str">
        <f t="shared" ca="1" si="175"/>
        <v/>
      </c>
      <c r="AJ60" s="169" t="str">
        <f t="shared" ca="1" si="99"/>
        <v/>
      </c>
      <c r="AK60" s="169" t="str">
        <f t="array" aca="1" ref="AK60" ca="1">IF(ROWS($9:59)&lt;=COUNTIF(Condition7,"o"),INDEX(Liste7,SMALL(IF(Condition7="o",ROW(INDIRECT("1:"&amp;ROWS(Liste7)))),ROWS($9:59))),"")</f>
        <v/>
      </c>
      <c r="AL60" s="175">
        <f t="shared" ca="1" si="137"/>
        <v>0</v>
      </c>
      <c r="AM60" s="175" t="str">
        <f t="shared" ca="1" si="176"/>
        <v/>
      </c>
      <c r="AN60" s="169" t="str">
        <f t="shared" ca="1" si="100"/>
        <v/>
      </c>
      <c r="AO60" s="169" t="str">
        <f t="array" aca="1" ref="AO60" ca="1">IF(ROWS($9:59)&lt;=COUNTIF(Condition8,"o"),INDEX(Liste8,SMALL(IF(Condition8="o",ROW(INDIRECT("1:"&amp;ROWS(Liste8)))),ROWS($9:59))),"")</f>
        <v/>
      </c>
      <c r="AP60" s="175">
        <f t="shared" ca="1" si="138"/>
        <v>0</v>
      </c>
      <c r="AQ60" s="175" t="str">
        <f t="shared" ca="1" si="177"/>
        <v/>
      </c>
      <c r="AR60" s="169" t="str">
        <f t="shared" ca="1" si="101"/>
        <v/>
      </c>
      <c r="AS60" s="169" t="str">
        <f t="array" aca="1" ref="AS60" ca="1">IF(ROWS($9:59)&lt;=COUNTIF(Condition9,"o"),INDEX(Liste9,SMALL(IF(Condition9="o",ROW(INDIRECT("1:"&amp;ROWS(Liste9)))),ROWS($9:59))),"")</f>
        <v/>
      </c>
      <c r="AT60" s="175">
        <f t="shared" ca="1" si="139"/>
        <v>0</v>
      </c>
      <c r="AU60" s="175" t="str">
        <f t="shared" ca="1" si="178"/>
        <v/>
      </c>
      <c r="AV60" s="169" t="str">
        <f t="shared" ca="1" si="102"/>
        <v/>
      </c>
      <c r="AW60" s="169" t="str">
        <f t="array" aca="1" ref="AW60" ca="1">IF(ROWS($9:59)&lt;=COUNTIF(Condition10,"o"),INDEX(Liste10,SMALL(IF(Condition10="o",ROW(INDIRECT("1:"&amp;ROWS(Liste10)))),ROWS($9:59))),"")</f>
        <v/>
      </c>
      <c r="AX60" s="175">
        <f t="shared" ca="1" si="140"/>
        <v>0</v>
      </c>
      <c r="AY60" s="175" t="str">
        <f t="shared" ca="1" si="179"/>
        <v/>
      </c>
      <c r="AZ60" s="169" t="str">
        <f t="shared" ca="1" si="103"/>
        <v/>
      </c>
      <c r="BA60" s="169" t="str">
        <f t="array" aca="1" ref="BA60" ca="1">IF(ROWS($9:59)&lt;=COUNTIF(Condition11,"o"),INDEX(Liste11,SMALL(IF(Condition11="o",ROW(INDIRECT("1:"&amp;ROWS(Liste11)))),ROWS($9:59))),"")</f>
        <v/>
      </c>
      <c r="BB60" s="175">
        <f t="shared" ca="1" si="141"/>
        <v>0</v>
      </c>
      <c r="BC60" s="175" t="str">
        <f t="shared" ca="1" si="180"/>
        <v/>
      </c>
      <c r="BD60" s="169" t="str">
        <f t="shared" ca="1" si="104"/>
        <v/>
      </c>
      <c r="BE60" s="169" t="str">
        <f t="array" aca="1" ref="BE60" ca="1">IF(ROWS($9:59)&lt;=COUNTIF(Condition12,"o"),INDEX(Liste12,SMALL(IF(Condition12="o",ROW(INDIRECT("1:"&amp;ROWS(Liste12)))),ROWS($9:59))),"")</f>
        <v/>
      </c>
      <c r="BF60" s="175">
        <f t="shared" ca="1" si="142"/>
        <v>0</v>
      </c>
      <c r="BG60" s="175" t="str">
        <f t="shared" ca="1" si="181"/>
        <v/>
      </c>
      <c r="BH60" s="169" t="str">
        <f t="shared" ca="1" si="105"/>
        <v/>
      </c>
      <c r="BI60" s="169" t="str">
        <f t="array" aca="1" ref="BI60" ca="1">IF(ROWS($9:59)&lt;=COUNTIF(Condition13,"o"),INDEX(Liste13,SMALL(IF(Condition13="o",ROW(INDIRECT("1:"&amp;ROWS(Liste13)))),ROWS($9:59))),"")</f>
        <v/>
      </c>
      <c r="BJ60" s="175">
        <f t="shared" ca="1" si="143"/>
        <v>0</v>
      </c>
      <c r="BK60" s="175" t="str">
        <f t="shared" ca="1" si="182"/>
        <v/>
      </c>
      <c r="BL60" s="169" t="str">
        <f t="shared" ca="1" si="106"/>
        <v/>
      </c>
      <c r="BM60" s="169" t="str">
        <f t="array" aca="1" ref="BM60" ca="1">IF(ROWS($9:59)&lt;=COUNTIF(Condition14,"o"),INDEX(Liste14,SMALL(IF(Condition14="o",ROW(INDIRECT("1:"&amp;ROWS(Liste14)))),ROWS($9:59))),"")</f>
        <v/>
      </c>
      <c r="BN60" s="175">
        <f t="shared" ca="1" si="144"/>
        <v>0</v>
      </c>
      <c r="BO60" s="175" t="str">
        <f t="shared" ca="1" si="183"/>
        <v/>
      </c>
      <c r="BP60" s="169" t="str">
        <f t="shared" ca="1" si="107"/>
        <v/>
      </c>
      <c r="BQ60" s="169" t="str">
        <f t="array" aca="1" ref="BQ60" ca="1">IF(ROWS($9:59)&lt;=COUNTIF(Condition15,"o"),INDEX(Liste15,SMALL(IF(Condition15="o",ROW(INDIRECT("1:"&amp;ROWS(Liste15)))),ROWS($9:59))),"")</f>
        <v/>
      </c>
      <c r="BR60" s="175">
        <f t="shared" ca="1" si="145"/>
        <v>0</v>
      </c>
      <c r="BS60" s="175" t="str">
        <f t="shared" ca="1" si="184"/>
        <v/>
      </c>
      <c r="BT60" s="169" t="str">
        <f t="shared" ca="1" si="108"/>
        <v/>
      </c>
      <c r="BU60" s="169" t="str">
        <f t="array" aca="1" ref="BU60" ca="1">IF(ROWS($9:59)&lt;=COUNTIF(Condition16,"o"),INDEX(Liste16,SMALL(IF(Condition16="o",ROW(INDIRECT("1:"&amp;ROWS(Liste16)))),ROWS($9:59))),"")</f>
        <v/>
      </c>
      <c r="BV60" s="175">
        <f t="shared" ca="1" si="146"/>
        <v>0</v>
      </c>
      <c r="BW60" s="175" t="str">
        <f t="shared" ca="1" si="185"/>
        <v/>
      </c>
      <c r="BX60" s="169" t="str">
        <f t="shared" ca="1" si="109"/>
        <v/>
      </c>
      <c r="BY60" s="169" t="str">
        <f t="array" aca="1" ref="BY60" ca="1">IF(ROWS($9:59)&lt;=COUNTIF(Condition17,"o"),INDEX(Liste17,SMALL(IF(Condition17="o",ROW(INDIRECT("1:"&amp;ROWS(Liste17)))),ROWS($9:59))),"")</f>
        <v/>
      </c>
      <c r="BZ60" s="175">
        <f t="shared" ca="1" si="147"/>
        <v>0</v>
      </c>
      <c r="CA60" s="175" t="str">
        <f t="shared" ca="1" si="186"/>
        <v/>
      </c>
      <c r="CB60" s="169" t="str">
        <f t="shared" ca="1" si="110"/>
        <v/>
      </c>
      <c r="CC60" s="169" t="str">
        <f t="array" aca="1" ref="CC60" ca="1">IF(ROWS($9:59)&lt;=COUNTIF(Condition18,"o"),INDEX(Liste18,SMALL(IF(Condition18="o",ROW(INDIRECT("1:"&amp;ROWS(Liste18)))),ROWS($9:59))),"")</f>
        <v/>
      </c>
      <c r="CD60" s="175">
        <f t="shared" ca="1" si="148"/>
        <v>0</v>
      </c>
      <c r="CE60" s="175" t="str">
        <f t="shared" ca="1" si="187"/>
        <v/>
      </c>
      <c r="CF60" s="169" t="str">
        <f t="shared" ca="1" si="111"/>
        <v/>
      </c>
      <c r="CG60" s="169" t="str">
        <f t="array" aca="1" ref="CG60" ca="1">IF(ROWS($9:59)&lt;=COUNTIF(Condition19,"o"),INDEX(Liste19,SMALL(IF(Condition19="o",ROW(INDIRECT("1:"&amp;ROWS(Liste19)))),ROWS($9:59))),"")</f>
        <v/>
      </c>
      <c r="CH60" s="175">
        <f t="shared" ca="1" si="149"/>
        <v>0</v>
      </c>
      <c r="CI60" s="175" t="str">
        <f t="shared" ca="1" si="188"/>
        <v/>
      </c>
      <c r="CJ60" s="169" t="str">
        <f t="shared" ca="1" si="112"/>
        <v/>
      </c>
      <c r="CK60" s="169" t="str">
        <f t="array" aca="1" ref="CK60" ca="1">IF(ROWS($9:59)&lt;=COUNTIF(Condition20,"o"),INDEX(Liste20,SMALL(IF(Condition20="o",ROW(INDIRECT("1:"&amp;ROWS(Liste20)))),ROWS($9:59))),"")</f>
        <v/>
      </c>
      <c r="CL60" s="175">
        <f t="shared" ca="1" si="150"/>
        <v>0</v>
      </c>
      <c r="CM60" s="175" t="str">
        <f t="shared" ca="1" si="189"/>
        <v/>
      </c>
      <c r="CN60" s="169" t="str">
        <f t="shared" ca="1" si="113"/>
        <v/>
      </c>
      <c r="CO60" s="169" t="str">
        <f t="array" aca="1" ref="CO60" ca="1">IF(ROWS($9:59)&lt;=COUNTIF(Condition21,"o"),INDEX(Liste21,SMALL(IF(Condition21="o",ROW(INDIRECT("1:"&amp;ROWS(Liste21)))),ROWS($9:59))),"")</f>
        <v/>
      </c>
      <c r="CP60" s="175">
        <f t="shared" ca="1" si="151"/>
        <v>0</v>
      </c>
      <c r="CQ60" s="175" t="str">
        <f t="shared" ca="1" si="190"/>
        <v/>
      </c>
      <c r="CR60" s="169" t="str">
        <f t="shared" ca="1" si="114"/>
        <v/>
      </c>
      <c r="CS60" s="169" t="str">
        <f t="array" aca="1" ref="CS60" ca="1">IF(ROWS($9:59)&lt;=COUNTIF(Condition22,"o"),INDEX(Liste22,SMALL(IF(Condition22="o",ROW(INDIRECT("1:"&amp;ROWS(Liste22)))),ROWS($9:59))),"")</f>
        <v/>
      </c>
      <c r="CT60" s="175">
        <f t="shared" ca="1" si="152"/>
        <v>0</v>
      </c>
      <c r="CU60" s="175" t="str">
        <f t="shared" ca="1" si="191"/>
        <v/>
      </c>
      <c r="CV60" s="169" t="str">
        <f t="shared" ca="1" si="115"/>
        <v/>
      </c>
      <c r="CW60" s="169" t="str">
        <f t="array" aca="1" ref="CW60" ca="1">IF(ROWS($9:59)&lt;=COUNTIF(Condition23,"o"),INDEX(Liste23,SMALL(IF(Condition23="o",ROW(INDIRECT("1:"&amp;ROWS(Liste23)))),ROWS($9:59))),"")</f>
        <v/>
      </c>
      <c r="CX60" s="175">
        <f t="shared" ca="1" si="153"/>
        <v>0</v>
      </c>
      <c r="CY60" s="175" t="str">
        <f t="shared" ca="1" si="192"/>
        <v/>
      </c>
      <c r="CZ60" s="169" t="str">
        <f t="shared" ca="1" si="116"/>
        <v/>
      </c>
      <c r="DA60" s="169" t="str">
        <f t="array" aca="1" ref="DA60" ca="1">IF(ROWS($9:59)&lt;=COUNTIF(Condition24,"o"),INDEX(Liste24,SMALL(IF(Condition24="o",ROW(INDIRECT("1:"&amp;ROWS(Liste24)))),ROWS($9:59))),"")</f>
        <v/>
      </c>
      <c r="DB60" s="175">
        <f t="shared" ca="1" si="154"/>
        <v>0</v>
      </c>
      <c r="DC60" s="175" t="str">
        <f t="shared" ca="1" si="193"/>
        <v/>
      </c>
      <c r="DD60" s="169" t="str">
        <f t="shared" ca="1" si="117"/>
        <v/>
      </c>
      <c r="DE60" s="169" t="str">
        <f t="array" aca="1" ref="DE60" ca="1">IF(ROWS($9:59)&lt;=COUNTIF(Condition25,"o"),INDEX(Liste25,SMALL(IF(Condition25="o",ROW(INDIRECT("1:"&amp;ROWS(Liste25)))),ROWS($9:59))),"")</f>
        <v/>
      </c>
      <c r="DF60" s="175">
        <f t="shared" ca="1" si="155"/>
        <v>0</v>
      </c>
      <c r="DG60" s="175" t="str">
        <f t="shared" ca="1" si="194"/>
        <v/>
      </c>
      <c r="DH60" s="169" t="str">
        <f t="shared" ca="1" si="118"/>
        <v/>
      </c>
      <c r="DI60" s="169" t="str">
        <f t="array" aca="1" ref="DI60" ca="1">IF(ROWS($9:59)&lt;=COUNTIF(Condition26,"o"),INDEX(Liste26,SMALL(IF(Condition26="o",ROW(INDIRECT("1:"&amp;ROWS(Liste26)))),ROWS($9:59))),"")</f>
        <v/>
      </c>
      <c r="DJ60" s="175">
        <f t="shared" ca="1" si="156"/>
        <v>0</v>
      </c>
      <c r="DK60" s="175" t="str">
        <f t="shared" ca="1" si="195"/>
        <v/>
      </c>
      <c r="DL60" s="169" t="str">
        <f t="shared" ca="1" si="119"/>
        <v/>
      </c>
      <c r="DM60" s="169" t="str">
        <f t="array" aca="1" ref="DM60" ca="1">IF(ROWS($9:59)&lt;=COUNTIF(Condition27,"o"),INDEX(Liste27,SMALL(IF(Condition27="o",ROW(INDIRECT("1:"&amp;ROWS(Liste27)))),ROWS($9:59))),"")</f>
        <v/>
      </c>
      <c r="DN60" s="175">
        <f t="shared" ca="1" si="157"/>
        <v>0</v>
      </c>
      <c r="DO60" s="175" t="str">
        <f t="shared" ca="1" si="196"/>
        <v/>
      </c>
      <c r="DP60" s="169" t="str">
        <f t="shared" ca="1" si="120"/>
        <v/>
      </c>
      <c r="DQ60" s="169" t="str">
        <f t="array" aca="1" ref="DQ60" ca="1">IF(ROWS($9:59)&lt;=COUNTIF(Condition28,"o"),INDEX(Liste28,SMALL(IF(Condition28="o",ROW(INDIRECT("1:"&amp;ROWS(Liste28)))),ROWS($9:59))),"")</f>
        <v/>
      </c>
      <c r="DR60" s="175">
        <f t="shared" ca="1" si="158"/>
        <v>0</v>
      </c>
      <c r="DS60" s="175" t="str">
        <f t="shared" ca="1" si="197"/>
        <v/>
      </c>
      <c r="DT60" s="169" t="str">
        <f t="shared" ca="1" si="121"/>
        <v/>
      </c>
      <c r="DU60" s="169" t="str">
        <f t="array" aca="1" ref="DU60" ca="1">IF(ROWS($9:59)&lt;=COUNTIF(Condition29,"o"),INDEX(Liste29,SMALL(IF(Condition29="o",ROW(INDIRECT("1:"&amp;ROWS(Liste29)))),ROWS($9:59))),"")</f>
        <v/>
      </c>
      <c r="DV60" s="175">
        <f t="shared" ca="1" si="159"/>
        <v>0</v>
      </c>
      <c r="DW60" s="175" t="str">
        <f t="shared" ca="1" si="198"/>
        <v/>
      </c>
      <c r="DX60" s="169" t="str">
        <f t="shared" ca="1" si="122"/>
        <v/>
      </c>
      <c r="DY60" s="169" t="str">
        <f t="array" aca="1" ref="DY60" ca="1">IF(ROWS($9:59)&lt;=COUNTIF(Condition30,"o"),INDEX(Liste30,SMALL(IF(Condition30="o",ROW(INDIRECT("1:"&amp;ROWS(Liste30)))),ROWS($9:59))),"")</f>
        <v/>
      </c>
      <c r="DZ60" s="175">
        <f t="shared" ca="1" si="160"/>
        <v>0</v>
      </c>
      <c r="EA60" s="175" t="str">
        <f t="shared" ca="1" si="199"/>
        <v/>
      </c>
      <c r="EB60" s="169" t="str">
        <f t="shared" ca="1" si="123"/>
        <v/>
      </c>
      <c r="EC60" s="169" t="str">
        <f t="array" aca="1" ref="EC60" ca="1">IF(ROWS($9:59)&lt;=COUNTIF(Condition31,"o"),INDEX(Liste31,SMALL(IF(Condition31="o",ROW(INDIRECT("1:"&amp;ROWS(Liste31)))),ROWS($9:59))),"")</f>
        <v/>
      </c>
      <c r="ED60" s="175">
        <f t="shared" ca="1" si="161"/>
        <v>0</v>
      </c>
      <c r="EE60" s="175" t="str">
        <f t="shared" ca="1" si="200"/>
        <v/>
      </c>
      <c r="EF60" s="169" t="str">
        <f t="shared" ca="1" si="124"/>
        <v/>
      </c>
      <c r="EG60" s="169" t="str">
        <f t="array" aca="1" ref="EG60" ca="1">IF(ROWS($9:59)&lt;=COUNTIF(Condition32,"o"),INDEX(Liste32,SMALL(IF(Condition32="o",ROW(INDIRECT("1:"&amp;ROWS(Liste32)))),ROWS($9:59))),"")</f>
        <v/>
      </c>
      <c r="EH60" s="175">
        <f t="shared" ca="1" si="162"/>
        <v>0</v>
      </c>
      <c r="EI60" s="175" t="str">
        <f t="shared" ca="1" si="201"/>
        <v/>
      </c>
      <c r="EJ60" s="169" t="str">
        <f t="shared" ca="1" si="125"/>
        <v/>
      </c>
      <c r="EK60" s="169" t="str">
        <f t="array" aca="1" ref="EK60" ca="1">IF(ROWS($9:59)&lt;=COUNTIF(Condition33,"o"),INDEX(Liste33,SMALL(IF(Condition33="o",ROW(INDIRECT("1:"&amp;ROWS(Liste33)))),ROWS($9:59))),"")</f>
        <v/>
      </c>
      <c r="EL60" s="175">
        <f t="shared" ca="1" si="163"/>
        <v>0</v>
      </c>
      <c r="EM60" s="175" t="str">
        <f t="shared" ca="1" si="202"/>
        <v/>
      </c>
      <c r="EN60" s="169" t="str">
        <f t="shared" ca="1" si="126"/>
        <v/>
      </c>
      <c r="EO60" s="169" t="str">
        <f t="array" aca="1" ref="EO60" ca="1">IF(ROWS($9:59)&lt;=COUNTIF(Condition34,"o"),INDEX(Liste34,SMALL(IF(Condition34="o",ROW(INDIRECT("1:"&amp;ROWS(Liste34)))),ROWS($9:59))),"")</f>
        <v/>
      </c>
      <c r="EP60" s="175">
        <f t="shared" ca="1" si="164"/>
        <v>0</v>
      </c>
      <c r="EQ60" s="175" t="str">
        <f t="shared" ca="1" si="203"/>
        <v/>
      </c>
      <c r="ER60" s="169" t="str">
        <f t="shared" ca="1" si="127"/>
        <v/>
      </c>
      <c r="ES60" s="169" t="str">
        <f t="array" aca="1" ref="ES60" ca="1">IF(ROWS($9:59)&lt;=COUNTIF(Condition35,"o"),INDEX(Liste35,SMALL(IF(Condition35="o",ROW(INDIRECT("1:"&amp;ROWS(Liste35)))),ROWS($9:59))),"")</f>
        <v/>
      </c>
      <c r="ET60" s="175">
        <f t="shared" ca="1" si="165"/>
        <v>0</v>
      </c>
      <c r="EU60" s="175" t="str">
        <f t="shared" ca="1" si="204"/>
        <v/>
      </c>
      <c r="EV60" s="169" t="str">
        <f t="shared" ca="1" si="128"/>
        <v/>
      </c>
      <c r="EW60" s="169" t="str">
        <f t="array" aca="1" ref="EW60" ca="1">IF(ROWS($9:59)&lt;=COUNTIF(Condition36,"o"),INDEX(Liste36,SMALL(IF(Condition36="o",ROW(INDIRECT("1:"&amp;ROWS(Liste36)))),ROWS($9:59))),"")</f>
        <v/>
      </c>
      <c r="EX60" s="175">
        <f t="shared" ca="1" si="166"/>
        <v>0</v>
      </c>
      <c r="EY60" s="175" t="str">
        <f t="shared" ca="1" si="205"/>
        <v/>
      </c>
      <c r="EZ60" s="169" t="str">
        <f t="shared" ca="1" si="85"/>
        <v/>
      </c>
      <c r="FA60" s="169" t="str">
        <f t="array" aca="1" ref="FA60" ca="1">IF(ROWS($9:59)&lt;=COUNTIF(Condition36,"o"),INDEX(Liste36,SMALL(IF(Condition36="o",ROW(INDIRECT("1:"&amp;ROWS(Liste36)))),ROWS($9:59))),"")</f>
        <v/>
      </c>
      <c r="FB60" s="175">
        <f t="shared" ca="1" si="167"/>
        <v>0</v>
      </c>
      <c r="FC60" s="175" t="str">
        <f t="shared" ca="1" si="206"/>
        <v/>
      </c>
      <c r="FD60" s="169" t="str">
        <f t="shared" ca="1" si="86"/>
        <v/>
      </c>
      <c r="FE60" s="175">
        <f t="shared" si="168"/>
        <v>0</v>
      </c>
      <c r="FF60" s="175">
        <f t="shared" ca="1" si="168"/>
        <v>0</v>
      </c>
      <c r="FG60" s="175" t="str">
        <f t="shared" ca="1" si="207"/>
        <v/>
      </c>
      <c r="FH60" s="169" t="str">
        <f t="shared" ca="1" si="87"/>
        <v/>
      </c>
      <c r="FI60" s="169" t="str">
        <f t="array" aca="1" ref="FI60" ca="1">IF(ROWS($9:59)&lt;=COUNTIF(Condition39,"o"),INDEX(Liste39,SMALL(IF(Condition39="o",ROW(INDIRECT("1:"&amp;ROWS(Liste39)))),ROWS($9:59))),"")</f>
        <v/>
      </c>
      <c r="FO60" s="288"/>
      <c r="FQ60" s="289"/>
      <c r="FR60" s="288"/>
      <c r="FS60" s="290"/>
      <c r="FT60" s="291"/>
      <c r="FU60" s="288"/>
      <c r="FV60" s="290"/>
      <c r="FW60" s="291"/>
      <c r="FX60" s="288"/>
      <c r="FY60" s="290"/>
      <c r="FZ60" s="291"/>
      <c r="GA60" s="292"/>
      <c r="GB60" s="291"/>
      <c r="GC60" s="291"/>
      <c r="GD60" s="292"/>
      <c r="GE60" s="291"/>
      <c r="GF60" s="284"/>
      <c r="GG60" s="233"/>
    </row>
    <row r="61" spans="1:189">
      <c r="A61" s="1" t="s">
        <v>1185</v>
      </c>
      <c r="B61" s="1">
        <f t="shared" si="208"/>
        <v>8</v>
      </c>
      <c r="C61" s="1">
        <f t="shared" ca="1" si="208"/>
        <v>0</v>
      </c>
      <c r="D61" s="1">
        <f t="shared" ca="1" si="208"/>
        <v>0</v>
      </c>
      <c r="E61" s="1" t="str">
        <f ca="1">Actions!K9</f>
        <v>-</v>
      </c>
      <c r="F61" s="1" t="str">
        <f t="shared" ca="1" si="0"/>
        <v>-</v>
      </c>
      <c r="G61" s="1" t="e">
        <f t="shared" ca="1" si="209"/>
        <v>#REF!</v>
      </c>
      <c r="I61" s="1">
        <v>53</v>
      </c>
      <c r="J61" s="175">
        <f t="shared" ca="1" si="130"/>
        <v>0</v>
      </c>
      <c r="K61" s="175" t="str">
        <f t="shared" ca="1" si="169"/>
        <v/>
      </c>
      <c r="L61" s="169" t="str">
        <f t="shared" ca="1" si="93"/>
        <v/>
      </c>
      <c r="M61" s="169" t="str">
        <f t="array" aca="1" ref="M61" ca="1">IF(ROWS($9:60)&lt;=COUNTIF(Condition1,"o"),INDEX(Liste1,SMALL(IF(Condition1="o",ROW(INDIRECT("1:"&amp;ROWS(Liste1)))),ROWS($9:60))),"")</f>
        <v/>
      </c>
      <c r="N61" s="175">
        <f t="shared" ca="1" si="131"/>
        <v>0</v>
      </c>
      <c r="O61" s="175" t="str">
        <f t="shared" ca="1" si="170"/>
        <v/>
      </c>
      <c r="P61" s="169" t="str">
        <f t="shared" ca="1" si="94"/>
        <v/>
      </c>
      <c r="Q61" s="169" t="str">
        <f t="array" aca="1" ref="Q61" ca="1">IF(ROWS($9:60)&lt;=COUNTIF(Condition2,"o"),INDEX(Liste2,SMALL(IF(Condition2="o",ROW(INDIRECT("1:"&amp;ROWS(Liste2)))),ROWS($9:60))),"")</f>
        <v/>
      </c>
      <c r="R61" s="175">
        <f t="shared" ca="1" si="132"/>
        <v>0</v>
      </c>
      <c r="S61" s="175" t="str">
        <f t="shared" ca="1" si="171"/>
        <v/>
      </c>
      <c r="T61" s="169" t="str">
        <f t="shared" ca="1" si="95"/>
        <v/>
      </c>
      <c r="U61" s="169" t="str">
        <f t="array" aca="1" ref="U61" ca="1">IF(ROWS($9:60)&lt;=COUNTIF(Condition3,"o"),INDEX(Liste3,SMALL(IF(Condition3="o",ROW(INDIRECT("1:"&amp;ROWS(Liste3)))),ROWS($9:60))),"")</f>
        <v/>
      </c>
      <c r="V61" s="175">
        <f t="shared" ca="1" si="133"/>
        <v>0</v>
      </c>
      <c r="W61" s="175" t="str">
        <f t="shared" ca="1" si="172"/>
        <v/>
      </c>
      <c r="X61" s="169" t="str">
        <f t="shared" ca="1" si="96"/>
        <v/>
      </c>
      <c r="Y61" s="169" t="str">
        <f t="array" aca="1" ref="Y61" ca="1">IF(ROWS($9:60)&lt;=COUNTIF(Condition4,"o"),INDEX(Liste4,SMALL(IF(Condition4="o",ROW(INDIRECT("1:"&amp;ROWS(Liste4)))),ROWS($9:60))),"")</f>
        <v/>
      </c>
      <c r="Z61" s="175">
        <f t="shared" ca="1" si="134"/>
        <v>0</v>
      </c>
      <c r="AA61" s="175" t="str">
        <f t="shared" ca="1" si="173"/>
        <v/>
      </c>
      <c r="AB61" s="169" t="str">
        <f t="shared" ca="1" si="97"/>
        <v/>
      </c>
      <c r="AC61" s="169" t="str">
        <f t="array" aca="1" ref="AC61" ca="1">IF(ROWS($9:60)&lt;=COUNTIF(Condition5,"o"),INDEX(Liste5,SMALL(IF(Condition5="o",ROW(INDIRECT("1:"&amp;ROWS(Liste5)))),ROWS($9:60))),"")</f>
        <v/>
      </c>
      <c r="AD61" s="175">
        <f t="shared" ca="1" si="135"/>
        <v>0</v>
      </c>
      <c r="AE61" s="175" t="str">
        <f t="shared" ca="1" si="174"/>
        <v/>
      </c>
      <c r="AF61" s="169" t="str">
        <f t="shared" ca="1" si="98"/>
        <v/>
      </c>
      <c r="AG61" s="169" t="str">
        <f t="array" aca="1" ref="AG61" ca="1">IF(ROWS($9:60)&lt;=COUNTIF(Condition6,"o"),INDEX(Liste6,SMALL(IF(Condition6="o",ROW(INDIRECT("1:"&amp;ROWS(Liste6)))),ROWS($9:60))),"")</f>
        <v/>
      </c>
      <c r="AH61" s="175">
        <f t="shared" ca="1" si="136"/>
        <v>0</v>
      </c>
      <c r="AI61" s="175" t="str">
        <f t="shared" ca="1" si="175"/>
        <v/>
      </c>
      <c r="AJ61" s="169" t="str">
        <f t="shared" ca="1" si="99"/>
        <v/>
      </c>
      <c r="AK61" s="169" t="str">
        <f t="array" aca="1" ref="AK61" ca="1">IF(ROWS($9:60)&lt;=COUNTIF(Condition7,"o"),INDEX(Liste7,SMALL(IF(Condition7="o",ROW(INDIRECT("1:"&amp;ROWS(Liste7)))),ROWS($9:60))),"")</f>
        <v/>
      </c>
      <c r="AL61" s="175">
        <f t="shared" ca="1" si="137"/>
        <v>0</v>
      </c>
      <c r="AM61" s="175" t="str">
        <f t="shared" ca="1" si="176"/>
        <v/>
      </c>
      <c r="AN61" s="169" t="str">
        <f t="shared" ca="1" si="100"/>
        <v/>
      </c>
      <c r="AO61" s="169" t="str">
        <f t="array" aca="1" ref="AO61" ca="1">IF(ROWS($9:60)&lt;=COUNTIF(Condition8,"o"),INDEX(Liste8,SMALL(IF(Condition8="o",ROW(INDIRECT("1:"&amp;ROWS(Liste8)))),ROWS($9:60))),"")</f>
        <v/>
      </c>
      <c r="AP61" s="175">
        <f t="shared" ca="1" si="138"/>
        <v>0</v>
      </c>
      <c r="AQ61" s="175" t="str">
        <f t="shared" ca="1" si="177"/>
        <v/>
      </c>
      <c r="AR61" s="169" t="str">
        <f t="shared" ca="1" si="101"/>
        <v/>
      </c>
      <c r="AS61" s="169" t="str">
        <f t="array" aca="1" ref="AS61" ca="1">IF(ROWS($9:60)&lt;=COUNTIF(Condition9,"o"),INDEX(Liste9,SMALL(IF(Condition9="o",ROW(INDIRECT("1:"&amp;ROWS(Liste9)))),ROWS($9:60))),"")</f>
        <v/>
      </c>
      <c r="AT61" s="175">
        <f t="shared" ca="1" si="139"/>
        <v>0</v>
      </c>
      <c r="AU61" s="175" t="str">
        <f t="shared" ca="1" si="178"/>
        <v/>
      </c>
      <c r="AV61" s="169" t="str">
        <f t="shared" ca="1" si="102"/>
        <v/>
      </c>
      <c r="AW61" s="169" t="str">
        <f t="array" aca="1" ref="AW61" ca="1">IF(ROWS($9:60)&lt;=COUNTIF(Condition10,"o"),INDEX(Liste10,SMALL(IF(Condition10="o",ROW(INDIRECT("1:"&amp;ROWS(Liste10)))),ROWS($9:60))),"")</f>
        <v/>
      </c>
      <c r="AX61" s="175">
        <f t="shared" ca="1" si="140"/>
        <v>0</v>
      </c>
      <c r="AY61" s="175" t="str">
        <f t="shared" ca="1" si="179"/>
        <v/>
      </c>
      <c r="AZ61" s="169" t="str">
        <f t="shared" ca="1" si="103"/>
        <v/>
      </c>
      <c r="BA61" s="169" t="str">
        <f t="array" aca="1" ref="BA61" ca="1">IF(ROWS($9:60)&lt;=COUNTIF(Condition11,"o"),INDEX(Liste11,SMALL(IF(Condition11="o",ROW(INDIRECT("1:"&amp;ROWS(Liste11)))),ROWS($9:60))),"")</f>
        <v/>
      </c>
      <c r="BB61" s="175">
        <f t="shared" ca="1" si="141"/>
        <v>0</v>
      </c>
      <c r="BC61" s="175" t="str">
        <f t="shared" ca="1" si="180"/>
        <v/>
      </c>
      <c r="BD61" s="169" t="str">
        <f t="shared" ca="1" si="104"/>
        <v/>
      </c>
      <c r="BE61" s="169" t="str">
        <f t="array" aca="1" ref="BE61" ca="1">IF(ROWS($9:60)&lt;=COUNTIF(Condition12,"o"),INDEX(Liste12,SMALL(IF(Condition12="o",ROW(INDIRECT("1:"&amp;ROWS(Liste12)))),ROWS($9:60))),"")</f>
        <v/>
      </c>
      <c r="BF61" s="175">
        <f t="shared" ca="1" si="142"/>
        <v>0</v>
      </c>
      <c r="BG61" s="175" t="str">
        <f t="shared" ca="1" si="181"/>
        <v/>
      </c>
      <c r="BH61" s="169" t="str">
        <f t="shared" ca="1" si="105"/>
        <v/>
      </c>
      <c r="BI61" s="169" t="str">
        <f t="array" aca="1" ref="BI61" ca="1">IF(ROWS($9:60)&lt;=COUNTIF(Condition13,"o"),INDEX(Liste13,SMALL(IF(Condition13="o",ROW(INDIRECT("1:"&amp;ROWS(Liste13)))),ROWS($9:60))),"")</f>
        <v/>
      </c>
      <c r="BJ61" s="175">
        <f t="shared" ca="1" si="143"/>
        <v>0</v>
      </c>
      <c r="BK61" s="175" t="str">
        <f t="shared" ca="1" si="182"/>
        <v/>
      </c>
      <c r="BL61" s="169" t="str">
        <f t="shared" ca="1" si="106"/>
        <v/>
      </c>
      <c r="BM61" s="169" t="str">
        <f t="array" aca="1" ref="BM61" ca="1">IF(ROWS($9:60)&lt;=COUNTIF(Condition14,"o"),INDEX(Liste14,SMALL(IF(Condition14="o",ROW(INDIRECT("1:"&amp;ROWS(Liste14)))),ROWS($9:60))),"")</f>
        <v/>
      </c>
      <c r="BN61" s="175">
        <f t="shared" ca="1" si="144"/>
        <v>0</v>
      </c>
      <c r="BO61" s="175" t="str">
        <f t="shared" ca="1" si="183"/>
        <v/>
      </c>
      <c r="BP61" s="169" t="str">
        <f t="shared" ca="1" si="107"/>
        <v/>
      </c>
      <c r="BQ61" s="169" t="str">
        <f t="array" aca="1" ref="BQ61" ca="1">IF(ROWS($9:60)&lt;=COUNTIF(Condition15,"o"),INDEX(Liste15,SMALL(IF(Condition15="o",ROW(INDIRECT("1:"&amp;ROWS(Liste15)))),ROWS($9:60))),"")</f>
        <v/>
      </c>
      <c r="BR61" s="175">
        <f t="shared" ca="1" si="145"/>
        <v>0</v>
      </c>
      <c r="BS61" s="175" t="str">
        <f t="shared" ca="1" si="184"/>
        <v/>
      </c>
      <c r="BT61" s="169" t="str">
        <f t="shared" ca="1" si="108"/>
        <v/>
      </c>
      <c r="BU61" s="169" t="str">
        <f t="array" aca="1" ref="BU61" ca="1">IF(ROWS($9:60)&lt;=COUNTIF(Condition16,"o"),INDEX(Liste16,SMALL(IF(Condition16="o",ROW(INDIRECT("1:"&amp;ROWS(Liste16)))),ROWS($9:60))),"")</f>
        <v/>
      </c>
      <c r="BV61" s="175">
        <f t="shared" ca="1" si="146"/>
        <v>0</v>
      </c>
      <c r="BW61" s="175" t="str">
        <f t="shared" ca="1" si="185"/>
        <v/>
      </c>
      <c r="BX61" s="169" t="str">
        <f t="shared" ca="1" si="109"/>
        <v/>
      </c>
      <c r="BY61" s="169" t="str">
        <f t="array" aca="1" ref="BY61" ca="1">IF(ROWS($9:60)&lt;=COUNTIF(Condition17,"o"),INDEX(Liste17,SMALL(IF(Condition17="o",ROW(INDIRECT("1:"&amp;ROWS(Liste17)))),ROWS($9:60))),"")</f>
        <v/>
      </c>
      <c r="BZ61" s="175">
        <f t="shared" ca="1" si="147"/>
        <v>0</v>
      </c>
      <c r="CA61" s="175" t="str">
        <f t="shared" ca="1" si="186"/>
        <v/>
      </c>
      <c r="CB61" s="169" t="str">
        <f t="shared" ca="1" si="110"/>
        <v/>
      </c>
      <c r="CC61" s="169" t="str">
        <f t="array" aca="1" ref="CC61" ca="1">IF(ROWS($9:60)&lt;=COUNTIF(Condition18,"o"),INDEX(Liste18,SMALL(IF(Condition18="o",ROW(INDIRECT("1:"&amp;ROWS(Liste18)))),ROWS($9:60))),"")</f>
        <v/>
      </c>
      <c r="CD61" s="175">
        <f t="shared" ca="1" si="148"/>
        <v>0</v>
      </c>
      <c r="CE61" s="175" t="str">
        <f t="shared" ca="1" si="187"/>
        <v/>
      </c>
      <c r="CF61" s="169" t="str">
        <f t="shared" ca="1" si="111"/>
        <v/>
      </c>
      <c r="CG61" s="169" t="str">
        <f t="array" aca="1" ref="CG61" ca="1">IF(ROWS($9:60)&lt;=COUNTIF(Condition19,"o"),INDEX(Liste19,SMALL(IF(Condition19="o",ROW(INDIRECT("1:"&amp;ROWS(Liste19)))),ROWS($9:60))),"")</f>
        <v/>
      </c>
      <c r="CH61" s="175">
        <f t="shared" ca="1" si="149"/>
        <v>0</v>
      </c>
      <c r="CI61" s="175" t="str">
        <f t="shared" ca="1" si="188"/>
        <v/>
      </c>
      <c r="CJ61" s="169" t="str">
        <f t="shared" ca="1" si="112"/>
        <v/>
      </c>
      <c r="CK61" s="169" t="str">
        <f t="array" aca="1" ref="CK61" ca="1">IF(ROWS($9:60)&lt;=COUNTIF(Condition20,"o"),INDEX(Liste20,SMALL(IF(Condition20="o",ROW(INDIRECT("1:"&amp;ROWS(Liste20)))),ROWS($9:60))),"")</f>
        <v/>
      </c>
      <c r="CL61" s="175">
        <f t="shared" ca="1" si="150"/>
        <v>0</v>
      </c>
      <c r="CM61" s="175" t="str">
        <f t="shared" ca="1" si="189"/>
        <v/>
      </c>
      <c r="CN61" s="169" t="str">
        <f t="shared" ca="1" si="113"/>
        <v/>
      </c>
      <c r="CO61" s="169" t="str">
        <f t="array" aca="1" ref="CO61" ca="1">IF(ROWS($9:60)&lt;=COUNTIF(Condition21,"o"),INDEX(Liste21,SMALL(IF(Condition21="o",ROW(INDIRECT("1:"&amp;ROWS(Liste21)))),ROWS($9:60))),"")</f>
        <v/>
      </c>
      <c r="CP61" s="175">
        <f t="shared" ca="1" si="151"/>
        <v>0</v>
      </c>
      <c r="CQ61" s="175" t="str">
        <f t="shared" ca="1" si="190"/>
        <v/>
      </c>
      <c r="CR61" s="169" t="str">
        <f t="shared" ca="1" si="114"/>
        <v/>
      </c>
      <c r="CS61" s="169" t="str">
        <f t="array" aca="1" ref="CS61" ca="1">IF(ROWS($9:60)&lt;=COUNTIF(Condition22,"o"),INDEX(Liste22,SMALL(IF(Condition22="o",ROW(INDIRECT("1:"&amp;ROWS(Liste22)))),ROWS($9:60))),"")</f>
        <v/>
      </c>
      <c r="CT61" s="175">
        <f t="shared" ca="1" si="152"/>
        <v>0</v>
      </c>
      <c r="CU61" s="175" t="str">
        <f t="shared" ca="1" si="191"/>
        <v/>
      </c>
      <c r="CV61" s="169" t="str">
        <f t="shared" ca="1" si="115"/>
        <v/>
      </c>
      <c r="CW61" s="169" t="str">
        <f t="array" aca="1" ref="CW61" ca="1">IF(ROWS($9:60)&lt;=COUNTIF(Condition23,"o"),INDEX(Liste23,SMALL(IF(Condition23="o",ROW(INDIRECT("1:"&amp;ROWS(Liste23)))),ROWS($9:60))),"")</f>
        <v/>
      </c>
      <c r="CX61" s="175">
        <f t="shared" ca="1" si="153"/>
        <v>0</v>
      </c>
      <c r="CY61" s="175" t="str">
        <f t="shared" ca="1" si="192"/>
        <v/>
      </c>
      <c r="CZ61" s="169" t="str">
        <f t="shared" ca="1" si="116"/>
        <v/>
      </c>
      <c r="DA61" s="169" t="str">
        <f t="array" aca="1" ref="DA61" ca="1">IF(ROWS($9:60)&lt;=COUNTIF(Condition24,"o"),INDEX(Liste24,SMALL(IF(Condition24="o",ROW(INDIRECT("1:"&amp;ROWS(Liste24)))),ROWS($9:60))),"")</f>
        <v/>
      </c>
      <c r="DB61" s="175">
        <f t="shared" ca="1" si="154"/>
        <v>0</v>
      </c>
      <c r="DC61" s="175" t="str">
        <f t="shared" ca="1" si="193"/>
        <v/>
      </c>
      <c r="DD61" s="169" t="str">
        <f t="shared" ca="1" si="117"/>
        <v/>
      </c>
      <c r="DE61" s="169" t="str">
        <f t="array" aca="1" ref="DE61" ca="1">IF(ROWS($9:60)&lt;=COUNTIF(Condition25,"o"),INDEX(Liste25,SMALL(IF(Condition25="o",ROW(INDIRECT("1:"&amp;ROWS(Liste25)))),ROWS($9:60))),"")</f>
        <v/>
      </c>
      <c r="DF61" s="175">
        <f t="shared" ca="1" si="155"/>
        <v>0</v>
      </c>
      <c r="DG61" s="175" t="str">
        <f t="shared" ca="1" si="194"/>
        <v/>
      </c>
      <c r="DH61" s="169" t="str">
        <f t="shared" ca="1" si="118"/>
        <v/>
      </c>
      <c r="DI61" s="169" t="str">
        <f t="array" aca="1" ref="DI61" ca="1">IF(ROWS($9:60)&lt;=COUNTIF(Condition26,"o"),INDEX(Liste26,SMALL(IF(Condition26="o",ROW(INDIRECT("1:"&amp;ROWS(Liste26)))),ROWS($9:60))),"")</f>
        <v/>
      </c>
      <c r="DJ61" s="175">
        <f t="shared" ca="1" si="156"/>
        <v>0</v>
      </c>
      <c r="DK61" s="175" t="str">
        <f t="shared" ca="1" si="195"/>
        <v/>
      </c>
      <c r="DL61" s="169" t="str">
        <f t="shared" ca="1" si="119"/>
        <v/>
      </c>
      <c r="DM61" s="169" t="str">
        <f t="array" aca="1" ref="DM61" ca="1">IF(ROWS($9:60)&lt;=COUNTIF(Condition27,"o"),INDEX(Liste27,SMALL(IF(Condition27="o",ROW(INDIRECT("1:"&amp;ROWS(Liste27)))),ROWS($9:60))),"")</f>
        <v/>
      </c>
      <c r="DN61" s="175">
        <f t="shared" ca="1" si="157"/>
        <v>0</v>
      </c>
      <c r="DO61" s="175" t="str">
        <f t="shared" ca="1" si="196"/>
        <v/>
      </c>
      <c r="DP61" s="169" t="str">
        <f t="shared" ca="1" si="120"/>
        <v/>
      </c>
      <c r="DQ61" s="169" t="str">
        <f t="array" aca="1" ref="DQ61" ca="1">IF(ROWS($9:60)&lt;=COUNTIF(Condition28,"o"),INDEX(Liste28,SMALL(IF(Condition28="o",ROW(INDIRECT("1:"&amp;ROWS(Liste28)))),ROWS($9:60))),"")</f>
        <v/>
      </c>
      <c r="DR61" s="175">
        <f t="shared" ca="1" si="158"/>
        <v>0</v>
      </c>
      <c r="DS61" s="175" t="str">
        <f t="shared" ca="1" si="197"/>
        <v/>
      </c>
      <c r="DT61" s="169" t="str">
        <f t="shared" ca="1" si="121"/>
        <v/>
      </c>
      <c r="DU61" s="169" t="str">
        <f t="array" aca="1" ref="DU61" ca="1">IF(ROWS($9:60)&lt;=COUNTIF(Condition29,"o"),INDEX(Liste29,SMALL(IF(Condition29="o",ROW(INDIRECT("1:"&amp;ROWS(Liste29)))),ROWS($9:60))),"")</f>
        <v/>
      </c>
      <c r="DV61" s="175">
        <f t="shared" ca="1" si="159"/>
        <v>0</v>
      </c>
      <c r="DW61" s="175" t="str">
        <f t="shared" ca="1" si="198"/>
        <v/>
      </c>
      <c r="DX61" s="169" t="str">
        <f t="shared" ca="1" si="122"/>
        <v/>
      </c>
      <c r="DY61" s="169" t="str">
        <f t="array" aca="1" ref="DY61" ca="1">IF(ROWS($9:60)&lt;=COUNTIF(Condition30,"o"),INDEX(Liste30,SMALL(IF(Condition30="o",ROW(INDIRECT("1:"&amp;ROWS(Liste30)))),ROWS($9:60))),"")</f>
        <v/>
      </c>
      <c r="DZ61" s="175">
        <f t="shared" ca="1" si="160"/>
        <v>0</v>
      </c>
      <c r="EA61" s="175" t="str">
        <f t="shared" ca="1" si="199"/>
        <v/>
      </c>
      <c r="EB61" s="169" t="str">
        <f t="shared" ca="1" si="123"/>
        <v/>
      </c>
      <c r="EC61" s="169" t="str">
        <f t="array" aca="1" ref="EC61" ca="1">IF(ROWS($9:60)&lt;=COUNTIF(Condition31,"o"),INDEX(Liste31,SMALL(IF(Condition31="o",ROW(INDIRECT("1:"&amp;ROWS(Liste31)))),ROWS($9:60))),"")</f>
        <v/>
      </c>
      <c r="ED61" s="175">
        <f t="shared" ca="1" si="161"/>
        <v>0</v>
      </c>
      <c r="EE61" s="175" t="str">
        <f t="shared" ca="1" si="200"/>
        <v/>
      </c>
      <c r="EF61" s="169" t="str">
        <f t="shared" ca="1" si="124"/>
        <v/>
      </c>
      <c r="EG61" s="169" t="str">
        <f t="array" aca="1" ref="EG61" ca="1">IF(ROWS($9:60)&lt;=COUNTIF(Condition32,"o"),INDEX(Liste32,SMALL(IF(Condition32="o",ROW(INDIRECT("1:"&amp;ROWS(Liste32)))),ROWS($9:60))),"")</f>
        <v/>
      </c>
      <c r="EH61" s="175">
        <f t="shared" ca="1" si="162"/>
        <v>0</v>
      </c>
      <c r="EI61" s="175" t="str">
        <f t="shared" ca="1" si="201"/>
        <v/>
      </c>
      <c r="EJ61" s="169" t="str">
        <f t="shared" ca="1" si="125"/>
        <v/>
      </c>
      <c r="EK61" s="169" t="str">
        <f t="array" aca="1" ref="EK61" ca="1">IF(ROWS($9:60)&lt;=COUNTIF(Condition33,"o"),INDEX(Liste33,SMALL(IF(Condition33="o",ROW(INDIRECT("1:"&amp;ROWS(Liste33)))),ROWS($9:60))),"")</f>
        <v/>
      </c>
      <c r="EL61" s="175">
        <f t="shared" ca="1" si="163"/>
        <v>0</v>
      </c>
      <c r="EM61" s="175" t="str">
        <f t="shared" ca="1" si="202"/>
        <v/>
      </c>
      <c r="EN61" s="169" t="str">
        <f t="shared" ca="1" si="126"/>
        <v/>
      </c>
      <c r="EO61" s="169" t="str">
        <f t="array" aca="1" ref="EO61" ca="1">IF(ROWS($9:60)&lt;=COUNTIF(Condition34,"o"),INDEX(Liste34,SMALL(IF(Condition34="o",ROW(INDIRECT("1:"&amp;ROWS(Liste34)))),ROWS($9:60))),"")</f>
        <v/>
      </c>
      <c r="EP61" s="175">
        <f t="shared" ca="1" si="164"/>
        <v>0</v>
      </c>
      <c r="EQ61" s="175" t="str">
        <f t="shared" ca="1" si="203"/>
        <v/>
      </c>
      <c r="ER61" s="169" t="str">
        <f t="shared" ca="1" si="127"/>
        <v/>
      </c>
      <c r="ES61" s="169" t="str">
        <f t="array" aca="1" ref="ES61" ca="1">IF(ROWS($9:60)&lt;=COUNTIF(Condition35,"o"),INDEX(Liste35,SMALL(IF(Condition35="o",ROW(INDIRECT("1:"&amp;ROWS(Liste35)))),ROWS($9:60))),"")</f>
        <v/>
      </c>
      <c r="ET61" s="175">
        <f t="shared" ca="1" si="165"/>
        <v>0</v>
      </c>
      <c r="EU61" s="175" t="str">
        <f t="shared" ca="1" si="204"/>
        <v/>
      </c>
      <c r="EV61" s="169" t="str">
        <f t="shared" ca="1" si="128"/>
        <v/>
      </c>
      <c r="EW61" s="169" t="str">
        <f t="array" aca="1" ref="EW61" ca="1">IF(ROWS($9:60)&lt;=COUNTIF(Condition36,"o"),INDEX(Liste36,SMALL(IF(Condition36="o",ROW(INDIRECT("1:"&amp;ROWS(Liste36)))),ROWS($9:60))),"")</f>
        <v/>
      </c>
      <c r="EX61" s="175">
        <f t="shared" ca="1" si="166"/>
        <v>0</v>
      </c>
      <c r="EY61" s="175" t="str">
        <f t="shared" ca="1" si="205"/>
        <v/>
      </c>
      <c r="EZ61" s="169" t="str">
        <f t="shared" ca="1" si="85"/>
        <v/>
      </c>
      <c r="FA61" s="169" t="str">
        <f t="array" aca="1" ref="FA61" ca="1">IF(ROWS($9:60)&lt;=COUNTIF(Condition36,"o"),INDEX(Liste36,SMALL(IF(Condition36="o",ROW(INDIRECT("1:"&amp;ROWS(Liste36)))),ROWS($9:60))),"")</f>
        <v/>
      </c>
      <c r="FB61" s="175">
        <f t="shared" ca="1" si="167"/>
        <v>0</v>
      </c>
      <c r="FC61" s="175" t="str">
        <f t="shared" ca="1" si="206"/>
        <v/>
      </c>
      <c r="FD61" s="169" t="str">
        <f t="shared" ca="1" si="86"/>
        <v/>
      </c>
      <c r="FE61" s="175">
        <f t="shared" si="168"/>
        <v>0</v>
      </c>
      <c r="FF61" s="175">
        <f t="shared" ca="1" si="168"/>
        <v>0</v>
      </c>
      <c r="FG61" s="175" t="str">
        <f t="shared" ca="1" si="207"/>
        <v/>
      </c>
      <c r="FH61" s="169" t="str">
        <f t="shared" ca="1" si="87"/>
        <v/>
      </c>
      <c r="FI61" s="169" t="str">
        <f t="array" aca="1" ref="FI61" ca="1">IF(ROWS($9:60)&lt;=COUNTIF(Condition39,"o"),INDEX(Liste39,SMALL(IF(Condition39="o",ROW(INDIRECT("1:"&amp;ROWS(Liste39)))),ROWS($9:60))),"")</f>
        <v/>
      </c>
      <c r="FO61" s="288"/>
      <c r="FQ61" s="289"/>
      <c r="FR61" s="288"/>
      <c r="FS61" s="290"/>
      <c r="FT61" s="291"/>
      <c r="FU61" s="288"/>
      <c r="FV61" s="290"/>
      <c r="FW61" s="291"/>
      <c r="FX61" s="288"/>
      <c r="FY61" s="290"/>
      <c r="FZ61" s="291"/>
      <c r="GA61" s="292"/>
      <c r="GB61" s="291"/>
      <c r="GC61" s="291"/>
      <c r="GD61" s="292"/>
      <c r="GE61" s="291"/>
      <c r="GF61" s="284"/>
      <c r="GG61" s="233"/>
    </row>
    <row r="62" spans="1:189">
      <c r="A62" s="1" t="s">
        <v>1187</v>
      </c>
      <c r="B62" s="1">
        <f t="shared" si="208"/>
        <v>9</v>
      </c>
      <c r="C62" s="1">
        <f t="shared" ca="1" si="208"/>
        <v>0</v>
      </c>
      <c r="D62" s="1">
        <f t="shared" ca="1" si="208"/>
        <v>0</v>
      </c>
      <c r="E62" s="1" t="str">
        <f ca="1">Actions!K10</f>
        <v>-</v>
      </c>
      <c r="F62" s="1" t="str">
        <f t="shared" ca="1" si="0"/>
        <v>-</v>
      </c>
      <c r="G62" s="1" t="e">
        <f t="shared" ca="1" si="209"/>
        <v>#REF!</v>
      </c>
      <c r="I62" s="1">
        <v>54</v>
      </c>
      <c r="J62" s="175">
        <f t="shared" ca="1" si="130"/>
        <v>0</v>
      </c>
      <c r="K62" s="175" t="str">
        <f t="shared" ca="1" si="169"/>
        <v/>
      </c>
      <c r="L62" s="169" t="str">
        <f t="shared" ca="1" si="93"/>
        <v/>
      </c>
      <c r="M62" s="169" t="str">
        <f t="array" aca="1" ref="M62" ca="1">IF(ROWS($9:61)&lt;=COUNTIF(Condition1,"o"),INDEX(Liste1,SMALL(IF(Condition1="o",ROW(INDIRECT("1:"&amp;ROWS(Liste1)))),ROWS($9:61))),"")</f>
        <v/>
      </c>
      <c r="N62" s="175">
        <f t="shared" ca="1" si="131"/>
        <v>0</v>
      </c>
      <c r="O62" s="175" t="str">
        <f t="shared" ca="1" si="170"/>
        <v/>
      </c>
      <c r="P62" s="169" t="str">
        <f t="shared" ca="1" si="94"/>
        <v/>
      </c>
      <c r="Q62" s="169" t="str">
        <f t="array" aca="1" ref="Q62" ca="1">IF(ROWS($9:61)&lt;=COUNTIF(Condition2,"o"),INDEX(Liste2,SMALL(IF(Condition2="o",ROW(INDIRECT("1:"&amp;ROWS(Liste2)))),ROWS($9:61))),"")</f>
        <v/>
      </c>
      <c r="R62" s="175">
        <f t="shared" ca="1" si="132"/>
        <v>0</v>
      </c>
      <c r="S62" s="175" t="str">
        <f t="shared" ca="1" si="171"/>
        <v/>
      </c>
      <c r="T62" s="169" t="str">
        <f t="shared" ca="1" si="95"/>
        <v/>
      </c>
      <c r="U62" s="169" t="str">
        <f t="array" aca="1" ref="U62" ca="1">IF(ROWS($9:61)&lt;=COUNTIF(Condition3,"o"),INDEX(Liste3,SMALL(IF(Condition3="o",ROW(INDIRECT("1:"&amp;ROWS(Liste3)))),ROWS($9:61))),"")</f>
        <v/>
      </c>
      <c r="V62" s="175">
        <f t="shared" ca="1" si="133"/>
        <v>0</v>
      </c>
      <c r="W62" s="175" t="str">
        <f t="shared" ca="1" si="172"/>
        <v/>
      </c>
      <c r="X62" s="169" t="str">
        <f t="shared" ca="1" si="96"/>
        <v/>
      </c>
      <c r="Y62" s="169" t="str">
        <f t="array" aca="1" ref="Y62" ca="1">IF(ROWS($9:61)&lt;=COUNTIF(Condition4,"o"),INDEX(Liste4,SMALL(IF(Condition4="o",ROW(INDIRECT("1:"&amp;ROWS(Liste4)))),ROWS($9:61))),"")</f>
        <v/>
      </c>
      <c r="Z62" s="175">
        <f t="shared" ca="1" si="134"/>
        <v>0</v>
      </c>
      <c r="AA62" s="175" t="str">
        <f t="shared" ca="1" si="173"/>
        <v/>
      </c>
      <c r="AB62" s="169" t="str">
        <f t="shared" ca="1" si="97"/>
        <v/>
      </c>
      <c r="AC62" s="169" t="str">
        <f t="array" aca="1" ref="AC62" ca="1">IF(ROWS($9:61)&lt;=COUNTIF(Condition5,"o"),INDEX(Liste5,SMALL(IF(Condition5="o",ROW(INDIRECT("1:"&amp;ROWS(Liste5)))),ROWS($9:61))),"")</f>
        <v/>
      </c>
      <c r="AD62" s="175">
        <f t="shared" ca="1" si="135"/>
        <v>0</v>
      </c>
      <c r="AE62" s="175" t="str">
        <f t="shared" ca="1" si="174"/>
        <v/>
      </c>
      <c r="AF62" s="169" t="str">
        <f t="shared" ca="1" si="98"/>
        <v/>
      </c>
      <c r="AG62" s="169" t="str">
        <f t="array" aca="1" ref="AG62" ca="1">IF(ROWS($9:61)&lt;=COUNTIF(Condition6,"o"),INDEX(Liste6,SMALL(IF(Condition6="o",ROW(INDIRECT("1:"&amp;ROWS(Liste6)))),ROWS($9:61))),"")</f>
        <v/>
      </c>
      <c r="AH62" s="175">
        <f t="shared" ca="1" si="136"/>
        <v>0</v>
      </c>
      <c r="AI62" s="175" t="str">
        <f t="shared" ca="1" si="175"/>
        <v/>
      </c>
      <c r="AJ62" s="169" t="str">
        <f t="shared" ca="1" si="99"/>
        <v/>
      </c>
      <c r="AK62" s="169" t="str">
        <f t="array" aca="1" ref="AK62" ca="1">IF(ROWS($9:61)&lt;=COUNTIF(Condition7,"o"),INDEX(Liste7,SMALL(IF(Condition7="o",ROW(INDIRECT("1:"&amp;ROWS(Liste7)))),ROWS($9:61))),"")</f>
        <v/>
      </c>
      <c r="AL62" s="175">
        <f t="shared" ca="1" si="137"/>
        <v>0</v>
      </c>
      <c r="AM62" s="175" t="str">
        <f t="shared" ca="1" si="176"/>
        <v/>
      </c>
      <c r="AN62" s="169" t="str">
        <f t="shared" ca="1" si="100"/>
        <v/>
      </c>
      <c r="AO62" s="169" t="str">
        <f t="array" aca="1" ref="AO62" ca="1">IF(ROWS($9:61)&lt;=COUNTIF(Condition8,"o"),INDEX(Liste8,SMALL(IF(Condition8="o",ROW(INDIRECT("1:"&amp;ROWS(Liste8)))),ROWS($9:61))),"")</f>
        <v/>
      </c>
      <c r="AP62" s="175">
        <f t="shared" ca="1" si="138"/>
        <v>0</v>
      </c>
      <c r="AQ62" s="175" t="str">
        <f t="shared" ca="1" si="177"/>
        <v/>
      </c>
      <c r="AR62" s="169" t="str">
        <f t="shared" ca="1" si="101"/>
        <v/>
      </c>
      <c r="AS62" s="169" t="str">
        <f t="array" aca="1" ref="AS62" ca="1">IF(ROWS($9:61)&lt;=COUNTIF(Condition9,"o"),INDEX(Liste9,SMALL(IF(Condition9="o",ROW(INDIRECT("1:"&amp;ROWS(Liste9)))),ROWS($9:61))),"")</f>
        <v/>
      </c>
      <c r="AT62" s="175">
        <f t="shared" ca="1" si="139"/>
        <v>0</v>
      </c>
      <c r="AU62" s="175" t="str">
        <f t="shared" ca="1" si="178"/>
        <v/>
      </c>
      <c r="AV62" s="169" t="str">
        <f t="shared" ca="1" si="102"/>
        <v/>
      </c>
      <c r="AW62" s="169" t="str">
        <f t="array" aca="1" ref="AW62" ca="1">IF(ROWS($9:61)&lt;=COUNTIF(Condition10,"o"),INDEX(Liste10,SMALL(IF(Condition10="o",ROW(INDIRECT("1:"&amp;ROWS(Liste10)))),ROWS($9:61))),"")</f>
        <v/>
      </c>
      <c r="AX62" s="175">
        <f t="shared" ca="1" si="140"/>
        <v>0</v>
      </c>
      <c r="AY62" s="175" t="str">
        <f t="shared" ca="1" si="179"/>
        <v/>
      </c>
      <c r="AZ62" s="169" t="str">
        <f t="shared" ca="1" si="103"/>
        <v/>
      </c>
      <c r="BA62" s="169" t="str">
        <f t="array" aca="1" ref="BA62" ca="1">IF(ROWS($9:61)&lt;=COUNTIF(Condition11,"o"),INDEX(Liste11,SMALL(IF(Condition11="o",ROW(INDIRECT("1:"&amp;ROWS(Liste11)))),ROWS($9:61))),"")</f>
        <v/>
      </c>
      <c r="BB62" s="175">
        <f t="shared" ca="1" si="141"/>
        <v>0</v>
      </c>
      <c r="BC62" s="175" t="str">
        <f t="shared" ca="1" si="180"/>
        <v/>
      </c>
      <c r="BD62" s="169" t="str">
        <f t="shared" ca="1" si="104"/>
        <v/>
      </c>
      <c r="BE62" s="169" t="str">
        <f t="array" aca="1" ref="BE62" ca="1">IF(ROWS($9:61)&lt;=COUNTIF(Condition12,"o"),INDEX(Liste12,SMALL(IF(Condition12="o",ROW(INDIRECT("1:"&amp;ROWS(Liste12)))),ROWS($9:61))),"")</f>
        <v/>
      </c>
      <c r="BF62" s="175">
        <f t="shared" ca="1" si="142"/>
        <v>0</v>
      </c>
      <c r="BG62" s="175" t="str">
        <f t="shared" ca="1" si="181"/>
        <v/>
      </c>
      <c r="BH62" s="169" t="str">
        <f t="shared" ca="1" si="105"/>
        <v/>
      </c>
      <c r="BI62" s="169" t="str">
        <f t="array" aca="1" ref="BI62" ca="1">IF(ROWS($9:61)&lt;=COUNTIF(Condition13,"o"),INDEX(Liste13,SMALL(IF(Condition13="o",ROW(INDIRECT("1:"&amp;ROWS(Liste13)))),ROWS($9:61))),"")</f>
        <v/>
      </c>
      <c r="BJ62" s="175">
        <f t="shared" ca="1" si="143"/>
        <v>0</v>
      </c>
      <c r="BK62" s="175" t="str">
        <f t="shared" ca="1" si="182"/>
        <v/>
      </c>
      <c r="BL62" s="169" t="str">
        <f t="shared" ca="1" si="106"/>
        <v/>
      </c>
      <c r="BM62" s="169" t="str">
        <f t="array" aca="1" ref="BM62" ca="1">IF(ROWS($9:61)&lt;=COUNTIF(Condition14,"o"),INDEX(Liste14,SMALL(IF(Condition14="o",ROW(INDIRECT("1:"&amp;ROWS(Liste14)))),ROWS($9:61))),"")</f>
        <v/>
      </c>
      <c r="BN62" s="175">
        <f t="shared" ca="1" si="144"/>
        <v>0</v>
      </c>
      <c r="BO62" s="175" t="str">
        <f t="shared" ca="1" si="183"/>
        <v/>
      </c>
      <c r="BP62" s="169" t="str">
        <f t="shared" ca="1" si="107"/>
        <v/>
      </c>
      <c r="BQ62" s="169" t="str">
        <f t="array" aca="1" ref="BQ62" ca="1">IF(ROWS($9:61)&lt;=COUNTIF(Condition15,"o"),INDEX(Liste15,SMALL(IF(Condition15="o",ROW(INDIRECT("1:"&amp;ROWS(Liste15)))),ROWS($9:61))),"")</f>
        <v/>
      </c>
      <c r="BR62" s="175">
        <f t="shared" ca="1" si="145"/>
        <v>0</v>
      </c>
      <c r="BS62" s="175" t="str">
        <f t="shared" ca="1" si="184"/>
        <v/>
      </c>
      <c r="BT62" s="169" t="str">
        <f t="shared" ca="1" si="108"/>
        <v/>
      </c>
      <c r="BU62" s="169" t="str">
        <f t="array" aca="1" ref="BU62" ca="1">IF(ROWS($9:61)&lt;=COUNTIF(Condition16,"o"),INDEX(Liste16,SMALL(IF(Condition16="o",ROW(INDIRECT("1:"&amp;ROWS(Liste16)))),ROWS($9:61))),"")</f>
        <v/>
      </c>
      <c r="BV62" s="175">
        <f t="shared" ca="1" si="146"/>
        <v>0</v>
      </c>
      <c r="BW62" s="175" t="str">
        <f t="shared" ca="1" si="185"/>
        <v/>
      </c>
      <c r="BX62" s="169" t="str">
        <f t="shared" ca="1" si="109"/>
        <v/>
      </c>
      <c r="BY62" s="169" t="str">
        <f t="array" aca="1" ref="BY62" ca="1">IF(ROWS($9:61)&lt;=COUNTIF(Condition17,"o"),INDEX(Liste17,SMALL(IF(Condition17="o",ROW(INDIRECT("1:"&amp;ROWS(Liste17)))),ROWS($9:61))),"")</f>
        <v/>
      </c>
      <c r="BZ62" s="175">
        <f t="shared" ca="1" si="147"/>
        <v>0</v>
      </c>
      <c r="CA62" s="175" t="str">
        <f t="shared" ca="1" si="186"/>
        <v/>
      </c>
      <c r="CB62" s="169" t="str">
        <f t="shared" ca="1" si="110"/>
        <v/>
      </c>
      <c r="CC62" s="169" t="str">
        <f t="array" aca="1" ref="CC62" ca="1">IF(ROWS($9:61)&lt;=COUNTIF(Condition18,"o"),INDEX(Liste18,SMALL(IF(Condition18="o",ROW(INDIRECT("1:"&amp;ROWS(Liste18)))),ROWS($9:61))),"")</f>
        <v/>
      </c>
      <c r="CD62" s="175">
        <f t="shared" ca="1" si="148"/>
        <v>0</v>
      </c>
      <c r="CE62" s="175" t="str">
        <f t="shared" ca="1" si="187"/>
        <v/>
      </c>
      <c r="CF62" s="169" t="str">
        <f t="shared" ca="1" si="111"/>
        <v/>
      </c>
      <c r="CG62" s="169" t="str">
        <f t="array" aca="1" ref="CG62" ca="1">IF(ROWS($9:61)&lt;=COUNTIF(Condition19,"o"),INDEX(Liste19,SMALL(IF(Condition19="o",ROW(INDIRECT("1:"&amp;ROWS(Liste19)))),ROWS($9:61))),"")</f>
        <v/>
      </c>
      <c r="CH62" s="175">
        <f t="shared" ca="1" si="149"/>
        <v>0</v>
      </c>
      <c r="CI62" s="175" t="str">
        <f t="shared" ca="1" si="188"/>
        <v/>
      </c>
      <c r="CJ62" s="169" t="str">
        <f t="shared" ca="1" si="112"/>
        <v/>
      </c>
      <c r="CK62" s="169" t="str">
        <f t="array" aca="1" ref="CK62" ca="1">IF(ROWS($9:61)&lt;=COUNTIF(Condition20,"o"),INDEX(Liste20,SMALL(IF(Condition20="o",ROW(INDIRECT("1:"&amp;ROWS(Liste20)))),ROWS($9:61))),"")</f>
        <v/>
      </c>
      <c r="CL62" s="175">
        <f t="shared" ca="1" si="150"/>
        <v>0</v>
      </c>
      <c r="CM62" s="175" t="str">
        <f t="shared" ca="1" si="189"/>
        <v/>
      </c>
      <c r="CN62" s="169" t="str">
        <f t="shared" ca="1" si="113"/>
        <v/>
      </c>
      <c r="CO62" s="169" t="str">
        <f t="array" aca="1" ref="CO62" ca="1">IF(ROWS($9:61)&lt;=COUNTIF(Condition21,"o"),INDEX(Liste21,SMALL(IF(Condition21="o",ROW(INDIRECT("1:"&amp;ROWS(Liste21)))),ROWS($9:61))),"")</f>
        <v/>
      </c>
      <c r="CP62" s="175">
        <f t="shared" ca="1" si="151"/>
        <v>0</v>
      </c>
      <c r="CQ62" s="175" t="str">
        <f t="shared" ca="1" si="190"/>
        <v/>
      </c>
      <c r="CR62" s="169" t="str">
        <f t="shared" ca="1" si="114"/>
        <v/>
      </c>
      <c r="CS62" s="169" t="str">
        <f t="array" aca="1" ref="CS62" ca="1">IF(ROWS($9:61)&lt;=COUNTIF(Condition22,"o"),INDEX(Liste22,SMALL(IF(Condition22="o",ROW(INDIRECT("1:"&amp;ROWS(Liste22)))),ROWS($9:61))),"")</f>
        <v/>
      </c>
      <c r="CT62" s="175">
        <f t="shared" ca="1" si="152"/>
        <v>0</v>
      </c>
      <c r="CU62" s="175" t="str">
        <f t="shared" ca="1" si="191"/>
        <v/>
      </c>
      <c r="CV62" s="169" t="str">
        <f t="shared" ca="1" si="115"/>
        <v/>
      </c>
      <c r="CW62" s="169" t="str">
        <f t="array" aca="1" ref="CW62" ca="1">IF(ROWS($9:61)&lt;=COUNTIF(Condition23,"o"),INDEX(Liste23,SMALL(IF(Condition23="o",ROW(INDIRECT("1:"&amp;ROWS(Liste23)))),ROWS($9:61))),"")</f>
        <v/>
      </c>
      <c r="CX62" s="175">
        <f t="shared" ca="1" si="153"/>
        <v>0</v>
      </c>
      <c r="CY62" s="175" t="str">
        <f t="shared" ca="1" si="192"/>
        <v/>
      </c>
      <c r="CZ62" s="169" t="str">
        <f t="shared" ca="1" si="116"/>
        <v/>
      </c>
      <c r="DA62" s="169" t="str">
        <f t="array" aca="1" ref="DA62" ca="1">IF(ROWS($9:61)&lt;=COUNTIF(Condition24,"o"),INDEX(Liste24,SMALL(IF(Condition24="o",ROW(INDIRECT("1:"&amp;ROWS(Liste24)))),ROWS($9:61))),"")</f>
        <v/>
      </c>
      <c r="DB62" s="175">
        <f t="shared" ca="1" si="154"/>
        <v>0</v>
      </c>
      <c r="DC62" s="175" t="str">
        <f t="shared" ca="1" si="193"/>
        <v/>
      </c>
      <c r="DD62" s="169" t="str">
        <f t="shared" ca="1" si="117"/>
        <v/>
      </c>
      <c r="DE62" s="169" t="str">
        <f t="array" aca="1" ref="DE62" ca="1">IF(ROWS($9:61)&lt;=COUNTIF(Condition25,"o"),INDEX(Liste25,SMALL(IF(Condition25="o",ROW(INDIRECT("1:"&amp;ROWS(Liste25)))),ROWS($9:61))),"")</f>
        <v/>
      </c>
      <c r="DF62" s="175">
        <f t="shared" ca="1" si="155"/>
        <v>0</v>
      </c>
      <c r="DG62" s="175" t="str">
        <f t="shared" ca="1" si="194"/>
        <v/>
      </c>
      <c r="DH62" s="169" t="str">
        <f t="shared" ca="1" si="118"/>
        <v/>
      </c>
      <c r="DI62" s="169" t="str">
        <f t="array" aca="1" ref="DI62" ca="1">IF(ROWS($9:61)&lt;=COUNTIF(Condition26,"o"),INDEX(Liste26,SMALL(IF(Condition26="o",ROW(INDIRECT("1:"&amp;ROWS(Liste26)))),ROWS($9:61))),"")</f>
        <v/>
      </c>
      <c r="DJ62" s="175">
        <f t="shared" ca="1" si="156"/>
        <v>0</v>
      </c>
      <c r="DK62" s="175" t="str">
        <f t="shared" ca="1" si="195"/>
        <v/>
      </c>
      <c r="DL62" s="169" t="str">
        <f t="shared" ca="1" si="119"/>
        <v/>
      </c>
      <c r="DM62" s="169" t="str">
        <f t="array" aca="1" ref="DM62" ca="1">IF(ROWS($9:61)&lt;=COUNTIF(Condition27,"o"),INDEX(Liste27,SMALL(IF(Condition27="o",ROW(INDIRECT("1:"&amp;ROWS(Liste27)))),ROWS($9:61))),"")</f>
        <v/>
      </c>
      <c r="DN62" s="175">
        <f t="shared" ca="1" si="157"/>
        <v>0</v>
      </c>
      <c r="DO62" s="175" t="str">
        <f t="shared" ca="1" si="196"/>
        <v/>
      </c>
      <c r="DP62" s="169" t="str">
        <f t="shared" ca="1" si="120"/>
        <v/>
      </c>
      <c r="DQ62" s="169" t="str">
        <f t="array" aca="1" ref="DQ62" ca="1">IF(ROWS($9:61)&lt;=COUNTIF(Condition28,"o"),INDEX(Liste28,SMALL(IF(Condition28="o",ROW(INDIRECT("1:"&amp;ROWS(Liste28)))),ROWS($9:61))),"")</f>
        <v/>
      </c>
      <c r="DR62" s="175">
        <f t="shared" ca="1" si="158"/>
        <v>0</v>
      </c>
      <c r="DS62" s="175" t="str">
        <f t="shared" ca="1" si="197"/>
        <v/>
      </c>
      <c r="DT62" s="169" t="str">
        <f t="shared" ca="1" si="121"/>
        <v/>
      </c>
      <c r="DU62" s="169" t="str">
        <f t="array" aca="1" ref="DU62" ca="1">IF(ROWS($9:61)&lt;=COUNTIF(Condition29,"o"),INDEX(Liste29,SMALL(IF(Condition29="o",ROW(INDIRECT("1:"&amp;ROWS(Liste29)))),ROWS($9:61))),"")</f>
        <v/>
      </c>
      <c r="DV62" s="175">
        <f t="shared" ca="1" si="159"/>
        <v>0</v>
      </c>
      <c r="DW62" s="175" t="str">
        <f t="shared" ca="1" si="198"/>
        <v/>
      </c>
      <c r="DX62" s="169" t="str">
        <f t="shared" ca="1" si="122"/>
        <v/>
      </c>
      <c r="DY62" s="169" t="str">
        <f t="array" aca="1" ref="DY62" ca="1">IF(ROWS($9:61)&lt;=COUNTIF(Condition30,"o"),INDEX(Liste30,SMALL(IF(Condition30="o",ROW(INDIRECT("1:"&amp;ROWS(Liste30)))),ROWS($9:61))),"")</f>
        <v/>
      </c>
      <c r="DZ62" s="175">
        <f t="shared" ca="1" si="160"/>
        <v>0</v>
      </c>
      <c r="EA62" s="175" t="str">
        <f t="shared" ca="1" si="199"/>
        <v/>
      </c>
      <c r="EB62" s="169" t="str">
        <f t="shared" ca="1" si="123"/>
        <v/>
      </c>
      <c r="EC62" s="169" t="str">
        <f t="array" aca="1" ref="EC62" ca="1">IF(ROWS($9:61)&lt;=COUNTIF(Condition31,"o"),INDEX(Liste31,SMALL(IF(Condition31="o",ROW(INDIRECT("1:"&amp;ROWS(Liste31)))),ROWS($9:61))),"")</f>
        <v/>
      </c>
      <c r="ED62" s="175">
        <f t="shared" ca="1" si="161"/>
        <v>0</v>
      </c>
      <c r="EE62" s="175" t="str">
        <f t="shared" ca="1" si="200"/>
        <v/>
      </c>
      <c r="EF62" s="169" t="str">
        <f t="shared" ca="1" si="124"/>
        <v/>
      </c>
      <c r="EG62" s="169" t="str">
        <f t="array" aca="1" ref="EG62" ca="1">IF(ROWS($9:61)&lt;=COUNTIF(Condition32,"o"),INDEX(Liste32,SMALL(IF(Condition32="o",ROW(INDIRECT("1:"&amp;ROWS(Liste32)))),ROWS($9:61))),"")</f>
        <v/>
      </c>
      <c r="EH62" s="175">
        <f t="shared" ca="1" si="162"/>
        <v>0</v>
      </c>
      <c r="EI62" s="175" t="str">
        <f t="shared" ca="1" si="201"/>
        <v/>
      </c>
      <c r="EJ62" s="169" t="str">
        <f t="shared" ca="1" si="125"/>
        <v/>
      </c>
      <c r="EK62" s="169" t="str">
        <f t="array" aca="1" ref="EK62" ca="1">IF(ROWS($9:61)&lt;=COUNTIF(Condition33,"o"),INDEX(Liste33,SMALL(IF(Condition33="o",ROW(INDIRECT("1:"&amp;ROWS(Liste33)))),ROWS($9:61))),"")</f>
        <v/>
      </c>
      <c r="EL62" s="175">
        <f t="shared" ca="1" si="163"/>
        <v>0</v>
      </c>
      <c r="EM62" s="175" t="str">
        <f t="shared" ca="1" si="202"/>
        <v/>
      </c>
      <c r="EN62" s="169" t="str">
        <f t="shared" ca="1" si="126"/>
        <v/>
      </c>
      <c r="EO62" s="169" t="str">
        <f t="array" aca="1" ref="EO62" ca="1">IF(ROWS($9:61)&lt;=COUNTIF(Condition34,"o"),INDEX(Liste34,SMALL(IF(Condition34="o",ROW(INDIRECT("1:"&amp;ROWS(Liste34)))),ROWS($9:61))),"")</f>
        <v/>
      </c>
      <c r="EP62" s="175">
        <f t="shared" ca="1" si="164"/>
        <v>0</v>
      </c>
      <c r="EQ62" s="175" t="str">
        <f t="shared" ca="1" si="203"/>
        <v/>
      </c>
      <c r="ER62" s="169" t="str">
        <f t="shared" ca="1" si="127"/>
        <v/>
      </c>
      <c r="ES62" s="169" t="str">
        <f t="array" aca="1" ref="ES62" ca="1">IF(ROWS($9:61)&lt;=COUNTIF(Condition35,"o"),INDEX(Liste35,SMALL(IF(Condition35="o",ROW(INDIRECT("1:"&amp;ROWS(Liste35)))),ROWS($9:61))),"")</f>
        <v/>
      </c>
      <c r="ET62" s="175">
        <f t="shared" ca="1" si="165"/>
        <v>0</v>
      </c>
      <c r="EU62" s="175" t="str">
        <f t="shared" ca="1" si="204"/>
        <v/>
      </c>
      <c r="EV62" s="169" t="str">
        <f t="shared" ca="1" si="128"/>
        <v/>
      </c>
      <c r="EW62" s="169" t="str">
        <f t="array" aca="1" ref="EW62" ca="1">IF(ROWS($9:61)&lt;=COUNTIF(Condition36,"o"),INDEX(Liste36,SMALL(IF(Condition36="o",ROW(INDIRECT("1:"&amp;ROWS(Liste36)))),ROWS($9:61))),"")</f>
        <v/>
      </c>
      <c r="EX62" s="175">
        <f t="shared" ca="1" si="166"/>
        <v>0</v>
      </c>
      <c r="EY62" s="175" t="str">
        <f t="shared" ca="1" si="205"/>
        <v/>
      </c>
      <c r="EZ62" s="169" t="str">
        <f t="shared" ca="1" si="85"/>
        <v/>
      </c>
      <c r="FA62" s="169" t="str">
        <f t="array" aca="1" ref="FA62" ca="1">IF(ROWS($9:61)&lt;=COUNTIF(Condition36,"o"),INDEX(Liste36,SMALL(IF(Condition36="o",ROW(INDIRECT("1:"&amp;ROWS(Liste36)))),ROWS($9:61))),"")</f>
        <v/>
      </c>
      <c r="FB62" s="175">
        <f t="shared" ca="1" si="167"/>
        <v>0</v>
      </c>
      <c r="FC62" s="175" t="str">
        <f t="shared" ca="1" si="206"/>
        <v/>
      </c>
      <c r="FD62" s="169" t="str">
        <f t="shared" ca="1" si="86"/>
        <v/>
      </c>
      <c r="FE62" s="175">
        <f t="shared" si="168"/>
        <v>0</v>
      </c>
      <c r="FF62" s="175">
        <f t="shared" ca="1" si="168"/>
        <v>0</v>
      </c>
      <c r="FG62" s="175" t="str">
        <f t="shared" ca="1" si="207"/>
        <v/>
      </c>
      <c r="FH62" s="169" t="str">
        <f t="shared" ca="1" si="87"/>
        <v/>
      </c>
      <c r="FI62" s="169" t="str">
        <f t="array" aca="1" ref="FI62" ca="1">IF(ROWS($9:61)&lt;=COUNTIF(Condition39,"o"),INDEX(Liste39,SMALL(IF(Condition39="o",ROW(INDIRECT("1:"&amp;ROWS(Liste39)))),ROWS($9:61))),"")</f>
        <v/>
      </c>
      <c r="FO62" s="288"/>
      <c r="FQ62" s="289"/>
      <c r="FR62" s="288"/>
      <c r="FS62" s="290"/>
      <c r="FT62" s="291"/>
      <c r="FU62" s="288"/>
      <c r="FV62" s="290"/>
      <c r="FW62" s="291"/>
      <c r="FX62" s="288"/>
      <c r="FY62" s="290"/>
      <c r="FZ62" s="291"/>
      <c r="GA62" s="292"/>
      <c r="GB62" s="291"/>
      <c r="GC62" s="291"/>
      <c r="GD62" s="292"/>
      <c r="GE62" s="291"/>
      <c r="GF62" s="284"/>
      <c r="GG62" s="233"/>
    </row>
    <row r="63" spans="1:189">
      <c r="A63" s="1" t="s">
        <v>1189</v>
      </c>
      <c r="B63" s="1">
        <f t="shared" si="208"/>
        <v>10</v>
      </c>
      <c r="C63" s="1">
        <f t="shared" ca="1" si="208"/>
        <v>0</v>
      </c>
      <c r="D63" s="1">
        <f t="shared" ca="1" si="208"/>
        <v>0</v>
      </c>
      <c r="E63" s="1" t="str">
        <f ca="1">Actions!K11</f>
        <v>-</v>
      </c>
      <c r="F63" s="1" t="str">
        <f t="shared" ca="1" si="0"/>
        <v>-</v>
      </c>
      <c r="G63" s="1" t="e">
        <f t="shared" ca="1" si="209"/>
        <v>#REF!</v>
      </c>
      <c r="I63" s="1">
        <v>55</v>
      </c>
      <c r="J63" s="175">
        <f t="shared" ca="1" si="130"/>
        <v>0</v>
      </c>
      <c r="K63" s="175" t="str">
        <f t="shared" ca="1" si="169"/>
        <v/>
      </c>
      <c r="L63" s="169" t="str">
        <f t="shared" ca="1" si="93"/>
        <v/>
      </c>
      <c r="M63" s="169" t="str">
        <f t="array" aca="1" ref="M63" ca="1">IF(ROWS($9:62)&lt;=COUNTIF(Condition1,"o"),INDEX(Liste1,SMALL(IF(Condition1="o",ROW(INDIRECT("1:"&amp;ROWS(Liste1)))),ROWS($9:62))),"")</f>
        <v/>
      </c>
      <c r="N63" s="175">
        <f t="shared" ca="1" si="131"/>
        <v>0</v>
      </c>
      <c r="O63" s="175" t="str">
        <f t="shared" ca="1" si="170"/>
        <v/>
      </c>
      <c r="P63" s="169" t="str">
        <f t="shared" ca="1" si="94"/>
        <v/>
      </c>
      <c r="Q63" s="169" t="str">
        <f t="array" aca="1" ref="Q63" ca="1">IF(ROWS($9:62)&lt;=COUNTIF(Condition2,"o"),INDEX(Liste2,SMALL(IF(Condition2="o",ROW(INDIRECT("1:"&amp;ROWS(Liste2)))),ROWS($9:62))),"")</f>
        <v/>
      </c>
      <c r="R63" s="175">
        <f t="shared" ca="1" si="132"/>
        <v>0</v>
      </c>
      <c r="S63" s="175" t="str">
        <f t="shared" ca="1" si="171"/>
        <v/>
      </c>
      <c r="T63" s="169" t="str">
        <f t="shared" ca="1" si="95"/>
        <v/>
      </c>
      <c r="U63" s="169" t="str">
        <f t="array" aca="1" ref="U63" ca="1">IF(ROWS($9:62)&lt;=COUNTIF(Condition3,"o"),INDEX(Liste3,SMALL(IF(Condition3="o",ROW(INDIRECT("1:"&amp;ROWS(Liste3)))),ROWS($9:62))),"")</f>
        <v/>
      </c>
      <c r="V63" s="175">
        <f t="shared" ca="1" si="133"/>
        <v>0</v>
      </c>
      <c r="W63" s="175" t="str">
        <f t="shared" ca="1" si="172"/>
        <v/>
      </c>
      <c r="X63" s="169" t="str">
        <f t="shared" ca="1" si="96"/>
        <v/>
      </c>
      <c r="Y63" s="169" t="str">
        <f t="array" aca="1" ref="Y63" ca="1">IF(ROWS($9:62)&lt;=COUNTIF(Condition4,"o"),INDEX(Liste4,SMALL(IF(Condition4="o",ROW(INDIRECT("1:"&amp;ROWS(Liste4)))),ROWS($9:62))),"")</f>
        <v/>
      </c>
      <c r="Z63" s="175">
        <f t="shared" ca="1" si="134"/>
        <v>0</v>
      </c>
      <c r="AA63" s="175" t="str">
        <f t="shared" ca="1" si="173"/>
        <v/>
      </c>
      <c r="AB63" s="169" t="str">
        <f t="shared" ca="1" si="97"/>
        <v/>
      </c>
      <c r="AC63" s="169" t="str">
        <f t="array" aca="1" ref="AC63" ca="1">IF(ROWS($9:62)&lt;=COUNTIF(Condition5,"o"),INDEX(Liste5,SMALL(IF(Condition5="o",ROW(INDIRECT("1:"&amp;ROWS(Liste5)))),ROWS($9:62))),"")</f>
        <v/>
      </c>
      <c r="AD63" s="175">
        <f t="shared" ca="1" si="135"/>
        <v>0</v>
      </c>
      <c r="AE63" s="175" t="str">
        <f t="shared" ca="1" si="174"/>
        <v/>
      </c>
      <c r="AF63" s="169" t="str">
        <f t="shared" ca="1" si="98"/>
        <v/>
      </c>
      <c r="AG63" s="169" t="str">
        <f t="array" aca="1" ref="AG63" ca="1">IF(ROWS($9:62)&lt;=COUNTIF(Condition6,"o"),INDEX(Liste6,SMALL(IF(Condition6="o",ROW(INDIRECT("1:"&amp;ROWS(Liste6)))),ROWS($9:62))),"")</f>
        <v/>
      </c>
      <c r="AH63" s="175">
        <f t="shared" ca="1" si="136"/>
        <v>0</v>
      </c>
      <c r="AI63" s="175" t="str">
        <f t="shared" ca="1" si="175"/>
        <v/>
      </c>
      <c r="AJ63" s="169" t="str">
        <f t="shared" ca="1" si="99"/>
        <v/>
      </c>
      <c r="AK63" s="169" t="str">
        <f t="array" aca="1" ref="AK63" ca="1">IF(ROWS($9:62)&lt;=COUNTIF(Condition7,"o"),INDEX(Liste7,SMALL(IF(Condition7="o",ROW(INDIRECT("1:"&amp;ROWS(Liste7)))),ROWS($9:62))),"")</f>
        <v/>
      </c>
      <c r="AL63" s="175">
        <f t="shared" ca="1" si="137"/>
        <v>0</v>
      </c>
      <c r="AM63" s="175" t="str">
        <f t="shared" ca="1" si="176"/>
        <v/>
      </c>
      <c r="AN63" s="169" t="str">
        <f t="shared" ca="1" si="100"/>
        <v/>
      </c>
      <c r="AO63" s="169" t="str">
        <f t="array" aca="1" ref="AO63" ca="1">IF(ROWS($9:62)&lt;=COUNTIF(Condition8,"o"),INDEX(Liste8,SMALL(IF(Condition8="o",ROW(INDIRECT("1:"&amp;ROWS(Liste8)))),ROWS($9:62))),"")</f>
        <v/>
      </c>
      <c r="AP63" s="175">
        <f t="shared" ca="1" si="138"/>
        <v>0</v>
      </c>
      <c r="AQ63" s="175" t="str">
        <f t="shared" ca="1" si="177"/>
        <v/>
      </c>
      <c r="AR63" s="169" t="str">
        <f t="shared" ca="1" si="101"/>
        <v/>
      </c>
      <c r="AS63" s="169" t="str">
        <f t="array" aca="1" ref="AS63" ca="1">IF(ROWS($9:62)&lt;=COUNTIF(Condition9,"o"),INDEX(Liste9,SMALL(IF(Condition9="o",ROW(INDIRECT("1:"&amp;ROWS(Liste9)))),ROWS($9:62))),"")</f>
        <v/>
      </c>
      <c r="AT63" s="175">
        <f t="shared" ca="1" si="139"/>
        <v>0</v>
      </c>
      <c r="AU63" s="175" t="str">
        <f t="shared" ca="1" si="178"/>
        <v/>
      </c>
      <c r="AV63" s="169" t="str">
        <f t="shared" ca="1" si="102"/>
        <v/>
      </c>
      <c r="AW63" s="169" t="str">
        <f t="array" aca="1" ref="AW63" ca="1">IF(ROWS($9:62)&lt;=COUNTIF(Condition10,"o"),INDEX(Liste10,SMALL(IF(Condition10="o",ROW(INDIRECT("1:"&amp;ROWS(Liste10)))),ROWS($9:62))),"")</f>
        <v/>
      </c>
      <c r="AX63" s="175">
        <f t="shared" ca="1" si="140"/>
        <v>0</v>
      </c>
      <c r="AY63" s="175" t="str">
        <f t="shared" ca="1" si="179"/>
        <v/>
      </c>
      <c r="AZ63" s="169" t="str">
        <f t="shared" ca="1" si="103"/>
        <v/>
      </c>
      <c r="BA63" s="169" t="str">
        <f t="array" aca="1" ref="BA63" ca="1">IF(ROWS($9:62)&lt;=COUNTIF(Condition11,"o"),INDEX(Liste11,SMALL(IF(Condition11="o",ROW(INDIRECT("1:"&amp;ROWS(Liste11)))),ROWS($9:62))),"")</f>
        <v/>
      </c>
      <c r="BB63" s="175">
        <f t="shared" ca="1" si="141"/>
        <v>0</v>
      </c>
      <c r="BC63" s="175" t="str">
        <f t="shared" ca="1" si="180"/>
        <v/>
      </c>
      <c r="BD63" s="169" t="str">
        <f t="shared" ca="1" si="104"/>
        <v/>
      </c>
      <c r="BE63" s="169" t="str">
        <f t="array" aca="1" ref="BE63" ca="1">IF(ROWS($9:62)&lt;=COUNTIF(Condition12,"o"),INDEX(Liste12,SMALL(IF(Condition12="o",ROW(INDIRECT("1:"&amp;ROWS(Liste12)))),ROWS($9:62))),"")</f>
        <v/>
      </c>
      <c r="BF63" s="175">
        <f t="shared" ca="1" si="142"/>
        <v>0</v>
      </c>
      <c r="BG63" s="175" t="str">
        <f t="shared" ca="1" si="181"/>
        <v/>
      </c>
      <c r="BH63" s="169" t="str">
        <f t="shared" ca="1" si="105"/>
        <v/>
      </c>
      <c r="BI63" s="169" t="str">
        <f t="array" aca="1" ref="BI63" ca="1">IF(ROWS($9:62)&lt;=COUNTIF(Condition13,"o"),INDEX(Liste13,SMALL(IF(Condition13="o",ROW(INDIRECT("1:"&amp;ROWS(Liste13)))),ROWS($9:62))),"")</f>
        <v/>
      </c>
      <c r="BJ63" s="175">
        <f t="shared" ca="1" si="143"/>
        <v>0</v>
      </c>
      <c r="BK63" s="175" t="str">
        <f t="shared" ca="1" si="182"/>
        <v/>
      </c>
      <c r="BL63" s="169" t="str">
        <f t="shared" ca="1" si="106"/>
        <v/>
      </c>
      <c r="BM63" s="169" t="str">
        <f t="array" aca="1" ref="BM63" ca="1">IF(ROWS($9:62)&lt;=COUNTIF(Condition14,"o"),INDEX(Liste14,SMALL(IF(Condition14="o",ROW(INDIRECT("1:"&amp;ROWS(Liste14)))),ROWS($9:62))),"")</f>
        <v/>
      </c>
      <c r="BN63" s="175">
        <f t="shared" ca="1" si="144"/>
        <v>0</v>
      </c>
      <c r="BO63" s="175" t="str">
        <f t="shared" ca="1" si="183"/>
        <v/>
      </c>
      <c r="BP63" s="169" t="str">
        <f t="shared" ca="1" si="107"/>
        <v/>
      </c>
      <c r="BQ63" s="169" t="str">
        <f t="array" aca="1" ref="BQ63" ca="1">IF(ROWS($9:62)&lt;=COUNTIF(Condition15,"o"),INDEX(Liste15,SMALL(IF(Condition15="o",ROW(INDIRECT("1:"&amp;ROWS(Liste15)))),ROWS($9:62))),"")</f>
        <v/>
      </c>
      <c r="BR63" s="175">
        <f t="shared" ca="1" si="145"/>
        <v>0</v>
      </c>
      <c r="BS63" s="175" t="str">
        <f t="shared" ca="1" si="184"/>
        <v/>
      </c>
      <c r="BT63" s="169" t="str">
        <f t="shared" ca="1" si="108"/>
        <v/>
      </c>
      <c r="BU63" s="169" t="str">
        <f t="array" aca="1" ref="BU63" ca="1">IF(ROWS($9:62)&lt;=COUNTIF(Condition16,"o"),INDEX(Liste16,SMALL(IF(Condition16="o",ROW(INDIRECT("1:"&amp;ROWS(Liste16)))),ROWS($9:62))),"")</f>
        <v/>
      </c>
      <c r="BV63" s="175">
        <f t="shared" ca="1" si="146"/>
        <v>0</v>
      </c>
      <c r="BW63" s="175" t="str">
        <f t="shared" ca="1" si="185"/>
        <v/>
      </c>
      <c r="BX63" s="169" t="str">
        <f t="shared" ca="1" si="109"/>
        <v/>
      </c>
      <c r="BY63" s="169" t="str">
        <f t="array" aca="1" ref="BY63" ca="1">IF(ROWS($9:62)&lt;=COUNTIF(Condition17,"o"),INDEX(Liste17,SMALL(IF(Condition17="o",ROW(INDIRECT("1:"&amp;ROWS(Liste17)))),ROWS($9:62))),"")</f>
        <v/>
      </c>
      <c r="BZ63" s="175">
        <f t="shared" ca="1" si="147"/>
        <v>0</v>
      </c>
      <c r="CA63" s="175" t="str">
        <f t="shared" ca="1" si="186"/>
        <v/>
      </c>
      <c r="CB63" s="169" t="str">
        <f t="shared" ca="1" si="110"/>
        <v/>
      </c>
      <c r="CC63" s="169" t="str">
        <f t="array" aca="1" ref="CC63" ca="1">IF(ROWS($9:62)&lt;=COUNTIF(Condition18,"o"),INDEX(Liste18,SMALL(IF(Condition18="o",ROW(INDIRECT("1:"&amp;ROWS(Liste18)))),ROWS($9:62))),"")</f>
        <v/>
      </c>
      <c r="CD63" s="175">
        <f t="shared" ca="1" si="148"/>
        <v>0</v>
      </c>
      <c r="CE63" s="175" t="str">
        <f t="shared" ca="1" si="187"/>
        <v/>
      </c>
      <c r="CF63" s="169" t="str">
        <f t="shared" ca="1" si="111"/>
        <v/>
      </c>
      <c r="CG63" s="169" t="str">
        <f t="array" aca="1" ref="CG63" ca="1">IF(ROWS($9:62)&lt;=COUNTIF(Condition19,"o"),INDEX(Liste19,SMALL(IF(Condition19="o",ROW(INDIRECT("1:"&amp;ROWS(Liste19)))),ROWS($9:62))),"")</f>
        <v/>
      </c>
      <c r="CH63" s="175">
        <f t="shared" ca="1" si="149"/>
        <v>0</v>
      </c>
      <c r="CI63" s="175" t="str">
        <f t="shared" ca="1" si="188"/>
        <v/>
      </c>
      <c r="CJ63" s="169" t="str">
        <f t="shared" ca="1" si="112"/>
        <v/>
      </c>
      <c r="CK63" s="169" t="str">
        <f t="array" aca="1" ref="CK63" ca="1">IF(ROWS($9:62)&lt;=COUNTIF(Condition20,"o"),INDEX(Liste20,SMALL(IF(Condition20="o",ROW(INDIRECT("1:"&amp;ROWS(Liste20)))),ROWS($9:62))),"")</f>
        <v/>
      </c>
      <c r="CL63" s="175">
        <f t="shared" ca="1" si="150"/>
        <v>0</v>
      </c>
      <c r="CM63" s="175" t="str">
        <f t="shared" ca="1" si="189"/>
        <v/>
      </c>
      <c r="CN63" s="169" t="str">
        <f t="shared" ca="1" si="113"/>
        <v/>
      </c>
      <c r="CO63" s="169" t="str">
        <f t="array" aca="1" ref="CO63" ca="1">IF(ROWS($9:62)&lt;=COUNTIF(Condition21,"o"),INDEX(Liste21,SMALL(IF(Condition21="o",ROW(INDIRECT("1:"&amp;ROWS(Liste21)))),ROWS($9:62))),"")</f>
        <v/>
      </c>
      <c r="CP63" s="175">
        <f t="shared" ca="1" si="151"/>
        <v>0</v>
      </c>
      <c r="CQ63" s="175" t="str">
        <f t="shared" ca="1" si="190"/>
        <v/>
      </c>
      <c r="CR63" s="169" t="str">
        <f t="shared" ca="1" si="114"/>
        <v/>
      </c>
      <c r="CS63" s="169" t="str">
        <f t="array" aca="1" ref="CS63" ca="1">IF(ROWS($9:62)&lt;=COUNTIF(Condition22,"o"),INDEX(Liste22,SMALL(IF(Condition22="o",ROW(INDIRECT("1:"&amp;ROWS(Liste22)))),ROWS($9:62))),"")</f>
        <v/>
      </c>
      <c r="CT63" s="175">
        <f t="shared" ca="1" si="152"/>
        <v>0</v>
      </c>
      <c r="CU63" s="175" t="str">
        <f t="shared" ca="1" si="191"/>
        <v/>
      </c>
      <c r="CV63" s="169" t="str">
        <f t="shared" ca="1" si="115"/>
        <v/>
      </c>
      <c r="CW63" s="169" t="str">
        <f t="array" aca="1" ref="CW63" ca="1">IF(ROWS($9:62)&lt;=COUNTIF(Condition23,"o"),INDEX(Liste23,SMALL(IF(Condition23="o",ROW(INDIRECT("1:"&amp;ROWS(Liste23)))),ROWS($9:62))),"")</f>
        <v/>
      </c>
      <c r="CX63" s="175">
        <f t="shared" ca="1" si="153"/>
        <v>0</v>
      </c>
      <c r="CY63" s="175" t="str">
        <f t="shared" ca="1" si="192"/>
        <v/>
      </c>
      <c r="CZ63" s="169" t="str">
        <f t="shared" ca="1" si="116"/>
        <v/>
      </c>
      <c r="DA63" s="169" t="str">
        <f t="array" aca="1" ref="DA63" ca="1">IF(ROWS($9:62)&lt;=COUNTIF(Condition24,"o"),INDEX(Liste24,SMALL(IF(Condition24="o",ROW(INDIRECT("1:"&amp;ROWS(Liste24)))),ROWS($9:62))),"")</f>
        <v/>
      </c>
      <c r="DB63" s="175">
        <f t="shared" ca="1" si="154"/>
        <v>0</v>
      </c>
      <c r="DC63" s="175" t="str">
        <f t="shared" ca="1" si="193"/>
        <v/>
      </c>
      <c r="DD63" s="169" t="str">
        <f t="shared" ca="1" si="117"/>
        <v/>
      </c>
      <c r="DE63" s="169" t="str">
        <f t="array" aca="1" ref="DE63" ca="1">IF(ROWS($9:62)&lt;=COUNTIF(Condition25,"o"),INDEX(Liste25,SMALL(IF(Condition25="o",ROW(INDIRECT("1:"&amp;ROWS(Liste25)))),ROWS($9:62))),"")</f>
        <v/>
      </c>
      <c r="DF63" s="175">
        <f t="shared" ca="1" si="155"/>
        <v>0</v>
      </c>
      <c r="DG63" s="175" t="str">
        <f t="shared" ca="1" si="194"/>
        <v/>
      </c>
      <c r="DH63" s="169" t="str">
        <f t="shared" ca="1" si="118"/>
        <v/>
      </c>
      <c r="DI63" s="169" t="str">
        <f t="array" aca="1" ref="DI63" ca="1">IF(ROWS($9:62)&lt;=COUNTIF(Condition26,"o"),INDEX(Liste26,SMALL(IF(Condition26="o",ROW(INDIRECT("1:"&amp;ROWS(Liste26)))),ROWS($9:62))),"")</f>
        <v/>
      </c>
      <c r="DJ63" s="175">
        <f t="shared" ca="1" si="156"/>
        <v>0</v>
      </c>
      <c r="DK63" s="175" t="str">
        <f t="shared" ca="1" si="195"/>
        <v/>
      </c>
      <c r="DL63" s="169" t="str">
        <f t="shared" ca="1" si="119"/>
        <v/>
      </c>
      <c r="DM63" s="169" t="str">
        <f t="array" aca="1" ref="DM63" ca="1">IF(ROWS($9:62)&lt;=COUNTIF(Condition27,"o"),INDEX(Liste27,SMALL(IF(Condition27="o",ROW(INDIRECT("1:"&amp;ROWS(Liste27)))),ROWS($9:62))),"")</f>
        <v/>
      </c>
      <c r="DN63" s="175">
        <f t="shared" ca="1" si="157"/>
        <v>0</v>
      </c>
      <c r="DO63" s="175" t="str">
        <f t="shared" ca="1" si="196"/>
        <v/>
      </c>
      <c r="DP63" s="169" t="str">
        <f t="shared" ca="1" si="120"/>
        <v/>
      </c>
      <c r="DQ63" s="169" t="str">
        <f t="array" aca="1" ref="DQ63" ca="1">IF(ROWS($9:62)&lt;=COUNTIF(Condition28,"o"),INDEX(Liste28,SMALL(IF(Condition28="o",ROW(INDIRECT("1:"&amp;ROWS(Liste28)))),ROWS($9:62))),"")</f>
        <v/>
      </c>
      <c r="DR63" s="175">
        <f t="shared" ca="1" si="158"/>
        <v>0</v>
      </c>
      <c r="DS63" s="175" t="str">
        <f t="shared" ca="1" si="197"/>
        <v/>
      </c>
      <c r="DT63" s="169" t="str">
        <f t="shared" ca="1" si="121"/>
        <v/>
      </c>
      <c r="DU63" s="169" t="str">
        <f t="array" aca="1" ref="DU63" ca="1">IF(ROWS($9:62)&lt;=COUNTIF(Condition29,"o"),INDEX(Liste29,SMALL(IF(Condition29="o",ROW(INDIRECT("1:"&amp;ROWS(Liste29)))),ROWS($9:62))),"")</f>
        <v/>
      </c>
      <c r="DV63" s="175">
        <f t="shared" ca="1" si="159"/>
        <v>0</v>
      </c>
      <c r="DW63" s="175" t="str">
        <f t="shared" ca="1" si="198"/>
        <v/>
      </c>
      <c r="DX63" s="169" t="str">
        <f t="shared" ca="1" si="122"/>
        <v/>
      </c>
      <c r="DY63" s="169" t="str">
        <f t="array" aca="1" ref="DY63" ca="1">IF(ROWS($9:62)&lt;=COUNTIF(Condition30,"o"),INDEX(Liste30,SMALL(IF(Condition30="o",ROW(INDIRECT("1:"&amp;ROWS(Liste30)))),ROWS($9:62))),"")</f>
        <v/>
      </c>
      <c r="DZ63" s="175">
        <f t="shared" ca="1" si="160"/>
        <v>0</v>
      </c>
      <c r="EA63" s="175" t="str">
        <f t="shared" ca="1" si="199"/>
        <v/>
      </c>
      <c r="EB63" s="169" t="str">
        <f t="shared" ca="1" si="123"/>
        <v/>
      </c>
      <c r="EC63" s="169" t="str">
        <f t="array" aca="1" ref="EC63" ca="1">IF(ROWS($9:62)&lt;=COUNTIF(Condition31,"o"),INDEX(Liste31,SMALL(IF(Condition31="o",ROW(INDIRECT("1:"&amp;ROWS(Liste31)))),ROWS($9:62))),"")</f>
        <v/>
      </c>
      <c r="ED63" s="175">
        <f t="shared" ca="1" si="161"/>
        <v>0</v>
      </c>
      <c r="EE63" s="175" t="str">
        <f t="shared" ca="1" si="200"/>
        <v/>
      </c>
      <c r="EF63" s="169" t="str">
        <f t="shared" ca="1" si="124"/>
        <v/>
      </c>
      <c r="EG63" s="169" t="str">
        <f t="array" aca="1" ref="EG63" ca="1">IF(ROWS($9:62)&lt;=COUNTIF(Condition32,"o"),INDEX(Liste32,SMALL(IF(Condition32="o",ROW(INDIRECT("1:"&amp;ROWS(Liste32)))),ROWS($9:62))),"")</f>
        <v/>
      </c>
      <c r="EH63" s="175">
        <f t="shared" ca="1" si="162"/>
        <v>0</v>
      </c>
      <c r="EI63" s="175" t="str">
        <f t="shared" ca="1" si="201"/>
        <v/>
      </c>
      <c r="EJ63" s="169" t="str">
        <f t="shared" ca="1" si="125"/>
        <v/>
      </c>
      <c r="EK63" s="169" t="str">
        <f t="array" aca="1" ref="EK63" ca="1">IF(ROWS($9:62)&lt;=COUNTIF(Condition33,"o"),INDEX(Liste33,SMALL(IF(Condition33="o",ROW(INDIRECT("1:"&amp;ROWS(Liste33)))),ROWS($9:62))),"")</f>
        <v/>
      </c>
      <c r="EL63" s="175">
        <f t="shared" ca="1" si="163"/>
        <v>0</v>
      </c>
      <c r="EM63" s="175" t="str">
        <f t="shared" ca="1" si="202"/>
        <v/>
      </c>
      <c r="EN63" s="169" t="str">
        <f t="shared" ca="1" si="126"/>
        <v/>
      </c>
      <c r="EO63" s="169" t="str">
        <f t="array" aca="1" ref="EO63" ca="1">IF(ROWS($9:62)&lt;=COUNTIF(Condition34,"o"),INDEX(Liste34,SMALL(IF(Condition34="o",ROW(INDIRECT("1:"&amp;ROWS(Liste34)))),ROWS($9:62))),"")</f>
        <v/>
      </c>
      <c r="EP63" s="175">
        <f t="shared" ca="1" si="164"/>
        <v>0</v>
      </c>
      <c r="EQ63" s="175" t="str">
        <f t="shared" ca="1" si="203"/>
        <v/>
      </c>
      <c r="ER63" s="169" t="str">
        <f t="shared" ca="1" si="127"/>
        <v/>
      </c>
      <c r="ES63" s="169" t="str">
        <f t="array" aca="1" ref="ES63" ca="1">IF(ROWS($9:62)&lt;=COUNTIF(Condition35,"o"),INDEX(Liste35,SMALL(IF(Condition35="o",ROW(INDIRECT("1:"&amp;ROWS(Liste35)))),ROWS($9:62))),"")</f>
        <v/>
      </c>
      <c r="ET63" s="175">
        <f t="shared" ca="1" si="165"/>
        <v>0</v>
      </c>
      <c r="EU63" s="175" t="str">
        <f t="shared" ca="1" si="204"/>
        <v/>
      </c>
      <c r="EV63" s="169" t="str">
        <f t="shared" ca="1" si="128"/>
        <v/>
      </c>
      <c r="EW63" s="169" t="str">
        <f t="array" aca="1" ref="EW63" ca="1">IF(ROWS($9:62)&lt;=COUNTIF(Condition36,"o"),INDEX(Liste36,SMALL(IF(Condition36="o",ROW(INDIRECT("1:"&amp;ROWS(Liste36)))),ROWS($9:62))),"")</f>
        <v/>
      </c>
      <c r="EX63" s="175">
        <f t="shared" ca="1" si="166"/>
        <v>0</v>
      </c>
      <c r="EY63" s="175" t="str">
        <f t="shared" ca="1" si="205"/>
        <v/>
      </c>
      <c r="EZ63" s="169" t="str">
        <f t="shared" ca="1" si="85"/>
        <v/>
      </c>
      <c r="FA63" s="169" t="str">
        <f t="array" aca="1" ref="FA63" ca="1">IF(ROWS($9:62)&lt;=COUNTIF(Condition36,"o"),INDEX(Liste36,SMALL(IF(Condition36="o",ROW(INDIRECT("1:"&amp;ROWS(Liste36)))),ROWS($9:62))),"")</f>
        <v/>
      </c>
      <c r="FB63" s="175">
        <f t="shared" ca="1" si="167"/>
        <v>0</v>
      </c>
      <c r="FC63" s="175" t="str">
        <f t="shared" ca="1" si="206"/>
        <v/>
      </c>
      <c r="FD63" s="169" t="str">
        <f t="shared" ca="1" si="86"/>
        <v/>
      </c>
      <c r="FE63" s="175">
        <f t="shared" si="168"/>
        <v>0</v>
      </c>
      <c r="FF63" s="175">
        <f t="shared" ca="1" si="168"/>
        <v>0</v>
      </c>
      <c r="FG63" s="175" t="str">
        <f t="shared" ca="1" si="207"/>
        <v/>
      </c>
      <c r="FH63" s="169" t="str">
        <f t="shared" ca="1" si="87"/>
        <v/>
      </c>
      <c r="FI63" s="169" t="str">
        <f t="array" aca="1" ref="FI63" ca="1">IF(ROWS($9:62)&lt;=COUNTIF(Condition39,"o"),INDEX(Liste39,SMALL(IF(Condition39="o",ROW(INDIRECT("1:"&amp;ROWS(Liste39)))),ROWS($9:62))),"")</f>
        <v/>
      </c>
      <c r="FO63" s="288"/>
      <c r="FQ63" s="289"/>
      <c r="FR63" s="288"/>
      <c r="FS63" s="290"/>
      <c r="FT63" s="291"/>
      <c r="FU63" s="288"/>
      <c r="FV63" s="290"/>
      <c r="FW63" s="291"/>
      <c r="FX63" s="288"/>
      <c r="FY63" s="290"/>
      <c r="FZ63" s="291"/>
      <c r="GA63" s="292"/>
      <c r="GB63" s="291"/>
      <c r="GC63" s="291"/>
      <c r="GD63" s="292"/>
      <c r="GE63" s="291"/>
      <c r="GF63" s="284"/>
      <c r="GG63" s="233"/>
    </row>
    <row r="64" spans="1:189">
      <c r="A64" s="1" t="s">
        <v>776</v>
      </c>
      <c r="B64" s="1">
        <f t="shared" si="208"/>
        <v>11</v>
      </c>
      <c r="C64" s="1">
        <f t="shared" ca="1" si="208"/>
        <v>0</v>
      </c>
      <c r="D64" s="1">
        <f t="shared" ca="1" si="208"/>
        <v>0</v>
      </c>
      <c r="E64" s="1" t="str">
        <f ca="1">Actions!K12</f>
        <v>-</v>
      </c>
      <c r="F64" s="1" t="str">
        <f t="shared" ca="1" si="0"/>
        <v>-</v>
      </c>
      <c r="G64" s="1" t="e">
        <f t="shared" ca="1" si="209"/>
        <v>#REF!</v>
      </c>
      <c r="I64" s="1">
        <v>56</v>
      </c>
      <c r="J64" s="175">
        <f t="shared" ca="1" si="130"/>
        <v>0</v>
      </c>
      <c r="K64" s="175" t="str">
        <f t="shared" ca="1" si="169"/>
        <v/>
      </c>
      <c r="L64" s="169" t="str">
        <f t="shared" ca="1" si="93"/>
        <v/>
      </c>
      <c r="M64" s="169" t="str">
        <f t="array" aca="1" ref="M64" ca="1">IF(ROWS($9:63)&lt;=COUNTIF(Condition1,"o"),INDEX(Liste1,SMALL(IF(Condition1="o",ROW(INDIRECT("1:"&amp;ROWS(Liste1)))),ROWS($9:63))),"")</f>
        <v/>
      </c>
      <c r="N64" s="175">
        <f t="shared" ca="1" si="131"/>
        <v>0</v>
      </c>
      <c r="O64" s="175" t="str">
        <f t="shared" ca="1" si="170"/>
        <v/>
      </c>
      <c r="P64" s="169" t="str">
        <f t="shared" ca="1" si="94"/>
        <v/>
      </c>
      <c r="Q64" s="169" t="str">
        <f t="array" aca="1" ref="Q64" ca="1">IF(ROWS($9:63)&lt;=COUNTIF(Condition2,"o"),INDEX(Liste2,SMALL(IF(Condition2="o",ROW(INDIRECT("1:"&amp;ROWS(Liste2)))),ROWS($9:63))),"")</f>
        <v/>
      </c>
      <c r="R64" s="175">
        <f t="shared" ca="1" si="132"/>
        <v>0</v>
      </c>
      <c r="S64" s="175" t="str">
        <f t="shared" ca="1" si="171"/>
        <v/>
      </c>
      <c r="T64" s="169" t="str">
        <f t="shared" ca="1" si="95"/>
        <v/>
      </c>
      <c r="U64" s="169" t="str">
        <f t="array" aca="1" ref="U64" ca="1">IF(ROWS($9:63)&lt;=COUNTIF(Condition3,"o"),INDEX(Liste3,SMALL(IF(Condition3="o",ROW(INDIRECT("1:"&amp;ROWS(Liste3)))),ROWS($9:63))),"")</f>
        <v/>
      </c>
      <c r="V64" s="175">
        <f t="shared" ca="1" si="133"/>
        <v>0</v>
      </c>
      <c r="W64" s="175" t="str">
        <f t="shared" ca="1" si="172"/>
        <v/>
      </c>
      <c r="X64" s="169" t="str">
        <f t="shared" ca="1" si="96"/>
        <v/>
      </c>
      <c r="Y64" s="169" t="str">
        <f t="array" aca="1" ref="Y64" ca="1">IF(ROWS($9:63)&lt;=COUNTIF(Condition4,"o"),INDEX(Liste4,SMALL(IF(Condition4="o",ROW(INDIRECT("1:"&amp;ROWS(Liste4)))),ROWS($9:63))),"")</f>
        <v/>
      </c>
      <c r="Z64" s="175">
        <f t="shared" ca="1" si="134"/>
        <v>0</v>
      </c>
      <c r="AA64" s="175" t="str">
        <f t="shared" ca="1" si="173"/>
        <v/>
      </c>
      <c r="AB64" s="169" t="str">
        <f t="shared" ca="1" si="97"/>
        <v/>
      </c>
      <c r="AC64" s="169" t="str">
        <f t="array" aca="1" ref="AC64" ca="1">IF(ROWS($9:63)&lt;=COUNTIF(Condition5,"o"),INDEX(Liste5,SMALL(IF(Condition5="o",ROW(INDIRECT("1:"&amp;ROWS(Liste5)))),ROWS($9:63))),"")</f>
        <v/>
      </c>
      <c r="AD64" s="175">
        <f t="shared" ca="1" si="135"/>
        <v>0</v>
      </c>
      <c r="AE64" s="175" t="str">
        <f t="shared" ca="1" si="174"/>
        <v/>
      </c>
      <c r="AF64" s="169" t="str">
        <f t="shared" ca="1" si="98"/>
        <v/>
      </c>
      <c r="AG64" s="169" t="str">
        <f t="array" aca="1" ref="AG64" ca="1">IF(ROWS($9:63)&lt;=COUNTIF(Condition6,"o"),INDEX(Liste6,SMALL(IF(Condition6="o",ROW(INDIRECT("1:"&amp;ROWS(Liste6)))),ROWS($9:63))),"")</f>
        <v/>
      </c>
      <c r="AH64" s="175">
        <f t="shared" ca="1" si="136"/>
        <v>0</v>
      </c>
      <c r="AI64" s="175" t="str">
        <f t="shared" ca="1" si="175"/>
        <v/>
      </c>
      <c r="AJ64" s="169" t="str">
        <f t="shared" ca="1" si="99"/>
        <v/>
      </c>
      <c r="AK64" s="169" t="str">
        <f t="array" aca="1" ref="AK64" ca="1">IF(ROWS($9:63)&lt;=COUNTIF(Condition7,"o"),INDEX(Liste7,SMALL(IF(Condition7="o",ROW(INDIRECT("1:"&amp;ROWS(Liste7)))),ROWS($9:63))),"")</f>
        <v/>
      </c>
      <c r="AL64" s="175">
        <f t="shared" ca="1" si="137"/>
        <v>0</v>
      </c>
      <c r="AM64" s="175" t="str">
        <f t="shared" ca="1" si="176"/>
        <v/>
      </c>
      <c r="AN64" s="169" t="str">
        <f t="shared" ca="1" si="100"/>
        <v/>
      </c>
      <c r="AO64" s="169" t="str">
        <f t="array" aca="1" ref="AO64" ca="1">IF(ROWS($9:63)&lt;=COUNTIF(Condition8,"o"),INDEX(Liste8,SMALL(IF(Condition8="o",ROW(INDIRECT("1:"&amp;ROWS(Liste8)))),ROWS($9:63))),"")</f>
        <v/>
      </c>
      <c r="AP64" s="175">
        <f t="shared" ca="1" si="138"/>
        <v>0</v>
      </c>
      <c r="AQ64" s="175" t="str">
        <f t="shared" ca="1" si="177"/>
        <v/>
      </c>
      <c r="AR64" s="169" t="str">
        <f t="shared" ca="1" si="101"/>
        <v/>
      </c>
      <c r="AS64" s="169" t="str">
        <f t="array" aca="1" ref="AS64" ca="1">IF(ROWS($9:63)&lt;=COUNTIF(Condition9,"o"),INDEX(Liste9,SMALL(IF(Condition9="o",ROW(INDIRECT("1:"&amp;ROWS(Liste9)))),ROWS($9:63))),"")</f>
        <v/>
      </c>
      <c r="AT64" s="175">
        <f t="shared" ca="1" si="139"/>
        <v>0</v>
      </c>
      <c r="AU64" s="175" t="str">
        <f t="shared" ca="1" si="178"/>
        <v/>
      </c>
      <c r="AV64" s="169" t="str">
        <f t="shared" ca="1" si="102"/>
        <v/>
      </c>
      <c r="AW64" s="169" t="str">
        <f t="array" aca="1" ref="AW64" ca="1">IF(ROWS($9:63)&lt;=COUNTIF(Condition10,"o"),INDEX(Liste10,SMALL(IF(Condition10="o",ROW(INDIRECT("1:"&amp;ROWS(Liste10)))),ROWS($9:63))),"")</f>
        <v/>
      </c>
      <c r="AX64" s="175">
        <f t="shared" ca="1" si="140"/>
        <v>0</v>
      </c>
      <c r="AY64" s="175" t="str">
        <f t="shared" ca="1" si="179"/>
        <v/>
      </c>
      <c r="AZ64" s="169" t="str">
        <f t="shared" ca="1" si="103"/>
        <v/>
      </c>
      <c r="BA64" s="169" t="str">
        <f t="array" aca="1" ref="BA64" ca="1">IF(ROWS($9:63)&lt;=COUNTIF(Condition11,"o"),INDEX(Liste11,SMALL(IF(Condition11="o",ROW(INDIRECT("1:"&amp;ROWS(Liste11)))),ROWS($9:63))),"")</f>
        <v/>
      </c>
      <c r="BB64" s="175">
        <f t="shared" ca="1" si="141"/>
        <v>0</v>
      </c>
      <c r="BC64" s="175" t="str">
        <f t="shared" ca="1" si="180"/>
        <v/>
      </c>
      <c r="BD64" s="169" t="str">
        <f t="shared" ca="1" si="104"/>
        <v/>
      </c>
      <c r="BE64" s="169" t="str">
        <f t="array" aca="1" ref="BE64" ca="1">IF(ROWS($9:63)&lt;=COUNTIF(Condition12,"o"),INDEX(Liste12,SMALL(IF(Condition12="o",ROW(INDIRECT("1:"&amp;ROWS(Liste12)))),ROWS($9:63))),"")</f>
        <v/>
      </c>
      <c r="BF64" s="175">
        <f t="shared" ca="1" si="142"/>
        <v>0</v>
      </c>
      <c r="BG64" s="175" t="str">
        <f t="shared" ca="1" si="181"/>
        <v/>
      </c>
      <c r="BH64" s="169" t="str">
        <f t="shared" ca="1" si="105"/>
        <v/>
      </c>
      <c r="BI64" s="169" t="str">
        <f t="array" aca="1" ref="BI64" ca="1">IF(ROWS($9:63)&lt;=COUNTIF(Condition13,"o"),INDEX(Liste13,SMALL(IF(Condition13="o",ROW(INDIRECT("1:"&amp;ROWS(Liste13)))),ROWS($9:63))),"")</f>
        <v/>
      </c>
      <c r="BJ64" s="175">
        <f t="shared" ca="1" si="143"/>
        <v>0</v>
      </c>
      <c r="BK64" s="175" t="str">
        <f t="shared" ca="1" si="182"/>
        <v/>
      </c>
      <c r="BL64" s="169" t="str">
        <f t="shared" ca="1" si="106"/>
        <v/>
      </c>
      <c r="BM64" s="169" t="str">
        <f t="array" aca="1" ref="BM64" ca="1">IF(ROWS($9:63)&lt;=COUNTIF(Condition14,"o"),INDEX(Liste14,SMALL(IF(Condition14="o",ROW(INDIRECT("1:"&amp;ROWS(Liste14)))),ROWS($9:63))),"")</f>
        <v/>
      </c>
      <c r="BN64" s="175">
        <f t="shared" ca="1" si="144"/>
        <v>0</v>
      </c>
      <c r="BO64" s="175" t="str">
        <f t="shared" ca="1" si="183"/>
        <v/>
      </c>
      <c r="BP64" s="169" t="str">
        <f t="shared" ca="1" si="107"/>
        <v/>
      </c>
      <c r="BQ64" s="169" t="str">
        <f t="array" aca="1" ref="BQ64" ca="1">IF(ROWS($9:63)&lt;=COUNTIF(Condition15,"o"),INDEX(Liste15,SMALL(IF(Condition15="o",ROW(INDIRECT("1:"&amp;ROWS(Liste15)))),ROWS($9:63))),"")</f>
        <v/>
      </c>
      <c r="BR64" s="175">
        <f t="shared" ca="1" si="145"/>
        <v>0</v>
      </c>
      <c r="BS64" s="175" t="str">
        <f t="shared" ca="1" si="184"/>
        <v/>
      </c>
      <c r="BT64" s="169" t="str">
        <f t="shared" ca="1" si="108"/>
        <v/>
      </c>
      <c r="BU64" s="169" t="str">
        <f t="array" aca="1" ref="BU64" ca="1">IF(ROWS($9:63)&lt;=COUNTIF(Condition16,"o"),INDEX(Liste16,SMALL(IF(Condition16="o",ROW(INDIRECT("1:"&amp;ROWS(Liste16)))),ROWS($9:63))),"")</f>
        <v/>
      </c>
      <c r="BV64" s="175">
        <f t="shared" ca="1" si="146"/>
        <v>0</v>
      </c>
      <c r="BW64" s="175" t="str">
        <f t="shared" ca="1" si="185"/>
        <v/>
      </c>
      <c r="BX64" s="169" t="str">
        <f t="shared" ca="1" si="109"/>
        <v/>
      </c>
      <c r="BY64" s="169" t="str">
        <f t="array" aca="1" ref="BY64" ca="1">IF(ROWS($9:63)&lt;=COUNTIF(Condition17,"o"),INDEX(Liste17,SMALL(IF(Condition17="o",ROW(INDIRECT("1:"&amp;ROWS(Liste17)))),ROWS($9:63))),"")</f>
        <v/>
      </c>
      <c r="BZ64" s="175">
        <f t="shared" ca="1" si="147"/>
        <v>0</v>
      </c>
      <c r="CA64" s="175" t="str">
        <f t="shared" ca="1" si="186"/>
        <v/>
      </c>
      <c r="CB64" s="169" t="str">
        <f t="shared" ca="1" si="110"/>
        <v/>
      </c>
      <c r="CC64" s="169" t="str">
        <f t="array" aca="1" ref="CC64" ca="1">IF(ROWS($9:63)&lt;=COUNTIF(Condition18,"o"),INDEX(Liste18,SMALL(IF(Condition18="o",ROW(INDIRECT("1:"&amp;ROWS(Liste18)))),ROWS($9:63))),"")</f>
        <v/>
      </c>
      <c r="CD64" s="175">
        <f t="shared" ca="1" si="148"/>
        <v>0</v>
      </c>
      <c r="CE64" s="175" t="str">
        <f t="shared" ca="1" si="187"/>
        <v/>
      </c>
      <c r="CF64" s="169" t="str">
        <f t="shared" ca="1" si="111"/>
        <v/>
      </c>
      <c r="CG64" s="169" t="str">
        <f t="array" aca="1" ref="CG64" ca="1">IF(ROWS($9:63)&lt;=COUNTIF(Condition19,"o"),INDEX(Liste19,SMALL(IF(Condition19="o",ROW(INDIRECT("1:"&amp;ROWS(Liste19)))),ROWS($9:63))),"")</f>
        <v/>
      </c>
      <c r="CH64" s="175">
        <f t="shared" ca="1" si="149"/>
        <v>0</v>
      </c>
      <c r="CI64" s="175" t="str">
        <f t="shared" ca="1" si="188"/>
        <v/>
      </c>
      <c r="CJ64" s="169" t="str">
        <f t="shared" ca="1" si="112"/>
        <v/>
      </c>
      <c r="CK64" s="169" t="str">
        <f t="array" aca="1" ref="CK64" ca="1">IF(ROWS($9:63)&lt;=COUNTIF(Condition20,"o"),INDEX(Liste20,SMALL(IF(Condition20="o",ROW(INDIRECT("1:"&amp;ROWS(Liste20)))),ROWS($9:63))),"")</f>
        <v/>
      </c>
      <c r="CL64" s="175">
        <f t="shared" ca="1" si="150"/>
        <v>0</v>
      </c>
      <c r="CM64" s="175" t="str">
        <f t="shared" ca="1" si="189"/>
        <v/>
      </c>
      <c r="CN64" s="169" t="str">
        <f t="shared" ca="1" si="113"/>
        <v/>
      </c>
      <c r="CO64" s="169" t="str">
        <f t="array" aca="1" ref="CO64" ca="1">IF(ROWS($9:63)&lt;=COUNTIF(Condition21,"o"),INDEX(Liste21,SMALL(IF(Condition21="o",ROW(INDIRECT("1:"&amp;ROWS(Liste21)))),ROWS($9:63))),"")</f>
        <v/>
      </c>
      <c r="CP64" s="175">
        <f t="shared" ca="1" si="151"/>
        <v>0</v>
      </c>
      <c r="CQ64" s="175" t="str">
        <f t="shared" ca="1" si="190"/>
        <v/>
      </c>
      <c r="CR64" s="169" t="str">
        <f t="shared" ca="1" si="114"/>
        <v/>
      </c>
      <c r="CS64" s="169" t="str">
        <f t="array" aca="1" ref="CS64" ca="1">IF(ROWS($9:63)&lt;=COUNTIF(Condition22,"o"),INDEX(Liste22,SMALL(IF(Condition22="o",ROW(INDIRECT("1:"&amp;ROWS(Liste22)))),ROWS($9:63))),"")</f>
        <v/>
      </c>
      <c r="CT64" s="175">
        <f t="shared" ca="1" si="152"/>
        <v>0</v>
      </c>
      <c r="CU64" s="175" t="str">
        <f t="shared" ca="1" si="191"/>
        <v/>
      </c>
      <c r="CV64" s="169" t="str">
        <f t="shared" ca="1" si="115"/>
        <v/>
      </c>
      <c r="CW64" s="169" t="str">
        <f t="array" aca="1" ref="CW64" ca="1">IF(ROWS($9:63)&lt;=COUNTIF(Condition23,"o"),INDEX(Liste23,SMALL(IF(Condition23="o",ROW(INDIRECT("1:"&amp;ROWS(Liste23)))),ROWS($9:63))),"")</f>
        <v/>
      </c>
      <c r="CX64" s="175">
        <f t="shared" ca="1" si="153"/>
        <v>0</v>
      </c>
      <c r="CY64" s="175" t="str">
        <f t="shared" ca="1" si="192"/>
        <v/>
      </c>
      <c r="CZ64" s="169" t="str">
        <f t="shared" ca="1" si="116"/>
        <v/>
      </c>
      <c r="DA64" s="169" t="str">
        <f t="array" aca="1" ref="DA64" ca="1">IF(ROWS($9:63)&lt;=COUNTIF(Condition24,"o"),INDEX(Liste24,SMALL(IF(Condition24="o",ROW(INDIRECT("1:"&amp;ROWS(Liste24)))),ROWS($9:63))),"")</f>
        <v/>
      </c>
      <c r="DB64" s="175">
        <f t="shared" ca="1" si="154"/>
        <v>0</v>
      </c>
      <c r="DC64" s="175" t="str">
        <f t="shared" ca="1" si="193"/>
        <v/>
      </c>
      <c r="DD64" s="169" t="str">
        <f t="shared" ca="1" si="117"/>
        <v/>
      </c>
      <c r="DE64" s="169" t="str">
        <f t="array" aca="1" ref="DE64" ca="1">IF(ROWS($9:63)&lt;=COUNTIF(Condition25,"o"),INDEX(Liste25,SMALL(IF(Condition25="o",ROW(INDIRECT("1:"&amp;ROWS(Liste25)))),ROWS($9:63))),"")</f>
        <v/>
      </c>
      <c r="DF64" s="175">
        <f t="shared" ca="1" si="155"/>
        <v>0</v>
      </c>
      <c r="DG64" s="175" t="str">
        <f t="shared" ca="1" si="194"/>
        <v/>
      </c>
      <c r="DH64" s="169" t="str">
        <f t="shared" ca="1" si="118"/>
        <v/>
      </c>
      <c r="DI64" s="169" t="str">
        <f t="array" aca="1" ref="DI64" ca="1">IF(ROWS($9:63)&lt;=COUNTIF(Condition26,"o"),INDEX(Liste26,SMALL(IF(Condition26="o",ROW(INDIRECT("1:"&amp;ROWS(Liste26)))),ROWS($9:63))),"")</f>
        <v/>
      </c>
      <c r="DJ64" s="175">
        <f t="shared" ca="1" si="156"/>
        <v>0</v>
      </c>
      <c r="DK64" s="175" t="str">
        <f t="shared" ca="1" si="195"/>
        <v/>
      </c>
      <c r="DL64" s="169" t="str">
        <f t="shared" ca="1" si="119"/>
        <v/>
      </c>
      <c r="DM64" s="169" t="str">
        <f t="array" aca="1" ref="DM64" ca="1">IF(ROWS($9:63)&lt;=COUNTIF(Condition27,"o"),INDEX(Liste27,SMALL(IF(Condition27="o",ROW(INDIRECT("1:"&amp;ROWS(Liste27)))),ROWS($9:63))),"")</f>
        <v/>
      </c>
      <c r="DN64" s="175">
        <f t="shared" ca="1" si="157"/>
        <v>0</v>
      </c>
      <c r="DO64" s="175" t="str">
        <f t="shared" ca="1" si="196"/>
        <v/>
      </c>
      <c r="DP64" s="169" t="str">
        <f t="shared" ca="1" si="120"/>
        <v/>
      </c>
      <c r="DQ64" s="169" t="str">
        <f t="array" aca="1" ref="DQ64" ca="1">IF(ROWS($9:63)&lt;=COUNTIF(Condition28,"o"),INDEX(Liste28,SMALL(IF(Condition28="o",ROW(INDIRECT("1:"&amp;ROWS(Liste28)))),ROWS($9:63))),"")</f>
        <v/>
      </c>
      <c r="DR64" s="175">
        <f t="shared" ca="1" si="158"/>
        <v>0</v>
      </c>
      <c r="DS64" s="175" t="str">
        <f t="shared" ca="1" si="197"/>
        <v/>
      </c>
      <c r="DT64" s="169" t="str">
        <f t="shared" ca="1" si="121"/>
        <v/>
      </c>
      <c r="DU64" s="169" t="str">
        <f t="array" aca="1" ref="DU64" ca="1">IF(ROWS($9:63)&lt;=COUNTIF(Condition29,"o"),INDEX(Liste29,SMALL(IF(Condition29="o",ROW(INDIRECT("1:"&amp;ROWS(Liste29)))),ROWS($9:63))),"")</f>
        <v/>
      </c>
      <c r="DV64" s="175">
        <f t="shared" ca="1" si="159"/>
        <v>0</v>
      </c>
      <c r="DW64" s="175" t="str">
        <f t="shared" ca="1" si="198"/>
        <v/>
      </c>
      <c r="DX64" s="169" t="str">
        <f t="shared" ca="1" si="122"/>
        <v/>
      </c>
      <c r="DY64" s="169" t="str">
        <f t="array" aca="1" ref="DY64" ca="1">IF(ROWS($9:63)&lt;=COUNTIF(Condition30,"o"),INDEX(Liste30,SMALL(IF(Condition30="o",ROW(INDIRECT("1:"&amp;ROWS(Liste30)))),ROWS($9:63))),"")</f>
        <v/>
      </c>
      <c r="DZ64" s="175">
        <f t="shared" ca="1" si="160"/>
        <v>0</v>
      </c>
      <c r="EA64" s="175" t="str">
        <f t="shared" ca="1" si="199"/>
        <v/>
      </c>
      <c r="EB64" s="169" t="str">
        <f t="shared" ca="1" si="123"/>
        <v/>
      </c>
      <c r="EC64" s="169" t="str">
        <f t="array" aca="1" ref="EC64" ca="1">IF(ROWS($9:63)&lt;=COUNTIF(Condition31,"o"),INDEX(Liste31,SMALL(IF(Condition31="o",ROW(INDIRECT("1:"&amp;ROWS(Liste31)))),ROWS($9:63))),"")</f>
        <v/>
      </c>
      <c r="ED64" s="175">
        <f t="shared" ca="1" si="161"/>
        <v>0</v>
      </c>
      <c r="EE64" s="175" t="str">
        <f t="shared" ca="1" si="200"/>
        <v/>
      </c>
      <c r="EF64" s="169" t="str">
        <f t="shared" ca="1" si="124"/>
        <v/>
      </c>
      <c r="EG64" s="169" t="str">
        <f t="array" aca="1" ref="EG64" ca="1">IF(ROWS($9:63)&lt;=COUNTIF(Condition32,"o"),INDEX(Liste32,SMALL(IF(Condition32="o",ROW(INDIRECT("1:"&amp;ROWS(Liste32)))),ROWS($9:63))),"")</f>
        <v/>
      </c>
      <c r="EH64" s="175">
        <f t="shared" ca="1" si="162"/>
        <v>0</v>
      </c>
      <c r="EI64" s="175" t="str">
        <f t="shared" ca="1" si="201"/>
        <v/>
      </c>
      <c r="EJ64" s="169" t="str">
        <f t="shared" ca="1" si="125"/>
        <v/>
      </c>
      <c r="EK64" s="169" t="str">
        <f t="array" aca="1" ref="EK64" ca="1">IF(ROWS($9:63)&lt;=COUNTIF(Condition33,"o"),INDEX(Liste33,SMALL(IF(Condition33="o",ROW(INDIRECT("1:"&amp;ROWS(Liste33)))),ROWS($9:63))),"")</f>
        <v/>
      </c>
      <c r="EL64" s="175">
        <f t="shared" ca="1" si="163"/>
        <v>0</v>
      </c>
      <c r="EM64" s="175" t="str">
        <f t="shared" ca="1" si="202"/>
        <v/>
      </c>
      <c r="EN64" s="169" t="str">
        <f t="shared" ca="1" si="126"/>
        <v/>
      </c>
      <c r="EO64" s="169" t="str">
        <f t="array" aca="1" ref="EO64" ca="1">IF(ROWS($9:63)&lt;=COUNTIF(Condition34,"o"),INDEX(Liste34,SMALL(IF(Condition34="o",ROW(INDIRECT("1:"&amp;ROWS(Liste34)))),ROWS($9:63))),"")</f>
        <v/>
      </c>
      <c r="EP64" s="175">
        <f t="shared" ca="1" si="164"/>
        <v>0</v>
      </c>
      <c r="EQ64" s="175" t="str">
        <f t="shared" ca="1" si="203"/>
        <v/>
      </c>
      <c r="ER64" s="169" t="str">
        <f t="shared" ca="1" si="127"/>
        <v/>
      </c>
      <c r="ES64" s="169" t="str">
        <f t="array" aca="1" ref="ES64" ca="1">IF(ROWS($9:63)&lt;=COUNTIF(Condition35,"o"),INDEX(Liste35,SMALL(IF(Condition35="o",ROW(INDIRECT("1:"&amp;ROWS(Liste35)))),ROWS($9:63))),"")</f>
        <v/>
      </c>
      <c r="ET64" s="175">
        <f t="shared" ca="1" si="165"/>
        <v>0</v>
      </c>
      <c r="EU64" s="175" t="str">
        <f t="shared" ca="1" si="204"/>
        <v/>
      </c>
      <c r="EV64" s="169" t="str">
        <f t="shared" ca="1" si="128"/>
        <v/>
      </c>
      <c r="EW64" s="169" t="str">
        <f t="array" aca="1" ref="EW64" ca="1">IF(ROWS($9:63)&lt;=COUNTIF(Condition36,"o"),INDEX(Liste36,SMALL(IF(Condition36="o",ROW(INDIRECT("1:"&amp;ROWS(Liste36)))),ROWS($9:63))),"")</f>
        <v/>
      </c>
      <c r="EX64" s="175">
        <f t="shared" ca="1" si="166"/>
        <v>0</v>
      </c>
      <c r="EY64" s="175" t="str">
        <f t="shared" ca="1" si="205"/>
        <v/>
      </c>
      <c r="EZ64" s="169" t="str">
        <f t="shared" ca="1" si="85"/>
        <v/>
      </c>
      <c r="FA64" s="169" t="str">
        <f t="array" aca="1" ref="FA64" ca="1">IF(ROWS($9:63)&lt;=COUNTIF(Condition36,"o"),INDEX(Liste36,SMALL(IF(Condition36="o",ROW(INDIRECT("1:"&amp;ROWS(Liste36)))),ROWS($9:63))),"")</f>
        <v/>
      </c>
      <c r="FB64" s="175">
        <f t="shared" ca="1" si="167"/>
        <v>0</v>
      </c>
      <c r="FC64" s="175" t="str">
        <f t="shared" ca="1" si="206"/>
        <v/>
      </c>
      <c r="FD64" s="169" t="str">
        <f t="shared" ca="1" si="86"/>
        <v/>
      </c>
      <c r="FE64" s="175">
        <f t="shared" si="168"/>
        <v>0</v>
      </c>
      <c r="FF64" s="175">
        <f t="shared" ca="1" si="168"/>
        <v>0</v>
      </c>
      <c r="FG64" s="175" t="str">
        <f t="shared" ca="1" si="207"/>
        <v/>
      </c>
      <c r="FH64" s="169" t="str">
        <f t="shared" ca="1" si="87"/>
        <v/>
      </c>
      <c r="FI64" s="169" t="str">
        <f t="array" aca="1" ref="FI64" ca="1">IF(ROWS($9:63)&lt;=COUNTIF(Condition39,"o"),INDEX(Liste39,SMALL(IF(Condition39="o",ROW(INDIRECT("1:"&amp;ROWS(Liste39)))),ROWS($9:63))),"")</f>
        <v/>
      </c>
      <c r="FO64" s="288"/>
      <c r="FQ64" s="289"/>
      <c r="FR64" s="288"/>
      <c r="FS64" s="290"/>
      <c r="FT64" s="291"/>
      <c r="FU64" s="288"/>
      <c r="FV64" s="290"/>
      <c r="FW64" s="291"/>
      <c r="FX64" s="288"/>
      <c r="FY64" s="290"/>
      <c r="FZ64" s="291"/>
      <c r="GA64" s="292"/>
      <c r="GB64" s="291"/>
      <c r="GC64" s="291"/>
      <c r="GD64" s="292"/>
      <c r="GE64" s="291"/>
      <c r="GF64" s="284"/>
      <c r="GG64" s="233"/>
    </row>
    <row r="65" spans="1:189">
      <c r="A65" s="1" t="s">
        <v>786</v>
      </c>
      <c r="B65" s="1">
        <f t="shared" si="208"/>
        <v>12</v>
      </c>
      <c r="C65" s="1">
        <f t="shared" ca="1" si="208"/>
        <v>0</v>
      </c>
      <c r="D65" s="1">
        <f t="shared" ca="1" si="208"/>
        <v>0</v>
      </c>
      <c r="E65" s="1" t="str">
        <f ca="1">Actions!K13</f>
        <v>-</v>
      </c>
      <c r="F65" s="1" t="str">
        <f t="shared" ca="1" si="0"/>
        <v>-</v>
      </c>
      <c r="G65" s="1" t="e">
        <f t="shared" ca="1" si="209"/>
        <v>#REF!</v>
      </c>
      <c r="I65" s="1">
        <v>57</v>
      </c>
      <c r="J65" s="175">
        <f t="shared" ca="1" si="130"/>
        <v>0</v>
      </c>
      <c r="K65" s="175" t="str">
        <f t="shared" ca="1" si="169"/>
        <v/>
      </c>
      <c r="L65" s="169" t="str">
        <f t="shared" ca="1" si="93"/>
        <v/>
      </c>
      <c r="M65" s="169" t="str">
        <f t="array" aca="1" ref="M65" ca="1">IF(ROWS($9:64)&lt;=COUNTIF(Condition1,"o"),INDEX(Liste1,SMALL(IF(Condition1="o",ROW(INDIRECT("1:"&amp;ROWS(Liste1)))),ROWS($9:64))),"")</f>
        <v/>
      </c>
      <c r="N65" s="175">
        <f t="shared" ca="1" si="131"/>
        <v>0</v>
      </c>
      <c r="O65" s="175" t="str">
        <f t="shared" ca="1" si="170"/>
        <v/>
      </c>
      <c r="P65" s="169" t="str">
        <f t="shared" ca="1" si="94"/>
        <v/>
      </c>
      <c r="Q65" s="169" t="str">
        <f t="array" aca="1" ref="Q65" ca="1">IF(ROWS($9:64)&lt;=COUNTIF(Condition2,"o"),INDEX(Liste2,SMALL(IF(Condition2="o",ROW(INDIRECT("1:"&amp;ROWS(Liste2)))),ROWS($9:64))),"")</f>
        <v/>
      </c>
      <c r="R65" s="175">
        <f t="shared" ca="1" si="132"/>
        <v>0</v>
      </c>
      <c r="S65" s="175" t="str">
        <f t="shared" ca="1" si="171"/>
        <v/>
      </c>
      <c r="T65" s="169" t="str">
        <f t="shared" ca="1" si="95"/>
        <v/>
      </c>
      <c r="U65" s="169" t="str">
        <f t="array" aca="1" ref="U65" ca="1">IF(ROWS($9:64)&lt;=COUNTIF(Condition3,"o"),INDEX(Liste3,SMALL(IF(Condition3="o",ROW(INDIRECT("1:"&amp;ROWS(Liste3)))),ROWS($9:64))),"")</f>
        <v/>
      </c>
      <c r="V65" s="175">
        <f t="shared" ca="1" si="133"/>
        <v>0</v>
      </c>
      <c r="W65" s="175" t="str">
        <f t="shared" ca="1" si="172"/>
        <v/>
      </c>
      <c r="X65" s="169" t="str">
        <f t="shared" ca="1" si="96"/>
        <v/>
      </c>
      <c r="Y65" s="169" t="str">
        <f t="array" aca="1" ref="Y65" ca="1">IF(ROWS($9:64)&lt;=COUNTIF(Condition4,"o"),INDEX(Liste4,SMALL(IF(Condition4="o",ROW(INDIRECT("1:"&amp;ROWS(Liste4)))),ROWS($9:64))),"")</f>
        <v/>
      </c>
      <c r="Z65" s="175">
        <f t="shared" ca="1" si="134"/>
        <v>0</v>
      </c>
      <c r="AA65" s="175" t="str">
        <f t="shared" ca="1" si="173"/>
        <v/>
      </c>
      <c r="AB65" s="169" t="str">
        <f t="shared" ca="1" si="97"/>
        <v/>
      </c>
      <c r="AC65" s="169" t="str">
        <f t="array" aca="1" ref="AC65" ca="1">IF(ROWS($9:64)&lt;=COUNTIF(Condition5,"o"),INDEX(Liste5,SMALL(IF(Condition5="o",ROW(INDIRECT("1:"&amp;ROWS(Liste5)))),ROWS($9:64))),"")</f>
        <v/>
      </c>
      <c r="AD65" s="175">
        <f t="shared" ca="1" si="135"/>
        <v>0</v>
      </c>
      <c r="AE65" s="175" t="str">
        <f t="shared" ca="1" si="174"/>
        <v/>
      </c>
      <c r="AF65" s="169" t="str">
        <f t="shared" ca="1" si="98"/>
        <v/>
      </c>
      <c r="AG65" s="169" t="str">
        <f t="array" aca="1" ref="AG65" ca="1">IF(ROWS($9:64)&lt;=COUNTIF(Condition6,"o"),INDEX(Liste6,SMALL(IF(Condition6="o",ROW(INDIRECT("1:"&amp;ROWS(Liste6)))),ROWS($9:64))),"")</f>
        <v/>
      </c>
      <c r="AH65" s="175">
        <f t="shared" ca="1" si="136"/>
        <v>0</v>
      </c>
      <c r="AI65" s="175" t="str">
        <f t="shared" ca="1" si="175"/>
        <v/>
      </c>
      <c r="AJ65" s="169" t="str">
        <f t="shared" ca="1" si="99"/>
        <v/>
      </c>
      <c r="AK65" s="169" t="str">
        <f t="array" aca="1" ref="AK65" ca="1">IF(ROWS($9:64)&lt;=COUNTIF(Condition7,"o"),INDEX(Liste7,SMALL(IF(Condition7="o",ROW(INDIRECT("1:"&amp;ROWS(Liste7)))),ROWS($9:64))),"")</f>
        <v/>
      </c>
      <c r="AL65" s="175">
        <f t="shared" ca="1" si="137"/>
        <v>0</v>
      </c>
      <c r="AM65" s="175" t="str">
        <f t="shared" ca="1" si="176"/>
        <v/>
      </c>
      <c r="AN65" s="169" t="str">
        <f t="shared" ca="1" si="100"/>
        <v/>
      </c>
      <c r="AO65" s="169" t="str">
        <f t="array" aca="1" ref="AO65" ca="1">IF(ROWS($9:64)&lt;=COUNTIF(Condition8,"o"),INDEX(Liste8,SMALL(IF(Condition8="o",ROW(INDIRECT("1:"&amp;ROWS(Liste8)))),ROWS($9:64))),"")</f>
        <v/>
      </c>
      <c r="AP65" s="175">
        <f t="shared" ca="1" si="138"/>
        <v>0</v>
      </c>
      <c r="AQ65" s="175" t="str">
        <f t="shared" ca="1" si="177"/>
        <v/>
      </c>
      <c r="AR65" s="169" t="str">
        <f t="shared" ca="1" si="101"/>
        <v/>
      </c>
      <c r="AS65" s="169" t="str">
        <f t="array" aca="1" ref="AS65" ca="1">IF(ROWS($9:64)&lt;=COUNTIF(Condition9,"o"),INDEX(Liste9,SMALL(IF(Condition9="o",ROW(INDIRECT("1:"&amp;ROWS(Liste9)))),ROWS($9:64))),"")</f>
        <v/>
      </c>
      <c r="AT65" s="175">
        <f t="shared" ca="1" si="139"/>
        <v>0</v>
      </c>
      <c r="AU65" s="175" t="str">
        <f t="shared" ca="1" si="178"/>
        <v/>
      </c>
      <c r="AV65" s="169" t="str">
        <f t="shared" ca="1" si="102"/>
        <v/>
      </c>
      <c r="AW65" s="169" t="str">
        <f t="array" aca="1" ref="AW65" ca="1">IF(ROWS($9:64)&lt;=COUNTIF(Condition10,"o"),INDEX(Liste10,SMALL(IF(Condition10="o",ROW(INDIRECT("1:"&amp;ROWS(Liste10)))),ROWS($9:64))),"")</f>
        <v/>
      </c>
      <c r="AX65" s="175">
        <f t="shared" ca="1" si="140"/>
        <v>0</v>
      </c>
      <c r="AY65" s="175" t="str">
        <f t="shared" ca="1" si="179"/>
        <v/>
      </c>
      <c r="AZ65" s="169" t="str">
        <f t="shared" ca="1" si="103"/>
        <v/>
      </c>
      <c r="BA65" s="169" t="str">
        <f t="array" aca="1" ref="BA65" ca="1">IF(ROWS($9:64)&lt;=COUNTIF(Condition11,"o"),INDEX(Liste11,SMALL(IF(Condition11="o",ROW(INDIRECT("1:"&amp;ROWS(Liste11)))),ROWS($9:64))),"")</f>
        <v/>
      </c>
      <c r="BB65" s="175">
        <f t="shared" ca="1" si="141"/>
        <v>0</v>
      </c>
      <c r="BC65" s="175" t="str">
        <f t="shared" ca="1" si="180"/>
        <v/>
      </c>
      <c r="BD65" s="169" t="str">
        <f t="shared" ca="1" si="104"/>
        <v/>
      </c>
      <c r="BE65" s="169" t="str">
        <f t="array" aca="1" ref="BE65" ca="1">IF(ROWS($9:64)&lt;=COUNTIF(Condition12,"o"),INDEX(Liste12,SMALL(IF(Condition12="o",ROW(INDIRECT("1:"&amp;ROWS(Liste12)))),ROWS($9:64))),"")</f>
        <v/>
      </c>
      <c r="BF65" s="175">
        <f t="shared" ca="1" si="142"/>
        <v>0</v>
      </c>
      <c r="BG65" s="175" t="str">
        <f t="shared" ca="1" si="181"/>
        <v/>
      </c>
      <c r="BH65" s="169" t="str">
        <f t="shared" ca="1" si="105"/>
        <v/>
      </c>
      <c r="BI65" s="169" t="str">
        <f t="array" aca="1" ref="BI65" ca="1">IF(ROWS($9:64)&lt;=COUNTIF(Condition13,"o"),INDEX(Liste13,SMALL(IF(Condition13="o",ROW(INDIRECT("1:"&amp;ROWS(Liste13)))),ROWS($9:64))),"")</f>
        <v/>
      </c>
      <c r="BJ65" s="175">
        <f t="shared" ca="1" si="143"/>
        <v>0</v>
      </c>
      <c r="BK65" s="175" t="str">
        <f t="shared" ca="1" si="182"/>
        <v/>
      </c>
      <c r="BL65" s="169" t="str">
        <f t="shared" ca="1" si="106"/>
        <v/>
      </c>
      <c r="BM65" s="169" t="str">
        <f t="array" aca="1" ref="BM65" ca="1">IF(ROWS($9:64)&lt;=COUNTIF(Condition14,"o"),INDEX(Liste14,SMALL(IF(Condition14="o",ROW(INDIRECT("1:"&amp;ROWS(Liste14)))),ROWS($9:64))),"")</f>
        <v/>
      </c>
      <c r="BN65" s="175">
        <f t="shared" ca="1" si="144"/>
        <v>0</v>
      </c>
      <c r="BO65" s="175" t="str">
        <f t="shared" ca="1" si="183"/>
        <v/>
      </c>
      <c r="BP65" s="169" t="str">
        <f t="shared" ca="1" si="107"/>
        <v/>
      </c>
      <c r="BQ65" s="169" t="str">
        <f t="array" aca="1" ref="BQ65" ca="1">IF(ROWS($9:64)&lt;=COUNTIF(Condition15,"o"),INDEX(Liste15,SMALL(IF(Condition15="o",ROW(INDIRECT("1:"&amp;ROWS(Liste15)))),ROWS($9:64))),"")</f>
        <v/>
      </c>
      <c r="BR65" s="175">
        <f t="shared" ca="1" si="145"/>
        <v>0</v>
      </c>
      <c r="BS65" s="175" t="str">
        <f t="shared" ca="1" si="184"/>
        <v/>
      </c>
      <c r="BT65" s="169" t="str">
        <f t="shared" ca="1" si="108"/>
        <v/>
      </c>
      <c r="BU65" s="169" t="str">
        <f t="array" aca="1" ref="BU65" ca="1">IF(ROWS($9:64)&lt;=COUNTIF(Condition16,"o"),INDEX(Liste16,SMALL(IF(Condition16="o",ROW(INDIRECT("1:"&amp;ROWS(Liste16)))),ROWS($9:64))),"")</f>
        <v/>
      </c>
      <c r="BV65" s="175">
        <f t="shared" ca="1" si="146"/>
        <v>0</v>
      </c>
      <c r="BW65" s="175" t="str">
        <f t="shared" ca="1" si="185"/>
        <v/>
      </c>
      <c r="BX65" s="169" t="str">
        <f t="shared" ca="1" si="109"/>
        <v/>
      </c>
      <c r="BY65" s="169" t="str">
        <f t="array" aca="1" ref="BY65" ca="1">IF(ROWS($9:64)&lt;=COUNTIF(Condition17,"o"),INDEX(Liste17,SMALL(IF(Condition17="o",ROW(INDIRECT("1:"&amp;ROWS(Liste17)))),ROWS($9:64))),"")</f>
        <v/>
      </c>
      <c r="BZ65" s="175">
        <f t="shared" ca="1" si="147"/>
        <v>0</v>
      </c>
      <c r="CA65" s="175" t="str">
        <f t="shared" ca="1" si="186"/>
        <v/>
      </c>
      <c r="CB65" s="169" t="str">
        <f t="shared" ca="1" si="110"/>
        <v/>
      </c>
      <c r="CC65" s="169" t="str">
        <f t="array" aca="1" ref="CC65" ca="1">IF(ROWS($9:64)&lt;=COUNTIF(Condition18,"o"),INDEX(Liste18,SMALL(IF(Condition18="o",ROW(INDIRECT("1:"&amp;ROWS(Liste18)))),ROWS($9:64))),"")</f>
        <v/>
      </c>
      <c r="CD65" s="175">
        <f t="shared" ca="1" si="148"/>
        <v>0</v>
      </c>
      <c r="CE65" s="175" t="str">
        <f t="shared" ca="1" si="187"/>
        <v/>
      </c>
      <c r="CF65" s="169" t="str">
        <f t="shared" ca="1" si="111"/>
        <v/>
      </c>
      <c r="CG65" s="169" t="str">
        <f t="array" aca="1" ref="CG65" ca="1">IF(ROWS($9:64)&lt;=COUNTIF(Condition19,"o"),INDEX(Liste19,SMALL(IF(Condition19="o",ROW(INDIRECT("1:"&amp;ROWS(Liste19)))),ROWS($9:64))),"")</f>
        <v/>
      </c>
      <c r="CH65" s="175">
        <f t="shared" ca="1" si="149"/>
        <v>0</v>
      </c>
      <c r="CI65" s="175" t="str">
        <f t="shared" ca="1" si="188"/>
        <v/>
      </c>
      <c r="CJ65" s="169" t="str">
        <f t="shared" ca="1" si="112"/>
        <v/>
      </c>
      <c r="CK65" s="169" t="str">
        <f t="array" aca="1" ref="CK65" ca="1">IF(ROWS($9:64)&lt;=COUNTIF(Condition20,"o"),INDEX(Liste20,SMALL(IF(Condition20="o",ROW(INDIRECT("1:"&amp;ROWS(Liste20)))),ROWS($9:64))),"")</f>
        <v/>
      </c>
      <c r="CL65" s="175">
        <f t="shared" ca="1" si="150"/>
        <v>0</v>
      </c>
      <c r="CM65" s="175" t="str">
        <f t="shared" ca="1" si="189"/>
        <v/>
      </c>
      <c r="CN65" s="169" t="str">
        <f t="shared" ca="1" si="113"/>
        <v/>
      </c>
      <c r="CO65" s="169" t="str">
        <f t="array" aca="1" ref="CO65" ca="1">IF(ROWS($9:64)&lt;=COUNTIF(Condition21,"o"),INDEX(Liste21,SMALL(IF(Condition21="o",ROW(INDIRECT("1:"&amp;ROWS(Liste21)))),ROWS($9:64))),"")</f>
        <v/>
      </c>
      <c r="CP65" s="175">
        <f t="shared" ca="1" si="151"/>
        <v>0</v>
      </c>
      <c r="CQ65" s="175" t="str">
        <f t="shared" ca="1" si="190"/>
        <v/>
      </c>
      <c r="CR65" s="169" t="str">
        <f t="shared" ca="1" si="114"/>
        <v/>
      </c>
      <c r="CS65" s="169" t="str">
        <f t="array" aca="1" ref="CS65" ca="1">IF(ROWS($9:64)&lt;=COUNTIF(Condition22,"o"),INDEX(Liste22,SMALL(IF(Condition22="o",ROW(INDIRECT("1:"&amp;ROWS(Liste22)))),ROWS($9:64))),"")</f>
        <v/>
      </c>
      <c r="CT65" s="175">
        <f t="shared" ca="1" si="152"/>
        <v>0</v>
      </c>
      <c r="CU65" s="175" t="str">
        <f t="shared" ca="1" si="191"/>
        <v/>
      </c>
      <c r="CV65" s="169" t="str">
        <f t="shared" ca="1" si="115"/>
        <v/>
      </c>
      <c r="CW65" s="169" t="str">
        <f t="array" aca="1" ref="CW65" ca="1">IF(ROWS($9:64)&lt;=COUNTIF(Condition23,"o"),INDEX(Liste23,SMALL(IF(Condition23="o",ROW(INDIRECT("1:"&amp;ROWS(Liste23)))),ROWS($9:64))),"")</f>
        <v/>
      </c>
      <c r="CX65" s="175">
        <f t="shared" ca="1" si="153"/>
        <v>0</v>
      </c>
      <c r="CY65" s="175" t="str">
        <f t="shared" ca="1" si="192"/>
        <v/>
      </c>
      <c r="CZ65" s="169" t="str">
        <f t="shared" ca="1" si="116"/>
        <v/>
      </c>
      <c r="DA65" s="169" t="str">
        <f t="array" aca="1" ref="DA65" ca="1">IF(ROWS($9:64)&lt;=COUNTIF(Condition24,"o"),INDEX(Liste24,SMALL(IF(Condition24="o",ROW(INDIRECT("1:"&amp;ROWS(Liste24)))),ROWS($9:64))),"")</f>
        <v/>
      </c>
      <c r="DB65" s="175">
        <f t="shared" ca="1" si="154"/>
        <v>0</v>
      </c>
      <c r="DC65" s="175" t="str">
        <f t="shared" ca="1" si="193"/>
        <v/>
      </c>
      <c r="DD65" s="169" t="str">
        <f t="shared" ca="1" si="117"/>
        <v/>
      </c>
      <c r="DE65" s="169" t="str">
        <f t="array" aca="1" ref="DE65" ca="1">IF(ROWS($9:64)&lt;=COUNTIF(Condition25,"o"),INDEX(Liste25,SMALL(IF(Condition25="o",ROW(INDIRECT("1:"&amp;ROWS(Liste25)))),ROWS($9:64))),"")</f>
        <v/>
      </c>
      <c r="DF65" s="175">
        <f t="shared" ca="1" si="155"/>
        <v>0</v>
      </c>
      <c r="DG65" s="175" t="str">
        <f t="shared" ca="1" si="194"/>
        <v/>
      </c>
      <c r="DH65" s="169" t="str">
        <f t="shared" ca="1" si="118"/>
        <v/>
      </c>
      <c r="DI65" s="169" t="str">
        <f t="array" aca="1" ref="DI65" ca="1">IF(ROWS($9:64)&lt;=COUNTIF(Condition26,"o"),INDEX(Liste26,SMALL(IF(Condition26="o",ROW(INDIRECT("1:"&amp;ROWS(Liste26)))),ROWS($9:64))),"")</f>
        <v/>
      </c>
      <c r="DJ65" s="175">
        <f t="shared" ca="1" si="156"/>
        <v>0</v>
      </c>
      <c r="DK65" s="175" t="str">
        <f t="shared" ca="1" si="195"/>
        <v/>
      </c>
      <c r="DL65" s="169" t="str">
        <f t="shared" ca="1" si="119"/>
        <v/>
      </c>
      <c r="DM65" s="169" t="str">
        <f t="array" aca="1" ref="DM65" ca="1">IF(ROWS($9:64)&lt;=COUNTIF(Condition27,"o"),INDEX(Liste27,SMALL(IF(Condition27="o",ROW(INDIRECT("1:"&amp;ROWS(Liste27)))),ROWS($9:64))),"")</f>
        <v/>
      </c>
      <c r="DN65" s="175">
        <f t="shared" ca="1" si="157"/>
        <v>0</v>
      </c>
      <c r="DO65" s="175" t="str">
        <f t="shared" ca="1" si="196"/>
        <v/>
      </c>
      <c r="DP65" s="169" t="str">
        <f t="shared" ca="1" si="120"/>
        <v/>
      </c>
      <c r="DQ65" s="169" t="str">
        <f t="array" aca="1" ref="DQ65" ca="1">IF(ROWS($9:64)&lt;=COUNTIF(Condition28,"o"),INDEX(Liste28,SMALL(IF(Condition28="o",ROW(INDIRECT("1:"&amp;ROWS(Liste28)))),ROWS($9:64))),"")</f>
        <v/>
      </c>
      <c r="DR65" s="175">
        <f t="shared" ca="1" si="158"/>
        <v>0</v>
      </c>
      <c r="DS65" s="175" t="str">
        <f t="shared" ca="1" si="197"/>
        <v/>
      </c>
      <c r="DT65" s="169" t="str">
        <f t="shared" ca="1" si="121"/>
        <v/>
      </c>
      <c r="DU65" s="169" t="str">
        <f t="array" aca="1" ref="DU65" ca="1">IF(ROWS($9:64)&lt;=COUNTIF(Condition29,"o"),INDEX(Liste29,SMALL(IF(Condition29="o",ROW(INDIRECT("1:"&amp;ROWS(Liste29)))),ROWS($9:64))),"")</f>
        <v/>
      </c>
      <c r="DV65" s="175">
        <f t="shared" ca="1" si="159"/>
        <v>0</v>
      </c>
      <c r="DW65" s="175" t="str">
        <f t="shared" ca="1" si="198"/>
        <v/>
      </c>
      <c r="DX65" s="169" t="str">
        <f t="shared" ca="1" si="122"/>
        <v/>
      </c>
      <c r="DY65" s="169" t="str">
        <f t="array" aca="1" ref="DY65" ca="1">IF(ROWS($9:64)&lt;=COUNTIF(Condition30,"o"),INDEX(Liste30,SMALL(IF(Condition30="o",ROW(INDIRECT("1:"&amp;ROWS(Liste30)))),ROWS($9:64))),"")</f>
        <v/>
      </c>
      <c r="DZ65" s="175">
        <f t="shared" ca="1" si="160"/>
        <v>0</v>
      </c>
      <c r="EA65" s="175" t="str">
        <f t="shared" ca="1" si="199"/>
        <v/>
      </c>
      <c r="EB65" s="169" t="str">
        <f t="shared" ca="1" si="123"/>
        <v/>
      </c>
      <c r="EC65" s="169" t="str">
        <f t="array" aca="1" ref="EC65" ca="1">IF(ROWS($9:64)&lt;=COUNTIF(Condition31,"o"),INDEX(Liste31,SMALL(IF(Condition31="o",ROW(INDIRECT("1:"&amp;ROWS(Liste31)))),ROWS($9:64))),"")</f>
        <v/>
      </c>
      <c r="ED65" s="175">
        <f t="shared" ca="1" si="161"/>
        <v>0</v>
      </c>
      <c r="EE65" s="175" t="str">
        <f t="shared" ca="1" si="200"/>
        <v/>
      </c>
      <c r="EF65" s="169" t="str">
        <f t="shared" ca="1" si="124"/>
        <v/>
      </c>
      <c r="EG65" s="169" t="str">
        <f t="array" aca="1" ref="EG65" ca="1">IF(ROWS($9:64)&lt;=COUNTIF(Condition32,"o"),INDEX(Liste32,SMALL(IF(Condition32="o",ROW(INDIRECT("1:"&amp;ROWS(Liste32)))),ROWS($9:64))),"")</f>
        <v/>
      </c>
      <c r="EH65" s="175">
        <f t="shared" ca="1" si="162"/>
        <v>0</v>
      </c>
      <c r="EI65" s="175" t="str">
        <f t="shared" ca="1" si="201"/>
        <v/>
      </c>
      <c r="EJ65" s="169" t="str">
        <f t="shared" ca="1" si="125"/>
        <v/>
      </c>
      <c r="EK65" s="169" t="str">
        <f t="array" aca="1" ref="EK65" ca="1">IF(ROWS($9:64)&lt;=COUNTIF(Condition33,"o"),INDEX(Liste33,SMALL(IF(Condition33="o",ROW(INDIRECT("1:"&amp;ROWS(Liste33)))),ROWS($9:64))),"")</f>
        <v/>
      </c>
      <c r="EL65" s="175">
        <f t="shared" ca="1" si="163"/>
        <v>0</v>
      </c>
      <c r="EM65" s="175" t="str">
        <f t="shared" ca="1" si="202"/>
        <v/>
      </c>
      <c r="EN65" s="169" t="str">
        <f t="shared" ca="1" si="126"/>
        <v/>
      </c>
      <c r="EO65" s="169" t="str">
        <f t="array" aca="1" ref="EO65" ca="1">IF(ROWS($9:64)&lt;=COUNTIF(Condition34,"o"),INDEX(Liste34,SMALL(IF(Condition34="o",ROW(INDIRECT("1:"&amp;ROWS(Liste34)))),ROWS($9:64))),"")</f>
        <v/>
      </c>
      <c r="EP65" s="175">
        <f t="shared" ca="1" si="164"/>
        <v>0</v>
      </c>
      <c r="EQ65" s="175" t="str">
        <f t="shared" ca="1" si="203"/>
        <v/>
      </c>
      <c r="ER65" s="169" t="str">
        <f t="shared" ca="1" si="127"/>
        <v/>
      </c>
      <c r="ES65" s="169" t="str">
        <f t="array" aca="1" ref="ES65" ca="1">IF(ROWS($9:64)&lt;=COUNTIF(Condition35,"o"),INDEX(Liste35,SMALL(IF(Condition35="o",ROW(INDIRECT("1:"&amp;ROWS(Liste35)))),ROWS($9:64))),"")</f>
        <v/>
      </c>
      <c r="ET65" s="175">
        <f t="shared" ca="1" si="165"/>
        <v>0</v>
      </c>
      <c r="EU65" s="175" t="str">
        <f t="shared" ca="1" si="204"/>
        <v/>
      </c>
      <c r="EV65" s="169" t="str">
        <f t="shared" ca="1" si="128"/>
        <v/>
      </c>
      <c r="EW65" s="169" t="str">
        <f t="array" aca="1" ref="EW65" ca="1">IF(ROWS($9:64)&lt;=COUNTIF(Condition36,"o"),INDEX(Liste36,SMALL(IF(Condition36="o",ROW(INDIRECT("1:"&amp;ROWS(Liste36)))),ROWS($9:64))),"")</f>
        <v/>
      </c>
      <c r="EX65" s="175">
        <f t="shared" ca="1" si="166"/>
        <v>0</v>
      </c>
      <c r="EY65" s="175" t="str">
        <f t="shared" ca="1" si="205"/>
        <v/>
      </c>
      <c r="EZ65" s="169" t="str">
        <f t="shared" ca="1" si="85"/>
        <v/>
      </c>
      <c r="FA65" s="169" t="str">
        <f t="array" aca="1" ref="FA65" ca="1">IF(ROWS($9:64)&lt;=COUNTIF(Condition36,"o"),INDEX(Liste36,SMALL(IF(Condition36="o",ROW(INDIRECT("1:"&amp;ROWS(Liste36)))),ROWS($9:64))),"")</f>
        <v/>
      </c>
      <c r="FB65" s="175">
        <f t="shared" ca="1" si="167"/>
        <v>0</v>
      </c>
      <c r="FC65" s="175" t="str">
        <f t="shared" ca="1" si="206"/>
        <v/>
      </c>
      <c r="FD65" s="169" t="str">
        <f t="shared" ca="1" si="86"/>
        <v/>
      </c>
      <c r="FE65" s="175">
        <f t="shared" si="168"/>
        <v>0</v>
      </c>
      <c r="FF65" s="175">
        <f t="shared" ca="1" si="168"/>
        <v>0</v>
      </c>
      <c r="FG65" s="175" t="str">
        <f t="shared" ca="1" si="207"/>
        <v/>
      </c>
      <c r="FH65" s="169" t="str">
        <f t="shared" ca="1" si="87"/>
        <v/>
      </c>
      <c r="FI65" s="169" t="str">
        <f t="array" aca="1" ref="FI65" ca="1">IF(ROWS($9:64)&lt;=COUNTIF(Condition39,"o"),INDEX(Liste39,SMALL(IF(Condition39="o",ROW(INDIRECT("1:"&amp;ROWS(Liste39)))),ROWS($9:64))),"")</f>
        <v/>
      </c>
      <c r="FO65" s="288"/>
      <c r="FQ65" s="289"/>
      <c r="FR65" s="288"/>
      <c r="FS65" s="290"/>
      <c r="FT65" s="291"/>
      <c r="FU65" s="288"/>
      <c r="FV65" s="290"/>
      <c r="FW65" s="291"/>
      <c r="FX65" s="288"/>
      <c r="FY65" s="290"/>
      <c r="FZ65" s="291"/>
      <c r="GA65" s="292"/>
      <c r="GB65" s="291"/>
      <c r="GC65" s="291"/>
      <c r="GD65" s="292"/>
      <c r="GE65" s="291"/>
      <c r="GF65" s="284"/>
      <c r="GG65" s="233"/>
    </row>
    <row r="66" spans="1:189">
      <c r="A66" s="1" t="s">
        <v>797</v>
      </c>
      <c r="B66" s="1">
        <f t="shared" si="208"/>
        <v>13</v>
      </c>
      <c r="C66" s="1">
        <f t="shared" ca="1" si="208"/>
        <v>0</v>
      </c>
      <c r="D66" s="1">
        <f t="shared" ca="1" si="208"/>
        <v>0</v>
      </c>
      <c r="E66" s="1" t="str">
        <f ca="1">Actions!K14</f>
        <v>-</v>
      </c>
      <c r="F66" s="1" t="str">
        <f t="shared" ca="1" si="0"/>
        <v>-</v>
      </c>
      <c r="G66" s="1" t="e">
        <f t="shared" ca="1" si="209"/>
        <v>#REF!</v>
      </c>
      <c r="I66" s="1">
        <v>58</v>
      </c>
      <c r="J66" s="175">
        <f t="shared" ca="1" si="130"/>
        <v>0</v>
      </c>
      <c r="K66" s="175" t="str">
        <f t="shared" ca="1" si="169"/>
        <v/>
      </c>
      <c r="L66" s="169" t="str">
        <f t="shared" ca="1" si="93"/>
        <v/>
      </c>
      <c r="M66" s="169" t="str">
        <f t="array" aca="1" ref="M66" ca="1">IF(ROWS($9:65)&lt;=COUNTIF(Condition1,"o"),INDEX(Liste1,SMALL(IF(Condition1="o",ROW(INDIRECT("1:"&amp;ROWS(Liste1)))),ROWS($9:65))),"")</f>
        <v/>
      </c>
      <c r="N66" s="175">
        <f t="shared" ca="1" si="131"/>
        <v>0</v>
      </c>
      <c r="O66" s="175" t="str">
        <f t="shared" ca="1" si="170"/>
        <v/>
      </c>
      <c r="P66" s="169" t="str">
        <f t="shared" ca="1" si="94"/>
        <v/>
      </c>
      <c r="Q66" s="169" t="str">
        <f t="array" aca="1" ref="Q66" ca="1">IF(ROWS($9:65)&lt;=COUNTIF(Condition2,"o"),INDEX(Liste2,SMALL(IF(Condition2="o",ROW(INDIRECT("1:"&amp;ROWS(Liste2)))),ROWS($9:65))),"")</f>
        <v/>
      </c>
      <c r="R66" s="175">
        <f t="shared" ca="1" si="132"/>
        <v>0</v>
      </c>
      <c r="S66" s="175" t="str">
        <f t="shared" ca="1" si="171"/>
        <v/>
      </c>
      <c r="T66" s="169" t="str">
        <f t="shared" ca="1" si="95"/>
        <v/>
      </c>
      <c r="U66" s="169" t="str">
        <f t="array" aca="1" ref="U66" ca="1">IF(ROWS($9:65)&lt;=COUNTIF(Condition3,"o"),INDEX(Liste3,SMALL(IF(Condition3="o",ROW(INDIRECT("1:"&amp;ROWS(Liste3)))),ROWS($9:65))),"")</f>
        <v/>
      </c>
      <c r="V66" s="175">
        <f t="shared" ca="1" si="133"/>
        <v>0</v>
      </c>
      <c r="W66" s="175" t="str">
        <f t="shared" ca="1" si="172"/>
        <v/>
      </c>
      <c r="X66" s="169" t="str">
        <f t="shared" ca="1" si="96"/>
        <v/>
      </c>
      <c r="Y66" s="169" t="str">
        <f t="array" aca="1" ref="Y66" ca="1">IF(ROWS($9:65)&lt;=COUNTIF(Condition4,"o"),INDEX(Liste4,SMALL(IF(Condition4="o",ROW(INDIRECT("1:"&amp;ROWS(Liste4)))),ROWS($9:65))),"")</f>
        <v/>
      </c>
      <c r="Z66" s="175">
        <f t="shared" ca="1" si="134"/>
        <v>0</v>
      </c>
      <c r="AA66" s="175" t="str">
        <f t="shared" ca="1" si="173"/>
        <v/>
      </c>
      <c r="AB66" s="169" t="str">
        <f t="shared" ca="1" si="97"/>
        <v/>
      </c>
      <c r="AC66" s="169" t="str">
        <f t="array" aca="1" ref="AC66" ca="1">IF(ROWS($9:65)&lt;=COUNTIF(Condition5,"o"),INDEX(Liste5,SMALL(IF(Condition5="o",ROW(INDIRECT("1:"&amp;ROWS(Liste5)))),ROWS($9:65))),"")</f>
        <v/>
      </c>
      <c r="AD66" s="175">
        <f t="shared" ca="1" si="135"/>
        <v>0</v>
      </c>
      <c r="AE66" s="175" t="str">
        <f t="shared" ca="1" si="174"/>
        <v/>
      </c>
      <c r="AF66" s="169" t="str">
        <f t="shared" ca="1" si="98"/>
        <v/>
      </c>
      <c r="AG66" s="169" t="str">
        <f t="array" aca="1" ref="AG66" ca="1">IF(ROWS($9:65)&lt;=COUNTIF(Condition6,"o"),INDEX(Liste6,SMALL(IF(Condition6="o",ROW(INDIRECT("1:"&amp;ROWS(Liste6)))),ROWS($9:65))),"")</f>
        <v/>
      </c>
      <c r="AH66" s="175">
        <f t="shared" ca="1" si="136"/>
        <v>0</v>
      </c>
      <c r="AI66" s="175" t="str">
        <f t="shared" ca="1" si="175"/>
        <v/>
      </c>
      <c r="AJ66" s="169" t="str">
        <f t="shared" ca="1" si="99"/>
        <v/>
      </c>
      <c r="AK66" s="169" t="str">
        <f t="array" aca="1" ref="AK66" ca="1">IF(ROWS($9:65)&lt;=COUNTIF(Condition7,"o"),INDEX(Liste7,SMALL(IF(Condition7="o",ROW(INDIRECT("1:"&amp;ROWS(Liste7)))),ROWS($9:65))),"")</f>
        <v/>
      </c>
      <c r="AL66" s="175">
        <f t="shared" ca="1" si="137"/>
        <v>0</v>
      </c>
      <c r="AM66" s="175" t="str">
        <f t="shared" ca="1" si="176"/>
        <v/>
      </c>
      <c r="AN66" s="169" t="str">
        <f t="shared" ca="1" si="100"/>
        <v/>
      </c>
      <c r="AO66" s="169" t="str">
        <f t="array" aca="1" ref="AO66" ca="1">IF(ROWS($9:65)&lt;=COUNTIF(Condition8,"o"),INDEX(Liste8,SMALL(IF(Condition8="o",ROW(INDIRECT("1:"&amp;ROWS(Liste8)))),ROWS($9:65))),"")</f>
        <v/>
      </c>
      <c r="AP66" s="175">
        <f t="shared" ca="1" si="138"/>
        <v>0</v>
      </c>
      <c r="AQ66" s="175" t="str">
        <f t="shared" ca="1" si="177"/>
        <v/>
      </c>
      <c r="AR66" s="169" t="str">
        <f t="shared" ca="1" si="101"/>
        <v/>
      </c>
      <c r="AS66" s="169" t="str">
        <f t="array" aca="1" ref="AS66" ca="1">IF(ROWS($9:65)&lt;=COUNTIF(Condition9,"o"),INDEX(Liste9,SMALL(IF(Condition9="o",ROW(INDIRECT("1:"&amp;ROWS(Liste9)))),ROWS($9:65))),"")</f>
        <v/>
      </c>
      <c r="AT66" s="175">
        <f t="shared" ca="1" si="139"/>
        <v>0</v>
      </c>
      <c r="AU66" s="175" t="str">
        <f t="shared" ca="1" si="178"/>
        <v/>
      </c>
      <c r="AV66" s="169" t="str">
        <f t="shared" ca="1" si="102"/>
        <v/>
      </c>
      <c r="AW66" s="169" t="str">
        <f t="array" aca="1" ref="AW66" ca="1">IF(ROWS($9:65)&lt;=COUNTIF(Condition10,"o"),INDEX(Liste10,SMALL(IF(Condition10="o",ROW(INDIRECT("1:"&amp;ROWS(Liste10)))),ROWS($9:65))),"")</f>
        <v/>
      </c>
      <c r="AX66" s="175">
        <f t="shared" ca="1" si="140"/>
        <v>0</v>
      </c>
      <c r="AY66" s="175" t="str">
        <f t="shared" ca="1" si="179"/>
        <v/>
      </c>
      <c r="AZ66" s="169" t="str">
        <f t="shared" ca="1" si="103"/>
        <v/>
      </c>
      <c r="BA66" s="169" t="str">
        <f t="array" aca="1" ref="BA66" ca="1">IF(ROWS($9:65)&lt;=COUNTIF(Condition11,"o"),INDEX(Liste11,SMALL(IF(Condition11="o",ROW(INDIRECT("1:"&amp;ROWS(Liste11)))),ROWS($9:65))),"")</f>
        <v/>
      </c>
      <c r="BB66" s="175">
        <f t="shared" ca="1" si="141"/>
        <v>0</v>
      </c>
      <c r="BC66" s="175" t="str">
        <f t="shared" ca="1" si="180"/>
        <v/>
      </c>
      <c r="BD66" s="169" t="str">
        <f t="shared" ca="1" si="104"/>
        <v/>
      </c>
      <c r="BE66" s="169" t="str">
        <f t="array" aca="1" ref="BE66" ca="1">IF(ROWS($9:65)&lt;=COUNTIF(Condition12,"o"),INDEX(Liste12,SMALL(IF(Condition12="o",ROW(INDIRECT("1:"&amp;ROWS(Liste12)))),ROWS($9:65))),"")</f>
        <v/>
      </c>
      <c r="BF66" s="175">
        <f t="shared" ca="1" si="142"/>
        <v>0</v>
      </c>
      <c r="BG66" s="175" t="str">
        <f t="shared" ca="1" si="181"/>
        <v/>
      </c>
      <c r="BH66" s="169" t="str">
        <f t="shared" ca="1" si="105"/>
        <v/>
      </c>
      <c r="BI66" s="169" t="str">
        <f t="array" aca="1" ref="BI66" ca="1">IF(ROWS($9:65)&lt;=COUNTIF(Condition13,"o"),INDEX(Liste13,SMALL(IF(Condition13="o",ROW(INDIRECT("1:"&amp;ROWS(Liste13)))),ROWS($9:65))),"")</f>
        <v/>
      </c>
      <c r="BJ66" s="175">
        <f t="shared" ca="1" si="143"/>
        <v>0</v>
      </c>
      <c r="BK66" s="175" t="str">
        <f t="shared" ca="1" si="182"/>
        <v/>
      </c>
      <c r="BL66" s="169" t="str">
        <f t="shared" ca="1" si="106"/>
        <v/>
      </c>
      <c r="BM66" s="169" t="str">
        <f t="array" aca="1" ref="BM66" ca="1">IF(ROWS($9:65)&lt;=COUNTIF(Condition14,"o"),INDEX(Liste14,SMALL(IF(Condition14="o",ROW(INDIRECT("1:"&amp;ROWS(Liste14)))),ROWS($9:65))),"")</f>
        <v/>
      </c>
      <c r="BN66" s="175">
        <f t="shared" ca="1" si="144"/>
        <v>0</v>
      </c>
      <c r="BO66" s="175" t="str">
        <f t="shared" ca="1" si="183"/>
        <v/>
      </c>
      <c r="BP66" s="169" t="str">
        <f t="shared" ca="1" si="107"/>
        <v/>
      </c>
      <c r="BQ66" s="169" t="str">
        <f t="array" aca="1" ref="BQ66" ca="1">IF(ROWS($9:65)&lt;=COUNTIF(Condition15,"o"),INDEX(Liste15,SMALL(IF(Condition15="o",ROW(INDIRECT("1:"&amp;ROWS(Liste15)))),ROWS($9:65))),"")</f>
        <v/>
      </c>
      <c r="BR66" s="175">
        <f t="shared" ca="1" si="145"/>
        <v>0</v>
      </c>
      <c r="BS66" s="175" t="str">
        <f t="shared" ca="1" si="184"/>
        <v/>
      </c>
      <c r="BT66" s="169" t="str">
        <f t="shared" ca="1" si="108"/>
        <v/>
      </c>
      <c r="BU66" s="169" t="str">
        <f t="array" aca="1" ref="BU66" ca="1">IF(ROWS($9:65)&lt;=COUNTIF(Condition16,"o"),INDEX(Liste16,SMALL(IF(Condition16="o",ROW(INDIRECT("1:"&amp;ROWS(Liste16)))),ROWS($9:65))),"")</f>
        <v/>
      </c>
      <c r="BV66" s="175">
        <f t="shared" ca="1" si="146"/>
        <v>0</v>
      </c>
      <c r="BW66" s="175" t="str">
        <f t="shared" ca="1" si="185"/>
        <v/>
      </c>
      <c r="BX66" s="169" t="str">
        <f t="shared" ca="1" si="109"/>
        <v/>
      </c>
      <c r="BY66" s="169" t="str">
        <f t="array" aca="1" ref="BY66" ca="1">IF(ROWS($9:65)&lt;=COUNTIF(Condition17,"o"),INDEX(Liste17,SMALL(IF(Condition17="o",ROW(INDIRECT("1:"&amp;ROWS(Liste17)))),ROWS($9:65))),"")</f>
        <v/>
      </c>
      <c r="BZ66" s="175">
        <f t="shared" ca="1" si="147"/>
        <v>0</v>
      </c>
      <c r="CA66" s="175" t="str">
        <f t="shared" ca="1" si="186"/>
        <v/>
      </c>
      <c r="CB66" s="169" t="str">
        <f t="shared" ca="1" si="110"/>
        <v/>
      </c>
      <c r="CC66" s="169" t="str">
        <f t="array" aca="1" ref="CC66" ca="1">IF(ROWS($9:65)&lt;=COUNTIF(Condition18,"o"),INDEX(Liste18,SMALL(IF(Condition18="o",ROW(INDIRECT("1:"&amp;ROWS(Liste18)))),ROWS($9:65))),"")</f>
        <v/>
      </c>
      <c r="CD66" s="175">
        <f t="shared" ca="1" si="148"/>
        <v>0</v>
      </c>
      <c r="CE66" s="175" t="str">
        <f t="shared" ca="1" si="187"/>
        <v/>
      </c>
      <c r="CF66" s="169" t="str">
        <f t="shared" ca="1" si="111"/>
        <v/>
      </c>
      <c r="CG66" s="169" t="str">
        <f t="array" aca="1" ref="CG66" ca="1">IF(ROWS($9:65)&lt;=COUNTIF(Condition19,"o"),INDEX(Liste19,SMALL(IF(Condition19="o",ROW(INDIRECT("1:"&amp;ROWS(Liste19)))),ROWS($9:65))),"")</f>
        <v/>
      </c>
      <c r="CH66" s="175">
        <f t="shared" ca="1" si="149"/>
        <v>0</v>
      </c>
      <c r="CI66" s="175" t="str">
        <f t="shared" ca="1" si="188"/>
        <v/>
      </c>
      <c r="CJ66" s="169" t="str">
        <f t="shared" ca="1" si="112"/>
        <v/>
      </c>
      <c r="CK66" s="169" t="str">
        <f t="array" aca="1" ref="CK66" ca="1">IF(ROWS($9:65)&lt;=COUNTIF(Condition20,"o"),INDEX(Liste20,SMALL(IF(Condition20="o",ROW(INDIRECT("1:"&amp;ROWS(Liste20)))),ROWS($9:65))),"")</f>
        <v/>
      </c>
      <c r="CL66" s="175">
        <f t="shared" ca="1" si="150"/>
        <v>0</v>
      </c>
      <c r="CM66" s="175" t="str">
        <f t="shared" ca="1" si="189"/>
        <v/>
      </c>
      <c r="CN66" s="169" t="str">
        <f t="shared" ca="1" si="113"/>
        <v/>
      </c>
      <c r="CO66" s="169" t="str">
        <f t="array" aca="1" ref="CO66" ca="1">IF(ROWS($9:65)&lt;=COUNTIF(Condition21,"o"),INDEX(Liste21,SMALL(IF(Condition21="o",ROW(INDIRECT("1:"&amp;ROWS(Liste21)))),ROWS($9:65))),"")</f>
        <v/>
      </c>
      <c r="CP66" s="175">
        <f t="shared" ca="1" si="151"/>
        <v>0</v>
      </c>
      <c r="CQ66" s="175" t="str">
        <f t="shared" ca="1" si="190"/>
        <v/>
      </c>
      <c r="CR66" s="169" t="str">
        <f t="shared" ca="1" si="114"/>
        <v/>
      </c>
      <c r="CS66" s="169" t="str">
        <f t="array" aca="1" ref="CS66" ca="1">IF(ROWS($9:65)&lt;=COUNTIF(Condition22,"o"),INDEX(Liste22,SMALL(IF(Condition22="o",ROW(INDIRECT("1:"&amp;ROWS(Liste22)))),ROWS($9:65))),"")</f>
        <v/>
      </c>
      <c r="CT66" s="175">
        <f t="shared" ca="1" si="152"/>
        <v>0</v>
      </c>
      <c r="CU66" s="175" t="str">
        <f t="shared" ca="1" si="191"/>
        <v/>
      </c>
      <c r="CV66" s="169" t="str">
        <f t="shared" ca="1" si="115"/>
        <v/>
      </c>
      <c r="CW66" s="169" t="str">
        <f t="array" aca="1" ref="CW66" ca="1">IF(ROWS($9:65)&lt;=COUNTIF(Condition23,"o"),INDEX(Liste23,SMALL(IF(Condition23="o",ROW(INDIRECT("1:"&amp;ROWS(Liste23)))),ROWS($9:65))),"")</f>
        <v/>
      </c>
      <c r="CX66" s="175">
        <f t="shared" ca="1" si="153"/>
        <v>0</v>
      </c>
      <c r="CY66" s="175" t="str">
        <f t="shared" ca="1" si="192"/>
        <v/>
      </c>
      <c r="CZ66" s="169" t="str">
        <f t="shared" ca="1" si="116"/>
        <v/>
      </c>
      <c r="DA66" s="169" t="str">
        <f t="array" aca="1" ref="DA66" ca="1">IF(ROWS($9:65)&lt;=COUNTIF(Condition24,"o"),INDEX(Liste24,SMALL(IF(Condition24="o",ROW(INDIRECT("1:"&amp;ROWS(Liste24)))),ROWS($9:65))),"")</f>
        <v/>
      </c>
      <c r="DB66" s="175">
        <f t="shared" ca="1" si="154"/>
        <v>0</v>
      </c>
      <c r="DC66" s="175" t="str">
        <f t="shared" ca="1" si="193"/>
        <v/>
      </c>
      <c r="DD66" s="169" t="str">
        <f t="shared" ca="1" si="117"/>
        <v/>
      </c>
      <c r="DE66" s="169" t="str">
        <f t="array" aca="1" ref="DE66" ca="1">IF(ROWS($9:65)&lt;=COUNTIF(Condition25,"o"),INDEX(Liste25,SMALL(IF(Condition25="o",ROW(INDIRECT("1:"&amp;ROWS(Liste25)))),ROWS($9:65))),"")</f>
        <v/>
      </c>
      <c r="DF66" s="175">
        <f t="shared" ca="1" si="155"/>
        <v>0</v>
      </c>
      <c r="DG66" s="175" t="str">
        <f t="shared" ca="1" si="194"/>
        <v/>
      </c>
      <c r="DH66" s="169" t="str">
        <f t="shared" ca="1" si="118"/>
        <v/>
      </c>
      <c r="DI66" s="169" t="str">
        <f t="array" aca="1" ref="DI66" ca="1">IF(ROWS($9:65)&lt;=COUNTIF(Condition26,"o"),INDEX(Liste26,SMALL(IF(Condition26="o",ROW(INDIRECT("1:"&amp;ROWS(Liste26)))),ROWS($9:65))),"")</f>
        <v/>
      </c>
      <c r="DJ66" s="175">
        <f t="shared" ca="1" si="156"/>
        <v>0</v>
      </c>
      <c r="DK66" s="175" t="str">
        <f t="shared" ca="1" si="195"/>
        <v/>
      </c>
      <c r="DL66" s="169" t="str">
        <f t="shared" ca="1" si="119"/>
        <v/>
      </c>
      <c r="DM66" s="169" t="str">
        <f t="array" aca="1" ref="DM66" ca="1">IF(ROWS($9:65)&lt;=COUNTIF(Condition27,"o"),INDEX(Liste27,SMALL(IF(Condition27="o",ROW(INDIRECT("1:"&amp;ROWS(Liste27)))),ROWS($9:65))),"")</f>
        <v/>
      </c>
      <c r="DN66" s="175">
        <f t="shared" ca="1" si="157"/>
        <v>0</v>
      </c>
      <c r="DO66" s="175" t="str">
        <f t="shared" ca="1" si="196"/>
        <v/>
      </c>
      <c r="DP66" s="169" t="str">
        <f t="shared" ca="1" si="120"/>
        <v/>
      </c>
      <c r="DQ66" s="169" t="str">
        <f t="array" aca="1" ref="DQ66" ca="1">IF(ROWS($9:65)&lt;=COUNTIF(Condition28,"o"),INDEX(Liste28,SMALL(IF(Condition28="o",ROW(INDIRECT("1:"&amp;ROWS(Liste28)))),ROWS($9:65))),"")</f>
        <v/>
      </c>
      <c r="DR66" s="175">
        <f t="shared" ca="1" si="158"/>
        <v>0</v>
      </c>
      <c r="DS66" s="175" t="str">
        <f t="shared" ca="1" si="197"/>
        <v/>
      </c>
      <c r="DT66" s="169" t="str">
        <f t="shared" ca="1" si="121"/>
        <v/>
      </c>
      <c r="DU66" s="169" t="str">
        <f t="array" aca="1" ref="DU66" ca="1">IF(ROWS($9:65)&lt;=COUNTIF(Condition29,"o"),INDEX(Liste29,SMALL(IF(Condition29="o",ROW(INDIRECT("1:"&amp;ROWS(Liste29)))),ROWS($9:65))),"")</f>
        <v/>
      </c>
      <c r="DV66" s="175">
        <f t="shared" ca="1" si="159"/>
        <v>0</v>
      </c>
      <c r="DW66" s="175" t="str">
        <f t="shared" ca="1" si="198"/>
        <v/>
      </c>
      <c r="DX66" s="169" t="str">
        <f t="shared" ca="1" si="122"/>
        <v/>
      </c>
      <c r="DY66" s="169" t="str">
        <f t="array" aca="1" ref="DY66" ca="1">IF(ROWS($9:65)&lt;=COUNTIF(Condition30,"o"),INDEX(Liste30,SMALL(IF(Condition30="o",ROW(INDIRECT("1:"&amp;ROWS(Liste30)))),ROWS($9:65))),"")</f>
        <v/>
      </c>
      <c r="DZ66" s="175">
        <f t="shared" ca="1" si="160"/>
        <v>0</v>
      </c>
      <c r="EA66" s="175" t="str">
        <f t="shared" ca="1" si="199"/>
        <v/>
      </c>
      <c r="EB66" s="169" t="str">
        <f t="shared" ca="1" si="123"/>
        <v/>
      </c>
      <c r="EC66" s="169" t="str">
        <f t="array" aca="1" ref="EC66" ca="1">IF(ROWS($9:65)&lt;=COUNTIF(Condition31,"o"),INDEX(Liste31,SMALL(IF(Condition31="o",ROW(INDIRECT("1:"&amp;ROWS(Liste31)))),ROWS($9:65))),"")</f>
        <v/>
      </c>
      <c r="ED66" s="175">
        <f t="shared" ca="1" si="161"/>
        <v>0</v>
      </c>
      <c r="EE66" s="175" t="str">
        <f t="shared" ca="1" si="200"/>
        <v/>
      </c>
      <c r="EF66" s="169" t="str">
        <f t="shared" ca="1" si="124"/>
        <v/>
      </c>
      <c r="EG66" s="169" t="str">
        <f t="array" aca="1" ref="EG66" ca="1">IF(ROWS($9:65)&lt;=COUNTIF(Condition32,"o"),INDEX(Liste32,SMALL(IF(Condition32="o",ROW(INDIRECT("1:"&amp;ROWS(Liste32)))),ROWS($9:65))),"")</f>
        <v/>
      </c>
      <c r="EH66" s="175">
        <f t="shared" ca="1" si="162"/>
        <v>0</v>
      </c>
      <c r="EI66" s="175" t="str">
        <f t="shared" ca="1" si="201"/>
        <v/>
      </c>
      <c r="EJ66" s="169" t="str">
        <f t="shared" ca="1" si="125"/>
        <v/>
      </c>
      <c r="EK66" s="169" t="str">
        <f t="array" aca="1" ref="EK66" ca="1">IF(ROWS($9:65)&lt;=COUNTIF(Condition33,"o"),INDEX(Liste33,SMALL(IF(Condition33="o",ROW(INDIRECT("1:"&amp;ROWS(Liste33)))),ROWS($9:65))),"")</f>
        <v/>
      </c>
      <c r="EL66" s="175">
        <f t="shared" ca="1" si="163"/>
        <v>0</v>
      </c>
      <c r="EM66" s="175" t="str">
        <f t="shared" ca="1" si="202"/>
        <v/>
      </c>
      <c r="EN66" s="169" t="str">
        <f t="shared" ca="1" si="126"/>
        <v/>
      </c>
      <c r="EO66" s="169" t="str">
        <f t="array" aca="1" ref="EO66" ca="1">IF(ROWS($9:65)&lt;=COUNTIF(Condition34,"o"),INDEX(Liste34,SMALL(IF(Condition34="o",ROW(INDIRECT("1:"&amp;ROWS(Liste34)))),ROWS($9:65))),"")</f>
        <v/>
      </c>
      <c r="EP66" s="175">
        <f t="shared" ca="1" si="164"/>
        <v>0</v>
      </c>
      <c r="EQ66" s="175" t="str">
        <f t="shared" ca="1" si="203"/>
        <v/>
      </c>
      <c r="ER66" s="169" t="str">
        <f t="shared" ca="1" si="127"/>
        <v/>
      </c>
      <c r="ES66" s="169" t="str">
        <f t="array" aca="1" ref="ES66" ca="1">IF(ROWS($9:65)&lt;=COUNTIF(Condition35,"o"),INDEX(Liste35,SMALL(IF(Condition35="o",ROW(INDIRECT("1:"&amp;ROWS(Liste35)))),ROWS($9:65))),"")</f>
        <v/>
      </c>
      <c r="ET66" s="175">
        <f t="shared" ca="1" si="165"/>
        <v>0</v>
      </c>
      <c r="EU66" s="175" t="str">
        <f t="shared" ca="1" si="204"/>
        <v/>
      </c>
      <c r="EV66" s="169" t="str">
        <f t="shared" ca="1" si="128"/>
        <v/>
      </c>
      <c r="EW66" s="169" t="str">
        <f t="array" aca="1" ref="EW66" ca="1">IF(ROWS($9:65)&lt;=COUNTIF(Condition36,"o"),INDEX(Liste36,SMALL(IF(Condition36="o",ROW(INDIRECT("1:"&amp;ROWS(Liste36)))),ROWS($9:65))),"")</f>
        <v/>
      </c>
      <c r="EX66" s="175">
        <f t="shared" ca="1" si="166"/>
        <v>0</v>
      </c>
      <c r="EY66" s="175" t="str">
        <f t="shared" ca="1" si="205"/>
        <v/>
      </c>
      <c r="EZ66" s="169" t="str">
        <f t="shared" ca="1" si="85"/>
        <v/>
      </c>
      <c r="FA66" s="169" t="str">
        <f t="array" aca="1" ref="FA66" ca="1">IF(ROWS($9:65)&lt;=COUNTIF(Condition36,"o"),INDEX(Liste36,SMALL(IF(Condition36="o",ROW(INDIRECT("1:"&amp;ROWS(Liste36)))),ROWS($9:65))),"")</f>
        <v/>
      </c>
      <c r="FB66" s="175">
        <f t="shared" ca="1" si="167"/>
        <v>0</v>
      </c>
      <c r="FC66" s="175" t="str">
        <f t="shared" ca="1" si="206"/>
        <v/>
      </c>
      <c r="FD66" s="169" t="str">
        <f t="shared" ca="1" si="86"/>
        <v/>
      </c>
      <c r="FE66" s="175">
        <f t="shared" si="168"/>
        <v>0</v>
      </c>
      <c r="FF66" s="175">
        <f t="shared" ca="1" si="168"/>
        <v>0</v>
      </c>
      <c r="FG66" s="175" t="str">
        <f t="shared" ca="1" si="207"/>
        <v/>
      </c>
      <c r="FH66" s="169" t="str">
        <f t="shared" ca="1" si="87"/>
        <v/>
      </c>
      <c r="FI66" s="169" t="str">
        <f t="array" aca="1" ref="FI66" ca="1">IF(ROWS($9:65)&lt;=COUNTIF(Condition39,"o"),INDEX(Liste39,SMALL(IF(Condition39="o",ROW(INDIRECT("1:"&amp;ROWS(Liste39)))),ROWS($9:65))),"")</f>
        <v/>
      </c>
      <c r="FO66" s="288"/>
      <c r="FQ66" s="289"/>
      <c r="FR66" s="288"/>
      <c r="FS66" s="290"/>
      <c r="FT66" s="291"/>
      <c r="FU66" s="288"/>
      <c r="FV66" s="290"/>
      <c r="FW66" s="291"/>
      <c r="FX66" s="288"/>
      <c r="FY66" s="290"/>
      <c r="FZ66" s="291"/>
      <c r="GA66" s="292"/>
      <c r="GB66" s="291"/>
      <c r="GC66" s="291"/>
      <c r="GD66" s="292"/>
      <c r="GE66" s="291"/>
      <c r="GF66" s="284"/>
      <c r="GG66" s="233"/>
    </row>
    <row r="67" spans="1:189">
      <c r="A67" s="1" t="s">
        <v>809</v>
      </c>
      <c r="B67" s="1">
        <f t="shared" si="208"/>
        <v>14</v>
      </c>
      <c r="C67" s="1">
        <f t="shared" ca="1" si="208"/>
        <v>0</v>
      </c>
      <c r="D67" s="1">
        <f t="shared" ca="1" si="208"/>
        <v>0</v>
      </c>
      <c r="E67" s="1" t="str">
        <f ca="1">Actions!K15</f>
        <v>-</v>
      </c>
      <c r="F67" s="1" t="str">
        <f t="shared" ca="1" si="0"/>
        <v>-</v>
      </c>
      <c r="G67" s="1" t="e">
        <f t="shared" ca="1" si="209"/>
        <v>#REF!</v>
      </c>
      <c r="I67" s="1">
        <v>59</v>
      </c>
      <c r="J67" s="175">
        <f t="shared" ca="1" si="130"/>
        <v>0</v>
      </c>
      <c r="K67" s="175" t="str">
        <f t="shared" ca="1" si="169"/>
        <v/>
      </c>
      <c r="L67" s="169" t="str">
        <f t="shared" ca="1" si="93"/>
        <v/>
      </c>
      <c r="M67" s="169" t="str">
        <f t="array" aca="1" ref="M67" ca="1">IF(ROWS($9:66)&lt;=COUNTIF(Condition1,"o"),INDEX(Liste1,SMALL(IF(Condition1="o",ROW(INDIRECT("1:"&amp;ROWS(Liste1)))),ROWS($9:66))),"")</f>
        <v/>
      </c>
      <c r="N67" s="175">
        <f t="shared" ca="1" si="131"/>
        <v>0</v>
      </c>
      <c r="O67" s="175" t="str">
        <f t="shared" ca="1" si="170"/>
        <v/>
      </c>
      <c r="P67" s="169" t="str">
        <f t="shared" ca="1" si="94"/>
        <v/>
      </c>
      <c r="Q67" s="169" t="str">
        <f t="array" aca="1" ref="Q67" ca="1">IF(ROWS($9:66)&lt;=COUNTIF(Condition2,"o"),INDEX(Liste2,SMALL(IF(Condition2="o",ROW(INDIRECT("1:"&amp;ROWS(Liste2)))),ROWS($9:66))),"")</f>
        <v/>
      </c>
      <c r="R67" s="175">
        <f t="shared" ca="1" si="132"/>
        <v>0</v>
      </c>
      <c r="S67" s="175" t="str">
        <f t="shared" ca="1" si="171"/>
        <v/>
      </c>
      <c r="T67" s="169" t="str">
        <f t="shared" ca="1" si="95"/>
        <v/>
      </c>
      <c r="U67" s="169" t="str">
        <f t="array" aca="1" ref="U67" ca="1">IF(ROWS($9:66)&lt;=COUNTIF(Condition3,"o"),INDEX(Liste3,SMALL(IF(Condition3="o",ROW(INDIRECT("1:"&amp;ROWS(Liste3)))),ROWS($9:66))),"")</f>
        <v/>
      </c>
      <c r="V67" s="175">
        <f t="shared" ca="1" si="133"/>
        <v>0</v>
      </c>
      <c r="W67" s="175" t="str">
        <f t="shared" ca="1" si="172"/>
        <v/>
      </c>
      <c r="X67" s="169" t="str">
        <f t="shared" ca="1" si="96"/>
        <v/>
      </c>
      <c r="Y67" s="169" t="str">
        <f t="array" aca="1" ref="Y67" ca="1">IF(ROWS($9:66)&lt;=COUNTIF(Condition4,"o"),INDEX(Liste4,SMALL(IF(Condition4="o",ROW(INDIRECT("1:"&amp;ROWS(Liste4)))),ROWS($9:66))),"")</f>
        <v/>
      </c>
      <c r="Z67" s="175">
        <f t="shared" ca="1" si="134"/>
        <v>0</v>
      </c>
      <c r="AA67" s="175" t="str">
        <f t="shared" ca="1" si="173"/>
        <v/>
      </c>
      <c r="AB67" s="169" t="str">
        <f t="shared" ca="1" si="97"/>
        <v/>
      </c>
      <c r="AC67" s="169" t="str">
        <f t="array" aca="1" ref="AC67" ca="1">IF(ROWS($9:66)&lt;=COUNTIF(Condition5,"o"),INDEX(Liste5,SMALL(IF(Condition5="o",ROW(INDIRECT("1:"&amp;ROWS(Liste5)))),ROWS($9:66))),"")</f>
        <v/>
      </c>
      <c r="AD67" s="175">
        <f t="shared" ca="1" si="135"/>
        <v>0</v>
      </c>
      <c r="AE67" s="175" t="str">
        <f t="shared" ca="1" si="174"/>
        <v/>
      </c>
      <c r="AF67" s="169" t="str">
        <f t="shared" ca="1" si="98"/>
        <v/>
      </c>
      <c r="AG67" s="169" t="str">
        <f t="array" aca="1" ref="AG67" ca="1">IF(ROWS($9:66)&lt;=COUNTIF(Condition6,"o"),INDEX(Liste6,SMALL(IF(Condition6="o",ROW(INDIRECT("1:"&amp;ROWS(Liste6)))),ROWS($9:66))),"")</f>
        <v/>
      </c>
      <c r="AH67" s="175">
        <f t="shared" ca="1" si="136"/>
        <v>0</v>
      </c>
      <c r="AI67" s="175" t="str">
        <f t="shared" ca="1" si="175"/>
        <v/>
      </c>
      <c r="AJ67" s="169" t="str">
        <f t="shared" ca="1" si="99"/>
        <v/>
      </c>
      <c r="AK67" s="169" t="str">
        <f t="array" aca="1" ref="AK67" ca="1">IF(ROWS($9:66)&lt;=COUNTIF(Condition7,"o"),INDEX(Liste7,SMALL(IF(Condition7="o",ROW(INDIRECT("1:"&amp;ROWS(Liste7)))),ROWS($9:66))),"")</f>
        <v/>
      </c>
      <c r="AL67" s="175">
        <f t="shared" ca="1" si="137"/>
        <v>0</v>
      </c>
      <c r="AM67" s="175" t="str">
        <f t="shared" ca="1" si="176"/>
        <v/>
      </c>
      <c r="AN67" s="169" t="str">
        <f t="shared" ca="1" si="100"/>
        <v/>
      </c>
      <c r="AO67" s="169" t="str">
        <f t="array" aca="1" ref="AO67" ca="1">IF(ROWS($9:66)&lt;=COUNTIF(Condition8,"o"),INDEX(Liste8,SMALL(IF(Condition8="o",ROW(INDIRECT("1:"&amp;ROWS(Liste8)))),ROWS($9:66))),"")</f>
        <v/>
      </c>
      <c r="AP67" s="175">
        <f t="shared" ca="1" si="138"/>
        <v>0</v>
      </c>
      <c r="AQ67" s="175" t="str">
        <f t="shared" ca="1" si="177"/>
        <v/>
      </c>
      <c r="AR67" s="169" t="str">
        <f t="shared" ca="1" si="101"/>
        <v/>
      </c>
      <c r="AS67" s="169" t="str">
        <f t="array" aca="1" ref="AS67" ca="1">IF(ROWS($9:66)&lt;=COUNTIF(Condition9,"o"),INDEX(Liste9,SMALL(IF(Condition9="o",ROW(INDIRECT("1:"&amp;ROWS(Liste9)))),ROWS($9:66))),"")</f>
        <v/>
      </c>
      <c r="AT67" s="175">
        <f t="shared" ca="1" si="139"/>
        <v>0</v>
      </c>
      <c r="AU67" s="175" t="str">
        <f t="shared" ca="1" si="178"/>
        <v/>
      </c>
      <c r="AV67" s="169" t="str">
        <f t="shared" ca="1" si="102"/>
        <v/>
      </c>
      <c r="AW67" s="169" t="str">
        <f t="array" aca="1" ref="AW67" ca="1">IF(ROWS($9:66)&lt;=COUNTIF(Condition10,"o"),INDEX(Liste10,SMALL(IF(Condition10="o",ROW(INDIRECT("1:"&amp;ROWS(Liste10)))),ROWS($9:66))),"")</f>
        <v/>
      </c>
      <c r="AX67" s="175">
        <f t="shared" ca="1" si="140"/>
        <v>0</v>
      </c>
      <c r="AY67" s="175" t="str">
        <f t="shared" ca="1" si="179"/>
        <v/>
      </c>
      <c r="AZ67" s="169" t="str">
        <f t="shared" ca="1" si="103"/>
        <v/>
      </c>
      <c r="BA67" s="169" t="str">
        <f t="array" aca="1" ref="BA67" ca="1">IF(ROWS($9:66)&lt;=COUNTIF(Condition11,"o"),INDEX(Liste11,SMALL(IF(Condition11="o",ROW(INDIRECT("1:"&amp;ROWS(Liste11)))),ROWS($9:66))),"")</f>
        <v/>
      </c>
      <c r="BB67" s="175">
        <f t="shared" ca="1" si="141"/>
        <v>0</v>
      </c>
      <c r="BC67" s="175" t="str">
        <f t="shared" ca="1" si="180"/>
        <v/>
      </c>
      <c r="BD67" s="169" t="str">
        <f t="shared" ca="1" si="104"/>
        <v/>
      </c>
      <c r="BE67" s="169" t="str">
        <f t="array" aca="1" ref="BE67" ca="1">IF(ROWS($9:66)&lt;=COUNTIF(Condition12,"o"),INDEX(Liste12,SMALL(IF(Condition12="o",ROW(INDIRECT("1:"&amp;ROWS(Liste12)))),ROWS($9:66))),"")</f>
        <v/>
      </c>
      <c r="BF67" s="175">
        <f t="shared" ca="1" si="142"/>
        <v>0</v>
      </c>
      <c r="BG67" s="175" t="str">
        <f t="shared" ca="1" si="181"/>
        <v/>
      </c>
      <c r="BH67" s="169" t="str">
        <f t="shared" ca="1" si="105"/>
        <v/>
      </c>
      <c r="BI67" s="169" t="str">
        <f t="array" aca="1" ref="BI67" ca="1">IF(ROWS($9:66)&lt;=COUNTIF(Condition13,"o"),INDEX(Liste13,SMALL(IF(Condition13="o",ROW(INDIRECT("1:"&amp;ROWS(Liste13)))),ROWS($9:66))),"")</f>
        <v/>
      </c>
      <c r="BJ67" s="175">
        <f t="shared" ca="1" si="143"/>
        <v>0</v>
      </c>
      <c r="BK67" s="175" t="str">
        <f t="shared" ca="1" si="182"/>
        <v/>
      </c>
      <c r="BL67" s="169" t="str">
        <f t="shared" ca="1" si="106"/>
        <v/>
      </c>
      <c r="BM67" s="169" t="str">
        <f t="array" aca="1" ref="BM67" ca="1">IF(ROWS($9:66)&lt;=COUNTIF(Condition14,"o"),INDEX(Liste14,SMALL(IF(Condition14="o",ROW(INDIRECT("1:"&amp;ROWS(Liste14)))),ROWS($9:66))),"")</f>
        <v/>
      </c>
      <c r="BN67" s="175">
        <f t="shared" ca="1" si="144"/>
        <v>0</v>
      </c>
      <c r="BO67" s="175" t="str">
        <f t="shared" ca="1" si="183"/>
        <v/>
      </c>
      <c r="BP67" s="169" t="str">
        <f t="shared" ca="1" si="107"/>
        <v/>
      </c>
      <c r="BQ67" s="169" t="str">
        <f t="array" aca="1" ref="BQ67" ca="1">IF(ROWS($9:66)&lt;=COUNTIF(Condition15,"o"),INDEX(Liste15,SMALL(IF(Condition15="o",ROW(INDIRECT("1:"&amp;ROWS(Liste15)))),ROWS($9:66))),"")</f>
        <v/>
      </c>
      <c r="BR67" s="175">
        <f t="shared" ca="1" si="145"/>
        <v>0</v>
      </c>
      <c r="BS67" s="175" t="str">
        <f t="shared" ca="1" si="184"/>
        <v/>
      </c>
      <c r="BT67" s="169" t="str">
        <f t="shared" ca="1" si="108"/>
        <v/>
      </c>
      <c r="BU67" s="169" t="str">
        <f t="array" aca="1" ref="BU67" ca="1">IF(ROWS($9:66)&lt;=COUNTIF(Condition16,"o"),INDEX(Liste16,SMALL(IF(Condition16="o",ROW(INDIRECT("1:"&amp;ROWS(Liste16)))),ROWS($9:66))),"")</f>
        <v/>
      </c>
      <c r="BV67" s="175">
        <f t="shared" ca="1" si="146"/>
        <v>0</v>
      </c>
      <c r="BW67" s="175" t="str">
        <f t="shared" ca="1" si="185"/>
        <v/>
      </c>
      <c r="BX67" s="169" t="str">
        <f t="shared" ca="1" si="109"/>
        <v/>
      </c>
      <c r="BY67" s="169" t="str">
        <f t="array" aca="1" ref="BY67" ca="1">IF(ROWS($9:66)&lt;=COUNTIF(Condition17,"o"),INDEX(Liste17,SMALL(IF(Condition17="o",ROW(INDIRECT("1:"&amp;ROWS(Liste17)))),ROWS($9:66))),"")</f>
        <v/>
      </c>
      <c r="BZ67" s="175">
        <f t="shared" ca="1" si="147"/>
        <v>0</v>
      </c>
      <c r="CA67" s="175" t="str">
        <f t="shared" ca="1" si="186"/>
        <v/>
      </c>
      <c r="CB67" s="169" t="str">
        <f t="shared" ca="1" si="110"/>
        <v/>
      </c>
      <c r="CC67" s="169" t="str">
        <f t="array" aca="1" ref="CC67" ca="1">IF(ROWS($9:66)&lt;=COUNTIF(Condition18,"o"),INDEX(Liste18,SMALL(IF(Condition18="o",ROW(INDIRECT("1:"&amp;ROWS(Liste18)))),ROWS($9:66))),"")</f>
        <v/>
      </c>
      <c r="CD67" s="175">
        <f t="shared" ca="1" si="148"/>
        <v>0</v>
      </c>
      <c r="CE67" s="175" t="str">
        <f t="shared" ca="1" si="187"/>
        <v/>
      </c>
      <c r="CF67" s="169" t="str">
        <f t="shared" ca="1" si="111"/>
        <v/>
      </c>
      <c r="CG67" s="169" t="str">
        <f t="array" aca="1" ref="CG67" ca="1">IF(ROWS($9:66)&lt;=COUNTIF(Condition19,"o"),INDEX(Liste19,SMALL(IF(Condition19="o",ROW(INDIRECT("1:"&amp;ROWS(Liste19)))),ROWS($9:66))),"")</f>
        <v/>
      </c>
      <c r="CH67" s="175">
        <f t="shared" ca="1" si="149"/>
        <v>0</v>
      </c>
      <c r="CI67" s="175" t="str">
        <f t="shared" ca="1" si="188"/>
        <v/>
      </c>
      <c r="CJ67" s="169" t="str">
        <f t="shared" ca="1" si="112"/>
        <v/>
      </c>
      <c r="CK67" s="169" t="str">
        <f t="array" aca="1" ref="CK67" ca="1">IF(ROWS($9:66)&lt;=COUNTIF(Condition20,"o"),INDEX(Liste20,SMALL(IF(Condition20="o",ROW(INDIRECT("1:"&amp;ROWS(Liste20)))),ROWS($9:66))),"")</f>
        <v/>
      </c>
      <c r="CL67" s="175">
        <f t="shared" ca="1" si="150"/>
        <v>0</v>
      </c>
      <c r="CM67" s="175" t="str">
        <f t="shared" ca="1" si="189"/>
        <v/>
      </c>
      <c r="CN67" s="169" t="str">
        <f t="shared" ca="1" si="113"/>
        <v/>
      </c>
      <c r="CO67" s="169" t="str">
        <f t="array" aca="1" ref="CO67" ca="1">IF(ROWS($9:66)&lt;=COUNTIF(Condition21,"o"),INDEX(Liste21,SMALL(IF(Condition21="o",ROW(INDIRECT("1:"&amp;ROWS(Liste21)))),ROWS($9:66))),"")</f>
        <v/>
      </c>
      <c r="CP67" s="175">
        <f t="shared" ca="1" si="151"/>
        <v>0</v>
      </c>
      <c r="CQ67" s="175" t="str">
        <f t="shared" ca="1" si="190"/>
        <v/>
      </c>
      <c r="CR67" s="169" t="str">
        <f t="shared" ca="1" si="114"/>
        <v/>
      </c>
      <c r="CS67" s="169" t="str">
        <f t="array" aca="1" ref="CS67" ca="1">IF(ROWS($9:66)&lt;=COUNTIF(Condition22,"o"),INDEX(Liste22,SMALL(IF(Condition22="o",ROW(INDIRECT("1:"&amp;ROWS(Liste22)))),ROWS($9:66))),"")</f>
        <v/>
      </c>
      <c r="CT67" s="175">
        <f t="shared" ca="1" si="152"/>
        <v>0</v>
      </c>
      <c r="CU67" s="175" t="str">
        <f t="shared" ca="1" si="191"/>
        <v/>
      </c>
      <c r="CV67" s="169" t="str">
        <f t="shared" ca="1" si="115"/>
        <v/>
      </c>
      <c r="CW67" s="169" t="str">
        <f t="array" aca="1" ref="CW67" ca="1">IF(ROWS($9:66)&lt;=COUNTIF(Condition23,"o"),INDEX(Liste23,SMALL(IF(Condition23="o",ROW(INDIRECT("1:"&amp;ROWS(Liste23)))),ROWS($9:66))),"")</f>
        <v/>
      </c>
      <c r="CX67" s="175">
        <f t="shared" ca="1" si="153"/>
        <v>0</v>
      </c>
      <c r="CY67" s="175" t="str">
        <f t="shared" ca="1" si="192"/>
        <v/>
      </c>
      <c r="CZ67" s="169" t="str">
        <f t="shared" ca="1" si="116"/>
        <v/>
      </c>
      <c r="DA67" s="169" t="str">
        <f t="array" aca="1" ref="DA67" ca="1">IF(ROWS($9:66)&lt;=COUNTIF(Condition24,"o"),INDEX(Liste24,SMALL(IF(Condition24="o",ROW(INDIRECT("1:"&amp;ROWS(Liste24)))),ROWS($9:66))),"")</f>
        <v/>
      </c>
      <c r="DB67" s="175">
        <f t="shared" ca="1" si="154"/>
        <v>0</v>
      </c>
      <c r="DC67" s="175" t="str">
        <f t="shared" ca="1" si="193"/>
        <v/>
      </c>
      <c r="DD67" s="169" t="str">
        <f t="shared" ca="1" si="117"/>
        <v/>
      </c>
      <c r="DE67" s="169" t="str">
        <f t="array" aca="1" ref="DE67" ca="1">IF(ROWS($9:66)&lt;=COUNTIF(Condition25,"o"),INDEX(Liste25,SMALL(IF(Condition25="o",ROW(INDIRECT("1:"&amp;ROWS(Liste25)))),ROWS($9:66))),"")</f>
        <v/>
      </c>
      <c r="DF67" s="175">
        <f t="shared" ca="1" si="155"/>
        <v>0</v>
      </c>
      <c r="DG67" s="175" t="str">
        <f t="shared" ca="1" si="194"/>
        <v/>
      </c>
      <c r="DH67" s="169" t="str">
        <f t="shared" ca="1" si="118"/>
        <v/>
      </c>
      <c r="DI67" s="169" t="str">
        <f t="array" aca="1" ref="DI67" ca="1">IF(ROWS($9:66)&lt;=COUNTIF(Condition26,"o"),INDEX(Liste26,SMALL(IF(Condition26="o",ROW(INDIRECT("1:"&amp;ROWS(Liste26)))),ROWS($9:66))),"")</f>
        <v/>
      </c>
      <c r="DJ67" s="175">
        <f t="shared" ca="1" si="156"/>
        <v>0</v>
      </c>
      <c r="DK67" s="175" t="str">
        <f t="shared" ca="1" si="195"/>
        <v/>
      </c>
      <c r="DL67" s="169" t="str">
        <f t="shared" ca="1" si="119"/>
        <v/>
      </c>
      <c r="DM67" s="169" t="str">
        <f t="array" aca="1" ref="DM67" ca="1">IF(ROWS($9:66)&lt;=COUNTIF(Condition27,"o"),INDEX(Liste27,SMALL(IF(Condition27="o",ROW(INDIRECT("1:"&amp;ROWS(Liste27)))),ROWS($9:66))),"")</f>
        <v/>
      </c>
      <c r="DN67" s="175">
        <f t="shared" ca="1" si="157"/>
        <v>0</v>
      </c>
      <c r="DO67" s="175" t="str">
        <f t="shared" ca="1" si="196"/>
        <v/>
      </c>
      <c r="DP67" s="169" t="str">
        <f t="shared" ca="1" si="120"/>
        <v/>
      </c>
      <c r="DQ67" s="169" t="str">
        <f t="array" aca="1" ref="DQ67" ca="1">IF(ROWS($9:66)&lt;=COUNTIF(Condition28,"o"),INDEX(Liste28,SMALL(IF(Condition28="o",ROW(INDIRECT("1:"&amp;ROWS(Liste28)))),ROWS($9:66))),"")</f>
        <v/>
      </c>
      <c r="DR67" s="175">
        <f t="shared" ca="1" si="158"/>
        <v>0</v>
      </c>
      <c r="DS67" s="175" t="str">
        <f t="shared" ca="1" si="197"/>
        <v/>
      </c>
      <c r="DT67" s="169" t="str">
        <f t="shared" ca="1" si="121"/>
        <v/>
      </c>
      <c r="DU67" s="169" t="str">
        <f t="array" aca="1" ref="DU67" ca="1">IF(ROWS($9:66)&lt;=COUNTIF(Condition29,"o"),INDEX(Liste29,SMALL(IF(Condition29="o",ROW(INDIRECT("1:"&amp;ROWS(Liste29)))),ROWS($9:66))),"")</f>
        <v/>
      </c>
      <c r="DV67" s="175">
        <f t="shared" ca="1" si="159"/>
        <v>0</v>
      </c>
      <c r="DW67" s="175" t="str">
        <f t="shared" ca="1" si="198"/>
        <v/>
      </c>
      <c r="DX67" s="169" t="str">
        <f t="shared" ca="1" si="122"/>
        <v/>
      </c>
      <c r="DY67" s="169" t="str">
        <f t="array" aca="1" ref="DY67" ca="1">IF(ROWS($9:66)&lt;=COUNTIF(Condition30,"o"),INDEX(Liste30,SMALL(IF(Condition30="o",ROW(INDIRECT("1:"&amp;ROWS(Liste30)))),ROWS($9:66))),"")</f>
        <v/>
      </c>
      <c r="DZ67" s="175">
        <f t="shared" ca="1" si="160"/>
        <v>0</v>
      </c>
      <c r="EA67" s="175" t="str">
        <f t="shared" ca="1" si="199"/>
        <v/>
      </c>
      <c r="EB67" s="169" t="str">
        <f t="shared" ca="1" si="123"/>
        <v/>
      </c>
      <c r="EC67" s="169" t="str">
        <f t="array" aca="1" ref="EC67" ca="1">IF(ROWS($9:66)&lt;=COUNTIF(Condition31,"o"),INDEX(Liste31,SMALL(IF(Condition31="o",ROW(INDIRECT("1:"&amp;ROWS(Liste31)))),ROWS($9:66))),"")</f>
        <v/>
      </c>
      <c r="ED67" s="175">
        <f t="shared" ca="1" si="161"/>
        <v>0</v>
      </c>
      <c r="EE67" s="175" t="str">
        <f t="shared" ca="1" si="200"/>
        <v/>
      </c>
      <c r="EF67" s="169" t="str">
        <f t="shared" ca="1" si="124"/>
        <v/>
      </c>
      <c r="EG67" s="169" t="str">
        <f t="array" aca="1" ref="EG67" ca="1">IF(ROWS($9:66)&lt;=COUNTIF(Condition32,"o"),INDEX(Liste32,SMALL(IF(Condition32="o",ROW(INDIRECT("1:"&amp;ROWS(Liste32)))),ROWS($9:66))),"")</f>
        <v/>
      </c>
      <c r="EH67" s="175">
        <f t="shared" ca="1" si="162"/>
        <v>0</v>
      </c>
      <c r="EI67" s="175" t="str">
        <f t="shared" ca="1" si="201"/>
        <v/>
      </c>
      <c r="EJ67" s="169" t="str">
        <f t="shared" ca="1" si="125"/>
        <v/>
      </c>
      <c r="EK67" s="169" t="str">
        <f t="array" aca="1" ref="EK67" ca="1">IF(ROWS($9:66)&lt;=COUNTIF(Condition33,"o"),INDEX(Liste33,SMALL(IF(Condition33="o",ROW(INDIRECT("1:"&amp;ROWS(Liste33)))),ROWS($9:66))),"")</f>
        <v/>
      </c>
      <c r="EL67" s="175">
        <f t="shared" ca="1" si="163"/>
        <v>0</v>
      </c>
      <c r="EM67" s="175" t="str">
        <f t="shared" ca="1" si="202"/>
        <v/>
      </c>
      <c r="EN67" s="169" t="str">
        <f t="shared" ca="1" si="126"/>
        <v/>
      </c>
      <c r="EO67" s="169" t="str">
        <f t="array" aca="1" ref="EO67" ca="1">IF(ROWS($9:66)&lt;=COUNTIF(Condition34,"o"),INDEX(Liste34,SMALL(IF(Condition34="o",ROW(INDIRECT("1:"&amp;ROWS(Liste34)))),ROWS($9:66))),"")</f>
        <v/>
      </c>
      <c r="EP67" s="175">
        <f t="shared" ca="1" si="164"/>
        <v>0</v>
      </c>
      <c r="EQ67" s="175" t="str">
        <f t="shared" ca="1" si="203"/>
        <v/>
      </c>
      <c r="ER67" s="169" t="str">
        <f t="shared" ca="1" si="127"/>
        <v/>
      </c>
      <c r="ES67" s="169" t="str">
        <f t="array" aca="1" ref="ES67" ca="1">IF(ROWS($9:66)&lt;=COUNTIF(Condition35,"o"),INDEX(Liste35,SMALL(IF(Condition35="o",ROW(INDIRECT("1:"&amp;ROWS(Liste35)))),ROWS($9:66))),"")</f>
        <v/>
      </c>
      <c r="ET67" s="175">
        <f t="shared" ca="1" si="165"/>
        <v>0</v>
      </c>
      <c r="EU67" s="175" t="str">
        <f t="shared" ca="1" si="204"/>
        <v/>
      </c>
      <c r="EV67" s="169" t="str">
        <f t="shared" ca="1" si="128"/>
        <v/>
      </c>
      <c r="EW67" s="169" t="str">
        <f t="array" aca="1" ref="EW67" ca="1">IF(ROWS($9:66)&lt;=COUNTIF(Condition36,"o"),INDEX(Liste36,SMALL(IF(Condition36="o",ROW(INDIRECT("1:"&amp;ROWS(Liste36)))),ROWS($9:66))),"")</f>
        <v/>
      </c>
      <c r="EX67" s="175">
        <f t="shared" ca="1" si="166"/>
        <v>0</v>
      </c>
      <c r="EY67" s="175" t="str">
        <f t="shared" ca="1" si="205"/>
        <v/>
      </c>
      <c r="EZ67" s="169" t="str">
        <f t="shared" ca="1" si="85"/>
        <v/>
      </c>
      <c r="FA67" s="169" t="str">
        <f t="array" aca="1" ref="FA67" ca="1">IF(ROWS($9:66)&lt;=COUNTIF(Condition36,"o"),INDEX(Liste36,SMALL(IF(Condition36="o",ROW(INDIRECT("1:"&amp;ROWS(Liste36)))),ROWS($9:66))),"")</f>
        <v/>
      </c>
      <c r="FB67" s="175">
        <f t="shared" ca="1" si="167"/>
        <v>0</v>
      </c>
      <c r="FC67" s="175" t="str">
        <f t="shared" ca="1" si="206"/>
        <v/>
      </c>
      <c r="FD67" s="169" t="str">
        <f t="shared" ca="1" si="86"/>
        <v/>
      </c>
      <c r="FE67" s="175">
        <f t="shared" si="168"/>
        <v>0</v>
      </c>
      <c r="FF67" s="175">
        <f t="shared" ca="1" si="168"/>
        <v>0</v>
      </c>
      <c r="FG67" s="175" t="str">
        <f t="shared" ca="1" si="207"/>
        <v/>
      </c>
      <c r="FH67" s="169" t="str">
        <f t="shared" ca="1" si="87"/>
        <v/>
      </c>
      <c r="FI67" s="169" t="str">
        <f t="array" aca="1" ref="FI67" ca="1">IF(ROWS($9:66)&lt;=COUNTIF(Condition39,"o"),INDEX(Liste39,SMALL(IF(Condition39="o",ROW(INDIRECT("1:"&amp;ROWS(Liste39)))),ROWS($9:66))),"")</f>
        <v/>
      </c>
      <c r="FO67" s="288"/>
      <c r="FQ67" s="289"/>
      <c r="FR67" s="288"/>
      <c r="FS67" s="290"/>
      <c r="FT67" s="291"/>
      <c r="FU67" s="288"/>
      <c r="FV67" s="290"/>
      <c r="FW67" s="291"/>
      <c r="FX67" s="288"/>
      <c r="FY67" s="290"/>
      <c r="FZ67" s="291"/>
      <c r="GA67" s="292"/>
      <c r="GB67" s="291"/>
      <c r="GC67" s="291"/>
      <c r="GD67" s="292"/>
      <c r="GE67" s="291"/>
      <c r="GF67" s="284"/>
      <c r="GG67" s="233"/>
    </row>
    <row r="68" spans="1:189">
      <c r="A68" s="1" t="s">
        <v>817</v>
      </c>
      <c r="B68" s="1">
        <f t="shared" si="208"/>
        <v>15</v>
      </c>
      <c r="C68" s="1">
        <f t="shared" ca="1" si="208"/>
        <v>0</v>
      </c>
      <c r="D68" s="1">
        <f t="shared" ca="1" si="208"/>
        <v>0</v>
      </c>
      <c r="E68" s="1" t="str">
        <f ca="1">Actions!K16</f>
        <v>-</v>
      </c>
      <c r="F68" s="1" t="str">
        <f t="shared" ca="1" si="0"/>
        <v>-</v>
      </c>
      <c r="G68" s="1" t="e">
        <f t="shared" ca="1" si="209"/>
        <v>#REF!</v>
      </c>
      <c r="I68" s="1">
        <v>60</v>
      </c>
      <c r="J68" s="175">
        <f t="shared" ca="1" si="130"/>
        <v>0</v>
      </c>
      <c r="K68" s="175" t="str">
        <f t="shared" ca="1" si="169"/>
        <v/>
      </c>
      <c r="L68" s="169" t="str">
        <f t="shared" ca="1" si="93"/>
        <v/>
      </c>
      <c r="M68" s="169" t="str">
        <f t="array" aca="1" ref="M68" ca="1">IF(ROWS($9:67)&lt;=COUNTIF(Condition1,"o"),INDEX(Liste1,SMALL(IF(Condition1="o",ROW(INDIRECT("1:"&amp;ROWS(Liste1)))),ROWS($9:67))),"")</f>
        <v/>
      </c>
      <c r="N68" s="175">
        <f t="shared" ca="1" si="131"/>
        <v>0</v>
      </c>
      <c r="O68" s="175" t="str">
        <f t="shared" ca="1" si="170"/>
        <v/>
      </c>
      <c r="P68" s="169" t="str">
        <f t="shared" ca="1" si="94"/>
        <v/>
      </c>
      <c r="Q68" s="169" t="str">
        <f t="array" aca="1" ref="Q68" ca="1">IF(ROWS($9:67)&lt;=COUNTIF(Condition2,"o"),INDEX(Liste2,SMALL(IF(Condition2="o",ROW(INDIRECT("1:"&amp;ROWS(Liste2)))),ROWS($9:67))),"")</f>
        <v/>
      </c>
      <c r="R68" s="175">
        <f t="shared" ca="1" si="132"/>
        <v>0</v>
      </c>
      <c r="S68" s="175" t="str">
        <f t="shared" ca="1" si="171"/>
        <v/>
      </c>
      <c r="T68" s="169" t="str">
        <f t="shared" ca="1" si="95"/>
        <v/>
      </c>
      <c r="U68" s="169" t="str">
        <f t="array" aca="1" ref="U68" ca="1">IF(ROWS($9:67)&lt;=COUNTIF(Condition3,"o"),INDEX(Liste3,SMALL(IF(Condition3="o",ROW(INDIRECT("1:"&amp;ROWS(Liste3)))),ROWS($9:67))),"")</f>
        <v/>
      </c>
      <c r="V68" s="175">
        <f t="shared" ca="1" si="133"/>
        <v>0</v>
      </c>
      <c r="W68" s="175" t="str">
        <f t="shared" ca="1" si="172"/>
        <v/>
      </c>
      <c r="X68" s="169" t="str">
        <f t="shared" ca="1" si="96"/>
        <v/>
      </c>
      <c r="Y68" s="169" t="str">
        <f t="array" aca="1" ref="Y68" ca="1">IF(ROWS($9:67)&lt;=COUNTIF(Condition4,"o"),INDEX(Liste4,SMALL(IF(Condition4="o",ROW(INDIRECT("1:"&amp;ROWS(Liste4)))),ROWS($9:67))),"")</f>
        <v/>
      </c>
      <c r="Z68" s="175">
        <f t="shared" ca="1" si="134"/>
        <v>0</v>
      </c>
      <c r="AA68" s="175" t="str">
        <f t="shared" ca="1" si="173"/>
        <v/>
      </c>
      <c r="AB68" s="169" t="str">
        <f t="shared" ca="1" si="97"/>
        <v/>
      </c>
      <c r="AC68" s="169" t="str">
        <f t="array" aca="1" ref="AC68" ca="1">IF(ROWS($9:67)&lt;=COUNTIF(Condition5,"o"),INDEX(Liste5,SMALL(IF(Condition5="o",ROW(INDIRECT("1:"&amp;ROWS(Liste5)))),ROWS($9:67))),"")</f>
        <v/>
      </c>
      <c r="AD68" s="175">
        <f t="shared" ca="1" si="135"/>
        <v>0</v>
      </c>
      <c r="AE68" s="175" t="str">
        <f t="shared" ca="1" si="174"/>
        <v/>
      </c>
      <c r="AF68" s="169" t="str">
        <f t="shared" ca="1" si="98"/>
        <v/>
      </c>
      <c r="AG68" s="169" t="str">
        <f t="array" aca="1" ref="AG68" ca="1">IF(ROWS($9:67)&lt;=COUNTIF(Condition6,"o"),INDEX(Liste6,SMALL(IF(Condition6="o",ROW(INDIRECT("1:"&amp;ROWS(Liste6)))),ROWS($9:67))),"")</f>
        <v/>
      </c>
      <c r="AH68" s="175">
        <f t="shared" ca="1" si="136"/>
        <v>0</v>
      </c>
      <c r="AI68" s="175" t="str">
        <f t="shared" ca="1" si="175"/>
        <v/>
      </c>
      <c r="AJ68" s="169" t="str">
        <f t="shared" ca="1" si="99"/>
        <v/>
      </c>
      <c r="AK68" s="169" t="str">
        <f t="array" aca="1" ref="AK68" ca="1">IF(ROWS($9:67)&lt;=COUNTIF(Condition7,"o"),INDEX(Liste7,SMALL(IF(Condition7="o",ROW(INDIRECT("1:"&amp;ROWS(Liste7)))),ROWS($9:67))),"")</f>
        <v/>
      </c>
      <c r="AL68" s="175">
        <f t="shared" ca="1" si="137"/>
        <v>0</v>
      </c>
      <c r="AM68" s="175" t="str">
        <f t="shared" ca="1" si="176"/>
        <v/>
      </c>
      <c r="AN68" s="169" t="str">
        <f t="shared" ca="1" si="100"/>
        <v/>
      </c>
      <c r="AO68" s="169" t="str">
        <f t="array" aca="1" ref="AO68" ca="1">IF(ROWS($9:67)&lt;=COUNTIF(Condition8,"o"),INDEX(Liste8,SMALL(IF(Condition8="o",ROW(INDIRECT("1:"&amp;ROWS(Liste8)))),ROWS($9:67))),"")</f>
        <v/>
      </c>
      <c r="AP68" s="175">
        <f t="shared" ca="1" si="138"/>
        <v>0</v>
      </c>
      <c r="AQ68" s="175" t="str">
        <f t="shared" ca="1" si="177"/>
        <v/>
      </c>
      <c r="AR68" s="169" t="str">
        <f t="shared" ca="1" si="101"/>
        <v/>
      </c>
      <c r="AS68" s="169" t="str">
        <f t="array" aca="1" ref="AS68" ca="1">IF(ROWS($9:67)&lt;=COUNTIF(Condition9,"o"),INDEX(Liste9,SMALL(IF(Condition9="o",ROW(INDIRECT("1:"&amp;ROWS(Liste9)))),ROWS($9:67))),"")</f>
        <v/>
      </c>
      <c r="AT68" s="175">
        <f t="shared" ca="1" si="139"/>
        <v>0</v>
      </c>
      <c r="AU68" s="175" t="str">
        <f t="shared" ca="1" si="178"/>
        <v/>
      </c>
      <c r="AV68" s="169" t="str">
        <f t="shared" ca="1" si="102"/>
        <v/>
      </c>
      <c r="AW68" s="169" t="str">
        <f t="array" aca="1" ref="AW68" ca="1">IF(ROWS($9:67)&lt;=COUNTIF(Condition10,"o"),INDEX(Liste10,SMALL(IF(Condition10="o",ROW(INDIRECT("1:"&amp;ROWS(Liste10)))),ROWS($9:67))),"")</f>
        <v/>
      </c>
      <c r="AX68" s="175">
        <f t="shared" ca="1" si="140"/>
        <v>0</v>
      </c>
      <c r="AY68" s="175" t="str">
        <f t="shared" ca="1" si="179"/>
        <v/>
      </c>
      <c r="AZ68" s="169" t="str">
        <f t="shared" ca="1" si="103"/>
        <v/>
      </c>
      <c r="BA68" s="169" t="str">
        <f t="array" aca="1" ref="BA68" ca="1">IF(ROWS($9:67)&lt;=COUNTIF(Condition11,"o"),INDEX(Liste11,SMALL(IF(Condition11="o",ROW(INDIRECT("1:"&amp;ROWS(Liste11)))),ROWS($9:67))),"")</f>
        <v/>
      </c>
      <c r="BB68" s="175">
        <f t="shared" ca="1" si="141"/>
        <v>0</v>
      </c>
      <c r="BC68" s="175" t="str">
        <f t="shared" ca="1" si="180"/>
        <v/>
      </c>
      <c r="BD68" s="169" t="str">
        <f t="shared" ca="1" si="104"/>
        <v/>
      </c>
      <c r="BE68" s="169" t="str">
        <f t="array" aca="1" ref="BE68" ca="1">IF(ROWS($9:67)&lt;=COUNTIF(Condition12,"o"),INDEX(Liste12,SMALL(IF(Condition12="o",ROW(INDIRECT("1:"&amp;ROWS(Liste12)))),ROWS($9:67))),"")</f>
        <v/>
      </c>
      <c r="BF68" s="175">
        <f t="shared" ca="1" si="142"/>
        <v>0</v>
      </c>
      <c r="BG68" s="175" t="str">
        <f t="shared" ca="1" si="181"/>
        <v/>
      </c>
      <c r="BH68" s="169" t="str">
        <f t="shared" ca="1" si="105"/>
        <v/>
      </c>
      <c r="BI68" s="169" t="str">
        <f t="array" aca="1" ref="BI68" ca="1">IF(ROWS($9:67)&lt;=COUNTIF(Condition13,"o"),INDEX(Liste13,SMALL(IF(Condition13="o",ROW(INDIRECT("1:"&amp;ROWS(Liste13)))),ROWS($9:67))),"")</f>
        <v/>
      </c>
      <c r="BJ68" s="175">
        <f t="shared" ca="1" si="143"/>
        <v>0</v>
      </c>
      <c r="BK68" s="175" t="str">
        <f t="shared" ca="1" si="182"/>
        <v/>
      </c>
      <c r="BL68" s="169" t="str">
        <f t="shared" ca="1" si="106"/>
        <v/>
      </c>
      <c r="BM68" s="169" t="str">
        <f t="array" aca="1" ref="BM68" ca="1">IF(ROWS($9:67)&lt;=COUNTIF(Condition14,"o"),INDEX(Liste14,SMALL(IF(Condition14="o",ROW(INDIRECT("1:"&amp;ROWS(Liste14)))),ROWS($9:67))),"")</f>
        <v/>
      </c>
      <c r="BN68" s="175">
        <f t="shared" ca="1" si="144"/>
        <v>0</v>
      </c>
      <c r="BO68" s="175" t="str">
        <f t="shared" ca="1" si="183"/>
        <v/>
      </c>
      <c r="BP68" s="169" t="str">
        <f t="shared" ca="1" si="107"/>
        <v/>
      </c>
      <c r="BQ68" s="169" t="str">
        <f t="array" aca="1" ref="BQ68" ca="1">IF(ROWS($9:67)&lt;=COUNTIF(Condition15,"o"),INDEX(Liste15,SMALL(IF(Condition15="o",ROW(INDIRECT("1:"&amp;ROWS(Liste15)))),ROWS($9:67))),"")</f>
        <v/>
      </c>
      <c r="BR68" s="175">
        <f t="shared" ca="1" si="145"/>
        <v>0</v>
      </c>
      <c r="BS68" s="175" t="str">
        <f t="shared" ca="1" si="184"/>
        <v/>
      </c>
      <c r="BT68" s="169" t="str">
        <f t="shared" ca="1" si="108"/>
        <v/>
      </c>
      <c r="BU68" s="169" t="str">
        <f t="array" aca="1" ref="BU68" ca="1">IF(ROWS($9:67)&lt;=COUNTIF(Condition16,"o"),INDEX(Liste16,SMALL(IF(Condition16="o",ROW(INDIRECT("1:"&amp;ROWS(Liste16)))),ROWS($9:67))),"")</f>
        <v/>
      </c>
      <c r="BV68" s="175">
        <f t="shared" ca="1" si="146"/>
        <v>0</v>
      </c>
      <c r="BW68" s="175" t="str">
        <f t="shared" ca="1" si="185"/>
        <v/>
      </c>
      <c r="BX68" s="169" t="str">
        <f t="shared" ca="1" si="109"/>
        <v/>
      </c>
      <c r="BY68" s="169" t="str">
        <f t="array" aca="1" ref="BY68" ca="1">IF(ROWS($9:67)&lt;=COUNTIF(Condition17,"o"),INDEX(Liste17,SMALL(IF(Condition17="o",ROW(INDIRECT("1:"&amp;ROWS(Liste17)))),ROWS($9:67))),"")</f>
        <v/>
      </c>
      <c r="BZ68" s="175">
        <f t="shared" ca="1" si="147"/>
        <v>0</v>
      </c>
      <c r="CA68" s="175" t="str">
        <f t="shared" ca="1" si="186"/>
        <v/>
      </c>
      <c r="CB68" s="169" t="str">
        <f t="shared" ca="1" si="110"/>
        <v/>
      </c>
      <c r="CC68" s="169" t="str">
        <f t="array" aca="1" ref="CC68" ca="1">IF(ROWS($9:67)&lt;=COUNTIF(Condition18,"o"),INDEX(Liste18,SMALL(IF(Condition18="o",ROW(INDIRECT("1:"&amp;ROWS(Liste18)))),ROWS($9:67))),"")</f>
        <v/>
      </c>
      <c r="CD68" s="175">
        <f t="shared" ca="1" si="148"/>
        <v>0</v>
      </c>
      <c r="CE68" s="175" t="str">
        <f t="shared" ca="1" si="187"/>
        <v/>
      </c>
      <c r="CF68" s="169" t="str">
        <f t="shared" ca="1" si="111"/>
        <v/>
      </c>
      <c r="CG68" s="169" t="str">
        <f t="array" aca="1" ref="CG68" ca="1">IF(ROWS($9:67)&lt;=COUNTIF(Condition19,"o"),INDEX(Liste19,SMALL(IF(Condition19="o",ROW(INDIRECT("1:"&amp;ROWS(Liste19)))),ROWS($9:67))),"")</f>
        <v/>
      </c>
      <c r="CH68" s="175">
        <f t="shared" ca="1" si="149"/>
        <v>0</v>
      </c>
      <c r="CI68" s="175" t="str">
        <f t="shared" ca="1" si="188"/>
        <v/>
      </c>
      <c r="CJ68" s="169" t="str">
        <f t="shared" ca="1" si="112"/>
        <v/>
      </c>
      <c r="CK68" s="169" t="str">
        <f t="array" aca="1" ref="CK68" ca="1">IF(ROWS($9:67)&lt;=COUNTIF(Condition20,"o"),INDEX(Liste20,SMALL(IF(Condition20="o",ROW(INDIRECT("1:"&amp;ROWS(Liste20)))),ROWS($9:67))),"")</f>
        <v/>
      </c>
      <c r="CL68" s="175">
        <f t="shared" ca="1" si="150"/>
        <v>0</v>
      </c>
      <c r="CM68" s="175" t="str">
        <f t="shared" ca="1" si="189"/>
        <v/>
      </c>
      <c r="CN68" s="169" t="str">
        <f t="shared" ca="1" si="113"/>
        <v/>
      </c>
      <c r="CO68" s="169" t="str">
        <f t="array" aca="1" ref="CO68" ca="1">IF(ROWS($9:67)&lt;=COUNTIF(Condition21,"o"),INDEX(Liste21,SMALL(IF(Condition21="o",ROW(INDIRECT("1:"&amp;ROWS(Liste21)))),ROWS($9:67))),"")</f>
        <v/>
      </c>
      <c r="CP68" s="175">
        <f t="shared" ca="1" si="151"/>
        <v>0</v>
      </c>
      <c r="CQ68" s="175" t="str">
        <f t="shared" ca="1" si="190"/>
        <v/>
      </c>
      <c r="CR68" s="169" t="str">
        <f t="shared" ca="1" si="114"/>
        <v/>
      </c>
      <c r="CS68" s="169" t="str">
        <f t="array" aca="1" ref="CS68" ca="1">IF(ROWS($9:67)&lt;=COUNTIF(Condition22,"o"),INDEX(Liste22,SMALL(IF(Condition22="o",ROW(INDIRECT("1:"&amp;ROWS(Liste22)))),ROWS($9:67))),"")</f>
        <v/>
      </c>
      <c r="CT68" s="175">
        <f t="shared" ca="1" si="152"/>
        <v>0</v>
      </c>
      <c r="CU68" s="175" t="str">
        <f t="shared" ca="1" si="191"/>
        <v/>
      </c>
      <c r="CV68" s="169" t="str">
        <f t="shared" ca="1" si="115"/>
        <v/>
      </c>
      <c r="CW68" s="169" t="str">
        <f t="array" aca="1" ref="CW68" ca="1">IF(ROWS($9:67)&lt;=COUNTIF(Condition23,"o"),INDEX(Liste23,SMALL(IF(Condition23="o",ROW(INDIRECT("1:"&amp;ROWS(Liste23)))),ROWS($9:67))),"")</f>
        <v/>
      </c>
      <c r="CX68" s="175">
        <f t="shared" ca="1" si="153"/>
        <v>0</v>
      </c>
      <c r="CY68" s="175" t="str">
        <f t="shared" ca="1" si="192"/>
        <v/>
      </c>
      <c r="CZ68" s="169" t="str">
        <f t="shared" ca="1" si="116"/>
        <v/>
      </c>
      <c r="DA68" s="169" t="str">
        <f t="array" aca="1" ref="DA68" ca="1">IF(ROWS($9:67)&lt;=COUNTIF(Condition24,"o"),INDEX(Liste24,SMALL(IF(Condition24="o",ROW(INDIRECT("1:"&amp;ROWS(Liste24)))),ROWS($9:67))),"")</f>
        <v/>
      </c>
      <c r="DB68" s="175">
        <f t="shared" ca="1" si="154"/>
        <v>0</v>
      </c>
      <c r="DC68" s="175" t="str">
        <f t="shared" ca="1" si="193"/>
        <v/>
      </c>
      <c r="DD68" s="169" t="str">
        <f t="shared" ca="1" si="117"/>
        <v/>
      </c>
      <c r="DE68" s="169" t="str">
        <f t="array" aca="1" ref="DE68" ca="1">IF(ROWS($9:67)&lt;=COUNTIF(Condition25,"o"),INDEX(Liste25,SMALL(IF(Condition25="o",ROW(INDIRECT("1:"&amp;ROWS(Liste25)))),ROWS($9:67))),"")</f>
        <v/>
      </c>
      <c r="DF68" s="175">
        <f t="shared" ca="1" si="155"/>
        <v>0</v>
      </c>
      <c r="DG68" s="175" t="str">
        <f t="shared" ca="1" si="194"/>
        <v/>
      </c>
      <c r="DH68" s="169" t="str">
        <f t="shared" ca="1" si="118"/>
        <v/>
      </c>
      <c r="DI68" s="169" t="str">
        <f t="array" aca="1" ref="DI68" ca="1">IF(ROWS($9:67)&lt;=COUNTIF(Condition26,"o"),INDEX(Liste26,SMALL(IF(Condition26="o",ROW(INDIRECT("1:"&amp;ROWS(Liste26)))),ROWS($9:67))),"")</f>
        <v/>
      </c>
      <c r="DJ68" s="175">
        <f t="shared" ca="1" si="156"/>
        <v>0</v>
      </c>
      <c r="DK68" s="175" t="str">
        <f t="shared" ca="1" si="195"/>
        <v/>
      </c>
      <c r="DL68" s="169" t="str">
        <f t="shared" ca="1" si="119"/>
        <v/>
      </c>
      <c r="DM68" s="169" t="str">
        <f t="array" aca="1" ref="DM68" ca="1">IF(ROWS($9:67)&lt;=COUNTIF(Condition27,"o"),INDEX(Liste27,SMALL(IF(Condition27="o",ROW(INDIRECT("1:"&amp;ROWS(Liste27)))),ROWS($9:67))),"")</f>
        <v/>
      </c>
      <c r="DN68" s="175">
        <f t="shared" ca="1" si="157"/>
        <v>0</v>
      </c>
      <c r="DO68" s="175" t="str">
        <f t="shared" ca="1" si="196"/>
        <v/>
      </c>
      <c r="DP68" s="169" t="str">
        <f t="shared" ca="1" si="120"/>
        <v/>
      </c>
      <c r="DQ68" s="169" t="str">
        <f t="array" aca="1" ref="DQ68" ca="1">IF(ROWS($9:67)&lt;=COUNTIF(Condition28,"o"),INDEX(Liste28,SMALL(IF(Condition28="o",ROW(INDIRECT("1:"&amp;ROWS(Liste28)))),ROWS($9:67))),"")</f>
        <v/>
      </c>
      <c r="DR68" s="175">
        <f t="shared" ca="1" si="158"/>
        <v>0</v>
      </c>
      <c r="DS68" s="175" t="str">
        <f t="shared" ca="1" si="197"/>
        <v/>
      </c>
      <c r="DT68" s="169" t="str">
        <f t="shared" ca="1" si="121"/>
        <v/>
      </c>
      <c r="DU68" s="169" t="str">
        <f t="array" aca="1" ref="DU68" ca="1">IF(ROWS($9:67)&lt;=COUNTIF(Condition29,"o"),INDEX(Liste29,SMALL(IF(Condition29="o",ROW(INDIRECT("1:"&amp;ROWS(Liste29)))),ROWS($9:67))),"")</f>
        <v/>
      </c>
      <c r="DV68" s="175">
        <f t="shared" ca="1" si="159"/>
        <v>0</v>
      </c>
      <c r="DW68" s="175" t="str">
        <f t="shared" ca="1" si="198"/>
        <v/>
      </c>
      <c r="DX68" s="169" t="str">
        <f t="shared" ca="1" si="122"/>
        <v/>
      </c>
      <c r="DY68" s="169" t="str">
        <f t="array" aca="1" ref="DY68" ca="1">IF(ROWS($9:67)&lt;=COUNTIF(Condition30,"o"),INDEX(Liste30,SMALL(IF(Condition30="o",ROW(INDIRECT("1:"&amp;ROWS(Liste30)))),ROWS($9:67))),"")</f>
        <v/>
      </c>
      <c r="DZ68" s="175">
        <f t="shared" ca="1" si="160"/>
        <v>0</v>
      </c>
      <c r="EA68" s="175" t="str">
        <f t="shared" ca="1" si="199"/>
        <v/>
      </c>
      <c r="EB68" s="169" t="str">
        <f t="shared" ca="1" si="123"/>
        <v/>
      </c>
      <c r="EC68" s="169" t="str">
        <f t="array" aca="1" ref="EC68" ca="1">IF(ROWS($9:67)&lt;=COUNTIF(Condition31,"o"),INDEX(Liste31,SMALL(IF(Condition31="o",ROW(INDIRECT("1:"&amp;ROWS(Liste31)))),ROWS($9:67))),"")</f>
        <v/>
      </c>
      <c r="ED68" s="175">
        <f t="shared" ca="1" si="161"/>
        <v>0</v>
      </c>
      <c r="EE68" s="175" t="str">
        <f t="shared" ca="1" si="200"/>
        <v/>
      </c>
      <c r="EF68" s="169" t="str">
        <f t="shared" ca="1" si="124"/>
        <v/>
      </c>
      <c r="EG68" s="169" t="str">
        <f t="array" aca="1" ref="EG68" ca="1">IF(ROWS($9:67)&lt;=COUNTIF(Condition32,"o"),INDEX(Liste32,SMALL(IF(Condition32="o",ROW(INDIRECT("1:"&amp;ROWS(Liste32)))),ROWS($9:67))),"")</f>
        <v/>
      </c>
      <c r="EH68" s="175">
        <f t="shared" ca="1" si="162"/>
        <v>0</v>
      </c>
      <c r="EI68" s="175" t="str">
        <f t="shared" ca="1" si="201"/>
        <v/>
      </c>
      <c r="EJ68" s="169" t="str">
        <f t="shared" ca="1" si="125"/>
        <v/>
      </c>
      <c r="EK68" s="169" t="str">
        <f t="array" aca="1" ref="EK68" ca="1">IF(ROWS($9:67)&lt;=COUNTIF(Condition33,"o"),INDEX(Liste33,SMALL(IF(Condition33="o",ROW(INDIRECT("1:"&amp;ROWS(Liste33)))),ROWS($9:67))),"")</f>
        <v/>
      </c>
      <c r="EL68" s="175">
        <f t="shared" ca="1" si="163"/>
        <v>0</v>
      </c>
      <c r="EM68" s="175" t="str">
        <f t="shared" ca="1" si="202"/>
        <v/>
      </c>
      <c r="EN68" s="169" t="str">
        <f t="shared" ca="1" si="126"/>
        <v/>
      </c>
      <c r="EO68" s="169" t="str">
        <f t="array" aca="1" ref="EO68" ca="1">IF(ROWS($9:67)&lt;=COUNTIF(Condition34,"o"),INDEX(Liste34,SMALL(IF(Condition34="o",ROW(INDIRECT("1:"&amp;ROWS(Liste34)))),ROWS($9:67))),"")</f>
        <v/>
      </c>
      <c r="EP68" s="175">
        <f t="shared" ca="1" si="164"/>
        <v>0</v>
      </c>
      <c r="EQ68" s="175" t="str">
        <f t="shared" ca="1" si="203"/>
        <v/>
      </c>
      <c r="ER68" s="169" t="str">
        <f t="shared" ca="1" si="127"/>
        <v/>
      </c>
      <c r="ES68" s="169" t="str">
        <f t="array" aca="1" ref="ES68" ca="1">IF(ROWS($9:67)&lt;=COUNTIF(Condition35,"o"),INDEX(Liste35,SMALL(IF(Condition35="o",ROW(INDIRECT("1:"&amp;ROWS(Liste35)))),ROWS($9:67))),"")</f>
        <v/>
      </c>
      <c r="ET68" s="175">
        <f t="shared" ca="1" si="165"/>
        <v>0</v>
      </c>
      <c r="EU68" s="175" t="str">
        <f t="shared" ca="1" si="204"/>
        <v/>
      </c>
      <c r="EV68" s="169" t="str">
        <f t="shared" ca="1" si="128"/>
        <v/>
      </c>
      <c r="EW68" s="169" t="str">
        <f t="array" aca="1" ref="EW68" ca="1">IF(ROWS($9:67)&lt;=COUNTIF(Condition36,"o"),INDEX(Liste36,SMALL(IF(Condition36="o",ROW(INDIRECT("1:"&amp;ROWS(Liste36)))),ROWS($9:67))),"")</f>
        <v/>
      </c>
      <c r="EX68" s="175">
        <f t="shared" ca="1" si="166"/>
        <v>0</v>
      </c>
      <c r="EY68" s="175" t="str">
        <f t="shared" ca="1" si="205"/>
        <v/>
      </c>
      <c r="EZ68" s="169" t="str">
        <f t="shared" ca="1" si="85"/>
        <v/>
      </c>
      <c r="FA68" s="169" t="str">
        <f t="array" aca="1" ref="FA68" ca="1">IF(ROWS($9:67)&lt;=COUNTIF(Condition36,"o"),INDEX(Liste36,SMALL(IF(Condition36="o",ROW(INDIRECT("1:"&amp;ROWS(Liste36)))),ROWS($9:67))),"")</f>
        <v/>
      </c>
      <c r="FB68" s="175">
        <f t="shared" ca="1" si="167"/>
        <v>0</v>
      </c>
      <c r="FC68" s="175" t="str">
        <f t="shared" ca="1" si="206"/>
        <v/>
      </c>
      <c r="FD68" s="169" t="str">
        <f t="shared" ca="1" si="86"/>
        <v/>
      </c>
      <c r="FE68" s="175">
        <f t="shared" si="168"/>
        <v>0</v>
      </c>
      <c r="FF68" s="175">
        <f t="shared" ca="1" si="168"/>
        <v>0</v>
      </c>
      <c r="FG68" s="175" t="str">
        <f t="shared" ca="1" si="207"/>
        <v/>
      </c>
      <c r="FH68" s="169" t="str">
        <f t="shared" ca="1" si="87"/>
        <v/>
      </c>
      <c r="FI68" s="169" t="str">
        <f t="array" aca="1" ref="FI68" ca="1">IF(ROWS($9:67)&lt;=COUNTIF(Condition39,"o"),INDEX(Liste39,SMALL(IF(Condition39="o",ROW(INDIRECT("1:"&amp;ROWS(Liste39)))),ROWS($9:67))),"")</f>
        <v/>
      </c>
      <c r="FO68" s="288"/>
      <c r="FQ68" s="289"/>
      <c r="FR68" s="288"/>
      <c r="FS68" s="290"/>
      <c r="FT68" s="291"/>
      <c r="FU68" s="288"/>
      <c r="FV68" s="290"/>
      <c r="FW68" s="291"/>
      <c r="FX68" s="288"/>
      <c r="FY68" s="290"/>
      <c r="FZ68" s="291"/>
      <c r="GA68" s="292"/>
      <c r="GB68" s="291"/>
      <c r="GC68" s="291"/>
      <c r="GD68" s="292"/>
      <c r="GE68" s="291"/>
      <c r="GF68" s="284"/>
      <c r="GG68" s="233"/>
    </row>
    <row r="69" spans="1:189">
      <c r="A69" s="1" t="s">
        <v>827</v>
      </c>
      <c r="B69" s="1">
        <f t="shared" si="208"/>
        <v>16</v>
      </c>
      <c r="C69" s="1">
        <f t="shared" ca="1" si="208"/>
        <v>0</v>
      </c>
      <c r="D69" s="1">
        <f t="shared" ca="1" si="208"/>
        <v>0</v>
      </c>
      <c r="E69" s="1" t="str">
        <f ca="1">Actions!K17</f>
        <v>-</v>
      </c>
      <c r="F69" s="1" t="str">
        <f t="shared" ca="1" si="0"/>
        <v>-</v>
      </c>
      <c r="G69" s="1" t="e">
        <f t="shared" ca="1" si="209"/>
        <v>#REF!</v>
      </c>
      <c r="I69" s="1">
        <v>61</v>
      </c>
      <c r="J69" s="175">
        <f t="shared" ca="1" si="130"/>
        <v>0</v>
      </c>
      <c r="K69" s="175" t="str">
        <f t="shared" ca="1" si="169"/>
        <v/>
      </c>
      <c r="L69" s="169" t="str">
        <f t="shared" ca="1" si="93"/>
        <v/>
      </c>
      <c r="M69" s="169" t="str">
        <f t="array" aca="1" ref="M69" ca="1">IF(ROWS($9:68)&lt;=COUNTIF(Condition1,"o"),INDEX(Liste1,SMALL(IF(Condition1="o",ROW(INDIRECT("1:"&amp;ROWS(Liste1)))),ROWS($9:68))),"")</f>
        <v/>
      </c>
      <c r="N69" s="175">
        <f t="shared" ca="1" si="131"/>
        <v>0</v>
      </c>
      <c r="O69" s="175" t="str">
        <f t="shared" ca="1" si="170"/>
        <v/>
      </c>
      <c r="P69" s="169" t="str">
        <f t="shared" ca="1" si="94"/>
        <v/>
      </c>
      <c r="Q69" s="169" t="str">
        <f t="array" aca="1" ref="Q69" ca="1">IF(ROWS($9:68)&lt;=COUNTIF(Condition2,"o"),INDEX(Liste2,SMALL(IF(Condition2="o",ROW(INDIRECT("1:"&amp;ROWS(Liste2)))),ROWS($9:68))),"")</f>
        <v/>
      </c>
      <c r="R69" s="175">
        <f t="shared" ca="1" si="132"/>
        <v>0</v>
      </c>
      <c r="S69" s="175" t="str">
        <f t="shared" ca="1" si="171"/>
        <v/>
      </c>
      <c r="T69" s="169" t="str">
        <f t="shared" ca="1" si="95"/>
        <v/>
      </c>
      <c r="U69" s="169" t="str">
        <f t="array" aca="1" ref="U69" ca="1">IF(ROWS($9:68)&lt;=COUNTIF(Condition3,"o"),INDEX(Liste3,SMALL(IF(Condition3="o",ROW(INDIRECT("1:"&amp;ROWS(Liste3)))),ROWS($9:68))),"")</f>
        <v/>
      </c>
      <c r="V69" s="175">
        <f t="shared" ca="1" si="133"/>
        <v>0</v>
      </c>
      <c r="W69" s="175" t="str">
        <f t="shared" ca="1" si="172"/>
        <v/>
      </c>
      <c r="X69" s="169" t="str">
        <f t="shared" ca="1" si="96"/>
        <v/>
      </c>
      <c r="Y69" s="169" t="str">
        <f t="array" aca="1" ref="Y69" ca="1">IF(ROWS($9:68)&lt;=COUNTIF(Condition4,"o"),INDEX(Liste4,SMALL(IF(Condition4="o",ROW(INDIRECT("1:"&amp;ROWS(Liste4)))),ROWS($9:68))),"")</f>
        <v/>
      </c>
      <c r="Z69" s="175">
        <f t="shared" ca="1" si="134"/>
        <v>0</v>
      </c>
      <c r="AA69" s="175" t="str">
        <f t="shared" ca="1" si="173"/>
        <v/>
      </c>
      <c r="AB69" s="169" t="str">
        <f t="shared" ca="1" si="97"/>
        <v/>
      </c>
      <c r="AC69" s="169" t="str">
        <f t="array" aca="1" ref="AC69" ca="1">IF(ROWS($9:68)&lt;=COUNTIF(Condition5,"o"),INDEX(Liste5,SMALL(IF(Condition5="o",ROW(INDIRECT("1:"&amp;ROWS(Liste5)))),ROWS($9:68))),"")</f>
        <v/>
      </c>
      <c r="AD69" s="175">
        <f t="shared" ca="1" si="135"/>
        <v>0</v>
      </c>
      <c r="AE69" s="175" t="str">
        <f t="shared" ca="1" si="174"/>
        <v/>
      </c>
      <c r="AF69" s="169" t="str">
        <f t="shared" ca="1" si="98"/>
        <v/>
      </c>
      <c r="AG69" s="169" t="str">
        <f t="array" aca="1" ref="AG69" ca="1">IF(ROWS($9:68)&lt;=COUNTIF(Condition6,"o"),INDEX(Liste6,SMALL(IF(Condition6="o",ROW(INDIRECT("1:"&amp;ROWS(Liste6)))),ROWS($9:68))),"")</f>
        <v/>
      </c>
      <c r="AH69" s="175">
        <f t="shared" ca="1" si="136"/>
        <v>0</v>
      </c>
      <c r="AI69" s="175" t="str">
        <f t="shared" ca="1" si="175"/>
        <v/>
      </c>
      <c r="AJ69" s="169" t="str">
        <f t="shared" ca="1" si="99"/>
        <v/>
      </c>
      <c r="AK69" s="169" t="str">
        <f t="array" aca="1" ref="AK69" ca="1">IF(ROWS($9:68)&lt;=COUNTIF(Condition7,"o"),INDEX(Liste7,SMALL(IF(Condition7="o",ROW(INDIRECT("1:"&amp;ROWS(Liste7)))),ROWS($9:68))),"")</f>
        <v/>
      </c>
      <c r="AL69" s="175">
        <f t="shared" ca="1" si="137"/>
        <v>0</v>
      </c>
      <c r="AM69" s="175" t="str">
        <f t="shared" ca="1" si="176"/>
        <v/>
      </c>
      <c r="AN69" s="169" t="str">
        <f t="shared" ca="1" si="100"/>
        <v/>
      </c>
      <c r="AO69" s="169" t="str">
        <f t="array" aca="1" ref="AO69" ca="1">IF(ROWS($9:68)&lt;=COUNTIF(Condition8,"o"),INDEX(Liste8,SMALL(IF(Condition8="o",ROW(INDIRECT("1:"&amp;ROWS(Liste8)))),ROWS($9:68))),"")</f>
        <v/>
      </c>
      <c r="AP69" s="175">
        <f t="shared" ca="1" si="138"/>
        <v>0</v>
      </c>
      <c r="AQ69" s="175" t="str">
        <f t="shared" ca="1" si="177"/>
        <v/>
      </c>
      <c r="AR69" s="169" t="str">
        <f t="shared" ca="1" si="101"/>
        <v/>
      </c>
      <c r="AS69" s="169" t="str">
        <f t="array" aca="1" ref="AS69" ca="1">IF(ROWS($9:68)&lt;=COUNTIF(Condition9,"o"),INDEX(Liste9,SMALL(IF(Condition9="o",ROW(INDIRECT("1:"&amp;ROWS(Liste9)))),ROWS($9:68))),"")</f>
        <v/>
      </c>
      <c r="AT69" s="175">
        <f t="shared" ca="1" si="139"/>
        <v>0</v>
      </c>
      <c r="AU69" s="175" t="str">
        <f t="shared" ca="1" si="178"/>
        <v/>
      </c>
      <c r="AV69" s="169" t="str">
        <f t="shared" ca="1" si="102"/>
        <v/>
      </c>
      <c r="AW69" s="169" t="str">
        <f t="array" aca="1" ref="AW69" ca="1">IF(ROWS($9:68)&lt;=COUNTIF(Condition10,"o"),INDEX(Liste10,SMALL(IF(Condition10="o",ROW(INDIRECT("1:"&amp;ROWS(Liste10)))),ROWS($9:68))),"")</f>
        <v/>
      </c>
      <c r="AX69" s="175">
        <f t="shared" ca="1" si="140"/>
        <v>0</v>
      </c>
      <c r="AY69" s="175" t="str">
        <f t="shared" ca="1" si="179"/>
        <v/>
      </c>
      <c r="AZ69" s="169" t="str">
        <f t="shared" ca="1" si="103"/>
        <v/>
      </c>
      <c r="BA69" s="169" t="str">
        <f t="array" aca="1" ref="BA69" ca="1">IF(ROWS($9:68)&lt;=COUNTIF(Condition11,"o"),INDEX(Liste11,SMALL(IF(Condition11="o",ROW(INDIRECT("1:"&amp;ROWS(Liste11)))),ROWS($9:68))),"")</f>
        <v/>
      </c>
      <c r="BB69" s="175">
        <f t="shared" ca="1" si="141"/>
        <v>0</v>
      </c>
      <c r="BC69" s="175" t="str">
        <f t="shared" ca="1" si="180"/>
        <v/>
      </c>
      <c r="BD69" s="169" t="str">
        <f t="shared" ca="1" si="104"/>
        <v/>
      </c>
      <c r="BE69" s="169" t="str">
        <f t="array" aca="1" ref="BE69" ca="1">IF(ROWS($9:68)&lt;=COUNTIF(Condition12,"o"),INDEX(Liste12,SMALL(IF(Condition12="o",ROW(INDIRECT("1:"&amp;ROWS(Liste12)))),ROWS($9:68))),"")</f>
        <v/>
      </c>
      <c r="BF69" s="175">
        <f t="shared" ca="1" si="142"/>
        <v>0</v>
      </c>
      <c r="BG69" s="175" t="str">
        <f t="shared" ca="1" si="181"/>
        <v/>
      </c>
      <c r="BH69" s="169" t="str">
        <f t="shared" ca="1" si="105"/>
        <v/>
      </c>
      <c r="BI69" s="169" t="str">
        <f t="array" aca="1" ref="BI69" ca="1">IF(ROWS($9:68)&lt;=COUNTIF(Condition13,"o"),INDEX(Liste13,SMALL(IF(Condition13="o",ROW(INDIRECT("1:"&amp;ROWS(Liste13)))),ROWS($9:68))),"")</f>
        <v/>
      </c>
      <c r="BJ69" s="175">
        <f t="shared" ca="1" si="143"/>
        <v>0</v>
      </c>
      <c r="BK69" s="175" t="str">
        <f t="shared" ca="1" si="182"/>
        <v/>
      </c>
      <c r="BL69" s="169" t="str">
        <f t="shared" ca="1" si="106"/>
        <v/>
      </c>
      <c r="BM69" s="169" t="str">
        <f t="array" aca="1" ref="BM69" ca="1">IF(ROWS($9:68)&lt;=COUNTIF(Condition14,"o"),INDEX(Liste14,SMALL(IF(Condition14="o",ROW(INDIRECT("1:"&amp;ROWS(Liste14)))),ROWS($9:68))),"")</f>
        <v/>
      </c>
      <c r="BN69" s="175">
        <f t="shared" ca="1" si="144"/>
        <v>0</v>
      </c>
      <c r="BO69" s="175" t="str">
        <f t="shared" ca="1" si="183"/>
        <v/>
      </c>
      <c r="BP69" s="169" t="str">
        <f t="shared" ca="1" si="107"/>
        <v/>
      </c>
      <c r="BQ69" s="169" t="str">
        <f t="array" aca="1" ref="BQ69" ca="1">IF(ROWS($9:68)&lt;=COUNTIF(Condition15,"o"),INDEX(Liste15,SMALL(IF(Condition15="o",ROW(INDIRECT("1:"&amp;ROWS(Liste15)))),ROWS($9:68))),"")</f>
        <v/>
      </c>
      <c r="BR69" s="175">
        <f t="shared" ca="1" si="145"/>
        <v>0</v>
      </c>
      <c r="BS69" s="175" t="str">
        <f t="shared" ca="1" si="184"/>
        <v/>
      </c>
      <c r="BT69" s="169" t="str">
        <f t="shared" ca="1" si="108"/>
        <v/>
      </c>
      <c r="BU69" s="169" t="str">
        <f t="array" aca="1" ref="BU69" ca="1">IF(ROWS($9:68)&lt;=COUNTIF(Condition16,"o"),INDEX(Liste16,SMALL(IF(Condition16="o",ROW(INDIRECT("1:"&amp;ROWS(Liste16)))),ROWS($9:68))),"")</f>
        <v/>
      </c>
      <c r="BV69" s="175">
        <f t="shared" ca="1" si="146"/>
        <v>0</v>
      </c>
      <c r="BW69" s="175" t="str">
        <f t="shared" ca="1" si="185"/>
        <v/>
      </c>
      <c r="BX69" s="169" t="str">
        <f t="shared" ca="1" si="109"/>
        <v/>
      </c>
      <c r="BY69" s="169" t="str">
        <f t="array" aca="1" ref="BY69" ca="1">IF(ROWS($9:68)&lt;=COUNTIF(Condition17,"o"),INDEX(Liste17,SMALL(IF(Condition17="o",ROW(INDIRECT("1:"&amp;ROWS(Liste17)))),ROWS($9:68))),"")</f>
        <v/>
      </c>
      <c r="BZ69" s="175">
        <f t="shared" ca="1" si="147"/>
        <v>0</v>
      </c>
      <c r="CA69" s="175" t="str">
        <f t="shared" ca="1" si="186"/>
        <v/>
      </c>
      <c r="CB69" s="169" t="str">
        <f t="shared" ca="1" si="110"/>
        <v/>
      </c>
      <c r="CC69" s="169" t="str">
        <f t="array" aca="1" ref="CC69" ca="1">IF(ROWS($9:68)&lt;=COUNTIF(Condition18,"o"),INDEX(Liste18,SMALL(IF(Condition18="o",ROW(INDIRECT("1:"&amp;ROWS(Liste18)))),ROWS($9:68))),"")</f>
        <v/>
      </c>
      <c r="CD69" s="175">
        <f t="shared" ca="1" si="148"/>
        <v>0</v>
      </c>
      <c r="CE69" s="175" t="str">
        <f t="shared" ca="1" si="187"/>
        <v/>
      </c>
      <c r="CF69" s="169" t="str">
        <f t="shared" ca="1" si="111"/>
        <v/>
      </c>
      <c r="CG69" s="169" t="str">
        <f t="array" aca="1" ref="CG69" ca="1">IF(ROWS($9:68)&lt;=COUNTIF(Condition19,"o"),INDEX(Liste19,SMALL(IF(Condition19="o",ROW(INDIRECT("1:"&amp;ROWS(Liste19)))),ROWS($9:68))),"")</f>
        <v/>
      </c>
      <c r="CH69" s="175">
        <f t="shared" ca="1" si="149"/>
        <v>0</v>
      </c>
      <c r="CI69" s="175" t="str">
        <f t="shared" ca="1" si="188"/>
        <v/>
      </c>
      <c r="CJ69" s="169" t="str">
        <f t="shared" ca="1" si="112"/>
        <v/>
      </c>
      <c r="CK69" s="169" t="str">
        <f t="array" aca="1" ref="CK69" ca="1">IF(ROWS($9:68)&lt;=COUNTIF(Condition20,"o"),INDEX(Liste20,SMALL(IF(Condition20="o",ROW(INDIRECT("1:"&amp;ROWS(Liste20)))),ROWS($9:68))),"")</f>
        <v/>
      </c>
      <c r="CL69" s="175">
        <f t="shared" ca="1" si="150"/>
        <v>0</v>
      </c>
      <c r="CM69" s="175" t="str">
        <f t="shared" ca="1" si="189"/>
        <v/>
      </c>
      <c r="CN69" s="169" t="str">
        <f t="shared" ca="1" si="113"/>
        <v/>
      </c>
      <c r="CO69" s="169" t="str">
        <f t="array" aca="1" ref="CO69" ca="1">IF(ROWS($9:68)&lt;=COUNTIF(Condition21,"o"),INDEX(Liste21,SMALL(IF(Condition21="o",ROW(INDIRECT("1:"&amp;ROWS(Liste21)))),ROWS($9:68))),"")</f>
        <v/>
      </c>
      <c r="CP69" s="175">
        <f t="shared" ca="1" si="151"/>
        <v>0</v>
      </c>
      <c r="CQ69" s="175" t="str">
        <f t="shared" ca="1" si="190"/>
        <v/>
      </c>
      <c r="CR69" s="169" t="str">
        <f t="shared" ca="1" si="114"/>
        <v/>
      </c>
      <c r="CS69" s="169" t="str">
        <f t="array" aca="1" ref="CS69" ca="1">IF(ROWS($9:68)&lt;=COUNTIF(Condition22,"o"),INDEX(Liste22,SMALL(IF(Condition22="o",ROW(INDIRECT("1:"&amp;ROWS(Liste22)))),ROWS($9:68))),"")</f>
        <v/>
      </c>
      <c r="CT69" s="175">
        <f t="shared" ca="1" si="152"/>
        <v>0</v>
      </c>
      <c r="CU69" s="175" t="str">
        <f t="shared" ca="1" si="191"/>
        <v/>
      </c>
      <c r="CV69" s="169" t="str">
        <f t="shared" ca="1" si="115"/>
        <v/>
      </c>
      <c r="CW69" s="169" t="str">
        <f t="array" aca="1" ref="CW69" ca="1">IF(ROWS($9:68)&lt;=COUNTIF(Condition23,"o"),INDEX(Liste23,SMALL(IF(Condition23="o",ROW(INDIRECT("1:"&amp;ROWS(Liste23)))),ROWS($9:68))),"")</f>
        <v/>
      </c>
      <c r="CX69" s="175">
        <f t="shared" ca="1" si="153"/>
        <v>0</v>
      </c>
      <c r="CY69" s="175" t="str">
        <f t="shared" ca="1" si="192"/>
        <v/>
      </c>
      <c r="CZ69" s="169" t="str">
        <f t="shared" ca="1" si="116"/>
        <v/>
      </c>
      <c r="DA69" s="169" t="str">
        <f t="array" aca="1" ref="DA69" ca="1">IF(ROWS($9:68)&lt;=COUNTIF(Condition24,"o"),INDEX(Liste24,SMALL(IF(Condition24="o",ROW(INDIRECT("1:"&amp;ROWS(Liste24)))),ROWS($9:68))),"")</f>
        <v/>
      </c>
      <c r="DB69" s="175">
        <f t="shared" ca="1" si="154"/>
        <v>0</v>
      </c>
      <c r="DC69" s="175" t="str">
        <f t="shared" ca="1" si="193"/>
        <v/>
      </c>
      <c r="DD69" s="169" t="str">
        <f t="shared" ca="1" si="117"/>
        <v/>
      </c>
      <c r="DE69" s="169" t="str">
        <f t="array" aca="1" ref="DE69" ca="1">IF(ROWS($9:68)&lt;=COUNTIF(Condition25,"o"),INDEX(Liste25,SMALL(IF(Condition25="o",ROW(INDIRECT("1:"&amp;ROWS(Liste25)))),ROWS($9:68))),"")</f>
        <v/>
      </c>
      <c r="DF69" s="175">
        <f t="shared" ca="1" si="155"/>
        <v>0</v>
      </c>
      <c r="DG69" s="175" t="str">
        <f t="shared" ca="1" si="194"/>
        <v/>
      </c>
      <c r="DH69" s="169" t="str">
        <f t="shared" ca="1" si="118"/>
        <v/>
      </c>
      <c r="DI69" s="169" t="str">
        <f t="array" aca="1" ref="DI69" ca="1">IF(ROWS($9:68)&lt;=COUNTIF(Condition26,"o"),INDEX(Liste26,SMALL(IF(Condition26="o",ROW(INDIRECT("1:"&amp;ROWS(Liste26)))),ROWS($9:68))),"")</f>
        <v/>
      </c>
      <c r="DJ69" s="175">
        <f t="shared" ca="1" si="156"/>
        <v>0</v>
      </c>
      <c r="DK69" s="175" t="str">
        <f t="shared" ca="1" si="195"/>
        <v/>
      </c>
      <c r="DL69" s="169" t="str">
        <f t="shared" ca="1" si="119"/>
        <v/>
      </c>
      <c r="DM69" s="169" t="str">
        <f t="array" aca="1" ref="DM69" ca="1">IF(ROWS($9:68)&lt;=COUNTIF(Condition27,"o"),INDEX(Liste27,SMALL(IF(Condition27="o",ROW(INDIRECT("1:"&amp;ROWS(Liste27)))),ROWS($9:68))),"")</f>
        <v/>
      </c>
      <c r="DN69" s="175">
        <f t="shared" ca="1" si="157"/>
        <v>0</v>
      </c>
      <c r="DO69" s="175" t="str">
        <f t="shared" ca="1" si="196"/>
        <v/>
      </c>
      <c r="DP69" s="169" t="str">
        <f t="shared" ca="1" si="120"/>
        <v/>
      </c>
      <c r="DQ69" s="169" t="str">
        <f t="array" aca="1" ref="DQ69" ca="1">IF(ROWS($9:68)&lt;=COUNTIF(Condition28,"o"),INDEX(Liste28,SMALL(IF(Condition28="o",ROW(INDIRECT("1:"&amp;ROWS(Liste28)))),ROWS($9:68))),"")</f>
        <v/>
      </c>
      <c r="DR69" s="175">
        <f t="shared" ca="1" si="158"/>
        <v>0</v>
      </c>
      <c r="DS69" s="175" t="str">
        <f t="shared" ca="1" si="197"/>
        <v/>
      </c>
      <c r="DT69" s="169" t="str">
        <f t="shared" ca="1" si="121"/>
        <v/>
      </c>
      <c r="DU69" s="169" t="str">
        <f t="array" aca="1" ref="DU69" ca="1">IF(ROWS($9:68)&lt;=COUNTIF(Condition29,"o"),INDEX(Liste29,SMALL(IF(Condition29="o",ROW(INDIRECT("1:"&amp;ROWS(Liste29)))),ROWS($9:68))),"")</f>
        <v/>
      </c>
      <c r="DV69" s="175">
        <f t="shared" ca="1" si="159"/>
        <v>0</v>
      </c>
      <c r="DW69" s="175" t="str">
        <f t="shared" ca="1" si="198"/>
        <v/>
      </c>
      <c r="DX69" s="169" t="str">
        <f t="shared" ca="1" si="122"/>
        <v/>
      </c>
      <c r="DY69" s="169" t="str">
        <f t="array" aca="1" ref="DY69" ca="1">IF(ROWS($9:68)&lt;=COUNTIF(Condition30,"o"),INDEX(Liste30,SMALL(IF(Condition30="o",ROW(INDIRECT("1:"&amp;ROWS(Liste30)))),ROWS($9:68))),"")</f>
        <v/>
      </c>
      <c r="DZ69" s="175">
        <f t="shared" ca="1" si="160"/>
        <v>0</v>
      </c>
      <c r="EA69" s="175" t="str">
        <f t="shared" ca="1" si="199"/>
        <v/>
      </c>
      <c r="EB69" s="169" t="str">
        <f t="shared" ca="1" si="123"/>
        <v/>
      </c>
      <c r="EC69" s="169" t="str">
        <f t="array" aca="1" ref="EC69" ca="1">IF(ROWS($9:68)&lt;=COUNTIF(Condition31,"o"),INDEX(Liste31,SMALL(IF(Condition31="o",ROW(INDIRECT("1:"&amp;ROWS(Liste31)))),ROWS($9:68))),"")</f>
        <v/>
      </c>
      <c r="ED69" s="175">
        <f t="shared" ca="1" si="161"/>
        <v>0</v>
      </c>
      <c r="EE69" s="175" t="str">
        <f t="shared" ca="1" si="200"/>
        <v/>
      </c>
      <c r="EF69" s="169" t="str">
        <f t="shared" ca="1" si="124"/>
        <v/>
      </c>
      <c r="EG69" s="169" t="str">
        <f t="array" aca="1" ref="EG69" ca="1">IF(ROWS($9:68)&lt;=COUNTIF(Condition32,"o"),INDEX(Liste32,SMALL(IF(Condition32="o",ROW(INDIRECT("1:"&amp;ROWS(Liste32)))),ROWS($9:68))),"")</f>
        <v/>
      </c>
      <c r="EH69" s="175">
        <f t="shared" ca="1" si="162"/>
        <v>0</v>
      </c>
      <c r="EI69" s="175" t="str">
        <f t="shared" ca="1" si="201"/>
        <v/>
      </c>
      <c r="EJ69" s="169" t="str">
        <f t="shared" ca="1" si="125"/>
        <v/>
      </c>
      <c r="EK69" s="169" t="str">
        <f t="array" aca="1" ref="EK69" ca="1">IF(ROWS($9:68)&lt;=COUNTIF(Condition33,"o"),INDEX(Liste33,SMALL(IF(Condition33="o",ROW(INDIRECT("1:"&amp;ROWS(Liste33)))),ROWS($9:68))),"")</f>
        <v/>
      </c>
      <c r="EL69" s="175">
        <f t="shared" ca="1" si="163"/>
        <v>0</v>
      </c>
      <c r="EM69" s="175" t="str">
        <f t="shared" ca="1" si="202"/>
        <v/>
      </c>
      <c r="EN69" s="169" t="str">
        <f t="shared" ca="1" si="126"/>
        <v/>
      </c>
      <c r="EO69" s="169" t="str">
        <f t="array" aca="1" ref="EO69" ca="1">IF(ROWS($9:68)&lt;=COUNTIF(Condition34,"o"),INDEX(Liste34,SMALL(IF(Condition34="o",ROW(INDIRECT("1:"&amp;ROWS(Liste34)))),ROWS($9:68))),"")</f>
        <v/>
      </c>
      <c r="EP69" s="175">
        <f t="shared" ca="1" si="164"/>
        <v>0</v>
      </c>
      <c r="EQ69" s="175" t="str">
        <f t="shared" ca="1" si="203"/>
        <v/>
      </c>
      <c r="ER69" s="169" t="str">
        <f t="shared" ca="1" si="127"/>
        <v/>
      </c>
      <c r="ES69" s="169" t="str">
        <f t="array" aca="1" ref="ES69" ca="1">IF(ROWS($9:68)&lt;=COUNTIF(Condition35,"o"),INDEX(Liste35,SMALL(IF(Condition35="o",ROW(INDIRECT("1:"&amp;ROWS(Liste35)))),ROWS($9:68))),"")</f>
        <v/>
      </c>
      <c r="ET69" s="175">
        <f t="shared" ca="1" si="165"/>
        <v>0</v>
      </c>
      <c r="EU69" s="175" t="str">
        <f t="shared" ca="1" si="204"/>
        <v/>
      </c>
      <c r="EV69" s="169" t="str">
        <f t="shared" ca="1" si="128"/>
        <v/>
      </c>
      <c r="EW69" s="169" t="str">
        <f t="array" aca="1" ref="EW69" ca="1">IF(ROWS($9:68)&lt;=COUNTIF(Condition36,"o"),INDEX(Liste36,SMALL(IF(Condition36="o",ROW(INDIRECT("1:"&amp;ROWS(Liste36)))),ROWS($9:68))),"")</f>
        <v/>
      </c>
      <c r="EX69" s="175">
        <f t="shared" ca="1" si="166"/>
        <v>0</v>
      </c>
      <c r="EY69" s="175" t="str">
        <f t="shared" ca="1" si="205"/>
        <v/>
      </c>
      <c r="EZ69" s="169" t="str">
        <f t="shared" ca="1" si="85"/>
        <v/>
      </c>
      <c r="FA69" s="169" t="str">
        <f t="array" aca="1" ref="FA69" ca="1">IF(ROWS($9:68)&lt;=COUNTIF(Condition36,"o"),INDEX(Liste36,SMALL(IF(Condition36="o",ROW(INDIRECT("1:"&amp;ROWS(Liste36)))),ROWS($9:68))),"")</f>
        <v/>
      </c>
      <c r="FB69" s="175">
        <f t="shared" ca="1" si="167"/>
        <v>0</v>
      </c>
      <c r="FC69" s="175" t="str">
        <f t="shared" ca="1" si="206"/>
        <v/>
      </c>
      <c r="FD69" s="169" t="str">
        <f t="shared" ca="1" si="86"/>
        <v/>
      </c>
      <c r="FE69" s="175">
        <f t="shared" si="168"/>
        <v>0</v>
      </c>
      <c r="FF69" s="175">
        <f t="shared" ca="1" si="168"/>
        <v>0</v>
      </c>
      <c r="FG69" s="175" t="str">
        <f t="shared" ca="1" si="207"/>
        <v/>
      </c>
      <c r="FH69" s="169" t="str">
        <f t="shared" ca="1" si="87"/>
        <v/>
      </c>
      <c r="FI69" s="169" t="str">
        <f t="array" aca="1" ref="FI69" ca="1">IF(ROWS($9:68)&lt;=COUNTIF(Condition39,"o"),INDEX(Liste39,SMALL(IF(Condition39="o",ROW(INDIRECT("1:"&amp;ROWS(Liste39)))),ROWS($9:68))),"")</f>
        <v/>
      </c>
      <c r="FO69" s="288"/>
      <c r="FQ69" s="289"/>
      <c r="FR69" s="288"/>
      <c r="FS69" s="290"/>
      <c r="FT69" s="291"/>
      <c r="FU69" s="288"/>
      <c r="FV69" s="290"/>
      <c r="FW69" s="291"/>
      <c r="FX69" s="288"/>
      <c r="FY69" s="290"/>
      <c r="FZ69" s="291"/>
      <c r="GA69" s="292"/>
      <c r="GB69" s="291"/>
      <c r="GC69" s="291"/>
      <c r="GD69" s="292"/>
      <c r="GE69" s="291"/>
      <c r="GF69" s="284"/>
      <c r="GG69" s="233"/>
    </row>
    <row r="70" spans="1:189">
      <c r="A70" s="1" t="s">
        <v>836</v>
      </c>
      <c r="B70" s="1">
        <f t="shared" si="208"/>
        <v>17</v>
      </c>
      <c r="C70" s="1">
        <f t="shared" ca="1" si="208"/>
        <v>0</v>
      </c>
      <c r="D70" s="1">
        <f t="shared" ca="1" si="208"/>
        <v>0</v>
      </c>
      <c r="E70" s="1" t="str">
        <f ca="1">Actions!K18</f>
        <v>-</v>
      </c>
      <c r="F70" s="1" t="str">
        <f t="shared" ca="1" si="0"/>
        <v>-</v>
      </c>
      <c r="G70" s="1" t="e">
        <f t="shared" ca="1" si="209"/>
        <v>#REF!</v>
      </c>
      <c r="I70" s="1">
        <v>62</v>
      </c>
      <c r="J70" s="175">
        <f t="shared" ca="1" si="130"/>
        <v>0</v>
      </c>
      <c r="K70" s="175" t="str">
        <f t="shared" ca="1" si="169"/>
        <v/>
      </c>
      <c r="L70" s="169" t="str">
        <f t="shared" ca="1" si="93"/>
        <v/>
      </c>
      <c r="M70" s="169" t="str">
        <f t="array" aca="1" ref="M70" ca="1">IF(ROWS($9:69)&lt;=COUNTIF(Condition1,"o"),INDEX(Liste1,SMALL(IF(Condition1="o",ROW(INDIRECT("1:"&amp;ROWS(Liste1)))),ROWS($9:69))),"")</f>
        <v/>
      </c>
      <c r="N70" s="175">
        <f t="shared" ca="1" si="131"/>
        <v>0</v>
      </c>
      <c r="O70" s="175" t="str">
        <f t="shared" ca="1" si="170"/>
        <v/>
      </c>
      <c r="P70" s="169" t="str">
        <f t="shared" ca="1" si="94"/>
        <v/>
      </c>
      <c r="Q70" s="169" t="str">
        <f t="array" aca="1" ref="Q70" ca="1">IF(ROWS($9:69)&lt;=COUNTIF(Condition2,"o"),INDEX(Liste2,SMALL(IF(Condition2="o",ROW(INDIRECT("1:"&amp;ROWS(Liste2)))),ROWS($9:69))),"")</f>
        <v/>
      </c>
      <c r="R70" s="175">
        <f t="shared" ca="1" si="132"/>
        <v>0</v>
      </c>
      <c r="S70" s="175" t="str">
        <f t="shared" ca="1" si="171"/>
        <v/>
      </c>
      <c r="T70" s="169" t="str">
        <f t="shared" ca="1" si="95"/>
        <v/>
      </c>
      <c r="U70" s="169" t="str">
        <f t="array" aca="1" ref="U70" ca="1">IF(ROWS($9:69)&lt;=COUNTIF(Condition3,"o"),INDEX(Liste3,SMALL(IF(Condition3="o",ROW(INDIRECT("1:"&amp;ROWS(Liste3)))),ROWS($9:69))),"")</f>
        <v/>
      </c>
      <c r="V70" s="175">
        <f t="shared" ca="1" si="133"/>
        <v>0</v>
      </c>
      <c r="W70" s="175" t="str">
        <f t="shared" ca="1" si="172"/>
        <v/>
      </c>
      <c r="X70" s="169" t="str">
        <f t="shared" ca="1" si="96"/>
        <v/>
      </c>
      <c r="Y70" s="169" t="str">
        <f t="array" aca="1" ref="Y70" ca="1">IF(ROWS($9:69)&lt;=COUNTIF(Condition4,"o"),INDEX(Liste4,SMALL(IF(Condition4="o",ROW(INDIRECT("1:"&amp;ROWS(Liste4)))),ROWS($9:69))),"")</f>
        <v/>
      </c>
      <c r="Z70" s="175">
        <f t="shared" ca="1" si="134"/>
        <v>0</v>
      </c>
      <c r="AA70" s="175" t="str">
        <f t="shared" ca="1" si="173"/>
        <v/>
      </c>
      <c r="AB70" s="169" t="str">
        <f t="shared" ca="1" si="97"/>
        <v/>
      </c>
      <c r="AC70" s="169" t="str">
        <f t="array" aca="1" ref="AC70" ca="1">IF(ROWS($9:69)&lt;=COUNTIF(Condition5,"o"),INDEX(Liste5,SMALL(IF(Condition5="o",ROW(INDIRECT("1:"&amp;ROWS(Liste5)))),ROWS($9:69))),"")</f>
        <v/>
      </c>
      <c r="AD70" s="175">
        <f t="shared" ca="1" si="135"/>
        <v>0</v>
      </c>
      <c r="AE70" s="175" t="str">
        <f t="shared" ca="1" si="174"/>
        <v/>
      </c>
      <c r="AF70" s="169" t="str">
        <f t="shared" ca="1" si="98"/>
        <v/>
      </c>
      <c r="AG70" s="169" t="str">
        <f t="array" aca="1" ref="AG70" ca="1">IF(ROWS($9:69)&lt;=COUNTIF(Condition6,"o"),INDEX(Liste6,SMALL(IF(Condition6="o",ROW(INDIRECT("1:"&amp;ROWS(Liste6)))),ROWS($9:69))),"")</f>
        <v/>
      </c>
      <c r="AH70" s="175">
        <f t="shared" ca="1" si="136"/>
        <v>0</v>
      </c>
      <c r="AI70" s="175" t="str">
        <f t="shared" ca="1" si="175"/>
        <v/>
      </c>
      <c r="AJ70" s="169" t="str">
        <f t="shared" ca="1" si="99"/>
        <v/>
      </c>
      <c r="AK70" s="169" t="str">
        <f t="array" aca="1" ref="AK70" ca="1">IF(ROWS($9:69)&lt;=COUNTIF(Condition7,"o"),INDEX(Liste7,SMALL(IF(Condition7="o",ROW(INDIRECT("1:"&amp;ROWS(Liste7)))),ROWS($9:69))),"")</f>
        <v/>
      </c>
      <c r="AL70" s="175">
        <f t="shared" ca="1" si="137"/>
        <v>0</v>
      </c>
      <c r="AM70" s="175" t="str">
        <f t="shared" ca="1" si="176"/>
        <v/>
      </c>
      <c r="AN70" s="169" t="str">
        <f t="shared" ca="1" si="100"/>
        <v/>
      </c>
      <c r="AO70" s="169" t="str">
        <f t="array" aca="1" ref="AO70" ca="1">IF(ROWS($9:69)&lt;=COUNTIF(Condition8,"o"),INDEX(Liste8,SMALL(IF(Condition8="o",ROW(INDIRECT("1:"&amp;ROWS(Liste8)))),ROWS($9:69))),"")</f>
        <v/>
      </c>
      <c r="AP70" s="175">
        <f t="shared" ca="1" si="138"/>
        <v>0</v>
      </c>
      <c r="AQ70" s="175" t="str">
        <f t="shared" ca="1" si="177"/>
        <v/>
      </c>
      <c r="AR70" s="169" t="str">
        <f t="shared" ca="1" si="101"/>
        <v/>
      </c>
      <c r="AS70" s="169" t="str">
        <f t="array" aca="1" ref="AS70" ca="1">IF(ROWS($9:69)&lt;=COUNTIF(Condition9,"o"),INDEX(Liste9,SMALL(IF(Condition9="o",ROW(INDIRECT("1:"&amp;ROWS(Liste9)))),ROWS($9:69))),"")</f>
        <v/>
      </c>
      <c r="AT70" s="175">
        <f t="shared" ca="1" si="139"/>
        <v>0</v>
      </c>
      <c r="AU70" s="175" t="str">
        <f t="shared" ca="1" si="178"/>
        <v/>
      </c>
      <c r="AV70" s="169" t="str">
        <f t="shared" ca="1" si="102"/>
        <v/>
      </c>
      <c r="AW70" s="169" t="str">
        <f t="array" aca="1" ref="AW70" ca="1">IF(ROWS($9:69)&lt;=COUNTIF(Condition10,"o"),INDEX(Liste10,SMALL(IF(Condition10="o",ROW(INDIRECT("1:"&amp;ROWS(Liste10)))),ROWS($9:69))),"")</f>
        <v/>
      </c>
      <c r="AX70" s="175">
        <f t="shared" ca="1" si="140"/>
        <v>0</v>
      </c>
      <c r="AY70" s="175" t="str">
        <f t="shared" ca="1" si="179"/>
        <v/>
      </c>
      <c r="AZ70" s="169" t="str">
        <f t="shared" ca="1" si="103"/>
        <v/>
      </c>
      <c r="BA70" s="169" t="str">
        <f t="array" aca="1" ref="BA70" ca="1">IF(ROWS($9:69)&lt;=COUNTIF(Condition11,"o"),INDEX(Liste11,SMALL(IF(Condition11="o",ROW(INDIRECT("1:"&amp;ROWS(Liste11)))),ROWS($9:69))),"")</f>
        <v/>
      </c>
      <c r="BB70" s="175">
        <f t="shared" ca="1" si="141"/>
        <v>0</v>
      </c>
      <c r="BC70" s="175" t="str">
        <f t="shared" ca="1" si="180"/>
        <v/>
      </c>
      <c r="BD70" s="169" t="str">
        <f t="shared" ca="1" si="104"/>
        <v/>
      </c>
      <c r="BE70" s="169" t="str">
        <f t="array" aca="1" ref="BE70" ca="1">IF(ROWS($9:69)&lt;=COUNTIF(Condition12,"o"),INDEX(Liste12,SMALL(IF(Condition12="o",ROW(INDIRECT("1:"&amp;ROWS(Liste12)))),ROWS($9:69))),"")</f>
        <v/>
      </c>
      <c r="BF70" s="175">
        <f t="shared" ca="1" si="142"/>
        <v>0</v>
      </c>
      <c r="BG70" s="175" t="str">
        <f t="shared" ca="1" si="181"/>
        <v/>
      </c>
      <c r="BH70" s="169" t="str">
        <f t="shared" ca="1" si="105"/>
        <v/>
      </c>
      <c r="BI70" s="169" t="str">
        <f t="array" aca="1" ref="BI70" ca="1">IF(ROWS($9:69)&lt;=COUNTIF(Condition13,"o"),INDEX(Liste13,SMALL(IF(Condition13="o",ROW(INDIRECT("1:"&amp;ROWS(Liste13)))),ROWS($9:69))),"")</f>
        <v/>
      </c>
      <c r="BJ70" s="175">
        <f t="shared" ca="1" si="143"/>
        <v>0</v>
      </c>
      <c r="BK70" s="175" t="str">
        <f t="shared" ca="1" si="182"/>
        <v/>
      </c>
      <c r="BL70" s="169" t="str">
        <f t="shared" ca="1" si="106"/>
        <v/>
      </c>
      <c r="BM70" s="169" t="str">
        <f t="array" aca="1" ref="BM70" ca="1">IF(ROWS($9:69)&lt;=COUNTIF(Condition14,"o"),INDEX(Liste14,SMALL(IF(Condition14="o",ROW(INDIRECT("1:"&amp;ROWS(Liste14)))),ROWS($9:69))),"")</f>
        <v/>
      </c>
      <c r="BN70" s="175">
        <f t="shared" ca="1" si="144"/>
        <v>0</v>
      </c>
      <c r="BO70" s="175" t="str">
        <f t="shared" ca="1" si="183"/>
        <v/>
      </c>
      <c r="BP70" s="169" t="str">
        <f t="shared" ca="1" si="107"/>
        <v/>
      </c>
      <c r="BQ70" s="169" t="str">
        <f t="array" aca="1" ref="BQ70" ca="1">IF(ROWS($9:69)&lt;=COUNTIF(Condition15,"o"),INDEX(Liste15,SMALL(IF(Condition15="o",ROW(INDIRECT("1:"&amp;ROWS(Liste15)))),ROWS($9:69))),"")</f>
        <v/>
      </c>
      <c r="BR70" s="175">
        <f t="shared" ca="1" si="145"/>
        <v>0</v>
      </c>
      <c r="BS70" s="175" t="str">
        <f t="shared" ca="1" si="184"/>
        <v/>
      </c>
      <c r="BT70" s="169" t="str">
        <f t="shared" ca="1" si="108"/>
        <v/>
      </c>
      <c r="BU70" s="169" t="str">
        <f t="array" aca="1" ref="BU70" ca="1">IF(ROWS($9:69)&lt;=COUNTIF(Condition16,"o"),INDEX(Liste16,SMALL(IF(Condition16="o",ROW(INDIRECT("1:"&amp;ROWS(Liste16)))),ROWS($9:69))),"")</f>
        <v/>
      </c>
      <c r="BV70" s="175">
        <f t="shared" ca="1" si="146"/>
        <v>0</v>
      </c>
      <c r="BW70" s="175" t="str">
        <f t="shared" ca="1" si="185"/>
        <v/>
      </c>
      <c r="BX70" s="169" t="str">
        <f t="shared" ca="1" si="109"/>
        <v/>
      </c>
      <c r="BY70" s="169" t="str">
        <f t="array" aca="1" ref="BY70" ca="1">IF(ROWS($9:69)&lt;=COUNTIF(Condition17,"o"),INDEX(Liste17,SMALL(IF(Condition17="o",ROW(INDIRECT("1:"&amp;ROWS(Liste17)))),ROWS($9:69))),"")</f>
        <v/>
      </c>
      <c r="BZ70" s="175">
        <f t="shared" ca="1" si="147"/>
        <v>0</v>
      </c>
      <c r="CA70" s="175" t="str">
        <f t="shared" ca="1" si="186"/>
        <v/>
      </c>
      <c r="CB70" s="169" t="str">
        <f t="shared" ca="1" si="110"/>
        <v/>
      </c>
      <c r="CC70" s="169" t="str">
        <f t="array" aca="1" ref="CC70" ca="1">IF(ROWS($9:69)&lt;=COUNTIF(Condition18,"o"),INDEX(Liste18,SMALL(IF(Condition18="o",ROW(INDIRECT("1:"&amp;ROWS(Liste18)))),ROWS($9:69))),"")</f>
        <v/>
      </c>
      <c r="CD70" s="175">
        <f t="shared" ca="1" si="148"/>
        <v>0</v>
      </c>
      <c r="CE70" s="175" t="str">
        <f t="shared" ca="1" si="187"/>
        <v/>
      </c>
      <c r="CF70" s="169" t="str">
        <f t="shared" ca="1" si="111"/>
        <v/>
      </c>
      <c r="CG70" s="169" t="str">
        <f t="array" aca="1" ref="CG70" ca="1">IF(ROWS($9:69)&lt;=COUNTIF(Condition19,"o"),INDEX(Liste19,SMALL(IF(Condition19="o",ROW(INDIRECT("1:"&amp;ROWS(Liste19)))),ROWS($9:69))),"")</f>
        <v/>
      </c>
      <c r="CH70" s="175">
        <f t="shared" ca="1" si="149"/>
        <v>0</v>
      </c>
      <c r="CI70" s="175" t="str">
        <f t="shared" ca="1" si="188"/>
        <v/>
      </c>
      <c r="CJ70" s="169" t="str">
        <f t="shared" ca="1" si="112"/>
        <v/>
      </c>
      <c r="CK70" s="169" t="str">
        <f t="array" aca="1" ref="CK70" ca="1">IF(ROWS($9:69)&lt;=COUNTIF(Condition20,"o"),INDEX(Liste20,SMALL(IF(Condition20="o",ROW(INDIRECT("1:"&amp;ROWS(Liste20)))),ROWS($9:69))),"")</f>
        <v/>
      </c>
      <c r="CL70" s="175">
        <f t="shared" ca="1" si="150"/>
        <v>0</v>
      </c>
      <c r="CM70" s="175" t="str">
        <f t="shared" ca="1" si="189"/>
        <v/>
      </c>
      <c r="CN70" s="169" t="str">
        <f t="shared" ca="1" si="113"/>
        <v/>
      </c>
      <c r="CO70" s="169" t="str">
        <f t="array" aca="1" ref="CO70" ca="1">IF(ROWS($9:69)&lt;=COUNTIF(Condition21,"o"),INDEX(Liste21,SMALL(IF(Condition21="o",ROW(INDIRECT("1:"&amp;ROWS(Liste21)))),ROWS($9:69))),"")</f>
        <v/>
      </c>
      <c r="CP70" s="175">
        <f t="shared" ca="1" si="151"/>
        <v>0</v>
      </c>
      <c r="CQ70" s="175" t="str">
        <f t="shared" ca="1" si="190"/>
        <v/>
      </c>
      <c r="CR70" s="169" t="str">
        <f t="shared" ca="1" si="114"/>
        <v/>
      </c>
      <c r="CS70" s="169" t="str">
        <f t="array" aca="1" ref="CS70" ca="1">IF(ROWS($9:69)&lt;=COUNTIF(Condition22,"o"),INDEX(Liste22,SMALL(IF(Condition22="o",ROW(INDIRECT("1:"&amp;ROWS(Liste22)))),ROWS($9:69))),"")</f>
        <v/>
      </c>
      <c r="CT70" s="175">
        <f t="shared" ca="1" si="152"/>
        <v>0</v>
      </c>
      <c r="CU70" s="175" t="str">
        <f t="shared" ca="1" si="191"/>
        <v/>
      </c>
      <c r="CV70" s="169" t="str">
        <f t="shared" ca="1" si="115"/>
        <v/>
      </c>
      <c r="CW70" s="169" t="str">
        <f t="array" aca="1" ref="CW70" ca="1">IF(ROWS($9:69)&lt;=COUNTIF(Condition23,"o"),INDEX(Liste23,SMALL(IF(Condition23="o",ROW(INDIRECT("1:"&amp;ROWS(Liste23)))),ROWS($9:69))),"")</f>
        <v/>
      </c>
      <c r="CX70" s="175">
        <f t="shared" ca="1" si="153"/>
        <v>0</v>
      </c>
      <c r="CY70" s="175" t="str">
        <f t="shared" ca="1" si="192"/>
        <v/>
      </c>
      <c r="CZ70" s="169" t="str">
        <f t="shared" ca="1" si="116"/>
        <v/>
      </c>
      <c r="DA70" s="169" t="str">
        <f t="array" aca="1" ref="DA70" ca="1">IF(ROWS($9:69)&lt;=COUNTIF(Condition24,"o"),INDEX(Liste24,SMALL(IF(Condition24="o",ROW(INDIRECT("1:"&amp;ROWS(Liste24)))),ROWS($9:69))),"")</f>
        <v/>
      </c>
      <c r="DB70" s="175">
        <f t="shared" ca="1" si="154"/>
        <v>0</v>
      </c>
      <c r="DC70" s="175" t="str">
        <f t="shared" ca="1" si="193"/>
        <v/>
      </c>
      <c r="DD70" s="169" t="str">
        <f t="shared" ca="1" si="117"/>
        <v/>
      </c>
      <c r="DE70" s="169" t="str">
        <f t="array" aca="1" ref="DE70" ca="1">IF(ROWS($9:69)&lt;=COUNTIF(Condition25,"o"),INDEX(Liste25,SMALL(IF(Condition25="o",ROW(INDIRECT("1:"&amp;ROWS(Liste25)))),ROWS($9:69))),"")</f>
        <v/>
      </c>
      <c r="DF70" s="175">
        <f t="shared" ca="1" si="155"/>
        <v>0</v>
      </c>
      <c r="DG70" s="175" t="str">
        <f t="shared" ca="1" si="194"/>
        <v/>
      </c>
      <c r="DH70" s="169" t="str">
        <f t="shared" ca="1" si="118"/>
        <v/>
      </c>
      <c r="DI70" s="169" t="str">
        <f t="array" aca="1" ref="DI70" ca="1">IF(ROWS($9:69)&lt;=COUNTIF(Condition26,"o"),INDEX(Liste26,SMALL(IF(Condition26="o",ROW(INDIRECT("1:"&amp;ROWS(Liste26)))),ROWS($9:69))),"")</f>
        <v/>
      </c>
      <c r="DJ70" s="175">
        <f t="shared" ca="1" si="156"/>
        <v>0</v>
      </c>
      <c r="DK70" s="175" t="str">
        <f t="shared" ca="1" si="195"/>
        <v/>
      </c>
      <c r="DL70" s="169" t="str">
        <f t="shared" ca="1" si="119"/>
        <v/>
      </c>
      <c r="DM70" s="169" t="str">
        <f t="array" aca="1" ref="DM70" ca="1">IF(ROWS($9:69)&lt;=COUNTIF(Condition27,"o"),INDEX(Liste27,SMALL(IF(Condition27="o",ROW(INDIRECT("1:"&amp;ROWS(Liste27)))),ROWS($9:69))),"")</f>
        <v/>
      </c>
      <c r="DN70" s="175">
        <f t="shared" ca="1" si="157"/>
        <v>0</v>
      </c>
      <c r="DO70" s="175" t="str">
        <f t="shared" ca="1" si="196"/>
        <v/>
      </c>
      <c r="DP70" s="169" t="str">
        <f t="shared" ca="1" si="120"/>
        <v/>
      </c>
      <c r="DQ70" s="169" t="str">
        <f t="array" aca="1" ref="DQ70" ca="1">IF(ROWS($9:69)&lt;=COUNTIF(Condition28,"o"),INDEX(Liste28,SMALL(IF(Condition28="o",ROW(INDIRECT("1:"&amp;ROWS(Liste28)))),ROWS($9:69))),"")</f>
        <v/>
      </c>
      <c r="DR70" s="175">
        <f t="shared" ca="1" si="158"/>
        <v>0</v>
      </c>
      <c r="DS70" s="175" t="str">
        <f t="shared" ca="1" si="197"/>
        <v/>
      </c>
      <c r="DT70" s="169" t="str">
        <f t="shared" ca="1" si="121"/>
        <v/>
      </c>
      <c r="DU70" s="169" t="str">
        <f t="array" aca="1" ref="DU70" ca="1">IF(ROWS($9:69)&lt;=COUNTIF(Condition29,"o"),INDEX(Liste29,SMALL(IF(Condition29="o",ROW(INDIRECT("1:"&amp;ROWS(Liste29)))),ROWS($9:69))),"")</f>
        <v/>
      </c>
      <c r="DV70" s="175">
        <f t="shared" ca="1" si="159"/>
        <v>0</v>
      </c>
      <c r="DW70" s="175" t="str">
        <f t="shared" ca="1" si="198"/>
        <v/>
      </c>
      <c r="DX70" s="169" t="str">
        <f t="shared" ca="1" si="122"/>
        <v/>
      </c>
      <c r="DY70" s="169" t="str">
        <f t="array" aca="1" ref="DY70" ca="1">IF(ROWS($9:69)&lt;=COUNTIF(Condition30,"o"),INDEX(Liste30,SMALL(IF(Condition30="o",ROW(INDIRECT("1:"&amp;ROWS(Liste30)))),ROWS($9:69))),"")</f>
        <v/>
      </c>
      <c r="DZ70" s="175">
        <f t="shared" ca="1" si="160"/>
        <v>0</v>
      </c>
      <c r="EA70" s="175" t="str">
        <f t="shared" ca="1" si="199"/>
        <v/>
      </c>
      <c r="EB70" s="169" t="str">
        <f t="shared" ca="1" si="123"/>
        <v/>
      </c>
      <c r="EC70" s="169" t="str">
        <f t="array" aca="1" ref="EC70" ca="1">IF(ROWS($9:69)&lt;=COUNTIF(Condition31,"o"),INDEX(Liste31,SMALL(IF(Condition31="o",ROW(INDIRECT("1:"&amp;ROWS(Liste31)))),ROWS($9:69))),"")</f>
        <v/>
      </c>
      <c r="ED70" s="175">
        <f t="shared" ca="1" si="161"/>
        <v>0</v>
      </c>
      <c r="EE70" s="175" t="str">
        <f t="shared" ca="1" si="200"/>
        <v/>
      </c>
      <c r="EF70" s="169" t="str">
        <f t="shared" ca="1" si="124"/>
        <v/>
      </c>
      <c r="EG70" s="169" t="str">
        <f t="array" aca="1" ref="EG70" ca="1">IF(ROWS($9:69)&lt;=COUNTIF(Condition32,"o"),INDEX(Liste32,SMALL(IF(Condition32="o",ROW(INDIRECT("1:"&amp;ROWS(Liste32)))),ROWS($9:69))),"")</f>
        <v/>
      </c>
      <c r="EH70" s="175">
        <f t="shared" ca="1" si="162"/>
        <v>0</v>
      </c>
      <c r="EI70" s="175" t="str">
        <f t="shared" ca="1" si="201"/>
        <v/>
      </c>
      <c r="EJ70" s="169" t="str">
        <f t="shared" ca="1" si="125"/>
        <v/>
      </c>
      <c r="EK70" s="169" t="str">
        <f t="array" aca="1" ref="EK70" ca="1">IF(ROWS($9:69)&lt;=COUNTIF(Condition33,"o"),INDEX(Liste33,SMALL(IF(Condition33="o",ROW(INDIRECT("1:"&amp;ROWS(Liste33)))),ROWS($9:69))),"")</f>
        <v/>
      </c>
      <c r="EL70" s="175">
        <f t="shared" ca="1" si="163"/>
        <v>0</v>
      </c>
      <c r="EM70" s="175" t="str">
        <f t="shared" ca="1" si="202"/>
        <v/>
      </c>
      <c r="EN70" s="169" t="str">
        <f t="shared" ca="1" si="126"/>
        <v/>
      </c>
      <c r="EO70" s="169" t="str">
        <f t="array" aca="1" ref="EO70" ca="1">IF(ROWS($9:69)&lt;=COUNTIF(Condition34,"o"),INDEX(Liste34,SMALL(IF(Condition34="o",ROW(INDIRECT("1:"&amp;ROWS(Liste34)))),ROWS($9:69))),"")</f>
        <v/>
      </c>
      <c r="EP70" s="175">
        <f t="shared" ca="1" si="164"/>
        <v>0</v>
      </c>
      <c r="EQ70" s="175" t="str">
        <f t="shared" ca="1" si="203"/>
        <v/>
      </c>
      <c r="ER70" s="169" t="str">
        <f t="shared" ca="1" si="127"/>
        <v/>
      </c>
      <c r="ES70" s="169" t="str">
        <f t="array" aca="1" ref="ES70" ca="1">IF(ROWS($9:69)&lt;=COUNTIF(Condition35,"o"),INDEX(Liste35,SMALL(IF(Condition35="o",ROW(INDIRECT("1:"&amp;ROWS(Liste35)))),ROWS($9:69))),"")</f>
        <v/>
      </c>
      <c r="ET70" s="175">
        <f t="shared" ca="1" si="165"/>
        <v>0</v>
      </c>
      <c r="EU70" s="175" t="str">
        <f t="shared" ca="1" si="204"/>
        <v/>
      </c>
      <c r="EV70" s="169" t="str">
        <f t="shared" ca="1" si="128"/>
        <v/>
      </c>
      <c r="EW70" s="169" t="str">
        <f t="array" aca="1" ref="EW70" ca="1">IF(ROWS($9:69)&lt;=COUNTIF(Condition36,"o"),INDEX(Liste36,SMALL(IF(Condition36="o",ROW(INDIRECT("1:"&amp;ROWS(Liste36)))),ROWS($9:69))),"")</f>
        <v/>
      </c>
      <c r="EX70" s="175">
        <f t="shared" ca="1" si="166"/>
        <v>0</v>
      </c>
      <c r="EY70" s="175" t="str">
        <f t="shared" ca="1" si="205"/>
        <v/>
      </c>
      <c r="EZ70" s="169" t="str">
        <f t="shared" ca="1" si="85"/>
        <v/>
      </c>
      <c r="FA70" s="169" t="str">
        <f t="array" aca="1" ref="FA70" ca="1">IF(ROWS($9:69)&lt;=COUNTIF(Condition36,"o"),INDEX(Liste36,SMALL(IF(Condition36="o",ROW(INDIRECT("1:"&amp;ROWS(Liste36)))),ROWS($9:69))),"")</f>
        <v/>
      </c>
      <c r="FB70" s="175">
        <f t="shared" ca="1" si="167"/>
        <v>0</v>
      </c>
      <c r="FC70" s="175" t="str">
        <f t="shared" ca="1" si="206"/>
        <v/>
      </c>
      <c r="FD70" s="169" t="str">
        <f t="shared" ca="1" si="86"/>
        <v/>
      </c>
      <c r="FE70" s="175">
        <f t="shared" si="168"/>
        <v>0</v>
      </c>
      <c r="FF70" s="175">
        <f t="shared" ca="1" si="168"/>
        <v>0</v>
      </c>
      <c r="FG70" s="175" t="str">
        <f t="shared" ca="1" si="207"/>
        <v/>
      </c>
      <c r="FH70" s="169" t="str">
        <f t="shared" ca="1" si="87"/>
        <v/>
      </c>
      <c r="FI70" s="169" t="str">
        <f t="array" aca="1" ref="FI70" ca="1">IF(ROWS($9:69)&lt;=COUNTIF(Condition39,"o"),INDEX(Liste39,SMALL(IF(Condition39="o",ROW(INDIRECT("1:"&amp;ROWS(Liste39)))),ROWS($9:69))),"")</f>
        <v/>
      </c>
      <c r="FO70" s="288"/>
      <c r="FQ70" s="289"/>
      <c r="FR70" s="288"/>
      <c r="FS70" s="290"/>
      <c r="FT70" s="291"/>
      <c r="FU70" s="288"/>
      <c r="FV70" s="290"/>
      <c r="FW70" s="291"/>
      <c r="FX70" s="288"/>
      <c r="FY70" s="290"/>
      <c r="FZ70" s="291"/>
      <c r="GA70" s="292"/>
      <c r="GB70" s="291"/>
      <c r="GC70" s="291"/>
      <c r="GD70" s="292"/>
      <c r="GE70" s="291"/>
      <c r="GF70" s="284"/>
      <c r="GG70" s="233"/>
    </row>
    <row r="71" spans="1:189">
      <c r="A71" s="1" t="s">
        <v>844</v>
      </c>
      <c r="B71" s="1">
        <f t="shared" si="208"/>
        <v>18</v>
      </c>
      <c r="C71" s="1">
        <f t="shared" ca="1" si="208"/>
        <v>0</v>
      </c>
      <c r="D71" s="1">
        <f t="shared" ca="1" si="208"/>
        <v>0</v>
      </c>
      <c r="E71" s="1" t="str">
        <f ca="1">Actions!K19</f>
        <v>-</v>
      </c>
      <c r="F71" s="1" t="str">
        <f t="shared" ca="1" si="0"/>
        <v>-</v>
      </c>
      <c r="G71" s="1" t="e">
        <f t="shared" ca="1" si="209"/>
        <v>#REF!</v>
      </c>
      <c r="I71" s="1">
        <v>63</v>
      </c>
      <c r="J71" s="175">
        <f t="shared" ca="1" si="130"/>
        <v>0</v>
      </c>
      <c r="K71" s="175" t="str">
        <f t="shared" ca="1" si="169"/>
        <v/>
      </c>
      <c r="L71" s="169" t="str">
        <f t="shared" ca="1" si="93"/>
        <v/>
      </c>
      <c r="M71" s="169" t="str">
        <f t="array" aca="1" ref="M71" ca="1">IF(ROWS($9:70)&lt;=COUNTIF(Condition1,"o"),INDEX(Liste1,SMALL(IF(Condition1="o",ROW(INDIRECT("1:"&amp;ROWS(Liste1)))),ROWS($9:70))),"")</f>
        <v/>
      </c>
      <c r="N71" s="175">
        <f t="shared" ca="1" si="131"/>
        <v>0</v>
      </c>
      <c r="O71" s="175" t="str">
        <f t="shared" ca="1" si="170"/>
        <v/>
      </c>
      <c r="P71" s="169" t="str">
        <f t="shared" ca="1" si="94"/>
        <v/>
      </c>
      <c r="Q71" s="169" t="str">
        <f t="array" aca="1" ref="Q71" ca="1">IF(ROWS($9:70)&lt;=COUNTIF(Condition2,"o"),INDEX(Liste2,SMALL(IF(Condition2="o",ROW(INDIRECT("1:"&amp;ROWS(Liste2)))),ROWS($9:70))),"")</f>
        <v/>
      </c>
      <c r="R71" s="175">
        <f t="shared" ca="1" si="132"/>
        <v>0</v>
      </c>
      <c r="S71" s="175" t="str">
        <f t="shared" ca="1" si="171"/>
        <v/>
      </c>
      <c r="T71" s="169" t="str">
        <f t="shared" ca="1" si="95"/>
        <v/>
      </c>
      <c r="U71" s="169" t="str">
        <f t="array" aca="1" ref="U71" ca="1">IF(ROWS($9:70)&lt;=COUNTIF(Condition3,"o"),INDEX(Liste3,SMALL(IF(Condition3="o",ROW(INDIRECT("1:"&amp;ROWS(Liste3)))),ROWS($9:70))),"")</f>
        <v/>
      </c>
      <c r="V71" s="175">
        <f t="shared" ca="1" si="133"/>
        <v>0</v>
      </c>
      <c r="W71" s="175" t="str">
        <f t="shared" ca="1" si="172"/>
        <v/>
      </c>
      <c r="X71" s="169" t="str">
        <f t="shared" ca="1" si="96"/>
        <v/>
      </c>
      <c r="Y71" s="169" t="str">
        <f t="array" aca="1" ref="Y71" ca="1">IF(ROWS($9:70)&lt;=COUNTIF(Condition4,"o"),INDEX(Liste4,SMALL(IF(Condition4="o",ROW(INDIRECT("1:"&amp;ROWS(Liste4)))),ROWS($9:70))),"")</f>
        <v/>
      </c>
      <c r="Z71" s="175">
        <f t="shared" ca="1" si="134"/>
        <v>0</v>
      </c>
      <c r="AA71" s="175" t="str">
        <f t="shared" ca="1" si="173"/>
        <v/>
      </c>
      <c r="AB71" s="169" t="str">
        <f t="shared" ca="1" si="97"/>
        <v/>
      </c>
      <c r="AC71" s="169" t="str">
        <f t="array" aca="1" ref="AC71" ca="1">IF(ROWS($9:70)&lt;=COUNTIF(Condition5,"o"),INDEX(Liste5,SMALL(IF(Condition5="o",ROW(INDIRECT("1:"&amp;ROWS(Liste5)))),ROWS($9:70))),"")</f>
        <v/>
      </c>
      <c r="AD71" s="175">
        <f t="shared" ca="1" si="135"/>
        <v>0</v>
      </c>
      <c r="AE71" s="175" t="str">
        <f t="shared" ca="1" si="174"/>
        <v/>
      </c>
      <c r="AF71" s="169" t="str">
        <f t="shared" ca="1" si="98"/>
        <v/>
      </c>
      <c r="AG71" s="169" t="str">
        <f t="array" aca="1" ref="AG71" ca="1">IF(ROWS($9:70)&lt;=COUNTIF(Condition6,"o"),INDEX(Liste6,SMALL(IF(Condition6="o",ROW(INDIRECT("1:"&amp;ROWS(Liste6)))),ROWS($9:70))),"")</f>
        <v/>
      </c>
      <c r="AH71" s="175">
        <f t="shared" ca="1" si="136"/>
        <v>0</v>
      </c>
      <c r="AI71" s="175" t="str">
        <f t="shared" ca="1" si="175"/>
        <v/>
      </c>
      <c r="AJ71" s="169" t="str">
        <f t="shared" ca="1" si="99"/>
        <v/>
      </c>
      <c r="AK71" s="169" t="str">
        <f t="array" aca="1" ref="AK71" ca="1">IF(ROWS($9:70)&lt;=COUNTIF(Condition7,"o"),INDEX(Liste7,SMALL(IF(Condition7="o",ROW(INDIRECT("1:"&amp;ROWS(Liste7)))),ROWS($9:70))),"")</f>
        <v/>
      </c>
      <c r="AL71" s="175">
        <f t="shared" ca="1" si="137"/>
        <v>0</v>
      </c>
      <c r="AM71" s="175" t="str">
        <f t="shared" ca="1" si="176"/>
        <v/>
      </c>
      <c r="AN71" s="169" t="str">
        <f t="shared" ca="1" si="100"/>
        <v/>
      </c>
      <c r="AO71" s="169" t="str">
        <f t="array" aca="1" ref="AO71" ca="1">IF(ROWS($9:70)&lt;=COUNTIF(Condition8,"o"),INDEX(Liste8,SMALL(IF(Condition8="o",ROW(INDIRECT("1:"&amp;ROWS(Liste8)))),ROWS($9:70))),"")</f>
        <v/>
      </c>
      <c r="AP71" s="175">
        <f t="shared" ca="1" si="138"/>
        <v>0</v>
      </c>
      <c r="AQ71" s="175" t="str">
        <f t="shared" ca="1" si="177"/>
        <v/>
      </c>
      <c r="AR71" s="169" t="str">
        <f t="shared" ca="1" si="101"/>
        <v/>
      </c>
      <c r="AS71" s="169" t="str">
        <f t="array" aca="1" ref="AS71" ca="1">IF(ROWS($9:70)&lt;=COUNTIF(Condition9,"o"),INDEX(Liste9,SMALL(IF(Condition9="o",ROW(INDIRECT("1:"&amp;ROWS(Liste9)))),ROWS($9:70))),"")</f>
        <v/>
      </c>
      <c r="AT71" s="175">
        <f t="shared" ca="1" si="139"/>
        <v>0</v>
      </c>
      <c r="AU71" s="175" t="str">
        <f t="shared" ca="1" si="178"/>
        <v/>
      </c>
      <c r="AV71" s="169" t="str">
        <f t="shared" ca="1" si="102"/>
        <v/>
      </c>
      <c r="AW71" s="169" t="str">
        <f t="array" aca="1" ref="AW71" ca="1">IF(ROWS($9:70)&lt;=COUNTIF(Condition10,"o"),INDEX(Liste10,SMALL(IF(Condition10="o",ROW(INDIRECT("1:"&amp;ROWS(Liste10)))),ROWS($9:70))),"")</f>
        <v/>
      </c>
      <c r="AX71" s="175">
        <f t="shared" ca="1" si="140"/>
        <v>0</v>
      </c>
      <c r="AY71" s="175" t="str">
        <f t="shared" ca="1" si="179"/>
        <v/>
      </c>
      <c r="AZ71" s="169" t="str">
        <f t="shared" ca="1" si="103"/>
        <v/>
      </c>
      <c r="BA71" s="169" t="str">
        <f t="array" aca="1" ref="BA71" ca="1">IF(ROWS($9:70)&lt;=COUNTIF(Condition11,"o"),INDEX(Liste11,SMALL(IF(Condition11="o",ROW(INDIRECT("1:"&amp;ROWS(Liste11)))),ROWS($9:70))),"")</f>
        <v/>
      </c>
      <c r="BB71" s="175">
        <f t="shared" ca="1" si="141"/>
        <v>0</v>
      </c>
      <c r="BC71" s="175" t="str">
        <f t="shared" ca="1" si="180"/>
        <v/>
      </c>
      <c r="BD71" s="169" t="str">
        <f t="shared" ca="1" si="104"/>
        <v/>
      </c>
      <c r="BE71" s="169" t="str">
        <f t="array" aca="1" ref="BE71" ca="1">IF(ROWS($9:70)&lt;=COUNTIF(Condition12,"o"),INDEX(Liste12,SMALL(IF(Condition12="o",ROW(INDIRECT("1:"&amp;ROWS(Liste12)))),ROWS($9:70))),"")</f>
        <v/>
      </c>
      <c r="BF71" s="175">
        <f t="shared" ca="1" si="142"/>
        <v>0</v>
      </c>
      <c r="BG71" s="175" t="str">
        <f t="shared" ca="1" si="181"/>
        <v/>
      </c>
      <c r="BH71" s="169" t="str">
        <f t="shared" ca="1" si="105"/>
        <v/>
      </c>
      <c r="BI71" s="169" t="str">
        <f t="array" aca="1" ref="BI71" ca="1">IF(ROWS($9:70)&lt;=COUNTIF(Condition13,"o"),INDEX(Liste13,SMALL(IF(Condition13="o",ROW(INDIRECT("1:"&amp;ROWS(Liste13)))),ROWS($9:70))),"")</f>
        <v/>
      </c>
      <c r="BJ71" s="175">
        <f t="shared" ca="1" si="143"/>
        <v>0</v>
      </c>
      <c r="BK71" s="175" t="str">
        <f t="shared" ca="1" si="182"/>
        <v/>
      </c>
      <c r="BL71" s="169" t="str">
        <f t="shared" ca="1" si="106"/>
        <v/>
      </c>
      <c r="BM71" s="169" t="str">
        <f t="array" aca="1" ref="BM71" ca="1">IF(ROWS($9:70)&lt;=COUNTIF(Condition14,"o"),INDEX(Liste14,SMALL(IF(Condition14="o",ROW(INDIRECT("1:"&amp;ROWS(Liste14)))),ROWS($9:70))),"")</f>
        <v/>
      </c>
      <c r="BN71" s="175">
        <f t="shared" ca="1" si="144"/>
        <v>0</v>
      </c>
      <c r="BO71" s="175" t="str">
        <f t="shared" ca="1" si="183"/>
        <v/>
      </c>
      <c r="BP71" s="169" t="str">
        <f t="shared" ca="1" si="107"/>
        <v/>
      </c>
      <c r="BQ71" s="169" t="str">
        <f t="array" aca="1" ref="BQ71" ca="1">IF(ROWS($9:70)&lt;=COUNTIF(Condition15,"o"),INDEX(Liste15,SMALL(IF(Condition15="o",ROW(INDIRECT("1:"&amp;ROWS(Liste15)))),ROWS($9:70))),"")</f>
        <v/>
      </c>
      <c r="BR71" s="175">
        <f t="shared" ca="1" si="145"/>
        <v>0</v>
      </c>
      <c r="BS71" s="175" t="str">
        <f t="shared" ca="1" si="184"/>
        <v/>
      </c>
      <c r="BT71" s="169" t="str">
        <f t="shared" ca="1" si="108"/>
        <v/>
      </c>
      <c r="BU71" s="169" t="str">
        <f t="array" aca="1" ref="BU71" ca="1">IF(ROWS($9:70)&lt;=COUNTIF(Condition16,"o"),INDEX(Liste16,SMALL(IF(Condition16="o",ROW(INDIRECT("1:"&amp;ROWS(Liste16)))),ROWS($9:70))),"")</f>
        <v/>
      </c>
      <c r="BV71" s="175">
        <f t="shared" ca="1" si="146"/>
        <v>0</v>
      </c>
      <c r="BW71" s="175" t="str">
        <f t="shared" ca="1" si="185"/>
        <v/>
      </c>
      <c r="BX71" s="169" t="str">
        <f t="shared" ca="1" si="109"/>
        <v/>
      </c>
      <c r="BY71" s="169" t="str">
        <f t="array" aca="1" ref="BY71" ca="1">IF(ROWS($9:70)&lt;=COUNTIF(Condition17,"o"),INDEX(Liste17,SMALL(IF(Condition17="o",ROW(INDIRECT("1:"&amp;ROWS(Liste17)))),ROWS($9:70))),"")</f>
        <v/>
      </c>
      <c r="BZ71" s="175">
        <f t="shared" ca="1" si="147"/>
        <v>0</v>
      </c>
      <c r="CA71" s="175" t="str">
        <f t="shared" ca="1" si="186"/>
        <v/>
      </c>
      <c r="CB71" s="169" t="str">
        <f t="shared" ca="1" si="110"/>
        <v/>
      </c>
      <c r="CC71" s="169" t="str">
        <f t="array" aca="1" ref="CC71" ca="1">IF(ROWS($9:70)&lt;=COUNTIF(Condition18,"o"),INDEX(Liste18,SMALL(IF(Condition18="o",ROW(INDIRECT("1:"&amp;ROWS(Liste18)))),ROWS($9:70))),"")</f>
        <v/>
      </c>
      <c r="CD71" s="175">
        <f t="shared" ca="1" si="148"/>
        <v>0</v>
      </c>
      <c r="CE71" s="175" t="str">
        <f t="shared" ca="1" si="187"/>
        <v/>
      </c>
      <c r="CF71" s="169" t="str">
        <f t="shared" ca="1" si="111"/>
        <v/>
      </c>
      <c r="CG71" s="169" t="str">
        <f t="array" aca="1" ref="CG71" ca="1">IF(ROWS($9:70)&lt;=COUNTIF(Condition19,"o"),INDEX(Liste19,SMALL(IF(Condition19="o",ROW(INDIRECT("1:"&amp;ROWS(Liste19)))),ROWS($9:70))),"")</f>
        <v/>
      </c>
      <c r="CH71" s="175">
        <f t="shared" ca="1" si="149"/>
        <v>0</v>
      </c>
      <c r="CI71" s="175" t="str">
        <f t="shared" ca="1" si="188"/>
        <v/>
      </c>
      <c r="CJ71" s="169" t="str">
        <f t="shared" ca="1" si="112"/>
        <v/>
      </c>
      <c r="CK71" s="169" t="str">
        <f t="array" aca="1" ref="CK71" ca="1">IF(ROWS($9:70)&lt;=COUNTIF(Condition20,"o"),INDEX(Liste20,SMALL(IF(Condition20="o",ROW(INDIRECT("1:"&amp;ROWS(Liste20)))),ROWS($9:70))),"")</f>
        <v/>
      </c>
      <c r="CL71" s="175">
        <f t="shared" ca="1" si="150"/>
        <v>0</v>
      </c>
      <c r="CM71" s="175" t="str">
        <f t="shared" ca="1" si="189"/>
        <v/>
      </c>
      <c r="CN71" s="169" t="str">
        <f t="shared" ca="1" si="113"/>
        <v/>
      </c>
      <c r="CO71" s="169" t="str">
        <f t="array" aca="1" ref="CO71" ca="1">IF(ROWS($9:70)&lt;=COUNTIF(Condition21,"o"),INDEX(Liste21,SMALL(IF(Condition21="o",ROW(INDIRECT("1:"&amp;ROWS(Liste21)))),ROWS($9:70))),"")</f>
        <v/>
      </c>
      <c r="CP71" s="175">
        <f t="shared" ca="1" si="151"/>
        <v>0</v>
      </c>
      <c r="CQ71" s="175" t="str">
        <f t="shared" ca="1" si="190"/>
        <v/>
      </c>
      <c r="CR71" s="169" t="str">
        <f t="shared" ca="1" si="114"/>
        <v/>
      </c>
      <c r="CS71" s="169" t="str">
        <f t="array" aca="1" ref="CS71" ca="1">IF(ROWS($9:70)&lt;=COUNTIF(Condition22,"o"),INDEX(Liste22,SMALL(IF(Condition22="o",ROW(INDIRECT("1:"&amp;ROWS(Liste22)))),ROWS($9:70))),"")</f>
        <v/>
      </c>
      <c r="CT71" s="175">
        <f t="shared" ca="1" si="152"/>
        <v>0</v>
      </c>
      <c r="CU71" s="175" t="str">
        <f t="shared" ca="1" si="191"/>
        <v/>
      </c>
      <c r="CV71" s="169" t="str">
        <f t="shared" ca="1" si="115"/>
        <v/>
      </c>
      <c r="CW71" s="169" t="str">
        <f t="array" aca="1" ref="CW71" ca="1">IF(ROWS($9:70)&lt;=COUNTIF(Condition23,"o"),INDEX(Liste23,SMALL(IF(Condition23="o",ROW(INDIRECT("1:"&amp;ROWS(Liste23)))),ROWS($9:70))),"")</f>
        <v/>
      </c>
      <c r="CX71" s="175">
        <f t="shared" ca="1" si="153"/>
        <v>0</v>
      </c>
      <c r="CY71" s="175" t="str">
        <f t="shared" ca="1" si="192"/>
        <v/>
      </c>
      <c r="CZ71" s="169" t="str">
        <f t="shared" ca="1" si="116"/>
        <v/>
      </c>
      <c r="DA71" s="169" t="str">
        <f t="array" aca="1" ref="DA71" ca="1">IF(ROWS($9:70)&lt;=COUNTIF(Condition24,"o"),INDEX(Liste24,SMALL(IF(Condition24="o",ROW(INDIRECT("1:"&amp;ROWS(Liste24)))),ROWS($9:70))),"")</f>
        <v/>
      </c>
      <c r="DB71" s="175">
        <f t="shared" ca="1" si="154"/>
        <v>0</v>
      </c>
      <c r="DC71" s="175" t="str">
        <f t="shared" ca="1" si="193"/>
        <v/>
      </c>
      <c r="DD71" s="169" t="str">
        <f t="shared" ca="1" si="117"/>
        <v/>
      </c>
      <c r="DE71" s="169" t="str">
        <f t="array" aca="1" ref="DE71" ca="1">IF(ROWS($9:70)&lt;=COUNTIF(Condition25,"o"),INDEX(Liste25,SMALL(IF(Condition25="o",ROW(INDIRECT("1:"&amp;ROWS(Liste25)))),ROWS($9:70))),"")</f>
        <v/>
      </c>
      <c r="DF71" s="175">
        <f t="shared" ca="1" si="155"/>
        <v>0</v>
      </c>
      <c r="DG71" s="175" t="str">
        <f t="shared" ca="1" si="194"/>
        <v/>
      </c>
      <c r="DH71" s="169" t="str">
        <f t="shared" ca="1" si="118"/>
        <v/>
      </c>
      <c r="DI71" s="169" t="str">
        <f t="array" aca="1" ref="DI71" ca="1">IF(ROWS($9:70)&lt;=COUNTIF(Condition26,"o"),INDEX(Liste26,SMALL(IF(Condition26="o",ROW(INDIRECT("1:"&amp;ROWS(Liste26)))),ROWS($9:70))),"")</f>
        <v/>
      </c>
      <c r="DJ71" s="175">
        <f t="shared" ca="1" si="156"/>
        <v>0</v>
      </c>
      <c r="DK71" s="175" t="str">
        <f t="shared" ca="1" si="195"/>
        <v/>
      </c>
      <c r="DL71" s="169" t="str">
        <f t="shared" ca="1" si="119"/>
        <v/>
      </c>
      <c r="DM71" s="169" t="str">
        <f t="array" aca="1" ref="DM71" ca="1">IF(ROWS($9:70)&lt;=COUNTIF(Condition27,"o"),INDEX(Liste27,SMALL(IF(Condition27="o",ROW(INDIRECT("1:"&amp;ROWS(Liste27)))),ROWS($9:70))),"")</f>
        <v/>
      </c>
      <c r="DN71" s="175">
        <f t="shared" ca="1" si="157"/>
        <v>0</v>
      </c>
      <c r="DO71" s="175" t="str">
        <f t="shared" ca="1" si="196"/>
        <v/>
      </c>
      <c r="DP71" s="169" t="str">
        <f t="shared" ca="1" si="120"/>
        <v/>
      </c>
      <c r="DQ71" s="169" t="str">
        <f t="array" aca="1" ref="DQ71" ca="1">IF(ROWS($9:70)&lt;=COUNTIF(Condition28,"o"),INDEX(Liste28,SMALL(IF(Condition28="o",ROW(INDIRECT("1:"&amp;ROWS(Liste28)))),ROWS($9:70))),"")</f>
        <v/>
      </c>
      <c r="DR71" s="175">
        <f t="shared" ca="1" si="158"/>
        <v>0</v>
      </c>
      <c r="DS71" s="175" t="str">
        <f t="shared" ca="1" si="197"/>
        <v/>
      </c>
      <c r="DT71" s="169" t="str">
        <f t="shared" ca="1" si="121"/>
        <v/>
      </c>
      <c r="DU71" s="169" t="str">
        <f t="array" aca="1" ref="DU71" ca="1">IF(ROWS($9:70)&lt;=COUNTIF(Condition29,"o"),INDEX(Liste29,SMALL(IF(Condition29="o",ROW(INDIRECT("1:"&amp;ROWS(Liste29)))),ROWS($9:70))),"")</f>
        <v/>
      </c>
      <c r="DV71" s="175">
        <f t="shared" ca="1" si="159"/>
        <v>0</v>
      </c>
      <c r="DW71" s="175" t="str">
        <f t="shared" ca="1" si="198"/>
        <v/>
      </c>
      <c r="DX71" s="169" t="str">
        <f t="shared" ca="1" si="122"/>
        <v/>
      </c>
      <c r="DY71" s="169" t="str">
        <f t="array" aca="1" ref="DY71" ca="1">IF(ROWS($9:70)&lt;=COUNTIF(Condition30,"o"),INDEX(Liste30,SMALL(IF(Condition30="o",ROW(INDIRECT("1:"&amp;ROWS(Liste30)))),ROWS($9:70))),"")</f>
        <v/>
      </c>
      <c r="DZ71" s="175">
        <f t="shared" ca="1" si="160"/>
        <v>0</v>
      </c>
      <c r="EA71" s="175" t="str">
        <f t="shared" ca="1" si="199"/>
        <v/>
      </c>
      <c r="EB71" s="169" t="str">
        <f t="shared" ca="1" si="123"/>
        <v/>
      </c>
      <c r="EC71" s="169" t="str">
        <f t="array" aca="1" ref="EC71" ca="1">IF(ROWS($9:70)&lt;=COUNTIF(Condition31,"o"),INDEX(Liste31,SMALL(IF(Condition31="o",ROW(INDIRECT("1:"&amp;ROWS(Liste31)))),ROWS($9:70))),"")</f>
        <v/>
      </c>
      <c r="ED71" s="175">
        <f t="shared" ca="1" si="161"/>
        <v>0</v>
      </c>
      <c r="EE71" s="175" t="str">
        <f t="shared" ca="1" si="200"/>
        <v/>
      </c>
      <c r="EF71" s="169" t="str">
        <f t="shared" ca="1" si="124"/>
        <v/>
      </c>
      <c r="EG71" s="169" t="str">
        <f t="array" aca="1" ref="EG71" ca="1">IF(ROWS($9:70)&lt;=COUNTIF(Condition32,"o"),INDEX(Liste32,SMALL(IF(Condition32="o",ROW(INDIRECT("1:"&amp;ROWS(Liste32)))),ROWS($9:70))),"")</f>
        <v/>
      </c>
      <c r="EH71" s="175">
        <f t="shared" ca="1" si="162"/>
        <v>0</v>
      </c>
      <c r="EI71" s="175" t="str">
        <f t="shared" ca="1" si="201"/>
        <v/>
      </c>
      <c r="EJ71" s="169" t="str">
        <f t="shared" ca="1" si="125"/>
        <v/>
      </c>
      <c r="EK71" s="169" t="str">
        <f t="array" aca="1" ref="EK71" ca="1">IF(ROWS($9:70)&lt;=COUNTIF(Condition33,"o"),INDEX(Liste33,SMALL(IF(Condition33="o",ROW(INDIRECT("1:"&amp;ROWS(Liste33)))),ROWS($9:70))),"")</f>
        <v/>
      </c>
      <c r="EL71" s="175">
        <f t="shared" ca="1" si="163"/>
        <v>0</v>
      </c>
      <c r="EM71" s="175" t="str">
        <f t="shared" ca="1" si="202"/>
        <v/>
      </c>
      <c r="EN71" s="169" t="str">
        <f t="shared" ca="1" si="126"/>
        <v/>
      </c>
      <c r="EO71" s="169" t="str">
        <f t="array" aca="1" ref="EO71" ca="1">IF(ROWS($9:70)&lt;=COUNTIF(Condition34,"o"),INDEX(Liste34,SMALL(IF(Condition34="o",ROW(INDIRECT("1:"&amp;ROWS(Liste34)))),ROWS($9:70))),"")</f>
        <v/>
      </c>
      <c r="EP71" s="175">
        <f t="shared" ca="1" si="164"/>
        <v>0</v>
      </c>
      <c r="EQ71" s="175" t="str">
        <f t="shared" ca="1" si="203"/>
        <v/>
      </c>
      <c r="ER71" s="169" t="str">
        <f t="shared" ca="1" si="127"/>
        <v/>
      </c>
      <c r="ES71" s="169" t="str">
        <f t="array" aca="1" ref="ES71" ca="1">IF(ROWS($9:70)&lt;=COUNTIF(Condition35,"o"),INDEX(Liste35,SMALL(IF(Condition35="o",ROW(INDIRECT("1:"&amp;ROWS(Liste35)))),ROWS($9:70))),"")</f>
        <v/>
      </c>
      <c r="ET71" s="175">
        <f t="shared" ca="1" si="165"/>
        <v>0</v>
      </c>
      <c r="EU71" s="175" t="str">
        <f t="shared" ca="1" si="204"/>
        <v/>
      </c>
      <c r="EV71" s="169" t="str">
        <f t="shared" ca="1" si="128"/>
        <v/>
      </c>
      <c r="EW71" s="169" t="str">
        <f t="array" aca="1" ref="EW71" ca="1">IF(ROWS($9:70)&lt;=COUNTIF(Condition36,"o"),INDEX(Liste36,SMALL(IF(Condition36="o",ROW(INDIRECT("1:"&amp;ROWS(Liste36)))),ROWS($9:70))),"")</f>
        <v/>
      </c>
      <c r="EX71" s="175">
        <f t="shared" ca="1" si="166"/>
        <v>0</v>
      </c>
      <c r="EY71" s="175" t="str">
        <f t="shared" ca="1" si="205"/>
        <v/>
      </c>
      <c r="EZ71" s="169" t="str">
        <f t="shared" ca="1" si="85"/>
        <v/>
      </c>
      <c r="FA71" s="169" t="str">
        <f t="array" aca="1" ref="FA71" ca="1">IF(ROWS($9:70)&lt;=COUNTIF(Condition36,"o"),INDEX(Liste36,SMALL(IF(Condition36="o",ROW(INDIRECT("1:"&amp;ROWS(Liste36)))),ROWS($9:70))),"")</f>
        <v/>
      </c>
      <c r="FB71" s="175">
        <f t="shared" ca="1" si="167"/>
        <v>0</v>
      </c>
      <c r="FC71" s="175" t="str">
        <f t="shared" ca="1" si="206"/>
        <v/>
      </c>
      <c r="FD71" s="169" t="str">
        <f t="shared" ca="1" si="86"/>
        <v/>
      </c>
      <c r="FE71" s="175">
        <f t="shared" si="168"/>
        <v>0</v>
      </c>
      <c r="FF71" s="175">
        <f t="shared" ca="1" si="168"/>
        <v>0</v>
      </c>
      <c r="FG71" s="175" t="str">
        <f t="shared" ca="1" si="207"/>
        <v/>
      </c>
      <c r="FH71" s="169" t="str">
        <f t="shared" ca="1" si="87"/>
        <v/>
      </c>
      <c r="FI71" s="169" t="str">
        <f t="array" aca="1" ref="FI71" ca="1">IF(ROWS($9:70)&lt;=COUNTIF(Condition39,"o"),INDEX(Liste39,SMALL(IF(Condition39="o",ROW(INDIRECT("1:"&amp;ROWS(Liste39)))),ROWS($9:70))),"")</f>
        <v/>
      </c>
      <c r="FO71" s="288"/>
      <c r="FQ71" s="289"/>
      <c r="FR71" s="288"/>
      <c r="FS71" s="290"/>
      <c r="FT71" s="291"/>
      <c r="FU71" s="288"/>
      <c r="FV71" s="290"/>
      <c r="FW71" s="291"/>
      <c r="FX71" s="288"/>
      <c r="FY71" s="290"/>
      <c r="FZ71" s="291"/>
      <c r="GA71" s="292"/>
      <c r="GB71" s="291"/>
      <c r="GC71" s="291"/>
      <c r="GD71" s="292"/>
      <c r="GE71" s="291"/>
      <c r="GF71" s="284"/>
      <c r="GG71" s="233"/>
    </row>
    <row r="72" spans="1:189">
      <c r="A72" s="1" t="s">
        <v>851</v>
      </c>
      <c r="B72" s="1">
        <f t="shared" si="208"/>
        <v>19</v>
      </c>
      <c r="C72" s="1">
        <f t="shared" ca="1" si="208"/>
        <v>0</v>
      </c>
      <c r="D72" s="1">
        <f t="shared" ca="1" si="208"/>
        <v>0</v>
      </c>
      <c r="E72" s="1" t="str">
        <f ca="1">Actions!K20</f>
        <v>-</v>
      </c>
      <c r="F72" s="1" t="str">
        <f t="shared" ca="1" si="0"/>
        <v>-</v>
      </c>
      <c r="G72" s="1" t="e">
        <f t="shared" ca="1" si="209"/>
        <v>#REF!</v>
      </c>
      <c r="I72" s="1">
        <v>64</v>
      </c>
      <c r="J72" s="175">
        <f t="shared" ca="1" si="130"/>
        <v>0</v>
      </c>
      <c r="K72" s="175" t="str">
        <f t="shared" ca="1" si="169"/>
        <v/>
      </c>
      <c r="L72" s="169" t="str">
        <f t="shared" ca="1" si="93"/>
        <v/>
      </c>
      <c r="M72" s="169" t="str">
        <f t="array" aca="1" ref="M72" ca="1">IF(ROWS($9:71)&lt;=COUNTIF(Condition1,"o"),INDEX(Liste1,SMALL(IF(Condition1="o",ROW(INDIRECT("1:"&amp;ROWS(Liste1)))),ROWS($9:71))),"")</f>
        <v/>
      </c>
      <c r="N72" s="175">
        <f t="shared" ca="1" si="131"/>
        <v>0</v>
      </c>
      <c r="O72" s="175" t="str">
        <f t="shared" ca="1" si="170"/>
        <v/>
      </c>
      <c r="P72" s="169" t="str">
        <f t="shared" ca="1" si="94"/>
        <v/>
      </c>
      <c r="Q72" s="169" t="str">
        <f t="array" aca="1" ref="Q72" ca="1">IF(ROWS($9:71)&lt;=COUNTIF(Condition2,"o"),INDEX(Liste2,SMALL(IF(Condition2="o",ROW(INDIRECT("1:"&amp;ROWS(Liste2)))),ROWS($9:71))),"")</f>
        <v/>
      </c>
      <c r="R72" s="175">
        <f t="shared" ca="1" si="132"/>
        <v>0</v>
      </c>
      <c r="S72" s="175" t="str">
        <f t="shared" ca="1" si="171"/>
        <v/>
      </c>
      <c r="T72" s="169" t="str">
        <f t="shared" ca="1" si="95"/>
        <v/>
      </c>
      <c r="U72" s="169" t="str">
        <f t="array" aca="1" ref="U72" ca="1">IF(ROWS($9:71)&lt;=COUNTIF(Condition3,"o"),INDEX(Liste3,SMALL(IF(Condition3="o",ROW(INDIRECT("1:"&amp;ROWS(Liste3)))),ROWS($9:71))),"")</f>
        <v/>
      </c>
      <c r="V72" s="175">
        <f t="shared" ca="1" si="133"/>
        <v>0</v>
      </c>
      <c r="W72" s="175" t="str">
        <f t="shared" ca="1" si="172"/>
        <v/>
      </c>
      <c r="X72" s="169" t="str">
        <f t="shared" ca="1" si="96"/>
        <v/>
      </c>
      <c r="Y72" s="169" t="str">
        <f t="array" aca="1" ref="Y72" ca="1">IF(ROWS($9:71)&lt;=COUNTIF(Condition4,"o"),INDEX(Liste4,SMALL(IF(Condition4="o",ROW(INDIRECT("1:"&amp;ROWS(Liste4)))),ROWS($9:71))),"")</f>
        <v/>
      </c>
      <c r="Z72" s="175">
        <f t="shared" ca="1" si="134"/>
        <v>0</v>
      </c>
      <c r="AA72" s="175" t="str">
        <f t="shared" ca="1" si="173"/>
        <v/>
      </c>
      <c r="AB72" s="169" t="str">
        <f t="shared" ca="1" si="97"/>
        <v/>
      </c>
      <c r="AC72" s="169" t="str">
        <f t="array" aca="1" ref="AC72" ca="1">IF(ROWS($9:71)&lt;=COUNTIF(Condition5,"o"),INDEX(Liste5,SMALL(IF(Condition5="o",ROW(INDIRECT("1:"&amp;ROWS(Liste5)))),ROWS($9:71))),"")</f>
        <v/>
      </c>
      <c r="AD72" s="175">
        <f t="shared" ca="1" si="135"/>
        <v>0</v>
      </c>
      <c r="AE72" s="175" t="str">
        <f t="shared" ca="1" si="174"/>
        <v/>
      </c>
      <c r="AF72" s="169" t="str">
        <f t="shared" ca="1" si="98"/>
        <v/>
      </c>
      <c r="AG72" s="169" t="str">
        <f t="array" aca="1" ref="AG72" ca="1">IF(ROWS($9:71)&lt;=COUNTIF(Condition6,"o"),INDEX(Liste6,SMALL(IF(Condition6="o",ROW(INDIRECT("1:"&amp;ROWS(Liste6)))),ROWS($9:71))),"")</f>
        <v/>
      </c>
      <c r="AH72" s="175">
        <f t="shared" ca="1" si="136"/>
        <v>0</v>
      </c>
      <c r="AI72" s="175" t="str">
        <f t="shared" ca="1" si="175"/>
        <v/>
      </c>
      <c r="AJ72" s="169" t="str">
        <f t="shared" ca="1" si="99"/>
        <v/>
      </c>
      <c r="AK72" s="169" t="str">
        <f t="array" aca="1" ref="AK72" ca="1">IF(ROWS($9:71)&lt;=COUNTIF(Condition7,"o"),INDEX(Liste7,SMALL(IF(Condition7="o",ROW(INDIRECT("1:"&amp;ROWS(Liste7)))),ROWS($9:71))),"")</f>
        <v/>
      </c>
      <c r="AL72" s="175">
        <f t="shared" ca="1" si="137"/>
        <v>0</v>
      </c>
      <c r="AM72" s="175" t="str">
        <f t="shared" ca="1" si="176"/>
        <v/>
      </c>
      <c r="AN72" s="169" t="str">
        <f t="shared" ca="1" si="100"/>
        <v/>
      </c>
      <c r="AO72" s="169" t="str">
        <f t="array" aca="1" ref="AO72" ca="1">IF(ROWS($9:71)&lt;=COUNTIF(Condition8,"o"),INDEX(Liste8,SMALL(IF(Condition8="o",ROW(INDIRECT("1:"&amp;ROWS(Liste8)))),ROWS($9:71))),"")</f>
        <v/>
      </c>
      <c r="AP72" s="175">
        <f t="shared" ca="1" si="138"/>
        <v>0</v>
      </c>
      <c r="AQ72" s="175" t="str">
        <f t="shared" ca="1" si="177"/>
        <v/>
      </c>
      <c r="AR72" s="169" t="str">
        <f t="shared" ca="1" si="101"/>
        <v/>
      </c>
      <c r="AS72" s="169" t="str">
        <f t="array" aca="1" ref="AS72" ca="1">IF(ROWS($9:71)&lt;=COUNTIF(Condition9,"o"),INDEX(Liste9,SMALL(IF(Condition9="o",ROW(INDIRECT("1:"&amp;ROWS(Liste9)))),ROWS($9:71))),"")</f>
        <v/>
      </c>
      <c r="AT72" s="175">
        <f t="shared" ca="1" si="139"/>
        <v>0</v>
      </c>
      <c r="AU72" s="175" t="str">
        <f t="shared" ca="1" si="178"/>
        <v/>
      </c>
      <c r="AV72" s="169" t="str">
        <f t="shared" ca="1" si="102"/>
        <v/>
      </c>
      <c r="AW72" s="169" t="str">
        <f t="array" aca="1" ref="AW72" ca="1">IF(ROWS($9:71)&lt;=COUNTIF(Condition10,"o"),INDEX(Liste10,SMALL(IF(Condition10="o",ROW(INDIRECT("1:"&amp;ROWS(Liste10)))),ROWS($9:71))),"")</f>
        <v/>
      </c>
      <c r="AX72" s="175">
        <f t="shared" ca="1" si="140"/>
        <v>0</v>
      </c>
      <c r="AY72" s="175" t="str">
        <f t="shared" ca="1" si="179"/>
        <v/>
      </c>
      <c r="AZ72" s="169" t="str">
        <f t="shared" ca="1" si="103"/>
        <v/>
      </c>
      <c r="BA72" s="169" t="str">
        <f t="array" aca="1" ref="BA72" ca="1">IF(ROWS($9:71)&lt;=COUNTIF(Condition11,"o"),INDEX(Liste11,SMALL(IF(Condition11="o",ROW(INDIRECT("1:"&amp;ROWS(Liste11)))),ROWS($9:71))),"")</f>
        <v/>
      </c>
      <c r="BB72" s="175">
        <f t="shared" ca="1" si="141"/>
        <v>0</v>
      </c>
      <c r="BC72" s="175" t="str">
        <f t="shared" ca="1" si="180"/>
        <v/>
      </c>
      <c r="BD72" s="169" t="str">
        <f t="shared" ca="1" si="104"/>
        <v/>
      </c>
      <c r="BE72" s="169" t="str">
        <f t="array" aca="1" ref="BE72" ca="1">IF(ROWS($9:71)&lt;=COUNTIF(Condition12,"o"),INDEX(Liste12,SMALL(IF(Condition12="o",ROW(INDIRECT("1:"&amp;ROWS(Liste12)))),ROWS($9:71))),"")</f>
        <v/>
      </c>
      <c r="BF72" s="175">
        <f t="shared" ca="1" si="142"/>
        <v>0</v>
      </c>
      <c r="BG72" s="175" t="str">
        <f t="shared" ca="1" si="181"/>
        <v/>
      </c>
      <c r="BH72" s="169" t="str">
        <f t="shared" ca="1" si="105"/>
        <v/>
      </c>
      <c r="BI72" s="169" t="str">
        <f t="array" aca="1" ref="BI72" ca="1">IF(ROWS($9:71)&lt;=COUNTIF(Condition13,"o"),INDEX(Liste13,SMALL(IF(Condition13="o",ROW(INDIRECT("1:"&amp;ROWS(Liste13)))),ROWS($9:71))),"")</f>
        <v/>
      </c>
      <c r="BJ72" s="175">
        <f t="shared" ca="1" si="143"/>
        <v>0</v>
      </c>
      <c r="BK72" s="175" t="str">
        <f t="shared" ca="1" si="182"/>
        <v/>
      </c>
      <c r="BL72" s="169" t="str">
        <f t="shared" ca="1" si="106"/>
        <v/>
      </c>
      <c r="BM72" s="169" t="str">
        <f t="array" aca="1" ref="BM72" ca="1">IF(ROWS($9:71)&lt;=COUNTIF(Condition14,"o"),INDEX(Liste14,SMALL(IF(Condition14="o",ROW(INDIRECT("1:"&amp;ROWS(Liste14)))),ROWS($9:71))),"")</f>
        <v/>
      </c>
      <c r="BN72" s="175">
        <f t="shared" ca="1" si="144"/>
        <v>0</v>
      </c>
      <c r="BO72" s="175" t="str">
        <f t="shared" ca="1" si="183"/>
        <v/>
      </c>
      <c r="BP72" s="169" t="str">
        <f t="shared" ca="1" si="107"/>
        <v/>
      </c>
      <c r="BQ72" s="169" t="str">
        <f t="array" aca="1" ref="BQ72" ca="1">IF(ROWS($9:71)&lt;=COUNTIF(Condition15,"o"),INDEX(Liste15,SMALL(IF(Condition15="o",ROW(INDIRECT("1:"&amp;ROWS(Liste15)))),ROWS($9:71))),"")</f>
        <v/>
      </c>
      <c r="BR72" s="175">
        <f t="shared" ca="1" si="145"/>
        <v>0</v>
      </c>
      <c r="BS72" s="175" t="str">
        <f t="shared" ca="1" si="184"/>
        <v/>
      </c>
      <c r="BT72" s="169" t="str">
        <f t="shared" ca="1" si="108"/>
        <v/>
      </c>
      <c r="BU72" s="169" t="str">
        <f t="array" aca="1" ref="BU72" ca="1">IF(ROWS($9:71)&lt;=COUNTIF(Condition16,"o"),INDEX(Liste16,SMALL(IF(Condition16="o",ROW(INDIRECT("1:"&amp;ROWS(Liste16)))),ROWS($9:71))),"")</f>
        <v/>
      </c>
      <c r="BV72" s="175">
        <f t="shared" ca="1" si="146"/>
        <v>0</v>
      </c>
      <c r="BW72" s="175" t="str">
        <f t="shared" ca="1" si="185"/>
        <v/>
      </c>
      <c r="BX72" s="169" t="str">
        <f t="shared" ca="1" si="109"/>
        <v/>
      </c>
      <c r="BY72" s="169" t="str">
        <f t="array" aca="1" ref="BY72" ca="1">IF(ROWS($9:71)&lt;=COUNTIF(Condition17,"o"),INDEX(Liste17,SMALL(IF(Condition17="o",ROW(INDIRECT("1:"&amp;ROWS(Liste17)))),ROWS($9:71))),"")</f>
        <v/>
      </c>
      <c r="BZ72" s="175">
        <f t="shared" ca="1" si="147"/>
        <v>0</v>
      </c>
      <c r="CA72" s="175" t="str">
        <f t="shared" ca="1" si="186"/>
        <v/>
      </c>
      <c r="CB72" s="169" t="str">
        <f t="shared" ca="1" si="110"/>
        <v/>
      </c>
      <c r="CC72" s="169" t="str">
        <f t="array" aca="1" ref="CC72" ca="1">IF(ROWS($9:71)&lt;=COUNTIF(Condition18,"o"),INDEX(Liste18,SMALL(IF(Condition18="o",ROW(INDIRECT("1:"&amp;ROWS(Liste18)))),ROWS($9:71))),"")</f>
        <v/>
      </c>
      <c r="CD72" s="175">
        <f t="shared" ca="1" si="148"/>
        <v>0</v>
      </c>
      <c r="CE72" s="175" t="str">
        <f t="shared" ca="1" si="187"/>
        <v/>
      </c>
      <c r="CF72" s="169" t="str">
        <f t="shared" ca="1" si="111"/>
        <v/>
      </c>
      <c r="CG72" s="169" t="str">
        <f t="array" aca="1" ref="CG72" ca="1">IF(ROWS($9:71)&lt;=COUNTIF(Condition19,"o"),INDEX(Liste19,SMALL(IF(Condition19="o",ROW(INDIRECT("1:"&amp;ROWS(Liste19)))),ROWS($9:71))),"")</f>
        <v/>
      </c>
      <c r="CH72" s="175">
        <f t="shared" ca="1" si="149"/>
        <v>0</v>
      </c>
      <c r="CI72" s="175" t="str">
        <f t="shared" ca="1" si="188"/>
        <v/>
      </c>
      <c r="CJ72" s="169" t="str">
        <f t="shared" ca="1" si="112"/>
        <v/>
      </c>
      <c r="CK72" s="169" t="str">
        <f t="array" aca="1" ref="CK72" ca="1">IF(ROWS($9:71)&lt;=COUNTIF(Condition20,"o"),INDEX(Liste20,SMALL(IF(Condition20="o",ROW(INDIRECT("1:"&amp;ROWS(Liste20)))),ROWS($9:71))),"")</f>
        <v/>
      </c>
      <c r="CL72" s="175">
        <f t="shared" ca="1" si="150"/>
        <v>0</v>
      </c>
      <c r="CM72" s="175" t="str">
        <f t="shared" ca="1" si="189"/>
        <v/>
      </c>
      <c r="CN72" s="169" t="str">
        <f t="shared" ca="1" si="113"/>
        <v/>
      </c>
      <c r="CO72" s="169" t="str">
        <f t="array" aca="1" ref="CO72" ca="1">IF(ROWS($9:71)&lt;=COUNTIF(Condition21,"o"),INDEX(Liste21,SMALL(IF(Condition21="o",ROW(INDIRECT("1:"&amp;ROWS(Liste21)))),ROWS($9:71))),"")</f>
        <v/>
      </c>
      <c r="CP72" s="175">
        <f t="shared" ca="1" si="151"/>
        <v>0</v>
      </c>
      <c r="CQ72" s="175" t="str">
        <f t="shared" ca="1" si="190"/>
        <v/>
      </c>
      <c r="CR72" s="169" t="str">
        <f t="shared" ca="1" si="114"/>
        <v/>
      </c>
      <c r="CS72" s="169" t="str">
        <f t="array" aca="1" ref="CS72" ca="1">IF(ROWS($9:71)&lt;=COUNTIF(Condition22,"o"),INDEX(Liste22,SMALL(IF(Condition22="o",ROW(INDIRECT("1:"&amp;ROWS(Liste22)))),ROWS($9:71))),"")</f>
        <v/>
      </c>
      <c r="CT72" s="175">
        <f t="shared" ca="1" si="152"/>
        <v>0</v>
      </c>
      <c r="CU72" s="175" t="str">
        <f t="shared" ca="1" si="191"/>
        <v/>
      </c>
      <c r="CV72" s="169" t="str">
        <f t="shared" ca="1" si="115"/>
        <v/>
      </c>
      <c r="CW72" s="169" t="str">
        <f t="array" aca="1" ref="CW72" ca="1">IF(ROWS($9:71)&lt;=COUNTIF(Condition23,"o"),INDEX(Liste23,SMALL(IF(Condition23="o",ROW(INDIRECT("1:"&amp;ROWS(Liste23)))),ROWS($9:71))),"")</f>
        <v/>
      </c>
      <c r="CX72" s="175">
        <f t="shared" ca="1" si="153"/>
        <v>0</v>
      </c>
      <c r="CY72" s="175" t="str">
        <f t="shared" ca="1" si="192"/>
        <v/>
      </c>
      <c r="CZ72" s="169" t="str">
        <f t="shared" ca="1" si="116"/>
        <v/>
      </c>
      <c r="DA72" s="169" t="str">
        <f t="array" aca="1" ref="DA72" ca="1">IF(ROWS($9:71)&lt;=COUNTIF(Condition24,"o"),INDEX(Liste24,SMALL(IF(Condition24="o",ROW(INDIRECT("1:"&amp;ROWS(Liste24)))),ROWS($9:71))),"")</f>
        <v/>
      </c>
      <c r="DB72" s="175">
        <f t="shared" ca="1" si="154"/>
        <v>0</v>
      </c>
      <c r="DC72" s="175" t="str">
        <f t="shared" ca="1" si="193"/>
        <v/>
      </c>
      <c r="DD72" s="169" t="str">
        <f t="shared" ca="1" si="117"/>
        <v/>
      </c>
      <c r="DE72" s="169" t="str">
        <f t="array" aca="1" ref="DE72" ca="1">IF(ROWS($9:71)&lt;=COUNTIF(Condition25,"o"),INDEX(Liste25,SMALL(IF(Condition25="o",ROW(INDIRECT("1:"&amp;ROWS(Liste25)))),ROWS($9:71))),"")</f>
        <v/>
      </c>
      <c r="DF72" s="175">
        <f t="shared" ca="1" si="155"/>
        <v>0</v>
      </c>
      <c r="DG72" s="175" t="str">
        <f t="shared" ca="1" si="194"/>
        <v/>
      </c>
      <c r="DH72" s="169" t="str">
        <f t="shared" ca="1" si="118"/>
        <v/>
      </c>
      <c r="DI72" s="169" t="str">
        <f t="array" aca="1" ref="DI72" ca="1">IF(ROWS($9:71)&lt;=COUNTIF(Condition26,"o"),INDEX(Liste26,SMALL(IF(Condition26="o",ROW(INDIRECT("1:"&amp;ROWS(Liste26)))),ROWS($9:71))),"")</f>
        <v/>
      </c>
      <c r="DJ72" s="175">
        <f t="shared" ca="1" si="156"/>
        <v>0</v>
      </c>
      <c r="DK72" s="175" t="str">
        <f t="shared" ca="1" si="195"/>
        <v/>
      </c>
      <c r="DL72" s="169" t="str">
        <f t="shared" ca="1" si="119"/>
        <v/>
      </c>
      <c r="DM72" s="169" t="str">
        <f t="array" aca="1" ref="DM72" ca="1">IF(ROWS($9:71)&lt;=COUNTIF(Condition27,"o"),INDEX(Liste27,SMALL(IF(Condition27="o",ROW(INDIRECT("1:"&amp;ROWS(Liste27)))),ROWS($9:71))),"")</f>
        <v/>
      </c>
      <c r="DN72" s="175">
        <f t="shared" ca="1" si="157"/>
        <v>0</v>
      </c>
      <c r="DO72" s="175" t="str">
        <f t="shared" ca="1" si="196"/>
        <v/>
      </c>
      <c r="DP72" s="169" t="str">
        <f t="shared" ca="1" si="120"/>
        <v/>
      </c>
      <c r="DQ72" s="169" t="str">
        <f t="array" aca="1" ref="DQ72" ca="1">IF(ROWS($9:71)&lt;=COUNTIF(Condition28,"o"),INDEX(Liste28,SMALL(IF(Condition28="o",ROW(INDIRECT("1:"&amp;ROWS(Liste28)))),ROWS($9:71))),"")</f>
        <v/>
      </c>
      <c r="DR72" s="175">
        <f t="shared" ca="1" si="158"/>
        <v>0</v>
      </c>
      <c r="DS72" s="175" t="str">
        <f t="shared" ca="1" si="197"/>
        <v/>
      </c>
      <c r="DT72" s="169" t="str">
        <f t="shared" ca="1" si="121"/>
        <v/>
      </c>
      <c r="DU72" s="169" t="str">
        <f t="array" aca="1" ref="DU72" ca="1">IF(ROWS($9:71)&lt;=COUNTIF(Condition29,"o"),INDEX(Liste29,SMALL(IF(Condition29="o",ROW(INDIRECT("1:"&amp;ROWS(Liste29)))),ROWS($9:71))),"")</f>
        <v/>
      </c>
      <c r="DV72" s="175">
        <f t="shared" ca="1" si="159"/>
        <v>0</v>
      </c>
      <c r="DW72" s="175" t="str">
        <f t="shared" ca="1" si="198"/>
        <v/>
      </c>
      <c r="DX72" s="169" t="str">
        <f t="shared" ca="1" si="122"/>
        <v/>
      </c>
      <c r="DY72" s="169" t="str">
        <f t="array" aca="1" ref="DY72" ca="1">IF(ROWS($9:71)&lt;=COUNTIF(Condition30,"o"),INDEX(Liste30,SMALL(IF(Condition30="o",ROW(INDIRECT("1:"&amp;ROWS(Liste30)))),ROWS($9:71))),"")</f>
        <v/>
      </c>
      <c r="DZ72" s="175">
        <f t="shared" ca="1" si="160"/>
        <v>0</v>
      </c>
      <c r="EA72" s="175" t="str">
        <f t="shared" ca="1" si="199"/>
        <v/>
      </c>
      <c r="EB72" s="169" t="str">
        <f t="shared" ca="1" si="123"/>
        <v/>
      </c>
      <c r="EC72" s="169" t="str">
        <f t="array" aca="1" ref="EC72" ca="1">IF(ROWS($9:71)&lt;=COUNTIF(Condition31,"o"),INDEX(Liste31,SMALL(IF(Condition31="o",ROW(INDIRECT("1:"&amp;ROWS(Liste31)))),ROWS($9:71))),"")</f>
        <v/>
      </c>
      <c r="ED72" s="175">
        <f t="shared" ca="1" si="161"/>
        <v>0</v>
      </c>
      <c r="EE72" s="175" t="str">
        <f t="shared" ca="1" si="200"/>
        <v/>
      </c>
      <c r="EF72" s="169" t="str">
        <f t="shared" ca="1" si="124"/>
        <v/>
      </c>
      <c r="EG72" s="169" t="str">
        <f t="array" aca="1" ref="EG72" ca="1">IF(ROWS($9:71)&lt;=COUNTIF(Condition32,"o"),INDEX(Liste32,SMALL(IF(Condition32="o",ROW(INDIRECT("1:"&amp;ROWS(Liste32)))),ROWS($9:71))),"")</f>
        <v/>
      </c>
      <c r="EH72" s="175">
        <f t="shared" ca="1" si="162"/>
        <v>0</v>
      </c>
      <c r="EI72" s="175" t="str">
        <f t="shared" ca="1" si="201"/>
        <v/>
      </c>
      <c r="EJ72" s="169" t="str">
        <f t="shared" ca="1" si="125"/>
        <v/>
      </c>
      <c r="EK72" s="169" t="str">
        <f t="array" aca="1" ref="EK72" ca="1">IF(ROWS($9:71)&lt;=COUNTIF(Condition33,"o"),INDEX(Liste33,SMALL(IF(Condition33="o",ROW(INDIRECT("1:"&amp;ROWS(Liste33)))),ROWS($9:71))),"")</f>
        <v/>
      </c>
      <c r="EL72" s="175">
        <f t="shared" ca="1" si="163"/>
        <v>0</v>
      </c>
      <c r="EM72" s="175" t="str">
        <f t="shared" ca="1" si="202"/>
        <v/>
      </c>
      <c r="EN72" s="169" t="str">
        <f t="shared" ca="1" si="126"/>
        <v/>
      </c>
      <c r="EO72" s="169" t="str">
        <f t="array" aca="1" ref="EO72" ca="1">IF(ROWS($9:71)&lt;=COUNTIF(Condition34,"o"),INDEX(Liste34,SMALL(IF(Condition34="o",ROW(INDIRECT("1:"&amp;ROWS(Liste34)))),ROWS($9:71))),"")</f>
        <v/>
      </c>
      <c r="EP72" s="175">
        <f t="shared" ca="1" si="164"/>
        <v>0</v>
      </c>
      <c r="EQ72" s="175" t="str">
        <f t="shared" ca="1" si="203"/>
        <v/>
      </c>
      <c r="ER72" s="169" t="str">
        <f t="shared" ca="1" si="127"/>
        <v/>
      </c>
      <c r="ES72" s="169" t="str">
        <f t="array" aca="1" ref="ES72" ca="1">IF(ROWS($9:71)&lt;=COUNTIF(Condition35,"o"),INDEX(Liste35,SMALL(IF(Condition35="o",ROW(INDIRECT("1:"&amp;ROWS(Liste35)))),ROWS($9:71))),"")</f>
        <v/>
      </c>
      <c r="ET72" s="175">
        <f t="shared" ca="1" si="165"/>
        <v>0</v>
      </c>
      <c r="EU72" s="175" t="str">
        <f t="shared" ca="1" si="204"/>
        <v/>
      </c>
      <c r="EV72" s="169" t="str">
        <f t="shared" ca="1" si="128"/>
        <v/>
      </c>
      <c r="EW72" s="169" t="str">
        <f t="array" aca="1" ref="EW72" ca="1">IF(ROWS($9:71)&lt;=COUNTIF(Condition36,"o"),INDEX(Liste36,SMALL(IF(Condition36="o",ROW(INDIRECT("1:"&amp;ROWS(Liste36)))),ROWS($9:71))),"")</f>
        <v/>
      </c>
      <c r="EX72" s="175">
        <f t="shared" ca="1" si="166"/>
        <v>0</v>
      </c>
      <c r="EY72" s="175" t="str">
        <f t="shared" ca="1" si="205"/>
        <v/>
      </c>
      <c r="EZ72" s="169" t="str">
        <f t="shared" ca="1" si="85"/>
        <v/>
      </c>
      <c r="FA72" s="169" t="str">
        <f t="array" aca="1" ref="FA72" ca="1">IF(ROWS($9:71)&lt;=COUNTIF(Condition36,"o"),INDEX(Liste36,SMALL(IF(Condition36="o",ROW(INDIRECT("1:"&amp;ROWS(Liste36)))),ROWS($9:71))),"")</f>
        <v/>
      </c>
      <c r="FB72" s="175">
        <f t="shared" ca="1" si="167"/>
        <v>0</v>
      </c>
      <c r="FC72" s="175" t="str">
        <f t="shared" ca="1" si="206"/>
        <v/>
      </c>
      <c r="FD72" s="169" t="str">
        <f t="shared" ca="1" si="86"/>
        <v/>
      </c>
      <c r="FE72" s="175">
        <f t="shared" si="168"/>
        <v>0</v>
      </c>
      <c r="FF72" s="175">
        <f t="shared" ca="1" si="168"/>
        <v>0</v>
      </c>
      <c r="FG72" s="175" t="str">
        <f t="shared" ca="1" si="207"/>
        <v/>
      </c>
      <c r="FH72" s="169" t="str">
        <f t="shared" ca="1" si="87"/>
        <v/>
      </c>
      <c r="FI72" s="169" t="str">
        <f t="array" aca="1" ref="FI72" ca="1">IF(ROWS($9:71)&lt;=COUNTIF(Condition39,"o"),INDEX(Liste39,SMALL(IF(Condition39="o",ROW(INDIRECT("1:"&amp;ROWS(Liste39)))),ROWS($9:71))),"")</f>
        <v/>
      </c>
      <c r="FO72" s="288"/>
      <c r="FQ72" s="289"/>
      <c r="FR72" s="288"/>
      <c r="FS72" s="290"/>
      <c r="FT72" s="291"/>
      <c r="FU72" s="288"/>
      <c r="FV72" s="290"/>
      <c r="FW72" s="291"/>
      <c r="FX72" s="288"/>
      <c r="FY72" s="290"/>
      <c r="FZ72" s="291"/>
      <c r="GA72" s="292"/>
      <c r="GB72" s="291"/>
      <c r="GC72" s="291"/>
      <c r="GD72" s="292"/>
      <c r="GE72" s="291"/>
      <c r="GF72" s="284"/>
      <c r="GG72" s="233"/>
    </row>
    <row r="73" spans="1:189">
      <c r="A73" s="1" t="s">
        <v>1200</v>
      </c>
      <c r="B73" s="1">
        <f t="shared" si="208"/>
        <v>20</v>
      </c>
      <c r="C73" s="1">
        <f t="shared" ca="1" si="208"/>
        <v>0</v>
      </c>
      <c r="D73" s="1">
        <f t="shared" ca="1" si="208"/>
        <v>0</v>
      </c>
      <c r="E73" s="1" t="str">
        <f ca="1">Actions!K21</f>
        <v>-</v>
      </c>
      <c r="F73" s="1" t="str">
        <f t="shared" ca="1" si="0"/>
        <v>-</v>
      </c>
      <c r="G73" s="1" t="e">
        <f t="shared" ca="1" si="209"/>
        <v>#REF!</v>
      </c>
      <c r="FO73" s="288"/>
      <c r="FQ73" s="289"/>
      <c r="FR73" s="288"/>
      <c r="FS73" s="290"/>
      <c r="FT73" s="291"/>
      <c r="FU73" s="288"/>
      <c r="FV73" s="290"/>
      <c r="FW73" s="291"/>
      <c r="FX73" s="288"/>
      <c r="FY73" s="290"/>
      <c r="FZ73" s="291"/>
      <c r="GA73" s="292"/>
      <c r="GB73" s="291"/>
      <c r="GC73" s="291"/>
      <c r="GD73" s="292"/>
      <c r="GE73" s="291"/>
      <c r="GF73" s="284"/>
      <c r="GG73" s="233"/>
    </row>
    <row r="74" spans="1:189">
      <c r="A74" s="1" t="s">
        <v>871</v>
      </c>
      <c r="B74" s="1">
        <f t="shared" ref="B74:D89" si="210">B29</f>
        <v>21</v>
      </c>
      <c r="C74" s="1">
        <f t="shared" ca="1" si="210"/>
        <v>0</v>
      </c>
      <c r="D74" s="1">
        <f t="shared" ca="1" si="210"/>
        <v>0</v>
      </c>
      <c r="E74" s="1" t="str">
        <f ca="1">Actions!K22</f>
        <v>-</v>
      </c>
      <c r="F74" s="1" t="str">
        <f t="shared" ref="F74:F137" ca="1" si="211">IF(E74="Tous",D74,E74)</f>
        <v>-</v>
      </c>
      <c r="G74" s="1" t="e">
        <f t="shared" ca="1" si="209"/>
        <v>#REF!</v>
      </c>
      <c r="FO74" s="288"/>
      <c r="FQ74" s="289"/>
      <c r="FR74" s="288"/>
      <c r="FS74" s="290"/>
      <c r="FT74" s="291"/>
      <c r="FU74" s="288"/>
      <c r="FV74" s="290"/>
      <c r="FW74" s="291"/>
      <c r="FX74" s="288"/>
      <c r="FY74" s="290"/>
      <c r="FZ74" s="291"/>
      <c r="GA74" s="292"/>
      <c r="GB74" s="291"/>
      <c r="GC74" s="291"/>
      <c r="GD74" s="292"/>
      <c r="GE74" s="291"/>
      <c r="GF74" s="284"/>
      <c r="GG74" s="233"/>
    </row>
    <row r="75" spans="1:189">
      <c r="A75" s="1" t="s">
        <v>1203</v>
      </c>
      <c r="B75" s="1">
        <f t="shared" si="210"/>
        <v>22</v>
      </c>
      <c r="C75" s="1">
        <f t="shared" ca="1" si="210"/>
        <v>0</v>
      </c>
      <c r="D75" s="1">
        <f t="shared" ca="1" si="210"/>
        <v>0</v>
      </c>
      <c r="E75" s="1" t="str">
        <f ca="1">Actions!K23</f>
        <v>-</v>
      </c>
      <c r="F75" s="1" t="str">
        <f t="shared" ca="1" si="211"/>
        <v>-</v>
      </c>
      <c r="G75" s="1" t="e">
        <f t="shared" ca="1" si="209"/>
        <v>#REF!</v>
      </c>
      <c r="FO75" s="288"/>
      <c r="FQ75" s="289"/>
      <c r="FR75" s="288"/>
      <c r="FS75" s="290"/>
      <c r="FT75" s="291"/>
      <c r="FU75" s="288"/>
      <c r="FV75" s="290"/>
      <c r="FW75" s="291"/>
      <c r="FX75" s="288"/>
      <c r="FY75" s="290"/>
      <c r="FZ75" s="291"/>
      <c r="GA75" s="292"/>
      <c r="GB75" s="291"/>
      <c r="GC75" s="291"/>
      <c r="GD75" s="292"/>
      <c r="GE75" s="291"/>
      <c r="GF75" s="284"/>
      <c r="GG75" s="233"/>
    </row>
    <row r="76" spans="1:189">
      <c r="A76" s="1" t="s">
        <v>877</v>
      </c>
      <c r="B76" s="1">
        <f t="shared" si="210"/>
        <v>23</v>
      </c>
      <c r="C76" s="1">
        <f t="shared" ca="1" si="210"/>
        <v>0</v>
      </c>
      <c r="D76" s="1">
        <f t="shared" ca="1" si="210"/>
        <v>0</v>
      </c>
      <c r="E76" s="1" t="str">
        <f ca="1">Actions!K24</f>
        <v>-</v>
      </c>
      <c r="F76" s="1" t="str">
        <f t="shared" ca="1" si="211"/>
        <v>-</v>
      </c>
      <c r="G76" s="1" t="e">
        <f t="shared" ca="1" si="209"/>
        <v>#REF!</v>
      </c>
      <c r="FO76" s="288"/>
      <c r="FQ76" s="289"/>
      <c r="FR76" s="288"/>
      <c r="FS76" s="290"/>
      <c r="FT76" s="291"/>
      <c r="FU76" s="288"/>
      <c r="FV76" s="290"/>
      <c r="FW76" s="291"/>
      <c r="FX76" s="288"/>
      <c r="FY76" s="290"/>
      <c r="FZ76" s="291"/>
      <c r="GA76" s="292"/>
      <c r="GB76" s="291"/>
      <c r="GC76" s="291"/>
      <c r="GD76" s="292"/>
      <c r="GE76" s="291"/>
      <c r="GF76" s="284"/>
      <c r="GG76" s="233"/>
    </row>
    <row r="77" spans="1:189">
      <c r="A77" s="1" t="s">
        <v>882</v>
      </c>
      <c r="B77" s="1">
        <f t="shared" si="210"/>
        <v>24</v>
      </c>
      <c r="C77" s="1">
        <f t="shared" ca="1" si="210"/>
        <v>0</v>
      </c>
      <c r="D77" s="1">
        <f t="shared" ca="1" si="210"/>
        <v>0</v>
      </c>
      <c r="E77" s="1" t="str">
        <f ca="1">Actions!K25</f>
        <v>-</v>
      </c>
      <c r="F77" s="1" t="str">
        <f t="shared" ca="1" si="211"/>
        <v>-</v>
      </c>
      <c r="G77" s="1" t="e">
        <f t="shared" ca="1" si="209"/>
        <v>#REF!</v>
      </c>
      <c r="FO77" s="288"/>
      <c r="FQ77" s="289"/>
      <c r="FR77" s="288"/>
      <c r="FS77" s="290"/>
      <c r="FT77" s="291"/>
      <c r="FU77" s="288"/>
      <c r="FV77" s="290"/>
      <c r="FW77" s="291"/>
      <c r="FX77" s="288"/>
      <c r="FY77" s="290"/>
      <c r="FZ77" s="291"/>
      <c r="GA77" s="292"/>
      <c r="GB77" s="291"/>
      <c r="GC77" s="291"/>
      <c r="GD77" s="292"/>
      <c r="GE77" s="291"/>
      <c r="GF77" s="284"/>
      <c r="GG77" s="233"/>
    </row>
    <row r="78" spans="1:189">
      <c r="A78" s="1" t="s">
        <v>885</v>
      </c>
      <c r="B78" s="1">
        <f t="shared" si="210"/>
        <v>25</v>
      </c>
      <c r="C78" s="1">
        <f t="shared" ca="1" si="210"/>
        <v>0</v>
      </c>
      <c r="D78" s="1">
        <f t="shared" ca="1" si="210"/>
        <v>0</v>
      </c>
      <c r="E78" s="1" t="str">
        <f ca="1">Actions!K26</f>
        <v>-</v>
      </c>
      <c r="F78" s="1" t="str">
        <f t="shared" ca="1" si="211"/>
        <v>-</v>
      </c>
      <c r="G78" s="1" t="e">
        <f t="shared" ca="1" si="209"/>
        <v>#REF!</v>
      </c>
      <c r="FO78" s="288"/>
      <c r="FQ78" s="289"/>
      <c r="FR78" s="288"/>
      <c r="FS78" s="290"/>
      <c r="FT78" s="291"/>
      <c r="FU78" s="288"/>
      <c r="FV78" s="290"/>
      <c r="FW78" s="291"/>
      <c r="FX78" s="288"/>
      <c r="FY78" s="290"/>
      <c r="FZ78" s="291"/>
      <c r="GA78" s="292"/>
      <c r="GB78" s="291"/>
      <c r="GC78" s="291"/>
      <c r="GD78" s="292"/>
      <c r="GE78" s="291"/>
      <c r="GF78" s="284"/>
      <c r="GG78" s="233"/>
    </row>
    <row r="79" spans="1:189">
      <c r="A79" s="1" t="s">
        <v>1208</v>
      </c>
      <c r="B79" s="1">
        <f t="shared" si="210"/>
        <v>26</v>
      </c>
      <c r="C79" s="1">
        <f t="shared" ca="1" si="210"/>
        <v>0</v>
      </c>
      <c r="D79" s="1">
        <f t="shared" ca="1" si="210"/>
        <v>0</v>
      </c>
      <c r="E79" s="1" t="str">
        <f ca="1">Actions!K27</f>
        <v>-</v>
      </c>
      <c r="F79" s="1" t="str">
        <f t="shared" ca="1" si="211"/>
        <v>-</v>
      </c>
      <c r="G79" s="1" t="e">
        <f t="shared" ca="1" si="209"/>
        <v>#REF!</v>
      </c>
      <c r="FO79" s="288"/>
      <c r="FQ79" s="289"/>
      <c r="FR79" s="288"/>
      <c r="FS79" s="290"/>
      <c r="FT79" s="291"/>
      <c r="FU79" s="288"/>
      <c r="FV79" s="290"/>
      <c r="FW79" s="291"/>
      <c r="FX79" s="288"/>
      <c r="FY79" s="290"/>
      <c r="FZ79" s="291"/>
      <c r="GA79" s="292"/>
      <c r="GB79" s="291"/>
      <c r="GC79" s="291"/>
      <c r="GD79" s="292"/>
      <c r="GE79" s="291"/>
      <c r="GF79" s="284"/>
      <c r="GG79" s="233"/>
    </row>
    <row r="80" spans="1:189">
      <c r="A80" s="1" t="s">
        <v>1210</v>
      </c>
      <c r="B80" s="1">
        <f t="shared" si="210"/>
        <v>27</v>
      </c>
      <c r="C80" s="1">
        <f t="shared" ca="1" si="210"/>
        <v>0</v>
      </c>
      <c r="D80" s="1">
        <f t="shared" ca="1" si="210"/>
        <v>0</v>
      </c>
      <c r="E80" s="1" t="str">
        <f ca="1">Actions!K28</f>
        <v>-</v>
      </c>
      <c r="F80" s="1" t="str">
        <f t="shared" ca="1" si="211"/>
        <v>-</v>
      </c>
      <c r="G80" s="1" t="e">
        <f t="shared" ca="1" si="209"/>
        <v>#REF!</v>
      </c>
      <c r="FO80" s="288"/>
      <c r="FQ80" s="289"/>
      <c r="FR80" s="288"/>
      <c r="FS80" s="290"/>
      <c r="FT80" s="291"/>
      <c r="FU80" s="288"/>
      <c r="FV80" s="290"/>
      <c r="FW80" s="291"/>
      <c r="FX80" s="288"/>
      <c r="FY80" s="290"/>
      <c r="FZ80" s="291"/>
      <c r="GA80" s="292"/>
      <c r="GB80" s="291"/>
      <c r="GC80" s="291"/>
      <c r="GD80" s="292"/>
      <c r="GE80" s="291"/>
      <c r="GF80" s="284"/>
      <c r="GG80" s="233"/>
    </row>
    <row r="81" spans="1:189">
      <c r="A81" s="1" t="s">
        <v>1212</v>
      </c>
      <c r="B81" s="1">
        <f t="shared" si="210"/>
        <v>28</v>
      </c>
      <c r="C81" s="1">
        <f t="shared" ca="1" si="210"/>
        <v>0</v>
      </c>
      <c r="D81" s="1">
        <f t="shared" ca="1" si="210"/>
        <v>0</v>
      </c>
      <c r="E81" s="1" t="str">
        <f ca="1">Actions!K29</f>
        <v>-</v>
      </c>
      <c r="F81" s="1" t="str">
        <f t="shared" ca="1" si="211"/>
        <v>-</v>
      </c>
      <c r="G81" s="1" t="e">
        <f t="shared" ca="1" si="209"/>
        <v>#REF!</v>
      </c>
      <c r="FO81" s="288"/>
      <c r="FQ81" s="289"/>
      <c r="FR81" s="288"/>
      <c r="FS81" s="290"/>
      <c r="FT81" s="291"/>
      <c r="FU81" s="288"/>
      <c r="FV81" s="290"/>
      <c r="FW81" s="291"/>
      <c r="FX81" s="288"/>
      <c r="FY81" s="290"/>
      <c r="FZ81" s="291"/>
      <c r="GA81" s="292"/>
      <c r="GB81" s="291"/>
      <c r="GC81" s="291"/>
      <c r="GD81" s="292"/>
      <c r="GE81" s="291"/>
      <c r="GF81" s="284"/>
      <c r="GG81" s="233"/>
    </row>
    <row r="82" spans="1:189">
      <c r="A82" s="1" t="s">
        <v>1214</v>
      </c>
      <c r="B82" s="1">
        <f t="shared" si="210"/>
        <v>29</v>
      </c>
      <c r="C82" s="1">
        <f t="shared" ca="1" si="210"/>
        <v>0</v>
      </c>
      <c r="D82" s="1">
        <f t="shared" ca="1" si="210"/>
        <v>0</v>
      </c>
      <c r="E82" s="1" t="str">
        <f ca="1">Actions!K30</f>
        <v>-</v>
      </c>
      <c r="F82" s="1" t="str">
        <f t="shared" ca="1" si="211"/>
        <v>-</v>
      </c>
      <c r="G82" s="1" t="e">
        <f t="shared" ca="1" si="209"/>
        <v>#REF!</v>
      </c>
      <c r="FO82" s="288"/>
      <c r="FQ82" s="289"/>
      <c r="FR82" s="288"/>
      <c r="FS82" s="290"/>
      <c r="FT82" s="291"/>
      <c r="FU82" s="288"/>
      <c r="FV82" s="290"/>
      <c r="FW82" s="291"/>
      <c r="FX82" s="288"/>
      <c r="FY82" s="290"/>
      <c r="FZ82" s="291"/>
      <c r="GA82" s="292"/>
      <c r="GB82" s="291"/>
      <c r="GC82" s="291"/>
      <c r="GD82" s="292"/>
      <c r="GE82" s="291"/>
      <c r="GF82" s="284"/>
      <c r="GG82" s="233"/>
    </row>
    <row r="83" spans="1:189">
      <c r="A83" s="1" t="s">
        <v>1216</v>
      </c>
      <c r="B83" s="1">
        <f t="shared" si="210"/>
        <v>30</v>
      </c>
      <c r="C83" s="1">
        <f t="shared" ca="1" si="210"/>
        <v>0</v>
      </c>
      <c r="D83" s="1">
        <f t="shared" ca="1" si="210"/>
        <v>0</v>
      </c>
      <c r="E83" s="1" t="str">
        <f ca="1">Actions!K31</f>
        <v>-</v>
      </c>
      <c r="F83" s="1" t="str">
        <f t="shared" ca="1" si="211"/>
        <v>-</v>
      </c>
      <c r="G83" s="1" t="e">
        <f t="shared" ca="1" si="209"/>
        <v>#REF!</v>
      </c>
      <c r="FO83" s="288"/>
      <c r="FQ83" s="289"/>
      <c r="FR83" s="288"/>
      <c r="FS83" s="290"/>
      <c r="FT83" s="291"/>
      <c r="FU83" s="288"/>
      <c r="FV83" s="290"/>
      <c r="FW83" s="291"/>
      <c r="FX83" s="288"/>
      <c r="FY83" s="290"/>
      <c r="FZ83" s="291"/>
      <c r="GA83" s="292"/>
      <c r="GB83" s="291"/>
      <c r="GC83" s="291"/>
      <c r="GD83" s="292"/>
      <c r="GE83" s="291"/>
      <c r="GF83" s="284"/>
      <c r="GG83" s="233"/>
    </row>
    <row r="84" spans="1:189">
      <c r="A84" s="1" t="s">
        <v>899</v>
      </c>
      <c r="B84" s="1">
        <f t="shared" si="210"/>
        <v>31</v>
      </c>
      <c r="C84" s="1">
        <f t="shared" ca="1" si="210"/>
        <v>0</v>
      </c>
      <c r="D84" s="1">
        <f t="shared" ca="1" si="210"/>
        <v>0</v>
      </c>
      <c r="E84" s="1" t="str">
        <f ca="1">Actions!K32</f>
        <v>-</v>
      </c>
      <c r="F84" s="1" t="str">
        <f t="shared" ca="1" si="211"/>
        <v>-</v>
      </c>
      <c r="G84" s="1" t="e">
        <f t="shared" ca="1" si="209"/>
        <v>#REF!</v>
      </c>
      <c r="FO84" s="288"/>
      <c r="FQ84" s="289"/>
      <c r="FR84" s="288"/>
      <c r="FS84" s="290"/>
      <c r="FT84" s="291"/>
      <c r="FU84" s="288"/>
      <c r="FV84" s="290"/>
      <c r="FW84" s="291"/>
      <c r="FX84" s="288"/>
      <c r="FY84" s="290"/>
      <c r="FZ84" s="291"/>
      <c r="GA84" s="292"/>
      <c r="GB84" s="291"/>
      <c r="GC84" s="291"/>
      <c r="GD84" s="292"/>
      <c r="GE84" s="291"/>
      <c r="GF84" s="284"/>
      <c r="GG84" s="233"/>
    </row>
    <row r="85" spans="1:189">
      <c r="A85" s="1" t="s">
        <v>905</v>
      </c>
      <c r="B85" s="1">
        <f t="shared" si="210"/>
        <v>32</v>
      </c>
      <c r="C85" s="1">
        <f t="shared" ca="1" si="210"/>
        <v>0</v>
      </c>
      <c r="D85" s="1">
        <f t="shared" ca="1" si="210"/>
        <v>0</v>
      </c>
      <c r="E85" s="1" t="str">
        <f ca="1">Actions!K33</f>
        <v>-</v>
      </c>
      <c r="F85" s="1" t="str">
        <f t="shared" ca="1" si="211"/>
        <v>-</v>
      </c>
      <c r="G85" s="1" t="e">
        <f t="shared" ca="1" si="209"/>
        <v>#REF!</v>
      </c>
      <c r="FO85" s="288"/>
      <c r="FQ85" s="289"/>
      <c r="FR85" s="288"/>
      <c r="FS85" s="290"/>
      <c r="FT85" s="291"/>
      <c r="FU85" s="288"/>
      <c r="FV85" s="290"/>
      <c r="FW85" s="291"/>
      <c r="FX85" s="288"/>
      <c r="FY85" s="290"/>
      <c r="FZ85" s="291"/>
      <c r="GA85" s="292"/>
      <c r="GB85" s="291"/>
      <c r="GC85" s="291"/>
      <c r="GD85" s="292"/>
      <c r="GE85" s="291"/>
      <c r="GF85" s="284"/>
      <c r="GG85" s="233"/>
    </row>
    <row r="86" spans="1:189">
      <c r="A86" s="1" t="s">
        <v>910</v>
      </c>
      <c r="B86" s="1">
        <f t="shared" si="210"/>
        <v>33</v>
      </c>
      <c r="C86" s="1">
        <f t="shared" ca="1" si="210"/>
        <v>0</v>
      </c>
      <c r="D86" s="1">
        <f t="shared" ca="1" si="210"/>
        <v>0</v>
      </c>
      <c r="E86" s="1" t="str">
        <f ca="1">Actions!K34</f>
        <v>-</v>
      </c>
      <c r="F86" s="1" t="str">
        <f t="shared" ca="1" si="211"/>
        <v>-</v>
      </c>
      <c r="G86" s="1" t="e">
        <f t="shared" ca="1" si="209"/>
        <v>#REF!</v>
      </c>
      <c r="FO86" s="288"/>
      <c r="FQ86" s="289"/>
      <c r="FR86" s="288"/>
      <c r="FS86" s="290"/>
      <c r="FT86" s="291"/>
      <c r="FU86" s="288"/>
      <c r="FV86" s="290"/>
      <c r="FW86" s="291"/>
      <c r="FX86" s="288"/>
      <c r="FY86" s="290"/>
      <c r="FZ86" s="291"/>
      <c r="GA86" s="292"/>
      <c r="GB86" s="291"/>
      <c r="GC86" s="291"/>
      <c r="GD86" s="292"/>
      <c r="GE86" s="291"/>
      <c r="GF86" s="284"/>
      <c r="GG86" s="233"/>
    </row>
    <row r="87" spans="1:189">
      <c r="A87" s="1" t="s">
        <v>915</v>
      </c>
      <c r="B87" s="1">
        <f t="shared" si="210"/>
        <v>34</v>
      </c>
      <c r="C87" s="1">
        <f t="shared" ca="1" si="210"/>
        <v>0</v>
      </c>
      <c r="D87" s="1">
        <f t="shared" ca="1" si="210"/>
        <v>0</v>
      </c>
      <c r="E87" s="1" t="str">
        <f ca="1">Actions!K35</f>
        <v>-</v>
      </c>
      <c r="F87" s="1" t="str">
        <f t="shared" ca="1" si="211"/>
        <v>-</v>
      </c>
      <c r="G87" s="1" t="e">
        <f t="shared" ca="1" si="209"/>
        <v>#REF!</v>
      </c>
      <c r="FO87" s="288"/>
      <c r="FQ87" s="289"/>
      <c r="FR87" s="288"/>
      <c r="FS87" s="290"/>
      <c r="FT87" s="291"/>
      <c r="FU87" s="288"/>
      <c r="FV87" s="290"/>
      <c r="FW87" s="291"/>
      <c r="FX87" s="288"/>
      <c r="FY87" s="290"/>
      <c r="FZ87" s="291"/>
      <c r="GA87" s="292"/>
      <c r="GB87" s="291"/>
      <c r="GC87" s="291"/>
      <c r="GD87" s="292"/>
      <c r="GE87" s="291"/>
      <c r="GF87" s="284"/>
      <c r="GG87" s="233"/>
    </row>
    <row r="88" spans="1:189">
      <c r="A88" s="1" t="s">
        <v>920</v>
      </c>
      <c r="B88" s="1">
        <f t="shared" si="210"/>
        <v>35</v>
      </c>
      <c r="C88" s="1">
        <f t="shared" ca="1" si="210"/>
        <v>0</v>
      </c>
      <c r="D88" s="1">
        <f t="shared" ca="1" si="210"/>
        <v>0</v>
      </c>
      <c r="E88" s="1" t="str">
        <f ca="1">Actions!K36</f>
        <v>-</v>
      </c>
      <c r="F88" s="1" t="str">
        <f t="shared" ca="1" si="211"/>
        <v>-</v>
      </c>
      <c r="G88" s="1" t="e">
        <f t="shared" ca="1" si="209"/>
        <v>#REF!</v>
      </c>
      <c r="FO88" s="288"/>
      <c r="FQ88" s="289"/>
      <c r="FR88" s="288"/>
      <c r="FS88" s="290"/>
      <c r="FT88" s="291"/>
      <c r="FU88" s="288"/>
      <c r="FV88" s="290"/>
      <c r="FW88" s="291"/>
      <c r="FX88" s="288"/>
      <c r="FY88" s="290"/>
      <c r="FZ88" s="291"/>
      <c r="GA88" s="292"/>
      <c r="GB88" s="291"/>
      <c r="GC88" s="291"/>
      <c r="GD88" s="292"/>
      <c r="GE88" s="291"/>
      <c r="GF88" s="284"/>
      <c r="GG88" s="233"/>
    </row>
    <row r="89" spans="1:189">
      <c r="A89" s="1" t="s">
        <v>1223</v>
      </c>
      <c r="B89" s="1">
        <f t="shared" si="210"/>
        <v>36</v>
      </c>
      <c r="C89" s="1">
        <f t="shared" ca="1" si="210"/>
        <v>0</v>
      </c>
      <c r="D89" s="1">
        <f t="shared" ca="1" si="210"/>
        <v>0</v>
      </c>
      <c r="E89" s="1" t="str">
        <f ca="1">Actions!K37</f>
        <v>-</v>
      </c>
      <c r="F89" s="1" t="str">
        <f t="shared" ca="1" si="211"/>
        <v>-</v>
      </c>
      <c r="G89" s="1" t="e">
        <f t="shared" ca="1" si="209"/>
        <v>#REF!</v>
      </c>
      <c r="FO89" s="288"/>
      <c r="FQ89" s="289"/>
      <c r="FR89" s="288"/>
      <c r="FS89" s="290"/>
      <c r="FT89" s="291"/>
      <c r="FU89" s="288"/>
      <c r="FV89" s="290"/>
      <c r="FW89" s="291"/>
      <c r="FX89" s="288"/>
      <c r="FY89" s="290"/>
      <c r="FZ89" s="291"/>
      <c r="GA89" s="292"/>
      <c r="GB89" s="291"/>
      <c r="GC89" s="291"/>
      <c r="GD89" s="292"/>
      <c r="GE89" s="291"/>
      <c r="GF89" s="284"/>
      <c r="GG89" s="233"/>
    </row>
    <row r="90" spans="1:189">
      <c r="A90" s="1" t="s">
        <v>1226</v>
      </c>
      <c r="B90" s="1">
        <f t="shared" ref="B90:D94" si="212">B46</f>
        <v>37</v>
      </c>
      <c r="C90" s="1">
        <f t="shared" ca="1" si="212"/>
        <v>0</v>
      </c>
      <c r="D90" s="1">
        <f t="shared" ca="1" si="212"/>
        <v>0</v>
      </c>
      <c r="E90" s="1" t="str">
        <f ca="1">Actions!K38</f>
        <v>-</v>
      </c>
      <c r="F90" s="1" t="str">
        <f t="shared" ca="1" si="211"/>
        <v>-</v>
      </c>
      <c r="G90" s="1" t="e">
        <f t="shared" ca="1" si="209"/>
        <v>#REF!</v>
      </c>
      <c r="FO90" s="288"/>
      <c r="FQ90" s="289"/>
      <c r="FR90" s="288"/>
      <c r="FS90" s="290"/>
      <c r="FT90" s="291"/>
      <c r="FU90" s="288"/>
      <c r="FV90" s="290"/>
      <c r="FW90" s="291"/>
      <c r="FX90" s="288"/>
      <c r="FY90" s="290"/>
      <c r="FZ90" s="291"/>
      <c r="GA90" s="292"/>
      <c r="GB90" s="291"/>
      <c r="GC90" s="291"/>
      <c r="GD90" s="292"/>
      <c r="GE90" s="291"/>
      <c r="GF90" s="284"/>
      <c r="GG90" s="233"/>
    </row>
    <row r="91" spans="1:189">
      <c r="A91" s="1" t="s">
        <v>1229</v>
      </c>
      <c r="B91" s="1">
        <f t="shared" si="212"/>
        <v>38</v>
      </c>
      <c r="C91" s="1">
        <f t="shared" ca="1" si="212"/>
        <v>0</v>
      </c>
      <c r="D91" s="1">
        <f t="shared" ca="1" si="212"/>
        <v>0</v>
      </c>
      <c r="E91" s="1" t="str">
        <f ca="1">Actions!K39</f>
        <v>-</v>
      </c>
      <c r="F91" s="1" t="str">
        <f t="shared" ca="1" si="211"/>
        <v>-</v>
      </c>
      <c r="G91" s="1" t="e">
        <f t="shared" ca="1" si="209"/>
        <v>#REF!</v>
      </c>
      <c r="FO91" s="288"/>
      <c r="FQ91" s="289"/>
      <c r="FR91" s="288"/>
      <c r="FS91" s="290"/>
      <c r="FT91" s="291"/>
      <c r="FU91" s="288"/>
      <c r="FV91" s="290"/>
      <c r="FW91" s="291"/>
      <c r="FX91" s="288"/>
      <c r="FY91" s="290"/>
      <c r="FZ91" s="291"/>
      <c r="GA91" s="292"/>
      <c r="GB91" s="291"/>
      <c r="GC91" s="291"/>
      <c r="GD91" s="292"/>
      <c r="GE91" s="291"/>
      <c r="GF91" s="284"/>
      <c r="GG91" s="233"/>
    </row>
    <row r="92" spans="1:189">
      <c r="A92" s="1" t="s">
        <v>1232</v>
      </c>
      <c r="B92" s="1">
        <f t="shared" si="212"/>
        <v>39</v>
      </c>
      <c r="C92" s="1">
        <f t="shared" ca="1" si="212"/>
        <v>0</v>
      </c>
      <c r="D92" s="1">
        <f t="shared" ca="1" si="212"/>
        <v>0</v>
      </c>
      <c r="E92" s="1" t="str">
        <f ca="1">Actions!K40</f>
        <v>-</v>
      </c>
      <c r="F92" s="1" t="str">
        <f t="shared" ca="1" si="211"/>
        <v>-</v>
      </c>
      <c r="G92" s="1" t="e">
        <f t="shared" ca="1" si="209"/>
        <v>#REF!</v>
      </c>
      <c r="FO92" s="288"/>
      <c r="FQ92" s="289"/>
      <c r="FR92" s="288"/>
      <c r="FS92" s="290"/>
      <c r="FT92" s="291"/>
      <c r="FU92" s="288"/>
      <c r="FV92" s="290"/>
      <c r="FW92" s="291"/>
      <c r="FX92" s="288"/>
      <c r="FY92" s="290"/>
      <c r="FZ92" s="291"/>
      <c r="GA92" s="292"/>
      <c r="GB92" s="291"/>
      <c r="GC92" s="291"/>
      <c r="GD92" s="292"/>
      <c r="GE92" s="291"/>
      <c r="GF92" s="284"/>
      <c r="GG92" s="233"/>
    </row>
    <row r="93" spans="1:189">
      <c r="A93" s="1" t="s">
        <v>1235</v>
      </c>
      <c r="B93" s="1">
        <f t="shared" si="212"/>
        <v>40</v>
      </c>
      <c r="C93" s="1">
        <f t="shared" ca="1" si="212"/>
        <v>0</v>
      </c>
      <c r="D93" s="1">
        <f t="shared" ca="1" si="212"/>
        <v>0</v>
      </c>
      <c r="E93" s="1" t="str">
        <f ca="1">Actions!K41</f>
        <v>-</v>
      </c>
      <c r="F93" s="1" t="str">
        <f t="shared" ca="1" si="211"/>
        <v>-</v>
      </c>
      <c r="G93" s="1" t="e">
        <f t="shared" ca="1" si="209"/>
        <v>#REF!</v>
      </c>
      <c r="FO93" s="288"/>
      <c r="FQ93" s="289"/>
      <c r="FR93" s="288"/>
      <c r="FS93" s="290"/>
      <c r="FT93" s="291"/>
      <c r="FU93" s="288"/>
      <c r="FV93" s="290"/>
      <c r="FW93" s="291"/>
      <c r="FX93" s="288"/>
      <c r="FY93" s="290"/>
      <c r="FZ93" s="291"/>
      <c r="GA93" s="292"/>
      <c r="GB93" s="291"/>
      <c r="GC93" s="291"/>
      <c r="GD93" s="292"/>
      <c r="GE93" s="291"/>
      <c r="GF93" s="284"/>
      <c r="GG93" s="233"/>
    </row>
    <row r="94" spans="1:189">
      <c r="A94" s="1" t="s">
        <v>933</v>
      </c>
      <c r="B94" s="1">
        <f t="shared" si="212"/>
        <v>41</v>
      </c>
      <c r="C94" s="1">
        <f t="shared" ca="1" si="212"/>
        <v>0</v>
      </c>
      <c r="D94" s="1">
        <f t="shared" ca="1" si="212"/>
        <v>0</v>
      </c>
      <c r="E94" s="1" t="str">
        <f ca="1">Actions!K42</f>
        <v>-</v>
      </c>
      <c r="F94" s="1" t="str">
        <f t="shared" ca="1" si="211"/>
        <v>-</v>
      </c>
      <c r="G94" s="1" t="e">
        <f t="shared" ca="1" si="209"/>
        <v>#REF!</v>
      </c>
      <c r="FO94" s="288"/>
      <c r="FQ94" s="289"/>
      <c r="FR94" s="288"/>
      <c r="FS94" s="290"/>
      <c r="FT94" s="291"/>
      <c r="FU94" s="288"/>
      <c r="FV94" s="290"/>
      <c r="FW94" s="291"/>
      <c r="FX94" s="288"/>
      <c r="FY94" s="290"/>
      <c r="FZ94" s="291"/>
      <c r="GA94" s="292"/>
      <c r="GB94" s="291"/>
      <c r="GC94" s="291"/>
      <c r="GD94" s="292"/>
      <c r="GE94" s="291"/>
      <c r="GF94" s="284"/>
      <c r="GG94" s="233"/>
    </row>
    <row r="95" spans="1:189">
      <c r="A95" s="1" t="s">
        <v>938</v>
      </c>
      <c r="B95" s="1" t="e">
        <f>#REF!</f>
        <v>#REF!</v>
      </c>
      <c r="C95" s="1" t="e">
        <f>#REF!</f>
        <v>#REF!</v>
      </c>
      <c r="D95" s="1" t="e">
        <f>#REF!</f>
        <v>#REF!</v>
      </c>
      <c r="E95" s="1" t="str">
        <f ca="1">Actions!K43</f>
        <v>-</v>
      </c>
      <c r="F95" s="1" t="str">
        <f t="shared" ca="1" si="211"/>
        <v>-</v>
      </c>
      <c r="G95" s="1" t="e">
        <f t="shared" ca="1" si="209"/>
        <v>#REF!</v>
      </c>
      <c r="FO95" s="288"/>
      <c r="FQ95" s="289"/>
      <c r="FR95" s="288"/>
      <c r="FS95" s="290"/>
      <c r="FT95" s="291"/>
      <c r="FU95" s="288"/>
      <c r="FV95" s="290"/>
      <c r="FW95" s="291"/>
      <c r="FX95" s="288"/>
      <c r="FY95" s="290"/>
      <c r="FZ95" s="291"/>
      <c r="GA95" s="292"/>
      <c r="GB95" s="291"/>
      <c r="GC95" s="291"/>
      <c r="GD95" s="292"/>
      <c r="GE95" s="291"/>
      <c r="GF95" s="284"/>
      <c r="GG95" s="233"/>
    </row>
    <row r="96" spans="1:189">
      <c r="A96" s="1" t="s">
        <v>945</v>
      </c>
      <c r="B96" s="1">
        <f t="shared" ref="B96:D113" si="213">B51</f>
        <v>43</v>
      </c>
      <c r="C96" s="1">
        <f t="shared" ca="1" si="213"/>
        <v>0</v>
      </c>
      <c r="D96" s="1">
        <f t="shared" ca="1" si="213"/>
        <v>0</v>
      </c>
      <c r="E96" s="1" t="str">
        <f ca="1">Actions!K44</f>
        <v>-</v>
      </c>
      <c r="F96" s="1" t="str">
        <f t="shared" ca="1" si="211"/>
        <v>-</v>
      </c>
      <c r="G96" s="1" t="e">
        <f t="shared" ca="1" si="209"/>
        <v>#REF!</v>
      </c>
      <c r="FO96" s="288"/>
      <c r="FQ96" s="289"/>
      <c r="FR96" s="288"/>
      <c r="FS96" s="290"/>
      <c r="FT96" s="291"/>
      <c r="FU96" s="288"/>
      <c r="FV96" s="290"/>
      <c r="FW96" s="291"/>
      <c r="FX96" s="288"/>
      <c r="FY96" s="290"/>
      <c r="FZ96" s="291"/>
      <c r="GA96" s="292"/>
      <c r="GB96" s="291"/>
      <c r="GC96" s="291"/>
      <c r="GD96" s="292"/>
      <c r="GE96" s="291"/>
      <c r="GF96" s="284"/>
      <c r="GG96" s="233"/>
    </row>
    <row r="97" spans="1:189">
      <c r="A97" s="1" t="s">
        <v>950</v>
      </c>
      <c r="B97" s="1">
        <f t="shared" si="213"/>
        <v>44</v>
      </c>
      <c r="C97" s="1">
        <f t="shared" ca="1" si="213"/>
        <v>0</v>
      </c>
      <c r="D97" s="1">
        <f t="shared" ca="1" si="213"/>
        <v>0</v>
      </c>
      <c r="E97" s="1" t="str">
        <f ca="1">Actions!K45</f>
        <v>-</v>
      </c>
      <c r="F97" s="1" t="str">
        <f t="shared" ca="1" si="211"/>
        <v>-</v>
      </c>
      <c r="G97" s="1" t="e">
        <f t="shared" ca="1" si="209"/>
        <v>#REF!</v>
      </c>
      <c r="FO97" s="288"/>
      <c r="FQ97" s="289"/>
      <c r="FR97" s="288"/>
      <c r="FS97" s="290"/>
      <c r="FT97" s="291"/>
      <c r="FU97" s="288"/>
      <c r="FV97" s="290"/>
      <c r="FW97" s="291"/>
      <c r="FX97" s="288"/>
      <c r="FY97" s="290"/>
      <c r="FZ97" s="291"/>
      <c r="GA97" s="292"/>
      <c r="GB97" s="291"/>
      <c r="GC97" s="291"/>
      <c r="GD97" s="292"/>
      <c r="GE97" s="291"/>
      <c r="GF97" s="284"/>
      <c r="GG97" s="233"/>
    </row>
    <row r="98" spans="1:189">
      <c r="A98" s="1" t="s">
        <v>956</v>
      </c>
      <c r="B98" s="1">
        <f t="shared" si="213"/>
        <v>45</v>
      </c>
      <c r="C98" s="1">
        <f t="shared" ca="1" si="213"/>
        <v>0</v>
      </c>
      <c r="D98" s="1">
        <f t="shared" ca="1" si="213"/>
        <v>0</v>
      </c>
      <c r="E98" s="1" t="str">
        <f ca="1">Actions!K46</f>
        <v>-</v>
      </c>
      <c r="F98" s="1" t="str">
        <f t="shared" ca="1" si="211"/>
        <v>-</v>
      </c>
      <c r="G98" s="1" t="e">
        <f t="shared" ca="1" si="209"/>
        <v>#REF!</v>
      </c>
      <c r="FO98" s="288"/>
      <c r="FQ98" s="289"/>
      <c r="FR98" s="288"/>
      <c r="FS98" s="290"/>
      <c r="FT98" s="291"/>
      <c r="FU98" s="288"/>
      <c r="FV98" s="290"/>
      <c r="FW98" s="291"/>
      <c r="FX98" s="288"/>
      <c r="FY98" s="290"/>
      <c r="FZ98" s="291"/>
      <c r="GA98" s="292"/>
      <c r="GB98" s="291"/>
      <c r="GC98" s="291"/>
      <c r="GD98" s="292"/>
      <c r="GE98" s="291"/>
      <c r="GF98" s="284"/>
      <c r="GG98" s="233"/>
    </row>
    <row r="99" spans="1:189">
      <c r="A99" s="1" t="s">
        <v>767</v>
      </c>
      <c r="B99" s="1">
        <f t="shared" si="213"/>
        <v>1</v>
      </c>
      <c r="C99" s="1">
        <f t="shared" ca="1" si="213"/>
        <v>0</v>
      </c>
      <c r="D99" s="1">
        <f t="shared" ca="1" si="213"/>
        <v>0</v>
      </c>
      <c r="E99" s="1">
        <f ca="1">Actions!M2</f>
        <v>0</v>
      </c>
      <c r="F99" s="1">
        <f t="shared" ca="1" si="211"/>
        <v>0</v>
      </c>
      <c r="G99" s="1">
        <f ca="1">INDIRECT("'"&amp;A99&amp;"'!d$7")</f>
        <v>0</v>
      </c>
      <c r="FO99" s="288"/>
      <c r="FQ99" s="289"/>
      <c r="FR99" s="288"/>
      <c r="FS99" s="290"/>
      <c r="FT99" s="291"/>
      <c r="FU99" s="288"/>
      <c r="FV99" s="290"/>
      <c r="FW99" s="291"/>
      <c r="FX99" s="288"/>
      <c r="FY99" s="290"/>
      <c r="FZ99" s="291"/>
      <c r="GA99" s="292"/>
      <c r="GB99" s="291"/>
      <c r="GC99" s="291"/>
      <c r="GD99" s="292"/>
      <c r="GE99" s="291"/>
      <c r="GF99" s="284"/>
      <c r="GG99" s="233"/>
    </row>
    <row r="100" spans="1:189">
      <c r="A100" s="1" t="s">
        <v>867</v>
      </c>
      <c r="B100" s="1">
        <f t="shared" si="213"/>
        <v>2</v>
      </c>
      <c r="C100" s="1">
        <f t="shared" ca="1" si="213"/>
        <v>0</v>
      </c>
      <c r="D100" s="1">
        <f t="shared" ca="1" si="213"/>
        <v>0</v>
      </c>
      <c r="E100" s="1" t="str">
        <f ca="1">Actions!M3</f>
        <v>-</v>
      </c>
      <c r="F100" s="1" t="str">
        <f t="shared" ca="1" si="211"/>
        <v>-</v>
      </c>
      <c r="G100" s="1" t="e">
        <f t="shared" ref="G100:G143" ca="1" si="214">INDIRECT("'"&amp;A100&amp;"'!d$7")</f>
        <v>#REF!</v>
      </c>
      <c r="FO100" s="288"/>
      <c r="FQ100" s="289"/>
      <c r="FR100" s="288"/>
      <c r="FS100" s="290"/>
      <c r="FT100" s="291"/>
      <c r="FU100" s="288"/>
      <c r="FV100" s="290"/>
      <c r="FW100" s="291"/>
      <c r="FX100" s="288"/>
      <c r="FY100" s="290"/>
      <c r="FZ100" s="291"/>
      <c r="GA100" s="292"/>
      <c r="GB100" s="291"/>
      <c r="GC100" s="291"/>
      <c r="GD100" s="292"/>
      <c r="GE100" s="291"/>
      <c r="GF100" s="284"/>
      <c r="GG100" s="233"/>
    </row>
    <row r="101" spans="1:189">
      <c r="A101" s="1" t="s">
        <v>893</v>
      </c>
      <c r="B101" s="1">
        <f t="shared" si="213"/>
        <v>3</v>
      </c>
      <c r="C101" s="1">
        <f t="shared" ca="1" si="213"/>
        <v>0</v>
      </c>
      <c r="D101" s="1">
        <f t="shared" ca="1" si="213"/>
        <v>0</v>
      </c>
      <c r="E101" s="1" t="str">
        <f ca="1">Actions!M4</f>
        <v>-</v>
      </c>
      <c r="F101" s="1" t="str">
        <f t="shared" ca="1" si="211"/>
        <v>-</v>
      </c>
      <c r="G101" s="1" t="e">
        <f t="shared" ca="1" si="214"/>
        <v>#REF!</v>
      </c>
      <c r="FO101" s="288"/>
      <c r="FQ101" s="289"/>
      <c r="FR101" s="288"/>
      <c r="FS101" s="290"/>
      <c r="FT101" s="291"/>
      <c r="FU101" s="288"/>
      <c r="FV101" s="290"/>
      <c r="FW101" s="291"/>
      <c r="FX101" s="288"/>
      <c r="FY101" s="290"/>
      <c r="FZ101" s="291"/>
      <c r="GA101" s="292"/>
      <c r="GB101" s="291"/>
      <c r="GC101" s="291"/>
      <c r="GD101" s="292"/>
      <c r="GE101" s="291"/>
      <c r="GF101" s="284"/>
      <c r="GG101" s="233"/>
    </row>
    <row r="102" spans="1:189">
      <c r="A102" s="1" t="s">
        <v>930</v>
      </c>
      <c r="B102" s="1">
        <f t="shared" si="213"/>
        <v>4</v>
      </c>
      <c r="C102" s="1">
        <f t="shared" ca="1" si="213"/>
        <v>0</v>
      </c>
      <c r="D102" s="1">
        <f t="shared" ca="1" si="213"/>
        <v>0</v>
      </c>
      <c r="E102" s="1" t="str">
        <f ca="1">Actions!M5</f>
        <v>-</v>
      </c>
      <c r="F102" s="1" t="str">
        <f t="shared" ca="1" si="211"/>
        <v>-</v>
      </c>
      <c r="G102" s="1" t="e">
        <f t="shared" ca="1" si="214"/>
        <v>#REF!</v>
      </c>
      <c r="FO102" s="288"/>
      <c r="FQ102" s="289"/>
      <c r="FR102" s="288"/>
      <c r="FS102" s="290"/>
      <c r="FT102" s="291"/>
      <c r="FU102" s="288"/>
      <c r="FV102" s="290"/>
      <c r="FW102" s="291"/>
      <c r="FX102" s="288"/>
      <c r="FY102" s="290"/>
      <c r="FZ102" s="291"/>
      <c r="GA102" s="292"/>
      <c r="GB102" s="291"/>
      <c r="GC102" s="291"/>
      <c r="GD102" s="292"/>
      <c r="GE102" s="291"/>
      <c r="GF102" s="284"/>
      <c r="GG102" s="233"/>
    </row>
    <row r="103" spans="1:189">
      <c r="A103" s="1" t="s">
        <v>984</v>
      </c>
      <c r="B103" s="1">
        <f t="shared" si="213"/>
        <v>5</v>
      </c>
      <c r="C103" s="1">
        <f t="shared" ca="1" si="213"/>
        <v>0</v>
      </c>
      <c r="D103" s="1">
        <f t="shared" ca="1" si="213"/>
        <v>0</v>
      </c>
      <c r="E103" s="1" t="str">
        <f ca="1">Actions!M6</f>
        <v>-</v>
      </c>
      <c r="F103" s="1" t="str">
        <f t="shared" ca="1" si="211"/>
        <v>-</v>
      </c>
      <c r="G103" s="1" t="e">
        <f t="shared" ca="1" si="214"/>
        <v>#REF!</v>
      </c>
      <c r="FO103" s="288"/>
      <c r="FQ103" s="289"/>
      <c r="FR103" s="288"/>
      <c r="FS103" s="290"/>
      <c r="FT103" s="291"/>
      <c r="FU103" s="288"/>
      <c r="FV103" s="290"/>
      <c r="FW103" s="291"/>
      <c r="FX103" s="288"/>
      <c r="FY103" s="290"/>
      <c r="FZ103" s="291"/>
      <c r="GA103" s="292"/>
      <c r="GB103" s="291"/>
      <c r="GC103" s="291"/>
      <c r="GD103" s="292"/>
      <c r="GE103" s="291"/>
      <c r="GF103" s="284"/>
      <c r="GG103" s="233"/>
    </row>
    <row r="104" spans="1:189">
      <c r="A104" s="1" t="s">
        <v>1013</v>
      </c>
      <c r="B104" s="1">
        <f t="shared" si="213"/>
        <v>6</v>
      </c>
      <c r="C104" s="1">
        <f t="shared" ca="1" si="213"/>
        <v>0</v>
      </c>
      <c r="D104" s="1">
        <f t="shared" ca="1" si="213"/>
        <v>0</v>
      </c>
      <c r="E104" s="1" t="str">
        <f ca="1">Actions!M7</f>
        <v>-</v>
      </c>
      <c r="F104" s="1" t="str">
        <f t="shared" ca="1" si="211"/>
        <v>-</v>
      </c>
      <c r="G104" s="1" t="e">
        <f t="shared" ca="1" si="214"/>
        <v>#REF!</v>
      </c>
      <c r="FO104" s="288"/>
      <c r="FQ104" s="289"/>
      <c r="FR104" s="288"/>
      <c r="FS104" s="290"/>
      <c r="FT104" s="291"/>
      <c r="FU104" s="288"/>
      <c r="FV104" s="290"/>
      <c r="FW104" s="291"/>
      <c r="FX104" s="288"/>
      <c r="FY104" s="290"/>
      <c r="FZ104" s="291"/>
      <c r="GA104" s="292"/>
      <c r="GB104" s="291"/>
      <c r="GC104" s="291"/>
      <c r="GD104" s="292"/>
      <c r="GE104" s="291"/>
      <c r="GF104" s="284"/>
      <c r="GG104" s="233"/>
    </row>
    <row r="105" spans="1:189">
      <c r="A105" s="1" t="s">
        <v>1031</v>
      </c>
      <c r="B105" s="1">
        <f t="shared" si="213"/>
        <v>7</v>
      </c>
      <c r="C105" s="1">
        <f t="shared" ca="1" si="213"/>
        <v>0</v>
      </c>
      <c r="D105" s="1">
        <f t="shared" ca="1" si="213"/>
        <v>0</v>
      </c>
      <c r="E105" s="1" t="str">
        <f ca="1">Actions!M8</f>
        <v>-</v>
      </c>
      <c r="F105" s="1" t="str">
        <f t="shared" ca="1" si="211"/>
        <v>-</v>
      </c>
      <c r="G105" s="1" t="e">
        <f t="shared" ca="1" si="214"/>
        <v>#REF!</v>
      </c>
      <c r="FO105" s="288"/>
      <c r="FQ105" s="289"/>
      <c r="FR105" s="288"/>
      <c r="FS105" s="290"/>
      <c r="FT105" s="291"/>
      <c r="FU105" s="288"/>
      <c r="FV105" s="290"/>
      <c r="FW105" s="291"/>
      <c r="FX105" s="288"/>
      <c r="FY105" s="290"/>
      <c r="FZ105" s="291"/>
      <c r="GA105" s="292"/>
      <c r="GB105" s="291"/>
      <c r="GC105" s="291"/>
      <c r="GD105" s="292"/>
      <c r="GE105" s="291"/>
      <c r="GF105" s="284"/>
      <c r="GG105" s="233"/>
    </row>
    <row r="106" spans="1:189">
      <c r="A106" s="1" t="s">
        <v>1185</v>
      </c>
      <c r="B106" s="1">
        <f t="shared" si="213"/>
        <v>8</v>
      </c>
      <c r="C106" s="1">
        <f t="shared" ca="1" si="213"/>
        <v>0</v>
      </c>
      <c r="D106" s="1">
        <f t="shared" ca="1" si="213"/>
        <v>0</v>
      </c>
      <c r="E106" s="1" t="str">
        <f ca="1">Actions!M9</f>
        <v>-</v>
      </c>
      <c r="F106" s="1" t="str">
        <f t="shared" ca="1" si="211"/>
        <v>-</v>
      </c>
      <c r="G106" s="1" t="e">
        <f t="shared" ca="1" si="214"/>
        <v>#REF!</v>
      </c>
      <c r="FO106" s="288"/>
      <c r="FQ106" s="289"/>
      <c r="FR106" s="288"/>
      <c r="FS106" s="290"/>
      <c r="FT106" s="291"/>
      <c r="FU106" s="288"/>
      <c r="FV106" s="290"/>
      <c r="FW106" s="291"/>
      <c r="FX106" s="288"/>
      <c r="FY106" s="290"/>
      <c r="FZ106" s="291"/>
      <c r="GA106" s="292"/>
      <c r="GB106" s="291"/>
      <c r="GC106" s="291"/>
      <c r="GD106" s="292"/>
      <c r="GE106" s="291"/>
      <c r="GF106" s="284"/>
      <c r="GG106" s="233"/>
    </row>
    <row r="107" spans="1:189">
      <c r="A107" s="1" t="s">
        <v>1187</v>
      </c>
      <c r="B107" s="1">
        <f t="shared" si="213"/>
        <v>9</v>
      </c>
      <c r="C107" s="1">
        <f t="shared" ca="1" si="213"/>
        <v>0</v>
      </c>
      <c r="D107" s="1">
        <f t="shared" ca="1" si="213"/>
        <v>0</v>
      </c>
      <c r="E107" s="1" t="str">
        <f ca="1">Actions!M10</f>
        <v>-</v>
      </c>
      <c r="F107" s="1" t="str">
        <f t="shared" ca="1" si="211"/>
        <v>-</v>
      </c>
      <c r="G107" s="1" t="e">
        <f t="shared" ca="1" si="214"/>
        <v>#REF!</v>
      </c>
      <c r="FO107" s="288"/>
      <c r="FQ107" s="289"/>
      <c r="FR107" s="288"/>
      <c r="FS107" s="290"/>
      <c r="FT107" s="291"/>
      <c r="FU107" s="288"/>
      <c r="FV107" s="290"/>
      <c r="FW107" s="291"/>
      <c r="FX107" s="288"/>
      <c r="FY107" s="290"/>
      <c r="FZ107" s="291"/>
      <c r="GA107" s="292"/>
      <c r="GB107" s="291"/>
      <c r="GC107" s="291"/>
      <c r="GD107" s="292"/>
      <c r="GE107" s="291"/>
      <c r="GF107" s="284"/>
      <c r="GG107" s="233"/>
    </row>
    <row r="108" spans="1:189">
      <c r="A108" s="1" t="s">
        <v>1189</v>
      </c>
      <c r="B108" s="1">
        <f t="shared" si="213"/>
        <v>10</v>
      </c>
      <c r="C108" s="1">
        <f t="shared" ca="1" si="213"/>
        <v>0</v>
      </c>
      <c r="D108" s="1">
        <f t="shared" ca="1" si="213"/>
        <v>0</v>
      </c>
      <c r="E108" s="1" t="str">
        <f ca="1">Actions!M11</f>
        <v>-</v>
      </c>
      <c r="F108" s="1" t="str">
        <f t="shared" ca="1" si="211"/>
        <v>-</v>
      </c>
      <c r="G108" s="1" t="e">
        <f t="shared" ca="1" si="214"/>
        <v>#REF!</v>
      </c>
      <c r="FO108" s="288"/>
      <c r="FQ108" s="289"/>
      <c r="FR108" s="288"/>
      <c r="FS108" s="290"/>
      <c r="FT108" s="291"/>
      <c r="FU108" s="288"/>
      <c r="FV108" s="290"/>
      <c r="FW108" s="291"/>
      <c r="FX108" s="288"/>
      <c r="FY108" s="290"/>
      <c r="FZ108" s="291"/>
      <c r="GA108" s="292"/>
      <c r="GB108" s="291"/>
      <c r="GC108" s="291"/>
      <c r="GD108" s="292"/>
      <c r="GE108" s="291"/>
      <c r="GF108" s="284"/>
      <c r="GG108" s="233"/>
    </row>
    <row r="109" spans="1:189">
      <c r="A109" s="1" t="s">
        <v>776</v>
      </c>
      <c r="B109" s="1">
        <f t="shared" si="213"/>
        <v>11</v>
      </c>
      <c r="C109" s="1">
        <f t="shared" ca="1" si="213"/>
        <v>0</v>
      </c>
      <c r="D109" s="1">
        <f t="shared" ca="1" si="213"/>
        <v>0</v>
      </c>
      <c r="E109" s="1" t="str">
        <f ca="1">Actions!M12</f>
        <v>-</v>
      </c>
      <c r="F109" s="1" t="str">
        <f t="shared" ca="1" si="211"/>
        <v>-</v>
      </c>
      <c r="G109" s="1" t="e">
        <f t="shared" ca="1" si="214"/>
        <v>#REF!</v>
      </c>
      <c r="FO109" s="288"/>
      <c r="FQ109" s="289"/>
      <c r="FR109" s="288"/>
      <c r="FS109" s="290"/>
      <c r="FT109" s="291"/>
      <c r="FU109" s="288"/>
      <c r="FV109" s="290"/>
      <c r="FW109" s="291"/>
      <c r="FX109" s="288"/>
      <c r="FY109" s="290"/>
      <c r="FZ109" s="291"/>
      <c r="GA109" s="292"/>
      <c r="GB109" s="291"/>
      <c r="GC109" s="291"/>
      <c r="GD109" s="292"/>
      <c r="GE109" s="291"/>
      <c r="GF109" s="284"/>
      <c r="GG109" s="233"/>
    </row>
    <row r="110" spans="1:189">
      <c r="A110" s="1" t="s">
        <v>786</v>
      </c>
      <c r="B110" s="1">
        <f t="shared" si="213"/>
        <v>12</v>
      </c>
      <c r="C110" s="1">
        <f t="shared" ca="1" si="213"/>
        <v>0</v>
      </c>
      <c r="D110" s="1">
        <f t="shared" ca="1" si="213"/>
        <v>0</v>
      </c>
      <c r="E110" s="1" t="str">
        <f ca="1">Actions!M13</f>
        <v>-</v>
      </c>
      <c r="F110" s="1" t="str">
        <f t="shared" ca="1" si="211"/>
        <v>-</v>
      </c>
      <c r="G110" s="1" t="e">
        <f t="shared" ca="1" si="214"/>
        <v>#REF!</v>
      </c>
      <c r="FO110" s="288"/>
      <c r="FQ110" s="289"/>
      <c r="FR110" s="288"/>
      <c r="FS110" s="290"/>
      <c r="FT110" s="291"/>
      <c r="FU110" s="288"/>
      <c r="FV110" s="290"/>
      <c r="FW110" s="291"/>
      <c r="FX110" s="288"/>
      <c r="FY110" s="290"/>
      <c r="FZ110" s="291"/>
      <c r="GA110" s="292"/>
      <c r="GB110" s="291"/>
      <c r="GC110" s="291"/>
      <c r="GD110" s="292"/>
      <c r="GE110" s="291"/>
      <c r="GF110" s="284"/>
      <c r="GG110" s="233"/>
    </row>
    <row r="111" spans="1:189">
      <c r="A111" s="1" t="s">
        <v>797</v>
      </c>
      <c r="B111" s="1">
        <f t="shared" si="213"/>
        <v>13</v>
      </c>
      <c r="C111" s="1">
        <f t="shared" ca="1" si="213"/>
        <v>0</v>
      </c>
      <c r="D111" s="1">
        <f t="shared" ca="1" si="213"/>
        <v>0</v>
      </c>
      <c r="E111" s="1" t="str">
        <f ca="1">Actions!M14</f>
        <v>-</v>
      </c>
      <c r="F111" s="1" t="str">
        <f t="shared" ca="1" si="211"/>
        <v>-</v>
      </c>
      <c r="G111" s="1" t="e">
        <f t="shared" ca="1" si="214"/>
        <v>#REF!</v>
      </c>
      <c r="FO111" s="288"/>
      <c r="FQ111" s="289"/>
      <c r="FR111" s="288"/>
      <c r="FS111" s="290"/>
      <c r="FT111" s="291"/>
      <c r="FU111" s="288"/>
      <c r="FV111" s="290"/>
      <c r="FW111" s="291"/>
      <c r="FX111" s="288"/>
      <c r="FY111" s="290"/>
      <c r="FZ111" s="291"/>
      <c r="GA111" s="292"/>
      <c r="GB111" s="291"/>
      <c r="GC111" s="291"/>
      <c r="GD111" s="292"/>
      <c r="GE111" s="291"/>
      <c r="GF111" s="284"/>
      <c r="GG111" s="233"/>
    </row>
    <row r="112" spans="1:189">
      <c r="A112" s="1" t="s">
        <v>809</v>
      </c>
      <c r="B112" s="1">
        <f t="shared" si="213"/>
        <v>14</v>
      </c>
      <c r="C112" s="1">
        <f t="shared" ca="1" si="213"/>
        <v>0</v>
      </c>
      <c r="D112" s="1">
        <f t="shared" ca="1" si="213"/>
        <v>0</v>
      </c>
      <c r="E112" s="1" t="str">
        <f ca="1">Actions!M15</f>
        <v>-</v>
      </c>
      <c r="F112" s="1" t="str">
        <f t="shared" ca="1" si="211"/>
        <v>-</v>
      </c>
      <c r="G112" s="1" t="e">
        <f t="shared" ca="1" si="214"/>
        <v>#REF!</v>
      </c>
      <c r="FO112" s="288"/>
      <c r="FQ112" s="289"/>
      <c r="FR112" s="288"/>
      <c r="FS112" s="290"/>
      <c r="FT112" s="291"/>
      <c r="FU112" s="288"/>
      <c r="FV112" s="290"/>
      <c r="FW112" s="291"/>
      <c r="FX112" s="288"/>
      <c r="FY112" s="290"/>
      <c r="FZ112" s="291"/>
      <c r="GA112" s="292"/>
      <c r="GB112" s="291"/>
      <c r="GC112" s="291"/>
      <c r="GD112" s="292"/>
      <c r="GE112" s="291"/>
      <c r="GF112" s="284"/>
      <c r="GG112" s="233"/>
    </row>
    <row r="113" spans="1:189">
      <c r="A113" s="1" t="s">
        <v>817</v>
      </c>
      <c r="B113" s="1">
        <f t="shared" si="213"/>
        <v>15</v>
      </c>
      <c r="C113" s="1">
        <f t="shared" ca="1" si="213"/>
        <v>0</v>
      </c>
      <c r="D113" s="1">
        <f t="shared" ca="1" si="213"/>
        <v>0</v>
      </c>
      <c r="E113" s="1" t="str">
        <f ca="1">Actions!M16</f>
        <v>-</v>
      </c>
      <c r="F113" s="1" t="str">
        <f t="shared" ca="1" si="211"/>
        <v>-</v>
      </c>
      <c r="G113" s="1" t="e">
        <f t="shared" ca="1" si="214"/>
        <v>#REF!</v>
      </c>
      <c r="FO113" s="288"/>
      <c r="FQ113" s="289"/>
      <c r="FR113" s="288"/>
      <c r="FS113" s="290"/>
      <c r="FT113" s="291"/>
      <c r="FU113" s="288"/>
      <c r="FV113" s="290"/>
      <c r="FW113" s="291"/>
      <c r="FX113" s="288"/>
      <c r="FY113" s="290"/>
      <c r="FZ113" s="291"/>
      <c r="GA113" s="292"/>
      <c r="GB113" s="291"/>
      <c r="GC113" s="291"/>
      <c r="GD113" s="292"/>
      <c r="GE113" s="291"/>
      <c r="GF113" s="284"/>
      <c r="GG113" s="233"/>
    </row>
    <row r="114" spans="1:189">
      <c r="A114" s="1" t="s">
        <v>827</v>
      </c>
      <c r="B114" s="1">
        <f t="shared" ref="B114:D133" si="215">B69</f>
        <v>16</v>
      </c>
      <c r="C114" s="1">
        <f t="shared" ca="1" si="215"/>
        <v>0</v>
      </c>
      <c r="D114" s="1">
        <f t="shared" ca="1" si="215"/>
        <v>0</v>
      </c>
      <c r="E114" s="1" t="str">
        <f ca="1">Actions!M17</f>
        <v>-</v>
      </c>
      <c r="F114" s="1" t="str">
        <f t="shared" ca="1" si="211"/>
        <v>-</v>
      </c>
      <c r="G114" s="1" t="e">
        <f t="shared" ca="1" si="214"/>
        <v>#REF!</v>
      </c>
      <c r="FO114" s="288"/>
      <c r="FQ114" s="289"/>
      <c r="FR114" s="288"/>
      <c r="FS114" s="290"/>
      <c r="FT114" s="291"/>
      <c r="FU114" s="288"/>
      <c r="FV114" s="290"/>
      <c r="FW114" s="291"/>
      <c r="FX114" s="288"/>
      <c r="FY114" s="290"/>
      <c r="FZ114" s="291"/>
      <c r="GA114" s="292"/>
      <c r="GB114" s="291"/>
      <c r="GC114" s="291"/>
      <c r="GD114" s="292"/>
      <c r="GE114" s="291"/>
      <c r="GF114" s="284"/>
      <c r="GG114" s="233"/>
    </row>
    <row r="115" spans="1:189">
      <c r="A115" s="1" t="s">
        <v>836</v>
      </c>
      <c r="B115" s="1">
        <f t="shared" si="215"/>
        <v>17</v>
      </c>
      <c r="C115" s="1">
        <f t="shared" ca="1" si="215"/>
        <v>0</v>
      </c>
      <c r="D115" s="1">
        <f t="shared" ca="1" si="215"/>
        <v>0</v>
      </c>
      <c r="E115" s="1" t="str">
        <f ca="1">Actions!M18</f>
        <v>-</v>
      </c>
      <c r="F115" s="1" t="str">
        <f t="shared" ca="1" si="211"/>
        <v>-</v>
      </c>
      <c r="G115" s="1" t="e">
        <f t="shared" ca="1" si="214"/>
        <v>#REF!</v>
      </c>
      <c r="FO115" s="288"/>
      <c r="FQ115" s="289"/>
      <c r="FR115" s="288"/>
      <c r="FS115" s="290"/>
      <c r="FT115" s="291"/>
      <c r="FU115" s="288"/>
      <c r="FV115" s="290"/>
      <c r="FW115" s="291"/>
      <c r="FX115" s="288"/>
      <c r="FY115" s="290"/>
      <c r="FZ115" s="291"/>
      <c r="GA115" s="292"/>
      <c r="GB115" s="291"/>
      <c r="GC115" s="291"/>
      <c r="GD115" s="292"/>
      <c r="GE115" s="291"/>
      <c r="GF115" s="284"/>
      <c r="GG115" s="233"/>
    </row>
    <row r="116" spans="1:189">
      <c r="A116" s="1" t="s">
        <v>844</v>
      </c>
      <c r="B116" s="1">
        <f t="shared" si="215"/>
        <v>18</v>
      </c>
      <c r="C116" s="1">
        <f t="shared" ca="1" si="215"/>
        <v>0</v>
      </c>
      <c r="D116" s="1">
        <f t="shared" ca="1" si="215"/>
        <v>0</v>
      </c>
      <c r="E116" s="1" t="str">
        <f ca="1">Actions!M19</f>
        <v>-</v>
      </c>
      <c r="F116" s="1" t="str">
        <f t="shared" ca="1" si="211"/>
        <v>-</v>
      </c>
      <c r="G116" s="1" t="e">
        <f t="shared" ca="1" si="214"/>
        <v>#REF!</v>
      </c>
      <c r="FO116" s="288"/>
      <c r="FQ116" s="289"/>
      <c r="FR116" s="288"/>
      <c r="FS116" s="290"/>
      <c r="FT116" s="291"/>
      <c r="FU116" s="288"/>
      <c r="FV116" s="290"/>
      <c r="FW116" s="291"/>
      <c r="FX116" s="288"/>
      <c r="FY116" s="290"/>
      <c r="FZ116" s="291"/>
      <c r="GA116" s="292"/>
      <c r="GB116" s="291"/>
      <c r="GC116" s="291"/>
      <c r="GD116" s="292"/>
      <c r="GE116" s="291"/>
      <c r="GF116" s="284"/>
      <c r="GG116" s="233"/>
    </row>
    <row r="117" spans="1:189">
      <c r="A117" s="1" t="s">
        <v>851</v>
      </c>
      <c r="B117" s="1">
        <f t="shared" si="215"/>
        <v>19</v>
      </c>
      <c r="C117" s="1">
        <f t="shared" ca="1" si="215"/>
        <v>0</v>
      </c>
      <c r="D117" s="1">
        <f t="shared" ca="1" si="215"/>
        <v>0</v>
      </c>
      <c r="E117" s="1" t="str">
        <f ca="1">Actions!M20</f>
        <v>-</v>
      </c>
      <c r="F117" s="1" t="str">
        <f t="shared" ca="1" si="211"/>
        <v>-</v>
      </c>
      <c r="G117" s="1" t="e">
        <f t="shared" ca="1" si="214"/>
        <v>#REF!</v>
      </c>
      <c r="FO117" s="288"/>
      <c r="FQ117" s="289"/>
      <c r="FR117" s="288"/>
      <c r="FS117" s="290"/>
      <c r="FT117" s="291"/>
      <c r="FU117" s="288"/>
      <c r="FV117" s="290"/>
      <c r="FW117" s="291"/>
      <c r="FX117" s="288"/>
      <c r="FY117" s="290"/>
      <c r="FZ117" s="291"/>
      <c r="GA117" s="292"/>
      <c r="GB117" s="291"/>
      <c r="GC117" s="291"/>
      <c r="GD117" s="292"/>
      <c r="GE117" s="291"/>
      <c r="GF117" s="284"/>
      <c r="GG117" s="233"/>
    </row>
    <row r="118" spans="1:189">
      <c r="A118" s="1" t="s">
        <v>1200</v>
      </c>
      <c r="B118" s="1">
        <f t="shared" si="215"/>
        <v>20</v>
      </c>
      <c r="C118" s="1">
        <f t="shared" ca="1" si="215"/>
        <v>0</v>
      </c>
      <c r="D118" s="1">
        <f t="shared" ca="1" si="215"/>
        <v>0</v>
      </c>
      <c r="E118" s="1" t="str">
        <f ca="1">Actions!M21</f>
        <v>-</v>
      </c>
      <c r="F118" s="1" t="str">
        <f t="shared" ca="1" si="211"/>
        <v>-</v>
      </c>
      <c r="G118" s="1" t="e">
        <f t="shared" ca="1" si="214"/>
        <v>#REF!</v>
      </c>
      <c r="FO118" s="288"/>
      <c r="FQ118" s="289"/>
      <c r="FR118" s="288"/>
      <c r="FS118" s="290"/>
      <c r="FT118" s="291"/>
      <c r="FU118" s="288"/>
      <c r="FV118" s="290"/>
      <c r="FW118" s="291"/>
      <c r="FX118" s="288"/>
      <c r="FY118" s="290"/>
      <c r="FZ118" s="291"/>
      <c r="GA118" s="292"/>
      <c r="GB118" s="291"/>
      <c r="GC118" s="291"/>
      <c r="GD118" s="292"/>
      <c r="GE118" s="291"/>
      <c r="GF118" s="284"/>
      <c r="GG118" s="233"/>
    </row>
    <row r="119" spans="1:189">
      <c r="A119" s="1" t="s">
        <v>871</v>
      </c>
      <c r="B119" s="1">
        <f t="shared" si="215"/>
        <v>21</v>
      </c>
      <c r="C119" s="1">
        <f t="shared" ca="1" si="215"/>
        <v>0</v>
      </c>
      <c r="D119" s="1">
        <f t="shared" ca="1" si="215"/>
        <v>0</v>
      </c>
      <c r="E119" s="1" t="str">
        <f ca="1">Actions!M22</f>
        <v>-</v>
      </c>
      <c r="F119" s="1" t="str">
        <f t="shared" ca="1" si="211"/>
        <v>-</v>
      </c>
      <c r="G119" s="1" t="e">
        <f t="shared" ca="1" si="214"/>
        <v>#REF!</v>
      </c>
      <c r="FO119" s="288"/>
      <c r="FQ119" s="289"/>
      <c r="FR119" s="288"/>
      <c r="FS119" s="290"/>
      <c r="FT119" s="291"/>
      <c r="FU119" s="288"/>
      <c r="FV119" s="290"/>
      <c r="FW119" s="291"/>
      <c r="FX119" s="288"/>
      <c r="FY119" s="290"/>
      <c r="FZ119" s="291"/>
      <c r="GA119" s="292"/>
      <c r="GB119" s="291"/>
      <c r="GC119" s="291"/>
      <c r="GD119" s="292"/>
      <c r="GE119" s="291"/>
      <c r="GF119" s="284"/>
      <c r="GG119" s="233"/>
    </row>
    <row r="120" spans="1:189">
      <c r="A120" s="1" t="s">
        <v>1203</v>
      </c>
      <c r="B120" s="1">
        <f t="shared" si="215"/>
        <v>22</v>
      </c>
      <c r="C120" s="1">
        <f t="shared" ca="1" si="215"/>
        <v>0</v>
      </c>
      <c r="D120" s="1">
        <f t="shared" ca="1" si="215"/>
        <v>0</v>
      </c>
      <c r="E120" s="1" t="str">
        <f ca="1">Actions!M23</f>
        <v>-</v>
      </c>
      <c r="F120" s="1" t="str">
        <f t="shared" ca="1" si="211"/>
        <v>-</v>
      </c>
      <c r="G120" s="1" t="e">
        <f t="shared" ca="1" si="214"/>
        <v>#REF!</v>
      </c>
      <c r="FO120" s="288"/>
      <c r="FQ120" s="289"/>
      <c r="FR120" s="288"/>
      <c r="FS120" s="290"/>
      <c r="FT120" s="291"/>
      <c r="FU120" s="288"/>
      <c r="FV120" s="290"/>
      <c r="FW120" s="291"/>
      <c r="FX120" s="288"/>
      <c r="FY120" s="290"/>
      <c r="FZ120" s="291"/>
      <c r="GA120" s="292"/>
      <c r="GB120" s="291"/>
      <c r="GC120" s="291"/>
      <c r="GD120" s="292"/>
      <c r="GE120" s="291"/>
      <c r="GF120" s="284"/>
      <c r="GG120" s="233"/>
    </row>
    <row r="121" spans="1:189">
      <c r="A121" s="1" t="s">
        <v>877</v>
      </c>
      <c r="B121" s="1">
        <f t="shared" si="215"/>
        <v>23</v>
      </c>
      <c r="C121" s="1">
        <f t="shared" ca="1" si="215"/>
        <v>0</v>
      </c>
      <c r="D121" s="1">
        <f t="shared" ca="1" si="215"/>
        <v>0</v>
      </c>
      <c r="E121" s="1" t="str">
        <f ca="1">Actions!M24</f>
        <v>-</v>
      </c>
      <c r="F121" s="1" t="str">
        <f t="shared" ca="1" si="211"/>
        <v>-</v>
      </c>
      <c r="G121" s="1" t="e">
        <f t="shared" ca="1" si="214"/>
        <v>#REF!</v>
      </c>
      <c r="FO121" s="288"/>
      <c r="FQ121" s="289"/>
      <c r="FR121" s="288"/>
      <c r="FS121" s="290"/>
      <c r="FT121" s="291"/>
      <c r="FU121" s="288"/>
      <c r="FV121" s="290"/>
      <c r="FW121" s="291"/>
      <c r="FX121" s="288"/>
      <c r="FY121" s="290"/>
      <c r="FZ121" s="291"/>
      <c r="GA121" s="292"/>
      <c r="GB121" s="291"/>
      <c r="GC121" s="291"/>
      <c r="GD121" s="292"/>
      <c r="GE121" s="291"/>
      <c r="GF121" s="284"/>
      <c r="GG121" s="233"/>
    </row>
    <row r="122" spans="1:189">
      <c r="A122" s="1" t="s">
        <v>882</v>
      </c>
      <c r="B122" s="1">
        <f t="shared" si="215"/>
        <v>24</v>
      </c>
      <c r="C122" s="1">
        <f t="shared" ca="1" si="215"/>
        <v>0</v>
      </c>
      <c r="D122" s="1">
        <f t="shared" ca="1" si="215"/>
        <v>0</v>
      </c>
      <c r="E122" s="1" t="str">
        <f ca="1">Actions!M25</f>
        <v>-</v>
      </c>
      <c r="F122" s="1" t="str">
        <f t="shared" ca="1" si="211"/>
        <v>-</v>
      </c>
      <c r="G122" s="1" t="e">
        <f t="shared" ca="1" si="214"/>
        <v>#REF!</v>
      </c>
      <c r="FO122" s="288"/>
      <c r="FQ122" s="289"/>
      <c r="FR122" s="288"/>
      <c r="FS122" s="290"/>
      <c r="FT122" s="291"/>
      <c r="FU122" s="288"/>
      <c r="FV122" s="290"/>
      <c r="FW122" s="291"/>
      <c r="FX122" s="288"/>
      <c r="FY122" s="290"/>
      <c r="FZ122" s="291"/>
      <c r="GA122" s="292"/>
      <c r="GB122" s="291"/>
      <c r="GC122" s="291"/>
      <c r="GD122" s="292"/>
      <c r="GE122" s="291"/>
      <c r="GF122" s="284"/>
      <c r="GG122" s="233"/>
    </row>
    <row r="123" spans="1:189">
      <c r="A123" s="1" t="s">
        <v>885</v>
      </c>
      <c r="B123" s="1">
        <f t="shared" si="215"/>
        <v>25</v>
      </c>
      <c r="C123" s="1">
        <f t="shared" ca="1" si="215"/>
        <v>0</v>
      </c>
      <c r="D123" s="1">
        <f t="shared" ca="1" si="215"/>
        <v>0</v>
      </c>
      <c r="E123" s="1" t="str">
        <f ca="1">Actions!M26</f>
        <v>-</v>
      </c>
      <c r="F123" s="1" t="str">
        <f t="shared" ca="1" si="211"/>
        <v>-</v>
      </c>
      <c r="G123" s="1" t="e">
        <f t="shared" ca="1" si="214"/>
        <v>#REF!</v>
      </c>
      <c r="FO123" s="288"/>
      <c r="FQ123" s="289"/>
      <c r="FR123" s="288"/>
      <c r="FS123" s="290"/>
      <c r="FT123" s="291"/>
      <c r="FU123" s="288"/>
      <c r="FV123" s="290"/>
      <c r="FW123" s="291"/>
      <c r="FX123" s="288"/>
      <c r="FY123" s="290"/>
      <c r="FZ123" s="291"/>
      <c r="GA123" s="292"/>
      <c r="GB123" s="291"/>
      <c r="GC123" s="291"/>
      <c r="GD123" s="292"/>
      <c r="GE123" s="291"/>
      <c r="GF123" s="284"/>
      <c r="GG123" s="233"/>
    </row>
    <row r="124" spans="1:189">
      <c r="A124" s="1" t="s">
        <v>1208</v>
      </c>
      <c r="B124" s="1">
        <f t="shared" si="215"/>
        <v>26</v>
      </c>
      <c r="C124" s="1">
        <f t="shared" ca="1" si="215"/>
        <v>0</v>
      </c>
      <c r="D124" s="1">
        <f t="shared" ca="1" si="215"/>
        <v>0</v>
      </c>
      <c r="E124" s="1" t="str">
        <f ca="1">Actions!M27</f>
        <v>-</v>
      </c>
      <c r="F124" s="1" t="str">
        <f t="shared" ca="1" si="211"/>
        <v>-</v>
      </c>
      <c r="G124" s="1" t="e">
        <f t="shared" ca="1" si="214"/>
        <v>#REF!</v>
      </c>
      <c r="FO124" s="288"/>
      <c r="FQ124" s="289"/>
      <c r="FR124" s="288"/>
      <c r="FS124" s="290"/>
      <c r="FT124" s="291"/>
      <c r="FU124" s="288"/>
      <c r="FV124" s="290"/>
      <c r="FW124" s="291"/>
      <c r="FX124" s="288"/>
      <c r="FY124" s="290"/>
      <c r="FZ124" s="291"/>
      <c r="GA124" s="292"/>
      <c r="GB124" s="291"/>
      <c r="GC124" s="291"/>
      <c r="GD124" s="292"/>
      <c r="GE124" s="291"/>
      <c r="GF124" s="284"/>
      <c r="GG124" s="233"/>
    </row>
    <row r="125" spans="1:189">
      <c r="A125" s="1" t="s">
        <v>1210</v>
      </c>
      <c r="B125" s="1">
        <f t="shared" si="215"/>
        <v>27</v>
      </c>
      <c r="C125" s="1">
        <f t="shared" ca="1" si="215"/>
        <v>0</v>
      </c>
      <c r="D125" s="1">
        <f t="shared" ca="1" si="215"/>
        <v>0</v>
      </c>
      <c r="E125" s="1" t="str">
        <f ca="1">Actions!M28</f>
        <v>-</v>
      </c>
      <c r="F125" s="1" t="str">
        <f t="shared" ca="1" si="211"/>
        <v>-</v>
      </c>
      <c r="G125" s="1" t="e">
        <f t="shared" ca="1" si="214"/>
        <v>#REF!</v>
      </c>
      <c r="FO125" s="288"/>
      <c r="FQ125" s="289"/>
      <c r="FR125" s="288"/>
      <c r="FS125" s="290"/>
      <c r="FT125" s="291"/>
      <c r="FU125" s="288"/>
      <c r="FV125" s="290"/>
      <c r="FW125" s="291"/>
      <c r="FX125" s="288"/>
      <c r="FY125" s="290"/>
      <c r="FZ125" s="291"/>
      <c r="GA125" s="292"/>
      <c r="GB125" s="291"/>
      <c r="GC125" s="291"/>
      <c r="GD125" s="292"/>
      <c r="GE125" s="291"/>
      <c r="GF125" s="284"/>
      <c r="GG125" s="233"/>
    </row>
    <row r="126" spans="1:189">
      <c r="A126" s="1" t="s">
        <v>1212</v>
      </c>
      <c r="B126" s="1">
        <f t="shared" si="215"/>
        <v>28</v>
      </c>
      <c r="C126" s="1">
        <f t="shared" ca="1" si="215"/>
        <v>0</v>
      </c>
      <c r="D126" s="1">
        <f t="shared" ca="1" si="215"/>
        <v>0</v>
      </c>
      <c r="E126" s="1" t="str">
        <f ca="1">Actions!M29</f>
        <v>-</v>
      </c>
      <c r="F126" s="1" t="str">
        <f t="shared" ca="1" si="211"/>
        <v>-</v>
      </c>
      <c r="G126" s="1" t="e">
        <f t="shared" ca="1" si="214"/>
        <v>#REF!</v>
      </c>
      <c r="FO126" s="288"/>
      <c r="FQ126" s="289"/>
      <c r="FR126" s="288"/>
      <c r="FS126" s="290"/>
      <c r="FT126" s="291"/>
      <c r="FU126" s="288"/>
      <c r="FV126" s="290"/>
      <c r="FW126" s="291"/>
      <c r="FX126" s="288"/>
      <c r="FY126" s="290"/>
      <c r="FZ126" s="291"/>
      <c r="GA126" s="292"/>
      <c r="GB126" s="291"/>
      <c r="GC126" s="291"/>
      <c r="GD126" s="292"/>
      <c r="GE126" s="291"/>
      <c r="GF126" s="284"/>
      <c r="GG126" s="233"/>
    </row>
    <row r="127" spans="1:189">
      <c r="A127" s="1" t="s">
        <v>1214</v>
      </c>
      <c r="B127" s="1">
        <f t="shared" si="215"/>
        <v>29</v>
      </c>
      <c r="C127" s="1">
        <f t="shared" ca="1" si="215"/>
        <v>0</v>
      </c>
      <c r="D127" s="1">
        <f t="shared" ca="1" si="215"/>
        <v>0</v>
      </c>
      <c r="E127" s="1" t="str">
        <f ca="1">Actions!M30</f>
        <v>-</v>
      </c>
      <c r="F127" s="1" t="str">
        <f t="shared" ca="1" si="211"/>
        <v>-</v>
      </c>
      <c r="G127" s="1" t="e">
        <f t="shared" ca="1" si="214"/>
        <v>#REF!</v>
      </c>
      <c r="FO127" s="288"/>
      <c r="FQ127" s="289"/>
      <c r="FR127" s="288"/>
      <c r="FS127" s="290"/>
      <c r="FT127" s="291"/>
      <c r="FU127" s="288"/>
      <c r="FV127" s="290"/>
      <c r="FW127" s="291"/>
      <c r="FX127" s="288"/>
      <c r="FY127" s="290"/>
      <c r="FZ127" s="291"/>
      <c r="GA127" s="292"/>
      <c r="GB127" s="291"/>
      <c r="GC127" s="291"/>
      <c r="GD127" s="292"/>
      <c r="GE127" s="291"/>
      <c r="GF127" s="284"/>
      <c r="GG127" s="233"/>
    </row>
    <row r="128" spans="1:189">
      <c r="A128" s="1" t="s">
        <v>1216</v>
      </c>
      <c r="B128" s="1">
        <f t="shared" si="215"/>
        <v>30</v>
      </c>
      <c r="C128" s="1">
        <f t="shared" ca="1" si="215"/>
        <v>0</v>
      </c>
      <c r="D128" s="1">
        <f t="shared" ca="1" si="215"/>
        <v>0</v>
      </c>
      <c r="E128" s="1" t="str">
        <f ca="1">Actions!M31</f>
        <v>-</v>
      </c>
      <c r="F128" s="1" t="str">
        <f t="shared" ca="1" si="211"/>
        <v>-</v>
      </c>
      <c r="G128" s="1" t="e">
        <f t="shared" ca="1" si="214"/>
        <v>#REF!</v>
      </c>
      <c r="FO128" s="288"/>
      <c r="FQ128" s="289"/>
      <c r="FR128" s="288"/>
      <c r="FS128" s="290"/>
      <c r="FT128" s="291"/>
      <c r="FU128" s="288"/>
      <c r="FV128" s="290"/>
      <c r="FW128" s="291"/>
      <c r="FX128" s="288"/>
      <c r="FY128" s="290"/>
      <c r="FZ128" s="291"/>
      <c r="GA128" s="292"/>
      <c r="GB128" s="291"/>
      <c r="GC128" s="291"/>
      <c r="GD128" s="292"/>
      <c r="GE128" s="291"/>
      <c r="GF128" s="284"/>
      <c r="GG128" s="233"/>
    </row>
    <row r="129" spans="1:189">
      <c r="A129" s="1" t="s">
        <v>899</v>
      </c>
      <c r="B129" s="1">
        <f t="shared" si="215"/>
        <v>31</v>
      </c>
      <c r="C129" s="1">
        <f t="shared" ca="1" si="215"/>
        <v>0</v>
      </c>
      <c r="D129" s="1">
        <f t="shared" ca="1" si="215"/>
        <v>0</v>
      </c>
      <c r="E129" s="1" t="str">
        <f ca="1">Actions!M32</f>
        <v>-</v>
      </c>
      <c r="F129" s="1" t="str">
        <f t="shared" ca="1" si="211"/>
        <v>-</v>
      </c>
      <c r="G129" s="1" t="e">
        <f t="shared" ca="1" si="214"/>
        <v>#REF!</v>
      </c>
      <c r="FO129" s="288"/>
      <c r="FQ129" s="289"/>
      <c r="FR129" s="288"/>
      <c r="FS129" s="290"/>
      <c r="FT129" s="291"/>
      <c r="FU129" s="288"/>
      <c r="FV129" s="290"/>
      <c r="FW129" s="291"/>
      <c r="FX129" s="288"/>
      <c r="FY129" s="290"/>
      <c r="FZ129" s="291"/>
      <c r="GA129" s="292"/>
      <c r="GB129" s="291"/>
      <c r="GC129" s="291"/>
      <c r="GD129" s="292"/>
      <c r="GE129" s="291"/>
      <c r="GF129" s="284"/>
      <c r="GG129" s="233"/>
    </row>
    <row r="130" spans="1:189">
      <c r="A130" s="1" t="s">
        <v>905</v>
      </c>
      <c r="B130" s="1">
        <f t="shared" si="215"/>
        <v>32</v>
      </c>
      <c r="C130" s="1">
        <f t="shared" ca="1" si="215"/>
        <v>0</v>
      </c>
      <c r="D130" s="1">
        <f t="shared" ca="1" si="215"/>
        <v>0</v>
      </c>
      <c r="E130" s="1" t="str">
        <f ca="1">Actions!M33</f>
        <v>-</v>
      </c>
      <c r="F130" s="1" t="str">
        <f t="shared" ca="1" si="211"/>
        <v>-</v>
      </c>
      <c r="G130" s="1" t="e">
        <f t="shared" ca="1" si="214"/>
        <v>#REF!</v>
      </c>
      <c r="FO130" s="288"/>
      <c r="FQ130" s="289"/>
      <c r="FR130" s="288"/>
      <c r="FS130" s="290"/>
      <c r="FT130" s="291"/>
      <c r="FU130" s="288"/>
      <c r="FV130" s="290"/>
      <c r="FW130" s="291"/>
      <c r="FX130" s="288"/>
      <c r="FY130" s="290"/>
      <c r="FZ130" s="291"/>
      <c r="GA130" s="292"/>
      <c r="GB130" s="291"/>
      <c r="GC130" s="291"/>
      <c r="GD130" s="292"/>
      <c r="GE130" s="291"/>
      <c r="GF130" s="284"/>
      <c r="GG130" s="233"/>
    </row>
    <row r="131" spans="1:189">
      <c r="A131" s="1" t="s">
        <v>910</v>
      </c>
      <c r="B131" s="1">
        <f t="shared" si="215"/>
        <v>33</v>
      </c>
      <c r="C131" s="1">
        <f t="shared" ca="1" si="215"/>
        <v>0</v>
      </c>
      <c r="D131" s="1">
        <f t="shared" ca="1" si="215"/>
        <v>0</v>
      </c>
      <c r="E131" s="1" t="str">
        <f ca="1">Actions!M34</f>
        <v>-</v>
      </c>
      <c r="F131" s="1" t="str">
        <f t="shared" ca="1" si="211"/>
        <v>-</v>
      </c>
      <c r="G131" s="1" t="e">
        <f t="shared" ca="1" si="214"/>
        <v>#REF!</v>
      </c>
      <c r="FO131" s="288"/>
      <c r="FQ131" s="289"/>
      <c r="FR131" s="288"/>
      <c r="FS131" s="290"/>
      <c r="FT131" s="291"/>
      <c r="FU131" s="288"/>
      <c r="FV131" s="290"/>
      <c r="FW131" s="291"/>
      <c r="FX131" s="288"/>
      <c r="FY131" s="290"/>
      <c r="FZ131" s="291"/>
      <c r="GA131" s="292"/>
      <c r="GB131" s="291"/>
      <c r="GC131" s="291"/>
      <c r="GD131" s="292"/>
      <c r="GE131" s="291"/>
      <c r="GF131" s="284"/>
      <c r="GG131" s="233"/>
    </row>
    <row r="132" spans="1:189">
      <c r="A132" s="1" t="s">
        <v>915</v>
      </c>
      <c r="B132" s="1">
        <f t="shared" si="215"/>
        <v>34</v>
      </c>
      <c r="C132" s="1">
        <f t="shared" ca="1" si="215"/>
        <v>0</v>
      </c>
      <c r="D132" s="1">
        <f t="shared" ca="1" si="215"/>
        <v>0</v>
      </c>
      <c r="E132" s="1" t="str">
        <f ca="1">Actions!M35</f>
        <v>-</v>
      </c>
      <c r="F132" s="1" t="str">
        <f t="shared" ca="1" si="211"/>
        <v>-</v>
      </c>
      <c r="G132" s="1" t="e">
        <f t="shared" ca="1" si="214"/>
        <v>#REF!</v>
      </c>
      <c r="FO132" s="288"/>
      <c r="FQ132" s="289"/>
      <c r="FR132" s="288"/>
      <c r="FS132" s="290"/>
      <c r="FT132" s="291"/>
      <c r="FU132" s="288"/>
      <c r="FV132" s="290"/>
      <c r="FW132" s="291"/>
      <c r="FX132" s="288"/>
      <c r="FY132" s="290"/>
      <c r="FZ132" s="291"/>
      <c r="GA132" s="292"/>
      <c r="GB132" s="291"/>
      <c r="GC132" s="291"/>
      <c r="GD132" s="292"/>
      <c r="GE132" s="291"/>
      <c r="GF132" s="284"/>
      <c r="GG132" s="233"/>
    </row>
    <row r="133" spans="1:189">
      <c r="A133" s="1" t="s">
        <v>920</v>
      </c>
      <c r="B133" s="1">
        <f t="shared" si="215"/>
        <v>35</v>
      </c>
      <c r="C133" s="1">
        <f t="shared" ca="1" si="215"/>
        <v>0</v>
      </c>
      <c r="D133" s="1">
        <f t="shared" ca="1" si="215"/>
        <v>0</v>
      </c>
      <c r="E133" s="1" t="str">
        <f ca="1">Actions!M36</f>
        <v>-</v>
      </c>
      <c r="F133" s="1" t="str">
        <f t="shared" ca="1" si="211"/>
        <v>-</v>
      </c>
      <c r="G133" s="1" t="e">
        <f t="shared" ca="1" si="214"/>
        <v>#REF!</v>
      </c>
      <c r="FO133" s="288"/>
      <c r="FQ133" s="289"/>
      <c r="FR133" s="288"/>
      <c r="FS133" s="290"/>
      <c r="FT133" s="291"/>
      <c r="FU133" s="288"/>
      <c r="FV133" s="290"/>
      <c r="FW133" s="291"/>
      <c r="FX133" s="288"/>
      <c r="FY133" s="290"/>
      <c r="FZ133" s="291"/>
      <c r="GA133" s="292"/>
      <c r="GB133" s="291"/>
      <c r="GC133" s="291"/>
      <c r="GD133" s="292"/>
      <c r="GE133" s="291"/>
      <c r="GF133" s="284"/>
      <c r="GG133" s="233"/>
    </row>
    <row r="134" spans="1:189">
      <c r="A134" s="1" t="s">
        <v>1223</v>
      </c>
      <c r="B134" s="1">
        <f t="shared" ref="B134:D143" si="216">B89</f>
        <v>36</v>
      </c>
      <c r="C134" s="1">
        <f t="shared" ca="1" si="216"/>
        <v>0</v>
      </c>
      <c r="D134" s="1">
        <f t="shared" ca="1" si="216"/>
        <v>0</v>
      </c>
      <c r="E134" s="1" t="str">
        <f ca="1">Actions!M37</f>
        <v>-</v>
      </c>
      <c r="F134" s="1" t="str">
        <f t="shared" ca="1" si="211"/>
        <v>-</v>
      </c>
      <c r="G134" s="1" t="e">
        <f t="shared" ca="1" si="214"/>
        <v>#REF!</v>
      </c>
      <c r="FO134" s="288"/>
      <c r="FQ134" s="289"/>
      <c r="FR134" s="288"/>
      <c r="FS134" s="290"/>
      <c r="FT134" s="291"/>
      <c r="FU134" s="288"/>
      <c r="FV134" s="290"/>
      <c r="FW134" s="291"/>
      <c r="FX134" s="288"/>
      <c r="FY134" s="290"/>
      <c r="FZ134" s="291"/>
      <c r="GA134" s="292"/>
      <c r="GB134" s="291"/>
      <c r="GC134" s="291"/>
      <c r="GD134" s="292"/>
      <c r="GE134" s="291"/>
      <c r="GF134" s="284"/>
      <c r="GG134" s="233"/>
    </row>
    <row r="135" spans="1:189">
      <c r="A135" s="1" t="s">
        <v>1226</v>
      </c>
      <c r="B135" s="1">
        <f t="shared" si="216"/>
        <v>37</v>
      </c>
      <c r="C135" s="1">
        <f t="shared" ca="1" si="216"/>
        <v>0</v>
      </c>
      <c r="D135" s="1">
        <f t="shared" ca="1" si="216"/>
        <v>0</v>
      </c>
      <c r="E135" s="1" t="str">
        <f ca="1">Actions!M38</f>
        <v>-</v>
      </c>
      <c r="F135" s="1" t="str">
        <f t="shared" ca="1" si="211"/>
        <v>-</v>
      </c>
      <c r="G135" s="1" t="e">
        <f t="shared" ca="1" si="214"/>
        <v>#REF!</v>
      </c>
      <c r="FO135" s="288"/>
      <c r="FQ135" s="289"/>
      <c r="FR135" s="288"/>
      <c r="FS135" s="290"/>
      <c r="FT135" s="291"/>
      <c r="FU135" s="288"/>
      <c r="FV135" s="290"/>
      <c r="FW135" s="291"/>
      <c r="FX135" s="288"/>
      <c r="FY135" s="290"/>
      <c r="FZ135" s="291"/>
      <c r="GA135" s="292"/>
      <c r="GB135" s="291"/>
      <c r="GC135" s="291"/>
      <c r="GD135" s="292"/>
      <c r="GE135" s="291"/>
      <c r="GF135" s="284"/>
      <c r="GG135" s="233"/>
    </row>
    <row r="136" spans="1:189">
      <c r="A136" s="1" t="s">
        <v>1229</v>
      </c>
      <c r="B136" s="1">
        <f t="shared" si="216"/>
        <v>38</v>
      </c>
      <c r="C136" s="1">
        <f t="shared" ca="1" si="216"/>
        <v>0</v>
      </c>
      <c r="D136" s="1">
        <f t="shared" ca="1" si="216"/>
        <v>0</v>
      </c>
      <c r="E136" s="1" t="str">
        <f ca="1">Actions!M39</f>
        <v>-</v>
      </c>
      <c r="F136" s="1" t="str">
        <f t="shared" ca="1" si="211"/>
        <v>-</v>
      </c>
      <c r="G136" s="1" t="e">
        <f t="shared" ca="1" si="214"/>
        <v>#REF!</v>
      </c>
      <c r="FO136" s="288"/>
      <c r="FQ136" s="289"/>
      <c r="FR136" s="288"/>
      <c r="FS136" s="290"/>
      <c r="FT136" s="291"/>
      <c r="FU136" s="288"/>
      <c r="FV136" s="290"/>
      <c r="FW136" s="291"/>
      <c r="FX136" s="288"/>
      <c r="FY136" s="290"/>
      <c r="FZ136" s="291"/>
      <c r="GA136" s="292"/>
      <c r="GB136" s="291"/>
      <c r="GC136" s="291"/>
      <c r="GD136" s="292"/>
      <c r="GE136" s="291"/>
      <c r="GF136" s="284"/>
      <c r="GG136" s="233"/>
    </row>
    <row r="137" spans="1:189">
      <c r="A137" s="1" t="s">
        <v>1232</v>
      </c>
      <c r="B137" s="1">
        <f t="shared" si="216"/>
        <v>39</v>
      </c>
      <c r="C137" s="1">
        <f t="shared" ca="1" si="216"/>
        <v>0</v>
      </c>
      <c r="D137" s="1">
        <f t="shared" ca="1" si="216"/>
        <v>0</v>
      </c>
      <c r="E137" s="1" t="str">
        <f ca="1">Actions!M40</f>
        <v>-</v>
      </c>
      <c r="F137" s="1" t="str">
        <f t="shared" ca="1" si="211"/>
        <v>-</v>
      </c>
      <c r="G137" s="1" t="e">
        <f t="shared" ca="1" si="214"/>
        <v>#REF!</v>
      </c>
      <c r="FO137" s="288"/>
      <c r="FQ137" s="289"/>
      <c r="FR137" s="288"/>
      <c r="FS137" s="290"/>
      <c r="FT137" s="291"/>
      <c r="FU137" s="288"/>
      <c r="FV137" s="290"/>
      <c r="FW137" s="291"/>
      <c r="FX137" s="288"/>
      <c r="FY137" s="290"/>
      <c r="FZ137" s="291"/>
      <c r="GA137" s="292"/>
      <c r="GB137" s="291"/>
      <c r="GC137" s="291"/>
      <c r="GD137" s="292"/>
      <c r="GE137" s="291"/>
      <c r="GF137" s="284"/>
      <c r="GG137" s="233"/>
    </row>
    <row r="138" spans="1:189">
      <c r="A138" s="1" t="s">
        <v>1235</v>
      </c>
      <c r="B138" s="1">
        <f t="shared" si="216"/>
        <v>40</v>
      </c>
      <c r="C138" s="1">
        <f t="shared" ca="1" si="216"/>
        <v>0</v>
      </c>
      <c r="D138" s="1">
        <f t="shared" ca="1" si="216"/>
        <v>0</v>
      </c>
      <c r="E138" s="1" t="str">
        <f ca="1">Actions!M41</f>
        <v>-</v>
      </c>
      <c r="F138" s="1" t="str">
        <f t="shared" ref="F138:F143" ca="1" si="217">IF(E138="Tous",D138,E138)</f>
        <v>-</v>
      </c>
      <c r="G138" s="1" t="e">
        <f t="shared" ca="1" si="214"/>
        <v>#REF!</v>
      </c>
      <c r="FO138" s="288"/>
      <c r="FQ138" s="289"/>
      <c r="FR138" s="288"/>
      <c r="FS138" s="290"/>
      <c r="FT138" s="291"/>
      <c r="FU138" s="288"/>
      <c r="FV138" s="290"/>
      <c r="FW138" s="291"/>
      <c r="FX138" s="288"/>
      <c r="FY138" s="290"/>
      <c r="FZ138" s="291"/>
      <c r="GA138" s="292"/>
      <c r="GB138" s="291"/>
      <c r="GC138" s="291"/>
      <c r="GD138" s="292"/>
      <c r="GE138" s="291"/>
      <c r="GF138" s="284"/>
      <c r="GG138" s="233"/>
    </row>
    <row r="139" spans="1:189">
      <c r="A139" s="1" t="s">
        <v>933</v>
      </c>
      <c r="B139" s="1">
        <f t="shared" si="216"/>
        <v>41</v>
      </c>
      <c r="C139" s="1">
        <f t="shared" ca="1" si="216"/>
        <v>0</v>
      </c>
      <c r="D139" s="1">
        <f t="shared" ca="1" si="216"/>
        <v>0</v>
      </c>
      <c r="E139" s="1" t="str">
        <f ca="1">Actions!M42</f>
        <v>-</v>
      </c>
      <c r="F139" s="1" t="str">
        <f t="shared" ca="1" si="217"/>
        <v>-</v>
      </c>
      <c r="G139" s="1" t="e">
        <f t="shared" ca="1" si="214"/>
        <v>#REF!</v>
      </c>
      <c r="FO139" s="288"/>
      <c r="FQ139" s="289"/>
      <c r="FR139" s="288"/>
      <c r="FS139" s="290"/>
      <c r="FT139" s="291"/>
      <c r="FU139" s="288"/>
      <c r="FV139" s="290"/>
      <c r="FW139" s="291"/>
      <c r="FX139" s="288"/>
      <c r="FY139" s="290"/>
      <c r="FZ139" s="291"/>
      <c r="GA139" s="292"/>
      <c r="GB139" s="291"/>
      <c r="GC139" s="291"/>
      <c r="GD139" s="292"/>
      <c r="GE139" s="291"/>
      <c r="GF139" s="284"/>
      <c r="GG139" s="233"/>
    </row>
    <row r="140" spans="1:189">
      <c r="A140" s="1" t="s">
        <v>938</v>
      </c>
      <c r="B140" s="1" t="e">
        <f t="shared" si="216"/>
        <v>#REF!</v>
      </c>
      <c r="C140" s="1" t="e">
        <f t="shared" si="216"/>
        <v>#REF!</v>
      </c>
      <c r="D140" s="1" t="e">
        <f t="shared" si="216"/>
        <v>#REF!</v>
      </c>
      <c r="E140" s="1" t="str">
        <f ca="1">Actions!M43</f>
        <v>-</v>
      </c>
      <c r="F140" s="1" t="str">
        <f t="shared" ca="1" si="217"/>
        <v>-</v>
      </c>
      <c r="G140" s="1" t="e">
        <f t="shared" ca="1" si="214"/>
        <v>#REF!</v>
      </c>
      <c r="FO140" s="288"/>
      <c r="FQ140" s="289"/>
      <c r="FR140" s="288"/>
      <c r="FS140" s="290"/>
      <c r="FT140" s="291"/>
      <c r="FU140" s="288"/>
      <c r="FV140" s="290"/>
      <c r="FW140" s="291"/>
      <c r="FX140" s="288"/>
      <c r="FY140" s="290"/>
      <c r="FZ140" s="291"/>
      <c r="GA140" s="292"/>
      <c r="GB140" s="291"/>
      <c r="GC140" s="291"/>
      <c r="GD140" s="292"/>
      <c r="GE140" s="291"/>
      <c r="GF140" s="284"/>
      <c r="GG140" s="233"/>
    </row>
    <row r="141" spans="1:189">
      <c r="A141" s="1" t="s">
        <v>945</v>
      </c>
      <c r="B141" s="1">
        <f t="shared" si="216"/>
        <v>43</v>
      </c>
      <c r="C141" s="1">
        <f t="shared" ca="1" si="216"/>
        <v>0</v>
      </c>
      <c r="D141" s="1">
        <f t="shared" ca="1" si="216"/>
        <v>0</v>
      </c>
      <c r="E141" s="1" t="str">
        <f ca="1">Actions!M44</f>
        <v>-</v>
      </c>
      <c r="F141" s="1" t="str">
        <f t="shared" ca="1" si="217"/>
        <v>-</v>
      </c>
      <c r="G141" s="1" t="e">
        <f t="shared" ca="1" si="214"/>
        <v>#REF!</v>
      </c>
      <c r="FO141" s="288"/>
      <c r="FQ141" s="289"/>
      <c r="FR141" s="288"/>
      <c r="FS141" s="290"/>
      <c r="FT141" s="291"/>
      <c r="FU141" s="288"/>
      <c r="FV141" s="290"/>
      <c r="FW141" s="291"/>
      <c r="FX141" s="288"/>
      <c r="FY141" s="290"/>
      <c r="FZ141" s="291"/>
      <c r="GA141" s="292"/>
      <c r="GB141" s="291"/>
      <c r="GC141" s="291"/>
      <c r="GD141" s="292"/>
      <c r="GE141" s="291"/>
      <c r="GF141" s="284"/>
      <c r="GG141" s="233"/>
    </row>
    <row r="142" spans="1:189">
      <c r="A142" s="1" t="s">
        <v>950</v>
      </c>
      <c r="B142" s="1">
        <f t="shared" si="216"/>
        <v>44</v>
      </c>
      <c r="C142" s="1">
        <f t="shared" ca="1" si="216"/>
        <v>0</v>
      </c>
      <c r="D142" s="1">
        <f t="shared" ca="1" si="216"/>
        <v>0</v>
      </c>
      <c r="E142" s="1" t="str">
        <f ca="1">Actions!M45</f>
        <v>-</v>
      </c>
      <c r="F142" s="1" t="str">
        <f t="shared" ca="1" si="217"/>
        <v>-</v>
      </c>
      <c r="G142" s="1" t="e">
        <f t="shared" ca="1" si="214"/>
        <v>#REF!</v>
      </c>
      <c r="FO142" s="288"/>
      <c r="FQ142" s="289"/>
      <c r="FR142" s="288"/>
      <c r="FS142" s="290"/>
      <c r="FT142" s="291"/>
      <c r="FU142" s="288"/>
      <c r="FV142" s="290"/>
      <c r="FW142" s="291"/>
      <c r="FX142" s="288"/>
      <c r="FY142" s="290"/>
      <c r="FZ142" s="291"/>
      <c r="GA142" s="292"/>
      <c r="GB142" s="291"/>
      <c r="GC142" s="291"/>
      <c r="GD142" s="292"/>
      <c r="GE142" s="291"/>
      <c r="GF142" s="284"/>
      <c r="GG142" s="233"/>
    </row>
    <row r="143" spans="1:189">
      <c r="A143" s="1" t="s">
        <v>956</v>
      </c>
      <c r="B143" s="1">
        <f t="shared" si="216"/>
        <v>45</v>
      </c>
      <c r="C143" s="1">
        <f t="shared" ca="1" si="216"/>
        <v>0</v>
      </c>
      <c r="D143" s="1">
        <f t="shared" ca="1" si="216"/>
        <v>0</v>
      </c>
      <c r="E143" s="1" t="str">
        <f ca="1">Actions!M46</f>
        <v>-</v>
      </c>
      <c r="F143" s="1" t="str">
        <f t="shared" ca="1" si="217"/>
        <v>-</v>
      </c>
      <c r="G143" s="1" t="e">
        <f t="shared" ca="1" si="214"/>
        <v>#REF!</v>
      </c>
      <c r="FO143" s="288"/>
      <c r="FQ143" s="289"/>
      <c r="FR143" s="288"/>
      <c r="FS143" s="290"/>
      <c r="FT143" s="291"/>
      <c r="FU143" s="288"/>
      <c r="FV143" s="290"/>
      <c r="FW143" s="291"/>
      <c r="FX143" s="288"/>
      <c r="FY143" s="290"/>
      <c r="FZ143" s="291"/>
      <c r="GA143" s="292"/>
      <c r="GB143" s="291"/>
      <c r="GC143" s="291"/>
      <c r="GD143" s="292"/>
      <c r="GE143" s="291"/>
      <c r="GF143" s="284"/>
      <c r="GG143" s="233"/>
    </row>
    <row r="144" spans="1:189">
      <c r="B144" s="1" t="str">
        <f>B147</f>
        <v xml:space="preserve">Action </v>
      </c>
      <c r="C144" s="1">
        <f t="shared" ref="C144:AN144" si="218">C147</f>
        <v>0</v>
      </c>
      <c r="D144" s="1" t="str">
        <f t="shared" si="218"/>
        <v>(vide)</v>
      </c>
      <c r="E144" s="1" t="str">
        <f t="shared" si="218"/>
        <v>-</v>
      </c>
      <c r="F144" s="1" t="str">
        <f t="shared" si="218"/>
        <v>Total général</v>
      </c>
      <c r="G144" s="1">
        <f t="shared" si="218"/>
        <v>0</v>
      </c>
      <c r="H144" s="1">
        <f t="shared" si="218"/>
        <v>0</v>
      </c>
      <c r="I144" s="1">
        <f t="shared" si="218"/>
        <v>0</v>
      </c>
      <c r="J144" s="1">
        <f t="shared" si="218"/>
        <v>0</v>
      </c>
      <c r="K144" s="1">
        <f t="shared" si="218"/>
        <v>0</v>
      </c>
      <c r="L144" s="1">
        <f t="shared" si="218"/>
        <v>0</v>
      </c>
      <c r="M144" s="1">
        <f t="shared" si="218"/>
        <v>0</v>
      </c>
      <c r="N144" s="1">
        <f t="shared" si="218"/>
        <v>0</v>
      </c>
      <c r="O144" s="1">
        <f t="shared" si="218"/>
        <v>0</v>
      </c>
      <c r="P144" s="1">
        <f t="shared" si="218"/>
        <v>0</v>
      </c>
      <c r="Q144" s="1">
        <f t="shared" si="218"/>
        <v>0</v>
      </c>
      <c r="R144" s="1">
        <f t="shared" si="218"/>
        <v>0</v>
      </c>
      <c r="S144" s="1">
        <f t="shared" si="218"/>
        <v>0</v>
      </c>
      <c r="T144" s="1">
        <f t="shared" si="218"/>
        <v>0</v>
      </c>
      <c r="U144" s="1">
        <f t="shared" si="218"/>
        <v>0</v>
      </c>
      <c r="V144" s="1">
        <f t="shared" si="218"/>
        <v>0</v>
      </c>
      <c r="W144" s="1">
        <f t="shared" si="218"/>
        <v>0</v>
      </c>
      <c r="X144" s="1">
        <f t="shared" si="218"/>
        <v>0</v>
      </c>
      <c r="Y144" s="1">
        <f t="shared" si="218"/>
        <v>0</v>
      </c>
      <c r="Z144" s="1">
        <f t="shared" si="218"/>
        <v>0</v>
      </c>
      <c r="AA144" s="1">
        <f t="shared" si="218"/>
        <v>0</v>
      </c>
      <c r="AB144" s="1">
        <f t="shared" si="218"/>
        <v>0</v>
      </c>
      <c r="AC144" s="1">
        <f t="shared" si="218"/>
        <v>0</v>
      </c>
      <c r="AD144" s="1">
        <f t="shared" si="218"/>
        <v>0</v>
      </c>
      <c r="AE144" s="1">
        <f t="shared" si="218"/>
        <v>0</v>
      </c>
      <c r="AF144" s="1">
        <f t="shared" si="218"/>
        <v>0</v>
      </c>
      <c r="AG144" s="1">
        <f t="shared" si="218"/>
        <v>0</v>
      </c>
      <c r="AH144" s="1">
        <f t="shared" si="218"/>
        <v>0</v>
      </c>
      <c r="AI144" s="1">
        <f t="shared" si="218"/>
        <v>0</v>
      </c>
      <c r="AJ144" s="1">
        <f t="shared" si="218"/>
        <v>0</v>
      </c>
      <c r="AK144" s="1">
        <f t="shared" si="218"/>
        <v>0</v>
      </c>
      <c r="AL144" s="1">
        <f t="shared" si="218"/>
        <v>0</v>
      </c>
      <c r="AM144" s="1">
        <f t="shared" si="218"/>
        <v>0</v>
      </c>
      <c r="AN144" s="1">
        <f t="shared" si="218"/>
        <v>0</v>
      </c>
      <c r="AO144" s="1">
        <f t="shared" ref="AO144:AW144" si="219">AO147</f>
        <v>0</v>
      </c>
      <c r="AP144" s="1">
        <f t="shared" si="219"/>
        <v>0</v>
      </c>
      <c r="AQ144" s="1">
        <f t="shared" si="219"/>
        <v>0</v>
      </c>
      <c r="AR144" s="1">
        <f t="shared" si="219"/>
        <v>0</v>
      </c>
      <c r="AS144" s="1">
        <f t="shared" si="219"/>
        <v>0</v>
      </c>
      <c r="AT144" s="1">
        <f t="shared" si="219"/>
        <v>0</v>
      </c>
      <c r="AU144" s="1">
        <f t="shared" si="219"/>
        <v>0</v>
      </c>
      <c r="AV144" s="1">
        <f t="shared" si="219"/>
        <v>0</v>
      </c>
      <c r="AW144" s="1">
        <f t="shared" si="219"/>
        <v>0</v>
      </c>
      <c r="FO144" s="288"/>
      <c r="FQ144" s="289"/>
      <c r="FR144" s="288"/>
      <c r="FS144" s="290"/>
      <c r="FT144" s="291"/>
      <c r="FU144" s="288"/>
      <c r="FV144" s="290"/>
      <c r="FW144" s="291"/>
      <c r="FX144" s="288"/>
      <c r="FY144" s="290"/>
      <c r="FZ144" s="291"/>
      <c r="GA144" s="292"/>
      <c r="GB144" s="291"/>
      <c r="GC144" s="291"/>
      <c r="GD144" s="292"/>
      <c r="GE144" s="291"/>
      <c r="GF144" s="284"/>
      <c r="GG144" s="233"/>
    </row>
    <row r="145" spans="2:189">
      <c r="B145" s="1">
        <v>1</v>
      </c>
      <c r="C145" s="1">
        <v>2</v>
      </c>
      <c r="D145" s="1">
        <v>3</v>
      </c>
      <c r="E145" s="1">
        <v>4</v>
      </c>
      <c r="F145" s="1">
        <v>5</v>
      </c>
      <c r="G145" s="1">
        <v>6</v>
      </c>
      <c r="H145" s="1">
        <v>7</v>
      </c>
      <c r="I145" s="1">
        <v>8</v>
      </c>
      <c r="J145" s="1">
        <v>9</v>
      </c>
      <c r="K145" s="1">
        <v>10</v>
      </c>
      <c r="L145" s="1">
        <v>11</v>
      </c>
      <c r="M145" s="1">
        <v>12</v>
      </c>
      <c r="N145" s="1">
        <v>13</v>
      </c>
      <c r="O145" s="1">
        <v>14</v>
      </c>
      <c r="P145" s="1">
        <v>15</v>
      </c>
      <c r="Q145" s="1">
        <v>16</v>
      </c>
      <c r="R145" s="1">
        <v>17</v>
      </c>
      <c r="S145" s="1">
        <v>18</v>
      </c>
      <c r="T145" s="1">
        <v>19</v>
      </c>
      <c r="U145" s="1">
        <v>20</v>
      </c>
      <c r="V145" s="1">
        <v>21</v>
      </c>
      <c r="W145" s="1">
        <v>22</v>
      </c>
      <c r="X145" s="1">
        <v>23</v>
      </c>
      <c r="Y145" s="1">
        <v>24</v>
      </c>
      <c r="Z145" s="1">
        <v>25</v>
      </c>
      <c r="AA145" s="1">
        <v>26</v>
      </c>
      <c r="AB145" s="1">
        <v>27</v>
      </c>
      <c r="AC145" s="1">
        <v>28</v>
      </c>
      <c r="AD145" s="1">
        <v>29</v>
      </c>
      <c r="AE145" s="1">
        <v>30</v>
      </c>
      <c r="AF145" s="1">
        <v>31</v>
      </c>
      <c r="AG145" s="1">
        <v>32</v>
      </c>
      <c r="AH145" s="1">
        <v>33</v>
      </c>
      <c r="AI145" s="1">
        <v>34</v>
      </c>
      <c r="AJ145" s="1">
        <v>35</v>
      </c>
      <c r="AK145" s="1">
        <v>36</v>
      </c>
      <c r="AL145" s="1">
        <v>37</v>
      </c>
      <c r="AM145" s="1">
        <v>38</v>
      </c>
      <c r="AN145" s="1">
        <v>39</v>
      </c>
      <c r="AO145" s="1">
        <v>40</v>
      </c>
      <c r="AP145" s="1">
        <v>41</v>
      </c>
      <c r="AQ145" s="1">
        <v>42</v>
      </c>
      <c r="AR145" s="1">
        <v>43</v>
      </c>
      <c r="AS145" s="1">
        <v>44</v>
      </c>
      <c r="AT145" s="1">
        <v>45</v>
      </c>
      <c r="AU145" s="1">
        <v>46</v>
      </c>
      <c r="AV145" s="1">
        <v>47</v>
      </c>
      <c r="AW145" s="1">
        <v>48</v>
      </c>
      <c r="FO145" s="288"/>
      <c r="FQ145" s="289"/>
      <c r="FR145" s="288"/>
      <c r="FS145" s="290"/>
      <c r="FT145" s="291"/>
      <c r="FU145" s="288"/>
      <c r="FV145" s="290"/>
      <c r="FW145" s="291"/>
      <c r="FX145" s="288"/>
      <c r="FY145" s="290"/>
      <c r="FZ145" s="291"/>
      <c r="GA145" s="292"/>
      <c r="GB145" s="291"/>
      <c r="GC145" s="291"/>
      <c r="GD145" s="292"/>
      <c r="GE145" s="291"/>
      <c r="GF145" s="284"/>
      <c r="GG145" s="233"/>
    </row>
    <row r="146" spans="2:189">
      <c r="B146" s="1489" t="s">
        <v>1236</v>
      </c>
      <c r="C146" s="1489" t="s">
        <v>1175</v>
      </c>
      <c r="D146" s="1490"/>
      <c r="E146" s="1490"/>
      <c r="F146" s="1491"/>
      <c r="G146"/>
      <c r="H146"/>
      <c r="I146"/>
      <c r="J146"/>
      <c r="K146"/>
      <c r="L146"/>
      <c r="M146"/>
      <c r="N146"/>
      <c r="O146"/>
      <c r="P146"/>
      <c r="Q146"/>
      <c r="R146"/>
      <c r="S146"/>
      <c r="T146"/>
      <c r="U146"/>
      <c r="V146"/>
      <c r="W146"/>
      <c r="X146"/>
      <c r="Y146"/>
      <c r="Z146"/>
      <c r="AA146"/>
      <c r="AB146"/>
      <c r="AC146"/>
      <c r="AD146"/>
      <c r="AE146"/>
      <c r="AF146"/>
      <c r="AG146"/>
      <c r="AH146"/>
      <c r="AI146"/>
      <c r="AJ146"/>
      <c r="AK146"/>
      <c r="AL146"/>
      <c r="FO146" s="288"/>
      <c r="FQ146" s="289"/>
      <c r="FR146" s="288"/>
      <c r="FS146" s="290"/>
      <c r="FT146" s="291"/>
      <c r="FU146" s="288"/>
      <c r="FV146" s="290"/>
      <c r="FW146" s="291"/>
      <c r="FX146" s="288"/>
      <c r="FY146" s="290"/>
      <c r="FZ146" s="291"/>
      <c r="GA146" s="292"/>
      <c r="GB146" s="291"/>
      <c r="GC146" s="291"/>
      <c r="GD146" s="292"/>
      <c r="GE146" s="291"/>
      <c r="GF146" s="284"/>
      <c r="GG146" s="233"/>
    </row>
    <row r="147" spans="2:189">
      <c r="B147" s="1489" t="s">
        <v>1174</v>
      </c>
      <c r="C147" s="1492">
        <v>0</v>
      </c>
      <c r="D147" s="1493" t="s">
        <v>1237</v>
      </c>
      <c r="E147" s="1493" t="s">
        <v>1</v>
      </c>
      <c r="F147" s="1494" t="s">
        <v>1238</v>
      </c>
      <c r="G147"/>
      <c r="H147"/>
      <c r="I147"/>
      <c r="J147"/>
      <c r="K147"/>
      <c r="L147"/>
      <c r="M147"/>
      <c r="N147"/>
      <c r="O147"/>
      <c r="P147"/>
      <c r="Q147"/>
      <c r="R147"/>
      <c r="S147"/>
      <c r="T147"/>
      <c r="U147"/>
      <c r="V147"/>
      <c r="W147"/>
      <c r="X147"/>
      <c r="Y147"/>
      <c r="Z147"/>
      <c r="AA147"/>
      <c r="AB147"/>
      <c r="AC147"/>
      <c r="AD147"/>
      <c r="AE147"/>
      <c r="AF147"/>
      <c r="AG147"/>
      <c r="AH147"/>
      <c r="AI147"/>
      <c r="AJ147"/>
      <c r="AK147"/>
      <c r="AL147"/>
      <c r="FO147" s="288"/>
      <c r="FQ147" s="289"/>
      <c r="FR147" s="288"/>
      <c r="FS147" s="290"/>
      <c r="FT147" s="291"/>
      <c r="FU147" s="288"/>
      <c r="FV147" s="290"/>
      <c r="FW147" s="291"/>
      <c r="FX147" s="288"/>
      <c r="FY147" s="290"/>
      <c r="FZ147" s="291"/>
      <c r="GA147" s="292"/>
      <c r="GB147" s="291"/>
      <c r="GC147" s="291"/>
      <c r="GD147" s="292"/>
      <c r="GE147" s="291"/>
      <c r="GF147" s="284"/>
      <c r="GG147" s="233"/>
    </row>
    <row r="148" spans="2:189">
      <c r="B148" s="1492">
        <v>0</v>
      </c>
      <c r="C148" s="1492">
        <v>0</v>
      </c>
      <c r="D148" s="1493"/>
      <c r="E148" s="1493" t="e">
        <v>#REF!</v>
      </c>
      <c r="F148" s="1494" t="e">
        <v>#REF!</v>
      </c>
      <c r="G148"/>
      <c r="H148"/>
      <c r="I148"/>
      <c r="J148"/>
      <c r="K148"/>
      <c r="L148"/>
      <c r="M148"/>
      <c r="N148"/>
      <c r="O148"/>
      <c r="P148"/>
      <c r="Q148"/>
      <c r="R148"/>
      <c r="S148"/>
      <c r="T148"/>
      <c r="U148"/>
      <c r="V148"/>
      <c r="W148"/>
      <c r="X148"/>
      <c r="Y148"/>
      <c r="Z148"/>
      <c r="AA148"/>
      <c r="AB148"/>
      <c r="AC148"/>
      <c r="AD148"/>
      <c r="AE148"/>
      <c r="AF148"/>
      <c r="AG148"/>
      <c r="AH148"/>
      <c r="AI148"/>
      <c r="AJ148"/>
      <c r="AK148"/>
      <c r="AL148"/>
      <c r="FO148" s="288"/>
      <c r="FQ148" s="289"/>
      <c r="FR148" s="288"/>
      <c r="FS148" s="290"/>
      <c r="FT148" s="291"/>
      <c r="FU148" s="288"/>
      <c r="FV148" s="290"/>
      <c r="FW148" s="291"/>
      <c r="FX148" s="288"/>
      <c r="FY148" s="290"/>
      <c r="FZ148" s="291"/>
      <c r="GA148" s="292"/>
      <c r="GB148" s="291"/>
      <c r="GC148" s="291"/>
      <c r="GD148" s="292"/>
      <c r="GE148" s="291"/>
      <c r="GF148" s="284"/>
      <c r="GG148" s="233"/>
    </row>
    <row r="149" spans="2:189">
      <c r="B149" s="1495" t="s">
        <v>1237</v>
      </c>
      <c r="C149" s="1495"/>
      <c r="D149"/>
      <c r="E149"/>
      <c r="F149" s="1839"/>
      <c r="G149"/>
      <c r="H149"/>
      <c r="I149"/>
      <c r="J149"/>
      <c r="K149"/>
      <c r="L149"/>
      <c r="M149"/>
      <c r="N149"/>
      <c r="O149"/>
      <c r="P149"/>
      <c r="Q149"/>
      <c r="R149"/>
      <c r="S149"/>
      <c r="T149"/>
      <c r="U149"/>
      <c r="V149"/>
      <c r="W149"/>
      <c r="X149"/>
      <c r="Y149"/>
      <c r="Z149"/>
      <c r="AA149"/>
      <c r="AB149"/>
      <c r="AC149"/>
      <c r="AD149"/>
      <c r="AE149"/>
      <c r="AF149"/>
      <c r="AG149"/>
      <c r="AH149"/>
      <c r="AI149"/>
      <c r="AJ149"/>
      <c r="AK149"/>
      <c r="AL149"/>
      <c r="FO149" s="288"/>
      <c r="FQ149" s="289"/>
      <c r="FR149" s="288"/>
      <c r="FS149" s="290"/>
      <c r="FT149" s="291"/>
      <c r="FU149" s="288"/>
      <c r="FV149" s="290"/>
      <c r="FW149" s="291"/>
      <c r="FX149" s="288"/>
      <c r="FY149" s="290"/>
      <c r="FZ149" s="291"/>
      <c r="GA149" s="292"/>
      <c r="GB149" s="291"/>
      <c r="GC149" s="291"/>
      <c r="GD149" s="292"/>
      <c r="GE149" s="291"/>
      <c r="GF149" s="284"/>
      <c r="GG149" s="233"/>
    </row>
    <row r="150" spans="2:189">
      <c r="B150" s="1495" t="s">
        <v>1239</v>
      </c>
      <c r="C150" s="1495"/>
      <c r="D150"/>
      <c r="E150" t="e">
        <v>#REF!</v>
      </c>
      <c r="F150" s="1839" t="e">
        <v>#REF!</v>
      </c>
      <c r="G150"/>
      <c r="H150"/>
      <c r="I150"/>
      <c r="J150"/>
      <c r="K150"/>
      <c r="L150"/>
      <c r="M150"/>
      <c r="N150"/>
      <c r="O150"/>
      <c r="P150"/>
      <c r="Q150"/>
      <c r="R150"/>
      <c r="S150"/>
      <c r="T150"/>
      <c r="U150"/>
      <c r="V150"/>
      <c r="W150"/>
      <c r="X150"/>
      <c r="Y150"/>
      <c r="Z150"/>
      <c r="AA150"/>
      <c r="AB150"/>
      <c r="AC150"/>
      <c r="AD150"/>
      <c r="AE150"/>
      <c r="AF150"/>
      <c r="AG150"/>
      <c r="AH150"/>
      <c r="AI150"/>
      <c r="AJ150"/>
      <c r="AK150"/>
      <c r="AL150"/>
      <c r="FO150" s="288"/>
      <c r="FQ150" s="289"/>
      <c r="FR150" s="288"/>
      <c r="FS150" s="290"/>
      <c r="FT150" s="291"/>
      <c r="FU150" s="288"/>
      <c r="FV150" s="290"/>
      <c r="FW150" s="291"/>
      <c r="FX150" s="288"/>
      <c r="FY150" s="290"/>
      <c r="FZ150" s="291"/>
      <c r="GA150" s="292"/>
      <c r="GB150" s="291"/>
      <c r="GC150" s="291"/>
      <c r="GD150" s="292"/>
      <c r="GE150" s="291"/>
      <c r="GF150" s="284"/>
      <c r="GG150" s="233"/>
    </row>
    <row r="151" spans="2:189">
      <c r="B151" s="1496" t="s">
        <v>1238</v>
      </c>
      <c r="C151" s="1496">
        <v>0</v>
      </c>
      <c r="D151" s="1840"/>
      <c r="E151" s="1840" t="e">
        <v>#REF!</v>
      </c>
      <c r="F151" s="1841" t="e">
        <v>#REF!</v>
      </c>
      <c r="G151"/>
      <c r="H151"/>
      <c r="I151"/>
      <c r="J151"/>
      <c r="K151"/>
      <c r="L151"/>
      <c r="M151"/>
      <c r="N151"/>
      <c r="O151"/>
      <c r="P151"/>
      <c r="Q151"/>
      <c r="R151"/>
      <c r="S151"/>
      <c r="T151"/>
      <c r="U151"/>
      <c r="V151"/>
      <c r="W151"/>
      <c r="X151"/>
      <c r="Y151"/>
      <c r="Z151"/>
      <c r="AA151"/>
      <c r="AB151"/>
      <c r="AC151"/>
      <c r="AD151"/>
      <c r="AE151"/>
      <c r="AF151"/>
      <c r="AG151"/>
      <c r="AH151"/>
      <c r="AI151"/>
      <c r="AJ151"/>
      <c r="AK151"/>
      <c r="AL151"/>
      <c r="FO151" s="288"/>
      <c r="FQ151" s="289"/>
      <c r="FR151" s="288"/>
      <c r="FS151" s="290"/>
      <c r="FT151" s="291"/>
      <c r="FU151" s="288"/>
      <c r="FV151" s="290"/>
      <c r="FW151" s="291"/>
      <c r="FX151" s="288"/>
      <c r="FY151" s="290"/>
      <c r="FZ151" s="291"/>
      <c r="GA151" s="292"/>
      <c r="GB151" s="291"/>
      <c r="GC151" s="291"/>
      <c r="GD151" s="292"/>
      <c r="GE151" s="291"/>
      <c r="GF151" s="284"/>
      <c r="GG151" s="233"/>
    </row>
    <row r="152" spans="2:189">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FO152" s="288"/>
      <c r="FQ152" s="289"/>
      <c r="FR152" s="288"/>
      <c r="FS152" s="290"/>
      <c r="FT152" s="291"/>
      <c r="FU152" s="288"/>
      <c r="FV152" s="290"/>
      <c r="FW152" s="291"/>
      <c r="FX152" s="288"/>
      <c r="FY152" s="290"/>
      <c r="FZ152" s="291"/>
      <c r="GA152" s="292"/>
      <c r="GB152" s="291"/>
      <c r="GC152" s="291"/>
      <c r="GD152" s="292"/>
      <c r="GE152" s="291"/>
      <c r="GF152" s="284"/>
      <c r="GG152" s="233"/>
    </row>
    <row r="153" spans="2:189">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FO153" s="288"/>
      <c r="FQ153" s="289"/>
      <c r="FR153" s="288"/>
      <c r="FS153" s="290"/>
      <c r="FT153" s="291"/>
      <c r="FU153" s="288"/>
      <c r="FV153" s="290"/>
      <c r="FW153" s="291"/>
      <c r="FX153" s="288"/>
      <c r="FY153" s="290"/>
      <c r="FZ153" s="291"/>
      <c r="GA153" s="292"/>
      <c r="GB153" s="291"/>
      <c r="GC153" s="291"/>
      <c r="GD153" s="292"/>
      <c r="GE153" s="291"/>
      <c r="GF153" s="284"/>
      <c r="GG153" s="233"/>
    </row>
    <row r="154" spans="2:189">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FO154" s="288"/>
      <c r="FQ154" s="289"/>
      <c r="FR154" s="288"/>
      <c r="FS154" s="290"/>
      <c r="FT154" s="291"/>
      <c r="FU154" s="288"/>
      <c r="FV154" s="290"/>
      <c r="FW154" s="291"/>
      <c r="FX154" s="288"/>
      <c r="FY154" s="290"/>
      <c r="FZ154" s="291"/>
      <c r="GA154" s="292"/>
      <c r="GB154" s="291"/>
      <c r="GC154" s="291"/>
      <c r="GD154" s="292"/>
      <c r="GE154" s="291"/>
      <c r="GF154" s="284"/>
      <c r="GG154" s="233"/>
    </row>
    <row r="155" spans="2:189">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FO155" s="288"/>
      <c r="FQ155" s="289"/>
      <c r="FR155" s="288"/>
      <c r="FS155" s="290"/>
      <c r="FT155" s="291"/>
      <c r="FU155" s="288"/>
      <c r="FV155" s="290"/>
      <c r="FW155" s="291"/>
      <c r="FX155" s="288"/>
      <c r="FY155" s="290"/>
      <c r="FZ155" s="291"/>
      <c r="GA155" s="292"/>
      <c r="GB155" s="291"/>
      <c r="GC155" s="291"/>
      <c r="GD155" s="292"/>
      <c r="GE155" s="291"/>
      <c r="GF155" s="284"/>
      <c r="GG155" s="233"/>
    </row>
    <row r="156" spans="2:189">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FO156" s="288"/>
      <c r="FQ156" s="289"/>
      <c r="FR156" s="288"/>
      <c r="FS156" s="290"/>
      <c r="FT156" s="291"/>
      <c r="FU156" s="288"/>
      <c r="FV156" s="290"/>
      <c r="FW156" s="291"/>
      <c r="FX156" s="288"/>
      <c r="FY156" s="290"/>
      <c r="FZ156" s="291"/>
      <c r="GA156" s="292"/>
      <c r="GB156" s="291"/>
      <c r="GC156" s="291"/>
      <c r="GD156" s="292"/>
      <c r="GE156" s="291"/>
      <c r="GF156" s="284"/>
      <c r="GG156" s="233"/>
    </row>
    <row r="157" spans="2:189">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FO157" s="288"/>
      <c r="FQ157" s="289"/>
      <c r="FR157" s="288"/>
      <c r="FS157" s="290"/>
      <c r="FT157" s="291"/>
      <c r="FU157" s="288"/>
      <c r="FV157" s="290"/>
      <c r="FW157" s="291"/>
      <c r="FX157" s="288"/>
      <c r="FY157" s="290"/>
      <c r="FZ157" s="291"/>
      <c r="GA157" s="292"/>
      <c r="GB157" s="291"/>
      <c r="GC157" s="291"/>
      <c r="GD157" s="292"/>
      <c r="GE157" s="291"/>
      <c r="GF157" s="284"/>
      <c r="GG157" s="233"/>
    </row>
    <row r="158" spans="2:189">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FO158" s="288"/>
      <c r="FQ158" s="289"/>
      <c r="FR158" s="288"/>
      <c r="FS158" s="290"/>
      <c r="FT158" s="291"/>
      <c r="FU158" s="288"/>
      <c r="FV158" s="290"/>
      <c r="FW158" s="291"/>
      <c r="FX158" s="288"/>
      <c r="FY158" s="290"/>
      <c r="FZ158" s="291"/>
      <c r="GA158" s="292"/>
      <c r="GB158" s="291"/>
      <c r="GC158" s="291"/>
      <c r="GD158" s="292"/>
      <c r="GE158" s="291"/>
      <c r="GF158" s="284"/>
      <c r="GG158" s="233"/>
    </row>
    <row r="159" spans="2:18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FO159" s="288"/>
      <c r="FQ159" s="289"/>
      <c r="FR159" s="288"/>
      <c r="FS159" s="290"/>
      <c r="FT159" s="291"/>
      <c r="FU159" s="288"/>
      <c r="FV159" s="290"/>
      <c r="FW159" s="291"/>
      <c r="FX159" s="288"/>
      <c r="FY159" s="290"/>
      <c r="FZ159" s="291"/>
      <c r="GA159" s="292"/>
      <c r="GB159" s="291"/>
      <c r="GC159" s="291"/>
      <c r="GD159" s="292"/>
      <c r="GE159" s="291"/>
      <c r="GF159" s="284"/>
      <c r="GG159" s="233"/>
    </row>
    <row r="160" spans="2:189">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FO160" s="288"/>
      <c r="FQ160" s="289"/>
      <c r="FR160" s="288"/>
      <c r="FS160" s="290"/>
      <c r="FT160" s="291"/>
      <c r="FU160" s="288"/>
      <c r="FV160" s="290"/>
      <c r="FW160" s="291"/>
      <c r="FX160" s="288"/>
      <c r="FY160" s="290"/>
      <c r="FZ160" s="291"/>
      <c r="GA160" s="292"/>
      <c r="GB160" s="291"/>
      <c r="GC160" s="291"/>
      <c r="GD160" s="292"/>
      <c r="GE160" s="291"/>
      <c r="GF160" s="284"/>
      <c r="GG160" s="233"/>
    </row>
    <row r="161" spans="2:189">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FO161" s="288"/>
      <c r="FQ161" s="289"/>
      <c r="FR161" s="288"/>
      <c r="FS161" s="290"/>
      <c r="FT161" s="291"/>
      <c r="FU161" s="288"/>
      <c r="FV161" s="290"/>
      <c r="FW161" s="291"/>
      <c r="FX161" s="288"/>
      <c r="FY161" s="290"/>
      <c r="FZ161" s="291"/>
      <c r="GA161" s="292"/>
      <c r="GB161" s="291"/>
      <c r="GC161" s="291"/>
      <c r="GD161" s="292"/>
      <c r="GE161" s="291"/>
      <c r="GF161" s="284"/>
      <c r="GG161" s="233"/>
    </row>
    <row r="162" spans="2:189">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FO162" s="288"/>
      <c r="FQ162" s="289"/>
      <c r="FR162" s="288"/>
      <c r="FS162" s="290"/>
      <c r="FT162" s="291"/>
      <c r="FU162" s="288"/>
      <c r="FV162" s="290"/>
      <c r="FW162" s="291"/>
      <c r="FX162" s="288"/>
      <c r="FY162" s="290"/>
      <c r="FZ162" s="291"/>
      <c r="GA162" s="292"/>
      <c r="GB162" s="291"/>
      <c r="GC162" s="291"/>
      <c r="GD162" s="292"/>
      <c r="GE162" s="291"/>
      <c r="GF162" s="284"/>
      <c r="GG162" s="233"/>
    </row>
    <row r="163" spans="2:189">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FO163" s="288"/>
      <c r="FQ163" s="289"/>
      <c r="FR163" s="288"/>
      <c r="FS163" s="290"/>
      <c r="FT163" s="291"/>
      <c r="FU163" s="288"/>
      <c r="FV163" s="290"/>
      <c r="FW163" s="291"/>
      <c r="FX163" s="288"/>
      <c r="FY163" s="290"/>
      <c r="FZ163" s="291"/>
      <c r="GA163" s="292"/>
      <c r="GB163" s="291"/>
      <c r="GC163" s="291"/>
      <c r="GD163" s="292"/>
      <c r="GE163" s="291"/>
      <c r="GF163" s="284"/>
      <c r="GG163" s="233"/>
    </row>
    <row r="164" spans="2:189">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FO164" s="288"/>
      <c r="FQ164" s="289"/>
      <c r="FR164" s="288"/>
      <c r="FS164" s="290"/>
      <c r="FT164" s="291"/>
      <c r="FU164" s="288"/>
      <c r="FV164" s="290"/>
      <c r="FW164" s="291"/>
      <c r="FX164" s="288"/>
      <c r="FY164" s="290"/>
      <c r="FZ164" s="291"/>
      <c r="GA164" s="292"/>
      <c r="GB164" s="291"/>
      <c r="GC164" s="291"/>
      <c r="GD164" s="292"/>
      <c r="GE164" s="291"/>
      <c r="GF164" s="284"/>
      <c r="GG164" s="233"/>
    </row>
    <row r="165" spans="2:189">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FO165" s="288"/>
      <c r="FQ165" s="289"/>
      <c r="FR165" s="288"/>
      <c r="FS165" s="290"/>
      <c r="FT165" s="291"/>
      <c r="FU165" s="288"/>
      <c r="FV165" s="290"/>
      <c r="FW165" s="291"/>
      <c r="FX165" s="288"/>
      <c r="FY165" s="290"/>
      <c r="FZ165" s="291"/>
      <c r="GA165" s="292"/>
      <c r="GB165" s="291"/>
      <c r="GC165" s="291"/>
      <c r="GD165" s="292"/>
      <c r="GE165" s="291"/>
      <c r="GF165" s="284"/>
      <c r="GG165" s="233"/>
    </row>
    <row r="166" spans="2:189">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FO166" s="288"/>
      <c r="FQ166" s="289"/>
      <c r="FR166" s="288"/>
      <c r="FS166" s="290"/>
      <c r="FT166" s="291"/>
      <c r="FU166" s="288"/>
      <c r="FV166" s="290"/>
      <c r="FW166" s="291"/>
      <c r="FX166" s="288"/>
      <c r="FY166" s="290"/>
      <c r="FZ166" s="291"/>
      <c r="GA166" s="292"/>
      <c r="GB166" s="291"/>
      <c r="GC166" s="291"/>
      <c r="GD166" s="292"/>
      <c r="GE166" s="291"/>
      <c r="GF166" s="284"/>
      <c r="GG166" s="233"/>
    </row>
    <row r="167" spans="2:189">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FO167" s="288"/>
      <c r="FQ167" s="289"/>
      <c r="FR167" s="288"/>
      <c r="FS167" s="290"/>
      <c r="FT167" s="291"/>
      <c r="FU167" s="288"/>
      <c r="FV167" s="290"/>
      <c r="FW167" s="291"/>
      <c r="FX167" s="288"/>
      <c r="FY167" s="290"/>
      <c r="FZ167" s="291"/>
      <c r="GA167" s="292"/>
      <c r="GB167" s="291"/>
      <c r="GC167" s="291"/>
      <c r="GD167" s="292"/>
      <c r="GE167" s="291"/>
      <c r="GF167" s="284"/>
      <c r="GG167" s="233"/>
    </row>
    <row r="168" spans="2:189">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FO168" s="288"/>
      <c r="FQ168" s="289"/>
      <c r="FR168" s="288"/>
      <c r="FS168" s="290"/>
      <c r="FT168" s="291"/>
      <c r="FU168" s="288"/>
      <c r="FV168" s="290"/>
      <c r="FW168" s="291"/>
      <c r="FX168" s="288"/>
      <c r="FY168" s="290"/>
      <c r="FZ168" s="291"/>
      <c r="GA168" s="292"/>
      <c r="GB168" s="291"/>
      <c r="GC168" s="291"/>
      <c r="GD168" s="292"/>
      <c r="GE168" s="291"/>
      <c r="GF168" s="284"/>
      <c r="GG168" s="233"/>
    </row>
    <row r="169" spans="2:18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FO169" s="288"/>
      <c r="FQ169" s="289"/>
      <c r="FR169" s="288"/>
      <c r="FS169" s="290"/>
      <c r="FT169" s="291"/>
      <c r="FU169" s="288"/>
      <c r="FV169" s="290"/>
      <c r="FW169" s="291"/>
      <c r="FX169" s="288"/>
      <c r="FY169" s="290"/>
      <c r="FZ169" s="291"/>
      <c r="GA169" s="292"/>
      <c r="GB169" s="291"/>
      <c r="GC169" s="291"/>
      <c r="GD169" s="292"/>
      <c r="GE169" s="291"/>
      <c r="GF169" s="284"/>
      <c r="GG169" s="233"/>
    </row>
    <row r="170" spans="2:189">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FO170" s="288"/>
      <c r="FQ170" s="289"/>
      <c r="FR170" s="288"/>
      <c r="FS170" s="290"/>
      <c r="FT170" s="291"/>
      <c r="FU170" s="288"/>
      <c r="FV170" s="290"/>
      <c r="FW170" s="291"/>
      <c r="FX170" s="288"/>
      <c r="FY170" s="290"/>
      <c r="FZ170" s="291"/>
      <c r="GA170" s="292"/>
      <c r="GB170" s="291"/>
      <c r="GC170" s="291"/>
      <c r="GD170" s="292"/>
      <c r="GE170" s="291"/>
      <c r="GF170" s="284"/>
      <c r="GG170" s="233"/>
    </row>
    <row r="171" spans="2:189">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FO171" s="288"/>
      <c r="FQ171" s="289"/>
      <c r="FR171" s="288"/>
      <c r="FS171" s="290"/>
      <c r="FT171" s="291"/>
      <c r="FU171" s="288"/>
      <c r="FV171" s="290"/>
      <c r="FW171" s="291"/>
      <c r="FX171" s="288"/>
      <c r="FY171" s="290"/>
      <c r="FZ171" s="291"/>
      <c r="GA171" s="292"/>
      <c r="GB171" s="291"/>
      <c r="GC171" s="291"/>
      <c r="GD171" s="292"/>
      <c r="GE171" s="291"/>
      <c r="GF171" s="284"/>
      <c r="GG171" s="233"/>
    </row>
    <row r="172" spans="2:189">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FO172" s="288"/>
      <c r="FQ172" s="289"/>
      <c r="FR172" s="288"/>
      <c r="FS172" s="290"/>
      <c r="FT172" s="291"/>
      <c r="FU172" s="288"/>
      <c r="FV172" s="290"/>
      <c r="FW172" s="291"/>
      <c r="FX172" s="288"/>
      <c r="FY172" s="290"/>
      <c r="FZ172" s="291"/>
      <c r="GA172" s="292"/>
      <c r="GB172" s="291"/>
      <c r="GC172" s="291"/>
      <c r="GD172" s="292"/>
      <c r="GE172" s="291"/>
      <c r="GF172" s="284"/>
      <c r="GG172" s="233"/>
    </row>
    <row r="173" spans="2:189">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FO173" s="288"/>
      <c r="FQ173" s="289"/>
      <c r="FR173" s="288"/>
      <c r="FS173" s="290"/>
      <c r="FT173" s="291"/>
      <c r="FU173" s="288"/>
      <c r="FV173" s="290"/>
      <c r="FW173" s="291"/>
      <c r="FX173" s="288"/>
      <c r="FY173" s="290"/>
      <c r="FZ173" s="291"/>
      <c r="GA173" s="292"/>
      <c r="GB173" s="291"/>
      <c r="GC173" s="291"/>
      <c r="GD173" s="292"/>
      <c r="GE173" s="291"/>
      <c r="GF173" s="284"/>
      <c r="GG173" s="233"/>
    </row>
    <row r="174" spans="2:189">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FO174" s="288"/>
      <c r="FQ174" s="289"/>
      <c r="FR174" s="288"/>
      <c r="FS174" s="290"/>
      <c r="FT174" s="291"/>
      <c r="FU174" s="288"/>
      <c r="FV174" s="290"/>
      <c r="FW174" s="291"/>
      <c r="FX174" s="288"/>
      <c r="FY174" s="290"/>
      <c r="FZ174" s="291"/>
      <c r="GA174" s="292"/>
      <c r="GB174" s="291"/>
      <c r="GC174" s="291"/>
      <c r="GD174" s="292"/>
      <c r="GE174" s="291"/>
      <c r="GF174" s="284"/>
      <c r="GG174" s="233"/>
    </row>
    <row r="175" spans="2:189">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FO175" s="288"/>
      <c r="FQ175" s="289"/>
      <c r="FR175" s="288"/>
      <c r="FS175" s="290"/>
      <c r="FT175" s="291"/>
      <c r="FU175" s="288"/>
      <c r="FV175" s="290"/>
      <c r="FW175" s="291"/>
      <c r="FX175" s="288"/>
      <c r="FY175" s="290"/>
      <c r="FZ175" s="291"/>
      <c r="GA175" s="292"/>
      <c r="GB175" s="291"/>
      <c r="GC175" s="291"/>
      <c r="GD175" s="292"/>
      <c r="GE175" s="291"/>
      <c r="GF175" s="284"/>
      <c r="GG175" s="233"/>
    </row>
    <row r="176" spans="2:189">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FO176" s="288"/>
      <c r="FQ176" s="289"/>
      <c r="FR176" s="288"/>
      <c r="FS176" s="290"/>
      <c r="FT176" s="291"/>
      <c r="FU176" s="288"/>
      <c r="FV176" s="290"/>
      <c r="FW176" s="291"/>
      <c r="FX176" s="288"/>
      <c r="FY176" s="290"/>
      <c r="FZ176" s="291"/>
      <c r="GA176" s="292"/>
      <c r="GB176" s="291"/>
      <c r="GC176" s="291"/>
      <c r="GD176" s="292"/>
      <c r="GE176" s="291"/>
      <c r="GF176" s="284"/>
      <c r="GG176" s="233"/>
    </row>
    <row r="177" spans="2:189">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FO177" s="288"/>
      <c r="FQ177" s="289"/>
      <c r="FR177" s="288"/>
      <c r="FS177" s="290"/>
      <c r="FT177" s="291"/>
      <c r="FU177" s="288"/>
      <c r="FV177" s="290"/>
      <c r="FW177" s="291"/>
      <c r="FX177" s="288"/>
      <c r="FY177" s="290"/>
      <c r="FZ177" s="291"/>
      <c r="GA177" s="292"/>
      <c r="GB177" s="291"/>
      <c r="GC177" s="291"/>
      <c r="GD177" s="292"/>
      <c r="GE177" s="291"/>
      <c r="GF177" s="284"/>
      <c r="GG177" s="233"/>
    </row>
    <row r="178" spans="2:189">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FO178" s="288"/>
      <c r="FQ178" s="289"/>
      <c r="FR178" s="288"/>
      <c r="FS178" s="290"/>
      <c r="FT178" s="291"/>
      <c r="FU178" s="288"/>
      <c r="FV178" s="290"/>
      <c r="FW178" s="291"/>
      <c r="FX178" s="288"/>
      <c r="FY178" s="290"/>
      <c r="FZ178" s="291"/>
      <c r="GA178" s="292"/>
      <c r="GB178" s="291"/>
      <c r="GC178" s="291"/>
      <c r="GD178" s="292"/>
      <c r="GE178" s="291"/>
      <c r="GF178" s="284"/>
      <c r="GG178" s="233"/>
    </row>
    <row r="179" spans="2:18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FO179" s="288"/>
      <c r="FQ179" s="289"/>
      <c r="FR179" s="288"/>
      <c r="FS179" s="290"/>
      <c r="FT179" s="291"/>
      <c r="FU179" s="288"/>
      <c r="FV179" s="290"/>
      <c r="FW179" s="291"/>
      <c r="FX179" s="288"/>
      <c r="FY179" s="290"/>
      <c r="FZ179" s="291"/>
      <c r="GA179" s="292"/>
      <c r="GB179" s="291"/>
      <c r="GC179" s="291"/>
      <c r="GD179" s="292"/>
      <c r="GE179" s="291"/>
      <c r="GF179" s="284"/>
      <c r="GG179" s="233"/>
    </row>
    <row r="180" spans="2:189">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FO180" s="288"/>
      <c r="FQ180" s="289"/>
      <c r="FR180" s="288"/>
      <c r="FS180" s="290"/>
      <c r="FT180" s="291"/>
      <c r="FU180" s="288"/>
      <c r="FV180" s="290"/>
      <c r="FW180" s="291"/>
      <c r="FX180" s="288"/>
      <c r="FY180" s="290"/>
      <c r="FZ180" s="291"/>
      <c r="GA180" s="292"/>
      <c r="GB180" s="291"/>
      <c r="GC180" s="291"/>
      <c r="GD180" s="292"/>
      <c r="GE180" s="291"/>
      <c r="GF180" s="284"/>
      <c r="GG180" s="233"/>
    </row>
    <row r="181" spans="2:189">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FO181" s="288"/>
      <c r="FQ181" s="289"/>
      <c r="FR181" s="288"/>
      <c r="FS181" s="290"/>
      <c r="FT181" s="291"/>
      <c r="FU181" s="288"/>
      <c r="FV181" s="290"/>
      <c r="FW181" s="291"/>
      <c r="FX181" s="288"/>
      <c r="FY181" s="290"/>
      <c r="FZ181" s="291"/>
      <c r="GA181" s="292"/>
      <c r="GB181" s="291"/>
      <c r="GC181" s="291"/>
      <c r="GD181" s="292"/>
      <c r="GE181" s="291"/>
      <c r="GF181" s="284"/>
      <c r="GG181" s="233"/>
    </row>
    <row r="182" spans="2:189">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FO182" s="288"/>
      <c r="FQ182" s="289"/>
      <c r="FR182" s="288"/>
      <c r="FS182" s="290"/>
      <c r="FT182" s="291"/>
      <c r="FU182" s="288"/>
      <c r="FV182" s="290"/>
      <c r="FW182" s="291"/>
      <c r="FX182" s="288"/>
      <c r="FY182" s="290"/>
      <c r="FZ182" s="291"/>
      <c r="GA182" s="292"/>
      <c r="GB182" s="291"/>
      <c r="GC182" s="291"/>
      <c r="GD182" s="292"/>
      <c r="GE182" s="291"/>
      <c r="GF182" s="284"/>
      <c r="GG182" s="233"/>
    </row>
    <row r="183" spans="2:189">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FO183" s="288"/>
      <c r="FQ183" s="289"/>
      <c r="FR183" s="288"/>
      <c r="FS183" s="290"/>
      <c r="FT183" s="291"/>
      <c r="FU183" s="288"/>
      <c r="FV183" s="290"/>
      <c r="FW183" s="291"/>
      <c r="FX183" s="288"/>
      <c r="FY183" s="290"/>
      <c r="FZ183" s="291"/>
      <c r="GA183" s="292"/>
      <c r="GB183" s="291"/>
      <c r="GC183" s="291"/>
      <c r="GD183" s="292"/>
      <c r="GE183" s="291"/>
      <c r="GF183" s="284"/>
      <c r="GG183" s="233"/>
    </row>
    <row r="184" spans="2:189">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FO184" s="288"/>
      <c r="FQ184" s="289"/>
      <c r="FR184" s="288"/>
      <c r="FS184" s="290"/>
      <c r="FT184" s="291"/>
      <c r="FU184" s="288"/>
      <c r="FV184" s="290"/>
      <c r="FW184" s="291"/>
      <c r="FX184" s="288"/>
      <c r="FY184" s="290"/>
      <c r="FZ184" s="291"/>
      <c r="GA184" s="292"/>
      <c r="GB184" s="291"/>
      <c r="GC184" s="291"/>
      <c r="GD184" s="292"/>
      <c r="GE184" s="291"/>
      <c r="GF184" s="284"/>
      <c r="GG184" s="233"/>
    </row>
    <row r="185" spans="2:189">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FO185" s="288"/>
      <c r="FQ185" s="289"/>
      <c r="FR185" s="288"/>
      <c r="FS185" s="290"/>
      <c r="FT185" s="291"/>
      <c r="FU185" s="288"/>
      <c r="FV185" s="290"/>
      <c r="FW185" s="291"/>
      <c r="FX185" s="288"/>
      <c r="FY185" s="290"/>
      <c r="FZ185" s="291"/>
      <c r="GA185" s="292"/>
      <c r="GB185" s="291"/>
      <c r="GC185" s="291"/>
      <c r="GD185" s="292"/>
      <c r="GE185" s="291"/>
      <c r="GF185" s="284"/>
      <c r="GG185" s="233"/>
    </row>
    <row r="186" spans="2:189">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FS186" s="188"/>
      <c r="FT186" s="189"/>
      <c r="FV186" s="188"/>
      <c r="FW186" s="189"/>
      <c r="FY186" s="188"/>
      <c r="FZ186" s="189"/>
      <c r="GB186" s="189"/>
      <c r="GC186" s="189"/>
      <c r="GE186" s="189"/>
      <c r="GF186" s="158"/>
      <c r="GG186" s="233"/>
    </row>
    <row r="187" spans="2:189">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FS187" s="188"/>
      <c r="FT187" s="189"/>
      <c r="FV187" s="188"/>
      <c r="FW187" s="189"/>
      <c r="FY187" s="188"/>
      <c r="FZ187" s="189"/>
      <c r="GB187" s="189"/>
      <c r="GC187" s="189"/>
      <c r="GE187" s="189"/>
      <c r="GF187" s="158"/>
      <c r="GG187" s="233"/>
    </row>
    <row r="188" spans="2:189">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FS188" s="188"/>
      <c r="FT188" s="189"/>
      <c r="FV188" s="188"/>
      <c r="FW188" s="189"/>
      <c r="FY188" s="188"/>
      <c r="FZ188" s="189"/>
      <c r="GB188" s="189"/>
      <c r="GC188" s="189"/>
      <c r="GE188" s="189"/>
      <c r="GF188" s="158"/>
      <c r="GG188" s="233"/>
    </row>
    <row r="189" spans="2: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FS189" s="188"/>
      <c r="FT189" s="189"/>
      <c r="FV189" s="188"/>
      <c r="FW189" s="189"/>
      <c r="FY189" s="188"/>
      <c r="FZ189" s="189"/>
      <c r="GB189" s="189"/>
      <c r="GC189" s="189"/>
      <c r="GE189" s="189"/>
      <c r="GF189" s="158"/>
      <c r="GG189" s="233"/>
    </row>
    <row r="190" spans="2:189">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FS190" s="188"/>
      <c r="FT190" s="189"/>
      <c r="FV190" s="188"/>
      <c r="FW190" s="189"/>
      <c r="FY190" s="188"/>
      <c r="FZ190" s="189"/>
      <c r="GB190" s="189"/>
      <c r="GC190" s="189"/>
      <c r="GE190" s="189"/>
      <c r="GF190" s="158"/>
      <c r="GG190" s="233"/>
    </row>
    <row r="191" spans="2:189">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FS191" s="188"/>
      <c r="FT191" s="189"/>
      <c r="FV191" s="188"/>
      <c r="FW191" s="189"/>
      <c r="FY191" s="188"/>
      <c r="FZ191" s="189"/>
      <c r="GB191" s="189"/>
      <c r="GC191" s="189"/>
      <c r="GE191" s="189"/>
      <c r="GF191" s="158"/>
      <c r="GG191" s="233"/>
    </row>
    <row r="192" spans="2:189">
      <c r="B192"/>
      <c r="C192"/>
      <c r="D192"/>
      <c r="E192"/>
      <c r="F192"/>
      <c r="G192"/>
      <c r="H192"/>
      <c r="I192"/>
      <c r="J192"/>
      <c r="K192"/>
      <c r="L192"/>
      <c r="M192"/>
      <c r="N192"/>
      <c r="O192"/>
      <c r="P192"/>
      <c r="Q192"/>
      <c r="R192"/>
      <c r="S192"/>
      <c r="T192"/>
      <c r="U192"/>
    </row>
    <row r="193" spans="2:21">
      <c r="B193"/>
      <c r="C193"/>
      <c r="D193"/>
      <c r="E193"/>
      <c r="F193"/>
      <c r="G193"/>
      <c r="H193"/>
      <c r="I193"/>
      <c r="J193"/>
      <c r="K193"/>
      <c r="L193"/>
      <c r="M193"/>
      <c r="N193"/>
      <c r="O193"/>
      <c r="P193"/>
      <c r="Q193"/>
      <c r="R193"/>
      <c r="S193"/>
      <c r="T193"/>
      <c r="U193"/>
    </row>
    <row r="194" spans="2:21">
      <c r="B194"/>
      <c r="C194"/>
      <c r="D194"/>
      <c r="E194"/>
      <c r="F194"/>
      <c r="G194"/>
      <c r="H194"/>
      <c r="I194"/>
      <c r="J194"/>
      <c r="K194"/>
      <c r="L194"/>
      <c r="M194"/>
      <c r="N194"/>
      <c r="O194"/>
      <c r="P194"/>
      <c r="Q194"/>
      <c r="R194"/>
      <c r="S194"/>
      <c r="T194"/>
      <c r="U194"/>
    </row>
  </sheetData>
  <sheetProtection algorithmName="SHA-512" hashValue="mzNtOibeMYdWRkHfK/LJpzzIBi/w3Q4Kbnr2ByeZHPIijL338BqIu8gFGl2mCAIJFdVB/FNmkrTGtY8m+1If8g==" saltValue="JHtSvHp54e5ICiH2Kli+SA==" spinCount="100000" sheet="1" objects="1" scenarios="1" autoFilter="0"/>
  <autoFilter ref="FO7:GF48" xr:uid="{00000000-0001-0000-0E00-000000000000}">
    <filterColumn colId="0">
      <customFilters>
        <customFilter operator="notEqual" val="0"/>
      </customFilters>
    </filterColumn>
  </autoFilter>
  <mergeCells count="164">
    <mergeCell ref="J7:M7"/>
    <mergeCell ref="N7:Q7"/>
    <mergeCell ref="R7:U7"/>
    <mergeCell ref="V7:Y7"/>
    <mergeCell ref="Z7:AC7"/>
    <mergeCell ref="AD7:AG7"/>
    <mergeCell ref="AH7:AK7"/>
    <mergeCell ref="AL7:AO7"/>
    <mergeCell ref="AP7:AS7"/>
    <mergeCell ref="AT7:AW7"/>
    <mergeCell ref="AX7:BA7"/>
    <mergeCell ref="FB7:FE7"/>
    <mergeCell ref="FB8:FE8"/>
    <mergeCell ref="FF5:FI5"/>
    <mergeCell ref="FF7:FI7"/>
    <mergeCell ref="FF8:FI8"/>
    <mergeCell ref="DR7:DU7"/>
    <mergeCell ref="DV7:DY7"/>
    <mergeCell ref="BZ7:CC7"/>
    <mergeCell ref="CD7:CG7"/>
    <mergeCell ref="CH7:CK7"/>
    <mergeCell ref="CL7:CO7"/>
    <mergeCell ref="CP7:CS7"/>
    <mergeCell ref="CT7:CW7"/>
    <mergeCell ref="BB7:BE7"/>
    <mergeCell ref="BF7:BI7"/>
    <mergeCell ref="BJ7:BM7"/>
    <mergeCell ref="BN7:BQ7"/>
    <mergeCell ref="BR7:BU7"/>
    <mergeCell ref="BV7:BY7"/>
    <mergeCell ref="CH8:CK8"/>
    <mergeCell ref="CL8:CO8"/>
    <mergeCell ref="CP8:CS8"/>
    <mergeCell ref="AD8:AG8"/>
    <mergeCell ref="AH8:AK8"/>
    <mergeCell ref="AL8:AO8"/>
    <mergeCell ref="AP8:AS8"/>
    <mergeCell ref="AT8:AW8"/>
    <mergeCell ref="AX8:BA8"/>
    <mergeCell ref="FZ5:GB5"/>
    <mergeCell ref="GC5:GE5"/>
    <mergeCell ref="J8:M8"/>
    <mergeCell ref="N8:Q8"/>
    <mergeCell ref="R8:U8"/>
    <mergeCell ref="V8:Y8"/>
    <mergeCell ref="Z8:AC8"/>
    <mergeCell ref="DZ7:EC7"/>
    <mergeCell ref="ED7:EG7"/>
    <mergeCell ref="EH7:EK7"/>
    <mergeCell ref="CX7:DA7"/>
    <mergeCell ref="EL7:EO7"/>
    <mergeCell ref="EP7:ES7"/>
    <mergeCell ref="ET7:EW7"/>
    <mergeCell ref="DB7:DE7"/>
    <mergeCell ref="DF7:DI7"/>
    <mergeCell ref="DJ7:DM7"/>
    <mergeCell ref="DN7:DQ7"/>
    <mergeCell ref="CT8:CW8"/>
    <mergeCell ref="BB8:BE8"/>
    <mergeCell ref="BF8:BI8"/>
    <mergeCell ref="BJ8:BM8"/>
    <mergeCell ref="BN8:BQ8"/>
    <mergeCell ref="BR8:BU8"/>
    <mergeCell ref="BV8:BY8"/>
    <mergeCell ref="ET8:EW8"/>
    <mergeCell ref="J5:M5"/>
    <mergeCell ref="N5:Q5"/>
    <mergeCell ref="R5:U5"/>
    <mergeCell ref="V5:Y5"/>
    <mergeCell ref="Z5:AC5"/>
    <mergeCell ref="AD5:AG5"/>
    <mergeCell ref="AH5:AK5"/>
    <mergeCell ref="AL5:AO5"/>
    <mergeCell ref="AP5:AS5"/>
    <mergeCell ref="DV8:DY8"/>
    <mergeCell ref="DZ8:EC8"/>
    <mergeCell ref="ED8:EG8"/>
    <mergeCell ref="EH8:EK8"/>
    <mergeCell ref="EL8:EO8"/>
    <mergeCell ref="EP8:ES8"/>
    <mergeCell ref="CX8:DA8"/>
    <mergeCell ref="DB8:DE8"/>
    <mergeCell ref="DF8:DI8"/>
    <mergeCell ref="DJ8:DM8"/>
    <mergeCell ref="DN8:DQ8"/>
    <mergeCell ref="DR8:DU8"/>
    <mergeCell ref="BZ8:CC8"/>
    <mergeCell ref="CD8:CG8"/>
    <mergeCell ref="J1:M1"/>
    <mergeCell ref="N1:Q1"/>
    <mergeCell ref="R1:U1"/>
    <mergeCell ref="V1:Y1"/>
    <mergeCell ref="Z1:AC1"/>
    <mergeCell ref="AD1:AG1"/>
    <mergeCell ref="AH1:AK1"/>
    <mergeCell ref="DN5:DQ5"/>
    <mergeCell ref="DR5:DU5"/>
    <mergeCell ref="CP5:CS5"/>
    <mergeCell ref="CT5:CW5"/>
    <mergeCell ref="CX5:DA5"/>
    <mergeCell ref="DB5:DE5"/>
    <mergeCell ref="DF5:DI5"/>
    <mergeCell ref="DJ5:DM5"/>
    <mergeCell ref="BR5:BU5"/>
    <mergeCell ref="BV5:BY5"/>
    <mergeCell ref="AT5:AW5"/>
    <mergeCell ref="AX5:BA5"/>
    <mergeCell ref="BB5:BE5"/>
    <mergeCell ref="AL1:AO1"/>
    <mergeCell ref="AP1:AS1"/>
    <mergeCell ref="AT1:AW1"/>
    <mergeCell ref="AX1:BA1"/>
    <mergeCell ref="BB1:BE1"/>
    <mergeCell ref="BF1:BI1"/>
    <mergeCell ref="EL5:EO5"/>
    <mergeCell ref="EP5:ES5"/>
    <mergeCell ref="ET5:EW5"/>
    <mergeCell ref="DV5:DY5"/>
    <mergeCell ref="DZ5:EC5"/>
    <mergeCell ref="ED5:EG5"/>
    <mergeCell ref="EH5:EK5"/>
    <mergeCell ref="BF5:BI5"/>
    <mergeCell ref="BJ5:BM5"/>
    <mergeCell ref="BN5:BQ5"/>
    <mergeCell ref="BZ5:CC5"/>
    <mergeCell ref="CD5:CG5"/>
    <mergeCell ref="CH5:CK5"/>
    <mergeCell ref="CL5:CO5"/>
    <mergeCell ref="CP1:CS1"/>
    <mergeCell ref="CT1:CW1"/>
    <mergeCell ref="CX1:DA1"/>
    <mergeCell ref="DB1:DE1"/>
    <mergeCell ref="BJ1:BM1"/>
    <mergeCell ref="BN1:BQ1"/>
    <mergeCell ref="BR1:BU1"/>
    <mergeCell ref="BV1:BY1"/>
    <mergeCell ref="BZ1:CC1"/>
    <mergeCell ref="CD1:CG1"/>
    <mergeCell ref="CH1:CK1"/>
    <mergeCell ref="CL1:CO1"/>
    <mergeCell ref="FZ1:GB1"/>
    <mergeCell ref="GC1:GE1"/>
    <mergeCell ref="ED1:EG1"/>
    <mergeCell ref="EH1:EK1"/>
    <mergeCell ref="EL1:EO1"/>
    <mergeCell ref="EP1:ES1"/>
    <mergeCell ref="ET1:EW1"/>
    <mergeCell ref="FQ1:FS1"/>
    <mergeCell ref="DF1:DI1"/>
    <mergeCell ref="DJ1:DM1"/>
    <mergeCell ref="DN1:DQ1"/>
    <mergeCell ref="DR1:DU1"/>
    <mergeCell ref="DV1:DY1"/>
    <mergeCell ref="DZ1:EC1"/>
    <mergeCell ref="EX7:FA7"/>
    <mergeCell ref="EX8:FA8"/>
    <mergeCell ref="EX1:FA1"/>
    <mergeCell ref="EX5:FA5"/>
    <mergeCell ref="FT1:FV1"/>
    <mergeCell ref="FW1:FY1"/>
    <mergeCell ref="FQ5:FS5"/>
    <mergeCell ref="FT5:FV5"/>
    <mergeCell ref="FW5:FY5"/>
    <mergeCell ref="FB5:FE5"/>
  </mergeCells>
  <conditionalFormatting sqref="GF10:GF48">
    <cfRule type="colorScale" priority="1">
      <colorScale>
        <cfvo type="num" val="0"/>
        <cfvo type="num" val="1"/>
        <color rgb="FFFF0000"/>
        <color rgb="FF92D050"/>
      </colorScale>
    </cfRule>
  </conditionalFormatting>
  <pageMargins left="0.7" right="0.7" top="0.75" bottom="0.75" header="0.3" footer="0.3"/>
  <pageSetup paperSize="9" orientation="portrait" r:id="rId2"/>
  <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66" filterMode="1">
    <tabColor theme="8" tint="0.39997558519241921"/>
    <pageSetUpPr fitToPage="1"/>
  </sheetPr>
  <dimension ref="A1:BO372"/>
  <sheetViews>
    <sheetView showGridLines="0" zoomScale="90" zoomScaleNormal="90" workbookViewId="0">
      <pane ySplit="1" topLeftCell="A2" activePane="bottomLeft" state="frozen"/>
      <selection activeCell="D90" sqref="D90"/>
      <selection pane="bottomLeft" activeCell="BH1" sqref="BH1:BH1048576"/>
    </sheetView>
  </sheetViews>
  <sheetFormatPr baseColWidth="10" defaultColWidth="9.109375" defaultRowHeight="14.4"/>
  <cols>
    <col min="1" max="1" width="5.44140625" style="23" customWidth="1"/>
    <col min="2" max="2" width="46" style="26" bestFit="1" customWidth="1"/>
    <col min="3" max="3" width="10.5546875" style="24" customWidth="1"/>
    <col min="4" max="6" width="9" style="24" hidden="1" customWidth="1"/>
    <col min="7" max="7" width="11.44140625" style="24" customWidth="1"/>
    <col min="8" max="10" width="8.109375" style="24" hidden="1" customWidth="1"/>
    <col min="11" max="11" width="11.44140625" style="24" bestFit="1" customWidth="1"/>
    <col min="12" max="14" width="8.109375" style="24" hidden="1" customWidth="1"/>
    <col min="15" max="15" width="11.44140625" style="24" bestFit="1" customWidth="1"/>
    <col min="16" max="17" width="8.109375" style="24" hidden="1" customWidth="1"/>
    <col min="18" max="18" width="9.5546875" style="24" hidden="1" customWidth="1"/>
    <col min="19" max="19" width="11.44140625" style="24" customWidth="1"/>
    <col min="20" max="21" width="8.109375" style="24" hidden="1" customWidth="1"/>
    <col min="22" max="22" width="9.5546875" style="24" hidden="1" customWidth="1"/>
    <col min="23" max="23" width="11.44140625" style="24" bestFit="1" customWidth="1"/>
    <col min="24" max="24" width="9.5546875" style="24" hidden="1" customWidth="1"/>
    <col min="25" max="25" width="8.109375" style="24" hidden="1" customWidth="1"/>
    <col min="26" max="26" width="9.5546875" style="24" hidden="1" customWidth="1"/>
    <col min="27" max="27" width="11.44140625" style="24" bestFit="1" customWidth="1"/>
    <col min="28" max="30" width="8.109375" style="24" hidden="1" customWidth="1"/>
    <col min="31" max="31" width="11.44140625" style="24" bestFit="1" customWidth="1"/>
    <col min="32" max="34" width="8.109375" style="24" hidden="1" customWidth="1"/>
    <col min="35" max="35" width="11.44140625" style="24" bestFit="1" customWidth="1"/>
    <col min="36" max="38" width="8.109375" style="24" hidden="1" customWidth="1"/>
    <col min="39" max="39" width="11.44140625" style="24" bestFit="1" customWidth="1"/>
    <col min="40" max="42" width="8.109375" style="24" hidden="1" customWidth="1"/>
    <col min="43" max="43" width="11.44140625" style="24" bestFit="1" customWidth="1"/>
    <col min="44" max="46" width="8.109375" style="24" hidden="1" customWidth="1"/>
    <col min="47" max="47" width="11.44140625" style="24" bestFit="1" customWidth="1"/>
    <col min="48" max="50" width="8.109375" style="24" hidden="1" customWidth="1"/>
    <col min="51" max="51" width="11.44140625" style="24" bestFit="1" customWidth="1"/>
    <col min="52" max="54" width="9" style="24" hidden="1" customWidth="1"/>
    <col min="55" max="55" width="11.44140625" style="24" bestFit="1" customWidth="1"/>
    <col min="56" max="58" width="8.44140625" style="24" hidden="1" customWidth="1"/>
    <col min="59" max="59" width="11.44140625" style="1" customWidth="1"/>
    <col min="60" max="60" width="11.44140625" style="1" hidden="1" customWidth="1"/>
    <col min="61" max="61" width="9.109375" style="1" customWidth="1"/>
    <col min="62" max="67" width="9.109375" style="45" customWidth="1"/>
    <col min="68" max="16384" width="9.109375" style="1"/>
  </cols>
  <sheetData>
    <row r="1" spans="1:67" ht="70.5" customHeight="1">
      <c r="A1" s="1279"/>
      <c r="B1" s="1280"/>
      <c r="C1" s="316"/>
      <c r="D1" s="317"/>
      <c r="E1" s="317"/>
      <c r="F1" s="317"/>
      <c r="G1" s="316"/>
      <c r="H1" s="317"/>
      <c r="I1" s="317"/>
      <c r="J1" s="317"/>
      <c r="K1" s="316"/>
      <c r="L1" s="317"/>
      <c r="M1" s="317"/>
      <c r="N1" s="317"/>
      <c r="O1" s="316"/>
      <c r="P1" s="317"/>
      <c r="Q1" s="317"/>
      <c r="R1" s="317"/>
      <c r="S1" s="316"/>
      <c r="T1" s="317"/>
      <c r="U1" s="317"/>
      <c r="V1" s="317"/>
      <c r="W1" s="316"/>
      <c r="X1" s="317"/>
      <c r="Y1" s="317"/>
      <c r="Z1" s="317"/>
      <c r="AA1" s="316"/>
      <c r="AB1" s="317"/>
      <c r="AC1" s="317"/>
      <c r="AD1" s="317"/>
      <c r="AE1" s="316"/>
      <c r="AF1" s="317"/>
      <c r="AG1" s="317"/>
      <c r="AH1" s="317"/>
      <c r="AI1" s="316"/>
      <c r="AJ1" s="317"/>
      <c r="AK1" s="317"/>
      <c r="AL1" s="317"/>
      <c r="AM1" s="316"/>
      <c r="AN1" s="317"/>
      <c r="AO1" s="317"/>
      <c r="AP1" s="317"/>
      <c r="AQ1" s="316"/>
      <c r="AR1" s="317"/>
      <c r="AS1" s="317"/>
      <c r="AT1" s="317"/>
      <c r="AU1" s="316"/>
      <c r="AV1" s="317"/>
      <c r="AW1" s="317"/>
      <c r="AX1" s="317"/>
      <c r="AY1" s="316"/>
      <c r="AZ1" s="317"/>
      <c r="BA1" s="317"/>
      <c r="BB1" s="317"/>
      <c r="BC1" s="316"/>
      <c r="BD1" s="317"/>
      <c r="BE1" s="317"/>
      <c r="BF1" s="317"/>
      <c r="BG1" s="190"/>
      <c r="BI1" s="233"/>
      <c r="BJ1" s="318"/>
      <c r="BK1" s="318"/>
      <c r="BL1" s="318"/>
      <c r="BM1" s="318"/>
      <c r="BN1" s="318"/>
      <c r="BO1" s="318"/>
    </row>
    <row r="2" spans="1:67" ht="18.75" customHeight="1">
      <c r="A2" s="1281"/>
      <c r="B2" s="1282"/>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c r="BI2" s="233"/>
      <c r="BJ2" s="233"/>
      <c r="BK2" s="233"/>
      <c r="BL2" s="233"/>
      <c r="BM2" s="233"/>
      <c r="BN2" s="233"/>
      <c r="BO2" s="233"/>
    </row>
    <row r="3" spans="1:67">
      <c r="A3" s="2132" t="s">
        <v>1240</v>
      </c>
      <c r="B3" s="2132"/>
      <c r="C3" s="319" t="s">
        <v>732</v>
      </c>
      <c r="D3" s="1283" t="s">
        <v>732</v>
      </c>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25" t="s">
        <v>2</v>
      </c>
      <c r="AZ3" s="25"/>
      <c r="BA3" s="25"/>
      <c r="BB3" s="25"/>
      <c r="BC3" s="317"/>
      <c r="BD3" s="317"/>
      <c r="BE3" s="317"/>
      <c r="BF3" s="317"/>
      <c r="BG3"/>
      <c r="BI3" s="233"/>
      <c r="BJ3" s="233"/>
      <c r="BK3" s="233"/>
      <c r="BL3" s="233"/>
      <c r="BM3" s="233"/>
      <c r="BN3" s="233"/>
      <c r="BO3" s="233"/>
    </row>
    <row r="4" spans="1:67">
      <c r="A4" s="2132"/>
      <c r="B4" s="2132"/>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25" t="s">
        <v>1241</v>
      </c>
      <c r="AZ4" s="25"/>
      <c r="BA4" s="25"/>
      <c r="BB4" s="25"/>
      <c r="BC4" s="317"/>
      <c r="BD4" s="317"/>
      <c r="BE4" s="317"/>
      <c r="BF4" s="317"/>
      <c r="BG4"/>
      <c r="BI4" s="233"/>
      <c r="BJ4" s="233"/>
      <c r="BK4" s="233"/>
      <c r="BL4" s="233"/>
      <c r="BM4" s="233"/>
      <c r="BN4" s="233"/>
      <c r="BO4" s="233"/>
    </row>
    <row r="5" spans="1:67">
      <c r="A5" s="332" t="s">
        <v>1242</v>
      </c>
      <c r="B5" s="1284"/>
      <c r="C5" s="1285"/>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25" t="s">
        <v>1243</v>
      </c>
      <c r="AZ5" s="25"/>
      <c r="BA5" s="25"/>
      <c r="BB5" s="25"/>
      <c r="BC5" s="317"/>
      <c r="BD5" s="317"/>
      <c r="BE5" s="317"/>
      <c r="BF5" s="317"/>
      <c r="BG5" s="25"/>
      <c r="BI5" s="233"/>
      <c r="BJ5" s="233"/>
      <c r="BK5" s="233"/>
      <c r="BL5" s="233"/>
      <c r="BM5" s="233"/>
      <c r="BN5" s="233"/>
      <c r="BO5" s="233"/>
    </row>
    <row r="6" spans="1:67">
      <c r="A6" s="1281">
        <f>Accueil!E31</f>
        <v>0</v>
      </c>
      <c r="B6" s="1282"/>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25"/>
      <c r="BI6" s="233"/>
      <c r="BJ6" s="233"/>
      <c r="BK6" s="233"/>
      <c r="BL6" s="233"/>
      <c r="BM6" s="233"/>
      <c r="BN6" s="233"/>
      <c r="BO6" s="233"/>
    </row>
    <row r="7" spans="1:67" s="23" customFormat="1" ht="18" customHeight="1">
      <c r="A7" s="1349" t="s">
        <v>77</v>
      </c>
      <c r="B7" s="1350" t="s">
        <v>1068</v>
      </c>
      <c r="C7" s="1351">
        <v>2017</v>
      </c>
      <c r="D7" s="1350" t="s">
        <v>1244</v>
      </c>
      <c r="E7" s="1350" t="s">
        <v>1245</v>
      </c>
      <c r="F7" s="1350" t="s">
        <v>1246</v>
      </c>
      <c r="G7" s="1351">
        <v>2018</v>
      </c>
      <c r="H7" s="1350" t="s">
        <v>1244</v>
      </c>
      <c r="I7" s="1350" t="s">
        <v>1245</v>
      </c>
      <c r="J7" s="1350" t="s">
        <v>1246</v>
      </c>
      <c r="K7" s="1351">
        <v>2019</v>
      </c>
      <c r="L7" s="1350" t="s">
        <v>1244</v>
      </c>
      <c r="M7" s="1350" t="s">
        <v>1245</v>
      </c>
      <c r="N7" s="1350" t="s">
        <v>1246</v>
      </c>
      <c r="O7" s="1351">
        <v>2020</v>
      </c>
      <c r="P7" s="1350" t="s">
        <v>1244</v>
      </c>
      <c r="Q7" s="1350" t="s">
        <v>1245</v>
      </c>
      <c r="R7" s="1350" t="s">
        <v>1246</v>
      </c>
      <c r="S7" s="1351">
        <v>2021</v>
      </c>
      <c r="T7" s="1350" t="s">
        <v>1244</v>
      </c>
      <c r="U7" s="1350" t="s">
        <v>1245</v>
      </c>
      <c r="V7" s="1350" t="s">
        <v>1246</v>
      </c>
      <c r="W7" s="1351">
        <v>2022</v>
      </c>
      <c r="X7" s="1350" t="s">
        <v>1244</v>
      </c>
      <c r="Y7" s="1350" t="s">
        <v>1245</v>
      </c>
      <c r="Z7" s="1350" t="s">
        <v>1246</v>
      </c>
      <c r="AA7" s="1351">
        <v>2023</v>
      </c>
      <c r="AB7" s="1350" t="s">
        <v>1244</v>
      </c>
      <c r="AC7" s="1350" t="s">
        <v>1245</v>
      </c>
      <c r="AD7" s="1350" t="s">
        <v>1246</v>
      </c>
      <c r="AE7" s="1351">
        <v>2024</v>
      </c>
      <c r="AF7" s="1350" t="s">
        <v>1244</v>
      </c>
      <c r="AG7" s="1350" t="s">
        <v>1245</v>
      </c>
      <c r="AH7" s="1350" t="s">
        <v>1246</v>
      </c>
      <c r="AI7" s="1351">
        <v>2025</v>
      </c>
      <c r="AJ7" s="1350" t="s">
        <v>1244</v>
      </c>
      <c r="AK7" s="1350" t="s">
        <v>1245</v>
      </c>
      <c r="AL7" s="1350" t="s">
        <v>1246</v>
      </c>
      <c r="AM7" s="1351">
        <v>2026</v>
      </c>
      <c r="AN7" s="1350" t="s">
        <v>1244</v>
      </c>
      <c r="AO7" s="1350" t="s">
        <v>1245</v>
      </c>
      <c r="AP7" s="1350" t="s">
        <v>1246</v>
      </c>
      <c r="AQ7" s="1351">
        <v>2027</v>
      </c>
      <c r="AR7" s="1350" t="s">
        <v>1244</v>
      </c>
      <c r="AS7" s="1350" t="s">
        <v>1245</v>
      </c>
      <c r="AT7" s="1350" t="s">
        <v>1246</v>
      </c>
      <c r="AU7" s="1351">
        <v>2028</v>
      </c>
      <c r="AV7" s="1350" t="s">
        <v>1244</v>
      </c>
      <c r="AW7" s="1350" t="s">
        <v>1245</v>
      </c>
      <c r="AX7" s="1350" t="s">
        <v>1246</v>
      </c>
      <c r="AY7" s="1351">
        <v>2029</v>
      </c>
      <c r="AZ7" s="1350" t="s">
        <v>1244</v>
      </c>
      <c r="BA7" s="1350" t="s">
        <v>1245</v>
      </c>
      <c r="BB7" s="1350" t="s">
        <v>1246</v>
      </c>
      <c r="BC7" s="1351">
        <v>2030</v>
      </c>
      <c r="BD7" s="1350" t="s">
        <v>1244</v>
      </c>
      <c r="BE7" s="1350" t="s">
        <v>1245</v>
      </c>
      <c r="BF7" s="1350" t="s">
        <v>1246</v>
      </c>
      <c r="BG7" s="1350" t="s">
        <v>107</v>
      </c>
      <c r="BH7" s="1286"/>
      <c r="BI7" s="1287"/>
      <c r="BJ7" s="1287"/>
      <c r="BK7" s="1287"/>
      <c r="BL7" s="1287"/>
      <c r="BM7" s="1287"/>
      <c r="BN7" s="1287"/>
      <c r="BO7" s="1287"/>
    </row>
    <row r="8" spans="1:67">
      <c r="A8" s="1349">
        <f>Actions!F2</f>
        <v>1</v>
      </c>
      <c r="B8" s="1352">
        <f ca="1">Actions!G2</f>
        <v>0</v>
      </c>
      <c r="C8" s="1353" t="str">
        <f ca="1">IF(OR(AND(Actions!Y2&gt;0,Actions!Y2&lt;=$C$7,Actions!Z2&gt;=$C$7),AND(Actions!Y2&gt;0,Actions!Y2&lt;=$C$7,Actions!Z2&lt;Actions!Y2),AND(Actions!Y2=0,Actions!Z2&gt;=$C$7)),Actions!$AA2,"")</f>
        <v/>
      </c>
      <c r="D8" s="1353">
        <f ca="1">IF(C8&lt;&gt;"",VLOOKUP($A8,Actions!$F$1:$AQ$70,38,0)/(1+VLOOKUP($A8,Actions!$F$1:$AQ$70,21,0)-VLOOKUP($A8,Actions!$F$1:$AQ$70,20,0)),0)</f>
        <v>0</v>
      </c>
      <c r="E8" s="1353">
        <f ca="1">IF(C8&lt;&gt;"",IF(VLOOKUP($A8,Actions!$F$1:$AQ$70,34,0)="Commune",(VLOOKUP($A8,Actions!$F$1:$AQ$70,24,0)-VLOOKUP($A8,Actions!$F$1:$AQ$70,26,0))/(1+VLOOKUP($A8,Actions!$F$1:$AQ$70,21,0)-VLOOKUP($A8,Actions!$F$1:$AQ$70,20,0)),0),0)</f>
        <v>0</v>
      </c>
      <c r="F8" s="1353">
        <v>0</v>
      </c>
      <c r="G8" s="1354" t="str">
        <f ca="1">IF(OR(Actions!$Y2=G$7,AND(Actions!$Y2&lt;=G$7,Actions!$Z2&gt;=G$7)),Actions!$AA2,"")</f>
        <v/>
      </c>
      <c r="H8" s="1353">
        <f ca="1">IF(G8&lt;&gt;"",VLOOKUP($A8,Actions!$F$1:$AQ$70,38,0)/(1+VLOOKUP($A8,Actions!$F$1:$AQ$70,21,0)-VLOOKUP($A8,Actions!$F$1:$AQ$70,20,0)),0)</f>
        <v>0</v>
      </c>
      <c r="I8" s="1353">
        <f ca="1">IF(G8&lt;&gt;"",IF(VLOOKUP($A8,Actions!$F$1:$AQ$70,34,0)="Commune",(VLOOKUP($A8,Actions!$F$1:$AQ$70,24,0)-VLOOKUP($A8,Actions!$F$1:$AQ$70,26,0))/(1+VLOOKUP($A8,Actions!$F$1:$AQ$70,21,0)-VLOOKUP($A8,Actions!$F$1:$AQ$70,20,0)),0),0)</f>
        <v>0</v>
      </c>
      <c r="J8" s="1353">
        <f ca="1">IF(C8="",F8,IF(AND(G8="",C8&lt;&gt;""),VLOOKUP($A8,Actions!$F$1:$AQ$70,31,0),0))</f>
        <v>0</v>
      </c>
      <c r="K8" s="1354" t="str">
        <f ca="1">IF(OR(Actions!$Y2=K$7,AND(Actions!$Y2&lt;=K$7,Actions!$Z2&gt;=K$7)),Actions!$AA2,"")</f>
        <v/>
      </c>
      <c r="L8" s="1353">
        <f ca="1">IF(K8&lt;&gt;"",VLOOKUP($A8,Actions!$F$1:$AQ$70,38,0)/(1+VLOOKUP($A8,Actions!$F$1:$AQ$70,21,0)-VLOOKUP($A8,Actions!$F$1:$AQ$70,20,0)),0)</f>
        <v>0</v>
      </c>
      <c r="M8" s="1353">
        <f ca="1">IF(K8&lt;&gt;"",IF(VLOOKUP($A8,Actions!$F$1:$AQ$70,34,0)="Commune",(VLOOKUP($A8,Actions!$F$1:$AQ$70,24,0)-VLOOKUP($A8,Actions!$F$1:$AQ$70,26,0))/(1+VLOOKUP($A8,Actions!$F$1:$AQ$70,21,0)-VLOOKUP($A8,Actions!$F$1:$AQ$70,20,0)),0),0)</f>
        <v>0</v>
      </c>
      <c r="N8" s="1353">
        <f ca="1">IF(G8="",J8,IF(AND(K8="",G8&lt;&gt;""),VLOOKUP($A8,Actions!$F$1:$AQ$70,31,0),0))</f>
        <v>0</v>
      </c>
      <c r="O8" s="1354" t="str">
        <f ca="1">IF(OR(Actions!$Y2=O$7,AND(Actions!$Y2&lt;=O$7,Actions!$Z2&gt;=O$7)),Actions!$AA2,"")</f>
        <v/>
      </c>
      <c r="P8" s="1353">
        <f ca="1">IF(O8&lt;&gt;"",VLOOKUP($A8,Actions!$F$1:$AQ$70,38,0)/(1+VLOOKUP($A8,Actions!$F$1:$AQ$70,21,0)-VLOOKUP($A8,Actions!$F$1:$AQ$70,20,0)),0)</f>
        <v>0</v>
      </c>
      <c r="Q8" s="1353">
        <f ca="1">IF(O8&lt;&gt;"",IF(VLOOKUP($A8,Actions!$F$1:$AQ$70,34,0)="Commune",(VLOOKUP($A8,Actions!$F$1:$AQ$70,24,0)-VLOOKUP($A8,Actions!$F$1:$AQ$70,26,0))/(1+VLOOKUP($A8,Actions!$F$1:$AQ$70,21,0)-VLOOKUP($A8,Actions!$F$1:$AQ$70,20,0)),0),0)</f>
        <v>0</v>
      </c>
      <c r="R8" s="1353">
        <f ca="1">IF(K8="",N8,IF(AND(O8="",K8&lt;&gt;""),VLOOKUP($A8,Actions!$F$1:$AQ$70,31,0),0))</f>
        <v>0</v>
      </c>
      <c r="S8" s="1354" t="str">
        <f ca="1">IF(OR(Actions!$Y2=S$7,AND(Actions!$Y2&lt;=S$7,Actions!$Z2&gt;=S$7)),Actions!$AA2,"")</f>
        <v/>
      </c>
      <c r="T8" s="1353">
        <f ca="1">IF(S8&lt;&gt;"",VLOOKUP($A8,Actions!$F$1:$AQ$70,38,0)/(1+VLOOKUP($A8,Actions!$F$1:$AQ$70,21,0)-VLOOKUP($A8,Actions!$F$1:$AQ$70,20,0)),0)</f>
        <v>0</v>
      </c>
      <c r="U8" s="1353">
        <f ca="1">IF(S8&lt;&gt;"",IF(VLOOKUP($A8,Actions!$F$1:$AQ$70,34,0)="Commune",(VLOOKUP($A8,Actions!$F$1:$AQ$70,24,0)-VLOOKUP($A8,Actions!$F$1:$AQ$70,26,0))/(1+VLOOKUP($A8,Actions!$F$1:$AQ$70,21,0)-VLOOKUP($A8,Actions!$F$1:$AQ$70,20,0)),0),0)</f>
        <v>0</v>
      </c>
      <c r="V8" s="1353">
        <f ca="1">IF(O8="",R8,IF(AND(S8="",O8&lt;&gt;""),VLOOKUP($A8,Actions!$F$1:$AQ$70,31,0),0))</f>
        <v>0</v>
      </c>
      <c r="W8" s="1354" t="str">
        <f ca="1">IF(OR(Actions!$Y2=W$7,AND(Actions!$Y2&lt;=W$7,Actions!$Z2&gt;=W$7)),Actions!$AA2,"")</f>
        <v/>
      </c>
      <c r="X8" s="1353">
        <f ca="1">IF(W8&lt;&gt;"",VLOOKUP($A8,Actions!$F$1:$AQ$70,38,0)/(1+VLOOKUP($A8,Actions!$F$1:$AQ$70,21,0)-VLOOKUP($A8,Actions!$F$1:$AQ$70,20,0)),0)</f>
        <v>0</v>
      </c>
      <c r="Y8" s="1353">
        <f ca="1">IF(W8&lt;&gt;"",IF(VLOOKUP($A8,Actions!$F$1:$AQ$70,34,0)="Commune",(VLOOKUP($A8,Actions!$F$1:$AQ$70,24,0)-VLOOKUP($A8,Actions!$F$1:$AQ$70,26,0))/(1+VLOOKUP($A8,Actions!$F$1:$AQ$70,21,0)-VLOOKUP($A8,Actions!$F$1:$AQ$70,20,0)),0),0)</f>
        <v>0</v>
      </c>
      <c r="Z8" s="1353">
        <f ca="1">IF(S8="",V8,IF(AND(W8="",S8&lt;&gt;""),VLOOKUP($A8,Actions!$F$1:$AQ$70,31,0),0))</f>
        <v>0</v>
      </c>
      <c r="AA8" s="1354" t="str">
        <f ca="1">IF(OR(Actions!$Y2=AA$7,AND(Actions!$Y2&lt;=AA$7,Actions!$Z2&gt;=AA$7)),Actions!$AA2,"")</f>
        <v/>
      </c>
      <c r="AB8" s="1353">
        <f ca="1">IF(AA8&lt;&gt;"",VLOOKUP($A8,Actions!$F$1:$AQ$70,38,0)/(1+VLOOKUP($A8,Actions!$F$1:$AQ$70,21,0)-VLOOKUP($A8,Actions!$F$1:$AQ$70,20,0)),0)</f>
        <v>0</v>
      </c>
      <c r="AC8" s="1353">
        <f ca="1">IF(AA8&lt;&gt;"",IF(VLOOKUP($A8,Actions!$F$1:$AQ$70,34,0)="Commune",(VLOOKUP($A8,Actions!$F$1:$AQ$70,24,0)-VLOOKUP($A8,Actions!$F$1:$AQ$70,26,0))/(1+VLOOKUP($A8,Actions!$F$1:$AQ$70,21,0)-VLOOKUP($A8,Actions!$F$1:$AQ$70,20,0)),0),0)</f>
        <v>0</v>
      </c>
      <c r="AD8" s="1353">
        <f ca="1">IF(W8="",Z8,IF(AND(AA8="",W8&lt;&gt;""),VLOOKUP($A8,Actions!$F$1:$AQ$70,31,0),0))</f>
        <v>0</v>
      </c>
      <c r="AE8" s="1354" t="str">
        <f ca="1">IF(OR(Actions!$Y2=AE$7,AND(Actions!$Y2&lt;=AE$7,Actions!$Z2&gt;=AE$7)),Actions!$AA2,"")</f>
        <v/>
      </c>
      <c r="AF8" s="1353">
        <f ca="1">IF(AE8&lt;&gt;"",VLOOKUP($A8,Actions!$F$1:$AQ$70,38,0)/(1+VLOOKUP($A8,Actions!$F$1:$AQ$70,21,0)-VLOOKUP($A8,Actions!$F$1:$AQ$70,20,0)),0)</f>
        <v>0</v>
      </c>
      <c r="AG8" s="1353">
        <f ca="1">IF(AE8&lt;&gt;"",IF(VLOOKUP($A8,Actions!$F$1:$AQ$70,34,0)="Commune",(VLOOKUP($A8,Actions!$F$1:$AQ$70,24,0)-VLOOKUP($A8,Actions!$F$1:$AQ$70,26,0))/(1+VLOOKUP($A8,Actions!$F$1:$AQ$70,21,0)-VLOOKUP($A8,Actions!$F$1:$AQ$70,20,0)),0),0)</f>
        <v>0</v>
      </c>
      <c r="AH8" s="1353">
        <f ca="1">IF(AA8="",AD8,IF(AND(AE8="",AA8&lt;&gt;""),VLOOKUP($A8,Actions!$F$1:$AQ$70,31,0),0))</f>
        <v>0</v>
      </c>
      <c r="AI8" s="1354" t="str">
        <f ca="1">IF(OR(Actions!$Y2=AI$7,AND(Actions!$Y2&lt;=AI$7,Actions!$Z2&gt;=AI$7)),Actions!$AA2,"")</f>
        <v/>
      </c>
      <c r="AJ8" s="1353">
        <f ca="1">IF(AI8&lt;&gt;"",VLOOKUP($A8,Actions!$F$1:$AQ$70,38,0)/(1+VLOOKUP($A8,Actions!$F$1:$AQ$70,21,0)-VLOOKUP($A8,Actions!$F$1:$AQ$70,20,0)),0)</f>
        <v>0</v>
      </c>
      <c r="AK8" s="1353">
        <f ca="1">IF(AI8&lt;&gt;"",IF(VLOOKUP($A8,Actions!$F$1:$AQ$70,34,0)="Commune",(VLOOKUP($A8,Actions!$F$1:$AQ$70,24,0)-VLOOKUP($A8,Actions!$F$1:$AQ$70,26,0))/(1+VLOOKUP($A8,Actions!$F$1:$AQ$70,21,0)-VLOOKUP($A8,Actions!$F$1:$AQ$70,20,0)),0),0)</f>
        <v>0</v>
      </c>
      <c r="AL8" s="1353">
        <f ca="1">IF(AE8="",AH8,IF(AND(AI8="",AE8&lt;&gt;""),VLOOKUP($A8,Actions!$F$1:$AQ$70,31,0),0))</f>
        <v>0</v>
      </c>
      <c r="AM8" s="1354" t="str">
        <f ca="1">IF(OR(Actions!$Y2=AM$7,AND(Actions!$Y2&lt;=AM$7,Actions!$Z2&gt;=AM$7)),Actions!$AA2,"")</f>
        <v/>
      </c>
      <c r="AN8" s="1353">
        <f ca="1">IF(AM8&lt;&gt;"",VLOOKUP($A8,Actions!$F$1:$AQ$70,38,0)/(1+VLOOKUP($A8,Actions!$F$1:$AQ$70,21,0)-VLOOKUP($A8,Actions!$F$1:$AQ$70,20,0)),0)</f>
        <v>0</v>
      </c>
      <c r="AO8" s="1353">
        <f ca="1">IF(AM8&lt;&gt;"",IF(VLOOKUP($A8,Actions!$F$1:$AQ$70,34,0)="Commune",(VLOOKUP($A8,Actions!$F$1:$AQ$70,24,0)-VLOOKUP($A8,Actions!$F$1:$AQ$70,26,0))/(1+VLOOKUP($A8,Actions!$F$1:$AQ$70,21,0)-VLOOKUP($A8,Actions!$F$1:$AQ$70,20,0)),0),0)</f>
        <v>0</v>
      </c>
      <c r="AP8" s="1353">
        <f ca="1">IF(AI8="",AL8,IF(AND(AM8="",AI8&lt;&gt;""),VLOOKUP($A8,Actions!$F$1:$AQ$70,31,0),0))</f>
        <v>0</v>
      </c>
      <c r="AQ8" s="1354" t="str">
        <f ca="1">IF(OR(Actions!$Y2=AQ$7,AND(Actions!$Y2&lt;=AQ$7,Actions!$Z2&gt;=AQ$7)),Actions!$AA2,"")</f>
        <v/>
      </c>
      <c r="AR8" s="1353">
        <f ca="1">IF(AQ8&lt;&gt;"",VLOOKUP($A8,Actions!$F$1:$AQ$70,38,0)/(1+VLOOKUP($A8,Actions!$F$1:$AQ$70,21,0)-VLOOKUP($A8,Actions!$F$1:$AQ$70,20,0)),0)</f>
        <v>0</v>
      </c>
      <c r="AS8" s="1353">
        <f ca="1">IF(AQ8&lt;&gt;"",IF(VLOOKUP($A8,Actions!$F$1:$AQ$70,34,0)="Commune",(VLOOKUP($A8,Actions!$F$1:$AQ$70,24,0)-VLOOKUP($A8,Actions!$F$1:$AQ$70,26,0))/(1+VLOOKUP($A8,Actions!$F$1:$AQ$70,21,0)-VLOOKUP($A8,Actions!$F$1:$AQ$70,20,0)),0),0)</f>
        <v>0</v>
      </c>
      <c r="AT8" s="1353">
        <f ca="1">IF(AM8="",AP8,IF(AND(AQ8="",AM8&lt;&gt;""),VLOOKUP($A8,Actions!$F$1:$AQ$70,31,0),0))</f>
        <v>0</v>
      </c>
      <c r="AU8" s="1354" t="str">
        <f ca="1">IF(OR(Actions!$Y2=AU$7,AND(Actions!$Y2&lt;=AU$7,Actions!$Z2&gt;=AU$7)),Actions!$AA2,"")</f>
        <v/>
      </c>
      <c r="AV8" s="1353">
        <f ca="1">IF(AU8&lt;&gt;"",VLOOKUP($A8,Actions!$F$1:$AQ$70,38,0)/(1+VLOOKUP($A8,Actions!$F$1:$AQ$70,21,0)-VLOOKUP($A8,Actions!$F$1:$AQ$70,20,0)),0)</f>
        <v>0</v>
      </c>
      <c r="AW8" s="1353">
        <f ca="1">IF(AU8&lt;&gt;"",IF(VLOOKUP($A8,Actions!$F$1:$AQ$70,34,0)="Commune",(VLOOKUP($A8,Actions!$F$1:$AQ$70,24,0)-VLOOKUP($A8,Actions!$F$1:$AQ$70,26,0))/(1+VLOOKUP($A8,Actions!$F$1:$AQ$70,21,0)-VLOOKUP($A8,Actions!$F$1:$AQ$70,20,0)),0),0)</f>
        <v>0</v>
      </c>
      <c r="AX8" s="1353">
        <f ca="1">IF(AQ8="",AT8,IF(AND(AU8="",AQ8&lt;&gt;""),VLOOKUP($A8,Actions!$F$1:$AQ$70,31,0),0))</f>
        <v>0</v>
      </c>
      <c r="AY8" s="1354" t="str">
        <f ca="1">IF(OR(Actions!$Y2=AY$7,AND(Actions!$Y2&lt;=AY$7,Actions!$Z2&gt;=AY$7)),Actions!$AA2,"")</f>
        <v/>
      </c>
      <c r="AZ8" s="1353">
        <f ca="1">IF(AY8&lt;&gt;"",VLOOKUP($A8,Actions!$F$1:$AQ$70,38,0)/(1+VLOOKUP($A8,Actions!$F$1:$AQ$70,21,0)-VLOOKUP($A8,Actions!$F$1:$AQ$70,20,0)),0)</f>
        <v>0</v>
      </c>
      <c r="BA8" s="1353">
        <f ca="1">IF(AY8&lt;&gt;"",IF(VLOOKUP($A8,Actions!$F$1:$AQ$70,34,0)="Commune",(VLOOKUP($A8,Actions!$F$1:$AQ$70,24,0)-VLOOKUP($A8,Actions!$F$1:$AQ$70,26,0))/(1+VLOOKUP($A8,Actions!$F$1:$AQ$70,21,0)-VLOOKUP($A8,Actions!$F$1:$AQ$70,20,0)),0),0)</f>
        <v>0</v>
      </c>
      <c r="BB8" s="1353">
        <f ca="1">IF(AU8="",AX8,IF(AND(AY8="",AU8&lt;&gt;""),VLOOKUP($A8,Actions!$F$1:$AQ$70,31,0),0))</f>
        <v>0</v>
      </c>
      <c r="BC8" s="1354" t="str">
        <f ca="1">IF(OR(Actions!$Y2=BC$7,AND(Actions!$Y2&lt;=BC$7,Actions!$Z2&gt;=BC$7)),Actions!$AA2,"")</f>
        <v/>
      </c>
      <c r="BD8" s="1353">
        <f ca="1">IF(BC8&lt;&gt;"",VLOOKUP($A8,Actions!$F$1:$AQ$70,38,0)/(1+VLOOKUP($A8,Actions!$F$1:$AQ$70,21,0)-VLOOKUP($A8,Actions!$F$1:$AQ$70,20,0)),0)</f>
        <v>0</v>
      </c>
      <c r="BE8" s="1353">
        <f ca="1">IF(BC8&lt;&gt;"",IF(VLOOKUP($A8,Actions!$F$1:$AQ$70,34,0)="Commune",(VLOOKUP($A8,Actions!$F$1:$AQ$70,24,0)-VLOOKUP($A8,Actions!$F$1:$AQ$70,26,0))/(1+VLOOKUP($A8,Actions!$F$1:$AQ$70,21,0)-VLOOKUP($A8,Actions!$F$1:$AQ$70,20,0)),0),0)</f>
        <v>0</v>
      </c>
      <c r="BF8" s="1353">
        <f ca="1">IF(AY8="",BB8,IF(AND(BC8="",AY8&lt;&gt;""),VLOOKUP($A8,Actions!$F$1:$AQ$70,31,0),0))</f>
        <v>0</v>
      </c>
      <c r="BG8" s="1355">
        <f ca="1">SUM(M8,Q8,U8,Y8,AC8,AG8,AK8,AO8,AS8,AW8,BA8,BE8)</f>
        <v>0</v>
      </c>
      <c r="BH8" s="201">
        <f ca="1">VLOOKUP(B8,Actions!G1:AC70,18,0)-VLOOKUP(B8,Actions!G1:AE70,20,0)</f>
        <v>0</v>
      </c>
      <c r="BI8" s="233"/>
      <c r="BJ8" s="233"/>
      <c r="BK8" s="233"/>
      <c r="BL8" s="233"/>
      <c r="BM8" s="233"/>
      <c r="BN8" s="233"/>
      <c r="BO8" s="233"/>
    </row>
    <row r="9" spans="1:67">
      <c r="A9" s="1349">
        <f>Actions!F3</f>
        <v>2</v>
      </c>
      <c r="B9" s="1352">
        <f ca="1">Actions!G3</f>
        <v>0</v>
      </c>
      <c r="C9" s="1353" t="str">
        <f ca="1">IF(OR(AND(Actions!Y3&gt;0,Actions!Y3&lt;=$C$7,Actions!Z3&gt;=$C$7),AND(Actions!Y3&gt;0,Actions!Y3&lt;=$C$7,Actions!Z3&lt;Actions!Y3),AND(Actions!Y3=0,Actions!Z3&gt;=$C$7)),Actions!$AA3,"")</f>
        <v/>
      </c>
      <c r="D9" s="1353">
        <f ca="1">IF(C9&lt;&gt;"",VLOOKUP($A9,Actions!$F$1:$AQ$70,38,0)/(1+VLOOKUP($A9,Actions!$F$1:$AQ$70,21,0)-VLOOKUP($A9,Actions!$F$1:$AQ$70,20,0)),0)</f>
        <v>0</v>
      </c>
      <c r="E9" s="1353">
        <f ca="1">IF(C9&lt;&gt;"",IF(VLOOKUP($A9,Actions!$F$1:$AQ$70,34,0)="Commune",(VLOOKUP($A9,Actions!$F$1:$AQ$70,24,0)-VLOOKUP($A9,Actions!$F$1:$AQ$70,26,0))/(1+VLOOKUP($A9,Actions!$F$1:$AQ$70,21,0)-VLOOKUP($A9,Actions!$F$1:$AQ$70,20,0)),0),0)</f>
        <v>0</v>
      </c>
      <c r="F9" s="1353">
        <v>0</v>
      </c>
      <c r="G9" s="1354" t="str">
        <f ca="1">IF(OR(Actions!$Y3=G$7,AND(Actions!$Y3&lt;=G$7,Actions!$Z3&gt;=G$7)),Actions!$AA3,"")</f>
        <v/>
      </c>
      <c r="H9" s="1353">
        <f ca="1">IF(G9&lt;&gt;"",VLOOKUP($A9,Actions!$F$1:$AQ$70,38,0)/(1+VLOOKUP($A9,Actions!$F$1:$AQ$70,21,0)-VLOOKUP($A9,Actions!$F$1:$AQ$70,20,0)),0)</f>
        <v>0</v>
      </c>
      <c r="I9" s="1353">
        <f ca="1">IF(G9&lt;&gt;"",IF(VLOOKUP($A9,Actions!$F$1:$AQ$70,34,0)="Commune",(VLOOKUP($A9,Actions!$F$1:$AQ$70,24,0)-VLOOKUP($A9,Actions!$F$1:$AQ$70,26,0))/(1+VLOOKUP($A9,Actions!$F$1:$AQ$70,21,0)-VLOOKUP($A9,Actions!$F$1:$AQ$70,20,0)),0),0)</f>
        <v>0</v>
      </c>
      <c r="J9" s="1353">
        <f ca="1">IF(C9="",F9,IF(AND(G9="",C9&lt;&gt;""),VLOOKUP($A9,Actions!$F$1:$AQ$70,31,0),0))</f>
        <v>0</v>
      </c>
      <c r="K9" s="1354" t="str">
        <f ca="1">IF(OR(Actions!$Y3=K$7,AND(Actions!$Y3&lt;=K$7,Actions!$Z3&gt;=K$7)),Actions!$AA3,"")</f>
        <v/>
      </c>
      <c r="L9" s="1353">
        <f ca="1">IF(K9&lt;&gt;"",VLOOKUP($A9,Actions!$F$1:$AQ$70,38,0)/(1+VLOOKUP($A9,Actions!$F$1:$AQ$70,21,0)-VLOOKUP($A9,Actions!$F$1:$AQ$70,20,0)),0)</f>
        <v>0</v>
      </c>
      <c r="M9" s="1353">
        <f ca="1">IF(K9&lt;&gt;"",IF(VLOOKUP($A9,Actions!$F$1:$AQ$70,34,0)="Commune",(VLOOKUP($A9,Actions!$F$1:$AQ$70,24,0)-VLOOKUP($A9,Actions!$F$1:$AQ$70,26,0))/(1+VLOOKUP($A9,Actions!$F$1:$AQ$70,21,0)-VLOOKUP($A9,Actions!$F$1:$AQ$70,20,0)),0),0)</f>
        <v>0</v>
      </c>
      <c r="N9" s="1353">
        <f ca="1">IF(G9="",J9,IF(AND(K9="",G9&lt;&gt;""),VLOOKUP($A9,Actions!$F$1:$AQ$70,31,0),0))</f>
        <v>0</v>
      </c>
      <c r="O9" s="1354" t="str">
        <f ca="1">IF(OR(Actions!$Y3=O$7,AND(Actions!$Y3&lt;=O$7,Actions!$Z3&gt;=O$7)),Actions!$AA3,"")</f>
        <v/>
      </c>
      <c r="P9" s="1353">
        <f ca="1">IF(O9&lt;&gt;"",VLOOKUP($A9,Actions!$F$1:$AQ$70,38,0)/(1+VLOOKUP($A9,Actions!$F$1:$AQ$70,21,0)-VLOOKUP($A9,Actions!$F$1:$AQ$70,20,0)),0)</f>
        <v>0</v>
      </c>
      <c r="Q9" s="1353">
        <f ca="1">IF(O9&lt;&gt;"",IF(VLOOKUP($A9,Actions!$F$1:$AQ$70,34,0)="Commune",(VLOOKUP($A9,Actions!$F$1:$AQ$70,24,0)-VLOOKUP($A9,Actions!$F$1:$AQ$70,26,0))/(1+VLOOKUP($A9,Actions!$F$1:$AQ$70,21,0)-VLOOKUP($A9,Actions!$F$1:$AQ$70,20,0)),0),0)</f>
        <v>0</v>
      </c>
      <c r="R9" s="1353">
        <f ca="1">IF(K9="",N9,IF(AND(O9="",K9&lt;&gt;""),VLOOKUP($A9,Actions!$F$1:$AQ$70,31,0),0))</f>
        <v>0</v>
      </c>
      <c r="S9" s="1354" t="str">
        <f ca="1">IF(OR(Actions!$Y3=S$7,AND(Actions!$Y3&lt;=S$7,Actions!$Z3&gt;=S$7)),Actions!$AA3,"")</f>
        <v/>
      </c>
      <c r="T9" s="1353">
        <f ca="1">IF(S9&lt;&gt;"",VLOOKUP($A9,Actions!$F$1:$AQ$70,38,0)/(1+VLOOKUP($A9,Actions!$F$1:$AQ$70,21,0)-VLOOKUP($A9,Actions!$F$1:$AQ$70,20,0)),0)</f>
        <v>0</v>
      </c>
      <c r="U9" s="1353">
        <f ca="1">IF(S9&lt;&gt;"",IF(VLOOKUP($A9,Actions!$F$1:$AQ$70,34,0)="Commune",(VLOOKUP($A9,Actions!$F$1:$AQ$70,24,0)-VLOOKUP($A9,Actions!$F$1:$AQ$70,26,0))/(1+VLOOKUP($A9,Actions!$F$1:$AQ$70,21,0)-VLOOKUP($A9,Actions!$F$1:$AQ$70,20,0)),0),0)</f>
        <v>0</v>
      </c>
      <c r="V9" s="1353">
        <f ca="1">IF(O9="",R9,IF(AND(S9="",O9&lt;&gt;""),VLOOKUP($A9,Actions!$F$1:$AQ$70,31,0),0))</f>
        <v>0</v>
      </c>
      <c r="W9" s="1354" t="str">
        <f ca="1">IF(OR(Actions!$Y3=W$7,AND(Actions!$Y3&lt;=W$7,Actions!$Z3&gt;=W$7)),Actions!$AA3,"")</f>
        <v/>
      </c>
      <c r="X9" s="1353">
        <f ca="1">IF(W9&lt;&gt;"",VLOOKUP($A9,Actions!$F$1:$AQ$70,38,0)/(1+VLOOKUP($A9,Actions!$F$1:$AQ$70,21,0)-VLOOKUP($A9,Actions!$F$1:$AQ$70,20,0)),0)</f>
        <v>0</v>
      </c>
      <c r="Y9" s="1353">
        <f ca="1">IF(W9&lt;&gt;"",IF(VLOOKUP($A9,Actions!$F$1:$AQ$70,34,0)="Commune",(VLOOKUP($A9,Actions!$F$1:$AQ$70,24,0)-VLOOKUP($A9,Actions!$F$1:$AQ$70,26,0))/(1+VLOOKUP($A9,Actions!$F$1:$AQ$70,21,0)-VLOOKUP($A9,Actions!$F$1:$AQ$70,20,0)),0),0)</f>
        <v>0</v>
      </c>
      <c r="Z9" s="1353">
        <f ca="1">IF(S9="",V9,IF(AND(W9="",S9&lt;&gt;""),VLOOKUP($A9,Actions!$F$1:$AQ$70,31,0),0))</f>
        <v>0</v>
      </c>
      <c r="AA9" s="1354" t="str">
        <f ca="1">IF(OR(Actions!$Y3=AA$7,AND(Actions!$Y3&lt;=AA$7,Actions!$Z3&gt;=AA$7)),Actions!$AA3,"")</f>
        <v/>
      </c>
      <c r="AB9" s="1353">
        <f ca="1">IF(AA9&lt;&gt;"",VLOOKUP($A9,Actions!$F$1:$AQ$70,38,0)/(1+VLOOKUP($A9,Actions!$F$1:$AQ$70,21,0)-VLOOKUP($A9,Actions!$F$1:$AQ$70,20,0)),0)</f>
        <v>0</v>
      </c>
      <c r="AC9" s="1353">
        <f ca="1">IF(AA9&lt;&gt;"",IF(VLOOKUP($A9,Actions!$F$1:$AQ$70,34,0)="Commune",(VLOOKUP($A9,Actions!$F$1:$AQ$70,24,0)-VLOOKUP($A9,Actions!$F$1:$AQ$70,26,0))/(1+VLOOKUP($A9,Actions!$F$1:$AQ$70,21,0)-VLOOKUP($A9,Actions!$F$1:$AQ$70,20,0)),0),0)</f>
        <v>0</v>
      </c>
      <c r="AD9" s="1353">
        <f ca="1">IF(W9="",Z9,IF(AND(AA9="",W9&lt;&gt;""),VLOOKUP($A9,Actions!$F$1:$AQ$70,31,0),0))</f>
        <v>0</v>
      </c>
      <c r="AE9" s="1354" t="str">
        <f ca="1">IF(OR(Actions!$Y3=AE$7,AND(Actions!$Y3&lt;=AE$7,Actions!$Z3&gt;=AE$7)),Actions!$AA3,"")</f>
        <v/>
      </c>
      <c r="AF9" s="1353">
        <f ca="1">IF(AE9&lt;&gt;"",VLOOKUP($A9,Actions!$F$1:$AQ$70,38,0)/(1+VLOOKUP($A9,Actions!$F$1:$AQ$70,21,0)-VLOOKUP($A9,Actions!$F$1:$AQ$70,20,0)),0)</f>
        <v>0</v>
      </c>
      <c r="AG9" s="1353">
        <f ca="1">IF(AE9&lt;&gt;"",IF(VLOOKUP($A9,Actions!$F$1:$AQ$70,34,0)="Commune",(VLOOKUP($A9,Actions!$F$1:$AQ$70,24,0)-VLOOKUP($A9,Actions!$F$1:$AQ$70,26,0))/(1+VLOOKUP($A9,Actions!$F$1:$AQ$70,21,0)-VLOOKUP($A9,Actions!$F$1:$AQ$70,20,0)),0),0)</f>
        <v>0</v>
      </c>
      <c r="AH9" s="1353">
        <f ca="1">IF(AA9="",AD9,IF(AND(AE9="",AA9&lt;&gt;""),VLOOKUP($A9,Actions!$F$1:$AQ$70,31,0),0))</f>
        <v>0</v>
      </c>
      <c r="AI9" s="1354" t="str">
        <f ca="1">IF(OR(Actions!$Y3=AI$7,AND(Actions!$Y3&lt;=AI$7,Actions!$Z3&gt;=AI$7)),Actions!$AA3,"")</f>
        <v/>
      </c>
      <c r="AJ9" s="1353">
        <f ca="1">IF(AI9&lt;&gt;"",VLOOKUP($A9,Actions!$F$1:$AQ$70,38,0)/(1+VLOOKUP($A9,Actions!$F$1:$AQ$70,21,0)-VLOOKUP($A9,Actions!$F$1:$AQ$70,20,0)),0)</f>
        <v>0</v>
      </c>
      <c r="AK9" s="1353">
        <f ca="1">IF(AI9&lt;&gt;"",IF(VLOOKUP($A9,Actions!$F$1:$AQ$70,34,0)="Commune",(VLOOKUP($A9,Actions!$F$1:$AQ$70,24,0)-VLOOKUP($A9,Actions!$F$1:$AQ$70,26,0))/(1+VLOOKUP($A9,Actions!$F$1:$AQ$70,21,0)-VLOOKUP($A9,Actions!$F$1:$AQ$70,20,0)),0),0)</f>
        <v>0</v>
      </c>
      <c r="AL9" s="1353">
        <f ca="1">IF(AE9="",AH9,IF(AND(AI9="",AE9&lt;&gt;""),VLOOKUP($A9,Actions!$F$1:$AQ$70,31,0),0))</f>
        <v>0</v>
      </c>
      <c r="AM9" s="1354" t="str">
        <f ca="1">IF(OR(Actions!$Y3=AM$7,AND(Actions!$Y3&lt;=AM$7,Actions!$Z3&gt;=AM$7)),Actions!$AA3,"")</f>
        <v/>
      </c>
      <c r="AN9" s="1353">
        <f ca="1">IF(AM9&lt;&gt;"",VLOOKUP($A9,Actions!$F$1:$AQ$70,38,0)/(1+VLOOKUP($A9,Actions!$F$1:$AQ$70,21,0)-VLOOKUP($A9,Actions!$F$1:$AQ$70,20,0)),0)</f>
        <v>0</v>
      </c>
      <c r="AO9" s="1353">
        <f ca="1">IF(AM9&lt;&gt;"",IF(VLOOKUP($A9,Actions!$F$1:$AQ$70,34,0)="Commune",(VLOOKUP($A9,Actions!$F$1:$AQ$70,24,0)-VLOOKUP($A9,Actions!$F$1:$AQ$70,26,0))/(1+VLOOKUP($A9,Actions!$F$1:$AQ$70,21,0)-VLOOKUP($A9,Actions!$F$1:$AQ$70,20,0)),0),0)</f>
        <v>0</v>
      </c>
      <c r="AP9" s="1353">
        <f ca="1">IF(AI9="",AL9,IF(AND(AM9="",AI9&lt;&gt;""),VLOOKUP($A9,Actions!$F$1:$AQ$70,31,0),0))</f>
        <v>0</v>
      </c>
      <c r="AQ9" s="1354" t="str">
        <f ca="1">IF(OR(Actions!$Y3=AQ$7,AND(Actions!$Y3&lt;=AQ$7,Actions!$Z3&gt;=AQ$7)),Actions!$AA3,"")</f>
        <v/>
      </c>
      <c r="AR9" s="1353">
        <f ca="1">IF(AQ9&lt;&gt;"",VLOOKUP($A9,Actions!$F$1:$AQ$70,38,0)/(1+VLOOKUP($A9,Actions!$F$1:$AQ$70,21,0)-VLOOKUP($A9,Actions!$F$1:$AQ$70,20,0)),0)</f>
        <v>0</v>
      </c>
      <c r="AS9" s="1353">
        <f ca="1">IF(AQ9&lt;&gt;"",IF(VLOOKUP($A9,Actions!$F$1:$AQ$70,34,0)="Commune",(VLOOKUP($A9,Actions!$F$1:$AQ$70,24,0)-VLOOKUP($A9,Actions!$F$1:$AQ$70,26,0))/(1+VLOOKUP($A9,Actions!$F$1:$AQ$70,21,0)-VLOOKUP($A9,Actions!$F$1:$AQ$70,20,0)),0),0)</f>
        <v>0</v>
      </c>
      <c r="AT9" s="1353">
        <f ca="1">IF(AM9="",AP9,IF(AND(AQ9="",AM9&lt;&gt;""),VLOOKUP($A9,Actions!$F$1:$AQ$70,31,0),0))</f>
        <v>0</v>
      </c>
      <c r="AU9" s="1354" t="str">
        <f ca="1">IF(OR(Actions!$Y3=AU$7,AND(Actions!$Y3&lt;=AU$7,Actions!$Z3&gt;=AU$7)),Actions!$AA3,"")</f>
        <v/>
      </c>
      <c r="AV9" s="1353">
        <f ca="1">IF(AU9&lt;&gt;"",VLOOKUP($A9,Actions!$F$1:$AQ$70,38,0)/(1+VLOOKUP($A9,Actions!$F$1:$AQ$70,21,0)-VLOOKUP($A9,Actions!$F$1:$AQ$70,20,0)),0)</f>
        <v>0</v>
      </c>
      <c r="AW9" s="1353">
        <f ca="1">IF(AU9&lt;&gt;"",IF(VLOOKUP($A9,Actions!$F$1:$AQ$70,34,0)="Commune",(VLOOKUP($A9,Actions!$F$1:$AQ$70,24,0)-VLOOKUP($A9,Actions!$F$1:$AQ$70,26,0))/(1+VLOOKUP($A9,Actions!$F$1:$AQ$70,21,0)-VLOOKUP($A9,Actions!$F$1:$AQ$70,20,0)),0),0)</f>
        <v>0</v>
      </c>
      <c r="AX9" s="1353">
        <f ca="1">IF(AQ9="",AT9,IF(AND(AU9="",AQ9&lt;&gt;""),VLOOKUP($A9,Actions!$F$1:$AQ$70,31,0),0))</f>
        <v>0</v>
      </c>
      <c r="AY9" s="1354" t="str">
        <f ca="1">IF(OR(Actions!$Y3=AY$7,AND(Actions!$Y3&lt;=AY$7,Actions!$Z3&gt;=AY$7)),Actions!$AA3,"")</f>
        <v/>
      </c>
      <c r="AZ9" s="1353">
        <f ca="1">IF(AY9&lt;&gt;"",VLOOKUP($A9,Actions!$F$1:$AQ$70,38,0)/(1+VLOOKUP($A9,Actions!$F$1:$AQ$70,21,0)-VLOOKUP($A9,Actions!$F$1:$AQ$70,20,0)),0)</f>
        <v>0</v>
      </c>
      <c r="BA9" s="1353">
        <f ca="1">IF(AY9&lt;&gt;"",IF(VLOOKUP($A9,Actions!$F$1:$AQ$70,34,0)="Commune",(VLOOKUP($A9,Actions!$F$1:$AQ$70,24,0)-VLOOKUP($A9,Actions!$F$1:$AQ$70,26,0))/(1+VLOOKUP($A9,Actions!$F$1:$AQ$70,21,0)-VLOOKUP($A9,Actions!$F$1:$AQ$70,20,0)),0),0)</f>
        <v>0</v>
      </c>
      <c r="BB9" s="1353">
        <f ca="1">IF(AU9="",AX9,IF(AND(AY9="",AU9&lt;&gt;""),VLOOKUP($A9,Actions!$F$1:$AQ$70,31,0),0))</f>
        <v>0</v>
      </c>
      <c r="BC9" s="1354" t="str">
        <f ca="1">IF(OR(Actions!$Y3=BC$7,AND(Actions!$Y3&lt;=BC$7,Actions!$Z3&gt;=BC$7)),Actions!$AA3,"")</f>
        <v/>
      </c>
      <c r="BD9" s="1353">
        <f ca="1">IF(BC9&lt;&gt;"",VLOOKUP($A9,Actions!$F$1:$AQ$70,38,0)/(1+VLOOKUP($A9,Actions!$F$1:$AQ$70,21,0)-VLOOKUP($A9,Actions!$F$1:$AQ$70,20,0)),0)</f>
        <v>0</v>
      </c>
      <c r="BE9" s="1353">
        <f ca="1">IF(BC9&lt;&gt;"",IF(VLOOKUP($A9,Actions!$F$1:$AQ$70,34,0)="Commune",(VLOOKUP($A9,Actions!$F$1:$AQ$70,24,0)-VLOOKUP($A9,Actions!$F$1:$AQ$70,26,0))/(1+VLOOKUP($A9,Actions!$F$1:$AQ$70,21,0)-VLOOKUP($A9,Actions!$F$1:$AQ$70,20,0)),0),0)</f>
        <v>0</v>
      </c>
      <c r="BF9" s="1353">
        <f ca="1">IF(AY9="",BB9,IF(AND(BC9="",AY9&lt;&gt;""),VLOOKUP($A9,Actions!$F$1:$AQ$70,31,0),0))</f>
        <v>0</v>
      </c>
      <c r="BG9" s="1355">
        <f t="shared" ref="BG9:BG72" ca="1" si="0">SUM(M9,Q9,U9,Y9,AC9,AG9,AK9,AO9,AS9,AW9,BA9,BE9)</f>
        <v>0</v>
      </c>
      <c r="BH9" s="201">
        <f ca="1">VLOOKUP(B9,Actions!G2:AC71,18,0)-VLOOKUP(B9,Actions!G2:AE71,20,0)</f>
        <v>0</v>
      </c>
      <c r="BI9" s="233"/>
      <c r="BJ9" s="233"/>
      <c r="BK9" s="233"/>
      <c r="BL9" s="233"/>
      <c r="BM9" s="233"/>
      <c r="BN9" s="233"/>
      <c r="BO9" s="233"/>
    </row>
    <row r="10" spans="1:67">
      <c r="A10" s="1349">
        <f>Actions!F4</f>
        <v>3</v>
      </c>
      <c r="B10" s="1352">
        <f ca="1">Actions!G4</f>
        <v>0</v>
      </c>
      <c r="C10" s="1353" t="str">
        <f ca="1">IF(OR(AND(Actions!Y4&gt;0,Actions!Y4&lt;=$C$7,Actions!Z4&gt;=$C$7),AND(Actions!Y4&gt;0,Actions!Y4&lt;=$C$7,Actions!Z4&lt;Actions!Y4),AND(Actions!Y4=0,Actions!Z4&gt;=$C$7)),Actions!$AA4,"")</f>
        <v/>
      </c>
      <c r="D10" s="1353">
        <f ca="1">IF(C10&lt;&gt;"",VLOOKUP($A10,Actions!$F$1:$AQ$70,38,0)/(1+VLOOKUP($A10,Actions!$F$1:$AQ$70,21,0)-VLOOKUP($A10,Actions!$F$1:$AQ$70,20,0)),0)</f>
        <v>0</v>
      </c>
      <c r="E10" s="1353">
        <f ca="1">IF(C10&lt;&gt;"",IF(VLOOKUP($A10,Actions!$F$1:$AQ$70,34,0)="Commune",(VLOOKUP($A10,Actions!$F$1:$AQ$70,24,0)-VLOOKUP($A10,Actions!$F$1:$AQ$70,26,0))/(1+VLOOKUP($A10,Actions!$F$1:$AQ$70,21,0)-VLOOKUP($A10,Actions!$F$1:$AQ$70,20,0)),0),0)</f>
        <v>0</v>
      </c>
      <c r="F10" s="1353">
        <v>0</v>
      </c>
      <c r="G10" s="1354" t="str">
        <f ca="1">IF(OR(Actions!$Y4=G$7,AND(Actions!$Y4&lt;=G$7,Actions!$Z4&gt;=G$7)),Actions!$AA4,"")</f>
        <v/>
      </c>
      <c r="H10" s="1353">
        <f ca="1">IF(G10&lt;&gt;"",VLOOKUP($A10,Actions!$F$1:$AQ$70,38,0)/(1+VLOOKUP($A10,Actions!$F$1:$AQ$70,21,0)-VLOOKUP($A10,Actions!$F$1:$AQ$70,20,0)),0)</f>
        <v>0</v>
      </c>
      <c r="I10" s="1353">
        <f ca="1">IF(G10&lt;&gt;"",IF(VLOOKUP($A10,Actions!$F$1:$AQ$70,34,0)="Commune",(VLOOKUP($A10,Actions!$F$1:$AQ$70,24,0)-VLOOKUP($A10,Actions!$F$1:$AQ$70,26,0))/(1+VLOOKUP($A10,Actions!$F$1:$AQ$70,21,0)-VLOOKUP($A10,Actions!$F$1:$AQ$70,20,0)),0),0)</f>
        <v>0</v>
      </c>
      <c r="J10" s="1353">
        <f ca="1">IF(C10="",F10,IF(AND(G10="",C10&lt;&gt;""),VLOOKUP($A10,Actions!$F$1:$AQ$70,31,0),0))</f>
        <v>0</v>
      </c>
      <c r="K10" s="1354" t="str">
        <f ca="1">IF(OR(Actions!$Y4=K$7,AND(Actions!$Y4&lt;=K$7,Actions!$Z4&gt;=K$7)),Actions!$AA4,"")</f>
        <v/>
      </c>
      <c r="L10" s="1353">
        <f ca="1">IF(K10&lt;&gt;"",VLOOKUP($A10,Actions!$F$1:$AQ$70,38,0)/(1+VLOOKUP($A10,Actions!$F$1:$AQ$70,21,0)-VLOOKUP($A10,Actions!$F$1:$AQ$70,20,0)),0)</f>
        <v>0</v>
      </c>
      <c r="M10" s="1353">
        <f ca="1">IF(K10&lt;&gt;"",IF(VLOOKUP($A10,Actions!$F$1:$AQ$70,34,0)="Commune",(VLOOKUP($A10,Actions!$F$1:$AQ$70,24,0)-VLOOKUP($A10,Actions!$F$1:$AQ$70,26,0))/(1+VLOOKUP($A10,Actions!$F$1:$AQ$70,21,0)-VLOOKUP($A10,Actions!$F$1:$AQ$70,20,0)),0),0)</f>
        <v>0</v>
      </c>
      <c r="N10" s="1353">
        <f ca="1">IF(G10="",J10,IF(AND(K10="",G10&lt;&gt;""),VLOOKUP($A10,Actions!$F$1:$AQ$70,31,0),0))</f>
        <v>0</v>
      </c>
      <c r="O10" s="1354" t="str">
        <f ca="1">IF(OR(Actions!$Y4=O$7,AND(Actions!$Y4&lt;=O$7,Actions!$Z4&gt;=O$7)),Actions!$AA4,"")</f>
        <v/>
      </c>
      <c r="P10" s="1353">
        <f ca="1">IF(O10&lt;&gt;"",VLOOKUP($A10,Actions!$F$1:$AQ$70,38,0)/(1+VLOOKUP($A10,Actions!$F$1:$AQ$70,21,0)-VLOOKUP($A10,Actions!$F$1:$AQ$70,20,0)),0)</f>
        <v>0</v>
      </c>
      <c r="Q10" s="1353">
        <f ca="1">IF(O10&lt;&gt;"",IF(VLOOKUP($A10,Actions!$F$1:$AQ$70,34,0)="Commune",(VLOOKUP($A10,Actions!$F$1:$AQ$70,24,0)-VLOOKUP($A10,Actions!$F$1:$AQ$70,26,0))/(1+VLOOKUP($A10,Actions!$F$1:$AQ$70,21,0)-VLOOKUP($A10,Actions!$F$1:$AQ$70,20,0)),0),0)</f>
        <v>0</v>
      </c>
      <c r="R10" s="1353">
        <f ca="1">IF(K10="",N10,IF(AND(O10="",K10&lt;&gt;""),VLOOKUP($A10,Actions!$F$1:$AQ$70,31,0),0))</f>
        <v>0</v>
      </c>
      <c r="S10" s="1354" t="str">
        <f ca="1">IF(OR(Actions!$Y4=S$7,AND(Actions!$Y4&lt;=S$7,Actions!$Z4&gt;=S$7)),Actions!$AA4,"")</f>
        <v/>
      </c>
      <c r="T10" s="1353">
        <f ca="1">IF(S10&lt;&gt;"",VLOOKUP($A10,Actions!$F$1:$AQ$70,38,0)/(1+VLOOKUP($A10,Actions!$F$1:$AQ$70,21,0)-VLOOKUP($A10,Actions!$F$1:$AQ$70,20,0)),0)</f>
        <v>0</v>
      </c>
      <c r="U10" s="1353">
        <f ca="1">IF(S10&lt;&gt;"",IF(VLOOKUP($A10,Actions!$F$1:$AQ$70,34,0)="Commune",(VLOOKUP($A10,Actions!$F$1:$AQ$70,24,0)-VLOOKUP($A10,Actions!$F$1:$AQ$70,26,0))/(1+VLOOKUP($A10,Actions!$F$1:$AQ$70,21,0)-VLOOKUP($A10,Actions!$F$1:$AQ$70,20,0)),0),0)</f>
        <v>0</v>
      </c>
      <c r="V10" s="1353">
        <f ca="1">IF(O10="",R10,IF(AND(S10="",O10&lt;&gt;""),VLOOKUP($A10,Actions!$F$1:$AQ$70,31,0),0))</f>
        <v>0</v>
      </c>
      <c r="W10" s="1354" t="str">
        <f ca="1">IF(OR(Actions!$Y4=W$7,AND(Actions!$Y4&lt;=W$7,Actions!$Z4&gt;=W$7)),Actions!$AA4,"")</f>
        <v/>
      </c>
      <c r="X10" s="1353">
        <f ca="1">IF(W10&lt;&gt;"",VLOOKUP($A10,Actions!$F$1:$AQ$70,38,0)/(1+VLOOKUP($A10,Actions!$F$1:$AQ$70,21,0)-VLOOKUP($A10,Actions!$F$1:$AQ$70,20,0)),0)</f>
        <v>0</v>
      </c>
      <c r="Y10" s="1353">
        <f ca="1">IF(W10&lt;&gt;"",IF(VLOOKUP($A10,Actions!$F$1:$AQ$70,34,0)="Commune",(VLOOKUP($A10,Actions!$F$1:$AQ$70,24,0)-VLOOKUP($A10,Actions!$F$1:$AQ$70,26,0))/(1+VLOOKUP($A10,Actions!$F$1:$AQ$70,21,0)-VLOOKUP($A10,Actions!$F$1:$AQ$70,20,0)),0),0)</f>
        <v>0</v>
      </c>
      <c r="Z10" s="1353">
        <f ca="1">IF(S10="",V10,IF(AND(W10="",S10&lt;&gt;""),VLOOKUP($A10,Actions!$F$1:$AQ$70,31,0),0))</f>
        <v>0</v>
      </c>
      <c r="AA10" s="1354" t="str">
        <f ca="1">IF(OR(Actions!$Y4=AA$7,AND(Actions!$Y4&lt;=AA$7,Actions!$Z4&gt;=AA$7)),Actions!$AA4,"")</f>
        <v/>
      </c>
      <c r="AB10" s="1353">
        <f ca="1">IF(AA10&lt;&gt;"",VLOOKUP($A10,Actions!$F$1:$AQ$70,38,0)/(1+VLOOKUP($A10,Actions!$F$1:$AQ$70,21,0)-VLOOKUP($A10,Actions!$F$1:$AQ$70,20,0)),0)</f>
        <v>0</v>
      </c>
      <c r="AC10" s="1353">
        <f ca="1">IF(AA10&lt;&gt;"",IF(VLOOKUP($A10,Actions!$F$1:$AQ$70,34,0)="Commune",(VLOOKUP($A10,Actions!$F$1:$AQ$70,24,0)-VLOOKUP($A10,Actions!$F$1:$AQ$70,26,0))/(1+VLOOKUP($A10,Actions!$F$1:$AQ$70,21,0)-VLOOKUP($A10,Actions!$F$1:$AQ$70,20,0)),0),0)</f>
        <v>0</v>
      </c>
      <c r="AD10" s="1353">
        <f ca="1">IF(W10="",Z10,IF(AND(AA10="",W10&lt;&gt;""),VLOOKUP($A10,Actions!$F$1:$AQ$70,31,0),0))</f>
        <v>0</v>
      </c>
      <c r="AE10" s="1354" t="str">
        <f ca="1">IF(OR(Actions!$Y4=AE$7,AND(Actions!$Y4&lt;=AE$7,Actions!$Z4&gt;=AE$7)),Actions!$AA4,"")</f>
        <v/>
      </c>
      <c r="AF10" s="1353">
        <f ca="1">IF(AE10&lt;&gt;"",VLOOKUP($A10,Actions!$F$1:$AQ$70,38,0)/(1+VLOOKUP($A10,Actions!$F$1:$AQ$70,21,0)-VLOOKUP($A10,Actions!$F$1:$AQ$70,20,0)),0)</f>
        <v>0</v>
      </c>
      <c r="AG10" s="1353">
        <f ca="1">IF(AE10&lt;&gt;"",IF(VLOOKUP($A10,Actions!$F$1:$AQ$70,34,0)="Commune",(VLOOKUP($A10,Actions!$F$1:$AQ$70,24,0)-VLOOKUP($A10,Actions!$F$1:$AQ$70,26,0))/(1+VLOOKUP($A10,Actions!$F$1:$AQ$70,21,0)-VLOOKUP($A10,Actions!$F$1:$AQ$70,20,0)),0),0)</f>
        <v>0</v>
      </c>
      <c r="AH10" s="1353">
        <f ca="1">IF(AA10="",AD10,IF(AND(AE10="",AA10&lt;&gt;""),VLOOKUP($A10,Actions!$F$1:$AQ$70,31,0),0))</f>
        <v>0</v>
      </c>
      <c r="AI10" s="1354" t="str">
        <f ca="1">IF(OR(Actions!$Y4=AI$7,AND(Actions!$Y4&lt;=AI$7,Actions!$Z4&gt;=AI$7)),Actions!$AA4,"")</f>
        <v/>
      </c>
      <c r="AJ10" s="1353">
        <f ca="1">IF(AI10&lt;&gt;"",VLOOKUP($A10,Actions!$F$1:$AQ$70,38,0)/(1+VLOOKUP($A10,Actions!$F$1:$AQ$70,21,0)-VLOOKUP($A10,Actions!$F$1:$AQ$70,20,0)),0)</f>
        <v>0</v>
      </c>
      <c r="AK10" s="1353">
        <f ca="1">IF(AI10&lt;&gt;"",IF(VLOOKUP($A10,Actions!$F$1:$AQ$70,34,0)="Commune",(VLOOKUP($A10,Actions!$F$1:$AQ$70,24,0)-VLOOKUP($A10,Actions!$F$1:$AQ$70,26,0))/(1+VLOOKUP($A10,Actions!$F$1:$AQ$70,21,0)-VLOOKUP($A10,Actions!$F$1:$AQ$70,20,0)),0),0)</f>
        <v>0</v>
      </c>
      <c r="AL10" s="1353">
        <f ca="1">IF(AE10="",AH10,IF(AND(AI10="",AE10&lt;&gt;""),VLOOKUP($A10,Actions!$F$1:$AQ$70,31,0),0))</f>
        <v>0</v>
      </c>
      <c r="AM10" s="1354" t="str">
        <f ca="1">IF(OR(Actions!$Y4=AM$7,AND(Actions!$Y4&lt;=AM$7,Actions!$Z4&gt;=AM$7)),Actions!$AA4,"")</f>
        <v/>
      </c>
      <c r="AN10" s="1353">
        <f ca="1">IF(AM10&lt;&gt;"",VLOOKUP($A10,Actions!$F$1:$AQ$70,38,0)/(1+VLOOKUP($A10,Actions!$F$1:$AQ$70,21,0)-VLOOKUP($A10,Actions!$F$1:$AQ$70,20,0)),0)</f>
        <v>0</v>
      </c>
      <c r="AO10" s="1353">
        <f ca="1">IF(AM10&lt;&gt;"",IF(VLOOKUP($A10,Actions!$F$1:$AQ$70,34,0)="Commune",(VLOOKUP($A10,Actions!$F$1:$AQ$70,24,0)-VLOOKUP($A10,Actions!$F$1:$AQ$70,26,0))/(1+VLOOKUP($A10,Actions!$F$1:$AQ$70,21,0)-VLOOKUP($A10,Actions!$F$1:$AQ$70,20,0)),0),0)</f>
        <v>0</v>
      </c>
      <c r="AP10" s="1353">
        <f ca="1">IF(AI10="",AL10,IF(AND(AM10="",AI10&lt;&gt;""),VLOOKUP($A10,Actions!$F$1:$AQ$70,31,0),0))</f>
        <v>0</v>
      </c>
      <c r="AQ10" s="1354" t="str">
        <f ca="1">IF(OR(Actions!$Y4=AQ$7,AND(Actions!$Y4&lt;=AQ$7,Actions!$Z4&gt;=AQ$7)),Actions!$AA4,"")</f>
        <v/>
      </c>
      <c r="AR10" s="1353">
        <f ca="1">IF(AQ10&lt;&gt;"",VLOOKUP($A10,Actions!$F$1:$AQ$70,38,0)/(1+VLOOKUP($A10,Actions!$F$1:$AQ$70,21,0)-VLOOKUP($A10,Actions!$F$1:$AQ$70,20,0)),0)</f>
        <v>0</v>
      </c>
      <c r="AS10" s="1353">
        <f ca="1">IF(AQ10&lt;&gt;"",IF(VLOOKUP($A10,Actions!$F$1:$AQ$70,34,0)="Commune",(VLOOKUP($A10,Actions!$F$1:$AQ$70,24,0)-VLOOKUP($A10,Actions!$F$1:$AQ$70,26,0))/(1+VLOOKUP($A10,Actions!$F$1:$AQ$70,21,0)-VLOOKUP($A10,Actions!$F$1:$AQ$70,20,0)),0),0)</f>
        <v>0</v>
      </c>
      <c r="AT10" s="1353">
        <f ca="1">IF(AM10="",AP10,IF(AND(AQ10="",AM10&lt;&gt;""),VLOOKUP($A10,Actions!$F$1:$AQ$70,31,0),0))</f>
        <v>0</v>
      </c>
      <c r="AU10" s="1354" t="str">
        <f ca="1">IF(OR(Actions!$Y4=AU$7,AND(Actions!$Y4&lt;=AU$7,Actions!$Z4&gt;=AU$7)),Actions!$AA4,"")</f>
        <v/>
      </c>
      <c r="AV10" s="1353">
        <f ca="1">IF(AU10&lt;&gt;"",VLOOKUP($A10,Actions!$F$1:$AQ$70,38,0)/(1+VLOOKUP($A10,Actions!$F$1:$AQ$70,21,0)-VLOOKUP($A10,Actions!$F$1:$AQ$70,20,0)),0)</f>
        <v>0</v>
      </c>
      <c r="AW10" s="1353">
        <f ca="1">IF(AU10&lt;&gt;"",IF(VLOOKUP($A10,Actions!$F$1:$AQ$70,34,0)="Commune",(VLOOKUP($A10,Actions!$F$1:$AQ$70,24,0)-VLOOKUP($A10,Actions!$F$1:$AQ$70,26,0))/(1+VLOOKUP($A10,Actions!$F$1:$AQ$70,21,0)-VLOOKUP($A10,Actions!$F$1:$AQ$70,20,0)),0),0)</f>
        <v>0</v>
      </c>
      <c r="AX10" s="1353">
        <f ca="1">IF(AQ10="",AT10,IF(AND(AU10="",AQ10&lt;&gt;""),VLOOKUP($A10,Actions!$F$1:$AQ$70,31,0),0))</f>
        <v>0</v>
      </c>
      <c r="AY10" s="1354" t="str">
        <f ca="1">IF(OR(Actions!$Y4=AY$7,AND(Actions!$Y4&lt;=AY$7,Actions!$Z4&gt;=AY$7)),Actions!$AA4,"")</f>
        <v/>
      </c>
      <c r="AZ10" s="1353">
        <f ca="1">IF(AY10&lt;&gt;"",VLOOKUP($A10,Actions!$F$1:$AQ$70,38,0)/(1+VLOOKUP($A10,Actions!$F$1:$AQ$70,21,0)-VLOOKUP($A10,Actions!$F$1:$AQ$70,20,0)),0)</f>
        <v>0</v>
      </c>
      <c r="BA10" s="1353">
        <f ca="1">IF(AY10&lt;&gt;"",IF(VLOOKUP($A10,Actions!$F$1:$AQ$70,34,0)="Commune",(VLOOKUP($A10,Actions!$F$1:$AQ$70,24,0)-VLOOKUP($A10,Actions!$F$1:$AQ$70,26,0))/(1+VLOOKUP($A10,Actions!$F$1:$AQ$70,21,0)-VLOOKUP($A10,Actions!$F$1:$AQ$70,20,0)),0),0)</f>
        <v>0</v>
      </c>
      <c r="BB10" s="1353">
        <f ca="1">IF(AU10="",AX10,IF(AND(AY10="",AU10&lt;&gt;""),VLOOKUP($A10,Actions!$F$1:$AQ$70,31,0),0))</f>
        <v>0</v>
      </c>
      <c r="BC10" s="1354" t="str">
        <f ca="1">IF(OR(Actions!$Y4=BC$7,AND(Actions!$Y4&lt;=BC$7,Actions!$Z4&gt;=BC$7)),Actions!$AA4,"")</f>
        <v/>
      </c>
      <c r="BD10" s="1353">
        <f ca="1">IF(BC10&lt;&gt;"",VLOOKUP($A10,Actions!$F$1:$AQ$70,38,0)/(1+VLOOKUP($A10,Actions!$F$1:$AQ$70,21,0)-VLOOKUP($A10,Actions!$F$1:$AQ$70,20,0)),0)</f>
        <v>0</v>
      </c>
      <c r="BE10" s="1353">
        <f ca="1">IF(BC10&lt;&gt;"",IF(VLOOKUP($A10,Actions!$F$1:$AQ$70,34,0)="Commune",(VLOOKUP($A10,Actions!$F$1:$AQ$70,24,0)-VLOOKUP($A10,Actions!$F$1:$AQ$70,26,0))/(1+VLOOKUP($A10,Actions!$F$1:$AQ$70,21,0)-VLOOKUP($A10,Actions!$F$1:$AQ$70,20,0)),0),0)</f>
        <v>0</v>
      </c>
      <c r="BF10" s="1353">
        <f ca="1">IF(AY10="",BB10,IF(AND(BC10="",AY10&lt;&gt;""),VLOOKUP($A10,Actions!$F$1:$AQ$70,31,0),0))</f>
        <v>0</v>
      </c>
      <c r="BG10" s="1355">
        <f t="shared" ca="1" si="0"/>
        <v>0</v>
      </c>
      <c r="BH10" s="201">
        <f ca="1">VLOOKUP(B10,Actions!G3:AC72,18,0)-VLOOKUP(B10,Actions!G3:AE72,20,0)</f>
        <v>0</v>
      </c>
      <c r="BI10" s="233"/>
      <c r="BJ10" s="233"/>
      <c r="BK10" s="233"/>
      <c r="BL10" s="233"/>
      <c r="BM10" s="233"/>
      <c r="BN10" s="233"/>
      <c r="BO10" s="233"/>
    </row>
    <row r="11" spans="1:67">
      <c r="A11" s="1349">
        <f>Actions!F5</f>
        <v>4</v>
      </c>
      <c r="B11" s="1352">
        <f ca="1">Actions!G5</f>
        <v>0</v>
      </c>
      <c r="C11" s="1353" t="str">
        <f ca="1">IF(OR(AND(Actions!Y5&gt;0,Actions!Y5&lt;=$C$7,Actions!Z5&gt;=$C$7),AND(Actions!Y5&gt;0,Actions!Y5&lt;=$C$7,Actions!Z5&lt;Actions!Y5),AND(Actions!Y5=0,Actions!Z5&gt;=$C$7)),Actions!$AA5,"")</f>
        <v/>
      </c>
      <c r="D11" s="1353">
        <f ca="1">IF(C11&lt;&gt;"",VLOOKUP($A11,Actions!$F$1:$AQ$70,38,0)/(1+VLOOKUP($A11,Actions!$F$1:$AQ$70,21,0)-VLOOKUP($A11,Actions!$F$1:$AQ$70,20,0)),0)</f>
        <v>0</v>
      </c>
      <c r="E11" s="1353">
        <f ca="1">IF(C11&lt;&gt;"",IF(VLOOKUP($A11,Actions!$F$1:$AQ$70,34,0)="Commune",(VLOOKUP($A11,Actions!$F$1:$AQ$70,24,0)-VLOOKUP($A11,Actions!$F$1:$AQ$70,26,0))/(1+VLOOKUP($A11,Actions!$F$1:$AQ$70,21,0)-VLOOKUP($A11,Actions!$F$1:$AQ$70,20,0)),0),0)</f>
        <v>0</v>
      </c>
      <c r="F11" s="1353">
        <v>0</v>
      </c>
      <c r="G11" s="1354" t="str">
        <f ca="1">IF(OR(Actions!$Y5=G$7,AND(Actions!$Y5&lt;=G$7,Actions!$Z5&gt;=G$7)),Actions!$AA5,"")</f>
        <v/>
      </c>
      <c r="H11" s="1353">
        <f ca="1">IF(G11&lt;&gt;"",VLOOKUP($A11,Actions!$F$1:$AQ$70,38,0)/(1+VLOOKUP($A11,Actions!$F$1:$AQ$70,21,0)-VLOOKUP($A11,Actions!$F$1:$AQ$70,20,0)),0)</f>
        <v>0</v>
      </c>
      <c r="I11" s="1353">
        <f ca="1">IF(G11&lt;&gt;"",IF(VLOOKUP($A11,Actions!$F$1:$AQ$70,34,0)="Commune",(VLOOKUP($A11,Actions!$F$1:$AQ$70,24,0)-VLOOKUP($A11,Actions!$F$1:$AQ$70,26,0))/(1+VLOOKUP($A11,Actions!$F$1:$AQ$70,21,0)-VLOOKUP($A11,Actions!$F$1:$AQ$70,20,0)),0),0)</f>
        <v>0</v>
      </c>
      <c r="J11" s="1353">
        <f ca="1">IF(C11="",F11,IF(AND(G11="",C11&lt;&gt;""),VLOOKUP($A11,Actions!$F$1:$AQ$70,31,0),0))</f>
        <v>0</v>
      </c>
      <c r="K11" s="1354" t="str">
        <f ca="1">IF(OR(Actions!$Y5=K$7,AND(Actions!$Y5&lt;=K$7,Actions!$Z5&gt;=K$7)),Actions!$AA5,"")</f>
        <v/>
      </c>
      <c r="L11" s="1353">
        <f ca="1">IF(K11&lt;&gt;"",VLOOKUP($A11,Actions!$F$1:$AQ$70,38,0)/(1+VLOOKUP($A11,Actions!$F$1:$AQ$70,21,0)-VLOOKUP($A11,Actions!$F$1:$AQ$70,20,0)),0)</f>
        <v>0</v>
      </c>
      <c r="M11" s="1353">
        <f ca="1">IF(K11&lt;&gt;"",IF(VLOOKUP($A11,Actions!$F$1:$AQ$70,34,0)="Commune",(VLOOKUP($A11,Actions!$F$1:$AQ$70,24,0)-VLOOKUP($A11,Actions!$F$1:$AQ$70,26,0))/(1+VLOOKUP($A11,Actions!$F$1:$AQ$70,21,0)-VLOOKUP($A11,Actions!$F$1:$AQ$70,20,0)),0),0)</f>
        <v>0</v>
      </c>
      <c r="N11" s="1353">
        <f ca="1">IF(G11="",J11,IF(AND(K11="",G11&lt;&gt;""),VLOOKUP($A11,Actions!$F$1:$AQ$70,31,0),0))</f>
        <v>0</v>
      </c>
      <c r="O11" s="1354" t="str">
        <f ca="1">IF(OR(Actions!$Y5=O$7,AND(Actions!$Y5&lt;=O$7,Actions!$Z5&gt;=O$7)),Actions!$AA5,"")</f>
        <v/>
      </c>
      <c r="P11" s="1353">
        <f ca="1">IF(O11&lt;&gt;"",VLOOKUP($A11,Actions!$F$1:$AQ$70,38,0)/(1+VLOOKUP($A11,Actions!$F$1:$AQ$70,21,0)-VLOOKUP($A11,Actions!$F$1:$AQ$70,20,0)),0)</f>
        <v>0</v>
      </c>
      <c r="Q11" s="1353">
        <f ca="1">IF(O11&lt;&gt;"",IF(VLOOKUP($A11,Actions!$F$1:$AQ$70,34,0)="Commune",(VLOOKUP($A11,Actions!$F$1:$AQ$70,24,0)-VLOOKUP($A11,Actions!$F$1:$AQ$70,26,0))/(1+VLOOKUP($A11,Actions!$F$1:$AQ$70,21,0)-VLOOKUP($A11,Actions!$F$1:$AQ$70,20,0)),0),0)</f>
        <v>0</v>
      </c>
      <c r="R11" s="1353">
        <f ca="1">IF(K11="",N11,IF(AND(O11="",K11&lt;&gt;""),VLOOKUP($A11,Actions!$F$1:$AQ$70,31,0),0))</f>
        <v>0</v>
      </c>
      <c r="S11" s="1354" t="str">
        <f ca="1">IF(OR(Actions!$Y5=S$7,AND(Actions!$Y5&lt;=S$7,Actions!$Z5&gt;=S$7)),Actions!$AA5,"")</f>
        <v/>
      </c>
      <c r="T11" s="1353">
        <f ca="1">IF(S11&lt;&gt;"",VLOOKUP($A11,Actions!$F$1:$AQ$70,38,0)/(1+VLOOKUP($A11,Actions!$F$1:$AQ$70,21,0)-VLOOKUP($A11,Actions!$F$1:$AQ$70,20,0)),0)</f>
        <v>0</v>
      </c>
      <c r="U11" s="1353">
        <f ca="1">IF(S11&lt;&gt;"",IF(VLOOKUP($A11,Actions!$F$1:$AQ$70,34,0)="Commune",(VLOOKUP($A11,Actions!$F$1:$AQ$70,24,0)-VLOOKUP($A11,Actions!$F$1:$AQ$70,26,0))/(1+VLOOKUP($A11,Actions!$F$1:$AQ$70,21,0)-VLOOKUP($A11,Actions!$F$1:$AQ$70,20,0)),0),0)</f>
        <v>0</v>
      </c>
      <c r="V11" s="1353">
        <f ca="1">IF(O11="",R11,IF(AND(S11="",O11&lt;&gt;""),VLOOKUP($A11,Actions!$F$1:$AQ$70,31,0),0))</f>
        <v>0</v>
      </c>
      <c r="W11" s="1354" t="str">
        <f ca="1">IF(OR(Actions!$Y5=W$7,AND(Actions!$Y5&lt;=W$7,Actions!$Z5&gt;=W$7)),Actions!$AA5,"")</f>
        <v/>
      </c>
      <c r="X11" s="1353">
        <f ca="1">IF(W11&lt;&gt;"",VLOOKUP($A11,Actions!$F$1:$AQ$70,38,0)/(1+VLOOKUP($A11,Actions!$F$1:$AQ$70,21,0)-VLOOKUP($A11,Actions!$F$1:$AQ$70,20,0)),0)</f>
        <v>0</v>
      </c>
      <c r="Y11" s="1353">
        <f ca="1">IF(W11&lt;&gt;"",IF(VLOOKUP($A11,Actions!$F$1:$AQ$70,34,0)="Commune",(VLOOKUP($A11,Actions!$F$1:$AQ$70,24,0)-VLOOKUP($A11,Actions!$F$1:$AQ$70,26,0))/(1+VLOOKUP($A11,Actions!$F$1:$AQ$70,21,0)-VLOOKUP($A11,Actions!$F$1:$AQ$70,20,0)),0),0)</f>
        <v>0</v>
      </c>
      <c r="Z11" s="1353">
        <f ca="1">IF(S11="",V11,IF(AND(W11="",S11&lt;&gt;""),VLOOKUP($A11,Actions!$F$1:$AQ$70,31,0),0))</f>
        <v>0</v>
      </c>
      <c r="AA11" s="1354" t="str">
        <f ca="1">IF(OR(Actions!$Y5=AA$7,AND(Actions!$Y5&lt;=AA$7,Actions!$Z5&gt;=AA$7)),Actions!$AA5,"")</f>
        <v/>
      </c>
      <c r="AB11" s="1353">
        <f ca="1">IF(AA11&lt;&gt;"",VLOOKUP($A11,Actions!$F$1:$AQ$70,38,0)/(1+VLOOKUP($A11,Actions!$F$1:$AQ$70,21,0)-VLOOKUP($A11,Actions!$F$1:$AQ$70,20,0)),0)</f>
        <v>0</v>
      </c>
      <c r="AC11" s="1353">
        <f ca="1">IF(AA11&lt;&gt;"",IF(VLOOKUP($A11,Actions!$F$1:$AQ$70,34,0)="Commune",(VLOOKUP($A11,Actions!$F$1:$AQ$70,24,0)-VLOOKUP($A11,Actions!$F$1:$AQ$70,26,0))/(1+VLOOKUP($A11,Actions!$F$1:$AQ$70,21,0)-VLOOKUP($A11,Actions!$F$1:$AQ$70,20,0)),0),0)</f>
        <v>0</v>
      </c>
      <c r="AD11" s="1353">
        <f ca="1">IF(W11="",Z11,IF(AND(AA11="",W11&lt;&gt;""),VLOOKUP($A11,Actions!$F$1:$AQ$70,31,0),0))</f>
        <v>0</v>
      </c>
      <c r="AE11" s="1354" t="str">
        <f ca="1">IF(OR(Actions!$Y5=AE$7,AND(Actions!$Y5&lt;=AE$7,Actions!$Z5&gt;=AE$7)),Actions!$AA5,"")</f>
        <v/>
      </c>
      <c r="AF11" s="1353">
        <f ca="1">IF(AE11&lt;&gt;"",VLOOKUP($A11,Actions!$F$1:$AQ$70,38,0)/(1+VLOOKUP($A11,Actions!$F$1:$AQ$70,21,0)-VLOOKUP($A11,Actions!$F$1:$AQ$70,20,0)),0)</f>
        <v>0</v>
      </c>
      <c r="AG11" s="1353">
        <f ca="1">IF(AE11&lt;&gt;"",IF(VLOOKUP($A11,Actions!$F$1:$AQ$70,34,0)="Commune",(VLOOKUP($A11,Actions!$F$1:$AQ$70,24,0)-VLOOKUP($A11,Actions!$F$1:$AQ$70,26,0))/(1+VLOOKUP($A11,Actions!$F$1:$AQ$70,21,0)-VLOOKUP($A11,Actions!$F$1:$AQ$70,20,0)),0),0)</f>
        <v>0</v>
      </c>
      <c r="AH11" s="1353">
        <f ca="1">IF(AA11="",AD11,IF(AND(AE11="",AA11&lt;&gt;""),VLOOKUP($A11,Actions!$F$1:$AQ$70,31,0),0))</f>
        <v>0</v>
      </c>
      <c r="AI11" s="1354" t="str">
        <f ca="1">IF(OR(Actions!$Y5=AI$7,AND(Actions!$Y5&lt;=AI$7,Actions!$Z5&gt;=AI$7)),Actions!$AA5,"")</f>
        <v/>
      </c>
      <c r="AJ11" s="1353">
        <f ca="1">IF(AI11&lt;&gt;"",VLOOKUP($A11,Actions!$F$1:$AQ$70,38,0)/(1+VLOOKUP($A11,Actions!$F$1:$AQ$70,21,0)-VLOOKUP($A11,Actions!$F$1:$AQ$70,20,0)),0)</f>
        <v>0</v>
      </c>
      <c r="AK11" s="1353">
        <f ca="1">IF(AI11&lt;&gt;"",IF(VLOOKUP($A11,Actions!$F$1:$AQ$70,34,0)="Commune",(VLOOKUP($A11,Actions!$F$1:$AQ$70,24,0)-VLOOKUP($A11,Actions!$F$1:$AQ$70,26,0))/(1+VLOOKUP($A11,Actions!$F$1:$AQ$70,21,0)-VLOOKUP($A11,Actions!$F$1:$AQ$70,20,0)),0),0)</f>
        <v>0</v>
      </c>
      <c r="AL11" s="1353">
        <f ca="1">IF(AE11="",AH11,IF(AND(AI11="",AE11&lt;&gt;""),VLOOKUP($A11,Actions!$F$1:$AQ$70,31,0),0))</f>
        <v>0</v>
      </c>
      <c r="AM11" s="1354" t="str">
        <f ca="1">IF(OR(Actions!$Y5=AM$7,AND(Actions!$Y5&lt;=AM$7,Actions!$Z5&gt;=AM$7)),Actions!$AA5,"")</f>
        <v/>
      </c>
      <c r="AN11" s="1353">
        <f ca="1">IF(AM11&lt;&gt;"",VLOOKUP($A11,Actions!$F$1:$AQ$70,38,0)/(1+VLOOKUP($A11,Actions!$F$1:$AQ$70,21,0)-VLOOKUP($A11,Actions!$F$1:$AQ$70,20,0)),0)</f>
        <v>0</v>
      </c>
      <c r="AO11" s="1353">
        <f ca="1">IF(AM11&lt;&gt;"",IF(VLOOKUP($A11,Actions!$F$1:$AQ$70,34,0)="Commune",(VLOOKUP($A11,Actions!$F$1:$AQ$70,24,0)-VLOOKUP($A11,Actions!$F$1:$AQ$70,26,0))/(1+VLOOKUP($A11,Actions!$F$1:$AQ$70,21,0)-VLOOKUP($A11,Actions!$F$1:$AQ$70,20,0)),0),0)</f>
        <v>0</v>
      </c>
      <c r="AP11" s="1353">
        <f ca="1">IF(AI11="",AL11,IF(AND(AM11="",AI11&lt;&gt;""),VLOOKUP($A11,Actions!$F$1:$AQ$70,31,0),0))</f>
        <v>0</v>
      </c>
      <c r="AQ11" s="1354" t="str">
        <f ca="1">IF(OR(Actions!$Y5=AQ$7,AND(Actions!$Y5&lt;=AQ$7,Actions!$Z5&gt;=AQ$7)),Actions!$AA5,"")</f>
        <v/>
      </c>
      <c r="AR11" s="1353">
        <f ca="1">IF(AQ11&lt;&gt;"",VLOOKUP($A11,Actions!$F$1:$AQ$70,38,0)/(1+VLOOKUP($A11,Actions!$F$1:$AQ$70,21,0)-VLOOKUP($A11,Actions!$F$1:$AQ$70,20,0)),0)</f>
        <v>0</v>
      </c>
      <c r="AS11" s="1353">
        <f ca="1">IF(AQ11&lt;&gt;"",IF(VLOOKUP($A11,Actions!$F$1:$AQ$70,34,0)="Commune",(VLOOKUP($A11,Actions!$F$1:$AQ$70,24,0)-VLOOKUP($A11,Actions!$F$1:$AQ$70,26,0))/(1+VLOOKUP($A11,Actions!$F$1:$AQ$70,21,0)-VLOOKUP($A11,Actions!$F$1:$AQ$70,20,0)),0),0)</f>
        <v>0</v>
      </c>
      <c r="AT11" s="1353">
        <f ca="1">IF(AM11="",AP11,IF(AND(AQ11="",AM11&lt;&gt;""),VLOOKUP($A11,Actions!$F$1:$AQ$70,31,0),0))</f>
        <v>0</v>
      </c>
      <c r="AU11" s="1354" t="str">
        <f ca="1">IF(OR(Actions!$Y5=AU$7,AND(Actions!$Y5&lt;=AU$7,Actions!$Z5&gt;=AU$7)),Actions!$AA5,"")</f>
        <v/>
      </c>
      <c r="AV11" s="1353">
        <f ca="1">IF(AU11&lt;&gt;"",VLOOKUP($A11,Actions!$F$1:$AQ$70,38,0)/(1+VLOOKUP($A11,Actions!$F$1:$AQ$70,21,0)-VLOOKUP($A11,Actions!$F$1:$AQ$70,20,0)),0)</f>
        <v>0</v>
      </c>
      <c r="AW11" s="1353">
        <f ca="1">IF(AU11&lt;&gt;"",IF(VLOOKUP($A11,Actions!$F$1:$AQ$70,34,0)="Commune",(VLOOKUP($A11,Actions!$F$1:$AQ$70,24,0)-VLOOKUP($A11,Actions!$F$1:$AQ$70,26,0))/(1+VLOOKUP($A11,Actions!$F$1:$AQ$70,21,0)-VLOOKUP($A11,Actions!$F$1:$AQ$70,20,0)),0),0)</f>
        <v>0</v>
      </c>
      <c r="AX11" s="1353">
        <f ca="1">IF(AQ11="",AT11,IF(AND(AU11="",AQ11&lt;&gt;""),VLOOKUP($A11,Actions!$F$1:$AQ$70,31,0),0))</f>
        <v>0</v>
      </c>
      <c r="AY11" s="1354" t="str">
        <f ca="1">IF(OR(Actions!$Y5=AY$7,AND(Actions!$Y5&lt;=AY$7,Actions!$Z5&gt;=AY$7)),Actions!$AA5,"")</f>
        <v/>
      </c>
      <c r="AZ11" s="1353">
        <f ca="1">IF(AY11&lt;&gt;"",VLOOKUP($A11,Actions!$F$1:$AQ$70,38,0)/(1+VLOOKUP($A11,Actions!$F$1:$AQ$70,21,0)-VLOOKUP($A11,Actions!$F$1:$AQ$70,20,0)),0)</f>
        <v>0</v>
      </c>
      <c r="BA11" s="1353">
        <f ca="1">IF(AY11&lt;&gt;"",IF(VLOOKUP($A11,Actions!$F$1:$AQ$70,34,0)="Commune",(VLOOKUP($A11,Actions!$F$1:$AQ$70,24,0)-VLOOKUP($A11,Actions!$F$1:$AQ$70,26,0))/(1+VLOOKUP($A11,Actions!$F$1:$AQ$70,21,0)-VLOOKUP($A11,Actions!$F$1:$AQ$70,20,0)),0),0)</f>
        <v>0</v>
      </c>
      <c r="BB11" s="1353">
        <f ca="1">IF(AU11="",AX11,IF(AND(AY11="",AU11&lt;&gt;""),VLOOKUP($A11,Actions!$F$1:$AQ$70,31,0),0))</f>
        <v>0</v>
      </c>
      <c r="BC11" s="1354" t="str">
        <f ca="1">IF(OR(Actions!$Y5=BC$7,AND(Actions!$Y5&lt;=BC$7,Actions!$Z5&gt;=BC$7)),Actions!$AA5,"")</f>
        <v/>
      </c>
      <c r="BD11" s="1353">
        <f ca="1">IF(BC11&lt;&gt;"",VLOOKUP($A11,Actions!$F$1:$AQ$70,38,0)/(1+VLOOKUP($A11,Actions!$F$1:$AQ$70,21,0)-VLOOKUP($A11,Actions!$F$1:$AQ$70,20,0)),0)</f>
        <v>0</v>
      </c>
      <c r="BE11" s="1353">
        <f ca="1">IF(BC11&lt;&gt;"",IF(VLOOKUP($A11,Actions!$F$1:$AQ$70,34,0)="Commune",(VLOOKUP($A11,Actions!$F$1:$AQ$70,24,0)-VLOOKUP($A11,Actions!$F$1:$AQ$70,26,0))/(1+VLOOKUP($A11,Actions!$F$1:$AQ$70,21,0)-VLOOKUP($A11,Actions!$F$1:$AQ$70,20,0)),0),0)</f>
        <v>0</v>
      </c>
      <c r="BF11" s="1353">
        <f ca="1">IF(AY11="",BB11,IF(AND(BC11="",AY11&lt;&gt;""),VLOOKUP($A11,Actions!$F$1:$AQ$70,31,0),0))</f>
        <v>0</v>
      </c>
      <c r="BG11" s="1355">
        <f t="shared" ca="1" si="0"/>
        <v>0</v>
      </c>
      <c r="BH11" s="201">
        <f ca="1">VLOOKUP(B11,Actions!G4:AC73,18,0)-VLOOKUP(B11,Actions!G4:AE73,20,0)</f>
        <v>0</v>
      </c>
      <c r="BI11" s="233"/>
      <c r="BJ11" s="233"/>
      <c r="BK11" s="233"/>
      <c r="BL11" s="233"/>
      <c r="BM11" s="233"/>
      <c r="BN11" s="233"/>
      <c r="BO11" s="233"/>
    </row>
    <row r="12" spans="1:67">
      <c r="A12" s="1349">
        <f>Actions!F6</f>
        <v>5</v>
      </c>
      <c r="B12" s="1352">
        <f ca="1">Actions!G6</f>
        <v>0</v>
      </c>
      <c r="C12" s="1353" t="str">
        <f ca="1">IF(OR(AND(Actions!Y6&gt;0,Actions!Y6&lt;=$C$7,Actions!Z6&gt;=$C$7),AND(Actions!Y6&gt;0,Actions!Y6&lt;=$C$7,Actions!Z6&lt;Actions!Y6),AND(Actions!Y6=0,Actions!Z6&gt;=$C$7)),Actions!$AA6,"")</f>
        <v/>
      </c>
      <c r="D12" s="1353">
        <f ca="1">IF(C12&lt;&gt;"",VLOOKUP($A12,Actions!$F$1:$AQ$70,38,0)/(1+VLOOKUP($A12,Actions!$F$1:$AQ$70,21,0)-VLOOKUP($A12,Actions!$F$1:$AQ$70,20,0)),0)</f>
        <v>0</v>
      </c>
      <c r="E12" s="1353">
        <f ca="1">IF(C12&lt;&gt;"",IF(VLOOKUP($A12,Actions!$F$1:$AQ$70,34,0)="Commune",(VLOOKUP($A12,Actions!$F$1:$AQ$70,24,0)-VLOOKUP($A12,Actions!$F$1:$AQ$70,26,0))/(1+VLOOKUP($A12,Actions!$F$1:$AQ$70,21,0)-VLOOKUP($A12,Actions!$F$1:$AQ$70,20,0)),0),0)</f>
        <v>0</v>
      </c>
      <c r="F12" s="1353">
        <v>0</v>
      </c>
      <c r="G12" s="1354" t="str">
        <f ca="1">IF(OR(Actions!$Y6=G$7,AND(Actions!$Y6&lt;=G$7,Actions!$Z6&gt;=G$7)),Actions!$AA6,"")</f>
        <v/>
      </c>
      <c r="H12" s="1353">
        <f ca="1">IF(G12&lt;&gt;"",VLOOKUP($A12,Actions!$F$1:$AQ$70,38,0)/(1+VLOOKUP($A12,Actions!$F$1:$AQ$70,21,0)-VLOOKUP($A12,Actions!$F$1:$AQ$70,20,0)),0)</f>
        <v>0</v>
      </c>
      <c r="I12" s="1353">
        <f ca="1">IF(G12&lt;&gt;"",IF(VLOOKUP($A12,Actions!$F$1:$AQ$70,34,0)="Commune",(VLOOKUP($A12,Actions!$F$1:$AQ$70,24,0)-VLOOKUP($A12,Actions!$F$1:$AQ$70,26,0))/(1+VLOOKUP($A12,Actions!$F$1:$AQ$70,21,0)-VLOOKUP($A12,Actions!$F$1:$AQ$70,20,0)),0),0)</f>
        <v>0</v>
      </c>
      <c r="J12" s="1353">
        <f ca="1">IF(C12="",F12,IF(AND(G12="",C12&lt;&gt;""),VLOOKUP($A12,Actions!$F$1:$AQ$70,31,0),0))</f>
        <v>0</v>
      </c>
      <c r="K12" s="1354" t="str">
        <f ca="1">IF(OR(Actions!$Y6=K$7,AND(Actions!$Y6&lt;=K$7,Actions!$Z6&gt;=K$7)),Actions!$AA6,"")</f>
        <v/>
      </c>
      <c r="L12" s="1353">
        <f ca="1">IF(K12&lt;&gt;"",VLOOKUP($A12,Actions!$F$1:$AQ$70,38,0)/(1+VLOOKUP($A12,Actions!$F$1:$AQ$70,21,0)-VLOOKUP($A12,Actions!$F$1:$AQ$70,20,0)),0)</f>
        <v>0</v>
      </c>
      <c r="M12" s="1353">
        <f ca="1">IF(K12&lt;&gt;"",IF(VLOOKUP($A12,Actions!$F$1:$AQ$70,34,0)="Commune",(VLOOKUP($A12,Actions!$F$1:$AQ$70,24,0)-VLOOKUP($A12,Actions!$F$1:$AQ$70,26,0))/(1+VLOOKUP($A12,Actions!$F$1:$AQ$70,21,0)-VLOOKUP($A12,Actions!$F$1:$AQ$70,20,0)),0),0)</f>
        <v>0</v>
      </c>
      <c r="N12" s="1353">
        <f ca="1">IF(G12="",J12,IF(AND(K12="",G12&lt;&gt;""),VLOOKUP($A12,Actions!$F$1:$AQ$70,31,0),0))</f>
        <v>0</v>
      </c>
      <c r="O12" s="1354" t="str">
        <f ca="1">IF(OR(Actions!$Y6=O$7,AND(Actions!$Y6&lt;=O$7,Actions!$Z6&gt;=O$7)),Actions!$AA6,"")</f>
        <v/>
      </c>
      <c r="P12" s="1353">
        <f ca="1">IF(O12&lt;&gt;"",VLOOKUP($A12,Actions!$F$1:$AQ$70,38,0)/(1+VLOOKUP($A12,Actions!$F$1:$AQ$70,21,0)-VLOOKUP($A12,Actions!$F$1:$AQ$70,20,0)),0)</f>
        <v>0</v>
      </c>
      <c r="Q12" s="1353">
        <f ca="1">IF(O12&lt;&gt;"",IF(VLOOKUP($A12,Actions!$F$1:$AQ$70,34,0)="Commune",(VLOOKUP($A12,Actions!$F$1:$AQ$70,24,0)-VLOOKUP($A12,Actions!$F$1:$AQ$70,26,0))/(1+VLOOKUP($A12,Actions!$F$1:$AQ$70,21,0)-VLOOKUP($A12,Actions!$F$1:$AQ$70,20,0)),0),0)</f>
        <v>0</v>
      </c>
      <c r="R12" s="1353">
        <f ca="1">IF(K12="",N12,IF(AND(O12="",K12&lt;&gt;""),VLOOKUP($A12,Actions!$F$1:$AQ$70,31,0),0))</f>
        <v>0</v>
      </c>
      <c r="S12" s="1354" t="str">
        <f ca="1">IF(OR(Actions!$Y6=S$7,AND(Actions!$Y6&lt;=S$7,Actions!$Z6&gt;=S$7)),Actions!$AA6,"")</f>
        <v/>
      </c>
      <c r="T12" s="1353">
        <f ca="1">IF(S12&lt;&gt;"",VLOOKUP($A12,Actions!$F$1:$AQ$70,38,0)/(1+VLOOKUP($A12,Actions!$F$1:$AQ$70,21,0)-VLOOKUP($A12,Actions!$F$1:$AQ$70,20,0)),0)</f>
        <v>0</v>
      </c>
      <c r="U12" s="1353">
        <f ca="1">IF(S12&lt;&gt;"",IF(VLOOKUP($A12,Actions!$F$1:$AQ$70,34,0)="Commune",(VLOOKUP($A12,Actions!$F$1:$AQ$70,24,0)-VLOOKUP($A12,Actions!$F$1:$AQ$70,26,0))/(1+VLOOKUP($A12,Actions!$F$1:$AQ$70,21,0)-VLOOKUP($A12,Actions!$F$1:$AQ$70,20,0)),0),0)</f>
        <v>0</v>
      </c>
      <c r="V12" s="1353">
        <f ca="1">IF(O12="",R12,IF(AND(S12="",O12&lt;&gt;""),VLOOKUP($A12,Actions!$F$1:$AQ$70,31,0),0))</f>
        <v>0</v>
      </c>
      <c r="W12" s="1354" t="str">
        <f ca="1">IF(OR(Actions!$Y6=W$7,AND(Actions!$Y6&lt;=W$7,Actions!$Z6&gt;=W$7)),Actions!$AA6,"")</f>
        <v/>
      </c>
      <c r="X12" s="1353">
        <f ca="1">IF(W12&lt;&gt;"",VLOOKUP($A12,Actions!$F$1:$AQ$70,38,0)/(1+VLOOKUP($A12,Actions!$F$1:$AQ$70,21,0)-VLOOKUP($A12,Actions!$F$1:$AQ$70,20,0)),0)</f>
        <v>0</v>
      </c>
      <c r="Y12" s="1353">
        <f ca="1">IF(W12&lt;&gt;"",IF(VLOOKUP($A12,Actions!$F$1:$AQ$70,34,0)="Commune",(VLOOKUP($A12,Actions!$F$1:$AQ$70,24,0)-VLOOKUP($A12,Actions!$F$1:$AQ$70,26,0))/(1+VLOOKUP($A12,Actions!$F$1:$AQ$70,21,0)-VLOOKUP($A12,Actions!$F$1:$AQ$70,20,0)),0),0)</f>
        <v>0</v>
      </c>
      <c r="Z12" s="1353">
        <f ca="1">IF(S12="",V12,IF(AND(W12="",S12&lt;&gt;""),VLOOKUP($A12,Actions!$F$1:$AQ$70,31,0),0))</f>
        <v>0</v>
      </c>
      <c r="AA12" s="1354" t="str">
        <f ca="1">IF(OR(Actions!$Y6=AA$7,AND(Actions!$Y6&lt;=AA$7,Actions!$Z6&gt;=AA$7)),Actions!$AA6,"")</f>
        <v/>
      </c>
      <c r="AB12" s="1353">
        <f ca="1">IF(AA12&lt;&gt;"",VLOOKUP($A12,Actions!$F$1:$AQ$70,38,0)/(1+VLOOKUP($A12,Actions!$F$1:$AQ$70,21,0)-VLOOKUP($A12,Actions!$F$1:$AQ$70,20,0)),0)</f>
        <v>0</v>
      </c>
      <c r="AC12" s="1353">
        <f ca="1">IF(AA12&lt;&gt;"",IF(VLOOKUP($A12,Actions!$F$1:$AQ$70,34,0)="Commune",(VLOOKUP($A12,Actions!$F$1:$AQ$70,24,0)-VLOOKUP($A12,Actions!$F$1:$AQ$70,26,0))/(1+VLOOKUP($A12,Actions!$F$1:$AQ$70,21,0)-VLOOKUP($A12,Actions!$F$1:$AQ$70,20,0)),0),0)</f>
        <v>0</v>
      </c>
      <c r="AD12" s="1353">
        <f ca="1">IF(W12="",Z12,IF(AND(AA12="",W12&lt;&gt;""),VLOOKUP($A12,Actions!$F$1:$AQ$70,31,0),0))</f>
        <v>0</v>
      </c>
      <c r="AE12" s="1354" t="str">
        <f ca="1">IF(OR(Actions!$Y6=AE$7,AND(Actions!$Y6&lt;=AE$7,Actions!$Z6&gt;=AE$7)),Actions!$AA6,"")</f>
        <v/>
      </c>
      <c r="AF12" s="1353">
        <f ca="1">IF(AE12&lt;&gt;"",VLOOKUP($A12,Actions!$F$1:$AQ$70,38,0)/(1+VLOOKUP($A12,Actions!$F$1:$AQ$70,21,0)-VLOOKUP($A12,Actions!$F$1:$AQ$70,20,0)),0)</f>
        <v>0</v>
      </c>
      <c r="AG12" s="1353">
        <f ca="1">IF(AE12&lt;&gt;"",IF(VLOOKUP($A12,Actions!$F$1:$AQ$70,34,0)="Commune",(VLOOKUP($A12,Actions!$F$1:$AQ$70,24,0)-VLOOKUP($A12,Actions!$F$1:$AQ$70,26,0))/(1+VLOOKUP($A12,Actions!$F$1:$AQ$70,21,0)-VLOOKUP($A12,Actions!$F$1:$AQ$70,20,0)),0),0)</f>
        <v>0</v>
      </c>
      <c r="AH12" s="1353">
        <f ca="1">IF(AA12="",AD12,IF(AND(AE12="",AA12&lt;&gt;""),VLOOKUP($A12,Actions!$F$1:$AQ$70,31,0),0))</f>
        <v>0</v>
      </c>
      <c r="AI12" s="1354" t="str">
        <f ca="1">IF(OR(Actions!$Y6=AI$7,AND(Actions!$Y6&lt;=AI$7,Actions!$Z6&gt;=AI$7)),Actions!$AA6,"")</f>
        <v/>
      </c>
      <c r="AJ12" s="1353">
        <f ca="1">IF(AI12&lt;&gt;"",VLOOKUP($A12,Actions!$F$1:$AQ$70,38,0)/(1+VLOOKUP($A12,Actions!$F$1:$AQ$70,21,0)-VLOOKUP($A12,Actions!$F$1:$AQ$70,20,0)),0)</f>
        <v>0</v>
      </c>
      <c r="AK12" s="1353">
        <f ca="1">IF(AI12&lt;&gt;"",IF(VLOOKUP($A12,Actions!$F$1:$AQ$70,34,0)="Commune",(VLOOKUP($A12,Actions!$F$1:$AQ$70,24,0)-VLOOKUP($A12,Actions!$F$1:$AQ$70,26,0))/(1+VLOOKUP($A12,Actions!$F$1:$AQ$70,21,0)-VLOOKUP($A12,Actions!$F$1:$AQ$70,20,0)),0),0)</f>
        <v>0</v>
      </c>
      <c r="AL12" s="1353">
        <f ca="1">IF(AE12="",AH12,IF(AND(AI12="",AE12&lt;&gt;""),VLOOKUP($A12,Actions!$F$1:$AQ$70,31,0),0))</f>
        <v>0</v>
      </c>
      <c r="AM12" s="1354" t="str">
        <f ca="1">IF(OR(Actions!$Y6=AM$7,AND(Actions!$Y6&lt;=AM$7,Actions!$Z6&gt;=AM$7)),Actions!$AA6,"")</f>
        <v/>
      </c>
      <c r="AN12" s="1353">
        <f ca="1">IF(AM12&lt;&gt;"",VLOOKUP($A12,Actions!$F$1:$AQ$70,38,0)/(1+VLOOKUP($A12,Actions!$F$1:$AQ$70,21,0)-VLOOKUP($A12,Actions!$F$1:$AQ$70,20,0)),0)</f>
        <v>0</v>
      </c>
      <c r="AO12" s="1353">
        <f ca="1">IF(AM12&lt;&gt;"",IF(VLOOKUP($A12,Actions!$F$1:$AQ$70,34,0)="Commune",(VLOOKUP($A12,Actions!$F$1:$AQ$70,24,0)-VLOOKUP($A12,Actions!$F$1:$AQ$70,26,0))/(1+VLOOKUP($A12,Actions!$F$1:$AQ$70,21,0)-VLOOKUP($A12,Actions!$F$1:$AQ$70,20,0)),0),0)</f>
        <v>0</v>
      </c>
      <c r="AP12" s="1353">
        <f ca="1">IF(AI12="",AL12,IF(AND(AM12="",AI12&lt;&gt;""),VLOOKUP($A12,Actions!$F$1:$AQ$70,31,0),0))</f>
        <v>0</v>
      </c>
      <c r="AQ12" s="1354" t="str">
        <f ca="1">IF(OR(Actions!$Y6=AQ$7,AND(Actions!$Y6&lt;=AQ$7,Actions!$Z6&gt;=AQ$7)),Actions!$AA6,"")</f>
        <v/>
      </c>
      <c r="AR12" s="1353">
        <f ca="1">IF(AQ12&lt;&gt;"",VLOOKUP($A12,Actions!$F$1:$AQ$70,38,0)/(1+VLOOKUP($A12,Actions!$F$1:$AQ$70,21,0)-VLOOKUP($A12,Actions!$F$1:$AQ$70,20,0)),0)</f>
        <v>0</v>
      </c>
      <c r="AS12" s="1353">
        <f ca="1">IF(AQ12&lt;&gt;"",IF(VLOOKUP($A12,Actions!$F$1:$AQ$70,34,0)="Commune",(VLOOKUP($A12,Actions!$F$1:$AQ$70,24,0)-VLOOKUP($A12,Actions!$F$1:$AQ$70,26,0))/(1+VLOOKUP($A12,Actions!$F$1:$AQ$70,21,0)-VLOOKUP($A12,Actions!$F$1:$AQ$70,20,0)),0),0)</f>
        <v>0</v>
      </c>
      <c r="AT12" s="1353">
        <f ca="1">IF(AM12="",AP12,IF(AND(AQ12="",AM12&lt;&gt;""),VLOOKUP($A12,Actions!$F$1:$AQ$70,31,0),0))</f>
        <v>0</v>
      </c>
      <c r="AU12" s="1354" t="str">
        <f ca="1">IF(OR(Actions!$Y6=AU$7,AND(Actions!$Y6&lt;=AU$7,Actions!$Z6&gt;=AU$7)),Actions!$AA6,"")</f>
        <v/>
      </c>
      <c r="AV12" s="1353">
        <f ca="1">IF(AU12&lt;&gt;"",VLOOKUP($A12,Actions!$F$1:$AQ$70,38,0)/(1+VLOOKUP($A12,Actions!$F$1:$AQ$70,21,0)-VLOOKUP($A12,Actions!$F$1:$AQ$70,20,0)),0)</f>
        <v>0</v>
      </c>
      <c r="AW12" s="1353">
        <f ca="1">IF(AU12&lt;&gt;"",IF(VLOOKUP($A12,Actions!$F$1:$AQ$70,34,0)="Commune",(VLOOKUP($A12,Actions!$F$1:$AQ$70,24,0)-VLOOKUP($A12,Actions!$F$1:$AQ$70,26,0))/(1+VLOOKUP($A12,Actions!$F$1:$AQ$70,21,0)-VLOOKUP($A12,Actions!$F$1:$AQ$70,20,0)),0),0)</f>
        <v>0</v>
      </c>
      <c r="AX12" s="1353">
        <f ca="1">IF(AQ12="",AT12,IF(AND(AU12="",AQ12&lt;&gt;""),VLOOKUP($A12,Actions!$F$1:$AQ$70,31,0),0))</f>
        <v>0</v>
      </c>
      <c r="AY12" s="1354" t="str">
        <f ca="1">IF(OR(Actions!$Y6=AY$7,AND(Actions!$Y6&lt;=AY$7,Actions!$Z6&gt;=AY$7)),Actions!$AA6,"")</f>
        <v/>
      </c>
      <c r="AZ12" s="1353">
        <f ca="1">IF(AY12&lt;&gt;"",VLOOKUP($A12,Actions!$F$1:$AQ$70,38,0)/(1+VLOOKUP($A12,Actions!$F$1:$AQ$70,21,0)-VLOOKUP($A12,Actions!$F$1:$AQ$70,20,0)),0)</f>
        <v>0</v>
      </c>
      <c r="BA12" s="1353">
        <f ca="1">IF(AY12&lt;&gt;"",IF(VLOOKUP($A12,Actions!$F$1:$AQ$70,34,0)="Commune",(VLOOKUP($A12,Actions!$F$1:$AQ$70,24,0)-VLOOKUP($A12,Actions!$F$1:$AQ$70,26,0))/(1+VLOOKUP($A12,Actions!$F$1:$AQ$70,21,0)-VLOOKUP($A12,Actions!$F$1:$AQ$70,20,0)),0),0)</f>
        <v>0</v>
      </c>
      <c r="BB12" s="1353">
        <f ca="1">IF(AU12="",AX12,IF(AND(AY12="",AU12&lt;&gt;""),VLOOKUP($A12,Actions!$F$1:$AQ$70,31,0),0))</f>
        <v>0</v>
      </c>
      <c r="BC12" s="1354" t="str">
        <f ca="1">IF(OR(Actions!$Y6=BC$7,AND(Actions!$Y6&lt;=BC$7,Actions!$Z6&gt;=BC$7)),Actions!$AA6,"")</f>
        <v/>
      </c>
      <c r="BD12" s="1353">
        <f ca="1">IF(BC12&lt;&gt;"",VLOOKUP($A12,Actions!$F$1:$AQ$70,38,0)/(1+VLOOKUP($A12,Actions!$F$1:$AQ$70,21,0)-VLOOKUP($A12,Actions!$F$1:$AQ$70,20,0)),0)</f>
        <v>0</v>
      </c>
      <c r="BE12" s="1353">
        <f ca="1">IF(BC12&lt;&gt;"",IF(VLOOKUP($A12,Actions!$F$1:$AQ$70,34,0)="Commune",(VLOOKUP($A12,Actions!$F$1:$AQ$70,24,0)-VLOOKUP($A12,Actions!$F$1:$AQ$70,26,0))/(1+VLOOKUP($A12,Actions!$F$1:$AQ$70,21,0)-VLOOKUP($A12,Actions!$F$1:$AQ$70,20,0)),0),0)</f>
        <v>0</v>
      </c>
      <c r="BF12" s="1353">
        <f ca="1">IF(AY12="",BB12,IF(AND(BC12="",AY12&lt;&gt;""),VLOOKUP($A12,Actions!$F$1:$AQ$70,31,0),0))</f>
        <v>0</v>
      </c>
      <c r="BG12" s="1355">
        <f t="shared" ca="1" si="0"/>
        <v>0</v>
      </c>
      <c r="BH12" s="201">
        <f ca="1">VLOOKUP(B12,Actions!G5:AC74,18,0)-VLOOKUP(B12,Actions!G5:AE74,20,0)</f>
        <v>0</v>
      </c>
      <c r="BI12" s="233"/>
      <c r="BJ12" s="233"/>
      <c r="BK12" s="233"/>
      <c r="BL12" s="233"/>
      <c r="BM12" s="233"/>
      <c r="BN12" s="233"/>
      <c r="BO12" s="233"/>
    </row>
    <row r="13" spans="1:67">
      <c r="A13" s="1349">
        <f>Actions!F7</f>
        <v>6</v>
      </c>
      <c r="B13" s="1352">
        <f ca="1">Actions!G7</f>
        <v>0</v>
      </c>
      <c r="C13" s="1353" t="str">
        <f ca="1">IF(OR(AND(Actions!Y7&gt;0,Actions!Y7&lt;=$C$7,Actions!Z7&gt;=$C$7),AND(Actions!Y7&gt;0,Actions!Y7&lt;=$C$7,Actions!Z7&lt;Actions!Y7),AND(Actions!Y7=0,Actions!Z7&gt;=$C$7)),Actions!$AA7,"")</f>
        <v/>
      </c>
      <c r="D13" s="1353">
        <f ca="1">IF(C13&lt;&gt;"",VLOOKUP($A13,Actions!$F$1:$AQ$70,38,0)/(1+VLOOKUP($A13,Actions!$F$1:$AQ$70,21,0)-VLOOKUP($A13,Actions!$F$1:$AQ$70,20,0)),0)</f>
        <v>0</v>
      </c>
      <c r="E13" s="1353">
        <f ca="1">IF(C13&lt;&gt;"",IF(VLOOKUP($A13,Actions!$F$1:$AQ$70,34,0)="Commune",(VLOOKUP($A13,Actions!$F$1:$AQ$70,24,0)-VLOOKUP($A13,Actions!$F$1:$AQ$70,26,0))/(1+VLOOKUP($A13,Actions!$F$1:$AQ$70,21,0)-VLOOKUP($A13,Actions!$F$1:$AQ$70,20,0)),0),0)</f>
        <v>0</v>
      </c>
      <c r="F13" s="1353">
        <v>0</v>
      </c>
      <c r="G13" s="1354" t="str">
        <f ca="1">IF(OR(Actions!$Y7=G$7,AND(Actions!$Y7&lt;=G$7,Actions!$Z7&gt;=G$7)),Actions!$AA7,"")</f>
        <v/>
      </c>
      <c r="H13" s="1353">
        <f ca="1">IF(G13&lt;&gt;"",VLOOKUP($A13,Actions!$F$1:$AQ$70,38,0)/(1+VLOOKUP($A13,Actions!$F$1:$AQ$70,21,0)-VLOOKUP($A13,Actions!$F$1:$AQ$70,20,0)),0)</f>
        <v>0</v>
      </c>
      <c r="I13" s="1353">
        <f ca="1">IF(G13&lt;&gt;"",IF(VLOOKUP($A13,Actions!$F$1:$AQ$70,34,0)="Commune",(VLOOKUP($A13,Actions!$F$1:$AQ$70,24,0)-VLOOKUP($A13,Actions!$F$1:$AQ$70,26,0))/(1+VLOOKUP($A13,Actions!$F$1:$AQ$70,21,0)-VLOOKUP($A13,Actions!$F$1:$AQ$70,20,0)),0),0)</f>
        <v>0</v>
      </c>
      <c r="J13" s="1353">
        <f ca="1">IF(C13="",F13,IF(AND(G13="",C13&lt;&gt;""),VLOOKUP($A13,Actions!$F$1:$AQ$70,31,0),0))</f>
        <v>0</v>
      </c>
      <c r="K13" s="1354" t="str">
        <f ca="1">IF(OR(Actions!$Y7=K$7,AND(Actions!$Y7&lt;=K$7,Actions!$Z7&gt;=K$7)),Actions!$AA7,"")</f>
        <v/>
      </c>
      <c r="L13" s="1353">
        <f ca="1">IF(K13&lt;&gt;"",VLOOKUP($A13,Actions!$F$1:$AQ$70,38,0)/(1+VLOOKUP($A13,Actions!$F$1:$AQ$70,21,0)-VLOOKUP($A13,Actions!$F$1:$AQ$70,20,0)),0)</f>
        <v>0</v>
      </c>
      <c r="M13" s="1353">
        <f ca="1">IF(K13&lt;&gt;"",IF(VLOOKUP($A13,Actions!$F$1:$AQ$70,34,0)="Commune",(VLOOKUP($A13,Actions!$F$1:$AQ$70,24,0)-VLOOKUP($A13,Actions!$F$1:$AQ$70,26,0))/(1+VLOOKUP($A13,Actions!$F$1:$AQ$70,21,0)-VLOOKUP($A13,Actions!$F$1:$AQ$70,20,0)),0),0)</f>
        <v>0</v>
      </c>
      <c r="N13" s="1353">
        <f ca="1">IF(G13="",J13,IF(AND(K13="",G13&lt;&gt;""),VLOOKUP($A13,Actions!$F$1:$AQ$70,31,0),0))</f>
        <v>0</v>
      </c>
      <c r="O13" s="1354" t="str">
        <f ca="1">IF(OR(Actions!$Y7=O$7,AND(Actions!$Y7&lt;=O$7,Actions!$Z7&gt;=O$7)),Actions!$AA7,"")</f>
        <v/>
      </c>
      <c r="P13" s="1353">
        <f ca="1">IF(O13&lt;&gt;"",VLOOKUP($A13,Actions!$F$1:$AQ$70,38,0)/(1+VLOOKUP($A13,Actions!$F$1:$AQ$70,21,0)-VLOOKUP($A13,Actions!$F$1:$AQ$70,20,0)),0)</f>
        <v>0</v>
      </c>
      <c r="Q13" s="1353">
        <f ca="1">IF(O13&lt;&gt;"",IF(VLOOKUP($A13,Actions!$F$1:$AQ$70,34,0)="Commune",(VLOOKUP($A13,Actions!$F$1:$AQ$70,24,0)-VLOOKUP($A13,Actions!$F$1:$AQ$70,26,0))/(1+VLOOKUP($A13,Actions!$F$1:$AQ$70,21,0)-VLOOKUP($A13,Actions!$F$1:$AQ$70,20,0)),0),0)</f>
        <v>0</v>
      </c>
      <c r="R13" s="1353">
        <f ca="1">IF(K13="",N13,IF(AND(O13="",K13&lt;&gt;""),VLOOKUP($A13,Actions!$F$1:$AQ$70,31,0),0))</f>
        <v>0</v>
      </c>
      <c r="S13" s="1354" t="str">
        <f ca="1">IF(OR(Actions!$Y7=S$7,AND(Actions!$Y7&lt;=S$7,Actions!$Z7&gt;=S$7)),Actions!$AA7,"")</f>
        <v/>
      </c>
      <c r="T13" s="1353">
        <f ca="1">IF(S13&lt;&gt;"",VLOOKUP($A13,Actions!$F$1:$AQ$70,38,0)/(1+VLOOKUP($A13,Actions!$F$1:$AQ$70,21,0)-VLOOKUP($A13,Actions!$F$1:$AQ$70,20,0)),0)</f>
        <v>0</v>
      </c>
      <c r="U13" s="1353">
        <f ca="1">IF(S13&lt;&gt;"",IF(VLOOKUP($A13,Actions!$F$1:$AQ$70,34,0)="Commune",(VLOOKUP($A13,Actions!$F$1:$AQ$70,24,0)-VLOOKUP($A13,Actions!$F$1:$AQ$70,26,0))/(1+VLOOKUP($A13,Actions!$F$1:$AQ$70,21,0)-VLOOKUP($A13,Actions!$F$1:$AQ$70,20,0)),0),0)</f>
        <v>0</v>
      </c>
      <c r="V13" s="1353">
        <f ca="1">IF(O13="",R13,IF(AND(S13="",O13&lt;&gt;""),VLOOKUP($A13,Actions!$F$1:$AQ$70,31,0),0))</f>
        <v>0</v>
      </c>
      <c r="W13" s="1354" t="str">
        <f ca="1">IF(OR(Actions!$Y7=W$7,AND(Actions!$Y7&lt;=W$7,Actions!$Z7&gt;=W$7)),Actions!$AA7,"")</f>
        <v/>
      </c>
      <c r="X13" s="1353">
        <f ca="1">IF(W13&lt;&gt;"",VLOOKUP($A13,Actions!$F$1:$AQ$70,38,0)/(1+VLOOKUP($A13,Actions!$F$1:$AQ$70,21,0)-VLOOKUP($A13,Actions!$F$1:$AQ$70,20,0)),0)</f>
        <v>0</v>
      </c>
      <c r="Y13" s="1353">
        <f ca="1">IF(W13&lt;&gt;"",IF(VLOOKUP($A13,Actions!$F$1:$AQ$70,34,0)="Commune",(VLOOKUP($A13,Actions!$F$1:$AQ$70,24,0)-VLOOKUP($A13,Actions!$F$1:$AQ$70,26,0))/(1+VLOOKUP($A13,Actions!$F$1:$AQ$70,21,0)-VLOOKUP($A13,Actions!$F$1:$AQ$70,20,0)),0),0)</f>
        <v>0</v>
      </c>
      <c r="Z13" s="1353">
        <f ca="1">IF(S13="",V13,IF(AND(W13="",S13&lt;&gt;""),VLOOKUP($A13,Actions!$F$1:$AQ$70,31,0),0))</f>
        <v>0</v>
      </c>
      <c r="AA13" s="1354" t="str">
        <f ca="1">IF(OR(Actions!$Y7=AA$7,AND(Actions!$Y7&lt;=AA$7,Actions!$Z7&gt;=AA$7)),Actions!$AA7,"")</f>
        <v/>
      </c>
      <c r="AB13" s="1353">
        <f ca="1">IF(AA13&lt;&gt;"",VLOOKUP($A13,Actions!$F$1:$AQ$70,38,0)/(1+VLOOKUP($A13,Actions!$F$1:$AQ$70,21,0)-VLOOKUP($A13,Actions!$F$1:$AQ$70,20,0)),0)</f>
        <v>0</v>
      </c>
      <c r="AC13" s="1353">
        <f ca="1">IF(AA13&lt;&gt;"",IF(VLOOKUP($A13,Actions!$F$1:$AQ$70,34,0)="Commune",(VLOOKUP($A13,Actions!$F$1:$AQ$70,24,0)-VLOOKUP($A13,Actions!$F$1:$AQ$70,26,0))/(1+VLOOKUP($A13,Actions!$F$1:$AQ$70,21,0)-VLOOKUP($A13,Actions!$F$1:$AQ$70,20,0)),0),0)</f>
        <v>0</v>
      </c>
      <c r="AD13" s="1353">
        <f ca="1">IF(W13="",Z13,IF(AND(AA13="",W13&lt;&gt;""),VLOOKUP($A13,Actions!$F$1:$AQ$70,31,0),0))</f>
        <v>0</v>
      </c>
      <c r="AE13" s="1354" t="str">
        <f ca="1">IF(OR(Actions!$Y7=AE$7,AND(Actions!$Y7&lt;=AE$7,Actions!$Z7&gt;=AE$7)),Actions!$AA7,"")</f>
        <v/>
      </c>
      <c r="AF13" s="1353">
        <f ca="1">IF(AE13&lt;&gt;"",VLOOKUP($A13,Actions!$F$1:$AQ$70,38,0)/(1+VLOOKUP($A13,Actions!$F$1:$AQ$70,21,0)-VLOOKUP($A13,Actions!$F$1:$AQ$70,20,0)),0)</f>
        <v>0</v>
      </c>
      <c r="AG13" s="1353">
        <f ca="1">IF(AE13&lt;&gt;"",IF(VLOOKUP($A13,Actions!$F$1:$AQ$70,34,0)="Commune",(VLOOKUP($A13,Actions!$F$1:$AQ$70,24,0)-VLOOKUP($A13,Actions!$F$1:$AQ$70,26,0))/(1+VLOOKUP($A13,Actions!$F$1:$AQ$70,21,0)-VLOOKUP($A13,Actions!$F$1:$AQ$70,20,0)),0),0)</f>
        <v>0</v>
      </c>
      <c r="AH13" s="1353">
        <f ca="1">IF(AA13="",AD13,IF(AND(AE13="",AA13&lt;&gt;""),VLOOKUP($A13,Actions!$F$1:$AQ$70,31,0),0))</f>
        <v>0</v>
      </c>
      <c r="AI13" s="1354" t="str">
        <f ca="1">IF(OR(Actions!$Y7=AI$7,AND(Actions!$Y7&lt;=AI$7,Actions!$Z7&gt;=AI$7)),Actions!$AA7,"")</f>
        <v/>
      </c>
      <c r="AJ13" s="1353">
        <f ca="1">IF(AI13&lt;&gt;"",VLOOKUP($A13,Actions!$F$1:$AQ$70,38,0)/(1+VLOOKUP($A13,Actions!$F$1:$AQ$70,21,0)-VLOOKUP($A13,Actions!$F$1:$AQ$70,20,0)),0)</f>
        <v>0</v>
      </c>
      <c r="AK13" s="1353">
        <f ca="1">IF(AI13&lt;&gt;"",IF(VLOOKUP($A13,Actions!$F$1:$AQ$70,34,0)="Commune",(VLOOKUP($A13,Actions!$F$1:$AQ$70,24,0)-VLOOKUP($A13,Actions!$F$1:$AQ$70,26,0))/(1+VLOOKUP($A13,Actions!$F$1:$AQ$70,21,0)-VLOOKUP($A13,Actions!$F$1:$AQ$70,20,0)),0),0)</f>
        <v>0</v>
      </c>
      <c r="AL13" s="1353">
        <f ca="1">IF(AE13="",AH13,IF(AND(AI13="",AE13&lt;&gt;""),VLOOKUP($A13,Actions!$F$1:$AQ$70,31,0),0))</f>
        <v>0</v>
      </c>
      <c r="AM13" s="1354" t="str">
        <f ca="1">IF(OR(Actions!$Y7=AM$7,AND(Actions!$Y7&lt;=AM$7,Actions!$Z7&gt;=AM$7)),Actions!$AA7,"")</f>
        <v/>
      </c>
      <c r="AN13" s="1353">
        <f ca="1">IF(AM13&lt;&gt;"",VLOOKUP($A13,Actions!$F$1:$AQ$70,38,0)/(1+VLOOKUP($A13,Actions!$F$1:$AQ$70,21,0)-VLOOKUP($A13,Actions!$F$1:$AQ$70,20,0)),0)</f>
        <v>0</v>
      </c>
      <c r="AO13" s="1353">
        <f ca="1">IF(AM13&lt;&gt;"",IF(VLOOKUP($A13,Actions!$F$1:$AQ$70,34,0)="Commune",(VLOOKUP($A13,Actions!$F$1:$AQ$70,24,0)-VLOOKUP($A13,Actions!$F$1:$AQ$70,26,0))/(1+VLOOKUP($A13,Actions!$F$1:$AQ$70,21,0)-VLOOKUP($A13,Actions!$F$1:$AQ$70,20,0)),0),0)</f>
        <v>0</v>
      </c>
      <c r="AP13" s="1353">
        <f ca="1">IF(AI13="",AL13,IF(AND(AM13="",AI13&lt;&gt;""),VLOOKUP($A13,Actions!$F$1:$AQ$70,31,0),0))</f>
        <v>0</v>
      </c>
      <c r="AQ13" s="1354" t="str">
        <f ca="1">IF(OR(Actions!$Y7=AQ$7,AND(Actions!$Y7&lt;=AQ$7,Actions!$Z7&gt;=AQ$7)),Actions!$AA7,"")</f>
        <v/>
      </c>
      <c r="AR13" s="1353">
        <f ca="1">IF(AQ13&lt;&gt;"",VLOOKUP($A13,Actions!$F$1:$AQ$70,38,0)/(1+VLOOKUP($A13,Actions!$F$1:$AQ$70,21,0)-VLOOKUP($A13,Actions!$F$1:$AQ$70,20,0)),0)</f>
        <v>0</v>
      </c>
      <c r="AS13" s="1353">
        <f ca="1">IF(AQ13&lt;&gt;"",IF(VLOOKUP($A13,Actions!$F$1:$AQ$70,34,0)="Commune",(VLOOKUP($A13,Actions!$F$1:$AQ$70,24,0)-VLOOKUP($A13,Actions!$F$1:$AQ$70,26,0))/(1+VLOOKUP($A13,Actions!$F$1:$AQ$70,21,0)-VLOOKUP($A13,Actions!$F$1:$AQ$70,20,0)),0),0)</f>
        <v>0</v>
      </c>
      <c r="AT13" s="1353">
        <f ca="1">IF(AM13="",AP13,IF(AND(AQ13="",AM13&lt;&gt;""),VLOOKUP($A13,Actions!$F$1:$AQ$70,31,0),0))</f>
        <v>0</v>
      </c>
      <c r="AU13" s="1354" t="str">
        <f ca="1">IF(OR(Actions!$Y7=AU$7,AND(Actions!$Y7&lt;=AU$7,Actions!$Z7&gt;=AU$7)),Actions!$AA7,"")</f>
        <v/>
      </c>
      <c r="AV13" s="1353">
        <f ca="1">IF(AU13&lt;&gt;"",VLOOKUP($A13,Actions!$F$1:$AQ$70,38,0)/(1+VLOOKUP($A13,Actions!$F$1:$AQ$70,21,0)-VLOOKUP($A13,Actions!$F$1:$AQ$70,20,0)),0)</f>
        <v>0</v>
      </c>
      <c r="AW13" s="1353">
        <f ca="1">IF(AU13&lt;&gt;"",IF(VLOOKUP($A13,Actions!$F$1:$AQ$70,34,0)="Commune",(VLOOKUP($A13,Actions!$F$1:$AQ$70,24,0)-VLOOKUP($A13,Actions!$F$1:$AQ$70,26,0))/(1+VLOOKUP($A13,Actions!$F$1:$AQ$70,21,0)-VLOOKUP($A13,Actions!$F$1:$AQ$70,20,0)),0),0)</f>
        <v>0</v>
      </c>
      <c r="AX13" s="1353">
        <f ca="1">IF(AQ13="",AT13,IF(AND(AU13="",AQ13&lt;&gt;""),VLOOKUP($A13,Actions!$F$1:$AQ$70,31,0),0))</f>
        <v>0</v>
      </c>
      <c r="AY13" s="1354" t="str">
        <f ca="1">IF(OR(Actions!$Y7=AY$7,AND(Actions!$Y7&lt;=AY$7,Actions!$Z7&gt;=AY$7)),Actions!$AA7,"")</f>
        <v/>
      </c>
      <c r="AZ13" s="1353">
        <f ca="1">IF(AY13&lt;&gt;"",VLOOKUP($A13,Actions!$F$1:$AQ$70,38,0)/(1+VLOOKUP($A13,Actions!$F$1:$AQ$70,21,0)-VLOOKUP($A13,Actions!$F$1:$AQ$70,20,0)),0)</f>
        <v>0</v>
      </c>
      <c r="BA13" s="1353">
        <f ca="1">IF(AY13&lt;&gt;"",IF(VLOOKUP($A13,Actions!$F$1:$AQ$70,34,0)="Commune",(VLOOKUP($A13,Actions!$F$1:$AQ$70,24,0)-VLOOKUP($A13,Actions!$F$1:$AQ$70,26,0))/(1+VLOOKUP($A13,Actions!$F$1:$AQ$70,21,0)-VLOOKUP($A13,Actions!$F$1:$AQ$70,20,0)),0),0)</f>
        <v>0</v>
      </c>
      <c r="BB13" s="1353">
        <f ca="1">IF(AU13="",AX13,IF(AND(AY13="",AU13&lt;&gt;""),VLOOKUP($A13,Actions!$F$1:$AQ$70,31,0),0))</f>
        <v>0</v>
      </c>
      <c r="BC13" s="1354" t="str">
        <f ca="1">IF(OR(Actions!$Y7=BC$7,AND(Actions!$Y7&lt;=BC$7,Actions!$Z7&gt;=BC$7)),Actions!$AA7,"")</f>
        <v/>
      </c>
      <c r="BD13" s="1353">
        <f ca="1">IF(BC13&lt;&gt;"",VLOOKUP($A13,Actions!$F$1:$AQ$70,38,0)/(1+VLOOKUP($A13,Actions!$F$1:$AQ$70,21,0)-VLOOKUP($A13,Actions!$F$1:$AQ$70,20,0)),0)</f>
        <v>0</v>
      </c>
      <c r="BE13" s="1353">
        <f ca="1">IF(BC13&lt;&gt;"",IF(VLOOKUP($A13,Actions!$F$1:$AQ$70,34,0)="Commune",(VLOOKUP($A13,Actions!$F$1:$AQ$70,24,0)-VLOOKUP($A13,Actions!$F$1:$AQ$70,26,0))/(1+VLOOKUP($A13,Actions!$F$1:$AQ$70,21,0)-VLOOKUP($A13,Actions!$F$1:$AQ$70,20,0)),0),0)</f>
        <v>0</v>
      </c>
      <c r="BF13" s="1353">
        <f ca="1">IF(AY13="",BB13,IF(AND(BC13="",AY13&lt;&gt;""),VLOOKUP($A13,Actions!$F$1:$AQ$70,31,0),0))</f>
        <v>0</v>
      </c>
      <c r="BG13" s="1355">
        <f t="shared" ca="1" si="0"/>
        <v>0</v>
      </c>
      <c r="BH13" s="201">
        <f ca="1">VLOOKUP(B13,Actions!G6:AC75,18,0)-VLOOKUP(B13,Actions!G6:AE75,20,0)</f>
        <v>0</v>
      </c>
      <c r="BI13" s="233"/>
      <c r="BJ13" s="233"/>
      <c r="BK13" s="233"/>
      <c r="BL13" s="233"/>
      <c r="BM13" s="233"/>
      <c r="BN13" s="233"/>
      <c r="BO13" s="233"/>
    </row>
    <row r="14" spans="1:67">
      <c r="A14" s="1349">
        <f>Actions!F8</f>
        <v>7</v>
      </c>
      <c r="B14" s="1352">
        <f ca="1">Actions!G8</f>
        <v>0</v>
      </c>
      <c r="C14" s="1353" t="str">
        <f ca="1">IF(OR(AND(Actions!Y8&gt;0,Actions!Y8&lt;=$C$7,Actions!Z8&gt;=$C$7),AND(Actions!Y8&gt;0,Actions!Y8&lt;=$C$7,Actions!Z8&lt;Actions!Y8),AND(Actions!Y8=0,Actions!Z8&gt;=$C$7)),Actions!$AA8,"")</f>
        <v/>
      </c>
      <c r="D14" s="1353">
        <f ca="1">IF(C14&lt;&gt;"",VLOOKUP($A14,Actions!$F$1:$AQ$70,38,0)/(1+VLOOKUP($A14,Actions!$F$1:$AQ$70,21,0)-VLOOKUP($A14,Actions!$F$1:$AQ$70,20,0)),0)</f>
        <v>0</v>
      </c>
      <c r="E14" s="1353">
        <f ca="1">IF(C14&lt;&gt;"",IF(VLOOKUP($A14,Actions!$F$1:$AQ$70,34,0)="Commune",(VLOOKUP($A14,Actions!$F$1:$AQ$70,24,0)-VLOOKUP($A14,Actions!$F$1:$AQ$70,26,0))/(1+VLOOKUP($A14,Actions!$F$1:$AQ$70,21,0)-VLOOKUP($A14,Actions!$F$1:$AQ$70,20,0)),0),0)</f>
        <v>0</v>
      </c>
      <c r="F14" s="1353">
        <v>0</v>
      </c>
      <c r="G14" s="1354" t="str">
        <f ca="1">IF(OR(Actions!$Y8=G$7,AND(Actions!$Y8&lt;=G$7,Actions!$Z8&gt;=G$7)),Actions!$AA8,"")</f>
        <v/>
      </c>
      <c r="H14" s="1353">
        <f ca="1">IF(G14&lt;&gt;"",VLOOKUP($A14,Actions!$F$1:$AQ$70,38,0)/(1+VLOOKUP($A14,Actions!$F$1:$AQ$70,21,0)-VLOOKUP($A14,Actions!$F$1:$AQ$70,20,0)),0)</f>
        <v>0</v>
      </c>
      <c r="I14" s="1353">
        <f ca="1">IF(G14&lt;&gt;"",IF(VLOOKUP($A14,Actions!$F$1:$AQ$70,34,0)="Commune",(VLOOKUP($A14,Actions!$F$1:$AQ$70,24,0)-VLOOKUP($A14,Actions!$F$1:$AQ$70,26,0))/(1+VLOOKUP($A14,Actions!$F$1:$AQ$70,21,0)-VLOOKUP($A14,Actions!$F$1:$AQ$70,20,0)),0),0)</f>
        <v>0</v>
      </c>
      <c r="J14" s="1353">
        <f ca="1">IF(C14="",F14,IF(AND(G14="",C14&lt;&gt;""),VLOOKUP($A14,Actions!$F$1:$AQ$70,31,0),0))</f>
        <v>0</v>
      </c>
      <c r="K14" s="1354" t="str">
        <f ca="1">IF(OR(Actions!$Y8=K$7,AND(Actions!$Y8&lt;=K$7,Actions!$Z8&gt;=K$7)),Actions!$AA8,"")</f>
        <v/>
      </c>
      <c r="L14" s="1353">
        <f ca="1">IF(K14&lt;&gt;"",VLOOKUP($A14,Actions!$F$1:$AQ$70,38,0)/(1+VLOOKUP($A14,Actions!$F$1:$AQ$70,21,0)-VLOOKUP($A14,Actions!$F$1:$AQ$70,20,0)),0)</f>
        <v>0</v>
      </c>
      <c r="M14" s="1353">
        <f ca="1">IF(K14&lt;&gt;"",IF(VLOOKUP($A14,Actions!$F$1:$AQ$70,34,0)="Commune",(VLOOKUP($A14,Actions!$F$1:$AQ$70,24,0)-VLOOKUP($A14,Actions!$F$1:$AQ$70,26,0))/(1+VLOOKUP($A14,Actions!$F$1:$AQ$70,21,0)-VLOOKUP($A14,Actions!$F$1:$AQ$70,20,0)),0),0)</f>
        <v>0</v>
      </c>
      <c r="N14" s="1353">
        <f ca="1">IF(G14="",J14,IF(AND(K14="",G14&lt;&gt;""),VLOOKUP($A14,Actions!$F$1:$AQ$70,31,0),0))</f>
        <v>0</v>
      </c>
      <c r="O14" s="1354" t="str">
        <f ca="1">IF(OR(Actions!$Y8=O$7,AND(Actions!$Y8&lt;=O$7,Actions!$Z8&gt;=O$7)),Actions!$AA8,"")</f>
        <v/>
      </c>
      <c r="P14" s="1353">
        <f ca="1">IF(O14&lt;&gt;"",VLOOKUP($A14,Actions!$F$1:$AQ$70,38,0)/(1+VLOOKUP($A14,Actions!$F$1:$AQ$70,21,0)-VLOOKUP($A14,Actions!$F$1:$AQ$70,20,0)),0)</f>
        <v>0</v>
      </c>
      <c r="Q14" s="1353">
        <f ca="1">IF(O14&lt;&gt;"",IF(VLOOKUP($A14,Actions!$F$1:$AQ$70,34,0)="Commune",(VLOOKUP($A14,Actions!$F$1:$AQ$70,24,0)-VLOOKUP($A14,Actions!$F$1:$AQ$70,26,0))/(1+VLOOKUP($A14,Actions!$F$1:$AQ$70,21,0)-VLOOKUP($A14,Actions!$F$1:$AQ$70,20,0)),0),0)</f>
        <v>0</v>
      </c>
      <c r="R14" s="1353">
        <f ca="1">IF(K14="",N14,IF(AND(O14="",K14&lt;&gt;""),VLOOKUP($A14,Actions!$F$1:$AQ$70,31,0),0))</f>
        <v>0</v>
      </c>
      <c r="S14" s="1354" t="str">
        <f ca="1">IF(OR(Actions!$Y8=S$7,AND(Actions!$Y8&lt;=S$7,Actions!$Z8&gt;=S$7)),Actions!$AA8,"")</f>
        <v/>
      </c>
      <c r="T14" s="1353">
        <f ca="1">IF(S14&lt;&gt;"",VLOOKUP($A14,Actions!$F$1:$AQ$70,38,0)/(1+VLOOKUP($A14,Actions!$F$1:$AQ$70,21,0)-VLOOKUP($A14,Actions!$F$1:$AQ$70,20,0)),0)</f>
        <v>0</v>
      </c>
      <c r="U14" s="1353">
        <f ca="1">IF(S14&lt;&gt;"",IF(VLOOKUP($A14,Actions!$F$1:$AQ$70,34,0)="Commune",(VLOOKUP($A14,Actions!$F$1:$AQ$70,24,0)-VLOOKUP($A14,Actions!$F$1:$AQ$70,26,0))/(1+VLOOKUP($A14,Actions!$F$1:$AQ$70,21,0)-VLOOKUP($A14,Actions!$F$1:$AQ$70,20,0)),0),0)</f>
        <v>0</v>
      </c>
      <c r="V14" s="1353">
        <f ca="1">IF(O14="",R14,IF(AND(S14="",O14&lt;&gt;""),VLOOKUP($A14,Actions!$F$1:$AQ$70,31,0),0))</f>
        <v>0</v>
      </c>
      <c r="W14" s="1354" t="str">
        <f ca="1">IF(OR(Actions!$Y8=W$7,AND(Actions!$Y8&lt;=W$7,Actions!$Z8&gt;=W$7)),Actions!$AA8,"")</f>
        <v/>
      </c>
      <c r="X14" s="1353">
        <f ca="1">IF(W14&lt;&gt;"",VLOOKUP($A14,Actions!$F$1:$AQ$70,38,0)/(1+VLOOKUP($A14,Actions!$F$1:$AQ$70,21,0)-VLOOKUP($A14,Actions!$F$1:$AQ$70,20,0)),0)</f>
        <v>0</v>
      </c>
      <c r="Y14" s="1353">
        <f ca="1">IF(W14&lt;&gt;"",IF(VLOOKUP($A14,Actions!$F$1:$AQ$70,34,0)="Commune",(VLOOKUP($A14,Actions!$F$1:$AQ$70,24,0)-VLOOKUP($A14,Actions!$F$1:$AQ$70,26,0))/(1+VLOOKUP($A14,Actions!$F$1:$AQ$70,21,0)-VLOOKUP($A14,Actions!$F$1:$AQ$70,20,0)),0),0)</f>
        <v>0</v>
      </c>
      <c r="Z14" s="1353">
        <f ca="1">IF(S14="",V14,IF(AND(W14="",S14&lt;&gt;""),VLOOKUP($A14,Actions!$F$1:$AQ$70,31,0),0))</f>
        <v>0</v>
      </c>
      <c r="AA14" s="1354" t="str">
        <f ca="1">IF(OR(Actions!$Y8=AA$7,AND(Actions!$Y8&lt;=AA$7,Actions!$Z8&gt;=AA$7)),Actions!$AA8,"")</f>
        <v/>
      </c>
      <c r="AB14" s="1353">
        <f ca="1">IF(AA14&lt;&gt;"",VLOOKUP($A14,Actions!$F$1:$AQ$70,38,0)/(1+VLOOKUP($A14,Actions!$F$1:$AQ$70,21,0)-VLOOKUP($A14,Actions!$F$1:$AQ$70,20,0)),0)</f>
        <v>0</v>
      </c>
      <c r="AC14" s="1353">
        <f ca="1">IF(AA14&lt;&gt;"",IF(VLOOKUP($A14,Actions!$F$1:$AQ$70,34,0)="Commune",(VLOOKUP($A14,Actions!$F$1:$AQ$70,24,0)-VLOOKUP($A14,Actions!$F$1:$AQ$70,26,0))/(1+VLOOKUP($A14,Actions!$F$1:$AQ$70,21,0)-VLOOKUP($A14,Actions!$F$1:$AQ$70,20,0)),0),0)</f>
        <v>0</v>
      </c>
      <c r="AD14" s="1353">
        <f ca="1">IF(W14="",Z14,IF(AND(AA14="",W14&lt;&gt;""),VLOOKUP($A14,Actions!$F$1:$AQ$70,31,0),0))</f>
        <v>0</v>
      </c>
      <c r="AE14" s="1354" t="str">
        <f ca="1">IF(OR(Actions!$Y8=AE$7,AND(Actions!$Y8&lt;=AE$7,Actions!$Z8&gt;=AE$7)),Actions!$AA8,"")</f>
        <v/>
      </c>
      <c r="AF14" s="1353">
        <f ca="1">IF(AE14&lt;&gt;"",VLOOKUP($A14,Actions!$F$1:$AQ$70,38,0)/(1+VLOOKUP($A14,Actions!$F$1:$AQ$70,21,0)-VLOOKUP($A14,Actions!$F$1:$AQ$70,20,0)),0)</f>
        <v>0</v>
      </c>
      <c r="AG14" s="1353">
        <f ca="1">IF(AE14&lt;&gt;"",IF(VLOOKUP($A14,Actions!$F$1:$AQ$70,34,0)="Commune",(VLOOKUP($A14,Actions!$F$1:$AQ$70,24,0)-VLOOKUP($A14,Actions!$F$1:$AQ$70,26,0))/(1+VLOOKUP($A14,Actions!$F$1:$AQ$70,21,0)-VLOOKUP($A14,Actions!$F$1:$AQ$70,20,0)),0),0)</f>
        <v>0</v>
      </c>
      <c r="AH14" s="1353">
        <f ca="1">IF(AA14="",AD14,IF(AND(AE14="",AA14&lt;&gt;""),VLOOKUP($A14,Actions!$F$1:$AQ$70,31,0),0))</f>
        <v>0</v>
      </c>
      <c r="AI14" s="1354" t="str">
        <f ca="1">IF(OR(Actions!$Y8=AI$7,AND(Actions!$Y8&lt;=AI$7,Actions!$Z8&gt;=AI$7)),Actions!$AA8,"")</f>
        <v/>
      </c>
      <c r="AJ14" s="1353">
        <f ca="1">IF(AI14&lt;&gt;"",VLOOKUP($A14,Actions!$F$1:$AQ$70,38,0)/(1+VLOOKUP($A14,Actions!$F$1:$AQ$70,21,0)-VLOOKUP($A14,Actions!$F$1:$AQ$70,20,0)),0)</f>
        <v>0</v>
      </c>
      <c r="AK14" s="1353">
        <f ca="1">IF(AI14&lt;&gt;"",IF(VLOOKUP($A14,Actions!$F$1:$AQ$70,34,0)="Commune",(VLOOKUP($A14,Actions!$F$1:$AQ$70,24,0)-VLOOKUP($A14,Actions!$F$1:$AQ$70,26,0))/(1+VLOOKUP($A14,Actions!$F$1:$AQ$70,21,0)-VLOOKUP($A14,Actions!$F$1:$AQ$70,20,0)),0),0)</f>
        <v>0</v>
      </c>
      <c r="AL14" s="1353">
        <f ca="1">IF(AE14="",AH14,IF(AND(AI14="",AE14&lt;&gt;""),VLOOKUP($A14,Actions!$F$1:$AQ$70,31,0),0))</f>
        <v>0</v>
      </c>
      <c r="AM14" s="1354" t="str">
        <f ca="1">IF(OR(Actions!$Y8=AM$7,AND(Actions!$Y8&lt;=AM$7,Actions!$Z8&gt;=AM$7)),Actions!$AA8,"")</f>
        <v/>
      </c>
      <c r="AN14" s="1353">
        <f ca="1">IF(AM14&lt;&gt;"",VLOOKUP($A14,Actions!$F$1:$AQ$70,38,0)/(1+VLOOKUP($A14,Actions!$F$1:$AQ$70,21,0)-VLOOKUP($A14,Actions!$F$1:$AQ$70,20,0)),0)</f>
        <v>0</v>
      </c>
      <c r="AO14" s="1353">
        <f ca="1">IF(AM14&lt;&gt;"",IF(VLOOKUP($A14,Actions!$F$1:$AQ$70,34,0)="Commune",(VLOOKUP($A14,Actions!$F$1:$AQ$70,24,0)-VLOOKUP($A14,Actions!$F$1:$AQ$70,26,0))/(1+VLOOKUP($A14,Actions!$F$1:$AQ$70,21,0)-VLOOKUP($A14,Actions!$F$1:$AQ$70,20,0)),0),0)</f>
        <v>0</v>
      </c>
      <c r="AP14" s="1353">
        <f ca="1">IF(AI14="",AL14,IF(AND(AM14="",AI14&lt;&gt;""),VLOOKUP($A14,Actions!$F$1:$AQ$70,31,0),0))</f>
        <v>0</v>
      </c>
      <c r="AQ14" s="1354" t="str">
        <f ca="1">IF(OR(Actions!$Y8=AQ$7,AND(Actions!$Y8&lt;=AQ$7,Actions!$Z8&gt;=AQ$7)),Actions!$AA8,"")</f>
        <v/>
      </c>
      <c r="AR14" s="1353">
        <f ca="1">IF(AQ14&lt;&gt;"",VLOOKUP($A14,Actions!$F$1:$AQ$70,38,0)/(1+VLOOKUP($A14,Actions!$F$1:$AQ$70,21,0)-VLOOKUP($A14,Actions!$F$1:$AQ$70,20,0)),0)</f>
        <v>0</v>
      </c>
      <c r="AS14" s="1353">
        <f ca="1">IF(AQ14&lt;&gt;"",IF(VLOOKUP($A14,Actions!$F$1:$AQ$70,34,0)="Commune",(VLOOKUP($A14,Actions!$F$1:$AQ$70,24,0)-VLOOKUP($A14,Actions!$F$1:$AQ$70,26,0))/(1+VLOOKUP($A14,Actions!$F$1:$AQ$70,21,0)-VLOOKUP($A14,Actions!$F$1:$AQ$70,20,0)),0),0)</f>
        <v>0</v>
      </c>
      <c r="AT14" s="1353">
        <f ca="1">IF(AM14="",AP14,IF(AND(AQ14="",AM14&lt;&gt;""),VLOOKUP($A14,Actions!$F$1:$AQ$70,31,0),0))</f>
        <v>0</v>
      </c>
      <c r="AU14" s="1354" t="str">
        <f ca="1">IF(OR(Actions!$Y8=AU$7,AND(Actions!$Y8&lt;=AU$7,Actions!$Z8&gt;=AU$7)),Actions!$AA8,"")</f>
        <v/>
      </c>
      <c r="AV14" s="1353">
        <f ca="1">IF(AU14&lt;&gt;"",VLOOKUP($A14,Actions!$F$1:$AQ$70,38,0)/(1+VLOOKUP($A14,Actions!$F$1:$AQ$70,21,0)-VLOOKUP($A14,Actions!$F$1:$AQ$70,20,0)),0)</f>
        <v>0</v>
      </c>
      <c r="AW14" s="1353">
        <f ca="1">IF(AU14&lt;&gt;"",IF(VLOOKUP($A14,Actions!$F$1:$AQ$70,34,0)="Commune",(VLOOKUP($A14,Actions!$F$1:$AQ$70,24,0)-VLOOKUP($A14,Actions!$F$1:$AQ$70,26,0))/(1+VLOOKUP($A14,Actions!$F$1:$AQ$70,21,0)-VLOOKUP($A14,Actions!$F$1:$AQ$70,20,0)),0),0)</f>
        <v>0</v>
      </c>
      <c r="AX14" s="1353">
        <f ca="1">IF(AQ14="",AT14,IF(AND(AU14="",AQ14&lt;&gt;""),VLOOKUP($A14,Actions!$F$1:$AQ$70,31,0),0))</f>
        <v>0</v>
      </c>
      <c r="AY14" s="1354" t="str">
        <f ca="1">IF(OR(Actions!$Y8=AY$7,AND(Actions!$Y8&lt;=AY$7,Actions!$Z8&gt;=AY$7)),Actions!$AA8,"")</f>
        <v/>
      </c>
      <c r="AZ14" s="1353">
        <f ca="1">IF(AY14&lt;&gt;"",VLOOKUP($A14,Actions!$F$1:$AQ$70,38,0)/(1+VLOOKUP($A14,Actions!$F$1:$AQ$70,21,0)-VLOOKUP($A14,Actions!$F$1:$AQ$70,20,0)),0)</f>
        <v>0</v>
      </c>
      <c r="BA14" s="1353">
        <f ca="1">IF(AY14&lt;&gt;"",IF(VLOOKUP($A14,Actions!$F$1:$AQ$70,34,0)="Commune",(VLOOKUP($A14,Actions!$F$1:$AQ$70,24,0)-VLOOKUP($A14,Actions!$F$1:$AQ$70,26,0))/(1+VLOOKUP($A14,Actions!$F$1:$AQ$70,21,0)-VLOOKUP($A14,Actions!$F$1:$AQ$70,20,0)),0),0)</f>
        <v>0</v>
      </c>
      <c r="BB14" s="1353">
        <f ca="1">IF(AU14="",AX14,IF(AND(AY14="",AU14&lt;&gt;""),VLOOKUP($A14,Actions!$F$1:$AQ$70,31,0),0))</f>
        <v>0</v>
      </c>
      <c r="BC14" s="1354" t="str">
        <f ca="1">IF(OR(Actions!$Y8=BC$7,AND(Actions!$Y8&lt;=BC$7,Actions!$Z8&gt;=BC$7)),Actions!$AA8,"")</f>
        <v/>
      </c>
      <c r="BD14" s="1353">
        <f ca="1">IF(BC14&lt;&gt;"",VLOOKUP($A14,Actions!$F$1:$AQ$70,38,0)/(1+VLOOKUP($A14,Actions!$F$1:$AQ$70,21,0)-VLOOKUP($A14,Actions!$F$1:$AQ$70,20,0)),0)</f>
        <v>0</v>
      </c>
      <c r="BE14" s="1353">
        <f ca="1">IF(BC14&lt;&gt;"",IF(VLOOKUP($A14,Actions!$F$1:$AQ$70,34,0)="Commune",(VLOOKUP($A14,Actions!$F$1:$AQ$70,24,0)-VLOOKUP($A14,Actions!$F$1:$AQ$70,26,0))/(1+VLOOKUP($A14,Actions!$F$1:$AQ$70,21,0)-VLOOKUP($A14,Actions!$F$1:$AQ$70,20,0)),0),0)</f>
        <v>0</v>
      </c>
      <c r="BF14" s="1353">
        <f ca="1">IF(AY14="",BB14,IF(AND(BC14="",AY14&lt;&gt;""),VLOOKUP($A14,Actions!$F$1:$AQ$70,31,0),0))</f>
        <v>0</v>
      </c>
      <c r="BG14" s="1355">
        <f t="shared" ca="1" si="0"/>
        <v>0</v>
      </c>
      <c r="BH14" s="201">
        <f ca="1">VLOOKUP(B14,Actions!G7:AC76,18,0)-VLOOKUP(B14,Actions!G7:AE76,20,0)</f>
        <v>0</v>
      </c>
      <c r="BI14" s="233"/>
      <c r="BJ14" s="233"/>
      <c r="BK14" s="233"/>
      <c r="BL14" s="233"/>
      <c r="BM14" s="233"/>
      <c r="BN14" s="233"/>
      <c r="BO14" s="233"/>
    </row>
    <row r="15" spans="1:67">
      <c r="A15" s="1349">
        <f>Actions!F9</f>
        <v>8</v>
      </c>
      <c r="B15" s="1352">
        <f ca="1">Actions!G9</f>
        <v>0</v>
      </c>
      <c r="C15" s="1353" t="str">
        <f ca="1">IF(OR(AND(Actions!Y9&gt;0,Actions!Y9&lt;=$C$7,Actions!Z9&gt;=$C$7),AND(Actions!Y9&gt;0,Actions!Y9&lt;=$C$7,Actions!Z9&lt;Actions!Y9),AND(Actions!Y9=0,Actions!Z9&gt;=$C$7)),Actions!$AA9,"")</f>
        <v/>
      </c>
      <c r="D15" s="1353">
        <f ca="1">IF(C15&lt;&gt;"",VLOOKUP($A15,Actions!$F$1:$AQ$70,38,0)/(1+VLOOKUP($A15,Actions!$F$1:$AQ$70,21,0)-VLOOKUP($A15,Actions!$F$1:$AQ$70,20,0)),0)</f>
        <v>0</v>
      </c>
      <c r="E15" s="1353">
        <f ca="1">IF(C15&lt;&gt;"",IF(VLOOKUP($A15,Actions!$F$1:$AQ$70,34,0)="Commune",(VLOOKUP($A15,Actions!$F$1:$AQ$70,24,0)-VLOOKUP($A15,Actions!$F$1:$AQ$70,26,0))/(1+VLOOKUP($A15,Actions!$F$1:$AQ$70,21,0)-VLOOKUP($A15,Actions!$F$1:$AQ$70,20,0)),0),0)</f>
        <v>0</v>
      </c>
      <c r="F15" s="1353">
        <v>0</v>
      </c>
      <c r="G15" s="1354" t="str">
        <f ca="1">IF(OR(Actions!$Y9=G$7,AND(Actions!$Y9&lt;=G$7,Actions!$Z9&gt;=G$7)),Actions!$AA9,"")</f>
        <v/>
      </c>
      <c r="H15" s="1353">
        <f ca="1">IF(G15&lt;&gt;"",VLOOKUP($A15,Actions!$F$1:$AQ$70,38,0)/(1+VLOOKUP($A15,Actions!$F$1:$AQ$70,21,0)-VLOOKUP($A15,Actions!$F$1:$AQ$70,20,0)),0)</f>
        <v>0</v>
      </c>
      <c r="I15" s="1353">
        <f ca="1">IF(G15&lt;&gt;"",IF(VLOOKUP($A15,Actions!$F$1:$AQ$70,34,0)="Commune",(VLOOKUP($A15,Actions!$F$1:$AQ$70,24,0)-VLOOKUP($A15,Actions!$F$1:$AQ$70,26,0))/(1+VLOOKUP($A15,Actions!$F$1:$AQ$70,21,0)-VLOOKUP($A15,Actions!$F$1:$AQ$70,20,0)),0),0)</f>
        <v>0</v>
      </c>
      <c r="J15" s="1353">
        <f ca="1">IF(C15="",F15,IF(AND(G15="",C15&lt;&gt;""),VLOOKUP($A15,Actions!$F$1:$AQ$70,31,0),0))</f>
        <v>0</v>
      </c>
      <c r="K15" s="1354" t="str">
        <f ca="1">IF(OR(Actions!$Y9=K$7,AND(Actions!$Y9&lt;=K$7,Actions!$Z9&gt;=K$7)),Actions!$AA9,"")</f>
        <v/>
      </c>
      <c r="L15" s="1353">
        <f ca="1">IF(K15&lt;&gt;"",VLOOKUP($A15,Actions!$F$1:$AQ$70,38,0)/(1+VLOOKUP($A15,Actions!$F$1:$AQ$70,21,0)-VLOOKUP($A15,Actions!$F$1:$AQ$70,20,0)),0)</f>
        <v>0</v>
      </c>
      <c r="M15" s="1353">
        <f ca="1">IF(K15&lt;&gt;"",IF(VLOOKUP($A15,Actions!$F$1:$AQ$70,34,0)="Commune",(VLOOKUP($A15,Actions!$F$1:$AQ$70,24,0)-VLOOKUP($A15,Actions!$F$1:$AQ$70,26,0))/(1+VLOOKUP($A15,Actions!$F$1:$AQ$70,21,0)-VLOOKUP($A15,Actions!$F$1:$AQ$70,20,0)),0),0)</f>
        <v>0</v>
      </c>
      <c r="N15" s="1353">
        <f ca="1">IF(G15="",J15,IF(AND(K15="",G15&lt;&gt;""),VLOOKUP($A15,Actions!$F$1:$AQ$70,31,0),0))</f>
        <v>0</v>
      </c>
      <c r="O15" s="1354" t="str">
        <f ca="1">IF(OR(Actions!$Y9=O$7,AND(Actions!$Y9&lt;=O$7,Actions!$Z9&gt;=O$7)),Actions!$AA9,"")</f>
        <v/>
      </c>
      <c r="P15" s="1353">
        <f ca="1">IF(O15&lt;&gt;"",VLOOKUP($A15,Actions!$F$1:$AQ$70,38,0)/(1+VLOOKUP($A15,Actions!$F$1:$AQ$70,21,0)-VLOOKUP($A15,Actions!$F$1:$AQ$70,20,0)),0)</f>
        <v>0</v>
      </c>
      <c r="Q15" s="1353">
        <f ca="1">IF(O15&lt;&gt;"",IF(VLOOKUP($A15,Actions!$F$1:$AQ$70,34,0)="Commune",(VLOOKUP($A15,Actions!$F$1:$AQ$70,24,0)-VLOOKUP($A15,Actions!$F$1:$AQ$70,26,0))/(1+VLOOKUP($A15,Actions!$F$1:$AQ$70,21,0)-VLOOKUP($A15,Actions!$F$1:$AQ$70,20,0)),0),0)</f>
        <v>0</v>
      </c>
      <c r="R15" s="1353">
        <f ca="1">IF(K15="",N15,IF(AND(O15="",K15&lt;&gt;""),VLOOKUP($A15,Actions!$F$1:$AQ$70,31,0),0))</f>
        <v>0</v>
      </c>
      <c r="S15" s="1354" t="str">
        <f ca="1">IF(OR(Actions!$Y9=S$7,AND(Actions!$Y9&lt;=S$7,Actions!$Z9&gt;=S$7)),Actions!$AA9,"")</f>
        <v/>
      </c>
      <c r="T15" s="1353">
        <f ca="1">IF(S15&lt;&gt;"",VLOOKUP($A15,Actions!$F$1:$AQ$70,38,0)/(1+VLOOKUP($A15,Actions!$F$1:$AQ$70,21,0)-VLOOKUP($A15,Actions!$F$1:$AQ$70,20,0)),0)</f>
        <v>0</v>
      </c>
      <c r="U15" s="1353">
        <f ca="1">IF(S15&lt;&gt;"",IF(VLOOKUP($A15,Actions!$F$1:$AQ$70,34,0)="Commune",(VLOOKUP($A15,Actions!$F$1:$AQ$70,24,0)-VLOOKUP($A15,Actions!$F$1:$AQ$70,26,0))/(1+VLOOKUP($A15,Actions!$F$1:$AQ$70,21,0)-VLOOKUP($A15,Actions!$F$1:$AQ$70,20,0)),0),0)</f>
        <v>0</v>
      </c>
      <c r="V15" s="1353">
        <f ca="1">IF(O15="",R15,IF(AND(S15="",O15&lt;&gt;""),VLOOKUP($A15,Actions!$F$1:$AQ$70,31,0),0))</f>
        <v>0</v>
      </c>
      <c r="W15" s="1354" t="str">
        <f ca="1">IF(OR(Actions!$Y9=W$7,AND(Actions!$Y9&lt;=W$7,Actions!$Z9&gt;=W$7)),Actions!$AA9,"")</f>
        <v/>
      </c>
      <c r="X15" s="1353">
        <f ca="1">IF(W15&lt;&gt;"",VLOOKUP($A15,Actions!$F$1:$AQ$70,38,0)/(1+VLOOKUP($A15,Actions!$F$1:$AQ$70,21,0)-VLOOKUP($A15,Actions!$F$1:$AQ$70,20,0)),0)</f>
        <v>0</v>
      </c>
      <c r="Y15" s="1353">
        <f ca="1">IF(W15&lt;&gt;"",IF(VLOOKUP($A15,Actions!$F$1:$AQ$70,34,0)="Commune",(VLOOKUP($A15,Actions!$F$1:$AQ$70,24,0)-VLOOKUP($A15,Actions!$F$1:$AQ$70,26,0))/(1+VLOOKUP($A15,Actions!$F$1:$AQ$70,21,0)-VLOOKUP($A15,Actions!$F$1:$AQ$70,20,0)),0),0)</f>
        <v>0</v>
      </c>
      <c r="Z15" s="1353">
        <f ca="1">IF(S15="",V15,IF(AND(W15="",S15&lt;&gt;""),VLOOKUP($A15,Actions!$F$1:$AQ$70,31,0),0))</f>
        <v>0</v>
      </c>
      <c r="AA15" s="1354" t="str">
        <f ca="1">IF(OR(Actions!$Y9=AA$7,AND(Actions!$Y9&lt;=AA$7,Actions!$Z9&gt;=AA$7)),Actions!$AA9,"")</f>
        <v/>
      </c>
      <c r="AB15" s="1353">
        <f ca="1">IF(AA15&lt;&gt;"",VLOOKUP($A15,Actions!$F$1:$AQ$70,38,0)/(1+VLOOKUP($A15,Actions!$F$1:$AQ$70,21,0)-VLOOKUP($A15,Actions!$F$1:$AQ$70,20,0)),0)</f>
        <v>0</v>
      </c>
      <c r="AC15" s="1353">
        <f ca="1">IF(AA15&lt;&gt;"",IF(VLOOKUP($A15,Actions!$F$1:$AQ$70,34,0)="Commune",(VLOOKUP($A15,Actions!$F$1:$AQ$70,24,0)-VLOOKUP($A15,Actions!$F$1:$AQ$70,26,0))/(1+VLOOKUP($A15,Actions!$F$1:$AQ$70,21,0)-VLOOKUP($A15,Actions!$F$1:$AQ$70,20,0)),0),0)</f>
        <v>0</v>
      </c>
      <c r="AD15" s="1353">
        <f ca="1">IF(W15="",Z15,IF(AND(AA15="",W15&lt;&gt;""),VLOOKUP($A15,Actions!$F$1:$AQ$70,31,0),0))</f>
        <v>0</v>
      </c>
      <c r="AE15" s="1354" t="str">
        <f ca="1">IF(OR(Actions!$Y9=AE$7,AND(Actions!$Y9&lt;=AE$7,Actions!$Z9&gt;=AE$7)),Actions!$AA9,"")</f>
        <v/>
      </c>
      <c r="AF15" s="1353">
        <f ca="1">IF(AE15&lt;&gt;"",VLOOKUP($A15,Actions!$F$1:$AQ$70,38,0)/(1+VLOOKUP($A15,Actions!$F$1:$AQ$70,21,0)-VLOOKUP($A15,Actions!$F$1:$AQ$70,20,0)),0)</f>
        <v>0</v>
      </c>
      <c r="AG15" s="1353">
        <f ca="1">IF(AE15&lt;&gt;"",IF(VLOOKUP($A15,Actions!$F$1:$AQ$70,34,0)="Commune",(VLOOKUP($A15,Actions!$F$1:$AQ$70,24,0)-VLOOKUP($A15,Actions!$F$1:$AQ$70,26,0))/(1+VLOOKUP($A15,Actions!$F$1:$AQ$70,21,0)-VLOOKUP($A15,Actions!$F$1:$AQ$70,20,0)),0),0)</f>
        <v>0</v>
      </c>
      <c r="AH15" s="1353">
        <f ca="1">IF(AA15="",AD15,IF(AND(AE15="",AA15&lt;&gt;""),VLOOKUP($A15,Actions!$F$1:$AQ$70,31,0),0))</f>
        <v>0</v>
      </c>
      <c r="AI15" s="1354" t="str">
        <f ca="1">IF(OR(Actions!$Y9=AI$7,AND(Actions!$Y9&lt;=AI$7,Actions!$Z9&gt;=AI$7)),Actions!$AA9,"")</f>
        <v/>
      </c>
      <c r="AJ15" s="1353">
        <f ca="1">IF(AI15&lt;&gt;"",VLOOKUP($A15,Actions!$F$1:$AQ$70,38,0)/(1+VLOOKUP($A15,Actions!$F$1:$AQ$70,21,0)-VLOOKUP($A15,Actions!$F$1:$AQ$70,20,0)),0)</f>
        <v>0</v>
      </c>
      <c r="AK15" s="1353">
        <f ca="1">IF(AI15&lt;&gt;"",IF(VLOOKUP($A15,Actions!$F$1:$AQ$70,34,0)="Commune",(VLOOKUP($A15,Actions!$F$1:$AQ$70,24,0)-VLOOKUP($A15,Actions!$F$1:$AQ$70,26,0))/(1+VLOOKUP($A15,Actions!$F$1:$AQ$70,21,0)-VLOOKUP($A15,Actions!$F$1:$AQ$70,20,0)),0),0)</f>
        <v>0</v>
      </c>
      <c r="AL15" s="1353">
        <f ca="1">IF(AE15="",AH15,IF(AND(AI15="",AE15&lt;&gt;""),VLOOKUP($A15,Actions!$F$1:$AQ$70,31,0),0))</f>
        <v>0</v>
      </c>
      <c r="AM15" s="1354" t="str">
        <f ca="1">IF(OR(Actions!$Y9=AM$7,AND(Actions!$Y9&lt;=AM$7,Actions!$Z9&gt;=AM$7)),Actions!$AA9,"")</f>
        <v/>
      </c>
      <c r="AN15" s="1353">
        <f ca="1">IF(AM15&lt;&gt;"",VLOOKUP($A15,Actions!$F$1:$AQ$70,38,0)/(1+VLOOKUP($A15,Actions!$F$1:$AQ$70,21,0)-VLOOKUP($A15,Actions!$F$1:$AQ$70,20,0)),0)</f>
        <v>0</v>
      </c>
      <c r="AO15" s="1353">
        <f ca="1">IF(AM15&lt;&gt;"",IF(VLOOKUP($A15,Actions!$F$1:$AQ$70,34,0)="Commune",(VLOOKUP($A15,Actions!$F$1:$AQ$70,24,0)-VLOOKUP($A15,Actions!$F$1:$AQ$70,26,0))/(1+VLOOKUP($A15,Actions!$F$1:$AQ$70,21,0)-VLOOKUP($A15,Actions!$F$1:$AQ$70,20,0)),0),0)</f>
        <v>0</v>
      </c>
      <c r="AP15" s="1353">
        <f ca="1">IF(AI15="",AL15,IF(AND(AM15="",AI15&lt;&gt;""),VLOOKUP($A15,Actions!$F$1:$AQ$70,31,0),0))</f>
        <v>0</v>
      </c>
      <c r="AQ15" s="1354" t="str">
        <f ca="1">IF(OR(Actions!$Y9=AQ$7,AND(Actions!$Y9&lt;=AQ$7,Actions!$Z9&gt;=AQ$7)),Actions!$AA9,"")</f>
        <v/>
      </c>
      <c r="AR15" s="1353">
        <f ca="1">IF(AQ15&lt;&gt;"",VLOOKUP($A15,Actions!$F$1:$AQ$70,38,0)/(1+VLOOKUP($A15,Actions!$F$1:$AQ$70,21,0)-VLOOKUP($A15,Actions!$F$1:$AQ$70,20,0)),0)</f>
        <v>0</v>
      </c>
      <c r="AS15" s="1353">
        <f ca="1">IF(AQ15&lt;&gt;"",IF(VLOOKUP($A15,Actions!$F$1:$AQ$70,34,0)="Commune",(VLOOKUP($A15,Actions!$F$1:$AQ$70,24,0)-VLOOKUP($A15,Actions!$F$1:$AQ$70,26,0))/(1+VLOOKUP($A15,Actions!$F$1:$AQ$70,21,0)-VLOOKUP($A15,Actions!$F$1:$AQ$70,20,0)),0),0)</f>
        <v>0</v>
      </c>
      <c r="AT15" s="1353">
        <f ca="1">IF(AM15="",AP15,IF(AND(AQ15="",AM15&lt;&gt;""),VLOOKUP($A15,Actions!$F$1:$AQ$70,31,0),0))</f>
        <v>0</v>
      </c>
      <c r="AU15" s="1354" t="str">
        <f ca="1">IF(OR(Actions!$Y9=AU$7,AND(Actions!$Y9&lt;=AU$7,Actions!$Z9&gt;=AU$7)),Actions!$AA9,"")</f>
        <v/>
      </c>
      <c r="AV15" s="1353">
        <f ca="1">IF(AU15&lt;&gt;"",VLOOKUP($A15,Actions!$F$1:$AQ$70,38,0)/(1+VLOOKUP($A15,Actions!$F$1:$AQ$70,21,0)-VLOOKUP($A15,Actions!$F$1:$AQ$70,20,0)),0)</f>
        <v>0</v>
      </c>
      <c r="AW15" s="1353">
        <f ca="1">IF(AU15&lt;&gt;"",IF(VLOOKUP($A15,Actions!$F$1:$AQ$70,34,0)="Commune",(VLOOKUP($A15,Actions!$F$1:$AQ$70,24,0)-VLOOKUP($A15,Actions!$F$1:$AQ$70,26,0))/(1+VLOOKUP($A15,Actions!$F$1:$AQ$70,21,0)-VLOOKUP($A15,Actions!$F$1:$AQ$70,20,0)),0),0)</f>
        <v>0</v>
      </c>
      <c r="AX15" s="1353">
        <f ca="1">IF(AQ15="",AT15,IF(AND(AU15="",AQ15&lt;&gt;""),VLOOKUP($A15,Actions!$F$1:$AQ$70,31,0),0))</f>
        <v>0</v>
      </c>
      <c r="AY15" s="1354" t="str">
        <f ca="1">IF(OR(Actions!$Y9=AY$7,AND(Actions!$Y9&lt;=AY$7,Actions!$Z9&gt;=AY$7)),Actions!$AA9,"")</f>
        <v/>
      </c>
      <c r="AZ15" s="1353">
        <f ca="1">IF(AY15&lt;&gt;"",VLOOKUP($A15,Actions!$F$1:$AQ$70,38,0)/(1+VLOOKUP($A15,Actions!$F$1:$AQ$70,21,0)-VLOOKUP($A15,Actions!$F$1:$AQ$70,20,0)),0)</f>
        <v>0</v>
      </c>
      <c r="BA15" s="1353">
        <f ca="1">IF(AY15&lt;&gt;"",IF(VLOOKUP($A15,Actions!$F$1:$AQ$70,34,0)="Commune",(VLOOKUP($A15,Actions!$F$1:$AQ$70,24,0)-VLOOKUP($A15,Actions!$F$1:$AQ$70,26,0))/(1+VLOOKUP($A15,Actions!$F$1:$AQ$70,21,0)-VLOOKUP($A15,Actions!$F$1:$AQ$70,20,0)),0),0)</f>
        <v>0</v>
      </c>
      <c r="BB15" s="1353">
        <f ca="1">IF(AU15="",AX15,IF(AND(AY15="",AU15&lt;&gt;""),VLOOKUP($A15,Actions!$F$1:$AQ$70,31,0),0))</f>
        <v>0</v>
      </c>
      <c r="BC15" s="1354" t="str">
        <f ca="1">IF(OR(Actions!$Y9=BC$7,AND(Actions!$Y9&lt;=BC$7,Actions!$Z9&gt;=BC$7)),Actions!$AA9,"")</f>
        <v/>
      </c>
      <c r="BD15" s="1353">
        <f ca="1">IF(BC15&lt;&gt;"",VLOOKUP($A15,Actions!$F$1:$AQ$70,38,0)/(1+VLOOKUP($A15,Actions!$F$1:$AQ$70,21,0)-VLOOKUP($A15,Actions!$F$1:$AQ$70,20,0)),0)</f>
        <v>0</v>
      </c>
      <c r="BE15" s="1353">
        <f ca="1">IF(BC15&lt;&gt;"",IF(VLOOKUP($A15,Actions!$F$1:$AQ$70,34,0)="Commune",(VLOOKUP($A15,Actions!$F$1:$AQ$70,24,0)-VLOOKUP($A15,Actions!$F$1:$AQ$70,26,0))/(1+VLOOKUP($A15,Actions!$F$1:$AQ$70,21,0)-VLOOKUP($A15,Actions!$F$1:$AQ$70,20,0)),0),0)</f>
        <v>0</v>
      </c>
      <c r="BF15" s="1353">
        <f ca="1">IF(AY15="",BB15,IF(AND(BC15="",AY15&lt;&gt;""),VLOOKUP($A15,Actions!$F$1:$AQ$70,31,0),0))</f>
        <v>0</v>
      </c>
      <c r="BG15" s="1355">
        <f t="shared" ca="1" si="0"/>
        <v>0</v>
      </c>
      <c r="BH15" s="201">
        <f ca="1">VLOOKUP(B15,Actions!G8:AC77,18,0)-VLOOKUP(B15,Actions!G8:AE77,20,0)</f>
        <v>0</v>
      </c>
      <c r="BI15" s="233"/>
      <c r="BJ15" s="233"/>
      <c r="BK15" s="233"/>
      <c r="BL15" s="233"/>
      <c r="BM15" s="233"/>
      <c r="BN15" s="233"/>
      <c r="BO15" s="233"/>
    </row>
    <row r="16" spans="1:67">
      <c r="A16" s="1349">
        <f>Actions!F10</f>
        <v>9</v>
      </c>
      <c r="B16" s="1352">
        <f ca="1">Actions!G10</f>
        <v>0</v>
      </c>
      <c r="C16" s="1353" t="str">
        <f ca="1">IF(OR(AND(Actions!Y10&gt;0,Actions!Y10&lt;=$C$7,Actions!Z10&gt;=$C$7),AND(Actions!Y10&gt;0,Actions!Y10&lt;=$C$7,Actions!Z10&lt;Actions!Y10),AND(Actions!Y10=0,Actions!Z10&gt;=$C$7)),Actions!$AA10,"")</f>
        <v/>
      </c>
      <c r="D16" s="1353">
        <f ca="1">IF(C16&lt;&gt;"",VLOOKUP($A16,Actions!$F$1:$AQ$70,38,0)/(1+VLOOKUP($A16,Actions!$F$1:$AQ$70,21,0)-VLOOKUP($A16,Actions!$F$1:$AQ$70,20,0)),0)</f>
        <v>0</v>
      </c>
      <c r="E16" s="1353">
        <f ca="1">IF(C16&lt;&gt;"",IF(VLOOKUP($A16,Actions!$F$1:$AQ$70,34,0)="Commune",(VLOOKUP($A16,Actions!$F$1:$AQ$70,24,0)-VLOOKUP($A16,Actions!$F$1:$AQ$70,26,0))/(1+VLOOKUP($A16,Actions!$F$1:$AQ$70,21,0)-VLOOKUP($A16,Actions!$F$1:$AQ$70,20,0)),0),0)</f>
        <v>0</v>
      </c>
      <c r="F16" s="1353">
        <v>0</v>
      </c>
      <c r="G16" s="1354" t="str">
        <f ca="1">IF(OR(Actions!$Y10=G$7,AND(Actions!$Y10&lt;=G$7,Actions!$Z10&gt;=G$7)),Actions!$AA10,"")</f>
        <v/>
      </c>
      <c r="H16" s="1353">
        <f ca="1">IF(G16&lt;&gt;"",VLOOKUP($A16,Actions!$F$1:$AQ$70,38,0)/(1+VLOOKUP($A16,Actions!$F$1:$AQ$70,21,0)-VLOOKUP($A16,Actions!$F$1:$AQ$70,20,0)),0)</f>
        <v>0</v>
      </c>
      <c r="I16" s="1353">
        <f ca="1">IF(G16&lt;&gt;"",IF(VLOOKUP($A16,Actions!$F$1:$AQ$70,34,0)="Commune",(VLOOKUP($A16,Actions!$F$1:$AQ$70,24,0)-VLOOKUP($A16,Actions!$F$1:$AQ$70,26,0))/(1+VLOOKUP($A16,Actions!$F$1:$AQ$70,21,0)-VLOOKUP($A16,Actions!$F$1:$AQ$70,20,0)),0),0)</f>
        <v>0</v>
      </c>
      <c r="J16" s="1353">
        <f ca="1">IF(C16="",F16,IF(AND(G16="",C16&lt;&gt;""),VLOOKUP($A16,Actions!$F$1:$AQ$70,31,0),0))</f>
        <v>0</v>
      </c>
      <c r="K16" s="1354" t="str">
        <f ca="1">IF(OR(Actions!$Y10=K$7,AND(Actions!$Y10&lt;=K$7,Actions!$Z10&gt;=K$7)),Actions!$AA10,"")</f>
        <v/>
      </c>
      <c r="L16" s="1353">
        <f ca="1">IF(K16&lt;&gt;"",VLOOKUP($A16,Actions!$F$1:$AQ$70,38,0)/(1+VLOOKUP($A16,Actions!$F$1:$AQ$70,21,0)-VLOOKUP($A16,Actions!$F$1:$AQ$70,20,0)),0)</f>
        <v>0</v>
      </c>
      <c r="M16" s="1353">
        <f ca="1">IF(K16&lt;&gt;"",IF(VLOOKUP($A16,Actions!$F$1:$AQ$70,34,0)="Commune",(VLOOKUP($A16,Actions!$F$1:$AQ$70,24,0)-VLOOKUP($A16,Actions!$F$1:$AQ$70,26,0))/(1+VLOOKUP($A16,Actions!$F$1:$AQ$70,21,0)-VLOOKUP($A16,Actions!$F$1:$AQ$70,20,0)),0),0)</f>
        <v>0</v>
      </c>
      <c r="N16" s="1353">
        <f ca="1">IF(G16="",J16,IF(AND(K16="",G16&lt;&gt;""),VLOOKUP($A16,Actions!$F$1:$AQ$70,31,0),0))</f>
        <v>0</v>
      </c>
      <c r="O16" s="1354" t="str">
        <f ca="1">IF(OR(Actions!$Y10=O$7,AND(Actions!$Y10&lt;=O$7,Actions!$Z10&gt;=O$7)),Actions!$AA10,"")</f>
        <v/>
      </c>
      <c r="P16" s="1353">
        <f ca="1">IF(O16&lt;&gt;"",VLOOKUP($A16,Actions!$F$1:$AQ$70,38,0)/(1+VLOOKUP($A16,Actions!$F$1:$AQ$70,21,0)-VLOOKUP($A16,Actions!$F$1:$AQ$70,20,0)),0)</f>
        <v>0</v>
      </c>
      <c r="Q16" s="1353">
        <f ca="1">IF(O16&lt;&gt;"",IF(VLOOKUP($A16,Actions!$F$1:$AQ$70,34,0)="Commune",(VLOOKUP($A16,Actions!$F$1:$AQ$70,24,0)-VLOOKUP($A16,Actions!$F$1:$AQ$70,26,0))/(1+VLOOKUP($A16,Actions!$F$1:$AQ$70,21,0)-VLOOKUP($A16,Actions!$F$1:$AQ$70,20,0)),0),0)</f>
        <v>0</v>
      </c>
      <c r="R16" s="1353">
        <f ca="1">IF(K16="",N16,IF(AND(O16="",K16&lt;&gt;""),VLOOKUP($A16,Actions!$F$1:$AQ$70,31,0),0))</f>
        <v>0</v>
      </c>
      <c r="S16" s="1354" t="str">
        <f ca="1">IF(OR(Actions!$Y10=S$7,AND(Actions!$Y10&lt;=S$7,Actions!$Z10&gt;=S$7)),Actions!$AA10,"")</f>
        <v/>
      </c>
      <c r="T16" s="1353">
        <f ca="1">IF(S16&lt;&gt;"",VLOOKUP($A16,Actions!$F$1:$AQ$70,38,0)/(1+VLOOKUP($A16,Actions!$F$1:$AQ$70,21,0)-VLOOKUP($A16,Actions!$F$1:$AQ$70,20,0)),0)</f>
        <v>0</v>
      </c>
      <c r="U16" s="1353">
        <f ca="1">IF(S16&lt;&gt;"",IF(VLOOKUP($A16,Actions!$F$1:$AQ$70,34,0)="Commune",(VLOOKUP($A16,Actions!$F$1:$AQ$70,24,0)-VLOOKUP($A16,Actions!$F$1:$AQ$70,26,0))/(1+VLOOKUP($A16,Actions!$F$1:$AQ$70,21,0)-VLOOKUP($A16,Actions!$F$1:$AQ$70,20,0)),0),0)</f>
        <v>0</v>
      </c>
      <c r="V16" s="1353">
        <f ca="1">IF(O16="",R16,IF(AND(S16="",O16&lt;&gt;""),VLOOKUP($A16,Actions!$F$1:$AQ$70,31,0),0))</f>
        <v>0</v>
      </c>
      <c r="W16" s="1354" t="str">
        <f ca="1">IF(OR(Actions!$Y10=W$7,AND(Actions!$Y10&lt;=W$7,Actions!$Z10&gt;=W$7)),Actions!$AA10,"")</f>
        <v/>
      </c>
      <c r="X16" s="1353">
        <f ca="1">IF(W16&lt;&gt;"",VLOOKUP($A16,Actions!$F$1:$AQ$70,38,0)/(1+VLOOKUP($A16,Actions!$F$1:$AQ$70,21,0)-VLOOKUP($A16,Actions!$F$1:$AQ$70,20,0)),0)</f>
        <v>0</v>
      </c>
      <c r="Y16" s="1353">
        <f ca="1">IF(W16&lt;&gt;"",IF(VLOOKUP($A16,Actions!$F$1:$AQ$70,34,0)="Commune",(VLOOKUP($A16,Actions!$F$1:$AQ$70,24,0)-VLOOKUP($A16,Actions!$F$1:$AQ$70,26,0))/(1+VLOOKUP($A16,Actions!$F$1:$AQ$70,21,0)-VLOOKUP($A16,Actions!$F$1:$AQ$70,20,0)),0),0)</f>
        <v>0</v>
      </c>
      <c r="Z16" s="1353">
        <f ca="1">IF(S16="",V16,IF(AND(W16="",S16&lt;&gt;""),VLOOKUP($A16,Actions!$F$1:$AQ$70,31,0),0))</f>
        <v>0</v>
      </c>
      <c r="AA16" s="1354" t="str">
        <f ca="1">IF(OR(Actions!$Y10=AA$7,AND(Actions!$Y10&lt;=AA$7,Actions!$Z10&gt;=AA$7)),Actions!$AA10,"")</f>
        <v/>
      </c>
      <c r="AB16" s="1353">
        <f ca="1">IF(AA16&lt;&gt;"",VLOOKUP($A16,Actions!$F$1:$AQ$70,38,0)/(1+VLOOKUP($A16,Actions!$F$1:$AQ$70,21,0)-VLOOKUP($A16,Actions!$F$1:$AQ$70,20,0)),0)</f>
        <v>0</v>
      </c>
      <c r="AC16" s="1353">
        <f ca="1">IF(AA16&lt;&gt;"",IF(VLOOKUP($A16,Actions!$F$1:$AQ$70,34,0)="Commune",(VLOOKUP($A16,Actions!$F$1:$AQ$70,24,0)-VLOOKUP($A16,Actions!$F$1:$AQ$70,26,0))/(1+VLOOKUP($A16,Actions!$F$1:$AQ$70,21,0)-VLOOKUP($A16,Actions!$F$1:$AQ$70,20,0)),0),0)</f>
        <v>0</v>
      </c>
      <c r="AD16" s="1353">
        <f ca="1">IF(W16="",Z16,IF(AND(AA16="",W16&lt;&gt;""),VLOOKUP($A16,Actions!$F$1:$AQ$70,31,0),0))</f>
        <v>0</v>
      </c>
      <c r="AE16" s="1354" t="str">
        <f ca="1">IF(OR(Actions!$Y10=AE$7,AND(Actions!$Y10&lt;=AE$7,Actions!$Z10&gt;=AE$7)),Actions!$AA10,"")</f>
        <v/>
      </c>
      <c r="AF16" s="1353">
        <f ca="1">IF(AE16&lt;&gt;"",VLOOKUP($A16,Actions!$F$1:$AQ$70,38,0)/(1+VLOOKUP($A16,Actions!$F$1:$AQ$70,21,0)-VLOOKUP($A16,Actions!$F$1:$AQ$70,20,0)),0)</f>
        <v>0</v>
      </c>
      <c r="AG16" s="1353">
        <f ca="1">IF(AE16&lt;&gt;"",IF(VLOOKUP($A16,Actions!$F$1:$AQ$70,34,0)="Commune",(VLOOKUP($A16,Actions!$F$1:$AQ$70,24,0)-VLOOKUP($A16,Actions!$F$1:$AQ$70,26,0))/(1+VLOOKUP($A16,Actions!$F$1:$AQ$70,21,0)-VLOOKUP($A16,Actions!$F$1:$AQ$70,20,0)),0),0)</f>
        <v>0</v>
      </c>
      <c r="AH16" s="1353">
        <f ca="1">IF(AA16="",AD16,IF(AND(AE16="",AA16&lt;&gt;""),VLOOKUP($A16,Actions!$F$1:$AQ$70,31,0),0))</f>
        <v>0</v>
      </c>
      <c r="AI16" s="1354" t="str">
        <f ca="1">IF(OR(Actions!$Y10=AI$7,AND(Actions!$Y10&lt;=AI$7,Actions!$Z10&gt;=AI$7)),Actions!$AA10,"")</f>
        <v/>
      </c>
      <c r="AJ16" s="1353">
        <f ca="1">IF(AI16&lt;&gt;"",VLOOKUP($A16,Actions!$F$1:$AQ$70,38,0)/(1+VLOOKUP($A16,Actions!$F$1:$AQ$70,21,0)-VLOOKUP($A16,Actions!$F$1:$AQ$70,20,0)),0)</f>
        <v>0</v>
      </c>
      <c r="AK16" s="1353">
        <f ca="1">IF(AI16&lt;&gt;"",IF(VLOOKUP($A16,Actions!$F$1:$AQ$70,34,0)="Commune",(VLOOKUP($A16,Actions!$F$1:$AQ$70,24,0)-VLOOKUP($A16,Actions!$F$1:$AQ$70,26,0))/(1+VLOOKUP($A16,Actions!$F$1:$AQ$70,21,0)-VLOOKUP($A16,Actions!$F$1:$AQ$70,20,0)),0),0)</f>
        <v>0</v>
      </c>
      <c r="AL16" s="1353">
        <f ca="1">IF(AE16="",AH16,IF(AND(AI16="",AE16&lt;&gt;""),VLOOKUP($A16,Actions!$F$1:$AQ$70,31,0),0))</f>
        <v>0</v>
      </c>
      <c r="AM16" s="1354" t="str">
        <f ca="1">IF(OR(Actions!$Y10=AM$7,AND(Actions!$Y10&lt;=AM$7,Actions!$Z10&gt;=AM$7)),Actions!$AA10,"")</f>
        <v/>
      </c>
      <c r="AN16" s="1353">
        <f ca="1">IF(AM16&lt;&gt;"",VLOOKUP($A16,Actions!$F$1:$AQ$70,38,0)/(1+VLOOKUP($A16,Actions!$F$1:$AQ$70,21,0)-VLOOKUP($A16,Actions!$F$1:$AQ$70,20,0)),0)</f>
        <v>0</v>
      </c>
      <c r="AO16" s="1353">
        <f ca="1">IF(AM16&lt;&gt;"",IF(VLOOKUP($A16,Actions!$F$1:$AQ$70,34,0)="Commune",(VLOOKUP($A16,Actions!$F$1:$AQ$70,24,0)-VLOOKUP($A16,Actions!$F$1:$AQ$70,26,0))/(1+VLOOKUP($A16,Actions!$F$1:$AQ$70,21,0)-VLOOKUP($A16,Actions!$F$1:$AQ$70,20,0)),0),0)</f>
        <v>0</v>
      </c>
      <c r="AP16" s="1353">
        <f ca="1">IF(AI16="",AL16,IF(AND(AM16="",AI16&lt;&gt;""),VLOOKUP($A16,Actions!$F$1:$AQ$70,31,0),0))</f>
        <v>0</v>
      </c>
      <c r="AQ16" s="1354" t="str">
        <f ca="1">IF(OR(Actions!$Y10=AQ$7,AND(Actions!$Y10&lt;=AQ$7,Actions!$Z10&gt;=AQ$7)),Actions!$AA10,"")</f>
        <v/>
      </c>
      <c r="AR16" s="1353">
        <f ca="1">IF(AQ16&lt;&gt;"",VLOOKUP($A16,Actions!$F$1:$AQ$70,38,0)/(1+VLOOKUP($A16,Actions!$F$1:$AQ$70,21,0)-VLOOKUP($A16,Actions!$F$1:$AQ$70,20,0)),0)</f>
        <v>0</v>
      </c>
      <c r="AS16" s="1353">
        <f ca="1">IF(AQ16&lt;&gt;"",IF(VLOOKUP($A16,Actions!$F$1:$AQ$70,34,0)="Commune",(VLOOKUP($A16,Actions!$F$1:$AQ$70,24,0)-VLOOKUP($A16,Actions!$F$1:$AQ$70,26,0))/(1+VLOOKUP($A16,Actions!$F$1:$AQ$70,21,0)-VLOOKUP($A16,Actions!$F$1:$AQ$70,20,0)),0),0)</f>
        <v>0</v>
      </c>
      <c r="AT16" s="1353">
        <f ca="1">IF(AM16="",AP16,IF(AND(AQ16="",AM16&lt;&gt;""),VLOOKUP($A16,Actions!$F$1:$AQ$70,31,0),0))</f>
        <v>0</v>
      </c>
      <c r="AU16" s="1354" t="str">
        <f ca="1">IF(OR(Actions!$Y10=AU$7,AND(Actions!$Y10&lt;=AU$7,Actions!$Z10&gt;=AU$7)),Actions!$AA10,"")</f>
        <v/>
      </c>
      <c r="AV16" s="1353">
        <f ca="1">IF(AU16&lt;&gt;"",VLOOKUP($A16,Actions!$F$1:$AQ$70,38,0)/(1+VLOOKUP($A16,Actions!$F$1:$AQ$70,21,0)-VLOOKUP($A16,Actions!$F$1:$AQ$70,20,0)),0)</f>
        <v>0</v>
      </c>
      <c r="AW16" s="1353">
        <f ca="1">IF(AU16&lt;&gt;"",IF(VLOOKUP($A16,Actions!$F$1:$AQ$70,34,0)="Commune",(VLOOKUP($A16,Actions!$F$1:$AQ$70,24,0)-VLOOKUP($A16,Actions!$F$1:$AQ$70,26,0))/(1+VLOOKUP($A16,Actions!$F$1:$AQ$70,21,0)-VLOOKUP($A16,Actions!$F$1:$AQ$70,20,0)),0),0)</f>
        <v>0</v>
      </c>
      <c r="AX16" s="1353">
        <f ca="1">IF(AQ16="",AT16,IF(AND(AU16="",AQ16&lt;&gt;""),VLOOKUP($A16,Actions!$F$1:$AQ$70,31,0),0))</f>
        <v>0</v>
      </c>
      <c r="AY16" s="1354" t="str">
        <f ca="1">IF(OR(Actions!$Y10=AY$7,AND(Actions!$Y10&lt;=AY$7,Actions!$Z10&gt;=AY$7)),Actions!$AA10,"")</f>
        <v/>
      </c>
      <c r="AZ16" s="1353">
        <f ca="1">IF(AY16&lt;&gt;"",VLOOKUP($A16,Actions!$F$1:$AQ$70,38,0)/(1+VLOOKUP($A16,Actions!$F$1:$AQ$70,21,0)-VLOOKUP($A16,Actions!$F$1:$AQ$70,20,0)),0)</f>
        <v>0</v>
      </c>
      <c r="BA16" s="1353">
        <f ca="1">IF(AY16&lt;&gt;"",IF(VLOOKUP($A16,Actions!$F$1:$AQ$70,34,0)="Commune",(VLOOKUP($A16,Actions!$F$1:$AQ$70,24,0)-VLOOKUP($A16,Actions!$F$1:$AQ$70,26,0))/(1+VLOOKUP($A16,Actions!$F$1:$AQ$70,21,0)-VLOOKUP($A16,Actions!$F$1:$AQ$70,20,0)),0),0)</f>
        <v>0</v>
      </c>
      <c r="BB16" s="1353">
        <f ca="1">IF(AU16="",AX16,IF(AND(AY16="",AU16&lt;&gt;""),VLOOKUP($A16,Actions!$F$1:$AQ$70,31,0),0))</f>
        <v>0</v>
      </c>
      <c r="BC16" s="1354" t="str">
        <f ca="1">IF(OR(Actions!$Y10=BC$7,AND(Actions!$Y10&lt;=BC$7,Actions!$Z10&gt;=BC$7)),Actions!$AA10,"")</f>
        <v/>
      </c>
      <c r="BD16" s="1353">
        <f ca="1">IF(BC16&lt;&gt;"",VLOOKUP($A16,Actions!$F$1:$AQ$70,38,0)/(1+VLOOKUP($A16,Actions!$F$1:$AQ$70,21,0)-VLOOKUP($A16,Actions!$F$1:$AQ$70,20,0)),0)</f>
        <v>0</v>
      </c>
      <c r="BE16" s="1353">
        <f ca="1">IF(BC16&lt;&gt;"",IF(VLOOKUP($A16,Actions!$F$1:$AQ$70,34,0)="Commune",(VLOOKUP($A16,Actions!$F$1:$AQ$70,24,0)-VLOOKUP($A16,Actions!$F$1:$AQ$70,26,0))/(1+VLOOKUP($A16,Actions!$F$1:$AQ$70,21,0)-VLOOKUP($A16,Actions!$F$1:$AQ$70,20,0)),0),0)</f>
        <v>0</v>
      </c>
      <c r="BF16" s="1353">
        <f ca="1">IF(AY16="",BB16,IF(AND(BC16="",AY16&lt;&gt;""),VLOOKUP($A16,Actions!$F$1:$AQ$70,31,0),0))</f>
        <v>0</v>
      </c>
      <c r="BG16" s="1355">
        <f t="shared" ca="1" si="0"/>
        <v>0</v>
      </c>
      <c r="BH16" s="201">
        <f ca="1">VLOOKUP(B16,Actions!G9:AC78,18,0)-VLOOKUP(B16,Actions!G9:AE78,20,0)</f>
        <v>0</v>
      </c>
      <c r="BI16" s="233"/>
      <c r="BJ16" s="233"/>
      <c r="BK16" s="233"/>
      <c r="BL16" s="233"/>
      <c r="BM16" s="233"/>
      <c r="BN16" s="233"/>
      <c r="BO16" s="233"/>
    </row>
    <row r="17" spans="1:67">
      <c r="A17" s="1349">
        <f>Actions!F11</f>
        <v>10</v>
      </c>
      <c r="B17" s="1352">
        <f ca="1">Actions!G11</f>
        <v>0</v>
      </c>
      <c r="C17" s="1353" t="str">
        <f ca="1">IF(OR(AND(Actions!Y11&gt;0,Actions!Y11&lt;=$C$7,Actions!Z11&gt;=$C$7),AND(Actions!Y11&gt;0,Actions!Y11&lt;=$C$7,Actions!Z11&lt;Actions!Y11),AND(Actions!Y11=0,Actions!Z11&gt;=$C$7)),Actions!$AA11,"")</f>
        <v/>
      </c>
      <c r="D17" s="1353">
        <f ca="1">IF(C17&lt;&gt;"",VLOOKUP($A17,Actions!$F$1:$AQ$70,38,0)/(1+VLOOKUP($A17,Actions!$F$1:$AQ$70,21,0)-VLOOKUP($A17,Actions!$F$1:$AQ$70,20,0)),0)</f>
        <v>0</v>
      </c>
      <c r="E17" s="1353">
        <f ca="1">IF(C17&lt;&gt;"",IF(VLOOKUP($A17,Actions!$F$1:$AQ$70,34,0)="Commune",(VLOOKUP($A17,Actions!$F$1:$AQ$70,24,0)-VLOOKUP($A17,Actions!$F$1:$AQ$70,26,0))/(1+VLOOKUP($A17,Actions!$F$1:$AQ$70,21,0)-VLOOKUP($A17,Actions!$F$1:$AQ$70,20,0)),0),0)</f>
        <v>0</v>
      </c>
      <c r="F17" s="1353">
        <v>0</v>
      </c>
      <c r="G17" s="1354" t="str">
        <f ca="1">IF(OR(Actions!$Y11=G$7,AND(Actions!$Y11&lt;=G$7,Actions!$Z11&gt;=G$7)),Actions!$AA11,"")</f>
        <v/>
      </c>
      <c r="H17" s="1353">
        <f ca="1">IF(G17&lt;&gt;"",VLOOKUP($A17,Actions!$F$1:$AQ$70,38,0)/(1+VLOOKUP($A17,Actions!$F$1:$AQ$70,21,0)-VLOOKUP($A17,Actions!$F$1:$AQ$70,20,0)),0)</f>
        <v>0</v>
      </c>
      <c r="I17" s="1353">
        <f ca="1">IF(G17&lt;&gt;"",IF(VLOOKUP($A17,Actions!$F$1:$AQ$70,34,0)="Commune",(VLOOKUP($A17,Actions!$F$1:$AQ$70,24,0)-VLOOKUP($A17,Actions!$F$1:$AQ$70,26,0))/(1+VLOOKUP($A17,Actions!$F$1:$AQ$70,21,0)-VLOOKUP($A17,Actions!$F$1:$AQ$70,20,0)),0),0)</f>
        <v>0</v>
      </c>
      <c r="J17" s="1353">
        <f ca="1">IF(C17="",F17,IF(AND(G17="",C17&lt;&gt;""),VLOOKUP($A17,Actions!$F$1:$AQ$70,31,0),0))</f>
        <v>0</v>
      </c>
      <c r="K17" s="1354" t="str">
        <f ca="1">IF(OR(Actions!$Y11=K$7,AND(Actions!$Y11&lt;=K$7,Actions!$Z11&gt;=K$7)),Actions!$AA11,"")</f>
        <v/>
      </c>
      <c r="L17" s="1353">
        <f ca="1">IF(K17&lt;&gt;"",VLOOKUP($A17,Actions!$F$1:$AQ$70,38,0)/(1+VLOOKUP($A17,Actions!$F$1:$AQ$70,21,0)-VLOOKUP($A17,Actions!$F$1:$AQ$70,20,0)),0)</f>
        <v>0</v>
      </c>
      <c r="M17" s="1353">
        <f ca="1">IF(K17&lt;&gt;"",IF(VLOOKUP($A17,Actions!$F$1:$AQ$70,34,0)="Commune",(VLOOKUP($A17,Actions!$F$1:$AQ$70,24,0)-VLOOKUP($A17,Actions!$F$1:$AQ$70,26,0))/(1+VLOOKUP($A17,Actions!$F$1:$AQ$70,21,0)-VLOOKUP($A17,Actions!$F$1:$AQ$70,20,0)),0),0)</f>
        <v>0</v>
      </c>
      <c r="N17" s="1353">
        <f ca="1">IF(G17="",J17,IF(AND(K17="",G17&lt;&gt;""),VLOOKUP($A17,Actions!$F$1:$AQ$70,31,0),0))</f>
        <v>0</v>
      </c>
      <c r="O17" s="1354" t="str">
        <f ca="1">IF(OR(Actions!$Y11=O$7,AND(Actions!$Y11&lt;=O$7,Actions!$Z11&gt;=O$7)),Actions!$AA11,"")</f>
        <v/>
      </c>
      <c r="P17" s="1353">
        <f ca="1">IF(O17&lt;&gt;"",VLOOKUP($A17,Actions!$F$1:$AQ$70,38,0)/(1+VLOOKUP($A17,Actions!$F$1:$AQ$70,21,0)-VLOOKUP($A17,Actions!$F$1:$AQ$70,20,0)),0)</f>
        <v>0</v>
      </c>
      <c r="Q17" s="1353">
        <f ca="1">IF(O17&lt;&gt;"",IF(VLOOKUP($A17,Actions!$F$1:$AQ$70,34,0)="Commune",(VLOOKUP($A17,Actions!$F$1:$AQ$70,24,0)-VLOOKUP($A17,Actions!$F$1:$AQ$70,26,0))/(1+VLOOKUP($A17,Actions!$F$1:$AQ$70,21,0)-VLOOKUP($A17,Actions!$F$1:$AQ$70,20,0)),0),0)</f>
        <v>0</v>
      </c>
      <c r="R17" s="1353">
        <f ca="1">IF(K17="",N17,IF(AND(O17="",K17&lt;&gt;""),VLOOKUP($A17,Actions!$F$1:$AQ$70,31,0),0))</f>
        <v>0</v>
      </c>
      <c r="S17" s="1354" t="str">
        <f ca="1">IF(OR(Actions!$Y11=S$7,AND(Actions!$Y11&lt;=S$7,Actions!$Z11&gt;=S$7)),Actions!$AA11,"")</f>
        <v/>
      </c>
      <c r="T17" s="1353">
        <f ca="1">IF(S17&lt;&gt;"",VLOOKUP($A17,Actions!$F$1:$AQ$70,38,0)/(1+VLOOKUP($A17,Actions!$F$1:$AQ$70,21,0)-VLOOKUP($A17,Actions!$F$1:$AQ$70,20,0)),0)</f>
        <v>0</v>
      </c>
      <c r="U17" s="1353">
        <f ca="1">IF(S17&lt;&gt;"",IF(VLOOKUP($A17,Actions!$F$1:$AQ$70,34,0)="Commune",(VLOOKUP($A17,Actions!$F$1:$AQ$70,24,0)-VLOOKUP($A17,Actions!$F$1:$AQ$70,26,0))/(1+VLOOKUP($A17,Actions!$F$1:$AQ$70,21,0)-VLOOKUP($A17,Actions!$F$1:$AQ$70,20,0)),0),0)</f>
        <v>0</v>
      </c>
      <c r="V17" s="1353">
        <f ca="1">IF(O17="",R17,IF(AND(S17="",O17&lt;&gt;""),VLOOKUP($A17,Actions!$F$1:$AQ$70,31,0),0))</f>
        <v>0</v>
      </c>
      <c r="W17" s="1354" t="str">
        <f ca="1">IF(OR(Actions!$Y11=W$7,AND(Actions!$Y11&lt;=W$7,Actions!$Z11&gt;=W$7)),Actions!$AA11,"")</f>
        <v/>
      </c>
      <c r="X17" s="1353">
        <f ca="1">IF(W17&lt;&gt;"",VLOOKUP($A17,Actions!$F$1:$AQ$70,38,0)/(1+VLOOKUP($A17,Actions!$F$1:$AQ$70,21,0)-VLOOKUP($A17,Actions!$F$1:$AQ$70,20,0)),0)</f>
        <v>0</v>
      </c>
      <c r="Y17" s="1353">
        <f ca="1">IF(W17&lt;&gt;"",IF(VLOOKUP($A17,Actions!$F$1:$AQ$70,34,0)="Commune",(VLOOKUP($A17,Actions!$F$1:$AQ$70,24,0)-VLOOKUP($A17,Actions!$F$1:$AQ$70,26,0))/(1+VLOOKUP($A17,Actions!$F$1:$AQ$70,21,0)-VLOOKUP($A17,Actions!$F$1:$AQ$70,20,0)),0),0)</f>
        <v>0</v>
      </c>
      <c r="Z17" s="1353">
        <f ca="1">IF(S17="",V17,IF(AND(W17="",S17&lt;&gt;""),VLOOKUP($A17,Actions!$F$1:$AQ$70,31,0),0))</f>
        <v>0</v>
      </c>
      <c r="AA17" s="1354" t="str">
        <f ca="1">IF(OR(Actions!$Y11=AA$7,AND(Actions!$Y11&lt;=AA$7,Actions!$Z11&gt;=AA$7)),Actions!$AA11,"")</f>
        <v/>
      </c>
      <c r="AB17" s="1353">
        <f ca="1">IF(AA17&lt;&gt;"",VLOOKUP($A17,Actions!$F$1:$AQ$70,38,0)/(1+VLOOKUP($A17,Actions!$F$1:$AQ$70,21,0)-VLOOKUP($A17,Actions!$F$1:$AQ$70,20,0)),0)</f>
        <v>0</v>
      </c>
      <c r="AC17" s="1353">
        <f ca="1">IF(AA17&lt;&gt;"",IF(VLOOKUP($A17,Actions!$F$1:$AQ$70,34,0)="Commune",(VLOOKUP($A17,Actions!$F$1:$AQ$70,24,0)-VLOOKUP($A17,Actions!$F$1:$AQ$70,26,0))/(1+VLOOKUP($A17,Actions!$F$1:$AQ$70,21,0)-VLOOKUP($A17,Actions!$F$1:$AQ$70,20,0)),0),0)</f>
        <v>0</v>
      </c>
      <c r="AD17" s="1353">
        <f ca="1">IF(W17="",Z17,IF(AND(AA17="",W17&lt;&gt;""),VLOOKUP($A17,Actions!$F$1:$AQ$70,31,0),0))</f>
        <v>0</v>
      </c>
      <c r="AE17" s="1354" t="str">
        <f ca="1">IF(OR(Actions!$Y11=AE$7,AND(Actions!$Y11&lt;=AE$7,Actions!$Z11&gt;=AE$7)),Actions!$AA11,"")</f>
        <v/>
      </c>
      <c r="AF17" s="1353">
        <f ca="1">IF(AE17&lt;&gt;"",VLOOKUP($A17,Actions!$F$1:$AQ$70,38,0)/(1+VLOOKUP($A17,Actions!$F$1:$AQ$70,21,0)-VLOOKUP($A17,Actions!$F$1:$AQ$70,20,0)),0)</f>
        <v>0</v>
      </c>
      <c r="AG17" s="1353">
        <f ca="1">IF(AE17&lt;&gt;"",IF(VLOOKUP($A17,Actions!$F$1:$AQ$70,34,0)="Commune",(VLOOKUP($A17,Actions!$F$1:$AQ$70,24,0)-VLOOKUP($A17,Actions!$F$1:$AQ$70,26,0))/(1+VLOOKUP($A17,Actions!$F$1:$AQ$70,21,0)-VLOOKUP($A17,Actions!$F$1:$AQ$70,20,0)),0),0)</f>
        <v>0</v>
      </c>
      <c r="AH17" s="1353">
        <f ca="1">IF(AA17="",AD17,IF(AND(AE17="",AA17&lt;&gt;""),VLOOKUP($A17,Actions!$F$1:$AQ$70,31,0),0))</f>
        <v>0</v>
      </c>
      <c r="AI17" s="1354" t="str">
        <f ca="1">IF(OR(Actions!$Y11=AI$7,AND(Actions!$Y11&lt;=AI$7,Actions!$Z11&gt;=AI$7)),Actions!$AA11,"")</f>
        <v/>
      </c>
      <c r="AJ17" s="1353">
        <f ca="1">IF(AI17&lt;&gt;"",VLOOKUP($A17,Actions!$F$1:$AQ$70,38,0)/(1+VLOOKUP($A17,Actions!$F$1:$AQ$70,21,0)-VLOOKUP($A17,Actions!$F$1:$AQ$70,20,0)),0)</f>
        <v>0</v>
      </c>
      <c r="AK17" s="1353">
        <f ca="1">IF(AI17&lt;&gt;"",IF(VLOOKUP($A17,Actions!$F$1:$AQ$70,34,0)="Commune",(VLOOKUP($A17,Actions!$F$1:$AQ$70,24,0)-VLOOKUP($A17,Actions!$F$1:$AQ$70,26,0))/(1+VLOOKUP($A17,Actions!$F$1:$AQ$70,21,0)-VLOOKUP($A17,Actions!$F$1:$AQ$70,20,0)),0),0)</f>
        <v>0</v>
      </c>
      <c r="AL17" s="1353">
        <f ca="1">IF(AE17="",AH17,IF(AND(AI17="",AE17&lt;&gt;""),VLOOKUP($A17,Actions!$F$1:$AQ$70,31,0),0))</f>
        <v>0</v>
      </c>
      <c r="AM17" s="1354" t="str">
        <f ca="1">IF(OR(Actions!$Y11=AM$7,AND(Actions!$Y11&lt;=AM$7,Actions!$Z11&gt;=AM$7)),Actions!$AA11,"")</f>
        <v/>
      </c>
      <c r="AN17" s="1353">
        <f ca="1">IF(AM17&lt;&gt;"",VLOOKUP($A17,Actions!$F$1:$AQ$70,38,0)/(1+VLOOKUP($A17,Actions!$F$1:$AQ$70,21,0)-VLOOKUP($A17,Actions!$F$1:$AQ$70,20,0)),0)</f>
        <v>0</v>
      </c>
      <c r="AO17" s="1353">
        <f ca="1">IF(AM17&lt;&gt;"",IF(VLOOKUP($A17,Actions!$F$1:$AQ$70,34,0)="Commune",(VLOOKUP($A17,Actions!$F$1:$AQ$70,24,0)-VLOOKUP($A17,Actions!$F$1:$AQ$70,26,0))/(1+VLOOKUP($A17,Actions!$F$1:$AQ$70,21,0)-VLOOKUP($A17,Actions!$F$1:$AQ$70,20,0)),0),0)</f>
        <v>0</v>
      </c>
      <c r="AP17" s="1353">
        <f ca="1">IF(AI17="",AL17,IF(AND(AM17="",AI17&lt;&gt;""),VLOOKUP($A17,Actions!$F$1:$AQ$70,31,0),0))</f>
        <v>0</v>
      </c>
      <c r="AQ17" s="1354" t="str">
        <f ca="1">IF(OR(Actions!$Y11=AQ$7,AND(Actions!$Y11&lt;=AQ$7,Actions!$Z11&gt;=AQ$7)),Actions!$AA11,"")</f>
        <v/>
      </c>
      <c r="AR17" s="1353">
        <f ca="1">IF(AQ17&lt;&gt;"",VLOOKUP($A17,Actions!$F$1:$AQ$70,38,0)/(1+VLOOKUP($A17,Actions!$F$1:$AQ$70,21,0)-VLOOKUP($A17,Actions!$F$1:$AQ$70,20,0)),0)</f>
        <v>0</v>
      </c>
      <c r="AS17" s="1353">
        <f ca="1">IF(AQ17&lt;&gt;"",IF(VLOOKUP($A17,Actions!$F$1:$AQ$70,34,0)="Commune",(VLOOKUP($A17,Actions!$F$1:$AQ$70,24,0)-VLOOKUP($A17,Actions!$F$1:$AQ$70,26,0))/(1+VLOOKUP($A17,Actions!$F$1:$AQ$70,21,0)-VLOOKUP($A17,Actions!$F$1:$AQ$70,20,0)),0),0)</f>
        <v>0</v>
      </c>
      <c r="AT17" s="1353">
        <f ca="1">IF(AM17="",AP17,IF(AND(AQ17="",AM17&lt;&gt;""),VLOOKUP($A17,Actions!$F$1:$AQ$70,31,0),0))</f>
        <v>0</v>
      </c>
      <c r="AU17" s="1354" t="str">
        <f ca="1">IF(OR(Actions!$Y11=AU$7,AND(Actions!$Y11&lt;=AU$7,Actions!$Z11&gt;=AU$7)),Actions!$AA11,"")</f>
        <v/>
      </c>
      <c r="AV17" s="1353">
        <f ca="1">IF(AU17&lt;&gt;"",VLOOKUP($A17,Actions!$F$1:$AQ$70,38,0)/(1+VLOOKUP($A17,Actions!$F$1:$AQ$70,21,0)-VLOOKUP($A17,Actions!$F$1:$AQ$70,20,0)),0)</f>
        <v>0</v>
      </c>
      <c r="AW17" s="1353">
        <f ca="1">IF(AU17&lt;&gt;"",IF(VLOOKUP($A17,Actions!$F$1:$AQ$70,34,0)="Commune",(VLOOKUP($A17,Actions!$F$1:$AQ$70,24,0)-VLOOKUP($A17,Actions!$F$1:$AQ$70,26,0))/(1+VLOOKUP($A17,Actions!$F$1:$AQ$70,21,0)-VLOOKUP($A17,Actions!$F$1:$AQ$70,20,0)),0),0)</f>
        <v>0</v>
      </c>
      <c r="AX17" s="1353">
        <f ca="1">IF(AQ17="",AT17,IF(AND(AU17="",AQ17&lt;&gt;""),VLOOKUP($A17,Actions!$F$1:$AQ$70,31,0),0))</f>
        <v>0</v>
      </c>
      <c r="AY17" s="1354" t="str">
        <f ca="1">IF(OR(Actions!$Y11=AY$7,AND(Actions!$Y11&lt;=AY$7,Actions!$Z11&gt;=AY$7)),Actions!$AA11,"")</f>
        <v/>
      </c>
      <c r="AZ17" s="1353">
        <f ca="1">IF(AY17&lt;&gt;"",VLOOKUP($A17,Actions!$F$1:$AQ$70,38,0)/(1+VLOOKUP($A17,Actions!$F$1:$AQ$70,21,0)-VLOOKUP($A17,Actions!$F$1:$AQ$70,20,0)),0)</f>
        <v>0</v>
      </c>
      <c r="BA17" s="1353">
        <f ca="1">IF(AY17&lt;&gt;"",IF(VLOOKUP($A17,Actions!$F$1:$AQ$70,34,0)="Commune",(VLOOKUP($A17,Actions!$F$1:$AQ$70,24,0)-VLOOKUP($A17,Actions!$F$1:$AQ$70,26,0))/(1+VLOOKUP($A17,Actions!$F$1:$AQ$70,21,0)-VLOOKUP($A17,Actions!$F$1:$AQ$70,20,0)),0),0)</f>
        <v>0</v>
      </c>
      <c r="BB17" s="1353">
        <f ca="1">IF(AU17="",AX17,IF(AND(AY17="",AU17&lt;&gt;""),VLOOKUP($A17,Actions!$F$1:$AQ$70,31,0),0))</f>
        <v>0</v>
      </c>
      <c r="BC17" s="1354" t="str">
        <f ca="1">IF(OR(Actions!$Y11=BC$7,AND(Actions!$Y11&lt;=BC$7,Actions!$Z11&gt;=BC$7)),Actions!$AA11,"")</f>
        <v/>
      </c>
      <c r="BD17" s="1353">
        <f ca="1">IF(BC17&lt;&gt;"",VLOOKUP($A17,Actions!$F$1:$AQ$70,38,0)/(1+VLOOKUP($A17,Actions!$F$1:$AQ$70,21,0)-VLOOKUP($A17,Actions!$F$1:$AQ$70,20,0)),0)</f>
        <v>0</v>
      </c>
      <c r="BE17" s="1353">
        <f ca="1">IF(BC17&lt;&gt;"",IF(VLOOKUP($A17,Actions!$F$1:$AQ$70,34,0)="Commune",(VLOOKUP($A17,Actions!$F$1:$AQ$70,24,0)-VLOOKUP($A17,Actions!$F$1:$AQ$70,26,0))/(1+VLOOKUP($A17,Actions!$F$1:$AQ$70,21,0)-VLOOKUP($A17,Actions!$F$1:$AQ$70,20,0)),0),0)</f>
        <v>0</v>
      </c>
      <c r="BF17" s="1353">
        <f ca="1">IF(AY17="",BB17,IF(AND(BC17="",AY17&lt;&gt;""),VLOOKUP($A17,Actions!$F$1:$AQ$70,31,0),0))</f>
        <v>0</v>
      </c>
      <c r="BG17" s="1355">
        <f t="shared" ca="1" si="0"/>
        <v>0</v>
      </c>
      <c r="BH17" s="201">
        <f ca="1">VLOOKUP(B17,Actions!G10:AC79,18,0)-VLOOKUP(B17,Actions!G10:AE79,20,0)</f>
        <v>0</v>
      </c>
      <c r="BI17" s="233"/>
      <c r="BJ17" s="233"/>
      <c r="BK17" s="233"/>
      <c r="BL17" s="233"/>
      <c r="BM17" s="233"/>
      <c r="BN17" s="233"/>
      <c r="BO17" s="233"/>
    </row>
    <row r="18" spans="1:67">
      <c r="A18" s="1349">
        <f>Actions!F12</f>
        <v>11</v>
      </c>
      <c r="B18" s="1352">
        <f ca="1">Actions!G12</f>
        <v>0</v>
      </c>
      <c r="C18" s="1353" t="str">
        <f ca="1">IF(OR(AND(Actions!Y12&gt;0,Actions!Y12&lt;=$C$7,Actions!Z12&gt;=$C$7),AND(Actions!Y12&gt;0,Actions!Y12&lt;=$C$7,Actions!Z12&lt;Actions!Y12),AND(Actions!Y12=0,Actions!Z12&gt;=$C$7)),Actions!$AA12,"")</f>
        <v/>
      </c>
      <c r="D18" s="1353">
        <f ca="1">IF(C18&lt;&gt;"",VLOOKUP($A18,Actions!$F$1:$AQ$70,38,0)/(1+VLOOKUP($A18,Actions!$F$1:$AQ$70,21,0)-VLOOKUP($A18,Actions!$F$1:$AQ$70,20,0)),0)</f>
        <v>0</v>
      </c>
      <c r="E18" s="1353">
        <f ca="1">IF(C18&lt;&gt;"",IF(VLOOKUP($A18,Actions!$F$1:$AQ$70,34,0)="Commune",(VLOOKUP($A18,Actions!$F$1:$AQ$70,24,0)-VLOOKUP($A18,Actions!$F$1:$AQ$70,26,0))/(1+VLOOKUP($A18,Actions!$F$1:$AQ$70,21,0)-VLOOKUP($A18,Actions!$F$1:$AQ$70,20,0)),0),0)</f>
        <v>0</v>
      </c>
      <c r="F18" s="1353">
        <v>0</v>
      </c>
      <c r="G18" s="1354" t="str">
        <f ca="1">IF(OR(Actions!$Y12=G$7,AND(Actions!$Y12&lt;=G$7,Actions!$Z12&gt;=G$7)),Actions!$AA12,"")</f>
        <v/>
      </c>
      <c r="H18" s="1353">
        <f ca="1">IF(G18&lt;&gt;"",VLOOKUP($A18,Actions!$F$1:$AQ$70,38,0)/(1+VLOOKUP($A18,Actions!$F$1:$AQ$70,21,0)-VLOOKUP($A18,Actions!$F$1:$AQ$70,20,0)),0)</f>
        <v>0</v>
      </c>
      <c r="I18" s="1353">
        <f ca="1">IF(G18&lt;&gt;"",IF(VLOOKUP($A18,Actions!$F$1:$AQ$70,34,0)="Commune",(VLOOKUP($A18,Actions!$F$1:$AQ$70,24,0)-VLOOKUP($A18,Actions!$F$1:$AQ$70,26,0))/(1+VLOOKUP($A18,Actions!$F$1:$AQ$70,21,0)-VLOOKUP($A18,Actions!$F$1:$AQ$70,20,0)),0),0)</f>
        <v>0</v>
      </c>
      <c r="J18" s="1353">
        <f ca="1">IF(C18="",F18,IF(AND(G18="",C18&lt;&gt;""),VLOOKUP($A18,Actions!$F$1:$AQ$70,31,0),0))</f>
        <v>0</v>
      </c>
      <c r="K18" s="1354" t="str">
        <f ca="1">IF(OR(Actions!$Y12=K$7,AND(Actions!$Y12&lt;=K$7,Actions!$Z12&gt;=K$7)),Actions!$AA12,"")</f>
        <v/>
      </c>
      <c r="L18" s="1353">
        <f ca="1">IF(K18&lt;&gt;"",VLOOKUP($A18,Actions!$F$1:$AQ$70,38,0)/(1+VLOOKUP($A18,Actions!$F$1:$AQ$70,21,0)-VLOOKUP($A18,Actions!$F$1:$AQ$70,20,0)),0)</f>
        <v>0</v>
      </c>
      <c r="M18" s="1353">
        <f ca="1">IF(K18&lt;&gt;"",IF(VLOOKUP($A18,Actions!$F$1:$AQ$70,34,0)="Commune",(VLOOKUP($A18,Actions!$F$1:$AQ$70,24,0)-VLOOKUP($A18,Actions!$F$1:$AQ$70,26,0))/(1+VLOOKUP($A18,Actions!$F$1:$AQ$70,21,0)-VLOOKUP($A18,Actions!$F$1:$AQ$70,20,0)),0),0)</f>
        <v>0</v>
      </c>
      <c r="N18" s="1353">
        <f ca="1">IF(G18="",J18,IF(AND(K18="",G18&lt;&gt;""),VLOOKUP($A18,Actions!$F$1:$AQ$70,31,0),0))</f>
        <v>0</v>
      </c>
      <c r="O18" s="1354" t="str">
        <f ca="1">IF(OR(Actions!$Y12=O$7,AND(Actions!$Y12&lt;=O$7,Actions!$Z12&gt;=O$7)),Actions!$AA12,"")</f>
        <v/>
      </c>
      <c r="P18" s="1353">
        <f ca="1">IF(O18&lt;&gt;"",VLOOKUP($A18,Actions!$F$1:$AQ$70,38,0)/(1+VLOOKUP($A18,Actions!$F$1:$AQ$70,21,0)-VLOOKUP($A18,Actions!$F$1:$AQ$70,20,0)),0)</f>
        <v>0</v>
      </c>
      <c r="Q18" s="1353">
        <f ca="1">IF(O18&lt;&gt;"",IF(VLOOKUP($A18,Actions!$F$1:$AQ$70,34,0)="Commune",(VLOOKUP($A18,Actions!$F$1:$AQ$70,24,0)-VLOOKUP($A18,Actions!$F$1:$AQ$70,26,0))/(1+VLOOKUP($A18,Actions!$F$1:$AQ$70,21,0)-VLOOKUP($A18,Actions!$F$1:$AQ$70,20,0)),0),0)</f>
        <v>0</v>
      </c>
      <c r="R18" s="1353">
        <f ca="1">IF(K18="",N18,IF(AND(O18="",K18&lt;&gt;""),VLOOKUP($A18,Actions!$F$1:$AQ$70,31,0),0))</f>
        <v>0</v>
      </c>
      <c r="S18" s="1354" t="str">
        <f ca="1">IF(OR(Actions!$Y12=S$7,AND(Actions!$Y12&lt;=S$7,Actions!$Z12&gt;=S$7)),Actions!$AA12,"")</f>
        <v/>
      </c>
      <c r="T18" s="1353">
        <f ca="1">IF(S18&lt;&gt;"",VLOOKUP($A18,Actions!$F$1:$AQ$70,38,0)/(1+VLOOKUP($A18,Actions!$F$1:$AQ$70,21,0)-VLOOKUP($A18,Actions!$F$1:$AQ$70,20,0)),0)</f>
        <v>0</v>
      </c>
      <c r="U18" s="1353">
        <f ca="1">IF(S18&lt;&gt;"",IF(VLOOKUP($A18,Actions!$F$1:$AQ$70,34,0)="Commune",(VLOOKUP($A18,Actions!$F$1:$AQ$70,24,0)-VLOOKUP($A18,Actions!$F$1:$AQ$70,26,0))/(1+VLOOKUP($A18,Actions!$F$1:$AQ$70,21,0)-VLOOKUP($A18,Actions!$F$1:$AQ$70,20,0)),0),0)</f>
        <v>0</v>
      </c>
      <c r="V18" s="1353">
        <f ca="1">IF(O18="",R18,IF(AND(S18="",O18&lt;&gt;""),VLOOKUP($A18,Actions!$F$1:$AQ$70,31,0),0))</f>
        <v>0</v>
      </c>
      <c r="W18" s="1354" t="str">
        <f ca="1">IF(OR(Actions!$Y12=W$7,AND(Actions!$Y12&lt;=W$7,Actions!$Z12&gt;=W$7)),Actions!$AA12,"")</f>
        <v/>
      </c>
      <c r="X18" s="1353">
        <f ca="1">IF(W18&lt;&gt;"",VLOOKUP($A18,Actions!$F$1:$AQ$70,38,0)/(1+VLOOKUP($A18,Actions!$F$1:$AQ$70,21,0)-VLOOKUP($A18,Actions!$F$1:$AQ$70,20,0)),0)</f>
        <v>0</v>
      </c>
      <c r="Y18" s="1353">
        <f ca="1">IF(W18&lt;&gt;"",IF(VLOOKUP($A18,Actions!$F$1:$AQ$70,34,0)="Commune",(VLOOKUP($A18,Actions!$F$1:$AQ$70,24,0)-VLOOKUP($A18,Actions!$F$1:$AQ$70,26,0))/(1+VLOOKUP($A18,Actions!$F$1:$AQ$70,21,0)-VLOOKUP($A18,Actions!$F$1:$AQ$70,20,0)),0),0)</f>
        <v>0</v>
      </c>
      <c r="Z18" s="1353">
        <f ca="1">IF(S18="",V18,IF(AND(W18="",S18&lt;&gt;""),VLOOKUP($A18,Actions!$F$1:$AQ$70,31,0),0))</f>
        <v>0</v>
      </c>
      <c r="AA18" s="1354" t="str">
        <f ca="1">IF(OR(Actions!$Y12=AA$7,AND(Actions!$Y12&lt;=AA$7,Actions!$Z12&gt;=AA$7)),Actions!$AA12,"")</f>
        <v/>
      </c>
      <c r="AB18" s="1353">
        <f ca="1">IF(AA18&lt;&gt;"",VLOOKUP($A18,Actions!$F$1:$AQ$70,38,0)/(1+VLOOKUP($A18,Actions!$F$1:$AQ$70,21,0)-VLOOKUP($A18,Actions!$F$1:$AQ$70,20,0)),0)</f>
        <v>0</v>
      </c>
      <c r="AC18" s="1353">
        <f ca="1">IF(AA18&lt;&gt;"",IF(VLOOKUP($A18,Actions!$F$1:$AQ$70,34,0)="Commune",(VLOOKUP($A18,Actions!$F$1:$AQ$70,24,0)-VLOOKUP($A18,Actions!$F$1:$AQ$70,26,0))/(1+VLOOKUP($A18,Actions!$F$1:$AQ$70,21,0)-VLOOKUP($A18,Actions!$F$1:$AQ$70,20,0)),0),0)</f>
        <v>0</v>
      </c>
      <c r="AD18" s="1353">
        <f ca="1">IF(W18="",Z18,IF(AND(AA18="",W18&lt;&gt;""),VLOOKUP($A18,Actions!$F$1:$AQ$70,31,0),0))</f>
        <v>0</v>
      </c>
      <c r="AE18" s="1354" t="str">
        <f ca="1">IF(OR(Actions!$Y12=AE$7,AND(Actions!$Y12&lt;=AE$7,Actions!$Z12&gt;=AE$7)),Actions!$AA12,"")</f>
        <v/>
      </c>
      <c r="AF18" s="1353">
        <f ca="1">IF(AE18&lt;&gt;"",VLOOKUP($A18,Actions!$F$1:$AQ$70,38,0)/(1+VLOOKUP($A18,Actions!$F$1:$AQ$70,21,0)-VLOOKUP($A18,Actions!$F$1:$AQ$70,20,0)),0)</f>
        <v>0</v>
      </c>
      <c r="AG18" s="1353">
        <f ca="1">IF(AE18&lt;&gt;"",IF(VLOOKUP($A18,Actions!$F$1:$AQ$70,34,0)="Commune",(VLOOKUP($A18,Actions!$F$1:$AQ$70,24,0)-VLOOKUP($A18,Actions!$F$1:$AQ$70,26,0))/(1+VLOOKUP($A18,Actions!$F$1:$AQ$70,21,0)-VLOOKUP($A18,Actions!$F$1:$AQ$70,20,0)),0),0)</f>
        <v>0</v>
      </c>
      <c r="AH18" s="1353">
        <f ca="1">IF(AA18="",AD18,IF(AND(AE18="",AA18&lt;&gt;""),VLOOKUP($A18,Actions!$F$1:$AQ$70,31,0),0))</f>
        <v>0</v>
      </c>
      <c r="AI18" s="1354" t="str">
        <f ca="1">IF(OR(Actions!$Y12=AI$7,AND(Actions!$Y12&lt;=AI$7,Actions!$Z12&gt;=AI$7)),Actions!$AA12,"")</f>
        <v/>
      </c>
      <c r="AJ18" s="1353">
        <f ca="1">IF(AI18&lt;&gt;"",VLOOKUP($A18,Actions!$F$1:$AQ$70,38,0)/(1+VLOOKUP($A18,Actions!$F$1:$AQ$70,21,0)-VLOOKUP($A18,Actions!$F$1:$AQ$70,20,0)),0)</f>
        <v>0</v>
      </c>
      <c r="AK18" s="1353">
        <f ca="1">IF(AI18&lt;&gt;"",IF(VLOOKUP($A18,Actions!$F$1:$AQ$70,34,0)="Commune",(VLOOKUP($A18,Actions!$F$1:$AQ$70,24,0)-VLOOKUP($A18,Actions!$F$1:$AQ$70,26,0))/(1+VLOOKUP($A18,Actions!$F$1:$AQ$70,21,0)-VLOOKUP($A18,Actions!$F$1:$AQ$70,20,0)),0),0)</f>
        <v>0</v>
      </c>
      <c r="AL18" s="1353">
        <f ca="1">IF(AE18="",AH18,IF(AND(AI18="",AE18&lt;&gt;""),VLOOKUP($A18,Actions!$F$1:$AQ$70,31,0),0))</f>
        <v>0</v>
      </c>
      <c r="AM18" s="1354" t="str">
        <f ca="1">IF(OR(Actions!$Y12=AM$7,AND(Actions!$Y12&lt;=AM$7,Actions!$Z12&gt;=AM$7)),Actions!$AA12,"")</f>
        <v/>
      </c>
      <c r="AN18" s="1353">
        <f ca="1">IF(AM18&lt;&gt;"",VLOOKUP($A18,Actions!$F$1:$AQ$70,38,0)/(1+VLOOKUP($A18,Actions!$F$1:$AQ$70,21,0)-VLOOKUP($A18,Actions!$F$1:$AQ$70,20,0)),0)</f>
        <v>0</v>
      </c>
      <c r="AO18" s="1353">
        <f ca="1">IF(AM18&lt;&gt;"",IF(VLOOKUP($A18,Actions!$F$1:$AQ$70,34,0)="Commune",(VLOOKUP($A18,Actions!$F$1:$AQ$70,24,0)-VLOOKUP($A18,Actions!$F$1:$AQ$70,26,0))/(1+VLOOKUP($A18,Actions!$F$1:$AQ$70,21,0)-VLOOKUP($A18,Actions!$F$1:$AQ$70,20,0)),0),0)</f>
        <v>0</v>
      </c>
      <c r="AP18" s="1353">
        <f ca="1">IF(AI18="",AL18,IF(AND(AM18="",AI18&lt;&gt;""),VLOOKUP($A18,Actions!$F$1:$AQ$70,31,0),0))</f>
        <v>0</v>
      </c>
      <c r="AQ18" s="1354" t="str">
        <f ca="1">IF(OR(Actions!$Y12=AQ$7,AND(Actions!$Y12&lt;=AQ$7,Actions!$Z12&gt;=AQ$7)),Actions!$AA12,"")</f>
        <v/>
      </c>
      <c r="AR18" s="1353">
        <f ca="1">IF(AQ18&lt;&gt;"",VLOOKUP($A18,Actions!$F$1:$AQ$70,38,0)/(1+VLOOKUP($A18,Actions!$F$1:$AQ$70,21,0)-VLOOKUP($A18,Actions!$F$1:$AQ$70,20,0)),0)</f>
        <v>0</v>
      </c>
      <c r="AS18" s="1353">
        <f ca="1">IF(AQ18&lt;&gt;"",IF(VLOOKUP($A18,Actions!$F$1:$AQ$70,34,0)="Commune",(VLOOKUP($A18,Actions!$F$1:$AQ$70,24,0)-VLOOKUP($A18,Actions!$F$1:$AQ$70,26,0))/(1+VLOOKUP($A18,Actions!$F$1:$AQ$70,21,0)-VLOOKUP($A18,Actions!$F$1:$AQ$70,20,0)),0),0)</f>
        <v>0</v>
      </c>
      <c r="AT18" s="1353">
        <f ca="1">IF(AM18="",AP18,IF(AND(AQ18="",AM18&lt;&gt;""),VLOOKUP($A18,Actions!$F$1:$AQ$70,31,0),0))</f>
        <v>0</v>
      </c>
      <c r="AU18" s="1354" t="str">
        <f ca="1">IF(OR(Actions!$Y12=AU$7,AND(Actions!$Y12&lt;=AU$7,Actions!$Z12&gt;=AU$7)),Actions!$AA12,"")</f>
        <v/>
      </c>
      <c r="AV18" s="1353">
        <f ca="1">IF(AU18&lt;&gt;"",VLOOKUP($A18,Actions!$F$1:$AQ$70,38,0)/(1+VLOOKUP($A18,Actions!$F$1:$AQ$70,21,0)-VLOOKUP($A18,Actions!$F$1:$AQ$70,20,0)),0)</f>
        <v>0</v>
      </c>
      <c r="AW18" s="1353">
        <f ca="1">IF(AU18&lt;&gt;"",IF(VLOOKUP($A18,Actions!$F$1:$AQ$70,34,0)="Commune",(VLOOKUP($A18,Actions!$F$1:$AQ$70,24,0)-VLOOKUP($A18,Actions!$F$1:$AQ$70,26,0))/(1+VLOOKUP($A18,Actions!$F$1:$AQ$70,21,0)-VLOOKUP($A18,Actions!$F$1:$AQ$70,20,0)),0),0)</f>
        <v>0</v>
      </c>
      <c r="AX18" s="1353">
        <f ca="1">IF(AQ18="",AT18,IF(AND(AU18="",AQ18&lt;&gt;""),VLOOKUP($A18,Actions!$F$1:$AQ$70,31,0),0))</f>
        <v>0</v>
      </c>
      <c r="AY18" s="1354" t="str">
        <f ca="1">IF(OR(Actions!$Y12=AY$7,AND(Actions!$Y12&lt;=AY$7,Actions!$Z12&gt;=AY$7)),Actions!$AA12,"")</f>
        <v/>
      </c>
      <c r="AZ18" s="1353">
        <f ca="1">IF(AY18&lt;&gt;"",VLOOKUP($A18,Actions!$F$1:$AQ$70,38,0)/(1+VLOOKUP($A18,Actions!$F$1:$AQ$70,21,0)-VLOOKUP($A18,Actions!$F$1:$AQ$70,20,0)),0)</f>
        <v>0</v>
      </c>
      <c r="BA18" s="1353">
        <f ca="1">IF(AY18&lt;&gt;"",IF(VLOOKUP($A18,Actions!$F$1:$AQ$70,34,0)="Commune",(VLOOKUP($A18,Actions!$F$1:$AQ$70,24,0)-VLOOKUP($A18,Actions!$F$1:$AQ$70,26,0))/(1+VLOOKUP($A18,Actions!$F$1:$AQ$70,21,0)-VLOOKUP($A18,Actions!$F$1:$AQ$70,20,0)),0),0)</f>
        <v>0</v>
      </c>
      <c r="BB18" s="1353">
        <f ca="1">IF(AU18="",AX18,IF(AND(AY18="",AU18&lt;&gt;""),VLOOKUP($A18,Actions!$F$1:$AQ$70,31,0),0))</f>
        <v>0</v>
      </c>
      <c r="BC18" s="1354" t="str">
        <f ca="1">IF(OR(Actions!$Y12=BC$7,AND(Actions!$Y12&lt;=BC$7,Actions!$Z12&gt;=BC$7)),Actions!$AA12,"")</f>
        <v/>
      </c>
      <c r="BD18" s="1353">
        <f ca="1">IF(BC18&lt;&gt;"",VLOOKUP($A18,Actions!$F$1:$AQ$70,38,0)/(1+VLOOKUP($A18,Actions!$F$1:$AQ$70,21,0)-VLOOKUP($A18,Actions!$F$1:$AQ$70,20,0)),0)</f>
        <v>0</v>
      </c>
      <c r="BE18" s="1353">
        <f ca="1">IF(BC18&lt;&gt;"",IF(VLOOKUP($A18,Actions!$F$1:$AQ$70,34,0)="Commune",(VLOOKUP($A18,Actions!$F$1:$AQ$70,24,0)-VLOOKUP($A18,Actions!$F$1:$AQ$70,26,0))/(1+VLOOKUP($A18,Actions!$F$1:$AQ$70,21,0)-VLOOKUP($A18,Actions!$F$1:$AQ$70,20,0)),0),0)</f>
        <v>0</v>
      </c>
      <c r="BF18" s="1353">
        <f ca="1">IF(AY18="",BB18,IF(AND(BC18="",AY18&lt;&gt;""),VLOOKUP($A18,Actions!$F$1:$AQ$70,31,0),0))</f>
        <v>0</v>
      </c>
      <c r="BG18" s="1355">
        <f t="shared" ca="1" si="0"/>
        <v>0</v>
      </c>
      <c r="BH18" s="201">
        <f ca="1">VLOOKUP(B18,Actions!G11:AC80,18,0)-VLOOKUP(B18,Actions!G11:AE80,20,0)</f>
        <v>0</v>
      </c>
      <c r="BI18" s="233"/>
      <c r="BJ18" s="233"/>
      <c r="BK18" s="233"/>
      <c r="BL18" s="233"/>
      <c r="BM18" s="233"/>
      <c r="BN18" s="233"/>
      <c r="BO18" s="233"/>
    </row>
    <row r="19" spans="1:67">
      <c r="A19" s="1349">
        <f>Actions!F13</f>
        <v>12</v>
      </c>
      <c r="B19" s="1352">
        <f ca="1">Actions!G13</f>
        <v>0</v>
      </c>
      <c r="C19" s="1353" t="str">
        <f ca="1">IF(OR(AND(Actions!Y13&gt;0,Actions!Y13&lt;=$C$7,Actions!Z13&gt;=$C$7),AND(Actions!Y13&gt;0,Actions!Y13&lt;=$C$7,Actions!Z13&lt;Actions!Y13),AND(Actions!Y13=0,Actions!Z13&gt;=$C$7)),Actions!$AA13,"")</f>
        <v/>
      </c>
      <c r="D19" s="1353">
        <f ca="1">IF(C19&lt;&gt;"",VLOOKUP($A19,Actions!$F$1:$AQ$70,38,0)/(1+VLOOKUP($A19,Actions!$F$1:$AQ$70,21,0)-VLOOKUP($A19,Actions!$F$1:$AQ$70,20,0)),0)</f>
        <v>0</v>
      </c>
      <c r="E19" s="1353">
        <f ca="1">IF(C19&lt;&gt;"",IF(VLOOKUP($A19,Actions!$F$1:$AQ$70,34,0)="Commune",(VLOOKUP($A19,Actions!$F$1:$AQ$70,24,0)-VLOOKUP($A19,Actions!$F$1:$AQ$70,26,0))/(1+VLOOKUP($A19,Actions!$F$1:$AQ$70,21,0)-VLOOKUP($A19,Actions!$F$1:$AQ$70,20,0)),0),0)</f>
        <v>0</v>
      </c>
      <c r="F19" s="1353">
        <v>0</v>
      </c>
      <c r="G19" s="1354" t="str">
        <f ca="1">IF(OR(Actions!$Y13=G$7,AND(Actions!$Y13&lt;=G$7,Actions!$Z13&gt;=G$7)),Actions!$AA13,"")</f>
        <v/>
      </c>
      <c r="H19" s="1353">
        <f ca="1">IF(G19&lt;&gt;"",VLOOKUP($A19,Actions!$F$1:$AQ$70,38,0)/(1+VLOOKUP($A19,Actions!$F$1:$AQ$70,21,0)-VLOOKUP($A19,Actions!$F$1:$AQ$70,20,0)),0)</f>
        <v>0</v>
      </c>
      <c r="I19" s="1353">
        <f ca="1">IF(G19&lt;&gt;"",IF(VLOOKUP($A19,Actions!$F$1:$AQ$70,34,0)="Commune",(VLOOKUP($A19,Actions!$F$1:$AQ$70,24,0)-VLOOKUP($A19,Actions!$F$1:$AQ$70,26,0))/(1+VLOOKUP($A19,Actions!$F$1:$AQ$70,21,0)-VLOOKUP($A19,Actions!$F$1:$AQ$70,20,0)),0),0)</f>
        <v>0</v>
      </c>
      <c r="J19" s="1353">
        <f ca="1">IF(C19="",F19,IF(AND(G19="",C19&lt;&gt;""),VLOOKUP($A19,Actions!$F$1:$AQ$70,31,0),0))</f>
        <v>0</v>
      </c>
      <c r="K19" s="1354" t="str">
        <f ca="1">IF(OR(Actions!$Y13=K$7,AND(Actions!$Y13&lt;=K$7,Actions!$Z13&gt;=K$7)),Actions!$AA13,"")</f>
        <v/>
      </c>
      <c r="L19" s="1353">
        <f ca="1">IF(K19&lt;&gt;"",VLOOKUP($A19,Actions!$F$1:$AQ$70,38,0)/(1+VLOOKUP($A19,Actions!$F$1:$AQ$70,21,0)-VLOOKUP($A19,Actions!$F$1:$AQ$70,20,0)),0)</f>
        <v>0</v>
      </c>
      <c r="M19" s="1353">
        <f ca="1">IF(K19&lt;&gt;"",IF(VLOOKUP($A19,Actions!$F$1:$AQ$70,34,0)="Commune",(VLOOKUP($A19,Actions!$F$1:$AQ$70,24,0)-VLOOKUP($A19,Actions!$F$1:$AQ$70,26,0))/(1+VLOOKUP($A19,Actions!$F$1:$AQ$70,21,0)-VLOOKUP($A19,Actions!$F$1:$AQ$70,20,0)),0),0)</f>
        <v>0</v>
      </c>
      <c r="N19" s="1353">
        <f ca="1">IF(G19="",J19,IF(AND(K19="",G19&lt;&gt;""),VLOOKUP($A19,Actions!$F$1:$AQ$70,31,0),0))</f>
        <v>0</v>
      </c>
      <c r="O19" s="1354" t="str">
        <f ca="1">IF(OR(Actions!$Y13=O$7,AND(Actions!$Y13&lt;=O$7,Actions!$Z13&gt;=O$7)),Actions!$AA13,"")</f>
        <v/>
      </c>
      <c r="P19" s="1353">
        <f ca="1">IF(O19&lt;&gt;"",VLOOKUP($A19,Actions!$F$1:$AQ$70,38,0)/(1+VLOOKUP($A19,Actions!$F$1:$AQ$70,21,0)-VLOOKUP($A19,Actions!$F$1:$AQ$70,20,0)),0)</f>
        <v>0</v>
      </c>
      <c r="Q19" s="1353">
        <f ca="1">IF(O19&lt;&gt;"",IF(VLOOKUP($A19,Actions!$F$1:$AQ$70,34,0)="Commune",(VLOOKUP($A19,Actions!$F$1:$AQ$70,24,0)-VLOOKUP($A19,Actions!$F$1:$AQ$70,26,0))/(1+VLOOKUP($A19,Actions!$F$1:$AQ$70,21,0)-VLOOKUP($A19,Actions!$F$1:$AQ$70,20,0)),0),0)</f>
        <v>0</v>
      </c>
      <c r="R19" s="1353">
        <f ca="1">IF(K19="",N19,IF(AND(O19="",K19&lt;&gt;""),VLOOKUP($A19,Actions!$F$1:$AQ$70,31,0),0))</f>
        <v>0</v>
      </c>
      <c r="S19" s="1354" t="str">
        <f ca="1">IF(OR(Actions!$Y13=S$7,AND(Actions!$Y13&lt;=S$7,Actions!$Z13&gt;=S$7)),Actions!$AA13,"")</f>
        <v/>
      </c>
      <c r="T19" s="1353">
        <f ca="1">IF(S19&lt;&gt;"",VLOOKUP($A19,Actions!$F$1:$AQ$70,38,0)/(1+VLOOKUP($A19,Actions!$F$1:$AQ$70,21,0)-VLOOKUP($A19,Actions!$F$1:$AQ$70,20,0)),0)</f>
        <v>0</v>
      </c>
      <c r="U19" s="1353">
        <f ca="1">IF(S19&lt;&gt;"",IF(VLOOKUP($A19,Actions!$F$1:$AQ$70,34,0)="Commune",(VLOOKUP($A19,Actions!$F$1:$AQ$70,24,0)-VLOOKUP($A19,Actions!$F$1:$AQ$70,26,0))/(1+VLOOKUP($A19,Actions!$F$1:$AQ$70,21,0)-VLOOKUP($A19,Actions!$F$1:$AQ$70,20,0)),0),0)</f>
        <v>0</v>
      </c>
      <c r="V19" s="1353">
        <f ca="1">IF(O19="",R19,IF(AND(S19="",O19&lt;&gt;""),VLOOKUP($A19,Actions!$F$1:$AQ$70,31,0),0))</f>
        <v>0</v>
      </c>
      <c r="W19" s="1354" t="str">
        <f ca="1">IF(OR(Actions!$Y13=W$7,AND(Actions!$Y13&lt;=W$7,Actions!$Z13&gt;=W$7)),Actions!$AA13,"")</f>
        <v/>
      </c>
      <c r="X19" s="1353">
        <f ca="1">IF(W19&lt;&gt;"",VLOOKUP($A19,Actions!$F$1:$AQ$70,38,0)/(1+VLOOKUP($A19,Actions!$F$1:$AQ$70,21,0)-VLOOKUP($A19,Actions!$F$1:$AQ$70,20,0)),0)</f>
        <v>0</v>
      </c>
      <c r="Y19" s="1353">
        <f ca="1">IF(W19&lt;&gt;"",IF(VLOOKUP($A19,Actions!$F$1:$AQ$70,34,0)="Commune",(VLOOKUP($A19,Actions!$F$1:$AQ$70,24,0)-VLOOKUP($A19,Actions!$F$1:$AQ$70,26,0))/(1+VLOOKUP($A19,Actions!$F$1:$AQ$70,21,0)-VLOOKUP($A19,Actions!$F$1:$AQ$70,20,0)),0),0)</f>
        <v>0</v>
      </c>
      <c r="Z19" s="1353">
        <f ca="1">IF(S19="",V19,IF(AND(W19="",S19&lt;&gt;""),VLOOKUP($A19,Actions!$F$1:$AQ$70,31,0),0))</f>
        <v>0</v>
      </c>
      <c r="AA19" s="1354" t="str">
        <f ca="1">IF(OR(Actions!$Y13=AA$7,AND(Actions!$Y13&lt;=AA$7,Actions!$Z13&gt;=AA$7)),Actions!$AA13,"")</f>
        <v/>
      </c>
      <c r="AB19" s="1353">
        <f ca="1">IF(AA19&lt;&gt;"",VLOOKUP($A19,Actions!$F$1:$AQ$70,38,0)/(1+VLOOKUP($A19,Actions!$F$1:$AQ$70,21,0)-VLOOKUP($A19,Actions!$F$1:$AQ$70,20,0)),0)</f>
        <v>0</v>
      </c>
      <c r="AC19" s="1353">
        <f ca="1">IF(AA19&lt;&gt;"",IF(VLOOKUP($A19,Actions!$F$1:$AQ$70,34,0)="Commune",(VLOOKUP($A19,Actions!$F$1:$AQ$70,24,0)-VLOOKUP($A19,Actions!$F$1:$AQ$70,26,0))/(1+VLOOKUP($A19,Actions!$F$1:$AQ$70,21,0)-VLOOKUP($A19,Actions!$F$1:$AQ$70,20,0)),0),0)</f>
        <v>0</v>
      </c>
      <c r="AD19" s="1353">
        <f ca="1">IF(W19="",Z19,IF(AND(AA19="",W19&lt;&gt;""),VLOOKUP($A19,Actions!$F$1:$AQ$70,31,0),0))</f>
        <v>0</v>
      </c>
      <c r="AE19" s="1354" t="str">
        <f ca="1">IF(OR(Actions!$Y13=AE$7,AND(Actions!$Y13&lt;=AE$7,Actions!$Z13&gt;=AE$7)),Actions!$AA13,"")</f>
        <v/>
      </c>
      <c r="AF19" s="1353">
        <f ca="1">IF(AE19&lt;&gt;"",VLOOKUP($A19,Actions!$F$1:$AQ$70,38,0)/(1+VLOOKUP($A19,Actions!$F$1:$AQ$70,21,0)-VLOOKUP($A19,Actions!$F$1:$AQ$70,20,0)),0)</f>
        <v>0</v>
      </c>
      <c r="AG19" s="1353">
        <f ca="1">IF(AE19&lt;&gt;"",IF(VLOOKUP($A19,Actions!$F$1:$AQ$70,34,0)="Commune",(VLOOKUP($A19,Actions!$F$1:$AQ$70,24,0)-VLOOKUP($A19,Actions!$F$1:$AQ$70,26,0))/(1+VLOOKUP($A19,Actions!$F$1:$AQ$70,21,0)-VLOOKUP($A19,Actions!$F$1:$AQ$70,20,0)),0),0)</f>
        <v>0</v>
      </c>
      <c r="AH19" s="1353">
        <f ca="1">IF(AA19="",AD19,IF(AND(AE19="",AA19&lt;&gt;""),VLOOKUP($A19,Actions!$F$1:$AQ$70,31,0),0))</f>
        <v>0</v>
      </c>
      <c r="AI19" s="1354" t="str">
        <f ca="1">IF(OR(Actions!$Y13=AI$7,AND(Actions!$Y13&lt;=AI$7,Actions!$Z13&gt;=AI$7)),Actions!$AA13,"")</f>
        <v/>
      </c>
      <c r="AJ19" s="1353">
        <f ca="1">IF(AI19&lt;&gt;"",VLOOKUP($A19,Actions!$F$1:$AQ$70,38,0)/(1+VLOOKUP($A19,Actions!$F$1:$AQ$70,21,0)-VLOOKUP($A19,Actions!$F$1:$AQ$70,20,0)),0)</f>
        <v>0</v>
      </c>
      <c r="AK19" s="1353">
        <f ca="1">IF(AI19&lt;&gt;"",IF(VLOOKUP($A19,Actions!$F$1:$AQ$70,34,0)="Commune",(VLOOKUP($A19,Actions!$F$1:$AQ$70,24,0)-VLOOKUP($A19,Actions!$F$1:$AQ$70,26,0))/(1+VLOOKUP($A19,Actions!$F$1:$AQ$70,21,0)-VLOOKUP($A19,Actions!$F$1:$AQ$70,20,0)),0),0)</f>
        <v>0</v>
      </c>
      <c r="AL19" s="1353">
        <f ca="1">IF(AE19="",AH19,IF(AND(AI19="",AE19&lt;&gt;""),VLOOKUP($A19,Actions!$F$1:$AQ$70,31,0),0))</f>
        <v>0</v>
      </c>
      <c r="AM19" s="1354" t="str">
        <f ca="1">IF(OR(Actions!$Y13=AM$7,AND(Actions!$Y13&lt;=AM$7,Actions!$Z13&gt;=AM$7)),Actions!$AA13,"")</f>
        <v/>
      </c>
      <c r="AN19" s="1353">
        <f ca="1">IF(AM19&lt;&gt;"",VLOOKUP($A19,Actions!$F$1:$AQ$70,38,0)/(1+VLOOKUP($A19,Actions!$F$1:$AQ$70,21,0)-VLOOKUP($A19,Actions!$F$1:$AQ$70,20,0)),0)</f>
        <v>0</v>
      </c>
      <c r="AO19" s="1353">
        <f ca="1">IF(AM19&lt;&gt;"",IF(VLOOKUP($A19,Actions!$F$1:$AQ$70,34,0)="Commune",(VLOOKUP($A19,Actions!$F$1:$AQ$70,24,0)-VLOOKUP($A19,Actions!$F$1:$AQ$70,26,0))/(1+VLOOKUP($A19,Actions!$F$1:$AQ$70,21,0)-VLOOKUP($A19,Actions!$F$1:$AQ$70,20,0)),0),0)</f>
        <v>0</v>
      </c>
      <c r="AP19" s="1353">
        <f ca="1">IF(AI19="",AL19,IF(AND(AM19="",AI19&lt;&gt;""),VLOOKUP($A19,Actions!$F$1:$AQ$70,31,0),0))</f>
        <v>0</v>
      </c>
      <c r="AQ19" s="1354" t="str">
        <f ca="1">IF(OR(Actions!$Y13=AQ$7,AND(Actions!$Y13&lt;=AQ$7,Actions!$Z13&gt;=AQ$7)),Actions!$AA13,"")</f>
        <v/>
      </c>
      <c r="AR19" s="1353">
        <f ca="1">IF(AQ19&lt;&gt;"",VLOOKUP($A19,Actions!$F$1:$AQ$70,38,0)/(1+VLOOKUP($A19,Actions!$F$1:$AQ$70,21,0)-VLOOKUP($A19,Actions!$F$1:$AQ$70,20,0)),0)</f>
        <v>0</v>
      </c>
      <c r="AS19" s="1353">
        <f ca="1">IF(AQ19&lt;&gt;"",IF(VLOOKUP($A19,Actions!$F$1:$AQ$70,34,0)="Commune",(VLOOKUP($A19,Actions!$F$1:$AQ$70,24,0)-VLOOKUP($A19,Actions!$F$1:$AQ$70,26,0))/(1+VLOOKUP($A19,Actions!$F$1:$AQ$70,21,0)-VLOOKUP($A19,Actions!$F$1:$AQ$70,20,0)),0),0)</f>
        <v>0</v>
      </c>
      <c r="AT19" s="1353">
        <f ca="1">IF(AM19="",AP19,IF(AND(AQ19="",AM19&lt;&gt;""),VLOOKUP($A19,Actions!$F$1:$AQ$70,31,0),0))</f>
        <v>0</v>
      </c>
      <c r="AU19" s="1354" t="str">
        <f ca="1">IF(OR(Actions!$Y13=AU$7,AND(Actions!$Y13&lt;=AU$7,Actions!$Z13&gt;=AU$7)),Actions!$AA13,"")</f>
        <v/>
      </c>
      <c r="AV19" s="1353">
        <f ca="1">IF(AU19&lt;&gt;"",VLOOKUP($A19,Actions!$F$1:$AQ$70,38,0)/(1+VLOOKUP($A19,Actions!$F$1:$AQ$70,21,0)-VLOOKUP($A19,Actions!$F$1:$AQ$70,20,0)),0)</f>
        <v>0</v>
      </c>
      <c r="AW19" s="1353">
        <f ca="1">IF(AU19&lt;&gt;"",IF(VLOOKUP($A19,Actions!$F$1:$AQ$70,34,0)="Commune",(VLOOKUP($A19,Actions!$F$1:$AQ$70,24,0)-VLOOKUP($A19,Actions!$F$1:$AQ$70,26,0))/(1+VLOOKUP($A19,Actions!$F$1:$AQ$70,21,0)-VLOOKUP($A19,Actions!$F$1:$AQ$70,20,0)),0),0)</f>
        <v>0</v>
      </c>
      <c r="AX19" s="1353">
        <f ca="1">IF(AQ19="",AT19,IF(AND(AU19="",AQ19&lt;&gt;""),VLOOKUP($A19,Actions!$F$1:$AQ$70,31,0),0))</f>
        <v>0</v>
      </c>
      <c r="AY19" s="1354" t="str">
        <f ca="1">IF(OR(Actions!$Y13=AY$7,AND(Actions!$Y13&lt;=AY$7,Actions!$Z13&gt;=AY$7)),Actions!$AA13,"")</f>
        <v/>
      </c>
      <c r="AZ19" s="1353">
        <f ca="1">IF(AY19&lt;&gt;"",VLOOKUP($A19,Actions!$F$1:$AQ$70,38,0)/(1+VLOOKUP($A19,Actions!$F$1:$AQ$70,21,0)-VLOOKUP($A19,Actions!$F$1:$AQ$70,20,0)),0)</f>
        <v>0</v>
      </c>
      <c r="BA19" s="1353">
        <f ca="1">IF(AY19&lt;&gt;"",IF(VLOOKUP($A19,Actions!$F$1:$AQ$70,34,0)="Commune",(VLOOKUP($A19,Actions!$F$1:$AQ$70,24,0)-VLOOKUP($A19,Actions!$F$1:$AQ$70,26,0))/(1+VLOOKUP($A19,Actions!$F$1:$AQ$70,21,0)-VLOOKUP($A19,Actions!$F$1:$AQ$70,20,0)),0),0)</f>
        <v>0</v>
      </c>
      <c r="BB19" s="1353">
        <f ca="1">IF(AU19="",AX19,IF(AND(AY19="",AU19&lt;&gt;""),VLOOKUP($A19,Actions!$F$1:$AQ$70,31,0),0))</f>
        <v>0</v>
      </c>
      <c r="BC19" s="1354" t="str">
        <f ca="1">IF(OR(Actions!$Y13=BC$7,AND(Actions!$Y13&lt;=BC$7,Actions!$Z13&gt;=BC$7)),Actions!$AA13,"")</f>
        <v/>
      </c>
      <c r="BD19" s="1353">
        <f ca="1">IF(BC19&lt;&gt;"",VLOOKUP($A19,Actions!$F$1:$AQ$70,38,0)/(1+VLOOKUP($A19,Actions!$F$1:$AQ$70,21,0)-VLOOKUP($A19,Actions!$F$1:$AQ$70,20,0)),0)</f>
        <v>0</v>
      </c>
      <c r="BE19" s="1353">
        <f ca="1">IF(BC19&lt;&gt;"",IF(VLOOKUP($A19,Actions!$F$1:$AQ$70,34,0)="Commune",(VLOOKUP($A19,Actions!$F$1:$AQ$70,24,0)-VLOOKUP($A19,Actions!$F$1:$AQ$70,26,0))/(1+VLOOKUP($A19,Actions!$F$1:$AQ$70,21,0)-VLOOKUP($A19,Actions!$F$1:$AQ$70,20,0)),0),0)</f>
        <v>0</v>
      </c>
      <c r="BF19" s="1353">
        <f ca="1">IF(AY19="",BB19,IF(AND(BC19="",AY19&lt;&gt;""),VLOOKUP($A19,Actions!$F$1:$AQ$70,31,0),0))</f>
        <v>0</v>
      </c>
      <c r="BG19" s="1355">
        <f t="shared" ca="1" si="0"/>
        <v>0</v>
      </c>
      <c r="BH19" s="201">
        <f ca="1">VLOOKUP(B19,Actions!G12:AC81,18,0)-VLOOKUP(B19,Actions!G12:AE81,20,0)</f>
        <v>0</v>
      </c>
      <c r="BI19" s="233"/>
      <c r="BJ19" s="233"/>
      <c r="BK19" s="233"/>
      <c r="BL19" s="233"/>
      <c r="BM19" s="233"/>
      <c r="BN19" s="233"/>
      <c r="BO19" s="233"/>
    </row>
    <row r="20" spans="1:67">
      <c r="A20" s="1349">
        <f>Actions!F14</f>
        <v>13</v>
      </c>
      <c r="B20" s="1352">
        <f ca="1">Actions!G14</f>
        <v>0</v>
      </c>
      <c r="C20" s="1353" t="str">
        <f ca="1">IF(OR(AND(Actions!Y14&gt;0,Actions!Y14&lt;=$C$7,Actions!Z14&gt;=$C$7),AND(Actions!Y14&gt;0,Actions!Y14&lt;=$C$7,Actions!Z14&lt;Actions!Y14),AND(Actions!Y14=0,Actions!Z14&gt;=$C$7)),Actions!$AA14,"")</f>
        <v/>
      </c>
      <c r="D20" s="1353">
        <f ca="1">IF(C20&lt;&gt;"",VLOOKUP($A20,Actions!$F$1:$AQ$70,38,0)/(1+VLOOKUP($A20,Actions!$F$1:$AQ$70,21,0)-VLOOKUP($A20,Actions!$F$1:$AQ$70,20,0)),0)</f>
        <v>0</v>
      </c>
      <c r="E20" s="1353">
        <f ca="1">IF(C20&lt;&gt;"",IF(VLOOKUP($A20,Actions!$F$1:$AQ$70,34,0)="Commune",(VLOOKUP($A20,Actions!$F$1:$AQ$70,24,0)-VLOOKUP($A20,Actions!$F$1:$AQ$70,26,0))/(1+VLOOKUP($A20,Actions!$F$1:$AQ$70,21,0)-VLOOKUP($A20,Actions!$F$1:$AQ$70,20,0)),0),0)</f>
        <v>0</v>
      </c>
      <c r="F20" s="1353">
        <v>0</v>
      </c>
      <c r="G20" s="1354" t="str">
        <f ca="1">IF(OR(Actions!$Y14=G$7,AND(Actions!$Y14&lt;=G$7,Actions!$Z14&gt;=G$7)),Actions!$AA14,"")</f>
        <v/>
      </c>
      <c r="H20" s="1353">
        <f ca="1">IF(G20&lt;&gt;"",VLOOKUP($A20,Actions!$F$1:$AQ$70,38,0)/(1+VLOOKUP($A20,Actions!$F$1:$AQ$70,21,0)-VLOOKUP($A20,Actions!$F$1:$AQ$70,20,0)),0)</f>
        <v>0</v>
      </c>
      <c r="I20" s="1353">
        <f ca="1">IF(G20&lt;&gt;"",IF(VLOOKUP($A20,Actions!$F$1:$AQ$70,34,0)="Commune",(VLOOKUP($A20,Actions!$F$1:$AQ$70,24,0)-VLOOKUP($A20,Actions!$F$1:$AQ$70,26,0))/(1+VLOOKUP($A20,Actions!$F$1:$AQ$70,21,0)-VLOOKUP($A20,Actions!$F$1:$AQ$70,20,0)),0),0)</f>
        <v>0</v>
      </c>
      <c r="J20" s="1353">
        <f ca="1">IF(C20="",F20,IF(AND(G20="",C20&lt;&gt;""),VLOOKUP($A20,Actions!$F$1:$AQ$70,31,0),0))</f>
        <v>0</v>
      </c>
      <c r="K20" s="1354" t="str">
        <f ca="1">IF(OR(Actions!$Y14=K$7,AND(Actions!$Y14&lt;=K$7,Actions!$Z14&gt;=K$7)),Actions!$AA14,"")</f>
        <v/>
      </c>
      <c r="L20" s="1353">
        <f ca="1">IF(K20&lt;&gt;"",VLOOKUP($A20,Actions!$F$1:$AQ$70,38,0)/(1+VLOOKUP($A20,Actions!$F$1:$AQ$70,21,0)-VLOOKUP($A20,Actions!$F$1:$AQ$70,20,0)),0)</f>
        <v>0</v>
      </c>
      <c r="M20" s="1353">
        <f ca="1">IF(K20&lt;&gt;"",IF(VLOOKUP($A20,Actions!$F$1:$AQ$70,34,0)="Commune",(VLOOKUP($A20,Actions!$F$1:$AQ$70,24,0)-VLOOKUP($A20,Actions!$F$1:$AQ$70,26,0))/(1+VLOOKUP($A20,Actions!$F$1:$AQ$70,21,0)-VLOOKUP($A20,Actions!$F$1:$AQ$70,20,0)),0),0)</f>
        <v>0</v>
      </c>
      <c r="N20" s="1353">
        <f ca="1">IF(G20="",J20,IF(AND(K20="",G20&lt;&gt;""),VLOOKUP($A20,Actions!$F$1:$AQ$70,31,0),0))</f>
        <v>0</v>
      </c>
      <c r="O20" s="1354" t="str">
        <f ca="1">IF(OR(Actions!$Y14=O$7,AND(Actions!$Y14&lt;=O$7,Actions!$Z14&gt;=O$7)),Actions!$AA14,"")</f>
        <v/>
      </c>
      <c r="P20" s="1353">
        <f ca="1">IF(O20&lt;&gt;"",VLOOKUP($A20,Actions!$F$1:$AQ$70,38,0)/(1+VLOOKUP($A20,Actions!$F$1:$AQ$70,21,0)-VLOOKUP($A20,Actions!$F$1:$AQ$70,20,0)),0)</f>
        <v>0</v>
      </c>
      <c r="Q20" s="1353">
        <f ca="1">IF(O20&lt;&gt;"",IF(VLOOKUP($A20,Actions!$F$1:$AQ$70,34,0)="Commune",(VLOOKUP($A20,Actions!$F$1:$AQ$70,24,0)-VLOOKUP($A20,Actions!$F$1:$AQ$70,26,0))/(1+VLOOKUP($A20,Actions!$F$1:$AQ$70,21,0)-VLOOKUP($A20,Actions!$F$1:$AQ$70,20,0)),0),0)</f>
        <v>0</v>
      </c>
      <c r="R20" s="1353">
        <f ca="1">IF(K20="",N20,IF(AND(O20="",K20&lt;&gt;""),VLOOKUP($A20,Actions!$F$1:$AQ$70,31,0),0))</f>
        <v>0</v>
      </c>
      <c r="S20" s="1354" t="str">
        <f ca="1">IF(OR(Actions!$Y14=S$7,AND(Actions!$Y14&lt;=S$7,Actions!$Z14&gt;=S$7)),Actions!$AA14,"")</f>
        <v/>
      </c>
      <c r="T20" s="1353">
        <f ca="1">IF(S20&lt;&gt;"",VLOOKUP($A20,Actions!$F$1:$AQ$70,38,0)/(1+VLOOKUP($A20,Actions!$F$1:$AQ$70,21,0)-VLOOKUP($A20,Actions!$F$1:$AQ$70,20,0)),0)</f>
        <v>0</v>
      </c>
      <c r="U20" s="1353">
        <f ca="1">IF(S20&lt;&gt;"",IF(VLOOKUP($A20,Actions!$F$1:$AQ$70,34,0)="Commune",(VLOOKUP($A20,Actions!$F$1:$AQ$70,24,0)-VLOOKUP($A20,Actions!$F$1:$AQ$70,26,0))/(1+VLOOKUP($A20,Actions!$F$1:$AQ$70,21,0)-VLOOKUP($A20,Actions!$F$1:$AQ$70,20,0)),0),0)</f>
        <v>0</v>
      </c>
      <c r="V20" s="1353">
        <f ca="1">IF(O20="",R20,IF(AND(S20="",O20&lt;&gt;""),VLOOKUP($A20,Actions!$F$1:$AQ$70,31,0),0))</f>
        <v>0</v>
      </c>
      <c r="W20" s="1354" t="str">
        <f ca="1">IF(OR(Actions!$Y14=W$7,AND(Actions!$Y14&lt;=W$7,Actions!$Z14&gt;=W$7)),Actions!$AA14,"")</f>
        <v/>
      </c>
      <c r="X20" s="1353">
        <f ca="1">IF(W20&lt;&gt;"",VLOOKUP($A20,Actions!$F$1:$AQ$70,38,0)/(1+VLOOKUP($A20,Actions!$F$1:$AQ$70,21,0)-VLOOKUP($A20,Actions!$F$1:$AQ$70,20,0)),0)</f>
        <v>0</v>
      </c>
      <c r="Y20" s="1353">
        <f ca="1">IF(W20&lt;&gt;"",IF(VLOOKUP($A20,Actions!$F$1:$AQ$70,34,0)="Commune",(VLOOKUP($A20,Actions!$F$1:$AQ$70,24,0)-VLOOKUP($A20,Actions!$F$1:$AQ$70,26,0))/(1+VLOOKUP($A20,Actions!$F$1:$AQ$70,21,0)-VLOOKUP($A20,Actions!$F$1:$AQ$70,20,0)),0),0)</f>
        <v>0</v>
      </c>
      <c r="Z20" s="1353">
        <f ca="1">IF(S20="",V20,IF(AND(W20="",S20&lt;&gt;""),VLOOKUP($A20,Actions!$F$1:$AQ$70,31,0),0))</f>
        <v>0</v>
      </c>
      <c r="AA20" s="1354" t="str">
        <f ca="1">IF(OR(Actions!$Y14=AA$7,AND(Actions!$Y14&lt;=AA$7,Actions!$Z14&gt;=AA$7)),Actions!$AA14,"")</f>
        <v/>
      </c>
      <c r="AB20" s="1353">
        <f ca="1">IF(AA20&lt;&gt;"",VLOOKUP($A20,Actions!$F$1:$AQ$70,38,0)/(1+VLOOKUP($A20,Actions!$F$1:$AQ$70,21,0)-VLOOKUP($A20,Actions!$F$1:$AQ$70,20,0)),0)</f>
        <v>0</v>
      </c>
      <c r="AC20" s="1353">
        <f ca="1">IF(AA20&lt;&gt;"",IF(VLOOKUP($A20,Actions!$F$1:$AQ$70,34,0)="Commune",(VLOOKUP($A20,Actions!$F$1:$AQ$70,24,0)-VLOOKUP($A20,Actions!$F$1:$AQ$70,26,0))/(1+VLOOKUP($A20,Actions!$F$1:$AQ$70,21,0)-VLOOKUP($A20,Actions!$F$1:$AQ$70,20,0)),0),0)</f>
        <v>0</v>
      </c>
      <c r="AD20" s="1353">
        <f ca="1">IF(W20="",Z20,IF(AND(AA20="",W20&lt;&gt;""),VLOOKUP($A20,Actions!$F$1:$AQ$70,31,0),0))</f>
        <v>0</v>
      </c>
      <c r="AE20" s="1354" t="str">
        <f ca="1">IF(OR(Actions!$Y14=AE$7,AND(Actions!$Y14&lt;=AE$7,Actions!$Z14&gt;=AE$7)),Actions!$AA14,"")</f>
        <v/>
      </c>
      <c r="AF20" s="1353">
        <f ca="1">IF(AE20&lt;&gt;"",VLOOKUP($A20,Actions!$F$1:$AQ$70,38,0)/(1+VLOOKUP($A20,Actions!$F$1:$AQ$70,21,0)-VLOOKUP($A20,Actions!$F$1:$AQ$70,20,0)),0)</f>
        <v>0</v>
      </c>
      <c r="AG20" s="1353">
        <f ca="1">IF(AE20&lt;&gt;"",IF(VLOOKUP($A20,Actions!$F$1:$AQ$70,34,0)="Commune",(VLOOKUP($A20,Actions!$F$1:$AQ$70,24,0)-VLOOKUP($A20,Actions!$F$1:$AQ$70,26,0))/(1+VLOOKUP($A20,Actions!$F$1:$AQ$70,21,0)-VLOOKUP($A20,Actions!$F$1:$AQ$70,20,0)),0),0)</f>
        <v>0</v>
      </c>
      <c r="AH20" s="1353">
        <f ca="1">IF(AA20="",AD20,IF(AND(AE20="",AA20&lt;&gt;""),VLOOKUP($A20,Actions!$F$1:$AQ$70,31,0),0))</f>
        <v>0</v>
      </c>
      <c r="AI20" s="1354" t="str">
        <f ca="1">IF(OR(Actions!$Y14=AI$7,AND(Actions!$Y14&lt;=AI$7,Actions!$Z14&gt;=AI$7)),Actions!$AA14,"")</f>
        <v/>
      </c>
      <c r="AJ20" s="1353">
        <f ca="1">IF(AI20&lt;&gt;"",VLOOKUP($A20,Actions!$F$1:$AQ$70,38,0)/(1+VLOOKUP($A20,Actions!$F$1:$AQ$70,21,0)-VLOOKUP($A20,Actions!$F$1:$AQ$70,20,0)),0)</f>
        <v>0</v>
      </c>
      <c r="AK20" s="1353">
        <f ca="1">IF(AI20&lt;&gt;"",IF(VLOOKUP($A20,Actions!$F$1:$AQ$70,34,0)="Commune",(VLOOKUP($A20,Actions!$F$1:$AQ$70,24,0)-VLOOKUP($A20,Actions!$F$1:$AQ$70,26,0))/(1+VLOOKUP($A20,Actions!$F$1:$AQ$70,21,0)-VLOOKUP($A20,Actions!$F$1:$AQ$70,20,0)),0),0)</f>
        <v>0</v>
      </c>
      <c r="AL20" s="1353">
        <f ca="1">IF(AE20="",AH20,IF(AND(AI20="",AE20&lt;&gt;""),VLOOKUP($A20,Actions!$F$1:$AQ$70,31,0),0))</f>
        <v>0</v>
      </c>
      <c r="AM20" s="1354" t="str">
        <f ca="1">IF(OR(Actions!$Y14=AM$7,AND(Actions!$Y14&lt;=AM$7,Actions!$Z14&gt;=AM$7)),Actions!$AA14,"")</f>
        <v/>
      </c>
      <c r="AN20" s="1353">
        <f ca="1">IF(AM20&lt;&gt;"",VLOOKUP($A20,Actions!$F$1:$AQ$70,38,0)/(1+VLOOKUP($A20,Actions!$F$1:$AQ$70,21,0)-VLOOKUP($A20,Actions!$F$1:$AQ$70,20,0)),0)</f>
        <v>0</v>
      </c>
      <c r="AO20" s="1353">
        <f ca="1">IF(AM20&lt;&gt;"",IF(VLOOKUP($A20,Actions!$F$1:$AQ$70,34,0)="Commune",(VLOOKUP($A20,Actions!$F$1:$AQ$70,24,0)-VLOOKUP($A20,Actions!$F$1:$AQ$70,26,0))/(1+VLOOKUP($A20,Actions!$F$1:$AQ$70,21,0)-VLOOKUP($A20,Actions!$F$1:$AQ$70,20,0)),0),0)</f>
        <v>0</v>
      </c>
      <c r="AP20" s="1353">
        <f ca="1">IF(AI20="",AL20,IF(AND(AM20="",AI20&lt;&gt;""),VLOOKUP($A20,Actions!$F$1:$AQ$70,31,0),0))</f>
        <v>0</v>
      </c>
      <c r="AQ20" s="1354" t="str">
        <f ca="1">IF(OR(Actions!$Y14=AQ$7,AND(Actions!$Y14&lt;=AQ$7,Actions!$Z14&gt;=AQ$7)),Actions!$AA14,"")</f>
        <v/>
      </c>
      <c r="AR20" s="1353">
        <f ca="1">IF(AQ20&lt;&gt;"",VLOOKUP($A20,Actions!$F$1:$AQ$70,38,0)/(1+VLOOKUP($A20,Actions!$F$1:$AQ$70,21,0)-VLOOKUP($A20,Actions!$F$1:$AQ$70,20,0)),0)</f>
        <v>0</v>
      </c>
      <c r="AS20" s="1353">
        <f ca="1">IF(AQ20&lt;&gt;"",IF(VLOOKUP($A20,Actions!$F$1:$AQ$70,34,0)="Commune",(VLOOKUP($A20,Actions!$F$1:$AQ$70,24,0)-VLOOKUP($A20,Actions!$F$1:$AQ$70,26,0))/(1+VLOOKUP($A20,Actions!$F$1:$AQ$70,21,0)-VLOOKUP($A20,Actions!$F$1:$AQ$70,20,0)),0),0)</f>
        <v>0</v>
      </c>
      <c r="AT20" s="1353">
        <f ca="1">IF(AM20="",AP20,IF(AND(AQ20="",AM20&lt;&gt;""),VLOOKUP($A20,Actions!$F$1:$AQ$70,31,0),0))</f>
        <v>0</v>
      </c>
      <c r="AU20" s="1354" t="str">
        <f ca="1">IF(OR(Actions!$Y14=AU$7,AND(Actions!$Y14&lt;=AU$7,Actions!$Z14&gt;=AU$7)),Actions!$AA14,"")</f>
        <v/>
      </c>
      <c r="AV20" s="1353">
        <f ca="1">IF(AU20&lt;&gt;"",VLOOKUP($A20,Actions!$F$1:$AQ$70,38,0)/(1+VLOOKUP($A20,Actions!$F$1:$AQ$70,21,0)-VLOOKUP($A20,Actions!$F$1:$AQ$70,20,0)),0)</f>
        <v>0</v>
      </c>
      <c r="AW20" s="1353">
        <f ca="1">IF(AU20&lt;&gt;"",IF(VLOOKUP($A20,Actions!$F$1:$AQ$70,34,0)="Commune",(VLOOKUP($A20,Actions!$F$1:$AQ$70,24,0)-VLOOKUP($A20,Actions!$F$1:$AQ$70,26,0))/(1+VLOOKUP($A20,Actions!$F$1:$AQ$70,21,0)-VLOOKUP($A20,Actions!$F$1:$AQ$70,20,0)),0),0)</f>
        <v>0</v>
      </c>
      <c r="AX20" s="1353">
        <f ca="1">IF(AQ20="",AT20,IF(AND(AU20="",AQ20&lt;&gt;""),VLOOKUP($A20,Actions!$F$1:$AQ$70,31,0),0))</f>
        <v>0</v>
      </c>
      <c r="AY20" s="1354" t="str">
        <f ca="1">IF(OR(Actions!$Y14=AY$7,AND(Actions!$Y14&lt;=AY$7,Actions!$Z14&gt;=AY$7)),Actions!$AA14,"")</f>
        <v/>
      </c>
      <c r="AZ20" s="1353">
        <f ca="1">IF(AY20&lt;&gt;"",VLOOKUP($A20,Actions!$F$1:$AQ$70,38,0)/(1+VLOOKUP($A20,Actions!$F$1:$AQ$70,21,0)-VLOOKUP($A20,Actions!$F$1:$AQ$70,20,0)),0)</f>
        <v>0</v>
      </c>
      <c r="BA20" s="1353">
        <f ca="1">IF(AY20&lt;&gt;"",IF(VLOOKUP($A20,Actions!$F$1:$AQ$70,34,0)="Commune",(VLOOKUP($A20,Actions!$F$1:$AQ$70,24,0)-VLOOKUP($A20,Actions!$F$1:$AQ$70,26,0))/(1+VLOOKUP($A20,Actions!$F$1:$AQ$70,21,0)-VLOOKUP($A20,Actions!$F$1:$AQ$70,20,0)),0),0)</f>
        <v>0</v>
      </c>
      <c r="BB20" s="1353">
        <f ca="1">IF(AU20="",AX20,IF(AND(AY20="",AU20&lt;&gt;""),VLOOKUP($A20,Actions!$F$1:$AQ$70,31,0),0))</f>
        <v>0</v>
      </c>
      <c r="BC20" s="1354" t="str">
        <f ca="1">IF(OR(Actions!$Y14=BC$7,AND(Actions!$Y14&lt;=BC$7,Actions!$Z14&gt;=BC$7)),Actions!$AA14,"")</f>
        <v/>
      </c>
      <c r="BD20" s="1353">
        <f ca="1">IF(BC20&lt;&gt;"",VLOOKUP($A20,Actions!$F$1:$AQ$70,38,0)/(1+VLOOKUP($A20,Actions!$F$1:$AQ$70,21,0)-VLOOKUP($A20,Actions!$F$1:$AQ$70,20,0)),0)</f>
        <v>0</v>
      </c>
      <c r="BE20" s="1353">
        <f ca="1">IF(BC20&lt;&gt;"",IF(VLOOKUP($A20,Actions!$F$1:$AQ$70,34,0)="Commune",(VLOOKUP($A20,Actions!$F$1:$AQ$70,24,0)-VLOOKUP($A20,Actions!$F$1:$AQ$70,26,0))/(1+VLOOKUP($A20,Actions!$F$1:$AQ$70,21,0)-VLOOKUP($A20,Actions!$F$1:$AQ$70,20,0)),0),0)</f>
        <v>0</v>
      </c>
      <c r="BF20" s="1353">
        <f ca="1">IF(AY20="",BB20,IF(AND(BC20="",AY20&lt;&gt;""),VLOOKUP($A20,Actions!$F$1:$AQ$70,31,0),0))</f>
        <v>0</v>
      </c>
      <c r="BG20" s="1355">
        <f t="shared" ca="1" si="0"/>
        <v>0</v>
      </c>
      <c r="BH20" s="201">
        <f ca="1">VLOOKUP(B20,Actions!G13:AC82,18,0)-VLOOKUP(B20,Actions!G13:AE82,20,0)</f>
        <v>0</v>
      </c>
      <c r="BI20" s="233"/>
      <c r="BJ20" s="233"/>
      <c r="BK20" s="233"/>
      <c r="BL20" s="233"/>
      <c r="BM20" s="233"/>
      <c r="BN20" s="233"/>
      <c r="BO20" s="233"/>
    </row>
    <row r="21" spans="1:67">
      <c r="A21" s="1349">
        <f>Actions!F15</f>
        <v>14</v>
      </c>
      <c r="B21" s="1352">
        <f ca="1">Actions!G15</f>
        <v>0</v>
      </c>
      <c r="C21" s="1353" t="str">
        <f ca="1">IF(OR(AND(Actions!Y15&gt;0,Actions!Y15&lt;=$C$7,Actions!Z15&gt;=$C$7),AND(Actions!Y15&gt;0,Actions!Y15&lt;=$C$7,Actions!Z15&lt;Actions!Y15),AND(Actions!Y15=0,Actions!Z15&gt;=$C$7)),Actions!$AA15,"")</f>
        <v/>
      </c>
      <c r="D21" s="1353">
        <f ca="1">IF(C21&lt;&gt;"",VLOOKUP($A21,Actions!$F$1:$AQ$70,38,0)/(1+VLOOKUP($A21,Actions!$F$1:$AQ$70,21,0)-VLOOKUP($A21,Actions!$F$1:$AQ$70,20,0)),0)</f>
        <v>0</v>
      </c>
      <c r="E21" s="1353">
        <f ca="1">IF(C21&lt;&gt;"",IF(VLOOKUP($A21,Actions!$F$1:$AQ$70,34,0)="Commune",(VLOOKUP($A21,Actions!$F$1:$AQ$70,24,0)-VLOOKUP($A21,Actions!$F$1:$AQ$70,26,0))/(1+VLOOKUP($A21,Actions!$F$1:$AQ$70,21,0)-VLOOKUP($A21,Actions!$F$1:$AQ$70,20,0)),0),0)</f>
        <v>0</v>
      </c>
      <c r="F21" s="1353">
        <v>0</v>
      </c>
      <c r="G21" s="1354" t="str">
        <f ca="1">IF(OR(Actions!$Y15=G$7,AND(Actions!$Y15&lt;=G$7,Actions!$Z15&gt;=G$7)),Actions!$AA15,"")</f>
        <v/>
      </c>
      <c r="H21" s="1353">
        <f ca="1">IF(G21&lt;&gt;"",VLOOKUP($A21,Actions!$F$1:$AQ$70,38,0)/(1+VLOOKUP($A21,Actions!$F$1:$AQ$70,21,0)-VLOOKUP($A21,Actions!$F$1:$AQ$70,20,0)),0)</f>
        <v>0</v>
      </c>
      <c r="I21" s="1353">
        <f ca="1">IF(G21&lt;&gt;"",IF(VLOOKUP($A21,Actions!$F$1:$AQ$70,34,0)="Commune",(VLOOKUP($A21,Actions!$F$1:$AQ$70,24,0)-VLOOKUP($A21,Actions!$F$1:$AQ$70,26,0))/(1+VLOOKUP($A21,Actions!$F$1:$AQ$70,21,0)-VLOOKUP($A21,Actions!$F$1:$AQ$70,20,0)),0),0)</f>
        <v>0</v>
      </c>
      <c r="J21" s="1353">
        <f ca="1">IF(C21="",F21,IF(AND(G21="",C21&lt;&gt;""),VLOOKUP($A21,Actions!$F$1:$AQ$70,31,0),0))</f>
        <v>0</v>
      </c>
      <c r="K21" s="1354" t="str">
        <f ca="1">IF(OR(Actions!$Y15=K$7,AND(Actions!$Y15&lt;=K$7,Actions!$Z15&gt;=K$7)),Actions!$AA15,"")</f>
        <v/>
      </c>
      <c r="L21" s="1353">
        <f ca="1">IF(K21&lt;&gt;"",VLOOKUP($A21,Actions!$F$1:$AQ$70,38,0)/(1+VLOOKUP($A21,Actions!$F$1:$AQ$70,21,0)-VLOOKUP($A21,Actions!$F$1:$AQ$70,20,0)),0)</f>
        <v>0</v>
      </c>
      <c r="M21" s="1353">
        <f ca="1">IF(K21&lt;&gt;"",IF(VLOOKUP($A21,Actions!$F$1:$AQ$70,34,0)="Commune",(VLOOKUP($A21,Actions!$F$1:$AQ$70,24,0)-VLOOKUP($A21,Actions!$F$1:$AQ$70,26,0))/(1+VLOOKUP($A21,Actions!$F$1:$AQ$70,21,0)-VLOOKUP($A21,Actions!$F$1:$AQ$70,20,0)),0),0)</f>
        <v>0</v>
      </c>
      <c r="N21" s="1353">
        <f ca="1">IF(G21="",J21,IF(AND(K21="",G21&lt;&gt;""),VLOOKUP($A21,Actions!$F$1:$AQ$70,31,0),0))</f>
        <v>0</v>
      </c>
      <c r="O21" s="1354" t="str">
        <f ca="1">IF(OR(Actions!$Y15=O$7,AND(Actions!$Y15&lt;=O$7,Actions!$Z15&gt;=O$7)),Actions!$AA15,"")</f>
        <v/>
      </c>
      <c r="P21" s="1353">
        <f ca="1">IF(O21&lt;&gt;"",VLOOKUP($A21,Actions!$F$1:$AQ$70,38,0)/(1+VLOOKUP($A21,Actions!$F$1:$AQ$70,21,0)-VLOOKUP($A21,Actions!$F$1:$AQ$70,20,0)),0)</f>
        <v>0</v>
      </c>
      <c r="Q21" s="1353">
        <f ca="1">IF(O21&lt;&gt;"",IF(VLOOKUP($A21,Actions!$F$1:$AQ$70,34,0)="Commune",(VLOOKUP($A21,Actions!$F$1:$AQ$70,24,0)-VLOOKUP($A21,Actions!$F$1:$AQ$70,26,0))/(1+VLOOKUP($A21,Actions!$F$1:$AQ$70,21,0)-VLOOKUP($A21,Actions!$F$1:$AQ$70,20,0)),0),0)</f>
        <v>0</v>
      </c>
      <c r="R21" s="1353">
        <f ca="1">IF(K21="",N21,IF(AND(O21="",K21&lt;&gt;""),VLOOKUP($A21,Actions!$F$1:$AQ$70,31,0),0))</f>
        <v>0</v>
      </c>
      <c r="S21" s="1354" t="str">
        <f ca="1">IF(OR(Actions!$Y15=S$7,AND(Actions!$Y15&lt;=S$7,Actions!$Z15&gt;=S$7)),Actions!$AA15,"")</f>
        <v/>
      </c>
      <c r="T21" s="1353">
        <f ca="1">IF(S21&lt;&gt;"",VLOOKUP($A21,Actions!$F$1:$AQ$70,38,0)/(1+VLOOKUP($A21,Actions!$F$1:$AQ$70,21,0)-VLOOKUP($A21,Actions!$F$1:$AQ$70,20,0)),0)</f>
        <v>0</v>
      </c>
      <c r="U21" s="1353">
        <f ca="1">IF(S21&lt;&gt;"",IF(VLOOKUP($A21,Actions!$F$1:$AQ$70,34,0)="Commune",(VLOOKUP($A21,Actions!$F$1:$AQ$70,24,0)-VLOOKUP($A21,Actions!$F$1:$AQ$70,26,0))/(1+VLOOKUP($A21,Actions!$F$1:$AQ$70,21,0)-VLOOKUP($A21,Actions!$F$1:$AQ$70,20,0)),0),0)</f>
        <v>0</v>
      </c>
      <c r="V21" s="1353">
        <f ca="1">IF(O21="",R21,IF(AND(S21="",O21&lt;&gt;""),VLOOKUP($A21,Actions!$F$1:$AQ$70,31,0),0))</f>
        <v>0</v>
      </c>
      <c r="W21" s="1354" t="str">
        <f ca="1">IF(OR(Actions!$Y15=W$7,AND(Actions!$Y15&lt;=W$7,Actions!$Z15&gt;=W$7)),Actions!$AA15,"")</f>
        <v/>
      </c>
      <c r="X21" s="1353">
        <f ca="1">IF(W21&lt;&gt;"",VLOOKUP($A21,Actions!$F$1:$AQ$70,38,0)/(1+VLOOKUP($A21,Actions!$F$1:$AQ$70,21,0)-VLOOKUP($A21,Actions!$F$1:$AQ$70,20,0)),0)</f>
        <v>0</v>
      </c>
      <c r="Y21" s="1353">
        <f ca="1">IF(W21&lt;&gt;"",IF(VLOOKUP($A21,Actions!$F$1:$AQ$70,34,0)="Commune",(VLOOKUP($A21,Actions!$F$1:$AQ$70,24,0)-VLOOKUP($A21,Actions!$F$1:$AQ$70,26,0))/(1+VLOOKUP($A21,Actions!$F$1:$AQ$70,21,0)-VLOOKUP($A21,Actions!$F$1:$AQ$70,20,0)),0),0)</f>
        <v>0</v>
      </c>
      <c r="Z21" s="1353">
        <f ca="1">IF(S21="",V21,IF(AND(W21="",S21&lt;&gt;""),VLOOKUP($A21,Actions!$F$1:$AQ$70,31,0),0))</f>
        <v>0</v>
      </c>
      <c r="AA21" s="1354" t="str">
        <f ca="1">IF(OR(Actions!$Y15=AA$7,AND(Actions!$Y15&lt;=AA$7,Actions!$Z15&gt;=AA$7)),Actions!$AA15,"")</f>
        <v/>
      </c>
      <c r="AB21" s="1353">
        <f ca="1">IF(AA21&lt;&gt;"",VLOOKUP($A21,Actions!$F$1:$AQ$70,38,0)/(1+VLOOKUP($A21,Actions!$F$1:$AQ$70,21,0)-VLOOKUP($A21,Actions!$F$1:$AQ$70,20,0)),0)</f>
        <v>0</v>
      </c>
      <c r="AC21" s="1353">
        <f ca="1">IF(AA21&lt;&gt;"",IF(VLOOKUP($A21,Actions!$F$1:$AQ$70,34,0)="Commune",(VLOOKUP($A21,Actions!$F$1:$AQ$70,24,0)-VLOOKUP($A21,Actions!$F$1:$AQ$70,26,0))/(1+VLOOKUP($A21,Actions!$F$1:$AQ$70,21,0)-VLOOKUP($A21,Actions!$F$1:$AQ$70,20,0)),0),0)</f>
        <v>0</v>
      </c>
      <c r="AD21" s="1353">
        <f ca="1">IF(W21="",Z21,IF(AND(AA21="",W21&lt;&gt;""),VLOOKUP($A21,Actions!$F$1:$AQ$70,31,0),0))</f>
        <v>0</v>
      </c>
      <c r="AE21" s="1354" t="str">
        <f ca="1">IF(OR(Actions!$Y15=AE$7,AND(Actions!$Y15&lt;=AE$7,Actions!$Z15&gt;=AE$7)),Actions!$AA15,"")</f>
        <v/>
      </c>
      <c r="AF21" s="1353">
        <f ca="1">IF(AE21&lt;&gt;"",VLOOKUP($A21,Actions!$F$1:$AQ$70,38,0)/(1+VLOOKUP($A21,Actions!$F$1:$AQ$70,21,0)-VLOOKUP($A21,Actions!$F$1:$AQ$70,20,0)),0)</f>
        <v>0</v>
      </c>
      <c r="AG21" s="1353">
        <f ca="1">IF(AE21&lt;&gt;"",IF(VLOOKUP($A21,Actions!$F$1:$AQ$70,34,0)="Commune",(VLOOKUP($A21,Actions!$F$1:$AQ$70,24,0)-VLOOKUP($A21,Actions!$F$1:$AQ$70,26,0))/(1+VLOOKUP($A21,Actions!$F$1:$AQ$70,21,0)-VLOOKUP($A21,Actions!$F$1:$AQ$70,20,0)),0),0)</f>
        <v>0</v>
      </c>
      <c r="AH21" s="1353">
        <f ca="1">IF(AA21="",AD21,IF(AND(AE21="",AA21&lt;&gt;""),VLOOKUP($A21,Actions!$F$1:$AQ$70,31,0),0))</f>
        <v>0</v>
      </c>
      <c r="AI21" s="1354" t="str">
        <f ca="1">IF(OR(Actions!$Y15=AI$7,AND(Actions!$Y15&lt;=AI$7,Actions!$Z15&gt;=AI$7)),Actions!$AA15,"")</f>
        <v/>
      </c>
      <c r="AJ21" s="1353">
        <f ca="1">IF(AI21&lt;&gt;"",VLOOKUP($A21,Actions!$F$1:$AQ$70,38,0)/(1+VLOOKUP($A21,Actions!$F$1:$AQ$70,21,0)-VLOOKUP($A21,Actions!$F$1:$AQ$70,20,0)),0)</f>
        <v>0</v>
      </c>
      <c r="AK21" s="1353">
        <f ca="1">IF(AI21&lt;&gt;"",IF(VLOOKUP($A21,Actions!$F$1:$AQ$70,34,0)="Commune",(VLOOKUP($A21,Actions!$F$1:$AQ$70,24,0)-VLOOKUP($A21,Actions!$F$1:$AQ$70,26,0))/(1+VLOOKUP($A21,Actions!$F$1:$AQ$70,21,0)-VLOOKUP($A21,Actions!$F$1:$AQ$70,20,0)),0),0)</f>
        <v>0</v>
      </c>
      <c r="AL21" s="1353">
        <f ca="1">IF(AE21="",AH21,IF(AND(AI21="",AE21&lt;&gt;""),VLOOKUP($A21,Actions!$F$1:$AQ$70,31,0),0))</f>
        <v>0</v>
      </c>
      <c r="AM21" s="1354" t="str">
        <f ca="1">IF(OR(Actions!$Y15=AM$7,AND(Actions!$Y15&lt;=AM$7,Actions!$Z15&gt;=AM$7)),Actions!$AA15,"")</f>
        <v/>
      </c>
      <c r="AN21" s="1353">
        <f ca="1">IF(AM21&lt;&gt;"",VLOOKUP($A21,Actions!$F$1:$AQ$70,38,0)/(1+VLOOKUP($A21,Actions!$F$1:$AQ$70,21,0)-VLOOKUP($A21,Actions!$F$1:$AQ$70,20,0)),0)</f>
        <v>0</v>
      </c>
      <c r="AO21" s="1353">
        <f ca="1">IF(AM21&lt;&gt;"",IF(VLOOKUP($A21,Actions!$F$1:$AQ$70,34,0)="Commune",(VLOOKUP($A21,Actions!$F$1:$AQ$70,24,0)-VLOOKUP($A21,Actions!$F$1:$AQ$70,26,0))/(1+VLOOKUP($A21,Actions!$F$1:$AQ$70,21,0)-VLOOKUP($A21,Actions!$F$1:$AQ$70,20,0)),0),0)</f>
        <v>0</v>
      </c>
      <c r="AP21" s="1353">
        <f ca="1">IF(AI21="",AL21,IF(AND(AM21="",AI21&lt;&gt;""),VLOOKUP($A21,Actions!$F$1:$AQ$70,31,0),0))</f>
        <v>0</v>
      </c>
      <c r="AQ21" s="1354" t="str">
        <f ca="1">IF(OR(Actions!$Y15=AQ$7,AND(Actions!$Y15&lt;=AQ$7,Actions!$Z15&gt;=AQ$7)),Actions!$AA15,"")</f>
        <v/>
      </c>
      <c r="AR21" s="1353">
        <f ca="1">IF(AQ21&lt;&gt;"",VLOOKUP($A21,Actions!$F$1:$AQ$70,38,0)/(1+VLOOKUP($A21,Actions!$F$1:$AQ$70,21,0)-VLOOKUP($A21,Actions!$F$1:$AQ$70,20,0)),0)</f>
        <v>0</v>
      </c>
      <c r="AS21" s="1353">
        <f ca="1">IF(AQ21&lt;&gt;"",IF(VLOOKUP($A21,Actions!$F$1:$AQ$70,34,0)="Commune",(VLOOKUP($A21,Actions!$F$1:$AQ$70,24,0)-VLOOKUP($A21,Actions!$F$1:$AQ$70,26,0))/(1+VLOOKUP($A21,Actions!$F$1:$AQ$70,21,0)-VLOOKUP($A21,Actions!$F$1:$AQ$70,20,0)),0),0)</f>
        <v>0</v>
      </c>
      <c r="AT21" s="1353">
        <f ca="1">IF(AM21="",AP21,IF(AND(AQ21="",AM21&lt;&gt;""),VLOOKUP($A21,Actions!$F$1:$AQ$70,31,0),0))</f>
        <v>0</v>
      </c>
      <c r="AU21" s="1354" t="str">
        <f ca="1">IF(OR(Actions!$Y15=AU$7,AND(Actions!$Y15&lt;=AU$7,Actions!$Z15&gt;=AU$7)),Actions!$AA15,"")</f>
        <v/>
      </c>
      <c r="AV21" s="1353">
        <f ca="1">IF(AU21&lt;&gt;"",VLOOKUP($A21,Actions!$F$1:$AQ$70,38,0)/(1+VLOOKUP($A21,Actions!$F$1:$AQ$70,21,0)-VLOOKUP($A21,Actions!$F$1:$AQ$70,20,0)),0)</f>
        <v>0</v>
      </c>
      <c r="AW21" s="1353">
        <f ca="1">IF(AU21&lt;&gt;"",IF(VLOOKUP($A21,Actions!$F$1:$AQ$70,34,0)="Commune",(VLOOKUP($A21,Actions!$F$1:$AQ$70,24,0)-VLOOKUP($A21,Actions!$F$1:$AQ$70,26,0))/(1+VLOOKUP($A21,Actions!$F$1:$AQ$70,21,0)-VLOOKUP($A21,Actions!$F$1:$AQ$70,20,0)),0),0)</f>
        <v>0</v>
      </c>
      <c r="AX21" s="1353">
        <f ca="1">IF(AQ21="",AT21,IF(AND(AU21="",AQ21&lt;&gt;""),VLOOKUP($A21,Actions!$F$1:$AQ$70,31,0),0))</f>
        <v>0</v>
      </c>
      <c r="AY21" s="1354" t="str">
        <f ca="1">IF(OR(Actions!$Y15=AY$7,AND(Actions!$Y15&lt;=AY$7,Actions!$Z15&gt;=AY$7)),Actions!$AA15,"")</f>
        <v/>
      </c>
      <c r="AZ21" s="1353">
        <f ca="1">IF(AY21&lt;&gt;"",VLOOKUP($A21,Actions!$F$1:$AQ$70,38,0)/(1+VLOOKUP($A21,Actions!$F$1:$AQ$70,21,0)-VLOOKUP($A21,Actions!$F$1:$AQ$70,20,0)),0)</f>
        <v>0</v>
      </c>
      <c r="BA21" s="1353">
        <f ca="1">IF(AY21&lt;&gt;"",IF(VLOOKUP($A21,Actions!$F$1:$AQ$70,34,0)="Commune",(VLOOKUP($A21,Actions!$F$1:$AQ$70,24,0)-VLOOKUP($A21,Actions!$F$1:$AQ$70,26,0))/(1+VLOOKUP($A21,Actions!$F$1:$AQ$70,21,0)-VLOOKUP($A21,Actions!$F$1:$AQ$70,20,0)),0),0)</f>
        <v>0</v>
      </c>
      <c r="BB21" s="1353">
        <f ca="1">IF(AU21="",AX21,IF(AND(AY21="",AU21&lt;&gt;""),VLOOKUP($A21,Actions!$F$1:$AQ$70,31,0),0))</f>
        <v>0</v>
      </c>
      <c r="BC21" s="1354" t="str">
        <f ca="1">IF(OR(Actions!$Y15=BC$7,AND(Actions!$Y15&lt;=BC$7,Actions!$Z15&gt;=BC$7)),Actions!$AA15,"")</f>
        <v/>
      </c>
      <c r="BD21" s="1353">
        <f ca="1">IF(BC21&lt;&gt;"",VLOOKUP($A21,Actions!$F$1:$AQ$70,38,0)/(1+VLOOKUP($A21,Actions!$F$1:$AQ$70,21,0)-VLOOKUP($A21,Actions!$F$1:$AQ$70,20,0)),0)</f>
        <v>0</v>
      </c>
      <c r="BE21" s="1353">
        <f ca="1">IF(BC21&lt;&gt;"",IF(VLOOKUP($A21,Actions!$F$1:$AQ$70,34,0)="Commune",(VLOOKUP($A21,Actions!$F$1:$AQ$70,24,0)-VLOOKUP($A21,Actions!$F$1:$AQ$70,26,0))/(1+VLOOKUP($A21,Actions!$F$1:$AQ$70,21,0)-VLOOKUP($A21,Actions!$F$1:$AQ$70,20,0)),0),0)</f>
        <v>0</v>
      </c>
      <c r="BF21" s="1353">
        <f ca="1">IF(AY21="",BB21,IF(AND(BC21="",AY21&lt;&gt;""),VLOOKUP($A21,Actions!$F$1:$AQ$70,31,0),0))</f>
        <v>0</v>
      </c>
      <c r="BG21" s="1355">
        <f t="shared" ca="1" si="0"/>
        <v>0</v>
      </c>
      <c r="BH21" s="201">
        <f ca="1">VLOOKUP(B21,Actions!G14:AC83,18,0)-VLOOKUP(B21,Actions!G14:AE83,20,0)</f>
        <v>0</v>
      </c>
      <c r="BI21" s="233"/>
      <c r="BJ21" s="233"/>
      <c r="BK21" s="233"/>
      <c r="BL21" s="233"/>
      <c r="BM21" s="233"/>
      <c r="BN21" s="233"/>
      <c r="BO21" s="233"/>
    </row>
    <row r="22" spans="1:67">
      <c r="A22" s="1349">
        <f>Actions!F16</f>
        <v>15</v>
      </c>
      <c r="B22" s="1352">
        <f ca="1">Actions!G16</f>
        <v>0</v>
      </c>
      <c r="C22" s="1353" t="str">
        <f ca="1">IF(OR(AND(Actions!Y16&gt;0,Actions!Y16&lt;=$C$7,Actions!Z16&gt;=$C$7),AND(Actions!Y16&gt;0,Actions!Y16&lt;=$C$7,Actions!Z16&lt;Actions!Y16),AND(Actions!Y16=0,Actions!Z16&gt;=$C$7)),Actions!$AA16,"")</f>
        <v/>
      </c>
      <c r="D22" s="1353">
        <f ca="1">IF(C22&lt;&gt;"",VLOOKUP($A22,Actions!$F$1:$AQ$70,38,0)/(1+VLOOKUP($A22,Actions!$F$1:$AQ$70,21,0)-VLOOKUP($A22,Actions!$F$1:$AQ$70,20,0)),0)</f>
        <v>0</v>
      </c>
      <c r="E22" s="1353">
        <f ca="1">IF(C22&lt;&gt;"",IF(VLOOKUP($A22,Actions!$F$1:$AQ$70,34,0)="Commune",(VLOOKUP($A22,Actions!$F$1:$AQ$70,24,0)-VLOOKUP($A22,Actions!$F$1:$AQ$70,26,0))/(1+VLOOKUP($A22,Actions!$F$1:$AQ$70,21,0)-VLOOKUP($A22,Actions!$F$1:$AQ$70,20,0)),0),0)</f>
        <v>0</v>
      </c>
      <c r="F22" s="1353">
        <v>0</v>
      </c>
      <c r="G22" s="1354" t="str">
        <f ca="1">IF(OR(Actions!$Y16=G$7,AND(Actions!$Y16&lt;=G$7,Actions!$Z16&gt;=G$7)),Actions!$AA16,"")</f>
        <v/>
      </c>
      <c r="H22" s="1353">
        <f ca="1">IF(G22&lt;&gt;"",VLOOKUP($A22,Actions!$F$1:$AQ$70,38,0)/(1+VLOOKUP($A22,Actions!$F$1:$AQ$70,21,0)-VLOOKUP($A22,Actions!$F$1:$AQ$70,20,0)),0)</f>
        <v>0</v>
      </c>
      <c r="I22" s="1353">
        <f ca="1">IF(G22&lt;&gt;"",IF(VLOOKUP($A22,Actions!$F$1:$AQ$70,34,0)="Commune",(VLOOKUP($A22,Actions!$F$1:$AQ$70,24,0)-VLOOKUP($A22,Actions!$F$1:$AQ$70,26,0))/(1+VLOOKUP($A22,Actions!$F$1:$AQ$70,21,0)-VLOOKUP($A22,Actions!$F$1:$AQ$70,20,0)),0),0)</f>
        <v>0</v>
      </c>
      <c r="J22" s="1353">
        <f ca="1">IF(C22="",F22,IF(AND(G22="",C22&lt;&gt;""),VLOOKUP($A22,Actions!$F$1:$AQ$70,31,0),0))</f>
        <v>0</v>
      </c>
      <c r="K22" s="1354" t="str">
        <f ca="1">IF(OR(Actions!$Y16=K$7,AND(Actions!$Y16&lt;=K$7,Actions!$Z16&gt;=K$7)),Actions!$AA16,"")</f>
        <v/>
      </c>
      <c r="L22" s="1353">
        <f ca="1">IF(K22&lt;&gt;"",VLOOKUP($A22,Actions!$F$1:$AQ$70,38,0)/(1+VLOOKUP($A22,Actions!$F$1:$AQ$70,21,0)-VLOOKUP($A22,Actions!$F$1:$AQ$70,20,0)),0)</f>
        <v>0</v>
      </c>
      <c r="M22" s="1353">
        <f ca="1">IF(K22&lt;&gt;"",IF(VLOOKUP($A22,Actions!$F$1:$AQ$70,34,0)="Commune",(VLOOKUP($A22,Actions!$F$1:$AQ$70,24,0)-VLOOKUP($A22,Actions!$F$1:$AQ$70,26,0))/(1+VLOOKUP($A22,Actions!$F$1:$AQ$70,21,0)-VLOOKUP($A22,Actions!$F$1:$AQ$70,20,0)),0),0)</f>
        <v>0</v>
      </c>
      <c r="N22" s="1353">
        <f ca="1">IF(G22="",J22,IF(AND(K22="",G22&lt;&gt;""),VLOOKUP($A22,Actions!$F$1:$AQ$70,31,0),0))</f>
        <v>0</v>
      </c>
      <c r="O22" s="1354" t="str">
        <f ca="1">IF(OR(Actions!$Y16=O$7,AND(Actions!$Y16&lt;=O$7,Actions!$Z16&gt;=O$7)),Actions!$AA16,"")</f>
        <v/>
      </c>
      <c r="P22" s="1353">
        <f ca="1">IF(O22&lt;&gt;"",VLOOKUP($A22,Actions!$F$1:$AQ$70,38,0)/(1+VLOOKUP($A22,Actions!$F$1:$AQ$70,21,0)-VLOOKUP($A22,Actions!$F$1:$AQ$70,20,0)),0)</f>
        <v>0</v>
      </c>
      <c r="Q22" s="1353">
        <f ca="1">IF(O22&lt;&gt;"",IF(VLOOKUP($A22,Actions!$F$1:$AQ$70,34,0)="Commune",(VLOOKUP($A22,Actions!$F$1:$AQ$70,24,0)-VLOOKUP($A22,Actions!$F$1:$AQ$70,26,0))/(1+VLOOKUP($A22,Actions!$F$1:$AQ$70,21,0)-VLOOKUP($A22,Actions!$F$1:$AQ$70,20,0)),0),0)</f>
        <v>0</v>
      </c>
      <c r="R22" s="1353">
        <f ca="1">IF(K22="",N22,IF(AND(O22="",K22&lt;&gt;""),VLOOKUP($A22,Actions!$F$1:$AQ$70,31,0),0))</f>
        <v>0</v>
      </c>
      <c r="S22" s="1354" t="str">
        <f ca="1">IF(OR(Actions!$Y16=S$7,AND(Actions!$Y16&lt;=S$7,Actions!$Z16&gt;=S$7)),Actions!$AA16,"")</f>
        <v/>
      </c>
      <c r="T22" s="1353">
        <f ca="1">IF(S22&lt;&gt;"",VLOOKUP($A22,Actions!$F$1:$AQ$70,38,0)/(1+VLOOKUP($A22,Actions!$F$1:$AQ$70,21,0)-VLOOKUP($A22,Actions!$F$1:$AQ$70,20,0)),0)</f>
        <v>0</v>
      </c>
      <c r="U22" s="1353">
        <f ca="1">IF(S22&lt;&gt;"",IF(VLOOKUP($A22,Actions!$F$1:$AQ$70,34,0)="Commune",(VLOOKUP($A22,Actions!$F$1:$AQ$70,24,0)-VLOOKUP($A22,Actions!$F$1:$AQ$70,26,0))/(1+VLOOKUP($A22,Actions!$F$1:$AQ$70,21,0)-VLOOKUP($A22,Actions!$F$1:$AQ$70,20,0)),0),0)</f>
        <v>0</v>
      </c>
      <c r="V22" s="1353">
        <f ca="1">IF(O22="",R22,IF(AND(S22="",O22&lt;&gt;""),VLOOKUP($A22,Actions!$F$1:$AQ$70,31,0),0))</f>
        <v>0</v>
      </c>
      <c r="W22" s="1354" t="str">
        <f ca="1">IF(OR(Actions!$Y16=W$7,AND(Actions!$Y16&lt;=W$7,Actions!$Z16&gt;=W$7)),Actions!$AA16,"")</f>
        <v/>
      </c>
      <c r="X22" s="1353">
        <f ca="1">IF(W22&lt;&gt;"",VLOOKUP($A22,Actions!$F$1:$AQ$70,38,0)/(1+VLOOKUP($A22,Actions!$F$1:$AQ$70,21,0)-VLOOKUP($A22,Actions!$F$1:$AQ$70,20,0)),0)</f>
        <v>0</v>
      </c>
      <c r="Y22" s="1353">
        <f ca="1">IF(W22&lt;&gt;"",IF(VLOOKUP($A22,Actions!$F$1:$AQ$70,34,0)="Commune",(VLOOKUP($A22,Actions!$F$1:$AQ$70,24,0)-VLOOKUP($A22,Actions!$F$1:$AQ$70,26,0))/(1+VLOOKUP($A22,Actions!$F$1:$AQ$70,21,0)-VLOOKUP($A22,Actions!$F$1:$AQ$70,20,0)),0),0)</f>
        <v>0</v>
      </c>
      <c r="Z22" s="1353">
        <f ca="1">IF(S22="",V22,IF(AND(W22="",S22&lt;&gt;""),VLOOKUP($A22,Actions!$F$1:$AQ$70,31,0),0))</f>
        <v>0</v>
      </c>
      <c r="AA22" s="1354" t="str">
        <f ca="1">IF(OR(Actions!$Y16=AA$7,AND(Actions!$Y16&lt;=AA$7,Actions!$Z16&gt;=AA$7)),Actions!$AA16,"")</f>
        <v/>
      </c>
      <c r="AB22" s="1353">
        <f ca="1">IF(AA22&lt;&gt;"",VLOOKUP($A22,Actions!$F$1:$AQ$70,38,0)/(1+VLOOKUP($A22,Actions!$F$1:$AQ$70,21,0)-VLOOKUP($A22,Actions!$F$1:$AQ$70,20,0)),0)</f>
        <v>0</v>
      </c>
      <c r="AC22" s="1353">
        <f ca="1">IF(AA22&lt;&gt;"",IF(VLOOKUP($A22,Actions!$F$1:$AQ$70,34,0)="Commune",(VLOOKUP($A22,Actions!$F$1:$AQ$70,24,0)-VLOOKUP($A22,Actions!$F$1:$AQ$70,26,0))/(1+VLOOKUP($A22,Actions!$F$1:$AQ$70,21,0)-VLOOKUP($A22,Actions!$F$1:$AQ$70,20,0)),0),0)</f>
        <v>0</v>
      </c>
      <c r="AD22" s="1353">
        <f ca="1">IF(W22="",Z22,IF(AND(AA22="",W22&lt;&gt;""),VLOOKUP($A22,Actions!$F$1:$AQ$70,31,0),0))</f>
        <v>0</v>
      </c>
      <c r="AE22" s="1354" t="str">
        <f ca="1">IF(OR(Actions!$Y16=AE$7,AND(Actions!$Y16&lt;=AE$7,Actions!$Z16&gt;=AE$7)),Actions!$AA16,"")</f>
        <v/>
      </c>
      <c r="AF22" s="1353">
        <f ca="1">IF(AE22&lt;&gt;"",VLOOKUP($A22,Actions!$F$1:$AQ$70,38,0)/(1+VLOOKUP($A22,Actions!$F$1:$AQ$70,21,0)-VLOOKUP($A22,Actions!$F$1:$AQ$70,20,0)),0)</f>
        <v>0</v>
      </c>
      <c r="AG22" s="1353">
        <f ca="1">IF(AE22&lt;&gt;"",IF(VLOOKUP($A22,Actions!$F$1:$AQ$70,34,0)="Commune",(VLOOKUP($A22,Actions!$F$1:$AQ$70,24,0)-VLOOKUP($A22,Actions!$F$1:$AQ$70,26,0))/(1+VLOOKUP($A22,Actions!$F$1:$AQ$70,21,0)-VLOOKUP($A22,Actions!$F$1:$AQ$70,20,0)),0),0)</f>
        <v>0</v>
      </c>
      <c r="AH22" s="1353">
        <f ca="1">IF(AA22="",AD22,IF(AND(AE22="",AA22&lt;&gt;""),VLOOKUP($A22,Actions!$F$1:$AQ$70,31,0),0))</f>
        <v>0</v>
      </c>
      <c r="AI22" s="1354" t="str">
        <f ca="1">IF(OR(Actions!$Y16=AI$7,AND(Actions!$Y16&lt;=AI$7,Actions!$Z16&gt;=AI$7)),Actions!$AA16,"")</f>
        <v/>
      </c>
      <c r="AJ22" s="1353">
        <f ca="1">IF(AI22&lt;&gt;"",VLOOKUP($A22,Actions!$F$1:$AQ$70,38,0)/(1+VLOOKUP($A22,Actions!$F$1:$AQ$70,21,0)-VLOOKUP($A22,Actions!$F$1:$AQ$70,20,0)),0)</f>
        <v>0</v>
      </c>
      <c r="AK22" s="1353">
        <f ca="1">IF(AI22&lt;&gt;"",IF(VLOOKUP($A22,Actions!$F$1:$AQ$70,34,0)="Commune",(VLOOKUP($A22,Actions!$F$1:$AQ$70,24,0)-VLOOKUP($A22,Actions!$F$1:$AQ$70,26,0))/(1+VLOOKUP($A22,Actions!$F$1:$AQ$70,21,0)-VLOOKUP($A22,Actions!$F$1:$AQ$70,20,0)),0),0)</f>
        <v>0</v>
      </c>
      <c r="AL22" s="1353">
        <f ca="1">IF(AE22="",AH22,IF(AND(AI22="",AE22&lt;&gt;""),VLOOKUP($A22,Actions!$F$1:$AQ$70,31,0),0))</f>
        <v>0</v>
      </c>
      <c r="AM22" s="1354" t="str">
        <f ca="1">IF(OR(Actions!$Y16=AM$7,AND(Actions!$Y16&lt;=AM$7,Actions!$Z16&gt;=AM$7)),Actions!$AA16,"")</f>
        <v/>
      </c>
      <c r="AN22" s="1353">
        <f ca="1">IF(AM22&lt;&gt;"",VLOOKUP($A22,Actions!$F$1:$AQ$70,38,0)/(1+VLOOKUP($A22,Actions!$F$1:$AQ$70,21,0)-VLOOKUP($A22,Actions!$F$1:$AQ$70,20,0)),0)</f>
        <v>0</v>
      </c>
      <c r="AO22" s="1353">
        <f ca="1">IF(AM22&lt;&gt;"",IF(VLOOKUP($A22,Actions!$F$1:$AQ$70,34,0)="Commune",(VLOOKUP($A22,Actions!$F$1:$AQ$70,24,0)-VLOOKUP($A22,Actions!$F$1:$AQ$70,26,0))/(1+VLOOKUP($A22,Actions!$F$1:$AQ$70,21,0)-VLOOKUP($A22,Actions!$F$1:$AQ$70,20,0)),0),0)</f>
        <v>0</v>
      </c>
      <c r="AP22" s="1353">
        <f ca="1">IF(AI22="",AL22,IF(AND(AM22="",AI22&lt;&gt;""),VLOOKUP($A22,Actions!$F$1:$AQ$70,31,0),0))</f>
        <v>0</v>
      </c>
      <c r="AQ22" s="1354" t="str">
        <f ca="1">IF(OR(Actions!$Y16=AQ$7,AND(Actions!$Y16&lt;=AQ$7,Actions!$Z16&gt;=AQ$7)),Actions!$AA16,"")</f>
        <v/>
      </c>
      <c r="AR22" s="1353">
        <f ca="1">IF(AQ22&lt;&gt;"",VLOOKUP($A22,Actions!$F$1:$AQ$70,38,0)/(1+VLOOKUP($A22,Actions!$F$1:$AQ$70,21,0)-VLOOKUP($A22,Actions!$F$1:$AQ$70,20,0)),0)</f>
        <v>0</v>
      </c>
      <c r="AS22" s="1353">
        <f ca="1">IF(AQ22&lt;&gt;"",IF(VLOOKUP($A22,Actions!$F$1:$AQ$70,34,0)="Commune",(VLOOKUP($A22,Actions!$F$1:$AQ$70,24,0)-VLOOKUP($A22,Actions!$F$1:$AQ$70,26,0))/(1+VLOOKUP($A22,Actions!$F$1:$AQ$70,21,0)-VLOOKUP($A22,Actions!$F$1:$AQ$70,20,0)),0),0)</f>
        <v>0</v>
      </c>
      <c r="AT22" s="1353">
        <f ca="1">IF(AM22="",AP22,IF(AND(AQ22="",AM22&lt;&gt;""),VLOOKUP($A22,Actions!$F$1:$AQ$70,31,0),0))</f>
        <v>0</v>
      </c>
      <c r="AU22" s="1354" t="str">
        <f ca="1">IF(OR(Actions!$Y16=AU$7,AND(Actions!$Y16&lt;=AU$7,Actions!$Z16&gt;=AU$7)),Actions!$AA16,"")</f>
        <v/>
      </c>
      <c r="AV22" s="1353">
        <f ca="1">IF(AU22&lt;&gt;"",VLOOKUP($A22,Actions!$F$1:$AQ$70,38,0)/(1+VLOOKUP($A22,Actions!$F$1:$AQ$70,21,0)-VLOOKUP($A22,Actions!$F$1:$AQ$70,20,0)),0)</f>
        <v>0</v>
      </c>
      <c r="AW22" s="1353">
        <f ca="1">IF(AU22&lt;&gt;"",IF(VLOOKUP($A22,Actions!$F$1:$AQ$70,34,0)="Commune",(VLOOKUP($A22,Actions!$F$1:$AQ$70,24,0)-VLOOKUP($A22,Actions!$F$1:$AQ$70,26,0))/(1+VLOOKUP($A22,Actions!$F$1:$AQ$70,21,0)-VLOOKUP($A22,Actions!$F$1:$AQ$70,20,0)),0),0)</f>
        <v>0</v>
      </c>
      <c r="AX22" s="1353">
        <f ca="1">IF(AQ22="",AT22,IF(AND(AU22="",AQ22&lt;&gt;""),VLOOKUP($A22,Actions!$F$1:$AQ$70,31,0),0))</f>
        <v>0</v>
      </c>
      <c r="AY22" s="1354" t="str">
        <f ca="1">IF(OR(Actions!$Y16=AY$7,AND(Actions!$Y16&lt;=AY$7,Actions!$Z16&gt;=AY$7)),Actions!$AA16,"")</f>
        <v/>
      </c>
      <c r="AZ22" s="1353">
        <f ca="1">IF(AY22&lt;&gt;"",VLOOKUP($A22,Actions!$F$1:$AQ$70,38,0)/(1+VLOOKUP($A22,Actions!$F$1:$AQ$70,21,0)-VLOOKUP($A22,Actions!$F$1:$AQ$70,20,0)),0)</f>
        <v>0</v>
      </c>
      <c r="BA22" s="1353">
        <f ca="1">IF(AY22&lt;&gt;"",IF(VLOOKUP($A22,Actions!$F$1:$AQ$70,34,0)="Commune",(VLOOKUP($A22,Actions!$F$1:$AQ$70,24,0)-VLOOKUP($A22,Actions!$F$1:$AQ$70,26,0))/(1+VLOOKUP($A22,Actions!$F$1:$AQ$70,21,0)-VLOOKUP($A22,Actions!$F$1:$AQ$70,20,0)),0),0)</f>
        <v>0</v>
      </c>
      <c r="BB22" s="1353">
        <f ca="1">IF(AU22="",AX22,IF(AND(AY22="",AU22&lt;&gt;""),VLOOKUP($A22,Actions!$F$1:$AQ$70,31,0),0))</f>
        <v>0</v>
      </c>
      <c r="BC22" s="1354" t="str">
        <f ca="1">IF(OR(Actions!$Y16=BC$7,AND(Actions!$Y16&lt;=BC$7,Actions!$Z16&gt;=BC$7)),Actions!$AA16,"")</f>
        <v/>
      </c>
      <c r="BD22" s="1353">
        <f ca="1">IF(BC22&lt;&gt;"",VLOOKUP($A22,Actions!$F$1:$AQ$70,38,0)/(1+VLOOKUP($A22,Actions!$F$1:$AQ$70,21,0)-VLOOKUP($A22,Actions!$F$1:$AQ$70,20,0)),0)</f>
        <v>0</v>
      </c>
      <c r="BE22" s="1353">
        <f ca="1">IF(BC22&lt;&gt;"",IF(VLOOKUP($A22,Actions!$F$1:$AQ$70,34,0)="Commune",(VLOOKUP($A22,Actions!$F$1:$AQ$70,24,0)-VLOOKUP($A22,Actions!$F$1:$AQ$70,26,0))/(1+VLOOKUP($A22,Actions!$F$1:$AQ$70,21,0)-VLOOKUP($A22,Actions!$F$1:$AQ$70,20,0)),0),0)</f>
        <v>0</v>
      </c>
      <c r="BF22" s="1353">
        <f ca="1">IF(AY22="",BB22,IF(AND(BC22="",AY22&lt;&gt;""),VLOOKUP($A22,Actions!$F$1:$AQ$70,31,0),0))</f>
        <v>0</v>
      </c>
      <c r="BG22" s="1355">
        <f t="shared" ca="1" si="0"/>
        <v>0</v>
      </c>
      <c r="BH22" s="201">
        <f ca="1">VLOOKUP(B22,Actions!G15:AC84,18,0)-VLOOKUP(B22,Actions!G15:AE84,20,0)</f>
        <v>0</v>
      </c>
      <c r="BI22" s="233"/>
      <c r="BJ22" s="233"/>
      <c r="BK22" s="233"/>
      <c r="BL22" s="233"/>
      <c r="BM22" s="233"/>
      <c r="BN22" s="233"/>
      <c r="BO22" s="233"/>
    </row>
    <row r="23" spans="1:67">
      <c r="A23" s="1349">
        <f>Actions!F17</f>
        <v>16</v>
      </c>
      <c r="B23" s="1352">
        <f ca="1">Actions!G17</f>
        <v>0</v>
      </c>
      <c r="C23" s="1353" t="str">
        <f ca="1">IF(OR(AND(Actions!Y17&gt;0,Actions!Y17&lt;=$C$7,Actions!Z17&gt;=$C$7),AND(Actions!Y17&gt;0,Actions!Y17&lt;=$C$7,Actions!Z17&lt;Actions!Y17),AND(Actions!Y17=0,Actions!Z17&gt;=$C$7)),Actions!$AA17,"")</f>
        <v/>
      </c>
      <c r="D23" s="1353">
        <f ca="1">IF(C23&lt;&gt;"",VLOOKUP($A23,Actions!$F$1:$AQ$70,38,0)/(1+VLOOKUP($A23,Actions!$F$1:$AQ$70,21,0)-VLOOKUP($A23,Actions!$F$1:$AQ$70,20,0)),0)</f>
        <v>0</v>
      </c>
      <c r="E23" s="1353">
        <f ca="1">IF(C23&lt;&gt;"",IF(VLOOKUP($A23,Actions!$F$1:$AQ$70,34,0)="Commune",(VLOOKUP($A23,Actions!$F$1:$AQ$70,24,0)-VLOOKUP($A23,Actions!$F$1:$AQ$70,26,0))/(1+VLOOKUP($A23,Actions!$F$1:$AQ$70,21,0)-VLOOKUP($A23,Actions!$F$1:$AQ$70,20,0)),0),0)</f>
        <v>0</v>
      </c>
      <c r="F23" s="1353">
        <v>0</v>
      </c>
      <c r="G23" s="1354" t="str">
        <f ca="1">IF(OR(Actions!$Y17=G$7,AND(Actions!$Y17&lt;=G$7,Actions!$Z17&gt;=G$7)),Actions!$AA17,"")</f>
        <v/>
      </c>
      <c r="H23" s="1353">
        <f ca="1">IF(G23&lt;&gt;"",VLOOKUP($A23,Actions!$F$1:$AQ$70,38,0)/(1+VLOOKUP($A23,Actions!$F$1:$AQ$70,21,0)-VLOOKUP($A23,Actions!$F$1:$AQ$70,20,0)),0)</f>
        <v>0</v>
      </c>
      <c r="I23" s="1353">
        <f ca="1">IF(G23&lt;&gt;"",IF(VLOOKUP($A23,Actions!$F$1:$AQ$70,34,0)="Commune",(VLOOKUP($A23,Actions!$F$1:$AQ$70,24,0)-VLOOKUP($A23,Actions!$F$1:$AQ$70,26,0))/(1+VLOOKUP($A23,Actions!$F$1:$AQ$70,21,0)-VLOOKUP($A23,Actions!$F$1:$AQ$70,20,0)),0),0)</f>
        <v>0</v>
      </c>
      <c r="J23" s="1353">
        <f ca="1">IF(C23="",F23,IF(AND(G23="",C23&lt;&gt;""),VLOOKUP($A23,Actions!$F$1:$AQ$70,31,0),0))</f>
        <v>0</v>
      </c>
      <c r="K23" s="1354" t="str">
        <f ca="1">IF(OR(Actions!$Y17=K$7,AND(Actions!$Y17&lt;=K$7,Actions!$Z17&gt;=K$7)),Actions!$AA17,"")</f>
        <v/>
      </c>
      <c r="L23" s="1353">
        <f ca="1">IF(K23&lt;&gt;"",VLOOKUP($A23,Actions!$F$1:$AQ$70,38,0)/(1+VLOOKUP($A23,Actions!$F$1:$AQ$70,21,0)-VLOOKUP($A23,Actions!$F$1:$AQ$70,20,0)),0)</f>
        <v>0</v>
      </c>
      <c r="M23" s="1353">
        <f ca="1">IF(K23&lt;&gt;"",IF(VLOOKUP($A23,Actions!$F$1:$AQ$70,34,0)="Commune",(VLOOKUP($A23,Actions!$F$1:$AQ$70,24,0)-VLOOKUP($A23,Actions!$F$1:$AQ$70,26,0))/(1+VLOOKUP($A23,Actions!$F$1:$AQ$70,21,0)-VLOOKUP($A23,Actions!$F$1:$AQ$70,20,0)),0),0)</f>
        <v>0</v>
      </c>
      <c r="N23" s="1353">
        <f ca="1">IF(G23="",J23,IF(AND(K23="",G23&lt;&gt;""),VLOOKUP($A23,Actions!$F$1:$AQ$70,31,0),0))</f>
        <v>0</v>
      </c>
      <c r="O23" s="1354" t="str">
        <f ca="1">IF(OR(Actions!$Y17=O$7,AND(Actions!$Y17&lt;=O$7,Actions!$Z17&gt;=O$7)),Actions!$AA17,"")</f>
        <v/>
      </c>
      <c r="P23" s="1353">
        <f ca="1">IF(O23&lt;&gt;"",VLOOKUP($A23,Actions!$F$1:$AQ$70,38,0)/(1+VLOOKUP($A23,Actions!$F$1:$AQ$70,21,0)-VLOOKUP($A23,Actions!$F$1:$AQ$70,20,0)),0)</f>
        <v>0</v>
      </c>
      <c r="Q23" s="1353">
        <f ca="1">IF(O23&lt;&gt;"",IF(VLOOKUP($A23,Actions!$F$1:$AQ$70,34,0)="Commune",(VLOOKUP($A23,Actions!$F$1:$AQ$70,24,0)-VLOOKUP($A23,Actions!$F$1:$AQ$70,26,0))/(1+VLOOKUP($A23,Actions!$F$1:$AQ$70,21,0)-VLOOKUP($A23,Actions!$F$1:$AQ$70,20,0)),0),0)</f>
        <v>0</v>
      </c>
      <c r="R23" s="1353">
        <f ca="1">IF(K23="",N23,IF(AND(O23="",K23&lt;&gt;""),VLOOKUP($A23,Actions!$F$1:$AQ$70,31,0),0))</f>
        <v>0</v>
      </c>
      <c r="S23" s="1354" t="str">
        <f ca="1">IF(OR(Actions!$Y17=S$7,AND(Actions!$Y17&lt;=S$7,Actions!$Z17&gt;=S$7)),Actions!$AA17,"")</f>
        <v/>
      </c>
      <c r="T23" s="1353">
        <f ca="1">IF(S23&lt;&gt;"",VLOOKUP($A23,Actions!$F$1:$AQ$70,38,0)/(1+VLOOKUP($A23,Actions!$F$1:$AQ$70,21,0)-VLOOKUP($A23,Actions!$F$1:$AQ$70,20,0)),0)</f>
        <v>0</v>
      </c>
      <c r="U23" s="1353">
        <f ca="1">IF(S23&lt;&gt;"",IF(VLOOKUP($A23,Actions!$F$1:$AQ$70,34,0)="Commune",(VLOOKUP($A23,Actions!$F$1:$AQ$70,24,0)-VLOOKUP($A23,Actions!$F$1:$AQ$70,26,0))/(1+VLOOKUP($A23,Actions!$F$1:$AQ$70,21,0)-VLOOKUP($A23,Actions!$F$1:$AQ$70,20,0)),0),0)</f>
        <v>0</v>
      </c>
      <c r="V23" s="1353">
        <f ca="1">IF(O23="",R23,IF(AND(S23="",O23&lt;&gt;""),VLOOKUP($A23,Actions!$F$1:$AQ$70,31,0),0))</f>
        <v>0</v>
      </c>
      <c r="W23" s="1354" t="str">
        <f ca="1">IF(OR(Actions!$Y17=W$7,AND(Actions!$Y17&lt;=W$7,Actions!$Z17&gt;=W$7)),Actions!$AA17,"")</f>
        <v/>
      </c>
      <c r="X23" s="1353">
        <f ca="1">IF(W23&lt;&gt;"",VLOOKUP($A23,Actions!$F$1:$AQ$70,38,0)/(1+VLOOKUP($A23,Actions!$F$1:$AQ$70,21,0)-VLOOKUP($A23,Actions!$F$1:$AQ$70,20,0)),0)</f>
        <v>0</v>
      </c>
      <c r="Y23" s="1353">
        <f ca="1">IF(W23&lt;&gt;"",IF(VLOOKUP($A23,Actions!$F$1:$AQ$70,34,0)="Commune",(VLOOKUP($A23,Actions!$F$1:$AQ$70,24,0)-VLOOKUP($A23,Actions!$F$1:$AQ$70,26,0))/(1+VLOOKUP($A23,Actions!$F$1:$AQ$70,21,0)-VLOOKUP($A23,Actions!$F$1:$AQ$70,20,0)),0),0)</f>
        <v>0</v>
      </c>
      <c r="Z23" s="1353">
        <f ca="1">IF(S23="",V23,IF(AND(W23="",S23&lt;&gt;""),VLOOKUP($A23,Actions!$F$1:$AQ$70,31,0),0))</f>
        <v>0</v>
      </c>
      <c r="AA23" s="1354" t="str">
        <f ca="1">IF(OR(Actions!$Y17=AA$7,AND(Actions!$Y17&lt;=AA$7,Actions!$Z17&gt;=AA$7)),Actions!$AA17,"")</f>
        <v/>
      </c>
      <c r="AB23" s="1353">
        <f ca="1">IF(AA23&lt;&gt;"",VLOOKUP($A23,Actions!$F$1:$AQ$70,38,0)/(1+VLOOKUP($A23,Actions!$F$1:$AQ$70,21,0)-VLOOKUP($A23,Actions!$F$1:$AQ$70,20,0)),0)</f>
        <v>0</v>
      </c>
      <c r="AC23" s="1353">
        <f ca="1">IF(AA23&lt;&gt;"",IF(VLOOKUP($A23,Actions!$F$1:$AQ$70,34,0)="Commune",(VLOOKUP($A23,Actions!$F$1:$AQ$70,24,0)-VLOOKUP($A23,Actions!$F$1:$AQ$70,26,0))/(1+VLOOKUP($A23,Actions!$F$1:$AQ$70,21,0)-VLOOKUP($A23,Actions!$F$1:$AQ$70,20,0)),0),0)</f>
        <v>0</v>
      </c>
      <c r="AD23" s="1353">
        <f ca="1">IF(W23="",Z23,IF(AND(AA23="",W23&lt;&gt;""),VLOOKUP($A23,Actions!$F$1:$AQ$70,31,0),0))</f>
        <v>0</v>
      </c>
      <c r="AE23" s="1354" t="str">
        <f ca="1">IF(OR(Actions!$Y17=AE$7,AND(Actions!$Y17&lt;=AE$7,Actions!$Z17&gt;=AE$7)),Actions!$AA17,"")</f>
        <v/>
      </c>
      <c r="AF23" s="1353">
        <f ca="1">IF(AE23&lt;&gt;"",VLOOKUP($A23,Actions!$F$1:$AQ$70,38,0)/(1+VLOOKUP($A23,Actions!$F$1:$AQ$70,21,0)-VLOOKUP($A23,Actions!$F$1:$AQ$70,20,0)),0)</f>
        <v>0</v>
      </c>
      <c r="AG23" s="1353">
        <f ca="1">IF(AE23&lt;&gt;"",IF(VLOOKUP($A23,Actions!$F$1:$AQ$70,34,0)="Commune",(VLOOKUP($A23,Actions!$F$1:$AQ$70,24,0)-VLOOKUP($A23,Actions!$F$1:$AQ$70,26,0))/(1+VLOOKUP($A23,Actions!$F$1:$AQ$70,21,0)-VLOOKUP($A23,Actions!$F$1:$AQ$70,20,0)),0),0)</f>
        <v>0</v>
      </c>
      <c r="AH23" s="1353">
        <f ca="1">IF(AA23="",AD23,IF(AND(AE23="",AA23&lt;&gt;""),VLOOKUP($A23,Actions!$F$1:$AQ$70,31,0),0))</f>
        <v>0</v>
      </c>
      <c r="AI23" s="1354" t="str">
        <f ca="1">IF(OR(Actions!$Y17=AI$7,AND(Actions!$Y17&lt;=AI$7,Actions!$Z17&gt;=AI$7)),Actions!$AA17,"")</f>
        <v/>
      </c>
      <c r="AJ23" s="1353">
        <f ca="1">IF(AI23&lt;&gt;"",VLOOKUP($A23,Actions!$F$1:$AQ$70,38,0)/(1+VLOOKUP($A23,Actions!$F$1:$AQ$70,21,0)-VLOOKUP($A23,Actions!$F$1:$AQ$70,20,0)),0)</f>
        <v>0</v>
      </c>
      <c r="AK23" s="1353">
        <f ca="1">IF(AI23&lt;&gt;"",IF(VLOOKUP($A23,Actions!$F$1:$AQ$70,34,0)="Commune",(VLOOKUP($A23,Actions!$F$1:$AQ$70,24,0)-VLOOKUP($A23,Actions!$F$1:$AQ$70,26,0))/(1+VLOOKUP($A23,Actions!$F$1:$AQ$70,21,0)-VLOOKUP($A23,Actions!$F$1:$AQ$70,20,0)),0),0)</f>
        <v>0</v>
      </c>
      <c r="AL23" s="1353">
        <f ca="1">IF(AE23="",AH23,IF(AND(AI23="",AE23&lt;&gt;""),VLOOKUP($A23,Actions!$F$1:$AQ$70,31,0),0))</f>
        <v>0</v>
      </c>
      <c r="AM23" s="1354" t="str">
        <f ca="1">IF(OR(Actions!$Y17=AM$7,AND(Actions!$Y17&lt;=AM$7,Actions!$Z17&gt;=AM$7)),Actions!$AA17,"")</f>
        <v/>
      </c>
      <c r="AN23" s="1353">
        <f ca="1">IF(AM23&lt;&gt;"",VLOOKUP($A23,Actions!$F$1:$AQ$70,38,0)/(1+VLOOKUP($A23,Actions!$F$1:$AQ$70,21,0)-VLOOKUP($A23,Actions!$F$1:$AQ$70,20,0)),0)</f>
        <v>0</v>
      </c>
      <c r="AO23" s="1353">
        <f ca="1">IF(AM23&lt;&gt;"",IF(VLOOKUP($A23,Actions!$F$1:$AQ$70,34,0)="Commune",(VLOOKUP($A23,Actions!$F$1:$AQ$70,24,0)-VLOOKUP($A23,Actions!$F$1:$AQ$70,26,0))/(1+VLOOKUP($A23,Actions!$F$1:$AQ$70,21,0)-VLOOKUP($A23,Actions!$F$1:$AQ$70,20,0)),0),0)</f>
        <v>0</v>
      </c>
      <c r="AP23" s="1353">
        <f ca="1">IF(AI23="",AL23,IF(AND(AM23="",AI23&lt;&gt;""),VLOOKUP($A23,Actions!$F$1:$AQ$70,31,0),0))</f>
        <v>0</v>
      </c>
      <c r="AQ23" s="1354" t="str">
        <f ca="1">IF(OR(Actions!$Y17=AQ$7,AND(Actions!$Y17&lt;=AQ$7,Actions!$Z17&gt;=AQ$7)),Actions!$AA17,"")</f>
        <v/>
      </c>
      <c r="AR23" s="1353">
        <f ca="1">IF(AQ23&lt;&gt;"",VLOOKUP($A23,Actions!$F$1:$AQ$70,38,0)/(1+VLOOKUP($A23,Actions!$F$1:$AQ$70,21,0)-VLOOKUP($A23,Actions!$F$1:$AQ$70,20,0)),0)</f>
        <v>0</v>
      </c>
      <c r="AS23" s="1353">
        <f ca="1">IF(AQ23&lt;&gt;"",IF(VLOOKUP($A23,Actions!$F$1:$AQ$70,34,0)="Commune",(VLOOKUP($A23,Actions!$F$1:$AQ$70,24,0)-VLOOKUP($A23,Actions!$F$1:$AQ$70,26,0))/(1+VLOOKUP($A23,Actions!$F$1:$AQ$70,21,0)-VLOOKUP($A23,Actions!$F$1:$AQ$70,20,0)),0),0)</f>
        <v>0</v>
      </c>
      <c r="AT23" s="1353">
        <f ca="1">IF(AM23="",AP23,IF(AND(AQ23="",AM23&lt;&gt;""),VLOOKUP($A23,Actions!$F$1:$AQ$70,31,0),0))</f>
        <v>0</v>
      </c>
      <c r="AU23" s="1354" t="str">
        <f ca="1">IF(OR(Actions!$Y17=AU$7,AND(Actions!$Y17&lt;=AU$7,Actions!$Z17&gt;=AU$7)),Actions!$AA17,"")</f>
        <v/>
      </c>
      <c r="AV23" s="1353">
        <f ca="1">IF(AU23&lt;&gt;"",VLOOKUP($A23,Actions!$F$1:$AQ$70,38,0)/(1+VLOOKUP($A23,Actions!$F$1:$AQ$70,21,0)-VLOOKUP($A23,Actions!$F$1:$AQ$70,20,0)),0)</f>
        <v>0</v>
      </c>
      <c r="AW23" s="1353">
        <f ca="1">IF(AU23&lt;&gt;"",IF(VLOOKUP($A23,Actions!$F$1:$AQ$70,34,0)="Commune",(VLOOKUP($A23,Actions!$F$1:$AQ$70,24,0)-VLOOKUP($A23,Actions!$F$1:$AQ$70,26,0))/(1+VLOOKUP($A23,Actions!$F$1:$AQ$70,21,0)-VLOOKUP($A23,Actions!$F$1:$AQ$70,20,0)),0),0)</f>
        <v>0</v>
      </c>
      <c r="AX23" s="1353">
        <f ca="1">IF(AQ23="",AT23,IF(AND(AU23="",AQ23&lt;&gt;""),VLOOKUP($A23,Actions!$F$1:$AQ$70,31,0),0))</f>
        <v>0</v>
      </c>
      <c r="AY23" s="1354" t="str">
        <f ca="1">IF(OR(Actions!$Y17=AY$7,AND(Actions!$Y17&lt;=AY$7,Actions!$Z17&gt;=AY$7)),Actions!$AA17,"")</f>
        <v/>
      </c>
      <c r="AZ23" s="1353">
        <f ca="1">IF(AY23&lt;&gt;"",VLOOKUP($A23,Actions!$F$1:$AQ$70,38,0)/(1+VLOOKUP($A23,Actions!$F$1:$AQ$70,21,0)-VLOOKUP($A23,Actions!$F$1:$AQ$70,20,0)),0)</f>
        <v>0</v>
      </c>
      <c r="BA23" s="1353">
        <f ca="1">IF(AY23&lt;&gt;"",IF(VLOOKUP($A23,Actions!$F$1:$AQ$70,34,0)="Commune",(VLOOKUP($A23,Actions!$F$1:$AQ$70,24,0)-VLOOKUP($A23,Actions!$F$1:$AQ$70,26,0))/(1+VLOOKUP($A23,Actions!$F$1:$AQ$70,21,0)-VLOOKUP($A23,Actions!$F$1:$AQ$70,20,0)),0),0)</f>
        <v>0</v>
      </c>
      <c r="BB23" s="1353">
        <f ca="1">IF(AU23="",AX23,IF(AND(AY23="",AU23&lt;&gt;""),VLOOKUP($A23,Actions!$F$1:$AQ$70,31,0),0))</f>
        <v>0</v>
      </c>
      <c r="BC23" s="1354" t="str">
        <f ca="1">IF(OR(Actions!$Y17=BC$7,AND(Actions!$Y17&lt;=BC$7,Actions!$Z17&gt;=BC$7)),Actions!$AA17,"")</f>
        <v/>
      </c>
      <c r="BD23" s="1353">
        <f ca="1">IF(BC23&lt;&gt;"",VLOOKUP($A23,Actions!$F$1:$AQ$70,38,0)/(1+VLOOKUP($A23,Actions!$F$1:$AQ$70,21,0)-VLOOKUP($A23,Actions!$F$1:$AQ$70,20,0)),0)</f>
        <v>0</v>
      </c>
      <c r="BE23" s="1353">
        <f ca="1">IF(BC23&lt;&gt;"",IF(VLOOKUP($A23,Actions!$F$1:$AQ$70,34,0)="Commune",(VLOOKUP($A23,Actions!$F$1:$AQ$70,24,0)-VLOOKUP($A23,Actions!$F$1:$AQ$70,26,0))/(1+VLOOKUP($A23,Actions!$F$1:$AQ$70,21,0)-VLOOKUP($A23,Actions!$F$1:$AQ$70,20,0)),0),0)</f>
        <v>0</v>
      </c>
      <c r="BF23" s="1353">
        <f ca="1">IF(AY23="",BB23,IF(AND(BC23="",AY23&lt;&gt;""),VLOOKUP($A23,Actions!$F$1:$AQ$70,31,0),0))</f>
        <v>0</v>
      </c>
      <c r="BG23" s="1355">
        <f t="shared" ca="1" si="0"/>
        <v>0</v>
      </c>
      <c r="BH23" s="201">
        <f ca="1">VLOOKUP(B23,Actions!G16:AC85,18,0)-VLOOKUP(B23,Actions!G16:AE85,20,0)</f>
        <v>0</v>
      </c>
      <c r="BI23" s="233"/>
      <c r="BJ23" s="233"/>
      <c r="BK23" s="233"/>
      <c r="BL23" s="233"/>
      <c r="BM23" s="233"/>
      <c r="BN23" s="233"/>
      <c r="BO23" s="233"/>
    </row>
    <row r="24" spans="1:67">
      <c r="A24" s="1349">
        <f>Actions!F18</f>
        <v>17</v>
      </c>
      <c r="B24" s="1352">
        <f ca="1">Actions!G18</f>
        <v>0</v>
      </c>
      <c r="C24" s="1353" t="str">
        <f ca="1">IF(OR(AND(Actions!Y18&gt;0,Actions!Y18&lt;=$C$7,Actions!Z18&gt;=$C$7),AND(Actions!Y18&gt;0,Actions!Y18&lt;=$C$7,Actions!Z18&lt;Actions!Y18),AND(Actions!Y18=0,Actions!Z18&gt;=$C$7)),Actions!$AA18,"")</f>
        <v/>
      </c>
      <c r="D24" s="1353">
        <f ca="1">IF(C24&lt;&gt;"",VLOOKUP($A24,Actions!$F$1:$AQ$70,38,0)/(1+VLOOKUP($A24,Actions!$F$1:$AQ$70,21,0)-VLOOKUP($A24,Actions!$F$1:$AQ$70,20,0)),0)</f>
        <v>0</v>
      </c>
      <c r="E24" s="1353">
        <f ca="1">IF(C24&lt;&gt;"",IF(VLOOKUP($A24,Actions!$F$1:$AQ$70,34,0)="Commune",(VLOOKUP($A24,Actions!$F$1:$AQ$70,24,0)-VLOOKUP($A24,Actions!$F$1:$AQ$70,26,0))/(1+VLOOKUP($A24,Actions!$F$1:$AQ$70,21,0)-VLOOKUP($A24,Actions!$F$1:$AQ$70,20,0)),0),0)</f>
        <v>0</v>
      </c>
      <c r="F24" s="1353">
        <v>0</v>
      </c>
      <c r="G24" s="1354" t="str">
        <f ca="1">IF(OR(Actions!$Y18=G$7,AND(Actions!$Y18&lt;=G$7,Actions!$Z18&gt;=G$7)),Actions!$AA18,"")</f>
        <v/>
      </c>
      <c r="H24" s="1353">
        <f ca="1">IF(G24&lt;&gt;"",VLOOKUP($A24,Actions!$F$1:$AQ$70,38,0)/(1+VLOOKUP($A24,Actions!$F$1:$AQ$70,21,0)-VLOOKUP($A24,Actions!$F$1:$AQ$70,20,0)),0)</f>
        <v>0</v>
      </c>
      <c r="I24" s="1353">
        <f ca="1">IF(G24&lt;&gt;"",IF(VLOOKUP($A24,Actions!$F$1:$AQ$70,34,0)="Commune",(VLOOKUP($A24,Actions!$F$1:$AQ$70,24,0)-VLOOKUP($A24,Actions!$F$1:$AQ$70,26,0))/(1+VLOOKUP($A24,Actions!$F$1:$AQ$70,21,0)-VLOOKUP($A24,Actions!$F$1:$AQ$70,20,0)),0),0)</f>
        <v>0</v>
      </c>
      <c r="J24" s="1353">
        <f ca="1">IF(C24="",F24,IF(AND(G24="",C24&lt;&gt;""),VLOOKUP($A24,Actions!$F$1:$AQ$70,31,0),0))</f>
        <v>0</v>
      </c>
      <c r="K24" s="1354" t="str">
        <f ca="1">IF(OR(Actions!$Y18=K$7,AND(Actions!$Y18&lt;=K$7,Actions!$Z18&gt;=K$7)),Actions!$AA18,"")</f>
        <v/>
      </c>
      <c r="L24" s="1353">
        <f ca="1">IF(K24&lt;&gt;"",VLOOKUP($A24,Actions!$F$1:$AQ$70,38,0)/(1+VLOOKUP($A24,Actions!$F$1:$AQ$70,21,0)-VLOOKUP($A24,Actions!$F$1:$AQ$70,20,0)),0)</f>
        <v>0</v>
      </c>
      <c r="M24" s="1353">
        <f ca="1">IF(K24&lt;&gt;"",IF(VLOOKUP($A24,Actions!$F$1:$AQ$70,34,0)="Commune",(VLOOKUP($A24,Actions!$F$1:$AQ$70,24,0)-VLOOKUP($A24,Actions!$F$1:$AQ$70,26,0))/(1+VLOOKUP($A24,Actions!$F$1:$AQ$70,21,0)-VLOOKUP($A24,Actions!$F$1:$AQ$70,20,0)),0),0)</f>
        <v>0</v>
      </c>
      <c r="N24" s="1353">
        <f ca="1">IF(G24="",J24,IF(AND(K24="",G24&lt;&gt;""),VLOOKUP($A24,Actions!$F$1:$AQ$70,31,0),0))</f>
        <v>0</v>
      </c>
      <c r="O24" s="1354" t="str">
        <f ca="1">IF(OR(Actions!$Y18=O$7,AND(Actions!$Y18&lt;=O$7,Actions!$Z18&gt;=O$7)),Actions!$AA18,"")</f>
        <v/>
      </c>
      <c r="P24" s="1353">
        <f ca="1">IF(O24&lt;&gt;"",VLOOKUP($A24,Actions!$F$1:$AQ$70,38,0)/(1+VLOOKUP($A24,Actions!$F$1:$AQ$70,21,0)-VLOOKUP($A24,Actions!$F$1:$AQ$70,20,0)),0)</f>
        <v>0</v>
      </c>
      <c r="Q24" s="1353">
        <f ca="1">IF(O24&lt;&gt;"",IF(VLOOKUP($A24,Actions!$F$1:$AQ$70,34,0)="Commune",(VLOOKUP($A24,Actions!$F$1:$AQ$70,24,0)-VLOOKUP($A24,Actions!$F$1:$AQ$70,26,0))/(1+VLOOKUP($A24,Actions!$F$1:$AQ$70,21,0)-VLOOKUP($A24,Actions!$F$1:$AQ$70,20,0)),0),0)</f>
        <v>0</v>
      </c>
      <c r="R24" s="1353">
        <f ca="1">IF(K24="",N24,IF(AND(O24="",K24&lt;&gt;""),VLOOKUP($A24,Actions!$F$1:$AQ$70,31,0),0))</f>
        <v>0</v>
      </c>
      <c r="S24" s="1354" t="str">
        <f ca="1">IF(OR(Actions!$Y18=S$7,AND(Actions!$Y18&lt;=S$7,Actions!$Z18&gt;=S$7)),Actions!$AA18,"")</f>
        <v/>
      </c>
      <c r="T24" s="1353">
        <f ca="1">IF(S24&lt;&gt;"",VLOOKUP($A24,Actions!$F$1:$AQ$70,38,0)/(1+VLOOKUP($A24,Actions!$F$1:$AQ$70,21,0)-VLOOKUP($A24,Actions!$F$1:$AQ$70,20,0)),0)</f>
        <v>0</v>
      </c>
      <c r="U24" s="1353">
        <f ca="1">IF(S24&lt;&gt;"",IF(VLOOKUP($A24,Actions!$F$1:$AQ$70,34,0)="Commune",(VLOOKUP($A24,Actions!$F$1:$AQ$70,24,0)-VLOOKUP($A24,Actions!$F$1:$AQ$70,26,0))/(1+VLOOKUP($A24,Actions!$F$1:$AQ$70,21,0)-VLOOKUP($A24,Actions!$F$1:$AQ$70,20,0)),0),0)</f>
        <v>0</v>
      </c>
      <c r="V24" s="1353">
        <f ca="1">IF(O24="",R24,IF(AND(S24="",O24&lt;&gt;""),VLOOKUP($A24,Actions!$F$1:$AQ$70,31,0),0))</f>
        <v>0</v>
      </c>
      <c r="W24" s="1354" t="str">
        <f ca="1">IF(OR(Actions!$Y18=W$7,AND(Actions!$Y18&lt;=W$7,Actions!$Z18&gt;=W$7)),Actions!$AA18,"")</f>
        <v/>
      </c>
      <c r="X24" s="1353">
        <f ca="1">IF(W24&lt;&gt;"",VLOOKUP($A24,Actions!$F$1:$AQ$70,38,0)/(1+VLOOKUP($A24,Actions!$F$1:$AQ$70,21,0)-VLOOKUP($A24,Actions!$F$1:$AQ$70,20,0)),0)</f>
        <v>0</v>
      </c>
      <c r="Y24" s="1353">
        <f ca="1">IF(W24&lt;&gt;"",IF(VLOOKUP($A24,Actions!$F$1:$AQ$70,34,0)="Commune",(VLOOKUP($A24,Actions!$F$1:$AQ$70,24,0)-VLOOKUP($A24,Actions!$F$1:$AQ$70,26,0))/(1+VLOOKUP($A24,Actions!$F$1:$AQ$70,21,0)-VLOOKUP($A24,Actions!$F$1:$AQ$70,20,0)),0),0)</f>
        <v>0</v>
      </c>
      <c r="Z24" s="1353">
        <f ca="1">IF(S24="",V24,IF(AND(W24="",S24&lt;&gt;""),VLOOKUP($A24,Actions!$F$1:$AQ$70,31,0),0))</f>
        <v>0</v>
      </c>
      <c r="AA24" s="1354" t="str">
        <f ca="1">IF(OR(Actions!$Y18=AA$7,AND(Actions!$Y18&lt;=AA$7,Actions!$Z18&gt;=AA$7)),Actions!$AA18,"")</f>
        <v/>
      </c>
      <c r="AB24" s="1353">
        <f ca="1">IF(AA24&lt;&gt;"",VLOOKUP($A24,Actions!$F$1:$AQ$70,38,0)/(1+VLOOKUP($A24,Actions!$F$1:$AQ$70,21,0)-VLOOKUP($A24,Actions!$F$1:$AQ$70,20,0)),0)</f>
        <v>0</v>
      </c>
      <c r="AC24" s="1353">
        <f ca="1">IF(AA24&lt;&gt;"",IF(VLOOKUP($A24,Actions!$F$1:$AQ$70,34,0)="Commune",(VLOOKUP($A24,Actions!$F$1:$AQ$70,24,0)-VLOOKUP($A24,Actions!$F$1:$AQ$70,26,0))/(1+VLOOKUP($A24,Actions!$F$1:$AQ$70,21,0)-VLOOKUP($A24,Actions!$F$1:$AQ$70,20,0)),0),0)</f>
        <v>0</v>
      </c>
      <c r="AD24" s="1353">
        <f ca="1">IF(W24="",Z24,IF(AND(AA24="",W24&lt;&gt;""),VLOOKUP($A24,Actions!$F$1:$AQ$70,31,0),0))</f>
        <v>0</v>
      </c>
      <c r="AE24" s="1354" t="str">
        <f ca="1">IF(OR(Actions!$Y18=AE$7,AND(Actions!$Y18&lt;=AE$7,Actions!$Z18&gt;=AE$7)),Actions!$AA18,"")</f>
        <v/>
      </c>
      <c r="AF24" s="1353">
        <f ca="1">IF(AE24&lt;&gt;"",VLOOKUP($A24,Actions!$F$1:$AQ$70,38,0)/(1+VLOOKUP($A24,Actions!$F$1:$AQ$70,21,0)-VLOOKUP($A24,Actions!$F$1:$AQ$70,20,0)),0)</f>
        <v>0</v>
      </c>
      <c r="AG24" s="1353">
        <f ca="1">IF(AE24&lt;&gt;"",IF(VLOOKUP($A24,Actions!$F$1:$AQ$70,34,0)="Commune",(VLOOKUP($A24,Actions!$F$1:$AQ$70,24,0)-VLOOKUP($A24,Actions!$F$1:$AQ$70,26,0))/(1+VLOOKUP($A24,Actions!$F$1:$AQ$70,21,0)-VLOOKUP($A24,Actions!$F$1:$AQ$70,20,0)),0),0)</f>
        <v>0</v>
      </c>
      <c r="AH24" s="1353">
        <f ca="1">IF(AA24="",AD24,IF(AND(AE24="",AA24&lt;&gt;""),VLOOKUP($A24,Actions!$F$1:$AQ$70,31,0),0))</f>
        <v>0</v>
      </c>
      <c r="AI24" s="1354" t="str">
        <f ca="1">IF(OR(Actions!$Y18=AI$7,AND(Actions!$Y18&lt;=AI$7,Actions!$Z18&gt;=AI$7)),Actions!$AA18,"")</f>
        <v/>
      </c>
      <c r="AJ24" s="1353">
        <f ca="1">IF(AI24&lt;&gt;"",VLOOKUP($A24,Actions!$F$1:$AQ$70,38,0)/(1+VLOOKUP($A24,Actions!$F$1:$AQ$70,21,0)-VLOOKUP($A24,Actions!$F$1:$AQ$70,20,0)),0)</f>
        <v>0</v>
      </c>
      <c r="AK24" s="1353">
        <f ca="1">IF(AI24&lt;&gt;"",IF(VLOOKUP($A24,Actions!$F$1:$AQ$70,34,0)="Commune",(VLOOKUP($A24,Actions!$F$1:$AQ$70,24,0)-VLOOKUP($A24,Actions!$F$1:$AQ$70,26,0))/(1+VLOOKUP($A24,Actions!$F$1:$AQ$70,21,0)-VLOOKUP($A24,Actions!$F$1:$AQ$70,20,0)),0),0)</f>
        <v>0</v>
      </c>
      <c r="AL24" s="1353">
        <f ca="1">IF(AE24="",AH24,IF(AND(AI24="",AE24&lt;&gt;""),VLOOKUP($A24,Actions!$F$1:$AQ$70,31,0),0))</f>
        <v>0</v>
      </c>
      <c r="AM24" s="1354" t="str">
        <f ca="1">IF(OR(Actions!$Y18=AM$7,AND(Actions!$Y18&lt;=AM$7,Actions!$Z18&gt;=AM$7)),Actions!$AA18,"")</f>
        <v/>
      </c>
      <c r="AN24" s="1353">
        <f ca="1">IF(AM24&lt;&gt;"",VLOOKUP($A24,Actions!$F$1:$AQ$70,38,0)/(1+VLOOKUP($A24,Actions!$F$1:$AQ$70,21,0)-VLOOKUP($A24,Actions!$F$1:$AQ$70,20,0)),0)</f>
        <v>0</v>
      </c>
      <c r="AO24" s="1353">
        <f ca="1">IF(AM24&lt;&gt;"",IF(VLOOKUP($A24,Actions!$F$1:$AQ$70,34,0)="Commune",(VLOOKUP($A24,Actions!$F$1:$AQ$70,24,0)-VLOOKUP($A24,Actions!$F$1:$AQ$70,26,0))/(1+VLOOKUP($A24,Actions!$F$1:$AQ$70,21,0)-VLOOKUP($A24,Actions!$F$1:$AQ$70,20,0)),0),0)</f>
        <v>0</v>
      </c>
      <c r="AP24" s="1353">
        <f ca="1">IF(AI24="",AL24,IF(AND(AM24="",AI24&lt;&gt;""),VLOOKUP($A24,Actions!$F$1:$AQ$70,31,0),0))</f>
        <v>0</v>
      </c>
      <c r="AQ24" s="1354" t="str">
        <f ca="1">IF(OR(Actions!$Y18=AQ$7,AND(Actions!$Y18&lt;=AQ$7,Actions!$Z18&gt;=AQ$7)),Actions!$AA18,"")</f>
        <v/>
      </c>
      <c r="AR24" s="1353">
        <f ca="1">IF(AQ24&lt;&gt;"",VLOOKUP($A24,Actions!$F$1:$AQ$70,38,0)/(1+VLOOKUP($A24,Actions!$F$1:$AQ$70,21,0)-VLOOKUP($A24,Actions!$F$1:$AQ$70,20,0)),0)</f>
        <v>0</v>
      </c>
      <c r="AS24" s="1353">
        <f ca="1">IF(AQ24&lt;&gt;"",IF(VLOOKUP($A24,Actions!$F$1:$AQ$70,34,0)="Commune",(VLOOKUP($A24,Actions!$F$1:$AQ$70,24,0)-VLOOKUP($A24,Actions!$F$1:$AQ$70,26,0))/(1+VLOOKUP($A24,Actions!$F$1:$AQ$70,21,0)-VLOOKUP($A24,Actions!$F$1:$AQ$70,20,0)),0),0)</f>
        <v>0</v>
      </c>
      <c r="AT24" s="1353">
        <f ca="1">IF(AM24="",AP24,IF(AND(AQ24="",AM24&lt;&gt;""),VLOOKUP($A24,Actions!$F$1:$AQ$70,31,0),0))</f>
        <v>0</v>
      </c>
      <c r="AU24" s="1354" t="str">
        <f ca="1">IF(OR(Actions!$Y18=AU$7,AND(Actions!$Y18&lt;=AU$7,Actions!$Z18&gt;=AU$7)),Actions!$AA18,"")</f>
        <v/>
      </c>
      <c r="AV24" s="1353">
        <f ca="1">IF(AU24&lt;&gt;"",VLOOKUP($A24,Actions!$F$1:$AQ$70,38,0)/(1+VLOOKUP($A24,Actions!$F$1:$AQ$70,21,0)-VLOOKUP($A24,Actions!$F$1:$AQ$70,20,0)),0)</f>
        <v>0</v>
      </c>
      <c r="AW24" s="1353">
        <f ca="1">IF(AU24&lt;&gt;"",IF(VLOOKUP($A24,Actions!$F$1:$AQ$70,34,0)="Commune",(VLOOKUP($A24,Actions!$F$1:$AQ$70,24,0)-VLOOKUP($A24,Actions!$F$1:$AQ$70,26,0))/(1+VLOOKUP($A24,Actions!$F$1:$AQ$70,21,0)-VLOOKUP($A24,Actions!$F$1:$AQ$70,20,0)),0),0)</f>
        <v>0</v>
      </c>
      <c r="AX24" s="1353">
        <f ca="1">IF(AQ24="",AT24,IF(AND(AU24="",AQ24&lt;&gt;""),VLOOKUP($A24,Actions!$F$1:$AQ$70,31,0),0))</f>
        <v>0</v>
      </c>
      <c r="AY24" s="1354" t="str">
        <f ca="1">IF(OR(Actions!$Y18=AY$7,AND(Actions!$Y18&lt;=AY$7,Actions!$Z18&gt;=AY$7)),Actions!$AA18,"")</f>
        <v/>
      </c>
      <c r="AZ24" s="1353">
        <f ca="1">IF(AY24&lt;&gt;"",VLOOKUP($A24,Actions!$F$1:$AQ$70,38,0)/(1+VLOOKUP($A24,Actions!$F$1:$AQ$70,21,0)-VLOOKUP($A24,Actions!$F$1:$AQ$70,20,0)),0)</f>
        <v>0</v>
      </c>
      <c r="BA24" s="1353">
        <f ca="1">IF(AY24&lt;&gt;"",IF(VLOOKUP($A24,Actions!$F$1:$AQ$70,34,0)="Commune",(VLOOKUP($A24,Actions!$F$1:$AQ$70,24,0)-VLOOKUP($A24,Actions!$F$1:$AQ$70,26,0))/(1+VLOOKUP($A24,Actions!$F$1:$AQ$70,21,0)-VLOOKUP($A24,Actions!$F$1:$AQ$70,20,0)),0),0)</f>
        <v>0</v>
      </c>
      <c r="BB24" s="1353">
        <f ca="1">IF(AU24="",AX24,IF(AND(AY24="",AU24&lt;&gt;""),VLOOKUP($A24,Actions!$F$1:$AQ$70,31,0),0))</f>
        <v>0</v>
      </c>
      <c r="BC24" s="1354" t="str">
        <f ca="1">IF(OR(Actions!$Y18=BC$7,AND(Actions!$Y18&lt;=BC$7,Actions!$Z18&gt;=BC$7)),Actions!$AA18,"")</f>
        <v/>
      </c>
      <c r="BD24" s="1353">
        <f ca="1">IF(BC24&lt;&gt;"",VLOOKUP($A24,Actions!$F$1:$AQ$70,38,0)/(1+VLOOKUP($A24,Actions!$F$1:$AQ$70,21,0)-VLOOKUP($A24,Actions!$F$1:$AQ$70,20,0)),0)</f>
        <v>0</v>
      </c>
      <c r="BE24" s="1353">
        <f ca="1">IF(BC24&lt;&gt;"",IF(VLOOKUP($A24,Actions!$F$1:$AQ$70,34,0)="Commune",(VLOOKUP($A24,Actions!$F$1:$AQ$70,24,0)-VLOOKUP($A24,Actions!$F$1:$AQ$70,26,0))/(1+VLOOKUP($A24,Actions!$F$1:$AQ$70,21,0)-VLOOKUP($A24,Actions!$F$1:$AQ$70,20,0)),0),0)</f>
        <v>0</v>
      </c>
      <c r="BF24" s="1353">
        <f ca="1">IF(AY24="",BB24,IF(AND(BC24="",AY24&lt;&gt;""),VLOOKUP($A24,Actions!$F$1:$AQ$70,31,0),0))</f>
        <v>0</v>
      </c>
      <c r="BG24" s="1355">
        <f t="shared" ca="1" si="0"/>
        <v>0</v>
      </c>
      <c r="BH24" s="201">
        <f ca="1">VLOOKUP(B24,Actions!G17:AC86,18,0)-VLOOKUP(B24,Actions!G17:AE86,20,0)</f>
        <v>0</v>
      </c>
      <c r="BI24" s="233"/>
      <c r="BJ24" s="233"/>
      <c r="BK24" s="233"/>
      <c r="BL24" s="233"/>
      <c r="BM24" s="233"/>
      <c r="BN24" s="233"/>
      <c r="BO24" s="233"/>
    </row>
    <row r="25" spans="1:67">
      <c r="A25" s="1349">
        <f>Actions!F19</f>
        <v>18</v>
      </c>
      <c r="B25" s="1352">
        <f ca="1">Actions!G19</f>
        <v>0</v>
      </c>
      <c r="C25" s="1353" t="str">
        <f ca="1">IF(OR(AND(Actions!Y19&gt;0,Actions!Y19&lt;=$C$7,Actions!Z19&gt;=$C$7),AND(Actions!Y19&gt;0,Actions!Y19&lt;=$C$7,Actions!Z19&lt;Actions!Y19),AND(Actions!Y19=0,Actions!Z19&gt;=$C$7)),Actions!$AA19,"")</f>
        <v/>
      </c>
      <c r="D25" s="1353">
        <f ca="1">IF(C25&lt;&gt;"",VLOOKUP($A25,Actions!$F$1:$AQ$70,38,0)/(1+VLOOKUP($A25,Actions!$F$1:$AQ$70,21,0)-VLOOKUP($A25,Actions!$F$1:$AQ$70,20,0)),0)</f>
        <v>0</v>
      </c>
      <c r="E25" s="1353">
        <f ca="1">IF(C25&lt;&gt;"",IF(VLOOKUP($A25,Actions!$F$1:$AQ$70,34,0)="Commune",(VLOOKUP($A25,Actions!$F$1:$AQ$70,24,0)-VLOOKUP($A25,Actions!$F$1:$AQ$70,26,0))/(1+VLOOKUP($A25,Actions!$F$1:$AQ$70,21,0)-VLOOKUP($A25,Actions!$F$1:$AQ$70,20,0)),0),0)</f>
        <v>0</v>
      </c>
      <c r="F25" s="1353">
        <v>0</v>
      </c>
      <c r="G25" s="1354" t="str">
        <f ca="1">IF(OR(Actions!$Y19=G$7,AND(Actions!$Y19&lt;=G$7,Actions!$Z19&gt;=G$7)),Actions!$AA19,"")</f>
        <v/>
      </c>
      <c r="H25" s="1353">
        <f ca="1">IF(G25&lt;&gt;"",VLOOKUP($A25,Actions!$F$1:$AQ$70,38,0)/(1+VLOOKUP($A25,Actions!$F$1:$AQ$70,21,0)-VLOOKUP($A25,Actions!$F$1:$AQ$70,20,0)),0)</f>
        <v>0</v>
      </c>
      <c r="I25" s="1353">
        <f ca="1">IF(G25&lt;&gt;"",IF(VLOOKUP($A25,Actions!$F$1:$AQ$70,34,0)="Commune",(VLOOKUP($A25,Actions!$F$1:$AQ$70,24,0)-VLOOKUP($A25,Actions!$F$1:$AQ$70,26,0))/(1+VLOOKUP($A25,Actions!$F$1:$AQ$70,21,0)-VLOOKUP($A25,Actions!$F$1:$AQ$70,20,0)),0),0)</f>
        <v>0</v>
      </c>
      <c r="J25" s="1353">
        <f ca="1">IF(C25="",F25,IF(AND(G25="",C25&lt;&gt;""),VLOOKUP($A25,Actions!$F$1:$AQ$70,31,0),0))</f>
        <v>0</v>
      </c>
      <c r="K25" s="1354" t="str">
        <f ca="1">IF(OR(Actions!$Y19=K$7,AND(Actions!$Y19&lt;=K$7,Actions!$Z19&gt;=K$7)),Actions!$AA19,"")</f>
        <v/>
      </c>
      <c r="L25" s="1353">
        <f ca="1">IF(K25&lt;&gt;"",VLOOKUP($A25,Actions!$F$1:$AQ$70,38,0)/(1+VLOOKUP($A25,Actions!$F$1:$AQ$70,21,0)-VLOOKUP($A25,Actions!$F$1:$AQ$70,20,0)),0)</f>
        <v>0</v>
      </c>
      <c r="M25" s="1353">
        <f ca="1">IF(K25&lt;&gt;"",IF(VLOOKUP($A25,Actions!$F$1:$AQ$70,34,0)="Commune",(VLOOKUP($A25,Actions!$F$1:$AQ$70,24,0)-VLOOKUP($A25,Actions!$F$1:$AQ$70,26,0))/(1+VLOOKUP($A25,Actions!$F$1:$AQ$70,21,0)-VLOOKUP($A25,Actions!$F$1:$AQ$70,20,0)),0),0)</f>
        <v>0</v>
      </c>
      <c r="N25" s="1353">
        <f ca="1">IF(G25="",J25,IF(AND(K25="",G25&lt;&gt;""),VLOOKUP($A25,Actions!$F$1:$AQ$70,31,0),0))</f>
        <v>0</v>
      </c>
      <c r="O25" s="1354" t="str">
        <f ca="1">IF(OR(Actions!$Y19=O$7,AND(Actions!$Y19&lt;=O$7,Actions!$Z19&gt;=O$7)),Actions!$AA19,"")</f>
        <v/>
      </c>
      <c r="P25" s="1353">
        <f ca="1">IF(O25&lt;&gt;"",VLOOKUP($A25,Actions!$F$1:$AQ$70,38,0)/(1+VLOOKUP($A25,Actions!$F$1:$AQ$70,21,0)-VLOOKUP($A25,Actions!$F$1:$AQ$70,20,0)),0)</f>
        <v>0</v>
      </c>
      <c r="Q25" s="1353">
        <f ca="1">IF(O25&lt;&gt;"",IF(VLOOKUP($A25,Actions!$F$1:$AQ$70,34,0)="Commune",(VLOOKUP($A25,Actions!$F$1:$AQ$70,24,0)-VLOOKUP($A25,Actions!$F$1:$AQ$70,26,0))/(1+VLOOKUP($A25,Actions!$F$1:$AQ$70,21,0)-VLOOKUP($A25,Actions!$F$1:$AQ$70,20,0)),0),0)</f>
        <v>0</v>
      </c>
      <c r="R25" s="1353">
        <f ca="1">IF(K25="",N25,IF(AND(O25="",K25&lt;&gt;""),VLOOKUP($A25,Actions!$F$1:$AQ$70,31,0),0))</f>
        <v>0</v>
      </c>
      <c r="S25" s="1354" t="str">
        <f ca="1">IF(OR(Actions!$Y19=S$7,AND(Actions!$Y19&lt;=S$7,Actions!$Z19&gt;=S$7)),Actions!$AA19,"")</f>
        <v/>
      </c>
      <c r="T25" s="1353">
        <f ca="1">IF(S25&lt;&gt;"",VLOOKUP($A25,Actions!$F$1:$AQ$70,38,0)/(1+VLOOKUP($A25,Actions!$F$1:$AQ$70,21,0)-VLOOKUP($A25,Actions!$F$1:$AQ$70,20,0)),0)</f>
        <v>0</v>
      </c>
      <c r="U25" s="1353">
        <f ca="1">IF(S25&lt;&gt;"",IF(VLOOKUP($A25,Actions!$F$1:$AQ$70,34,0)="Commune",(VLOOKUP($A25,Actions!$F$1:$AQ$70,24,0)-VLOOKUP($A25,Actions!$F$1:$AQ$70,26,0))/(1+VLOOKUP($A25,Actions!$F$1:$AQ$70,21,0)-VLOOKUP($A25,Actions!$F$1:$AQ$70,20,0)),0),0)</f>
        <v>0</v>
      </c>
      <c r="V25" s="1353">
        <f ca="1">IF(O25="",R25,IF(AND(S25="",O25&lt;&gt;""),VLOOKUP($A25,Actions!$F$1:$AQ$70,31,0),0))</f>
        <v>0</v>
      </c>
      <c r="W25" s="1354" t="str">
        <f ca="1">IF(OR(Actions!$Y19=W$7,AND(Actions!$Y19&lt;=W$7,Actions!$Z19&gt;=W$7)),Actions!$AA19,"")</f>
        <v/>
      </c>
      <c r="X25" s="1353">
        <f ca="1">IF(W25&lt;&gt;"",VLOOKUP($A25,Actions!$F$1:$AQ$70,38,0)/(1+VLOOKUP($A25,Actions!$F$1:$AQ$70,21,0)-VLOOKUP($A25,Actions!$F$1:$AQ$70,20,0)),0)</f>
        <v>0</v>
      </c>
      <c r="Y25" s="1353">
        <f ca="1">IF(W25&lt;&gt;"",IF(VLOOKUP($A25,Actions!$F$1:$AQ$70,34,0)="Commune",(VLOOKUP($A25,Actions!$F$1:$AQ$70,24,0)-VLOOKUP($A25,Actions!$F$1:$AQ$70,26,0))/(1+VLOOKUP($A25,Actions!$F$1:$AQ$70,21,0)-VLOOKUP($A25,Actions!$F$1:$AQ$70,20,0)),0),0)</f>
        <v>0</v>
      </c>
      <c r="Z25" s="1353">
        <f ca="1">IF(S25="",V25,IF(AND(W25="",S25&lt;&gt;""),VLOOKUP($A25,Actions!$F$1:$AQ$70,31,0),0))</f>
        <v>0</v>
      </c>
      <c r="AA25" s="1354" t="str">
        <f ca="1">IF(OR(Actions!$Y19=AA$7,AND(Actions!$Y19&lt;=AA$7,Actions!$Z19&gt;=AA$7)),Actions!$AA19,"")</f>
        <v/>
      </c>
      <c r="AB25" s="1353">
        <f ca="1">IF(AA25&lt;&gt;"",VLOOKUP($A25,Actions!$F$1:$AQ$70,38,0)/(1+VLOOKUP($A25,Actions!$F$1:$AQ$70,21,0)-VLOOKUP($A25,Actions!$F$1:$AQ$70,20,0)),0)</f>
        <v>0</v>
      </c>
      <c r="AC25" s="1353">
        <f ca="1">IF(AA25&lt;&gt;"",IF(VLOOKUP($A25,Actions!$F$1:$AQ$70,34,0)="Commune",(VLOOKUP($A25,Actions!$F$1:$AQ$70,24,0)-VLOOKUP($A25,Actions!$F$1:$AQ$70,26,0))/(1+VLOOKUP($A25,Actions!$F$1:$AQ$70,21,0)-VLOOKUP($A25,Actions!$F$1:$AQ$70,20,0)),0),0)</f>
        <v>0</v>
      </c>
      <c r="AD25" s="1353">
        <f ca="1">IF(W25="",Z25,IF(AND(AA25="",W25&lt;&gt;""),VLOOKUP($A25,Actions!$F$1:$AQ$70,31,0),0))</f>
        <v>0</v>
      </c>
      <c r="AE25" s="1354" t="str">
        <f ca="1">IF(OR(Actions!$Y19=AE$7,AND(Actions!$Y19&lt;=AE$7,Actions!$Z19&gt;=AE$7)),Actions!$AA19,"")</f>
        <v/>
      </c>
      <c r="AF25" s="1353">
        <f ca="1">IF(AE25&lt;&gt;"",VLOOKUP($A25,Actions!$F$1:$AQ$70,38,0)/(1+VLOOKUP($A25,Actions!$F$1:$AQ$70,21,0)-VLOOKUP($A25,Actions!$F$1:$AQ$70,20,0)),0)</f>
        <v>0</v>
      </c>
      <c r="AG25" s="1353">
        <f ca="1">IF(AE25&lt;&gt;"",IF(VLOOKUP($A25,Actions!$F$1:$AQ$70,34,0)="Commune",(VLOOKUP($A25,Actions!$F$1:$AQ$70,24,0)-VLOOKUP($A25,Actions!$F$1:$AQ$70,26,0))/(1+VLOOKUP($A25,Actions!$F$1:$AQ$70,21,0)-VLOOKUP($A25,Actions!$F$1:$AQ$70,20,0)),0),0)</f>
        <v>0</v>
      </c>
      <c r="AH25" s="1353">
        <f ca="1">IF(AA25="",AD25,IF(AND(AE25="",AA25&lt;&gt;""),VLOOKUP($A25,Actions!$F$1:$AQ$70,31,0),0))</f>
        <v>0</v>
      </c>
      <c r="AI25" s="1354" t="str">
        <f ca="1">IF(OR(Actions!$Y19=AI$7,AND(Actions!$Y19&lt;=AI$7,Actions!$Z19&gt;=AI$7)),Actions!$AA19,"")</f>
        <v/>
      </c>
      <c r="AJ25" s="1353">
        <f ca="1">IF(AI25&lt;&gt;"",VLOOKUP($A25,Actions!$F$1:$AQ$70,38,0)/(1+VLOOKUP($A25,Actions!$F$1:$AQ$70,21,0)-VLOOKUP($A25,Actions!$F$1:$AQ$70,20,0)),0)</f>
        <v>0</v>
      </c>
      <c r="AK25" s="1353">
        <f ca="1">IF(AI25&lt;&gt;"",IF(VLOOKUP($A25,Actions!$F$1:$AQ$70,34,0)="Commune",(VLOOKUP($A25,Actions!$F$1:$AQ$70,24,0)-VLOOKUP($A25,Actions!$F$1:$AQ$70,26,0))/(1+VLOOKUP($A25,Actions!$F$1:$AQ$70,21,0)-VLOOKUP($A25,Actions!$F$1:$AQ$70,20,0)),0),0)</f>
        <v>0</v>
      </c>
      <c r="AL25" s="1353">
        <f ca="1">IF(AE25="",AH25,IF(AND(AI25="",AE25&lt;&gt;""),VLOOKUP($A25,Actions!$F$1:$AQ$70,31,0),0))</f>
        <v>0</v>
      </c>
      <c r="AM25" s="1354" t="str">
        <f ca="1">IF(OR(Actions!$Y19=AM$7,AND(Actions!$Y19&lt;=AM$7,Actions!$Z19&gt;=AM$7)),Actions!$AA19,"")</f>
        <v/>
      </c>
      <c r="AN25" s="1353">
        <f ca="1">IF(AM25&lt;&gt;"",VLOOKUP($A25,Actions!$F$1:$AQ$70,38,0)/(1+VLOOKUP($A25,Actions!$F$1:$AQ$70,21,0)-VLOOKUP($A25,Actions!$F$1:$AQ$70,20,0)),0)</f>
        <v>0</v>
      </c>
      <c r="AO25" s="1353">
        <f ca="1">IF(AM25&lt;&gt;"",IF(VLOOKUP($A25,Actions!$F$1:$AQ$70,34,0)="Commune",(VLOOKUP($A25,Actions!$F$1:$AQ$70,24,0)-VLOOKUP($A25,Actions!$F$1:$AQ$70,26,0))/(1+VLOOKUP($A25,Actions!$F$1:$AQ$70,21,0)-VLOOKUP($A25,Actions!$F$1:$AQ$70,20,0)),0),0)</f>
        <v>0</v>
      </c>
      <c r="AP25" s="1353">
        <f ca="1">IF(AI25="",AL25,IF(AND(AM25="",AI25&lt;&gt;""),VLOOKUP($A25,Actions!$F$1:$AQ$70,31,0),0))</f>
        <v>0</v>
      </c>
      <c r="AQ25" s="1354" t="str">
        <f ca="1">IF(OR(Actions!$Y19=AQ$7,AND(Actions!$Y19&lt;=AQ$7,Actions!$Z19&gt;=AQ$7)),Actions!$AA19,"")</f>
        <v/>
      </c>
      <c r="AR25" s="1353">
        <f ca="1">IF(AQ25&lt;&gt;"",VLOOKUP($A25,Actions!$F$1:$AQ$70,38,0)/(1+VLOOKUP($A25,Actions!$F$1:$AQ$70,21,0)-VLOOKUP($A25,Actions!$F$1:$AQ$70,20,0)),0)</f>
        <v>0</v>
      </c>
      <c r="AS25" s="1353">
        <f ca="1">IF(AQ25&lt;&gt;"",IF(VLOOKUP($A25,Actions!$F$1:$AQ$70,34,0)="Commune",(VLOOKUP($A25,Actions!$F$1:$AQ$70,24,0)-VLOOKUP($A25,Actions!$F$1:$AQ$70,26,0))/(1+VLOOKUP($A25,Actions!$F$1:$AQ$70,21,0)-VLOOKUP($A25,Actions!$F$1:$AQ$70,20,0)),0),0)</f>
        <v>0</v>
      </c>
      <c r="AT25" s="1353">
        <f ca="1">IF(AM25="",AP25,IF(AND(AQ25="",AM25&lt;&gt;""),VLOOKUP($A25,Actions!$F$1:$AQ$70,31,0),0))</f>
        <v>0</v>
      </c>
      <c r="AU25" s="1354" t="str">
        <f ca="1">IF(OR(Actions!$Y19=AU$7,AND(Actions!$Y19&lt;=AU$7,Actions!$Z19&gt;=AU$7)),Actions!$AA19,"")</f>
        <v/>
      </c>
      <c r="AV25" s="1353">
        <f ca="1">IF(AU25&lt;&gt;"",VLOOKUP($A25,Actions!$F$1:$AQ$70,38,0)/(1+VLOOKUP($A25,Actions!$F$1:$AQ$70,21,0)-VLOOKUP($A25,Actions!$F$1:$AQ$70,20,0)),0)</f>
        <v>0</v>
      </c>
      <c r="AW25" s="1353">
        <f ca="1">IF(AU25&lt;&gt;"",IF(VLOOKUP($A25,Actions!$F$1:$AQ$70,34,0)="Commune",(VLOOKUP($A25,Actions!$F$1:$AQ$70,24,0)-VLOOKUP($A25,Actions!$F$1:$AQ$70,26,0))/(1+VLOOKUP($A25,Actions!$F$1:$AQ$70,21,0)-VLOOKUP($A25,Actions!$F$1:$AQ$70,20,0)),0),0)</f>
        <v>0</v>
      </c>
      <c r="AX25" s="1353">
        <f ca="1">IF(AQ25="",AT25,IF(AND(AU25="",AQ25&lt;&gt;""),VLOOKUP($A25,Actions!$F$1:$AQ$70,31,0),0))</f>
        <v>0</v>
      </c>
      <c r="AY25" s="1354" t="str">
        <f ca="1">IF(OR(Actions!$Y19=AY$7,AND(Actions!$Y19&lt;=AY$7,Actions!$Z19&gt;=AY$7)),Actions!$AA19,"")</f>
        <v/>
      </c>
      <c r="AZ25" s="1353">
        <f ca="1">IF(AY25&lt;&gt;"",VLOOKUP($A25,Actions!$F$1:$AQ$70,38,0)/(1+VLOOKUP($A25,Actions!$F$1:$AQ$70,21,0)-VLOOKUP($A25,Actions!$F$1:$AQ$70,20,0)),0)</f>
        <v>0</v>
      </c>
      <c r="BA25" s="1353">
        <f ca="1">IF(AY25&lt;&gt;"",IF(VLOOKUP($A25,Actions!$F$1:$AQ$70,34,0)="Commune",(VLOOKUP($A25,Actions!$F$1:$AQ$70,24,0)-VLOOKUP($A25,Actions!$F$1:$AQ$70,26,0))/(1+VLOOKUP($A25,Actions!$F$1:$AQ$70,21,0)-VLOOKUP($A25,Actions!$F$1:$AQ$70,20,0)),0),0)</f>
        <v>0</v>
      </c>
      <c r="BB25" s="1353">
        <f ca="1">IF(AU25="",AX25,IF(AND(AY25="",AU25&lt;&gt;""),VLOOKUP($A25,Actions!$F$1:$AQ$70,31,0),0))</f>
        <v>0</v>
      </c>
      <c r="BC25" s="1354" t="str">
        <f ca="1">IF(OR(Actions!$Y19=BC$7,AND(Actions!$Y19&lt;=BC$7,Actions!$Z19&gt;=BC$7)),Actions!$AA19,"")</f>
        <v/>
      </c>
      <c r="BD25" s="1353">
        <f ca="1">IF(BC25&lt;&gt;"",VLOOKUP($A25,Actions!$F$1:$AQ$70,38,0)/(1+VLOOKUP($A25,Actions!$F$1:$AQ$70,21,0)-VLOOKUP($A25,Actions!$F$1:$AQ$70,20,0)),0)</f>
        <v>0</v>
      </c>
      <c r="BE25" s="1353">
        <f ca="1">IF(BC25&lt;&gt;"",IF(VLOOKUP($A25,Actions!$F$1:$AQ$70,34,0)="Commune",(VLOOKUP($A25,Actions!$F$1:$AQ$70,24,0)-VLOOKUP($A25,Actions!$F$1:$AQ$70,26,0))/(1+VLOOKUP($A25,Actions!$F$1:$AQ$70,21,0)-VLOOKUP($A25,Actions!$F$1:$AQ$70,20,0)),0),0)</f>
        <v>0</v>
      </c>
      <c r="BF25" s="1353">
        <f ca="1">IF(AY25="",BB25,IF(AND(BC25="",AY25&lt;&gt;""),VLOOKUP($A25,Actions!$F$1:$AQ$70,31,0),0))</f>
        <v>0</v>
      </c>
      <c r="BG25" s="1355">
        <f t="shared" ca="1" si="0"/>
        <v>0</v>
      </c>
      <c r="BH25" s="201">
        <f ca="1">VLOOKUP(B25,Actions!G18:AC87,18,0)-VLOOKUP(B25,Actions!G18:AE87,20,0)</f>
        <v>0</v>
      </c>
      <c r="BI25" s="233"/>
      <c r="BJ25" s="233"/>
      <c r="BK25" s="233"/>
      <c r="BL25" s="233"/>
      <c r="BM25" s="233"/>
      <c r="BN25" s="233"/>
      <c r="BO25" s="233"/>
    </row>
    <row r="26" spans="1:67">
      <c r="A26" s="1349">
        <f>Actions!F20</f>
        <v>19</v>
      </c>
      <c r="B26" s="1352">
        <f ca="1">Actions!G20</f>
        <v>0</v>
      </c>
      <c r="C26" s="1353" t="str">
        <f ca="1">IF(OR(AND(Actions!Y20&gt;0,Actions!Y20&lt;=$C$7,Actions!Z20&gt;=$C$7),AND(Actions!Y20&gt;0,Actions!Y20&lt;=$C$7,Actions!Z20&lt;Actions!Y20),AND(Actions!Y20=0,Actions!Z20&gt;=$C$7)),Actions!$AA20,"")</f>
        <v/>
      </c>
      <c r="D26" s="1353">
        <f ca="1">IF(C26&lt;&gt;"",VLOOKUP($A26,Actions!$F$1:$AQ$70,38,0)/(1+VLOOKUP($A26,Actions!$F$1:$AQ$70,21,0)-VLOOKUP($A26,Actions!$F$1:$AQ$70,20,0)),0)</f>
        <v>0</v>
      </c>
      <c r="E26" s="1353">
        <f ca="1">IF(C26&lt;&gt;"",IF(VLOOKUP($A26,Actions!$F$1:$AQ$70,34,0)="Commune",(VLOOKUP($A26,Actions!$F$1:$AQ$70,24,0)-VLOOKUP($A26,Actions!$F$1:$AQ$70,26,0))/(1+VLOOKUP($A26,Actions!$F$1:$AQ$70,21,0)-VLOOKUP($A26,Actions!$F$1:$AQ$70,20,0)),0),0)</f>
        <v>0</v>
      </c>
      <c r="F26" s="1353">
        <v>0</v>
      </c>
      <c r="G26" s="1354" t="str">
        <f ca="1">IF(OR(Actions!$Y20=G$7,AND(Actions!$Y20&lt;=G$7,Actions!$Z20&gt;=G$7)),Actions!$AA20,"")</f>
        <v/>
      </c>
      <c r="H26" s="1353">
        <f ca="1">IF(G26&lt;&gt;"",VLOOKUP($A26,Actions!$F$1:$AQ$70,38,0)/(1+VLOOKUP($A26,Actions!$F$1:$AQ$70,21,0)-VLOOKUP($A26,Actions!$F$1:$AQ$70,20,0)),0)</f>
        <v>0</v>
      </c>
      <c r="I26" s="1353">
        <f ca="1">IF(G26&lt;&gt;"",IF(VLOOKUP($A26,Actions!$F$1:$AQ$70,34,0)="Commune",(VLOOKUP($A26,Actions!$F$1:$AQ$70,24,0)-VLOOKUP($A26,Actions!$F$1:$AQ$70,26,0))/(1+VLOOKUP($A26,Actions!$F$1:$AQ$70,21,0)-VLOOKUP($A26,Actions!$F$1:$AQ$70,20,0)),0),0)</f>
        <v>0</v>
      </c>
      <c r="J26" s="1353">
        <f ca="1">IF(C26="",F26,IF(AND(G26="",C26&lt;&gt;""),VLOOKUP($A26,Actions!$F$1:$AQ$70,31,0),0))</f>
        <v>0</v>
      </c>
      <c r="K26" s="1354" t="str">
        <f ca="1">IF(OR(Actions!$Y20=K$7,AND(Actions!$Y20&lt;=K$7,Actions!$Z20&gt;=K$7)),Actions!$AA20,"")</f>
        <v/>
      </c>
      <c r="L26" s="1353">
        <f ca="1">IF(K26&lt;&gt;"",VLOOKUP($A26,Actions!$F$1:$AQ$70,38,0)/(1+VLOOKUP($A26,Actions!$F$1:$AQ$70,21,0)-VLOOKUP($A26,Actions!$F$1:$AQ$70,20,0)),0)</f>
        <v>0</v>
      </c>
      <c r="M26" s="1353">
        <f ca="1">IF(K26&lt;&gt;"",IF(VLOOKUP($A26,Actions!$F$1:$AQ$70,34,0)="Commune",(VLOOKUP($A26,Actions!$F$1:$AQ$70,24,0)-VLOOKUP($A26,Actions!$F$1:$AQ$70,26,0))/(1+VLOOKUP($A26,Actions!$F$1:$AQ$70,21,0)-VLOOKUP($A26,Actions!$F$1:$AQ$70,20,0)),0),0)</f>
        <v>0</v>
      </c>
      <c r="N26" s="1353">
        <f ca="1">IF(G26="",J26,IF(AND(K26="",G26&lt;&gt;""),VLOOKUP($A26,Actions!$F$1:$AQ$70,31,0),0))</f>
        <v>0</v>
      </c>
      <c r="O26" s="1354" t="str">
        <f ca="1">IF(OR(Actions!$Y20=O$7,AND(Actions!$Y20&lt;=O$7,Actions!$Z20&gt;=O$7)),Actions!$AA20,"")</f>
        <v/>
      </c>
      <c r="P26" s="1353">
        <f ca="1">IF(O26&lt;&gt;"",VLOOKUP($A26,Actions!$F$1:$AQ$70,38,0)/(1+VLOOKUP($A26,Actions!$F$1:$AQ$70,21,0)-VLOOKUP($A26,Actions!$F$1:$AQ$70,20,0)),0)</f>
        <v>0</v>
      </c>
      <c r="Q26" s="1353">
        <f ca="1">IF(O26&lt;&gt;"",IF(VLOOKUP($A26,Actions!$F$1:$AQ$70,34,0)="Commune",(VLOOKUP($A26,Actions!$F$1:$AQ$70,24,0)-VLOOKUP($A26,Actions!$F$1:$AQ$70,26,0))/(1+VLOOKUP($A26,Actions!$F$1:$AQ$70,21,0)-VLOOKUP($A26,Actions!$F$1:$AQ$70,20,0)),0),0)</f>
        <v>0</v>
      </c>
      <c r="R26" s="1353">
        <f ca="1">IF(K26="",N26,IF(AND(O26="",K26&lt;&gt;""),VLOOKUP($A26,Actions!$F$1:$AQ$70,31,0),0))</f>
        <v>0</v>
      </c>
      <c r="S26" s="1354" t="str">
        <f ca="1">IF(OR(Actions!$Y20=S$7,AND(Actions!$Y20&lt;=S$7,Actions!$Z20&gt;=S$7)),Actions!$AA20,"")</f>
        <v/>
      </c>
      <c r="T26" s="1353">
        <f ca="1">IF(S26&lt;&gt;"",VLOOKUP($A26,Actions!$F$1:$AQ$70,38,0)/(1+VLOOKUP($A26,Actions!$F$1:$AQ$70,21,0)-VLOOKUP($A26,Actions!$F$1:$AQ$70,20,0)),0)</f>
        <v>0</v>
      </c>
      <c r="U26" s="1353">
        <f ca="1">IF(S26&lt;&gt;"",IF(VLOOKUP($A26,Actions!$F$1:$AQ$70,34,0)="Commune",(VLOOKUP($A26,Actions!$F$1:$AQ$70,24,0)-VLOOKUP($A26,Actions!$F$1:$AQ$70,26,0))/(1+VLOOKUP($A26,Actions!$F$1:$AQ$70,21,0)-VLOOKUP($A26,Actions!$F$1:$AQ$70,20,0)),0),0)</f>
        <v>0</v>
      </c>
      <c r="V26" s="1353">
        <f ca="1">IF(O26="",R26,IF(AND(S26="",O26&lt;&gt;""),VLOOKUP($A26,Actions!$F$1:$AQ$70,31,0),0))</f>
        <v>0</v>
      </c>
      <c r="W26" s="1354" t="str">
        <f ca="1">IF(OR(Actions!$Y20=W$7,AND(Actions!$Y20&lt;=W$7,Actions!$Z20&gt;=W$7)),Actions!$AA20,"")</f>
        <v/>
      </c>
      <c r="X26" s="1353">
        <f ca="1">IF(W26&lt;&gt;"",VLOOKUP($A26,Actions!$F$1:$AQ$70,38,0)/(1+VLOOKUP($A26,Actions!$F$1:$AQ$70,21,0)-VLOOKUP($A26,Actions!$F$1:$AQ$70,20,0)),0)</f>
        <v>0</v>
      </c>
      <c r="Y26" s="1353">
        <f ca="1">IF(W26&lt;&gt;"",IF(VLOOKUP($A26,Actions!$F$1:$AQ$70,34,0)="Commune",(VLOOKUP($A26,Actions!$F$1:$AQ$70,24,0)-VLOOKUP($A26,Actions!$F$1:$AQ$70,26,0))/(1+VLOOKUP($A26,Actions!$F$1:$AQ$70,21,0)-VLOOKUP($A26,Actions!$F$1:$AQ$70,20,0)),0),0)</f>
        <v>0</v>
      </c>
      <c r="Z26" s="1353">
        <f ca="1">IF(S26="",V26,IF(AND(W26="",S26&lt;&gt;""),VLOOKUP($A26,Actions!$F$1:$AQ$70,31,0),0))</f>
        <v>0</v>
      </c>
      <c r="AA26" s="1354" t="str">
        <f ca="1">IF(OR(Actions!$Y20=AA$7,AND(Actions!$Y20&lt;=AA$7,Actions!$Z20&gt;=AA$7)),Actions!$AA20,"")</f>
        <v/>
      </c>
      <c r="AB26" s="1353">
        <f ca="1">IF(AA26&lt;&gt;"",VLOOKUP($A26,Actions!$F$1:$AQ$70,38,0)/(1+VLOOKUP($A26,Actions!$F$1:$AQ$70,21,0)-VLOOKUP($A26,Actions!$F$1:$AQ$70,20,0)),0)</f>
        <v>0</v>
      </c>
      <c r="AC26" s="1353">
        <f ca="1">IF(AA26&lt;&gt;"",IF(VLOOKUP($A26,Actions!$F$1:$AQ$70,34,0)="Commune",(VLOOKUP($A26,Actions!$F$1:$AQ$70,24,0)-VLOOKUP($A26,Actions!$F$1:$AQ$70,26,0))/(1+VLOOKUP($A26,Actions!$F$1:$AQ$70,21,0)-VLOOKUP($A26,Actions!$F$1:$AQ$70,20,0)),0),0)</f>
        <v>0</v>
      </c>
      <c r="AD26" s="1353">
        <f ca="1">IF(W26="",Z26,IF(AND(AA26="",W26&lt;&gt;""),VLOOKUP($A26,Actions!$F$1:$AQ$70,31,0),0))</f>
        <v>0</v>
      </c>
      <c r="AE26" s="1354" t="str">
        <f ca="1">IF(OR(Actions!$Y20=AE$7,AND(Actions!$Y20&lt;=AE$7,Actions!$Z20&gt;=AE$7)),Actions!$AA20,"")</f>
        <v/>
      </c>
      <c r="AF26" s="1353">
        <f ca="1">IF(AE26&lt;&gt;"",VLOOKUP($A26,Actions!$F$1:$AQ$70,38,0)/(1+VLOOKUP($A26,Actions!$F$1:$AQ$70,21,0)-VLOOKUP($A26,Actions!$F$1:$AQ$70,20,0)),0)</f>
        <v>0</v>
      </c>
      <c r="AG26" s="1353">
        <f ca="1">IF(AE26&lt;&gt;"",IF(VLOOKUP($A26,Actions!$F$1:$AQ$70,34,0)="Commune",(VLOOKUP($A26,Actions!$F$1:$AQ$70,24,0)-VLOOKUP($A26,Actions!$F$1:$AQ$70,26,0))/(1+VLOOKUP($A26,Actions!$F$1:$AQ$70,21,0)-VLOOKUP($A26,Actions!$F$1:$AQ$70,20,0)),0),0)</f>
        <v>0</v>
      </c>
      <c r="AH26" s="1353">
        <f ca="1">IF(AA26="",AD26,IF(AND(AE26="",AA26&lt;&gt;""),VLOOKUP($A26,Actions!$F$1:$AQ$70,31,0),0))</f>
        <v>0</v>
      </c>
      <c r="AI26" s="1354" t="str">
        <f ca="1">IF(OR(Actions!$Y20=AI$7,AND(Actions!$Y20&lt;=AI$7,Actions!$Z20&gt;=AI$7)),Actions!$AA20,"")</f>
        <v/>
      </c>
      <c r="AJ26" s="1353">
        <f ca="1">IF(AI26&lt;&gt;"",VLOOKUP($A26,Actions!$F$1:$AQ$70,38,0)/(1+VLOOKUP($A26,Actions!$F$1:$AQ$70,21,0)-VLOOKUP($A26,Actions!$F$1:$AQ$70,20,0)),0)</f>
        <v>0</v>
      </c>
      <c r="AK26" s="1353">
        <f ca="1">IF(AI26&lt;&gt;"",IF(VLOOKUP($A26,Actions!$F$1:$AQ$70,34,0)="Commune",(VLOOKUP($A26,Actions!$F$1:$AQ$70,24,0)-VLOOKUP($A26,Actions!$F$1:$AQ$70,26,0))/(1+VLOOKUP($A26,Actions!$F$1:$AQ$70,21,0)-VLOOKUP($A26,Actions!$F$1:$AQ$70,20,0)),0),0)</f>
        <v>0</v>
      </c>
      <c r="AL26" s="1353">
        <f ca="1">IF(AE26="",AH26,IF(AND(AI26="",AE26&lt;&gt;""),VLOOKUP($A26,Actions!$F$1:$AQ$70,31,0),0))</f>
        <v>0</v>
      </c>
      <c r="AM26" s="1354" t="str">
        <f ca="1">IF(OR(Actions!$Y20=AM$7,AND(Actions!$Y20&lt;=AM$7,Actions!$Z20&gt;=AM$7)),Actions!$AA20,"")</f>
        <v/>
      </c>
      <c r="AN26" s="1353">
        <f ca="1">IF(AM26&lt;&gt;"",VLOOKUP($A26,Actions!$F$1:$AQ$70,38,0)/(1+VLOOKUP($A26,Actions!$F$1:$AQ$70,21,0)-VLOOKUP($A26,Actions!$F$1:$AQ$70,20,0)),0)</f>
        <v>0</v>
      </c>
      <c r="AO26" s="1353">
        <f ca="1">IF(AM26&lt;&gt;"",IF(VLOOKUP($A26,Actions!$F$1:$AQ$70,34,0)="Commune",(VLOOKUP($A26,Actions!$F$1:$AQ$70,24,0)-VLOOKUP($A26,Actions!$F$1:$AQ$70,26,0))/(1+VLOOKUP($A26,Actions!$F$1:$AQ$70,21,0)-VLOOKUP($A26,Actions!$F$1:$AQ$70,20,0)),0),0)</f>
        <v>0</v>
      </c>
      <c r="AP26" s="1353">
        <f ca="1">IF(AI26="",AL26,IF(AND(AM26="",AI26&lt;&gt;""),VLOOKUP($A26,Actions!$F$1:$AQ$70,31,0),0))</f>
        <v>0</v>
      </c>
      <c r="AQ26" s="1354" t="str">
        <f ca="1">IF(OR(Actions!$Y20=AQ$7,AND(Actions!$Y20&lt;=AQ$7,Actions!$Z20&gt;=AQ$7)),Actions!$AA20,"")</f>
        <v/>
      </c>
      <c r="AR26" s="1353">
        <f ca="1">IF(AQ26&lt;&gt;"",VLOOKUP($A26,Actions!$F$1:$AQ$70,38,0)/(1+VLOOKUP($A26,Actions!$F$1:$AQ$70,21,0)-VLOOKUP($A26,Actions!$F$1:$AQ$70,20,0)),0)</f>
        <v>0</v>
      </c>
      <c r="AS26" s="1353">
        <f ca="1">IF(AQ26&lt;&gt;"",IF(VLOOKUP($A26,Actions!$F$1:$AQ$70,34,0)="Commune",(VLOOKUP($A26,Actions!$F$1:$AQ$70,24,0)-VLOOKUP($A26,Actions!$F$1:$AQ$70,26,0))/(1+VLOOKUP($A26,Actions!$F$1:$AQ$70,21,0)-VLOOKUP($A26,Actions!$F$1:$AQ$70,20,0)),0),0)</f>
        <v>0</v>
      </c>
      <c r="AT26" s="1353">
        <f ca="1">IF(AM26="",AP26,IF(AND(AQ26="",AM26&lt;&gt;""),VLOOKUP($A26,Actions!$F$1:$AQ$70,31,0),0))</f>
        <v>0</v>
      </c>
      <c r="AU26" s="1354" t="str">
        <f ca="1">IF(OR(Actions!$Y20=AU$7,AND(Actions!$Y20&lt;=AU$7,Actions!$Z20&gt;=AU$7)),Actions!$AA20,"")</f>
        <v/>
      </c>
      <c r="AV26" s="1353">
        <f ca="1">IF(AU26&lt;&gt;"",VLOOKUP($A26,Actions!$F$1:$AQ$70,38,0)/(1+VLOOKUP($A26,Actions!$F$1:$AQ$70,21,0)-VLOOKUP($A26,Actions!$F$1:$AQ$70,20,0)),0)</f>
        <v>0</v>
      </c>
      <c r="AW26" s="1353">
        <f ca="1">IF(AU26&lt;&gt;"",IF(VLOOKUP($A26,Actions!$F$1:$AQ$70,34,0)="Commune",(VLOOKUP($A26,Actions!$F$1:$AQ$70,24,0)-VLOOKUP($A26,Actions!$F$1:$AQ$70,26,0))/(1+VLOOKUP($A26,Actions!$F$1:$AQ$70,21,0)-VLOOKUP($A26,Actions!$F$1:$AQ$70,20,0)),0),0)</f>
        <v>0</v>
      </c>
      <c r="AX26" s="1353">
        <f ca="1">IF(AQ26="",AT26,IF(AND(AU26="",AQ26&lt;&gt;""),VLOOKUP($A26,Actions!$F$1:$AQ$70,31,0),0))</f>
        <v>0</v>
      </c>
      <c r="AY26" s="1354" t="str">
        <f ca="1">IF(OR(Actions!$Y20=AY$7,AND(Actions!$Y20&lt;=AY$7,Actions!$Z20&gt;=AY$7)),Actions!$AA20,"")</f>
        <v/>
      </c>
      <c r="AZ26" s="1353">
        <f ca="1">IF(AY26&lt;&gt;"",VLOOKUP($A26,Actions!$F$1:$AQ$70,38,0)/(1+VLOOKUP($A26,Actions!$F$1:$AQ$70,21,0)-VLOOKUP($A26,Actions!$F$1:$AQ$70,20,0)),0)</f>
        <v>0</v>
      </c>
      <c r="BA26" s="1353">
        <f ca="1">IF(AY26&lt;&gt;"",IF(VLOOKUP($A26,Actions!$F$1:$AQ$70,34,0)="Commune",(VLOOKUP($A26,Actions!$F$1:$AQ$70,24,0)-VLOOKUP($A26,Actions!$F$1:$AQ$70,26,0))/(1+VLOOKUP($A26,Actions!$F$1:$AQ$70,21,0)-VLOOKUP($A26,Actions!$F$1:$AQ$70,20,0)),0),0)</f>
        <v>0</v>
      </c>
      <c r="BB26" s="1353">
        <f ca="1">IF(AU26="",AX26,IF(AND(AY26="",AU26&lt;&gt;""),VLOOKUP($A26,Actions!$F$1:$AQ$70,31,0),0))</f>
        <v>0</v>
      </c>
      <c r="BC26" s="1354" t="str">
        <f ca="1">IF(OR(Actions!$Y20=BC$7,AND(Actions!$Y20&lt;=BC$7,Actions!$Z20&gt;=BC$7)),Actions!$AA20,"")</f>
        <v/>
      </c>
      <c r="BD26" s="1353">
        <f ca="1">IF(BC26&lt;&gt;"",VLOOKUP($A26,Actions!$F$1:$AQ$70,38,0)/(1+VLOOKUP($A26,Actions!$F$1:$AQ$70,21,0)-VLOOKUP($A26,Actions!$F$1:$AQ$70,20,0)),0)</f>
        <v>0</v>
      </c>
      <c r="BE26" s="1353">
        <f ca="1">IF(BC26&lt;&gt;"",IF(VLOOKUP($A26,Actions!$F$1:$AQ$70,34,0)="Commune",(VLOOKUP($A26,Actions!$F$1:$AQ$70,24,0)-VLOOKUP($A26,Actions!$F$1:$AQ$70,26,0))/(1+VLOOKUP($A26,Actions!$F$1:$AQ$70,21,0)-VLOOKUP($A26,Actions!$F$1:$AQ$70,20,0)),0),0)</f>
        <v>0</v>
      </c>
      <c r="BF26" s="1353">
        <f ca="1">IF(AY26="",BB26,IF(AND(BC26="",AY26&lt;&gt;""),VLOOKUP($A26,Actions!$F$1:$AQ$70,31,0),0))</f>
        <v>0</v>
      </c>
      <c r="BG26" s="1355">
        <f t="shared" ca="1" si="0"/>
        <v>0</v>
      </c>
      <c r="BH26" s="201">
        <f ca="1">VLOOKUP(B26,Actions!G19:AC88,18,0)-VLOOKUP(B26,Actions!G19:AE88,20,0)</f>
        <v>0</v>
      </c>
      <c r="BI26" s="233"/>
      <c r="BJ26" s="233"/>
      <c r="BK26" s="233"/>
      <c r="BL26" s="233"/>
      <c r="BM26" s="233"/>
      <c r="BN26" s="233"/>
      <c r="BO26" s="233"/>
    </row>
    <row r="27" spans="1:67">
      <c r="A27" s="1349">
        <f>Actions!F21</f>
        <v>20</v>
      </c>
      <c r="B27" s="1352">
        <f ca="1">Actions!G21</f>
        <v>0</v>
      </c>
      <c r="C27" s="1353" t="str">
        <f ca="1">IF(OR(AND(Actions!Y21&gt;0,Actions!Y21&lt;=$C$7,Actions!Z21&gt;=$C$7),AND(Actions!Y21&gt;0,Actions!Y21&lt;=$C$7,Actions!Z21&lt;Actions!Y21),AND(Actions!Y21=0,Actions!Z21&gt;=$C$7)),Actions!$AA21,"")</f>
        <v/>
      </c>
      <c r="D27" s="1353">
        <f ca="1">IF(C27&lt;&gt;"",VLOOKUP($A27,Actions!$F$1:$AQ$70,38,0)/(1+VLOOKUP($A27,Actions!$F$1:$AQ$70,21,0)-VLOOKUP($A27,Actions!$F$1:$AQ$70,20,0)),0)</f>
        <v>0</v>
      </c>
      <c r="E27" s="1353">
        <f ca="1">IF(C27&lt;&gt;"",IF(VLOOKUP($A27,Actions!$F$1:$AQ$70,34,0)="Commune",(VLOOKUP($A27,Actions!$F$1:$AQ$70,24,0)-VLOOKUP($A27,Actions!$F$1:$AQ$70,26,0))/(1+VLOOKUP($A27,Actions!$F$1:$AQ$70,21,0)-VLOOKUP($A27,Actions!$F$1:$AQ$70,20,0)),0),0)</f>
        <v>0</v>
      </c>
      <c r="F27" s="1353">
        <v>0</v>
      </c>
      <c r="G27" s="1354" t="str">
        <f ca="1">IF(OR(Actions!$Y21=G$7,AND(Actions!$Y21&lt;=G$7,Actions!$Z21&gt;=G$7)),Actions!$AA21,"")</f>
        <v/>
      </c>
      <c r="H27" s="1353">
        <f ca="1">IF(G27&lt;&gt;"",VLOOKUP($A27,Actions!$F$1:$AQ$70,38,0)/(1+VLOOKUP($A27,Actions!$F$1:$AQ$70,21,0)-VLOOKUP($A27,Actions!$F$1:$AQ$70,20,0)),0)</f>
        <v>0</v>
      </c>
      <c r="I27" s="1353">
        <f ca="1">IF(G27&lt;&gt;"",IF(VLOOKUP($A27,Actions!$F$1:$AQ$70,34,0)="Commune",(VLOOKUP($A27,Actions!$F$1:$AQ$70,24,0)-VLOOKUP($A27,Actions!$F$1:$AQ$70,26,0))/(1+VLOOKUP($A27,Actions!$F$1:$AQ$70,21,0)-VLOOKUP($A27,Actions!$F$1:$AQ$70,20,0)),0),0)</f>
        <v>0</v>
      </c>
      <c r="J27" s="1353">
        <f ca="1">IF(C27="",F27,IF(AND(G27="",C27&lt;&gt;""),VLOOKUP($A27,Actions!$F$1:$AQ$70,31,0),0))</f>
        <v>0</v>
      </c>
      <c r="K27" s="1354" t="str">
        <f ca="1">IF(OR(Actions!$Y21=K$7,AND(Actions!$Y21&lt;=K$7,Actions!$Z21&gt;=K$7)),Actions!$AA21,"")</f>
        <v/>
      </c>
      <c r="L27" s="1353">
        <f ca="1">IF(K27&lt;&gt;"",VLOOKUP($A27,Actions!$F$1:$AQ$70,38,0)/(1+VLOOKUP($A27,Actions!$F$1:$AQ$70,21,0)-VLOOKUP($A27,Actions!$F$1:$AQ$70,20,0)),0)</f>
        <v>0</v>
      </c>
      <c r="M27" s="1353">
        <f ca="1">IF(K27&lt;&gt;"",IF(VLOOKUP($A27,Actions!$F$1:$AQ$70,34,0)="Commune",(VLOOKUP($A27,Actions!$F$1:$AQ$70,24,0)-VLOOKUP($A27,Actions!$F$1:$AQ$70,26,0))/(1+VLOOKUP($A27,Actions!$F$1:$AQ$70,21,0)-VLOOKUP($A27,Actions!$F$1:$AQ$70,20,0)),0),0)</f>
        <v>0</v>
      </c>
      <c r="N27" s="1353">
        <f ca="1">IF(G27="",J27,IF(AND(K27="",G27&lt;&gt;""),VLOOKUP($A27,Actions!$F$1:$AQ$70,31,0),0))</f>
        <v>0</v>
      </c>
      <c r="O27" s="1354" t="str">
        <f ca="1">IF(OR(Actions!$Y21=O$7,AND(Actions!$Y21&lt;=O$7,Actions!$Z21&gt;=O$7)),Actions!$AA21,"")</f>
        <v/>
      </c>
      <c r="P27" s="1353">
        <f ca="1">IF(O27&lt;&gt;"",VLOOKUP($A27,Actions!$F$1:$AQ$70,38,0)/(1+VLOOKUP($A27,Actions!$F$1:$AQ$70,21,0)-VLOOKUP($A27,Actions!$F$1:$AQ$70,20,0)),0)</f>
        <v>0</v>
      </c>
      <c r="Q27" s="1353">
        <f ca="1">IF(O27&lt;&gt;"",IF(VLOOKUP($A27,Actions!$F$1:$AQ$70,34,0)="Commune",(VLOOKUP($A27,Actions!$F$1:$AQ$70,24,0)-VLOOKUP($A27,Actions!$F$1:$AQ$70,26,0))/(1+VLOOKUP($A27,Actions!$F$1:$AQ$70,21,0)-VLOOKUP($A27,Actions!$F$1:$AQ$70,20,0)),0),0)</f>
        <v>0</v>
      </c>
      <c r="R27" s="1353">
        <f ca="1">IF(K27="",N27,IF(AND(O27="",K27&lt;&gt;""),VLOOKUP($A27,Actions!$F$1:$AQ$70,31,0),0))</f>
        <v>0</v>
      </c>
      <c r="S27" s="1354" t="str">
        <f ca="1">IF(OR(Actions!$Y21=S$7,AND(Actions!$Y21&lt;=S$7,Actions!$Z21&gt;=S$7)),Actions!$AA21,"")</f>
        <v/>
      </c>
      <c r="T27" s="1353">
        <f ca="1">IF(S27&lt;&gt;"",VLOOKUP($A27,Actions!$F$1:$AQ$70,38,0)/(1+VLOOKUP($A27,Actions!$F$1:$AQ$70,21,0)-VLOOKUP($A27,Actions!$F$1:$AQ$70,20,0)),0)</f>
        <v>0</v>
      </c>
      <c r="U27" s="1353">
        <f ca="1">IF(S27&lt;&gt;"",IF(VLOOKUP($A27,Actions!$F$1:$AQ$70,34,0)="Commune",(VLOOKUP($A27,Actions!$F$1:$AQ$70,24,0)-VLOOKUP($A27,Actions!$F$1:$AQ$70,26,0))/(1+VLOOKUP($A27,Actions!$F$1:$AQ$70,21,0)-VLOOKUP($A27,Actions!$F$1:$AQ$70,20,0)),0),0)</f>
        <v>0</v>
      </c>
      <c r="V27" s="1353">
        <f ca="1">IF(O27="",R27,IF(AND(S27="",O27&lt;&gt;""),VLOOKUP($A27,Actions!$F$1:$AQ$70,31,0),0))</f>
        <v>0</v>
      </c>
      <c r="W27" s="1354" t="str">
        <f ca="1">IF(OR(Actions!$Y21=W$7,AND(Actions!$Y21&lt;=W$7,Actions!$Z21&gt;=W$7)),Actions!$AA21,"")</f>
        <v/>
      </c>
      <c r="X27" s="1353">
        <f ca="1">IF(W27&lt;&gt;"",VLOOKUP($A27,Actions!$F$1:$AQ$70,38,0)/(1+VLOOKUP($A27,Actions!$F$1:$AQ$70,21,0)-VLOOKUP($A27,Actions!$F$1:$AQ$70,20,0)),0)</f>
        <v>0</v>
      </c>
      <c r="Y27" s="1353">
        <f ca="1">IF(W27&lt;&gt;"",IF(VLOOKUP($A27,Actions!$F$1:$AQ$70,34,0)="Commune",(VLOOKUP($A27,Actions!$F$1:$AQ$70,24,0)-VLOOKUP($A27,Actions!$F$1:$AQ$70,26,0))/(1+VLOOKUP($A27,Actions!$F$1:$AQ$70,21,0)-VLOOKUP($A27,Actions!$F$1:$AQ$70,20,0)),0),0)</f>
        <v>0</v>
      </c>
      <c r="Z27" s="1353">
        <f ca="1">IF(S27="",V27,IF(AND(W27="",S27&lt;&gt;""),VLOOKUP($A27,Actions!$F$1:$AQ$70,31,0),0))</f>
        <v>0</v>
      </c>
      <c r="AA27" s="1354" t="str">
        <f ca="1">IF(OR(Actions!$Y21=AA$7,AND(Actions!$Y21&lt;=AA$7,Actions!$Z21&gt;=AA$7)),Actions!$AA21,"")</f>
        <v/>
      </c>
      <c r="AB27" s="1353">
        <f ca="1">IF(AA27&lt;&gt;"",VLOOKUP($A27,Actions!$F$1:$AQ$70,38,0)/(1+VLOOKUP($A27,Actions!$F$1:$AQ$70,21,0)-VLOOKUP($A27,Actions!$F$1:$AQ$70,20,0)),0)</f>
        <v>0</v>
      </c>
      <c r="AC27" s="1353">
        <f ca="1">IF(AA27&lt;&gt;"",IF(VLOOKUP($A27,Actions!$F$1:$AQ$70,34,0)="Commune",(VLOOKUP($A27,Actions!$F$1:$AQ$70,24,0)-VLOOKUP($A27,Actions!$F$1:$AQ$70,26,0))/(1+VLOOKUP($A27,Actions!$F$1:$AQ$70,21,0)-VLOOKUP($A27,Actions!$F$1:$AQ$70,20,0)),0),0)</f>
        <v>0</v>
      </c>
      <c r="AD27" s="1353">
        <f ca="1">IF(W27="",Z27,IF(AND(AA27="",W27&lt;&gt;""),VLOOKUP($A27,Actions!$F$1:$AQ$70,31,0),0))</f>
        <v>0</v>
      </c>
      <c r="AE27" s="1354" t="str">
        <f ca="1">IF(OR(Actions!$Y21=AE$7,AND(Actions!$Y21&lt;=AE$7,Actions!$Z21&gt;=AE$7)),Actions!$AA21,"")</f>
        <v/>
      </c>
      <c r="AF27" s="1353">
        <f ca="1">IF(AE27&lt;&gt;"",VLOOKUP($A27,Actions!$F$1:$AQ$70,38,0)/(1+VLOOKUP($A27,Actions!$F$1:$AQ$70,21,0)-VLOOKUP($A27,Actions!$F$1:$AQ$70,20,0)),0)</f>
        <v>0</v>
      </c>
      <c r="AG27" s="1353">
        <f ca="1">IF(AE27&lt;&gt;"",IF(VLOOKUP($A27,Actions!$F$1:$AQ$70,34,0)="Commune",(VLOOKUP($A27,Actions!$F$1:$AQ$70,24,0)-VLOOKUP($A27,Actions!$F$1:$AQ$70,26,0))/(1+VLOOKUP($A27,Actions!$F$1:$AQ$70,21,0)-VLOOKUP($A27,Actions!$F$1:$AQ$70,20,0)),0),0)</f>
        <v>0</v>
      </c>
      <c r="AH27" s="1353">
        <f ca="1">IF(AA27="",AD27,IF(AND(AE27="",AA27&lt;&gt;""),VLOOKUP($A27,Actions!$F$1:$AQ$70,31,0),0))</f>
        <v>0</v>
      </c>
      <c r="AI27" s="1354" t="str">
        <f ca="1">IF(OR(Actions!$Y21=AI$7,AND(Actions!$Y21&lt;=AI$7,Actions!$Z21&gt;=AI$7)),Actions!$AA21,"")</f>
        <v/>
      </c>
      <c r="AJ27" s="1353">
        <f ca="1">IF(AI27&lt;&gt;"",VLOOKUP($A27,Actions!$F$1:$AQ$70,38,0)/(1+VLOOKUP($A27,Actions!$F$1:$AQ$70,21,0)-VLOOKUP($A27,Actions!$F$1:$AQ$70,20,0)),0)</f>
        <v>0</v>
      </c>
      <c r="AK27" s="1353">
        <f ca="1">IF(AI27&lt;&gt;"",IF(VLOOKUP($A27,Actions!$F$1:$AQ$70,34,0)="Commune",(VLOOKUP($A27,Actions!$F$1:$AQ$70,24,0)-VLOOKUP($A27,Actions!$F$1:$AQ$70,26,0))/(1+VLOOKUP($A27,Actions!$F$1:$AQ$70,21,0)-VLOOKUP($A27,Actions!$F$1:$AQ$70,20,0)),0),0)</f>
        <v>0</v>
      </c>
      <c r="AL27" s="1353">
        <f ca="1">IF(AE27="",AH27,IF(AND(AI27="",AE27&lt;&gt;""),VLOOKUP($A27,Actions!$F$1:$AQ$70,31,0),0))</f>
        <v>0</v>
      </c>
      <c r="AM27" s="1354" t="str">
        <f ca="1">IF(OR(Actions!$Y21=AM$7,AND(Actions!$Y21&lt;=AM$7,Actions!$Z21&gt;=AM$7)),Actions!$AA21,"")</f>
        <v/>
      </c>
      <c r="AN27" s="1353">
        <f ca="1">IF(AM27&lt;&gt;"",VLOOKUP($A27,Actions!$F$1:$AQ$70,38,0)/(1+VLOOKUP($A27,Actions!$F$1:$AQ$70,21,0)-VLOOKUP($A27,Actions!$F$1:$AQ$70,20,0)),0)</f>
        <v>0</v>
      </c>
      <c r="AO27" s="1353">
        <f ca="1">IF(AM27&lt;&gt;"",IF(VLOOKUP($A27,Actions!$F$1:$AQ$70,34,0)="Commune",(VLOOKUP($A27,Actions!$F$1:$AQ$70,24,0)-VLOOKUP($A27,Actions!$F$1:$AQ$70,26,0))/(1+VLOOKUP($A27,Actions!$F$1:$AQ$70,21,0)-VLOOKUP($A27,Actions!$F$1:$AQ$70,20,0)),0),0)</f>
        <v>0</v>
      </c>
      <c r="AP27" s="1353">
        <f ca="1">IF(AI27="",AL27,IF(AND(AM27="",AI27&lt;&gt;""),VLOOKUP($A27,Actions!$F$1:$AQ$70,31,0),0))</f>
        <v>0</v>
      </c>
      <c r="AQ27" s="1354" t="str">
        <f ca="1">IF(OR(Actions!$Y21=AQ$7,AND(Actions!$Y21&lt;=AQ$7,Actions!$Z21&gt;=AQ$7)),Actions!$AA21,"")</f>
        <v/>
      </c>
      <c r="AR27" s="1353">
        <f ca="1">IF(AQ27&lt;&gt;"",VLOOKUP($A27,Actions!$F$1:$AQ$70,38,0)/(1+VLOOKUP($A27,Actions!$F$1:$AQ$70,21,0)-VLOOKUP($A27,Actions!$F$1:$AQ$70,20,0)),0)</f>
        <v>0</v>
      </c>
      <c r="AS27" s="1353">
        <f ca="1">IF(AQ27&lt;&gt;"",IF(VLOOKUP($A27,Actions!$F$1:$AQ$70,34,0)="Commune",(VLOOKUP($A27,Actions!$F$1:$AQ$70,24,0)-VLOOKUP($A27,Actions!$F$1:$AQ$70,26,0))/(1+VLOOKUP($A27,Actions!$F$1:$AQ$70,21,0)-VLOOKUP($A27,Actions!$F$1:$AQ$70,20,0)),0),0)</f>
        <v>0</v>
      </c>
      <c r="AT27" s="1353">
        <f ca="1">IF(AM27="",AP27,IF(AND(AQ27="",AM27&lt;&gt;""),VLOOKUP($A27,Actions!$F$1:$AQ$70,31,0),0))</f>
        <v>0</v>
      </c>
      <c r="AU27" s="1354" t="str">
        <f ca="1">IF(OR(Actions!$Y21=AU$7,AND(Actions!$Y21&lt;=AU$7,Actions!$Z21&gt;=AU$7)),Actions!$AA21,"")</f>
        <v/>
      </c>
      <c r="AV27" s="1353">
        <f ca="1">IF(AU27&lt;&gt;"",VLOOKUP($A27,Actions!$F$1:$AQ$70,38,0)/(1+VLOOKUP($A27,Actions!$F$1:$AQ$70,21,0)-VLOOKUP($A27,Actions!$F$1:$AQ$70,20,0)),0)</f>
        <v>0</v>
      </c>
      <c r="AW27" s="1353">
        <f ca="1">IF(AU27&lt;&gt;"",IF(VLOOKUP($A27,Actions!$F$1:$AQ$70,34,0)="Commune",(VLOOKUP($A27,Actions!$F$1:$AQ$70,24,0)-VLOOKUP($A27,Actions!$F$1:$AQ$70,26,0))/(1+VLOOKUP($A27,Actions!$F$1:$AQ$70,21,0)-VLOOKUP($A27,Actions!$F$1:$AQ$70,20,0)),0),0)</f>
        <v>0</v>
      </c>
      <c r="AX27" s="1353">
        <f ca="1">IF(AQ27="",AT27,IF(AND(AU27="",AQ27&lt;&gt;""),VLOOKUP($A27,Actions!$F$1:$AQ$70,31,0),0))</f>
        <v>0</v>
      </c>
      <c r="AY27" s="1354" t="str">
        <f ca="1">IF(OR(Actions!$Y21=AY$7,AND(Actions!$Y21&lt;=AY$7,Actions!$Z21&gt;=AY$7)),Actions!$AA21,"")</f>
        <v/>
      </c>
      <c r="AZ27" s="1353">
        <f ca="1">IF(AY27&lt;&gt;"",VLOOKUP($A27,Actions!$F$1:$AQ$70,38,0)/(1+VLOOKUP($A27,Actions!$F$1:$AQ$70,21,0)-VLOOKUP($A27,Actions!$F$1:$AQ$70,20,0)),0)</f>
        <v>0</v>
      </c>
      <c r="BA27" s="1353">
        <f ca="1">IF(AY27&lt;&gt;"",IF(VLOOKUP($A27,Actions!$F$1:$AQ$70,34,0)="Commune",(VLOOKUP($A27,Actions!$F$1:$AQ$70,24,0)-VLOOKUP($A27,Actions!$F$1:$AQ$70,26,0))/(1+VLOOKUP($A27,Actions!$F$1:$AQ$70,21,0)-VLOOKUP($A27,Actions!$F$1:$AQ$70,20,0)),0),0)</f>
        <v>0</v>
      </c>
      <c r="BB27" s="1353">
        <f ca="1">IF(AU27="",AX27,IF(AND(AY27="",AU27&lt;&gt;""),VLOOKUP($A27,Actions!$F$1:$AQ$70,31,0),0))</f>
        <v>0</v>
      </c>
      <c r="BC27" s="1354" t="str">
        <f ca="1">IF(OR(Actions!$Y21=BC$7,AND(Actions!$Y21&lt;=BC$7,Actions!$Z21&gt;=BC$7)),Actions!$AA21,"")</f>
        <v/>
      </c>
      <c r="BD27" s="1353">
        <f ca="1">IF(BC27&lt;&gt;"",VLOOKUP($A27,Actions!$F$1:$AQ$70,38,0)/(1+VLOOKUP($A27,Actions!$F$1:$AQ$70,21,0)-VLOOKUP($A27,Actions!$F$1:$AQ$70,20,0)),0)</f>
        <v>0</v>
      </c>
      <c r="BE27" s="1353">
        <f ca="1">IF(BC27&lt;&gt;"",IF(VLOOKUP($A27,Actions!$F$1:$AQ$70,34,0)="Commune",(VLOOKUP($A27,Actions!$F$1:$AQ$70,24,0)-VLOOKUP($A27,Actions!$F$1:$AQ$70,26,0))/(1+VLOOKUP($A27,Actions!$F$1:$AQ$70,21,0)-VLOOKUP($A27,Actions!$F$1:$AQ$70,20,0)),0),0)</f>
        <v>0</v>
      </c>
      <c r="BF27" s="1353">
        <f ca="1">IF(AY27="",BB27,IF(AND(BC27="",AY27&lt;&gt;""),VLOOKUP($A27,Actions!$F$1:$AQ$70,31,0),0))</f>
        <v>0</v>
      </c>
      <c r="BG27" s="1355">
        <f t="shared" ca="1" si="0"/>
        <v>0</v>
      </c>
      <c r="BH27" s="201">
        <f ca="1">VLOOKUP(B27,Actions!G20:AC89,18,0)-VLOOKUP(B27,Actions!G20:AE89,20,0)</f>
        <v>0</v>
      </c>
      <c r="BI27" s="233"/>
      <c r="BJ27" s="233"/>
      <c r="BK27" s="233"/>
      <c r="BL27" s="233"/>
      <c r="BM27" s="233"/>
      <c r="BN27" s="233"/>
      <c r="BO27" s="233"/>
    </row>
    <row r="28" spans="1:67">
      <c r="A28" s="1349">
        <f>Actions!F22</f>
        <v>21</v>
      </c>
      <c r="B28" s="1352">
        <f ca="1">Actions!G22</f>
        <v>0</v>
      </c>
      <c r="C28" s="1353" t="str">
        <f ca="1">IF(OR(AND(Actions!Y22&gt;0,Actions!Y22&lt;=$C$7,Actions!Z22&gt;=$C$7),AND(Actions!Y22&gt;0,Actions!Y22&lt;=$C$7,Actions!Z22&lt;Actions!Y22),AND(Actions!Y22=0,Actions!Z22&gt;=$C$7)),Actions!$AA22,"")</f>
        <v/>
      </c>
      <c r="D28" s="1353">
        <f ca="1">IF(C28&lt;&gt;"",VLOOKUP($A28,Actions!$F$1:$AQ$70,38,0)/(1+VLOOKUP($A28,Actions!$F$1:$AQ$70,21,0)-VLOOKUP($A28,Actions!$F$1:$AQ$70,20,0)),0)</f>
        <v>0</v>
      </c>
      <c r="E28" s="1353">
        <f ca="1">IF(C28&lt;&gt;"",IF(VLOOKUP($A28,Actions!$F$1:$AQ$70,34,0)="Commune",(VLOOKUP($A28,Actions!$F$1:$AQ$70,24,0)-VLOOKUP($A28,Actions!$F$1:$AQ$70,26,0))/(1+VLOOKUP($A28,Actions!$F$1:$AQ$70,21,0)-VLOOKUP($A28,Actions!$F$1:$AQ$70,20,0)),0),0)</f>
        <v>0</v>
      </c>
      <c r="F28" s="1353">
        <v>0</v>
      </c>
      <c r="G28" s="1354" t="str">
        <f ca="1">IF(OR(Actions!$Y22=G$7,AND(Actions!$Y22&lt;=G$7,Actions!$Z22&gt;=G$7)),Actions!$AA22,"")</f>
        <v/>
      </c>
      <c r="H28" s="1353">
        <f ca="1">IF(G28&lt;&gt;"",VLOOKUP($A28,Actions!$F$1:$AQ$70,38,0)/(1+VLOOKUP($A28,Actions!$F$1:$AQ$70,21,0)-VLOOKUP($A28,Actions!$F$1:$AQ$70,20,0)),0)</f>
        <v>0</v>
      </c>
      <c r="I28" s="1353">
        <f ca="1">IF(G28&lt;&gt;"",IF(VLOOKUP($A28,Actions!$F$1:$AQ$70,34,0)="Commune",(VLOOKUP($A28,Actions!$F$1:$AQ$70,24,0)-VLOOKUP($A28,Actions!$F$1:$AQ$70,26,0))/(1+VLOOKUP($A28,Actions!$F$1:$AQ$70,21,0)-VLOOKUP($A28,Actions!$F$1:$AQ$70,20,0)),0),0)</f>
        <v>0</v>
      </c>
      <c r="J28" s="1353">
        <f ca="1">IF(C28="",F28,IF(AND(G28="",C28&lt;&gt;""),VLOOKUP($A28,Actions!$F$1:$AQ$70,31,0),0))</f>
        <v>0</v>
      </c>
      <c r="K28" s="1354" t="str">
        <f ca="1">IF(OR(Actions!$Y22=K$7,AND(Actions!$Y22&lt;=K$7,Actions!$Z22&gt;=K$7)),Actions!$AA22,"")</f>
        <v/>
      </c>
      <c r="L28" s="1353">
        <f ca="1">IF(K28&lt;&gt;"",VLOOKUP($A28,Actions!$F$1:$AQ$70,38,0)/(1+VLOOKUP($A28,Actions!$F$1:$AQ$70,21,0)-VLOOKUP($A28,Actions!$F$1:$AQ$70,20,0)),0)</f>
        <v>0</v>
      </c>
      <c r="M28" s="1353">
        <f ca="1">IF(K28&lt;&gt;"",IF(VLOOKUP($A28,Actions!$F$1:$AQ$70,34,0)="Commune",(VLOOKUP($A28,Actions!$F$1:$AQ$70,24,0)-VLOOKUP($A28,Actions!$F$1:$AQ$70,26,0))/(1+VLOOKUP($A28,Actions!$F$1:$AQ$70,21,0)-VLOOKUP($A28,Actions!$F$1:$AQ$70,20,0)),0),0)</f>
        <v>0</v>
      </c>
      <c r="N28" s="1353">
        <f ca="1">IF(G28="",J28,IF(AND(K28="",G28&lt;&gt;""),VLOOKUP($A28,Actions!$F$1:$AQ$70,31,0),0))</f>
        <v>0</v>
      </c>
      <c r="O28" s="1354" t="str">
        <f ca="1">IF(OR(Actions!$Y22=O$7,AND(Actions!$Y22&lt;=O$7,Actions!$Z22&gt;=O$7)),Actions!$AA22,"")</f>
        <v/>
      </c>
      <c r="P28" s="1353">
        <f ca="1">IF(O28&lt;&gt;"",VLOOKUP($A28,Actions!$F$1:$AQ$70,38,0)/(1+VLOOKUP($A28,Actions!$F$1:$AQ$70,21,0)-VLOOKUP($A28,Actions!$F$1:$AQ$70,20,0)),0)</f>
        <v>0</v>
      </c>
      <c r="Q28" s="1353">
        <f ca="1">IF(O28&lt;&gt;"",IF(VLOOKUP($A28,Actions!$F$1:$AQ$70,34,0)="Commune",(VLOOKUP($A28,Actions!$F$1:$AQ$70,24,0)-VLOOKUP($A28,Actions!$F$1:$AQ$70,26,0))/(1+VLOOKUP($A28,Actions!$F$1:$AQ$70,21,0)-VLOOKUP($A28,Actions!$F$1:$AQ$70,20,0)),0),0)</f>
        <v>0</v>
      </c>
      <c r="R28" s="1353">
        <f ca="1">IF(K28="",N28,IF(AND(O28="",K28&lt;&gt;""),VLOOKUP($A28,Actions!$F$1:$AQ$70,31,0),0))</f>
        <v>0</v>
      </c>
      <c r="S28" s="1354" t="str">
        <f ca="1">IF(OR(Actions!$Y22=S$7,AND(Actions!$Y22&lt;=S$7,Actions!$Z22&gt;=S$7)),Actions!$AA22,"")</f>
        <v/>
      </c>
      <c r="T28" s="1353">
        <f ca="1">IF(S28&lt;&gt;"",VLOOKUP($A28,Actions!$F$1:$AQ$70,38,0)/(1+VLOOKUP($A28,Actions!$F$1:$AQ$70,21,0)-VLOOKUP($A28,Actions!$F$1:$AQ$70,20,0)),0)</f>
        <v>0</v>
      </c>
      <c r="U28" s="1353">
        <f ca="1">IF(S28&lt;&gt;"",IF(VLOOKUP($A28,Actions!$F$1:$AQ$70,34,0)="Commune",(VLOOKUP($A28,Actions!$F$1:$AQ$70,24,0)-VLOOKUP($A28,Actions!$F$1:$AQ$70,26,0))/(1+VLOOKUP($A28,Actions!$F$1:$AQ$70,21,0)-VLOOKUP($A28,Actions!$F$1:$AQ$70,20,0)),0),0)</f>
        <v>0</v>
      </c>
      <c r="V28" s="1353">
        <f ca="1">IF(O28="",R28,IF(AND(S28="",O28&lt;&gt;""),VLOOKUP($A28,Actions!$F$1:$AQ$70,31,0),0))</f>
        <v>0</v>
      </c>
      <c r="W28" s="1354" t="str">
        <f ca="1">IF(OR(Actions!$Y22=W$7,AND(Actions!$Y22&lt;=W$7,Actions!$Z22&gt;=W$7)),Actions!$AA22,"")</f>
        <v/>
      </c>
      <c r="X28" s="1353">
        <f ca="1">IF(W28&lt;&gt;"",VLOOKUP($A28,Actions!$F$1:$AQ$70,38,0)/(1+VLOOKUP($A28,Actions!$F$1:$AQ$70,21,0)-VLOOKUP($A28,Actions!$F$1:$AQ$70,20,0)),0)</f>
        <v>0</v>
      </c>
      <c r="Y28" s="1353">
        <f ca="1">IF(W28&lt;&gt;"",IF(VLOOKUP($A28,Actions!$F$1:$AQ$70,34,0)="Commune",(VLOOKUP($A28,Actions!$F$1:$AQ$70,24,0)-VLOOKUP($A28,Actions!$F$1:$AQ$70,26,0))/(1+VLOOKUP($A28,Actions!$F$1:$AQ$70,21,0)-VLOOKUP($A28,Actions!$F$1:$AQ$70,20,0)),0),0)</f>
        <v>0</v>
      </c>
      <c r="Z28" s="1353">
        <f ca="1">IF(S28="",V28,IF(AND(W28="",S28&lt;&gt;""),VLOOKUP($A28,Actions!$F$1:$AQ$70,31,0),0))</f>
        <v>0</v>
      </c>
      <c r="AA28" s="1354" t="str">
        <f ca="1">IF(OR(Actions!$Y22=AA$7,AND(Actions!$Y22&lt;=AA$7,Actions!$Z22&gt;=AA$7)),Actions!$AA22,"")</f>
        <v/>
      </c>
      <c r="AB28" s="1353">
        <f ca="1">IF(AA28&lt;&gt;"",VLOOKUP($A28,Actions!$F$1:$AQ$70,38,0)/(1+VLOOKUP($A28,Actions!$F$1:$AQ$70,21,0)-VLOOKUP($A28,Actions!$F$1:$AQ$70,20,0)),0)</f>
        <v>0</v>
      </c>
      <c r="AC28" s="1353">
        <f ca="1">IF(AA28&lt;&gt;"",IF(VLOOKUP($A28,Actions!$F$1:$AQ$70,34,0)="Commune",(VLOOKUP($A28,Actions!$F$1:$AQ$70,24,0)-VLOOKUP($A28,Actions!$F$1:$AQ$70,26,0))/(1+VLOOKUP($A28,Actions!$F$1:$AQ$70,21,0)-VLOOKUP($A28,Actions!$F$1:$AQ$70,20,0)),0),0)</f>
        <v>0</v>
      </c>
      <c r="AD28" s="1353">
        <f ca="1">IF(W28="",Z28,IF(AND(AA28="",W28&lt;&gt;""),VLOOKUP($A28,Actions!$F$1:$AQ$70,31,0),0))</f>
        <v>0</v>
      </c>
      <c r="AE28" s="1354" t="str">
        <f ca="1">IF(OR(Actions!$Y22=AE$7,AND(Actions!$Y22&lt;=AE$7,Actions!$Z22&gt;=AE$7)),Actions!$AA22,"")</f>
        <v/>
      </c>
      <c r="AF28" s="1353">
        <f ca="1">IF(AE28&lt;&gt;"",VLOOKUP($A28,Actions!$F$1:$AQ$70,38,0)/(1+VLOOKUP($A28,Actions!$F$1:$AQ$70,21,0)-VLOOKUP($A28,Actions!$F$1:$AQ$70,20,0)),0)</f>
        <v>0</v>
      </c>
      <c r="AG28" s="1353">
        <f ca="1">IF(AE28&lt;&gt;"",IF(VLOOKUP($A28,Actions!$F$1:$AQ$70,34,0)="Commune",(VLOOKUP($A28,Actions!$F$1:$AQ$70,24,0)-VLOOKUP($A28,Actions!$F$1:$AQ$70,26,0))/(1+VLOOKUP($A28,Actions!$F$1:$AQ$70,21,0)-VLOOKUP($A28,Actions!$F$1:$AQ$70,20,0)),0),0)</f>
        <v>0</v>
      </c>
      <c r="AH28" s="1353">
        <f ca="1">IF(AA28="",AD28,IF(AND(AE28="",AA28&lt;&gt;""),VLOOKUP($A28,Actions!$F$1:$AQ$70,31,0),0))</f>
        <v>0</v>
      </c>
      <c r="AI28" s="1354" t="str">
        <f ca="1">IF(OR(Actions!$Y22=AI$7,AND(Actions!$Y22&lt;=AI$7,Actions!$Z22&gt;=AI$7)),Actions!$AA22,"")</f>
        <v/>
      </c>
      <c r="AJ28" s="1353">
        <f ca="1">IF(AI28&lt;&gt;"",VLOOKUP($A28,Actions!$F$1:$AQ$70,38,0)/(1+VLOOKUP($A28,Actions!$F$1:$AQ$70,21,0)-VLOOKUP($A28,Actions!$F$1:$AQ$70,20,0)),0)</f>
        <v>0</v>
      </c>
      <c r="AK28" s="1353">
        <f ca="1">IF(AI28&lt;&gt;"",IF(VLOOKUP($A28,Actions!$F$1:$AQ$70,34,0)="Commune",(VLOOKUP($A28,Actions!$F$1:$AQ$70,24,0)-VLOOKUP($A28,Actions!$F$1:$AQ$70,26,0))/(1+VLOOKUP($A28,Actions!$F$1:$AQ$70,21,0)-VLOOKUP($A28,Actions!$F$1:$AQ$70,20,0)),0),0)</f>
        <v>0</v>
      </c>
      <c r="AL28" s="1353">
        <f ca="1">IF(AE28="",AH28,IF(AND(AI28="",AE28&lt;&gt;""),VLOOKUP($A28,Actions!$F$1:$AQ$70,31,0),0))</f>
        <v>0</v>
      </c>
      <c r="AM28" s="1354" t="str">
        <f ca="1">IF(OR(Actions!$Y22=AM$7,AND(Actions!$Y22&lt;=AM$7,Actions!$Z22&gt;=AM$7)),Actions!$AA22,"")</f>
        <v/>
      </c>
      <c r="AN28" s="1353">
        <f ca="1">IF(AM28&lt;&gt;"",VLOOKUP($A28,Actions!$F$1:$AQ$70,38,0)/(1+VLOOKUP($A28,Actions!$F$1:$AQ$70,21,0)-VLOOKUP($A28,Actions!$F$1:$AQ$70,20,0)),0)</f>
        <v>0</v>
      </c>
      <c r="AO28" s="1353">
        <f ca="1">IF(AM28&lt;&gt;"",IF(VLOOKUP($A28,Actions!$F$1:$AQ$70,34,0)="Commune",(VLOOKUP($A28,Actions!$F$1:$AQ$70,24,0)-VLOOKUP($A28,Actions!$F$1:$AQ$70,26,0))/(1+VLOOKUP($A28,Actions!$F$1:$AQ$70,21,0)-VLOOKUP($A28,Actions!$F$1:$AQ$70,20,0)),0),0)</f>
        <v>0</v>
      </c>
      <c r="AP28" s="1353">
        <f ca="1">IF(AI28="",AL28,IF(AND(AM28="",AI28&lt;&gt;""),VLOOKUP($A28,Actions!$F$1:$AQ$70,31,0),0))</f>
        <v>0</v>
      </c>
      <c r="AQ28" s="1354" t="str">
        <f ca="1">IF(OR(Actions!$Y22=AQ$7,AND(Actions!$Y22&lt;=AQ$7,Actions!$Z22&gt;=AQ$7)),Actions!$AA22,"")</f>
        <v/>
      </c>
      <c r="AR28" s="1353">
        <f ca="1">IF(AQ28&lt;&gt;"",VLOOKUP($A28,Actions!$F$1:$AQ$70,38,0)/(1+VLOOKUP($A28,Actions!$F$1:$AQ$70,21,0)-VLOOKUP($A28,Actions!$F$1:$AQ$70,20,0)),0)</f>
        <v>0</v>
      </c>
      <c r="AS28" s="1353">
        <f ca="1">IF(AQ28&lt;&gt;"",IF(VLOOKUP($A28,Actions!$F$1:$AQ$70,34,0)="Commune",(VLOOKUP($A28,Actions!$F$1:$AQ$70,24,0)-VLOOKUP($A28,Actions!$F$1:$AQ$70,26,0))/(1+VLOOKUP($A28,Actions!$F$1:$AQ$70,21,0)-VLOOKUP($A28,Actions!$F$1:$AQ$70,20,0)),0),0)</f>
        <v>0</v>
      </c>
      <c r="AT28" s="1353">
        <f ca="1">IF(AM28="",AP28,IF(AND(AQ28="",AM28&lt;&gt;""),VLOOKUP($A28,Actions!$F$1:$AQ$70,31,0),0))</f>
        <v>0</v>
      </c>
      <c r="AU28" s="1354" t="str">
        <f ca="1">IF(OR(Actions!$Y22=AU$7,AND(Actions!$Y22&lt;=AU$7,Actions!$Z22&gt;=AU$7)),Actions!$AA22,"")</f>
        <v/>
      </c>
      <c r="AV28" s="1353">
        <f ca="1">IF(AU28&lt;&gt;"",VLOOKUP($A28,Actions!$F$1:$AQ$70,38,0)/(1+VLOOKUP($A28,Actions!$F$1:$AQ$70,21,0)-VLOOKUP($A28,Actions!$F$1:$AQ$70,20,0)),0)</f>
        <v>0</v>
      </c>
      <c r="AW28" s="1353">
        <f ca="1">IF(AU28&lt;&gt;"",IF(VLOOKUP($A28,Actions!$F$1:$AQ$70,34,0)="Commune",(VLOOKUP($A28,Actions!$F$1:$AQ$70,24,0)-VLOOKUP($A28,Actions!$F$1:$AQ$70,26,0))/(1+VLOOKUP($A28,Actions!$F$1:$AQ$70,21,0)-VLOOKUP($A28,Actions!$F$1:$AQ$70,20,0)),0),0)</f>
        <v>0</v>
      </c>
      <c r="AX28" s="1353">
        <f ca="1">IF(AQ28="",AT28,IF(AND(AU28="",AQ28&lt;&gt;""),VLOOKUP($A28,Actions!$F$1:$AQ$70,31,0),0))</f>
        <v>0</v>
      </c>
      <c r="AY28" s="1354" t="str">
        <f ca="1">IF(OR(Actions!$Y22=AY$7,AND(Actions!$Y22&lt;=AY$7,Actions!$Z22&gt;=AY$7)),Actions!$AA22,"")</f>
        <v/>
      </c>
      <c r="AZ28" s="1353">
        <f ca="1">IF(AY28&lt;&gt;"",VLOOKUP($A28,Actions!$F$1:$AQ$70,38,0)/(1+VLOOKUP($A28,Actions!$F$1:$AQ$70,21,0)-VLOOKUP($A28,Actions!$F$1:$AQ$70,20,0)),0)</f>
        <v>0</v>
      </c>
      <c r="BA28" s="1353">
        <f ca="1">IF(AY28&lt;&gt;"",IF(VLOOKUP($A28,Actions!$F$1:$AQ$70,34,0)="Commune",(VLOOKUP($A28,Actions!$F$1:$AQ$70,24,0)-VLOOKUP($A28,Actions!$F$1:$AQ$70,26,0))/(1+VLOOKUP($A28,Actions!$F$1:$AQ$70,21,0)-VLOOKUP($A28,Actions!$F$1:$AQ$70,20,0)),0),0)</f>
        <v>0</v>
      </c>
      <c r="BB28" s="1353">
        <f ca="1">IF(AU28="",AX28,IF(AND(AY28="",AU28&lt;&gt;""),VLOOKUP($A28,Actions!$F$1:$AQ$70,31,0),0))</f>
        <v>0</v>
      </c>
      <c r="BC28" s="1354" t="str">
        <f ca="1">IF(OR(Actions!$Y22=BC$7,AND(Actions!$Y22&lt;=BC$7,Actions!$Z22&gt;=BC$7)),Actions!$AA22,"")</f>
        <v/>
      </c>
      <c r="BD28" s="1353">
        <f ca="1">IF(BC28&lt;&gt;"",VLOOKUP($A28,Actions!$F$1:$AQ$70,38,0)/(1+VLOOKUP($A28,Actions!$F$1:$AQ$70,21,0)-VLOOKUP($A28,Actions!$F$1:$AQ$70,20,0)),0)</f>
        <v>0</v>
      </c>
      <c r="BE28" s="1353">
        <f ca="1">IF(BC28&lt;&gt;"",IF(VLOOKUP($A28,Actions!$F$1:$AQ$70,34,0)="Commune",(VLOOKUP($A28,Actions!$F$1:$AQ$70,24,0)-VLOOKUP($A28,Actions!$F$1:$AQ$70,26,0))/(1+VLOOKUP($A28,Actions!$F$1:$AQ$70,21,0)-VLOOKUP($A28,Actions!$F$1:$AQ$70,20,0)),0),0)</f>
        <v>0</v>
      </c>
      <c r="BF28" s="1353">
        <f ca="1">IF(AY28="",BB28,IF(AND(BC28="",AY28&lt;&gt;""),VLOOKUP($A28,Actions!$F$1:$AQ$70,31,0),0))</f>
        <v>0</v>
      </c>
      <c r="BG28" s="1355">
        <f t="shared" ca="1" si="0"/>
        <v>0</v>
      </c>
      <c r="BJ28" s="233"/>
      <c r="BK28" s="233"/>
      <c r="BL28" s="233"/>
      <c r="BM28" s="233"/>
      <c r="BN28" s="233"/>
      <c r="BO28" s="233"/>
    </row>
    <row r="29" spans="1:67">
      <c r="A29" s="1349">
        <f>Actions!F23</f>
        <v>22</v>
      </c>
      <c r="B29" s="1352">
        <f ca="1">Actions!G23</f>
        <v>0</v>
      </c>
      <c r="C29" s="1353" t="str">
        <f ca="1">IF(OR(AND(Actions!Y23&gt;0,Actions!Y23&lt;=$C$7,Actions!Z23&gt;=$C$7),AND(Actions!Y23&gt;0,Actions!Y23&lt;=$C$7,Actions!Z23&lt;Actions!Y23),AND(Actions!Y23=0,Actions!Z23&gt;=$C$7)),Actions!$AA23,"")</f>
        <v/>
      </c>
      <c r="D29" s="1353">
        <f ca="1">IF(C29&lt;&gt;"",VLOOKUP($A29,Actions!$F$1:$AQ$70,38,0)/(1+VLOOKUP($A29,Actions!$F$1:$AQ$70,21,0)-VLOOKUP($A29,Actions!$F$1:$AQ$70,20,0)),0)</f>
        <v>0</v>
      </c>
      <c r="E29" s="1353">
        <f ca="1">IF(C29&lt;&gt;"",IF(VLOOKUP($A29,Actions!$F$1:$AQ$70,34,0)="Commune",(VLOOKUP($A29,Actions!$F$1:$AQ$70,24,0)-VLOOKUP($A29,Actions!$F$1:$AQ$70,26,0))/(1+VLOOKUP($A29,Actions!$F$1:$AQ$70,21,0)-VLOOKUP($A29,Actions!$F$1:$AQ$70,20,0)),0),0)</f>
        <v>0</v>
      </c>
      <c r="F29" s="1353">
        <v>0</v>
      </c>
      <c r="G29" s="1354" t="str">
        <f ca="1">IF(OR(Actions!$Y23=G$7,AND(Actions!$Y23&lt;=G$7,Actions!$Z23&gt;=G$7)),Actions!$AA23,"")</f>
        <v/>
      </c>
      <c r="H29" s="1353">
        <f ca="1">IF(G29&lt;&gt;"",VLOOKUP($A29,Actions!$F$1:$AQ$70,38,0)/(1+VLOOKUP($A29,Actions!$F$1:$AQ$70,21,0)-VLOOKUP($A29,Actions!$F$1:$AQ$70,20,0)),0)</f>
        <v>0</v>
      </c>
      <c r="I29" s="1353">
        <f ca="1">IF(G29&lt;&gt;"",IF(VLOOKUP($A29,Actions!$F$1:$AQ$70,34,0)="Commune",(VLOOKUP($A29,Actions!$F$1:$AQ$70,24,0)-VLOOKUP($A29,Actions!$F$1:$AQ$70,26,0))/(1+VLOOKUP($A29,Actions!$F$1:$AQ$70,21,0)-VLOOKUP($A29,Actions!$F$1:$AQ$70,20,0)),0),0)</f>
        <v>0</v>
      </c>
      <c r="J29" s="1353">
        <f ca="1">IF(C29="",F29,IF(AND(G29="",C29&lt;&gt;""),VLOOKUP($A29,Actions!$F$1:$AQ$70,31,0),0))</f>
        <v>0</v>
      </c>
      <c r="K29" s="1354" t="str">
        <f ca="1">IF(OR(Actions!$Y23=K$7,AND(Actions!$Y23&lt;=K$7,Actions!$Z23&gt;=K$7)),Actions!$AA23,"")</f>
        <v/>
      </c>
      <c r="L29" s="1353">
        <f ca="1">IF(K29&lt;&gt;"",VLOOKUP($A29,Actions!$F$1:$AQ$70,38,0)/(1+VLOOKUP($A29,Actions!$F$1:$AQ$70,21,0)-VLOOKUP($A29,Actions!$F$1:$AQ$70,20,0)),0)</f>
        <v>0</v>
      </c>
      <c r="M29" s="1353">
        <f ca="1">IF(K29&lt;&gt;"",IF(VLOOKUP($A29,Actions!$F$1:$AQ$70,34,0)="Commune",(VLOOKUP($A29,Actions!$F$1:$AQ$70,24,0)-VLOOKUP($A29,Actions!$F$1:$AQ$70,26,0))/(1+VLOOKUP($A29,Actions!$F$1:$AQ$70,21,0)-VLOOKUP($A29,Actions!$F$1:$AQ$70,20,0)),0),0)</f>
        <v>0</v>
      </c>
      <c r="N29" s="1353">
        <f ca="1">IF(G29="",J29,IF(AND(K29="",G29&lt;&gt;""),VLOOKUP($A29,Actions!$F$1:$AQ$70,31,0),0))</f>
        <v>0</v>
      </c>
      <c r="O29" s="1354" t="str">
        <f ca="1">IF(OR(Actions!$Y23=O$7,AND(Actions!$Y23&lt;=O$7,Actions!$Z23&gt;=O$7)),Actions!$AA23,"")</f>
        <v/>
      </c>
      <c r="P29" s="1353">
        <f ca="1">IF(O29&lt;&gt;"",VLOOKUP($A29,Actions!$F$1:$AQ$70,38,0)/(1+VLOOKUP($A29,Actions!$F$1:$AQ$70,21,0)-VLOOKUP($A29,Actions!$F$1:$AQ$70,20,0)),0)</f>
        <v>0</v>
      </c>
      <c r="Q29" s="1353">
        <f ca="1">IF(O29&lt;&gt;"",IF(VLOOKUP($A29,Actions!$F$1:$AQ$70,34,0)="Commune",(VLOOKUP($A29,Actions!$F$1:$AQ$70,24,0)-VLOOKUP($A29,Actions!$F$1:$AQ$70,26,0))/(1+VLOOKUP($A29,Actions!$F$1:$AQ$70,21,0)-VLOOKUP($A29,Actions!$F$1:$AQ$70,20,0)),0),0)</f>
        <v>0</v>
      </c>
      <c r="R29" s="1353">
        <f ca="1">IF(K29="",N29,IF(AND(O29="",K29&lt;&gt;""),VLOOKUP($A29,Actions!$F$1:$AQ$70,31,0),0))</f>
        <v>0</v>
      </c>
      <c r="S29" s="1354" t="str">
        <f ca="1">IF(OR(Actions!$Y23=S$7,AND(Actions!$Y23&lt;=S$7,Actions!$Z23&gt;=S$7)),Actions!$AA23,"")</f>
        <v/>
      </c>
      <c r="T29" s="1353">
        <f ca="1">IF(S29&lt;&gt;"",VLOOKUP($A29,Actions!$F$1:$AQ$70,38,0)/(1+VLOOKUP($A29,Actions!$F$1:$AQ$70,21,0)-VLOOKUP($A29,Actions!$F$1:$AQ$70,20,0)),0)</f>
        <v>0</v>
      </c>
      <c r="U29" s="1353">
        <f ca="1">IF(S29&lt;&gt;"",IF(VLOOKUP($A29,Actions!$F$1:$AQ$70,34,0)="Commune",(VLOOKUP($A29,Actions!$F$1:$AQ$70,24,0)-VLOOKUP($A29,Actions!$F$1:$AQ$70,26,0))/(1+VLOOKUP($A29,Actions!$F$1:$AQ$70,21,0)-VLOOKUP($A29,Actions!$F$1:$AQ$70,20,0)),0),0)</f>
        <v>0</v>
      </c>
      <c r="V29" s="1353">
        <f ca="1">IF(O29="",R29,IF(AND(S29="",O29&lt;&gt;""),VLOOKUP($A29,Actions!$F$1:$AQ$70,31,0),0))</f>
        <v>0</v>
      </c>
      <c r="W29" s="1354" t="str">
        <f ca="1">IF(OR(Actions!$Y23=W$7,AND(Actions!$Y23&lt;=W$7,Actions!$Z23&gt;=W$7)),Actions!$AA23,"")</f>
        <v/>
      </c>
      <c r="X29" s="1353">
        <f ca="1">IF(W29&lt;&gt;"",VLOOKUP($A29,Actions!$F$1:$AQ$70,38,0)/(1+VLOOKUP($A29,Actions!$F$1:$AQ$70,21,0)-VLOOKUP($A29,Actions!$F$1:$AQ$70,20,0)),0)</f>
        <v>0</v>
      </c>
      <c r="Y29" s="1353">
        <f ca="1">IF(W29&lt;&gt;"",IF(VLOOKUP($A29,Actions!$F$1:$AQ$70,34,0)="Commune",(VLOOKUP($A29,Actions!$F$1:$AQ$70,24,0)-VLOOKUP($A29,Actions!$F$1:$AQ$70,26,0))/(1+VLOOKUP($A29,Actions!$F$1:$AQ$70,21,0)-VLOOKUP($A29,Actions!$F$1:$AQ$70,20,0)),0),0)</f>
        <v>0</v>
      </c>
      <c r="Z29" s="1353">
        <f ca="1">IF(S29="",V29,IF(AND(W29="",S29&lt;&gt;""),VLOOKUP($A29,Actions!$F$1:$AQ$70,31,0),0))</f>
        <v>0</v>
      </c>
      <c r="AA29" s="1354" t="str">
        <f ca="1">IF(OR(Actions!$Y23=AA$7,AND(Actions!$Y23&lt;=AA$7,Actions!$Z23&gt;=AA$7)),Actions!$AA23,"")</f>
        <v/>
      </c>
      <c r="AB29" s="1353">
        <f ca="1">IF(AA29&lt;&gt;"",VLOOKUP($A29,Actions!$F$1:$AQ$70,38,0)/(1+VLOOKUP($A29,Actions!$F$1:$AQ$70,21,0)-VLOOKUP($A29,Actions!$F$1:$AQ$70,20,0)),0)</f>
        <v>0</v>
      </c>
      <c r="AC29" s="1353">
        <f ca="1">IF(AA29&lt;&gt;"",IF(VLOOKUP($A29,Actions!$F$1:$AQ$70,34,0)="Commune",(VLOOKUP($A29,Actions!$F$1:$AQ$70,24,0)-VLOOKUP($A29,Actions!$F$1:$AQ$70,26,0))/(1+VLOOKUP($A29,Actions!$F$1:$AQ$70,21,0)-VLOOKUP($A29,Actions!$F$1:$AQ$70,20,0)),0),0)</f>
        <v>0</v>
      </c>
      <c r="AD29" s="1353">
        <f ca="1">IF(W29="",Z29,IF(AND(AA29="",W29&lt;&gt;""),VLOOKUP($A29,Actions!$F$1:$AQ$70,31,0),0))</f>
        <v>0</v>
      </c>
      <c r="AE29" s="1354" t="str">
        <f ca="1">IF(OR(Actions!$Y23=AE$7,AND(Actions!$Y23&lt;=AE$7,Actions!$Z23&gt;=AE$7)),Actions!$AA23,"")</f>
        <v/>
      </c>
      <c r="AF29" s="1353">
        <f ca="1">IF(AE29&lt;&gt;"",VLOOKUP($A29,Actions!$F$1:$AQ$70,38,0)/(1+VLOOKUP($A29,Actions!$F$1:$AQ$70,21,0)-VLOOKUP($A29,Actions!$F$1:$AQ$70,20,0)),0)</f>
        <v>0</v>
      </c>
      <c r="AG29" s="1353">
        <f ca="1">IF(AE29&lt;&gt;"",IF(VLOOKUP($A29,Actions!$F$1:$AQ$70,34,0)="Commune",(VLOOKUP($A29,Actions!$F$1:$AQ$70,24,0)-VLOOKUP($A29,Actions!$F$1:$AQ$70,26,0))/(1+VLOOKUP($A29,Actions!$F$1:$AQ$70,21,0)-VLOOKUP($A29,Actions!$F$1:$AQ$70,20,0)),0),0)</f>
        <v>0</v>
      </c>
      <c r="AH29" s="1353">
        <f ca="1">IF(AA29="",AD29,IF(AND(AE29="",AA29&lt;&gt;""),VLOOKUP($A29,Actions!$F$1:$AQ$70,31,0),0))</f>
        <v>0</v>
      </c>
      <c r="AI29" s="1354" t="str">
        <f ca="1">IF(OR(Actions!$Y23=AI$7,AND(Actions!$Y23&lt;=AI$7,Actions!$Z23&gt;=AI$7)),Actions!$AA23,"")</f>
        <v/>
      </c>
      <c r="AJ29" s="1353">
        <f ca="1">IF(AI29&lt;&gt;"",VLOOKUP($A29,Actions!$F$1:$AQ$70,38,0)/(1+VLOOKUP($A29,Actions!$F$1:$AQ$70,21,0)-VLOOKUP($A29,Actions!$F$1:$AQ$70,20,0)),0)</f>
        <v>0</v>
      </c>
      <c r="AK29" s="1353">
        <f ca="1">IF(AI29&lt;&gt;"",IF(VLOOKUP($A29,Actions!$F$1:$AQ$70,34,0)="Commune",(VLOOKUP($A29,Actions!$F$1:$AQ$70,24,0)-VLOOKUP($A29,Actions!$F$1:$AQ$70,26,0))/(1+VLOOKUP($A29,Actions!$F$1:$AQ$70,21,0)-VLOOKUP($A29,Actions!$F$1:$AQ$70,20,0)),0),0)</f>
        <v>0</v>
      </c>
      <c r="AL29" s="1353">
        <f ca="1">IF(AE29="",AH29,IF(AND(AI29="",AE29&lt;&gt;""),VLOOKUP($A29,Actions!$F$1:$AQ$70,31,0),0))</f>
        <v>0</v>
      </c>
      <c r="AM29" s="1354" t="str">
        <f ca="1">IF(OR(Actions!$Y23=AM$7,AND(Actions!$Y23&lt;=AM$7,Actions!$Z23&gt;=AM$7)),Actions!$AA23,"")</f>
        <v/>
      </c>
      <c r="AN29" s="1353">
        <f ca="1">IF(AM29&lt;&gt;"",VLOOKUP($A29,Actions!$F$1:$AQ$70,38,0)/(1+VLOOKUP($A29,Actions!$F$1:$AQ$70,21,0)-VLOOKUP($A29,Actions!$F$1:$AQ$70,20,0)),0)</f>
        <v>0</v>
      </c>
      <c r="AO29" s="1353">
        <f ca="1">IF(AM29&lt;&gt;"",IF(VLOOKUP($A29,Actions!$F$1:$AQ$70,34,0)="Commune",(VLOOKUP($A29,Actions!$F$1:$AQ$70,24,0)-VLOOKUP($A29,Actions!$F$1:$AQ$70,26,0))/(1+VLOOKUP($A29,Actions!$F$1:$AQ$70,21,0)-VLOOKUP($A29,Actions!$F$1:$AQ$70,20,0)),0),0)</f>
        <v>0</v>
      </c>
      <c r="AP29" s="1353">
        <f ca="1">IF(AI29="",AL29,IF(AND(AM29="",AI29&lt;&gt;""),VLOOKUP($A29,Actions!$F$1:$AQ$70,31,0),0))</f>
        <v>0</v>
      </c>
      <c r="AQ29" s="1354" t="str">
        <f ca="1">IF(OR(Actions!$Y23=AQ$7,AND(Actions!$Y23&lt;=AQ$7,Actions!$Z23&gt;=AQ$7)),Actions!$AA23,"")</f>
        <v/>
      </c>
      <c r="AR29" s="1353">
        <f ca="1">IF(AQ29&lt;&gt;"",VLOOKUP($A29,Actions!$F$1:$AQ$70,38,0)/(1+VLOOKUP($A29,Actions!$F$1:$AQ$70,21,0)-VLOOKUP($A29,Actions!$F$1:$AQ$70,20,0)),0)</f>
        <v>0</v>
      </c>
      <c r="AS29" s="1353">
        <f ca="1">IF(AQ29&lt;&gt;"",IF(VLOOKUP($A29,Actions!$F$1:$AQ$70,34,0)="Commune",(VLOOKUP($A29,Actions!$F$1:$AQ$70,24,0)-VLOOKUP($A29,Actions!$F$1:$AQ$70,26,0))/(1+VLOOKUP($A29,Actions!$F$1:$AQ$70,21,0)-VLOOKUP($A29,Actions!$F$1:$AQ$70,20,0)),0),0)</f>
        <v>0</v>
      </c>
      <c r="AT29" s="1353">
        <f ca="1">IF(AM29="",AP29,IF(AND(AQ29="",AM29&lt;&gt;""),VLOOKUP($A29,Actions!$F$1:$AQ$70,31,0),0))</f>
        <v>0</v>
      </c>
      <c r="AU29" s="1354" t="str">
        <f ca="1">IF(OR(Actions!$Y23=AU$7,AND(Actions!$Y23&lt;=AU$7,Actions!$Z23&gt;=AU$7)),Actions!$AA23,"")</f>
        <v/>
      </c>
      <c r="AV29" s="1353">
        <f ca="1">IF(AU29&lt;&gt;"",VLOOKUP($A29,Actions!$F$1:$AQ$70,38,0)/(1+VLOOKUP($A29,Actions!$F$1:$AQ$70,21,0)-VLOOKUP($A29,Actions!$F$1:$AQ$70,20,0)),0)</f>
        <v>0</v>
      </c>
      <c r="AW29" s="1353">
        <f ca="1">IF(AU29&lt;&gt;"",IF(VLOOKUP($A29,Actions!$F$1:$AQ$70,34,0)="Commune",(VLOOKUP($A29,Actions!$F$1:$AQ$70,24,0)-VLOOKUP($A29,Actions!$F$1:$AQ$70,26,0))/(1+VLOOKUP($A29,Actions!$F$1:$AQ$70,21,0)-VLOOKUP($A29,Actions!$F$1:$AQ$70,20,0)),0),0)</f>
        <v>0</v>
      </c>
      <c r="AX29" s="1353">
        <f ca="1">IF(AQ29="",AT29,IF(AND(AU29="",AQ29&lt;&gt;""),VLOOKUP($A29,Actions!$F$1:$AQ$70,31,0),0))</f>
        <v>0</v>
      </c>
      <c r="AY29" s="1354" t="str">
        <f ca="1">IF(OR(Actions!$Y23=AY$7,AND(Actions!$Y23&lt;=AY$7,Actions!$Z23&gt;=AY$7)),Actions!$AA23,"")</f>
        <v/>
      </c>
      <c r="AZ29" s="1353">
        <f ca="1">IF(AY29&lt;&gt;"",VLOOKUP($A29,Actions!$F$1:$AQ$70,38,0)/(1+VLOOKUP($A29,Actions!$F$1:$AQ$70,21,0)-VLOOKUP($A29,Actions!$F$1:$AQ$70,20,0)),0)</f>
        <v>0</v>
      </c>
      <c r="BA29" s="1353">
        <f ca="1">IF(AY29&lt;&gt;"",IF(VLOOKUP($A29,Actions!$F$1:$AQ$70,34,0)="Commune",(VLOOKUP($A29,Actions!$F$1:$AQ$70,24,0)-VLOOKUP($A29,Actions!$F$1:$AQ$70,26,0))/(1+VLOOKUP($A29,Actions!$F$1:$AQ$70,21,0)-VLOOKUP($A29,Actions!$F$1:$AQ$70,20,0)),0),0)</f>
        <v>0</v>
      </c>
      <c r="BB29" s="1353">
        <f ca="1">IF(AU29="",AX29,IF(AND(AY29="",AU29&lt;&gt;""),VLOOKUP($A29,Actions!$F$1:$AQ$70,31,0),0))</f>
        <v>0</v>
      </c>
      <c r="BC29" s="1354" t="str">
        <f ca="1">IF(OR(Actions!$Y23=BC$7,AND(Actions!$Y23&lt;=BC$7,Actions!$Z23&gt;=BC$7)),Actions!$AA23,"")</f>
        <v/>
      </c>
      <c r="BD29" s="1353">
        <f ca="1">IF(BC29&lt;&gt;"",VLOOKUP($A29,Actions!$F$1:$AQ$70,38,0)/(1+VLOOKUP($A29,Actions!$F$1:$AQ$70,21,0)-VLOOKUP($A29,Actions!$F$1:$AQ$70,20,0)),0)</f>
        <v>0</v>
      </c>
      <c r="BE29" s="1353">
        <f ca="1">IF(BC29&lt;&gt;"",IF(VLOOKUP($A29,Actions!$F$1:$AQ$70,34,0)="Commune",(VLOOKUP($A29,Actions!$F$1:$AQ$70,24,0)-VLOOKUP($A29,Actions!$F$1:$AQ$70,26,0))/(1+VLOOKUP($A29,Actions!$F$1:$AQ$70,21,0)-VLOOKUP($A29,Actions!$F$1:$AQ$70,20,0)),0),0)</f>
        <v>0</v>
      </c>
      <c r="BF29" s="1353">
        <f ca="1">IF(AY29="",BB29,IF(AND(BC29="",AY29&lt;&gt;""),VLOOKUP($A29,Actions!$F$1:$AQ$70,31,0),0))</f>
        <v>0</v>
      </c>
      <c r="BG29" s="1355">
        <f t="shared" ca="1" si="0"/>
        <v>0</v>
      </c>
      <c r="BJ29" s="233"/>
      <c r="BK29" s="233"/>
      <c r="BL29" s="233"/>
      <c r="BM29" s="233"/>
      <c r="BN29" s="233"/>
      <c r="BO29" s="233"/>
    </row>
    <row r="30" spans="1:67">
      <c r="A30" s="1349">
        <f>Actions!F24</f>
        <v>23</v>
      </c>
      <c r="B30" s="1352">
        <f ca="1">Actions!G24</f>
        <v>0</v>
      </c>
      <c r="C30" s="1353" t="str">
        <f ca="1">IF(OR(AND(Actions!Y24&gt;0,Actions!Y24&lt;=$C$7,Actions!Z24&gt;=$C$7),AND(Actions!Y24&gt;0,Actions!Y24&lt;=$C$7,Actions!Z24&lt;Actions!Y24),AND(Actions!Y24=0,Actions!Z24&gt;=$C$7)),Actions!$AA24,"")</f>
        <v/>
      </c>
      <c r="D30" s="1353">
        <f ca="1">IF(C30&lt;&gt;"",VLOOKUP($A30,Actions!$F$1:$AQ$70,38,0)/(1+VLOOKUP($A30,Actions!$F$1:$AQ$70,21,0)-VLOOKUP($A30,Actions!$F$1:$AQ$70,20,0)),0)</f>
        <v>0</v>
      </c>
      <c r="E30" s="1353">
        <f ca="1">IF(C30&lt;&gt;"",IF(VLOOKUP($A30,Actions!$F$1:$AQ$70,34,0)="Commune",(VLOOKUP($A30,Actions!$F$1:$AQ$70,24,0)-VLOOKUP($A30,Actions!$F$1:$AQ$70,26,0))/(1+VLOOKUP($A30,Actions!$F$1:$AQ$70,21,0)-VLOOKUP($A30,Actions!$F$1:$AQ$70,20,0)),0),0)</f>
        <v>0</v>
      </c>
      <c r="F30" s="1353">
        <v>0</v>
      </c>
      <c r="G30" s="1354" t="str">
        <f ca="1">IF(OR(Actions!$Y24=G$7,AND(Actions!$Y24&lt;=G$7,Actions!$Z24&gt;=G$7)),Actions!$AA24,"")</f>
        <v/>
      </c>
      <c r="H30" s="1353">
        <f ca="1">IF(G30&lt;&gt;"",VLOOKUP($A30,Actions!$F$1:$AQ$70,38,0)/(1+VLOOKUP($A30,Actions!$F$1:$AQ$70,21,0)-VLOOKUP($A30,Actions!$F$1:$AQ$70,20,0)),0)</f>
        <v>0</v>
      </c>
      <c r="I30" s="1353">
        <f ca="1">IF(G30&lt;&gt;"",IF(VLOOKUP($A30,Actions!$F$1:$AQ$70,34,0)="Commune",(VLOOKUP($A30,Actions!$F$1:$AQ$70,24,0)-VLOOKUP($A30,Actions!$F$1:$AQ$70,26,0))/(1+VLOOKUP($A30,Actions!$F$1:$AQ$70,21,0)-VLOOKUP($A30,Actions!$F$1:$AQ$70,20,0)),0),0)</f>
        <v>0</v>
      </c>
      <c r="J30" s="1353">
        <f ca="1">IF(C30="",F30,IF(AND(G30="",C30&lt;&gt;""),VLOOKUP($A30,Actions!$F$1:$AQ$70,31,0),0))</f>
        <v>0</v>
      </c>
      <c r="K30" s="1354" t="str">
        <f ca="1">IF(OR(Actions!$Y24=K$7,AND(Actions!$Y24&lt;=K$7,Actions!$Z24&gt;=K$7)),Actions!$AA24,"")</f>
        <v/>
      </c>
      <c r="L30" s="1353">
        <f ca="1">IF(K30&lt;&gt;"",VLOOKUP($A30,Actions!$F$1:$AQ$70,38,0)/(1+VLOOKUP($A30,Actions!$F$1:$AQ$70,21,0)-VLOOKUP($A30,Actions!$F$1:$AQ$70,20,0)),0)</f>
        <v>0</v>
      </c>
      <c r="M30" s="1353">
        <f ca="1">IF(K30&lt;&gt;"",IF(VLOOKUP($A30,Actions!$F$1:$AQ$70,34,0)="Commune",(VLOOKUP($A30,Actions!$F$1:$AQ$70,24,0)-VLOOKUP($A30,Actions!$F$1:$AQ$70,26,0))/(1+VLOOKUP($A30,Actions!$F$1:$AQ$70,21,0)-VLOOKUP($A30,Actions!$F$1:$AQ$70,20,0)),0),0)</f>
        <v>0</v>
      </c>
      <c r="N30" s="1353">
        <f ca="1">IF(G30="",J30,IF(AND(K30="",G30&lt;&gt;""),VLOOKUP($A30,Actions!$F$1:$AQ$70,31,0),0))</f>
        <v>0</v>
      </c>
      <c r="O30" s="1354" t="str">
        <f ca="1">IF(OR(Actions!$Y24=O$7,AND(Actions!$Y24&lt;=O$7,Actions!$Z24&gt;=O$7)),Actions!$AA24,"")</f>
        <v/>
      </c>
      <c r="P30" s="1353">
        <f ca="1">IF(O30&lt;&gt;"",VLOOKUP($A30,Actions!$F$1:$AQ$70,38,0)/(1+VLOOKUP($A30,Actions!$F$1:$AQ$70,21,0)-VLOOKUP($A30,Actions!$F$1:$AQ$70,20,0)),0)</f>
        <v>0</v>
      </c>
      <c r="Q30" s="1353">
        <f ca="1">IF(O30&lt;&gt;"",IF(VLOOKUP($A30,Actions!$F$1:$AQ$70,34,0)="Commune",(VLOOKUP($A30,Actions!$F$1:$AQ$70,24,0)-VLOOKUP($A30,Actions!$F$1:$AQ$70,26,0))/(1+VLOOKUP($A30,Actions!$F$1:$AQ$70,21,0)-VLOOKUP($A30,Actions!$F$1:$AQ$70,20,0)),0),0)</f>
        <v>0</v>
      </c>
      <c r="R30" s="1353">
        <f ca="1">IF(K30="",N30,IF(AND(O30="",K30&lt;&gt;""),VLOOKUP($A30,Actions!$F$1:$AQ$70,31,0),0))</f>
        <v>0</v>
      </c>
      <c r="S30" s="1354" t="str">
        <f ca="1">IF(OR(Actions!$Y24=S$7,AND(Actions!$Y24&lt;=S$7,Actions!$Z24&gt;=S$7)),Actions!$AA24,"")</f>
        <v/>
      </c>
      <c r="T30" s="1353">
        <f ca="1">IF(S30&lt;&gt;"",VLOOKUP($A30,Actions!$F$1:$AQ$70,38,0)/(1+VLOOKUP($A30,Actions!$F$1:$AQ$70,21,0)-VLOOKUP($A30,Actions!$F$1:$AQ$70,20,0)),0)</f>
        <v>0</v>
      </c>
      <c r="U30" s="1353">
        <f ca="1">IF(S30&lt;&gt;"",IF(VLOOKUP($A30,Actions!$F$1:$AQ$70,34,0)="Commune",(VLOOKUP($A30,Actions!$F$1:$AQ$70,24,0)-VLOOKUP($A30,Actions!$F$1:$AQ$70,26,0))/(1+VLOOKUP($A30,Actions!$F$1:$AQ$70,21,0)-VLOOKUP($A30,Actions!$F$1:$AQ$70,20,0)),0),0)</f>
        <v>0</v>
      </c>
      <c r="V30" s="1353">
        <f ca="1">IF(O30="",R30,IF(AND(S30="",O30&lt;&gt;""),VLOOKUP($A30,Actions!$F$1:$AQ$70,31,0),0))</f>
        <v>0</v>
      </c>
      <c r="W30" s="1354" t="str">
        <f ca="1">IF(OR(Actions!$Y24=W$7,AND(Actions!$Y24&lt;=W$7,Actions!$Z24&gt;=W$7)),Actions!$AA24,"")</f>
        <v/>
      </c>
      <c r="X30" s="1353">
        <f ca="1">IF(W30&lt;&gt;"",VLOOKUP($A30,Actions!$F$1:$AQ$70,38,0)/(1+VLOOKUP($A30,Actions!$F$1:$AQ$70,21,0)-VLOOKUP($A30,Actions!$F$1:$AQ$70,20,0)),0)</f>
        <v>0</v>
      </c>
      <c r="Y30" s="1353">
        <f ca="1">IF(W30&lt;&gt;"",IF(VLOOKUP($A30,Actions!$F$1:$AQ$70,34,0)="Commune",(VLOOKUP($A30,Actions!$F$1:$AQ$70,24,0)-VLOOKUP($A30,Actions!$F$1:$AQ$70,26,0))/(1+VLOOKUP($A30,Actions!$F$1:$AQ$70,21,0)-VLOOKUP($A30,Actions!$F$1:$AQ$70,20,0)),0),0)</f>
        <v>0</v>
      </c>
      <c r="Z30" s="1353">
        <f ca="1">IF(S30="",V30,IF(AND(W30="",S30&lt;&gt;""),VLOOKUP($A30,Actions!$F$1:$AQ$70,31,0),0))</f>
        <v>0</v>
      </c>
      <c r="AA30" s="1354" t="str">
        <f ca="1">IF(OR(Actions!$Y24=AA$7,AND(Actions!$Y24&lt;=AA$7,Actions!$Z24&gt;=AA$7)),Actions!$AA24,"")</f>
        <v/>
      </c>
      <c r="AB30" s="1353">
        <f ca="1">IF(AA30&lt;&gt;"",VLOOKUP($A30,Actions!$F$1:$AQ$70,38,0)/(1+VLOOKUP($A30,Actions!$F$1:$AQ$70,21,0)-VLOOKUP($A30,Actions!$F$1:$AQ$70,20,0)),0)</f>
        <v>0</v>
      </c>
      <c r="AC30" s="1353">
        <f ca="1">IF(AA30&lt;&gt;"",IF(VLOOKUP($A30,Actions!$F$1:$AQ$70,34,0)="Commune",(VLOOKUP($A30,Actions!$F$1:$AQ$70,24,0)-VLOOKUP($A30,Actions!$F$1:$AQ$70,26,0))/(1+VLOOKUP($A30,Actions!$F$1:$AQ$70,21,0)-VLOOKUP($A30,Actions!$F$1:$AQ$70,20,0)),0),0)</f>
        <v>0</v>
      </c>
      <c r="AD30" s="1353">
        <f ca="1">IF(W30="",Z30,IF(AND(AA30="",W30&lt;&gt;""),VLOOKUP($A30,Actions!$F$1:$AQ$70,31,0),0))</f>
        <v>0</v>
      </c>
      <c r="AE30" s="1354" t="str">
        <f ca="1">IF(OR(Actions!$Y24=AE$7,AND(Actions!$Y24&lt;=AE$7,Actions!$Z24&gt;=AE$7)),Actions!$AA24,"")</f>
        <v/>
      </c>
      <c r="AF30" s="1353">
        <f ca="1">IF(AE30&lt;&gt;"",VLOOKUP($A30,Actions!$F$1:$AQ$70,38,0)/(1+VLOOKUP($A30,Actions!$F$1:$AQ$70,21,0)-VLOOKUP($A30,Actions!$F$1:$AQ$70,20,0)),0)</f>
        <v>0</v>
      </c>
      <c r="AG30" s="1353">
        <f ca="1">IF(AE30&lt;&gt;"",IF(VLOOKUP($A30,Actions!$F$1:$AQ$70,34,0)="Commune",(VLOOKUP($A30,Actions!$F$1:$AQ$70,24,0)-VLOOKUP($A30,Actions!$F$1:$AQ$70,26,0))/(1+VLOOKUP($A30,Actions!$F$1:$AQ$70,21,0)-VLOOKUP($A30,Actions!$F$1:$AQ$70,20,0)),0),0)</f>
        <v>0</v>
      </c>
      <c r="AH30" s="1353">
        <f ca="1">IF(AA30="",AD30,IF(AND(AE30="",AA30&lt;&gt;""),VLOOKUP($A30,Actions!$F$1:$AQ$70,31,0),0))</f>
        <v>0</v>
      </c>
      <c r="AI30" s="1354" t="str">
        <f ca="1">IF(OR(Actions!$Y24=AI$7,AND(Actions!$Y24&lt;=AI$7,Actions!$Z24&gt;=AI$7)),Actions!$AA24,"")</f>
        <v/>
      </c>
      <c r="AJ30" s="1353">
        <f ca="1">IF(AI30&lt;&gt;"",VLOOKUP($A30,Actions!$F$1:$AQ$70,38,0)/(1+VLOOKUP($A30,Actions!$F$1:$AQ$70,21,0)-VLOOKUP($A30,Actions!$F$1:$AQ$70,20,0)),0)</f>
        <v>0</v>
      </c>
      <c r="AK30" s="1353">
        <f ca="1">IF(AI30&lt;&gt;"",IF(VLOOKUP($A30,Actions!$F$1:$AQ$70,34,0)="Commune",(VLOOKUP($A30,Actions!$F$1:$AQ$70,24,0)-VLOOKUP($A30,Actions!$F$1:$AQ$70,26,0))/(1+VLOOKUP($A30,Actions!$F$1:$AQ$70,21,0)-VLOOKUP($A30,Actions!$F$1:$AQ$70,20,0)),0),0)</f>
        <v>0</v>
      </c>
      <c r="AL30" s="1353">
        <f ca="1">IF(AE30="",AH30,IF(AND(AI30="",AE30&lt;&gt;""),VLOOKUP($A30,Actions!$F$1:$AQ$70,31,0),0))</f>
        <v>0</v>
      </c>
      <c r="AM30" s="1354" t="str">
        <f ca="1">IF(OR(Actions!$Y24=AM$7,AND(Actions!$Y24&lt;=AM$7,Actions!$Z24&gt;=AM$7)),Actions!$AA24,"")</f>
        <v/>
      </c>
      <c r="AN30" s="1353">
        <f ca="1">IF(AM30&lt;&gt;"",VLOOKUP($A30,Actions!$F$1:$AQ$70,38,0)/(1+VLOOKUP($A30,Actions!$F$1:$AQ$70,21,0)-VLOOKUP($A30,Actions!$F$1:$AQ$70,20,0)),0)</f>
        <v>0</v>
      </c>
      <c r="AO30" s="1353">
        <f ca="1">IF(AM30&lt;&gt;"",IF(VLOOKUP($A30,Actions!$F$1:$AQ$70,34,0)="Commune",(VLOOKUP($A30,Actions!$F$1:$AQ$70,24,0)-VLOOKUP($A30,Actions!$F$1:$AQ$70,26,0))/(1+VLOOKUP($A30,Actions!$F$1:$AQ$70,21,0)-VLOOKUP($A30,Actions!$F$1:$AQ$70,20,0)),0),0)</f>
        <v>0</v>
      </c>
      <c r="AP30" s="1353">
        <f ca="1">IF(AI30="",AL30,IF(AND(AM30="",AI30&lt;&gt;""),VLOOKUP($A30,Actions!$F$1:$AQ$70,31,0),0))</f>
        <v>0</v>
      </c>
      <c r="AQ30" s="1354" t="str">
        <f ca="1">IF(OR(Actions!$Y24=AQ$7,AND(Actions!$Y24&lt;=AQ$7,Actions!$Z24&gt;=AQ$7)),Actions!$AA24,"")</f>
        <v/>
      </c>
      <c r="AR30" s="1353">
        <f ca="1">IF(AQ30&lt;&gt;"",VLOOKUP($A30,Actions!$F$1:$AQ$70,38,0)/(1+VLOOKUP($A30,Actions!$F$1:$AQ$70,21,0)-VLOOKUP($A30,Actions!$F$1:$AQ$70,20,0)),0)</f>
        <v>0</v>
      </c>
      <c r="AS30" s="1353">
        <f ca="1">IF(AQ30&lt;&gt;"",IF(VLOOKUP($A30,Actions!$F$1:$AQ$70,34,0)="Commune",(VLOOKUP($A30,Actions!$F$1:$AQ$70,24,0)-VLOOKUP($A30,Actions!$F$1:$AQ$70,26,0))/(1+VLOOKUP($A30,Actions!$F$1:$AQ$70,21,0)-VLOOKUP($A30,Actions!$F$1:$AQ$70,20,0)),0),0)</f>
        <v>0</v>
      </c>
      <c r="AT30" s="1353">
        <f ca="1">IF(AM30="",AP30,IF(AND(AQ30="",AM30&lt;&gt;""),VLOOKUP($A30,Actions!$F$1:$AQ$70,31,0),0))</f>
        <v>0</v>
      </c>
      <c r="AU30" s="1354" t="str">
        <f ca="1">IF(OR(Actions!$Y24=AU$7,AND(Actions!$Y24&lt;=AU$7,Actions!$Z24&gt;=AU$7)),Actions!$AA24,"")</f>
        <v/>
      </c>
      <c r="AV30" s="1353">
        <f ca="1">IF(AU30&lt;&gt;"",VLOOKUP($A30,Actions!$F$1:$AQ$70,38,0)/(1+VLOOKUP($A30,Actions!$F$1:$AQ$70,21,0)-VLOOKUP($A30,Actions!$F$1:$AQ$70,20,0)),0)</f>
        <v>0</v>
      </c>
      <c r="AW30" s="1353">
        <f ca="1">IF(AU30&lt;&gt;"",IF(VLOOKUP($A30,Actions!$F$1:$AQ$70,34,0)="Commune",(VLOOKUP($A30,Actions!$F$1:$AQ$70,24,0)-VLOOKUP($A30,Actions!$F$1:$AQ$70,26,0))/(1+VLOOKUP($A30,Actions!$F$1:$AQ$70,21,0)-VLOOKUP($A30,Actions!$F$1:$AQ$70,20,0)),0),0)</f>
        <v>0</v>
      </c>
      <c r="AX30" s="1353">
        <f ca="1">IF(AQ30="",AT30,IF(AND(AU30="",AQ30&lt;&gt;""),VLOOKUP($A30,Actions!$F$1:$AQ$70,31,0),0))</f>
        <v>0</v>
      </c>
      <c r="AY30" s="1354" t="str">
        <f ca="1">IF(OR(Actions!$Y24=AY$7,AND(Actions!$Y24&lt;=AY$7,Actions!$Z24&gt;=AY$7)),Actions!$AA24,"")</f>
        <v/>
      </c>
      <c r="AZ30" s="1353">
        <f ca="1">IF(AY30&lt;&gt;"",VLOOKUP($A30,Actions!$F$1:$AQ$70,38,0)/(1+VLOOKUP($A30,Actions!$F$1:$AQ$70,21,0)-VLOOKUP($A30,Actions!$F$1:$AQ$70,20,0)),0)</f>
        <v>0</v>
      </c>
      <c r="BA30" s="1353">
        <f ca="1">IF(AY30&lt;&gt;"",IF(VLOOKUP($A30,Actions!$F$1:$AQ$70,34,0)="Commune",(VLOOKUP($A30,Actions!$F$1:$AQ$70,24,0)-VLOOKUP($A30,Actions!$F$1:$AQ$70,26,0))/(1+VLOOKUP($A30,Actions!$F$1:$AQ$70,21,0)-VLOOKUP($A30,Actions!$F$1:$AQ$70,20,0)),0),0)</f>
        <v>0</v>
      </c>
      <c r="BB30" s="1353">
        <f ca="1">IF(AU30="",AX30,IF(AND(AY30="",AU30&lt;&gt;""),VLOOKUP($A30,Actions!$F$1:$AQ$70,31,0),0))</f>
        <v>0</v>
      </c>
      <c r="BC30" s="1354" t="str">
        <f ca="1">IF(OR(Actions!$Y24=BC$7,AND(Actions!$Y24&lt;=BC$7,Actions!$Z24&gt;=BC$7)),Actions!$AA24,"")</f>
        <v/>
      </c>
      <c r="BD30" s="1353">
        <f ca="1">IF(BC30&lt;&gt;"",VLOOKUP($A30,Actions!$F$1:$AQ$70,38,0)/(1+VLOOKUP($A30,Actions!$F$1:$AQ$70,21,0)-VLOOKUP($A30,Actions!$F$1:$AQ$70,20,0)),0)</f>
        <v>0</v>
      </c>
      <c r="BE30" s="1353">
        <f ca="1">IF(BC30&lt;&gt;"",IF(VLOOKUP($A30,Actions!$F$1:$AQ$70,34,0)="Commune",(VLOOKUP($A30,Actions!$F$1:$AQ$70,24,0)-VLOOKUP($A30,Actions!$F$1:$AQ$70,26,0))/(1+VLOOKUP($A30,Actions!$F$1:$AQ$70,21,0)-VLOOKUP($A30,Actions!$F$1:$AQ$70,20,0)),0),0)</f>
        <v>0</v>
      </c>
      <c r="BF30" s="1353">
        <f ca="1">IF(AY30="",BB30,IF(AND(BC30="",AY30&lt;&gt;""),VLOOKUP($A30,Actions!$F$1:$AQ$70,31,0),0))</f>
        <v>0</v>
      </c>
      <c r="BG30" s="1355">
        <f t="shared" ca="1" si="0"/>
        <v>0</v>
      </c>
      <c r="BJ30" s="233"/>
      <c r="BK30" s="233"/>
      <c r="BL30" s="233"/>
      <c r="BM30" s="233"/>
      <c r="BN30" s="233"/>
      <c r="BO30" s="233"/>
    </row>
    <row r="31" spans="1:67">
      <c r="A31" s="1349">
        <f>Actions!F25</f>
        <v>24</v>
      </c>
      <c r="B31" s="1352">
        <f ca="1">Actions!G25</f>
        <v>0</v>
      </c>
      <c r="C31" s="1353" t="str">
        <f ca="1">IF(OR(AND(Actions!Y25&gt;0,Actions!Y25&lt;=$C$7,Actions!Z25&gt;=$C$7),AND(Actions!Y25&gt;0,Actions!Y25&lt;=$C$7,Actions!Z25&lt;Actions!Y25),AND(Actions!Y25=0,Actions!Z25&gt;=$C$7)),Actions!$AA25,"")</f>
        <v/>
      </c>
      <c r="D31" s="1353">
        <f ca="1">IF(C31&lt;&gt;"",VLOOKUP($A31,Actions!$F$1:$AQ$70,38,0)/(1+VLOOKUP($A31,Actions!$F$1:$AQ$70,21,0)-VLOOKUP($A31,Actions!$F$1:$AQ$70,20,0)),0)</f>
        <v>0</v>
      </c>
      <c r="E31" s="1353">
        <f ca="1">IF(C31&lt;&gt;"",IF(VLOOKUP($A31,Actions!$F$1:$AQ$70,34,0)="Commune",(VLOOKUP($A31,Actions!$F$1:$AQ$70,24,0)-VLOOKUP($A31,Actions!$F$1:$AQ$70,26,0))/(1+VLOOKUP($A31,Actions!$F$1:$AQ$70,21,0)-VLOOKUP($A31,Actions!$F$1:$AQ$70,20,0)),0),0)</f>
        <v>0</v>
      </c>
      <c r="F31" s="1353">
        <v>0</v>
      </c>
      <c r="G31" s="1354" t="str">
        <f ca="1">IF(OR(Actions!$Y25=G$7,AND(Actions!$Y25&lt;=G$7,Actions!$Z25&gt;=G$7)),Actions!$AA25,"")</f>
        <v/>
      </c>
      <c r="H31" s="1353">
        <f ca="1">IF(G31&lt;&gt;"",VLOOKUP($A31,Actions!$F$1:$AQ$70,38,0)/(1+VLOOKUP($A31,Actions!$F$1:$AQ$70,21,0)-VLOOKUP($A31,Actions!$F$1:$AQ$70,20,0)),0)</f>
        <v>0</v>
      </c>
      <c r="I31" s="1353">
        <f ca="1">IF(G31&lt;&gt;"",IF(VLOOKUP($A31,Actions!$F$1:$AQ$70,34,0)="Commune",(VLOOKUP($A31,Actions!$F$1:$AQ$70,24,0)-VLOOKUP($A31,Actions!$F$1:$AQ$70,26,0))/(1+VLOOKUP($A31,Actions!$F$1:$AQ$70,21,0)-VLOOKUP($A31,Actions!$F$1:$AQ$70,20,0)),0),0)</f>
        <v>0</v>
      </c>
      <c r="J31" s="1353">
        <f ca="1">IF(C31="",F31,IF(AND(G31="",C31&lt;&gt;""),VLOOKUP($A31,Actions!$F$1:$AQ$70,31,0),0))</f>
        <v>0</v>
      </c>
      <c r="K31" s="1354" t="str">
        <f ca="1">IF(OR(Actions!$Y25=K$7,AND(Actions!$Y25&lt;=K$7,Actions!$Z25&gt;=K$7)),Actions!$AA25,"")</f>
        <v/>
      </c>
      <c r="L31" s="1353">
        <f ca="1">IF(K31&lt;&gt;"",VLOOKUP($A31,Actions!$F$1:$AQ$70,38,0)/(1+VLOOKUP($A31,Actions!$F$1:$AQ$70,21,0)-VLOOKUP($A31,Actions!$F$1:$AQ$70,20,0)),0)</f>
        <v>0</v>
      </c>
      <c r="M31" s="1353">
        <f ca="1">IF(K31&lt;&gt;"",IF(VLOOKUP($A31,Actions!$F$1:$AQ$70,34,0)="Commune",(VLOOKUP($A31,Actions!$F$1:$AQ$70,24,0)-VLOOKUP($A31,Actions!$F$1:$AQ$70,26,0))/(1+VLOOKUP($A31,Actions!$F$1:$AQ$70,21,0)-VLOOKUP($A31,Actions!$F$1:$AQ$70,20,0)),0),0)</f>
        <v>0</v>
      </c>
      <c r="N31" s="1353">
        <f ca="1">IF(G31="",J31,IF(AND(K31="",G31&lt;&gt;""),VLOOKUP($A31,Actions!$F$1:$AQ$70,31,0),0))</f>
        <v>0</v>
      </c>
      <c r="O31" s="1354" t="str">
        <f ca="1">IF(OR(Actions!$Y25=O$7,AND(Actions!$Y25&lt;=O$7,Actions!$Z25&gt;=O$7)),Actions!$AA25,"")</f>
        <v/>
      </c>
      <c r="P31" s="1353">
        <f ca="1">IF(O31&lt;&gt;"",VLOOKUP($A31,Actions!$F$1:$AQ$70,38,0)/(1+VLOOKUP($A31,Actions!$F$1:$AQ$70,21,0)-VLOOKUP($A31,Actions!$F$1:$AQ$70,20,0)),0)</f>
        <v>0</v>
      </c>
      <c r="Q31" s="1353">
        <f ca="1">IF(O31&lt;&gt;"",IF(VLOOKUP($A31,Actions!$F$1:$AQ$70,34,0)="Commune",(VLOOKUP($A31,Actions!$F$1:$AQ$70,24,0)-VLOOKUP($A31,Actions!$F$1:$AQ$70,26,0))/(1+VLOOKUP($A31,Actions!$F$1:$AQ$70,21,0)-VLOOKUP($A31,Actions!$F$1:$AQ$70,20,0)),0),0)</f>
        <v>0</v>
      </c>
      <c r="R31" s="1353">
        <f ca="1">IF(K31="",N31,IF(AND(O31="",K31&lt;&gt;""),VLOOKUP($A31,Actions!$F$1:$AQ$70,31,0),0))</f>
        <v>0</v>
      </c>
      <c r="S31" s="1354" t="str">
        <f ca="1">IF(OR(Actions!$Y25=S$7,AND(Actions!$Y25&lt;=S$7,Actions!$Z25&gt;=S$7)),Actions!$AA25,"")</f>
        <v/>
      </c>
      <c r="T31" s="1353">
        <f ca="1">IF(S31&lt;&gt;"",VLOOKUP($A31,Actions!$F$1:$AQ$70,38,0)/(1+VLOOKUP($A31,Actions!$F$1:$AQ$70,21,0)-VLOOKUP($A31,Actions!$F$1:$AQ$70,20,0)),0)</f>
        <v>0</v>
      </c>
      <c r="U31" s="1353">
        <f ca="1">IF(S31&lt;&gt;"",IF(VLOOKUP($A31,Actions!$F$1:$AQ$70,34,0)="Commune",(VLOOKUP($A31,Actions!$F$1:$AQ$70,24,0)-VLOOKUP($A31,Actions!$F$1:$AQ$70,26,0))/(1+VLOOKUP($A31,Actions!$F$1:$AQ$70,21,0)-VLOOKUP($A31,Actions!$F$1:$AQ$70,20,0)),0),0)</f>
        <v>0</v>
      </c>
      <c r="V31" s="1353">
        <f ca="1">IF(O31="",R31,IF(AND(S31="",O31&lt;&gt;""),VLOOKUP($A31,Actions!$F$1:$AQ$70,31,0),0))</f>
        <v>0</v>
      </c>
      <c r="W31" s="1354" t="str">
        <f ca="1">IF(OR(Actions!$Y25=W$7,AND(Actions!$Y25&lt;=W$7,Actions!$Z25&gt;=W$7)),Actions!$AA25,"")</f>
        <v/>
      </c>
      <c r="X31" s="1353">
        <f ca="1">IF(W31&lt;&gt;"",VLOOKUP($A31,Actions!$F$1:$AQ$70,38,0)/(1+VLOOKUP($A31,Actions!$F$1:$AQ$70,21,0)-VLOOKUP($A31,Actions!$F$1:$AQ$70,20,0)),0)</f>
        <v>0</v>
      </c>
      <c r="Y31" s="1353">
        <f ca="1">IF(W31&lt;&gt;"",IF(VLOOKUP($A31,Actions!$F$1:$AQ$70,34,0)="Commune",(VLOOKUP($A31,Actions!$F$1:$AQ$70,24,0)-VLOOKUP($A31,Actions!$F$1:$AQ$70,26,0))/(1+VLOOKUP($A31,Actions!$F$1:$AQ$70,21,0)-VLOOKUP($A31,Actions!$F$1:$AQ$70,20,0)),0),0)</f>
        <v>0</v>
      </c>
      <c r="Z31" s="1353">
        <f ca="1">IF(S31="",V31,IF(AND(W31="",S31&lt;&gt;""),VLOOKUP($A31,Actions!$F$1:$AQ$70,31,0),0))</f>
        <v>0</v>
      </c>
      <c r="AA31" s="1354" t="str">
        <f ca="1">IF(OR(Actions!$Y25=AA$7,AND(Actions!$Y25&lt;=AA$7,Actions!$Z25&gt;=AA$7)),Actions!$AA25,"")</f>
        <v/>
      </c>
      <c r="AB31" s="1353">
        <f ca="1">IF(AA31&lt;&gt;"",VLOOKUP($A31,Actions!$F$1:$AQ$70,38,0)/(1+VLOOKUP($A31,Actions!$F$1:$AQ$70,21,0)-VLOOKUP($A31,Actions!$F$1:$AQ$70,20,0)),0)</f>
        <v>0</v>
      </c>
      <c r="AC31" s="1353">
        <f ca="1">IF(AA31&lt;&gt;"",IF(VLOOKUP($A31,Actions!$F$1:$AQ$70,34,0)="Commune",(VLOOKUP($A31,Actions!$F$1:$AQ$70,24,0)-VLOOKUP($A31,Actions!$F$1:$AQ$70,26,0))/(1+VLOOKUP($A31,Actions!$F$1:$AQ$70,21,0)-VLOOKUP($A31,Actions!$F$1:$AQ$70,20,0)),0),0)</f>
        <v>0</v>
      </c>
      <c r="AD31" s="1353">
        <f ca="1">IF(W31="",Z31,IF(AND(AA31="",W31&lt;&gt;""),VLOOKUP($A31,Actions!$F$1:$AQ$70,31,0),0))</f>
        <v>0</v>
      </c>
      <c r="AE31" s="1354" t="str">
        <f ca="1">IF(OR(Actions!$Y25=AE$7,AND(Actions!$Y25&lt;=AE$7,Actions!$Z25&gt;=AE$7)),Actions!$AA25,"")</f>
        <v/>
      </c>
      <c r="AF31" s="1353">
        <f ca="1">IF(AE31&lt;&gt;"",VLOOKUP($A31,Actions!$F$1:$AQ$70,38,0)/(1+VLOOKUP($A31,Actions!$F$1:$AQ$70,21,0)-VLOOKUP($A31,Actions!$F$1:$AQ$70,20,0)),0)</f>
        <v>0</v>
      </c>
      <c r="AG31" s="1353">
        <f ca="1">IF(AE31&lt;&gt;"",IF(VLOOKUP($A31,Actions!$F$1:$AQ$70,34,0)="Commune",(VLOOKUP($A31,Actions!$F$1:$AQ$70,24,0)-VLOOKUP($A31,Actions!$F$1:$AQ$70,26,0))/(1+VLOOKUP($A31,Actions!$F$1:$AQ$70,21,0)-VLOOKUP($A31,Actions!$F$1:$AQ$70,20,0)),0),0)</f>
        <v>0</v>
      </c>
      <c r="AH31" s="1353">
        <f ca="1">IF(AA31="",AD31,IF(AND(AE31="",AA31&lt;&gt;""),VLOOKUP($A31,Actions!$F$1:$AQ$70,31,0),0))</f>
        <v>0</v>
      </c>
      <c r="AI31" s="1354" t="str">
        <f ca="1">IF(OR(Actions!$Y25=AI$7,AND(Actions!$Y25&lt;=AI$7,Actions!$Z25&gt;=AI$7)),Actions!$AA25,"")</f>
        <v/>
      </c>
      <c r="AJ31" s="1353">
        <f ca="1">IF(AI31&lt;&gt;"",VLOOKUP($A31,Actions!$F$1:$AQ$70,38,0)/(1+VLOOKUP($A31,Actions!$F$1:$AQ$70,21,0)-VLOOKUP($A31,Actions!$F$1:$AQ$70,20,0)),0)</f>
        <v>0</v>
      </c>
      <c r="AK31" s="1353">
        <f ca="1">IF(AI31&lt;&gt;"",IF(VLOOKUP($A31,Actions!$F$1:$AQ$70,34,0)="Commune",(VLOOKUP($A31,Actions!$F$1:$AQ$70,24,0)-VLOOKUP($A31,Actions!$F$1:$AQ$70,26,0))/(1+VLOOKUP($A31,Actions!$F$1:$AQ$70,21,0)-VLOOKUP($A31,Actions!$F$1:$AQ$70,20,0)),0),0)</f>
        <v>0</v>
      </c>
      <c r="AL31" s="1353">
        <f ca="1">IF(AE31="",AH31,IF(AND(AI31="",AE31&lt;&gt;""),VLOOKUP($A31,Actions!$F$1:$AQ$70,31,0),0))</f>
        <v>0</v>
      </c>
      <c r="AM31" s="1354" t="str">
        <f ca="1">IF(OR(Actions!$Y25=AM$7,AND(Actions!$Y25&lt;=AM$7,Actions!$Z25&gt;=AM$7)),Actions!$AA25,"")</f>
        <v/>
      </c>
      <c r="AN31" s="1353">
        <f ca="1">IF(AM31&lt;&gt;"",VLOOKUP($A31,Actions!$F$1:$AQ$70,38,0)/(1+VLOOKUP($A31,Actions!$F$1:$AQ$70,21,0)-VLOOKUP($A31,Actions!$F$1:$AQ$70,20,0)),0)</f>
        <v>0</v>
      </c>
      <c r="AO31" s="1353">
        <f ca="1">IF(AM31&lt;&gt;"",IF(VLOOKUP($A31,Actions!$F$1:$AQ$70,34,0)="Commune",(VLOOKUP($A31,Actions!$F$1:$AQ$70,24,0)-VLOOKUP($A31,Actions!$F$1:$AQ$70,26,0))/(1+VLOOKUP($A31,Actions!$F$1:$AQ$70,21,0)-VLOOKUP($A31,Actions!$F$1:$AQ$70,20,0)),0),0)</f>
        <v>0</v>
      </c>
      <c r="AP31" s="1353">
        <f ca="1">IF(AI31="",AL31,IF(AND(AM31="",AI31&lt;&gt;""),VLOOKUP($A31,Actions!$F$1:$AQ$70,31,0),0))</f>
        <v>0</v>
      </c>
      <c r="AQ31" s="1354" t="str">
        <f ca="1">IF(OR(Actions!$Y25=AQ$7,AND(Actions!$Y25&lt;=AQ$7,Actions!$Z25&gt;=AQ$7)),Actions!$AA25,"")</f>
        <v/>
      </c>
      <c r="AR31" s="1353">
        <f ca="1">IF(AQ31&lt;&gt;"",VLOOKUP($A31,Actions!$F$1:$AQ$70,38,0)/(1+VLOOKUP($A31,Actions!$F$1:$AQ$70,21,0)-VLOOKUP($A31,Actions!$F$1:$AQ$70,20,0)),0)</f>
        <v>0</v>
      </c>
      <c r="AS31" s="1353">
        <f ca="1">IF(AQ31&lt;&gt;"",IF(VLOOKUP($A31,Actions!$F$1:$AQ$70,34,0)="Commune",(VLOOKUP($A31,Actions!$F$1:$AQ$70,24,0)-VLOOKUP($A31,Actions!$F$1:$AQ$70,26,0))/(1+VLOOKUP($A31,Actions!$F$1:$AQ$70,21,0)-VLOOKUP($A31,Actions!$F$1:$AQ$70,20,0)),0),0)</f>
        <v>0</v>
      </c>
      <c r="AT31" s="1353">
        <f ca="1">IF(AM31="",AP31,IF(AND(AQ31="",AM31&lt;&gt;""),VLOOKUP($A31,Actions!$F$1:$AQ$70,31,0),0))</f>
        <v>0</v>
      </c>
      <c r="AU31" s="1354" t="str">
        <f ca="1">IF(OR(Actions!$Y25=AU$7,AND(Actions!$Y25&lt;=AU$7,Actions!$Z25&gt;=AU$7)),Actions!$AA25,"")</f>
        <v/>
      </c>
      <c r="AV31" s="1353">
        <f ca="1">IF(AU31&lt;&gt;"",VLOOKUP($A31,Actions!$F$1:$AQ$70,38,0)/(1+VLOOKUP($A31,Actions!$F$1:$AQ$70,21,0)-VLOOKUP($A31,Actions!$F$1:$AQ$70,20,0)),0)</f>
        <v>0</v>
      </c>
      <c r="AW31" s="1353">
        <f ca="1">IF(AU31&lt;&gt;"",IF(VLOOKUP($A31,Actions!$F$1:$AQ$70,34,0)="Commune",(VLOOKUP($A31,Actions!$F$1:$AQ$70,24,0)-VLOOKUP($A31,Actions!$F$1:$AQ$70,26,0))/(1+VLOOKUP($A31,Actions!$F$1:$AQ$70,21,0)-VLOOKUP($A31,Actions!$F$1:$AQ$70,20,0)),0),0)</f>
        <v>0</v>
      </c>
      <c r="AX31" s="1353">
        <f ca="1">IF(AQ31="",AT31,IF(AND(AU31="",AQ31&lt;&gt;""),VLOOKUP($A31,Actions!$F$1:$AQ$70,31,0),0))</f>
        <v>0</v>
      </c>
      <c r="AY31" s="1354" t="str">
        <f ca="1">IF(OR(Actions!$Y25=AY$7,AND(Actions!$Y25&lt;=AY$7,Actions!$Z25&gt;=AY$7)),Actions!$AA25,"")</f>
        <v/>
      </c>
      <c r="AZ31" s="1353">
        <f ca="1">IF(AY31&lt;&gt;"",VLOOKUP($A31,Actions!$F$1:$AQ$70,38,0)/(1+VLOOKUP($A31,Actions!$F$1:$AQ$70,21,0)-VLOOKUP($A31,Actions!$F$1:$AQ$70,20,0)),0)</f>
        <v>0</v>
      </c>
      <c r="BA31" s="1353">
        <f ca="1">IF(AY31&lt;&gt;"",IF(VLOOKUP($A31,Actions!$F$1:$AQ$70,34,0)="Commune",(VLOOKUP($A31,Actions!$F$1:$AQ$70,24,0)-VLOOKUP($A31,Actions!$F$1:$AQ$70,26,0))/(1+VLOOKUP($A31,Actions!$F$1:$AQ$70,21,0)-VLOOKUP($A31,Actions!$F$1:$AQ$70,20,0)),0),0)</f>
        <v>0</v>
      </c>
      <c r="BB31" s="1353">
        <f ca="1">IF(AU31="",AX31,IF(AND(AY31="",AU31&lt;&gt;""),VLOOKUP($A31,Actions!$F$1:$AQ$70,31,0),0))</f>
        <v>0</v>
      </c>
      <c r="BC31" s="1354" t="str">
        <f ca="1">IF(OR(Actions!$Y25=BC$7,AND(Actions!$Y25&lt;=BC$7,Actions!$Z25&gt;=BC$7)),Actions!$AA25,"")</f>
        <v/>
      </c>
      <c r="BD31" s="1353">
        <f ca="1">IF(BC31&lt;&gt;"",VLOOKUP($A31,Actions!$F$1:$AQ$70,38,0)/(1+VLOOKUP($A31,Actions!$F$1:$AQ$70,21,0)-VLOOKUP($A31,Actions!$F$1:$AQ$70,20,0)),0)</f>
        <v>0</v>
      </c>
      <c r="BE31" s="1353">
        <f ca="1">IF(BC31&lt;&gt;"",IF(VLOOKUP($A31,Actions!$F$1:$AQ$70,34,0)="Commune",(VLOOKUP($A31,Actions!$F$1:$AQ$70,24,0)-VLOOKUP($A31,Actions!$F$1:$AQ$70,26,0))/(1+VLOOKUP($A31,Actions!$F$1:$AQ$70,21,0)-VLOOKUP($A31,Actions!$F$1:$AQ$70,20,0)),0),0)</f>
        <v>0</v>
      </c>
      <c r="BF31" s="1353">
        <f ca="1">IF(AY31="",BB31,IF(AND(BC31="",AY31&lt;&gt;""),VLOOKUP($A31,Actions!$F$1:$AQ$70,31,0),0))</f>
        <v>0</v>
      </c>
      <c r="BG31" s="1355">
        <f t="shared" ca="1" si="0"/>
        <v>0</v>
      </c>
      <c r="BJ31" s="233"/>
      <c r="BK31" s="233"/>
      <c r="BL31" s="233"/>
      <c r="BM31" s="233"/>
      <c r="BN31" s="233"/>
      <c r="BO31" s="233"/>
    </row>
    <row r="32" spans="1:67">
      <c r="A32" s="1349">
        <f>Actions!F26</f>
        <v>25</v>
      </c>
      <c r="B32" s="1352">
        <f ca="1">Actions!G26</f>
        <v>0</v>
      </c>
      <c r="C32" s="1353" t="str">
        <f ca="1">IF(OR(AND(Actions!Y26&gt;0,Actions!Y26&lt;=$C$7,Actions!Z26&gt;=$C$7),AND(Actions!Y26&gt;0,Actions!Y26&lt;=$C$7,Actions!Z26&lt;Actions!Y26),AND(Actions!Y26=0,Actions!Z26&gt;=$C$7)),Actions!$AA26,"")</f>
        <v/>
      </c>
      <c r="D32" s="1353">
        <f ca="1">IF(C32&lt;&gt;"",VLOOKUP($A32,Actions!$F$1:$AQ$70,38,0)/(1+VLOOKUP($A32,Actions!$F$1:$AQ$70,21,0)-VLOOKUP($A32,Actions!$F$1:$AQ$70,20,0)),0)</f>
        <v>0</v>
      </c>
      <c r="E32" s="1353">
        <f ca="1">IF(C32&lt;&gt;"",IF(VLOOKUP($A32,Actions!$F$1:$AQ$70,34,0)="Commune",(VLOOKUP($A32,Actions!$F$1:$AQ$70,24,0)-VLOOKUP($A32,Actions!$F$1:$AQ$70,26,0))/(1+VLOOKUP($A32,Actions!$F$1:$AQ$70,21,0)-VLOOKUP($A32,Actions!$F$1:$AQ$70,20,0)),0),0)</f>
        <v>0</v>
      </c>
      <c r="F32" s="1353">
        <v>0</v>
      </c>
      <c r="G32" s="1354" t="str">
        <f ca="1">IF(OR(Actions!$Y26=G$7,AND(Actions!$Y26&lt;=G$7,Actions!$Z26&gt;=G$7)),Actions!$AA26,"")</f>
        <v/>
      </c>
      <c r="H32" s="1353">
        <f ca="1">IF(G32&lt;&gt;"",VLOOKUP($A32,Actions!$F$1:$AQ$70,38,0)/(1+VLOOKUP($A32,Actions!$F$1:$AQ$70,21,0)-VLOOKUP($A32,Actions!$F$1:$AQ$70,20,0)),0)</f>
        <v>0</v>
      </c>
      <c r="I32" s="1353">
        <f ca="1">IF(G32&lt;&gt;"",IF(VLOOKUP($A32,Actions!$F$1:$AQ$70,34,0)="Commune",(VLOOKUP($A32,Actions!$F$1:$AQ$70,24,0)-VLOOKUP($A32,Actions!$F$1:$AQ$70,26,0))/(1+VLOOKUP($A32,Actions!$F$1:$AQ$70,21,0)-VLOOKUP($A32,Actions!$F$1:$AQ$70,20,0)),0),0)</f>
        <v>0</v>
      </c>
      <c r="J32" s="1353">
        <f ca="1">IF(C32="",F32,IF(AND(G32="",C32&lt;&gt;""),VLOOKUP($A32,Actions!$F$1:$AQ$70,31,0),0))</f>
        <v>0</v>
      </c>
      <c r="K32" s="1354" t="str">
        <f ca="1">IF(OR(Actions!$Y26=K$7,AND(Actions!$Y26&lt;=K$7,Actions!$Z26&gt;=K$7)),Actions!$AA26,"")</f>
        <v/>
      </c>
      <c r="L32" s="1353">
        <f ca="1">IF(K32&lt;&gt;"",VLOOKUP($A32,Actions!$F$1:$AQ$70,38,0)/(1+VLOOKUP($A32,Actions!$F$1:$AQ$70,21,0)-VLOOKUP($A32,Actions!$F$1:$AQ$70,20,0)),0)</f>
        <v>0</v>
      </c>
      <c r="M32" s="1353">
        <f ca="1">IF(K32&lt;&gt;"",IF(VLOOKUP($A32,Actions!$F$1:$AQ$70,34,0)="Commune",(VLOOKUP($A32,Actions!$F$1:$AQ$70,24,0)-VLOOKUP($A32,Actions!$F$1:$AQ$70,26,0))/(1+VLOOKUP($A32,Actions!$F$1:$AQ$70,21,0)-VLOOKUP($A32,Actions!$F$1:$AQ$70,20,0)),0),0)</f>
        <v>0</v>
      </c>
      <c r="N32" s="1353">
        <f ca="1">IF(G32="",J32,IF(AND(K32="",G32&lt;&gt;""),VLOOKUP($A32,Actions!$F$1:$AQ$70,31,0),0))</f>
        <v>0</v>
      </c>
      <c r="O32" s="1354" t="str">
        <f ca="1">IF(OR(Actions!$Y26=O$7,AND(Actions!$Y26&lt;=O$7,Actions!$Z26&gt;=O$7)),Actions!$AA26,"")</f>
        <v/>
      </c>
      <c r="P32" s="1353">
        <f ca="1">IF(O32&lt;&gt;"",VLOOKUP($A32,Actions!$F$1:$AQ$70,38,0)/(1+VLOOKUP($A32,Actions!$F$1:$AQ$70,21,0)-VLOOKUP($A32,Actions!$F$1:$AQ$70,20,0)),0)</f>
        <v>0</v>
      </c>
      <c r="Q32" s="1353">
        <f ca="1">IF(O32&lt;&gt;"",IF(VLOOKUP($A32,Actions!$F$1:$AQ$70,34,0)="Commune",(VLOOKUP($A32,Actions!$F$1:$AQ$70,24,0)-VLOOKUP($A32,Actions!$F$1:$AQ$70,26,0))/(1+VLOOKUP($A32,Actions!$F$1:$AQ$70,21,0)-VLOOKUP($A32,Actions!$F$1:$AQ$70,20,0)),0),0)</f>
        <v>0</v>
      </c>
      <c r="R32" s="1353">
        <f ca="1">IF(K32="",N32,IF(AND(O32="",K32&lt;&gt;""),VLOOKUP($A32,Actions!$F$1:$AQ$70,31,0),0))</f>
        <v>0</v>
      </c>
      <c r="S32" s="1354" t="str">
        <f ca="1">IF(OR(Actions!$Y26=S$7,AND(Actions!$Y26&lt;=S$7,Actions!$Z26&gt;=S$7)),Actions!$AA26,"")</f>
        <v/>
      </c>
      <c r="T32" s="1353">
        <f ca="1">IF(S32&lt;&gt;"",VLOOKUP($A32,Actions!$F$1:$AQ$70,38,0)/(1+VLOOKUP($A32,Actions!$F$1:$AQ$70,21,0)-VLOOKUP($A32,Actions!$F$1:$AQ$70,20,0)),0)</f>
        <v>0</v>
      </c>
      <c r="U32" s="1353">
        <f ca="1">IF(S32&lt;&gt;"",IF(VLOOKUP($A32,Actions!$F$1:$AQ$70,34,0)="Commune",(VLOOKUP($A32,Actions!$F$1:$AQ$70,24,0)-VLOOKUP($A32,Actions!$F$1:$AQ$70,26,0))/(1+VLOOKUP($A32,Actions!$F$1:$AQ$70,21,0)-VLOOKUP($A32,Actions!$F$1:$AQ$70,20,0)),0),0)</f>
        <v>0</v>
      </c>
      <c r="V32" s="1353">
        <f ca="1">IF(O32="",R32,IF(AND(S32="",O32&lt;&gt;""),VLOOKUP($A32,Actions!$F$1:$AQ$70,31,0),0))</f>
        <v>0</v>
      </c>
      <c r="W32" s="1354" t="str">
        <f ca="1">IF(OR(Actions!$Y26=W$7,AND(Actions!$Y26&lt;=W$7,Actions!$Z26&gt;=W$7)),Actions!$AA26,"")</f>
        <v/>
      </c>
      <c r="X32" s="1353">
        <f ca="1">IF(W32&lt;&gt;"",VLOOKUP($A32,Actions!$F$1:$AQ$70,38,0)/(1+VLOOKUP($A32,Actions!$F$1:$AQ$70,21,0)-VLOOKUP($A32,Actions!$F$1:$AQ$70,20,0)),0)</f>
        <v>0</v>
      </c>
      <c r="Y32" s="1353">
        <f ca="1">IF(W32&lt;&gt;"",IF(VLOOKUP($A32,Actions!$F$1:$AQ$70,34,0)="Commune",(VLOOKUP($A32,Actions!$F$1:$AQ$70,24,0)-VLOOKUP($A32,Actions!$F$1:$AQ$70,26,0))/(1+VLOOKUP($A32,Actions!$F$1:$AQ$70,21,0)-VLOOKUP($A32,Actions!$F$1:$AQ$70,20,0)),0),0)</f>
        <v>0</v>
      </c>
      <c r="Z32" s="1353">
        <f ca="1">IF(S32="",V32,IF(AND(W32="",S32&lt;&gt;""),VLOOKUP($A32,Actions!$F$1:$AQ$70,31,0),0))</f>
        <v>0</v>
      </c>
      <c r="AA32" s="1354" t="str">
        <f ca="1">IF(OR(Actions!$Y26=AA$7,AND(Actions!$Y26&lt;=AA$7,Actions!$Z26&gt;=AA$7)),Actions!$AA26,"")</f>
        <v/>
      </c>
      <c r="AB32" s="1353">
        <f ca="1">IF(AA32&lt;&gt;"",VLOOKUP($A32,Actions!$F$1:$AQ$70,38,0)/(1+VLOOKUP($A32,Actions!$F$1:$AQ$70,21,0)-VLOOKUP($A32,Actions!$F$1:$AQ$70,20,0)),0)</f>
        <v>0</v>
      </c>
      <c r="AC32" s="1353">
        <f ca="1">IF(AA32&lt;&gt;"",IF(VLOOKUP($A32,Actions!$F$1:$AQ$70,34,0)="Commune",(VLOOKUP($A32,Actions!$F$1:$AQ$70,24,0)-VLOOKUP($A32,Actions!$F$1:$AQ$70,26,0))/(1+VLOOKUP($A32,Actions!$F$1:$AQ$70,21,0)-VLOOKUP($A32,Actions!$F$1:$AQ$70,20,0)),0),0)</f>
        <v>0</v>
      </c>
      <c r="AD32" s="1353">
        <f ca="1">IF(W32="",Z32,IF(AND(AA32="",W32&lt;&gt;""),VLOOKUP($A32,Actions!$F$1:$AQ$70,31,0),0))</f>
        <v>0</v>
      </c>
      <c r="AE32" s="1354" t="str">
        <f ca="1">IF(OR(Actions!$Y26=AE$7,AND(Actions!$Y26&lt;=AE$7,Actions!$Z26&gt;=AE$7)),Actions!$AA26,"")</f>
        <v/>
      </c>
      <c r="AF32" s="1353">
        <f ca="1">IF(AE32&lt;&gt;"",VLOOKUP($A32,Actions!$F$1:$AQ$70,38,0)/(1+VLOOKUP($A32,Actions!$F$1:$AQ$70,21,0)-VLOOKUP($A32,Actions!$F$1:$AQ$70,20,0)),0)</f>
        <v>0</v>
      </c>
      <c r="AG32" s="1353">
        <f ca="1">IF(AE32&lt;&gt;"",IF(VLOOKUP($A32,Actions!$F$1:$AQ$70,34,0)="Commune",(VLOOKUP($A32,Actions!$F$1:$AQ$70,24,0)-VLOOKUP($A32,Actions!$F$1:$AQ$70,26,0))/(1+VLOOKUP($A32,Actions!$F$1:$AQ$70,21,0)-VLOOKUP($A32,Actions!$F$1:$AQ$70,20,0)),0),0)</f>
        <v>0</v>
      </c>
      <c r="AH32" s="1353">
        <f ca="1">IF(AA32="",AD32,IF(AND(AE32="",AA32&lt;&gt;""),VLOOKUP($A32,Actions!$F$1:$AQ$70,31,0),0))</f>
        <v>0</v>
      </c>
      <c r="AI32" s="1354" t="str">
        <f ca="1">IF(OR(Actions!$Y26=AI$7,AND(Actions!$Y26&lt;=AI$7,Actions!$Z26&gt;=AI$7)),Actions!$AA26,"")</f>
        <v/>
      </c>
      <c r="AJ32" s="1353">
        <f ca="1">IF(AI32&lt;&gt;"",VLOOKUP($A32,Actions!$F$1:$AQ$70,38,0)/(1+VLOOKUP($A32,Actions!$F$1:$AQ$70,21,0)-VLOOKUP($A32,Actions!$F$1:$AQ$70,20,0)),0)</f>
        <v>0</v>
      </c>
      <c r="AK32" s="1353">
        <f ca="1">IF(AI32&lt;&gt;"",IF(VLOOKUP($A32,Actions!$F$1:$AQ$70,34,0)="Commune",(VLOOKUP($A32,Actions!$F$1:$AQ$70,24,0)-VLOOKUP($A32,Actions!$F$1:$AQ$70,26,0))/(1+VLOOKUP($A32,Actions!$F$1:$AQ$70,21,0)-VLOOKUP($A32,Actions!$F$1:$AQ$70,20,0)),0),0)</f>
        <v>0</v>
      </c>
      <c r="AL32" s="1353">
        <f ca="1">IF(AE32="",AH32,IF(AND(AI32="",AE32&lt;&gt;""),VLOOKUP($A32,Actions!$F$1:$AQ$70,31,0),0))</f>
        <v>0</v>
      </c>
      <c r="AM32" s="1354" t="str">
        <f ca="1">IF(OR(Actions!$Y26=AM$7,AND(Actions!$Y26&lt;=AM$7,Actions!$Z26&gt;=AM$7)),Actions!$AA26,"")</f>
        <v/>
      </c>
      <c r="AN32" s="1353">
        <f ca="1">IF(AM32&lt;&gt;"",VLOOKUP($A32,Actions!$F$1:$AQ$70,38,0)/(1+VLOOKUP($A32,Actions!$F$1:$AQ$70,21,0)-VLOOKUP($A32,Actions!$F$1:$AQ$70,20,0)),0)</f>
        <v>0</v>
      </c>
      <c r="AO32" s="1353">
        <f ca="1">IF(AM32&lt;&gt;"",IF(VLOOKUP($A32,Actions!$F$1:$AQ$70,34,0)="Commune",(VLOOKUP($A32,Actions!$F$1:$AQ$70,24,0)-VLOOKUP($A32,Actions!$F$1:$AQ$70,26,0))/(1+VLOOKUP($A32,Actions!$F$1:$AQ$70,21,0)-VLOOKUP($A32,Actions!$F$1:$AQ$70,20,0)),0),0)</f>
        <v>0</v>
      </c>
      <c r="AP32" s="1353">
        <f ca="1">IF(AI32="",AL32,IF(AND(AM32="",AI32&lt;&gt;""),VLOOKUP($A32,Actions!$F$1:$AQ$70,31,0),0))</f>
        <v>0</v>
      </c>
      <c r="AQ32" s="1354" t="str">
        <f ca="1">IF(OR(Actions!$Y26=AQ$7,AND(Actions!$Y26&lt;=AQ$7,Actions!$Z26&gt;=AQ$7)),Actions!$AA26,"")</f>
        <v/>
      </c>
      <c r="AR32" s="1353">
        <f ca="1">IF(AQ32&lt;&gt;"",VLOOKUP($A32,Actions!$F$1:$AQ$70,38,0)/(1+VLOOKUP($A32,Actions!$F$1:$AQ$70,21,0)-VLOOKUP($A32,Actions!$F$1:$AQ$70,20,0)),0)</f>
        <v>0</v>
      </c>
      <c r="AS32" s="1353">
        <f ca="1">IF(AQ32&lt;&gt;"",IF(VLOOKUP($A32,Actions!$F$1:$AQ$70,34,0)="Commune",(VLOOKUP($A32,Actions!$F$1:$AQ$70,24,0)-VLOOKUP($A32,Actions!$F$1:$AQ$70,26,0))/(1+VLOOKUP($A32,Actions!$F$1:$AQ$70,21,0)-VLOOKUP($A32,Actions!$F$1:$AQ$70,20,0)),0),0)</f>
        <v>0</v>
      </c>
      <c r="AT32" s="1353">
        <f ca="1">IF(AM32="",AP32,IF(AND(AQ32="",AM32&lt;&gt;""),VLOOKUP($A32,Actions!$F$1:$AQ$70,31,0),0))</f>
        <v>0</v>
      </c>
      <c r="AU32" s="1354" t="str">
        <f ca="1">IF(OR(Actions!$Y26=AU$7,AND(Actions!$Y26&lt;=AU$7,Actions!$Z26&gt;=AU$7)),Actions!$AA26,"")</f>
        <v/>
      </c>
      <c r="AV32" s="1353">
        <f ca="1">IF(AU32&lt;&gt;"",VLOOKUP($A32,Actions!$F$1:$AQ$70,38,0)/(1+VLOOKUP($A32,Actions!$F$1:$AQ$70,21,0)-VLOOKUP($A32,Actions!$F$1:$AQ$70,20,0)),0)</f>
        <v>0</v>
      </c>
      <c r="AW32" s="1353">
        <f ca="1">IF(AU32&lt;&gt;"",IF(VLOOKUP($A32,Actions!$F$1:$AQ$70,34,0)="Commune",(VLOOKUP($A32,Actions!$F$1:$AQ$70,24,0)-VLOOKUP($A32,Actions!$F$1:$AQ$70,26,0))/(1+VLOOKUP($A32,Actions!$F$1:$AQ$70,21,0)-VLOOKUP($A32,Actions!$F$1:$AQ$70,20,0)),0),0)</f>
        <v>0</v>
      </c>
      <c r="AX32" s="1353">
        <f ca="1">IF(AQ32="",AT32,IF(AND(AU32="",AQ32&lt;&gt;""),VLOOKUP($A32,Actions!$F$1:$AQ$70,31,0),0))</f>
        <v>0</v>
      </c>
      <c r="AY32" s="1354" t="str">
        <f ca="1">IF(OR(Actions!$Y26=AY$7,AND(Actions!$Y26&lt;=AY$7,Actions!$Z26&gt;=AY$7)),Actions!$AA26,"")</f>
        <v/>
      </c>
      <c r="AZ32" s="1353">
        <f ca="1">IF(AY32&lt;&gt;"",VLOOKUP($A32,Actions!$F$1:$AQ$70,38,0)/(1+VLOOKUP($A32,Actions!$F$1:$AQ$70,21,0)-VLOOKUP($A32,Actions!$F$1:$AQ$70,20,0)),0)</f>
        <v>0</v>
      </c>
      <c r="BA32" s="1353">
        <f ca="1">IF(AY32&lt;&gt;"",IF(VLOOKUP($A32,Actions!$F$1:$AQ$70,34,0)="Commune",(VLOOKUP($A32,Actions!$F$1:$AQ$70,24,0)-VLOOKUP($A32,Actions!$F$1:$AQ$70,26,0))/(1+VLOOKUP($A32,Actions!$F$1:$AQ$70,21,0)-VLOOKUP($A32,Actions!$F$1:$AQ$70,20,0)),0),0)</f>
        <v>0</v>
      </c>
      <c r="BB32" s="1353">
        <f ca="1">IF(AU32="",AX32,IF(AND(AY32="",AU32&lt;&gt;""),VLOOKUP($A32,Actions!$F$1:$AQ$70,31,0),0))</f>
        <v>0</v>
      </c>
      <c r="BC32" s="1354" t="str">
        <f ca="1">IF(OR(Actions!$Y26=BC$7,AND(Actions!$Y26&lt;=BC$7,Actions!$Z26&gt;=BC$7)),Actions!$AA26,"")</f>
        <v/>
      </c>
      <c r="BD32" s="1353">
        <f ca="1">IF(BC32&lt;&gt;"",VLOOKUP($A32,Actions!$F$1:$AQ$70,38,0)/(1+VLOOKUP($A32,Actions!$F$1:$AQ$70,21,0)-VLOOKUP($A32,Actions!$F$1:$AQ$70,20,0)),0)</f>
        <v>0</v>
      </c>
      <c r="BE32" s="1353">
        <f ca="1">IF(BC32&lt;&gt;"",IF(VLOOKUP($A32,Actions!$F$1:$AQ$70,34,0)="Commune",(VLOOKUP($A32,Actions!$F$1:$AQ$70,24,0)-VLOOKUP($A32,Actions!$F$1:$AQ$70,26,0))/(1+VLOOKUP($A32,Actions!$F$1:$AQ$70,21,0)-VLOOKUP($A32,Actions!$F$1:$AQ$70,20,0)),0),0)</f>
        <v>0</v>
      </c>
      <c r="BF32" s="1353">
        <f ca="1">IF(AY32="",BB32,IF(AND(BC32="",AY32&lt;&gt;""),VLOOKUP($A32,Actions!$F$1:$AQ$70,31,0),0))</f>
        <v>0</v>
      </c>
      <c r="BG32" s="1355">
        <f t="shared" ca="1" si="0"/>
        <v>0</v>
      </c>
      <c r="BJ32" s="233"/>
      <c r="BK32" s="233"/>
      <c r="BL32" s="233"/>
      <c r="BM32" s="233"/>
      <c r="BN32" s="233"/>
      <c r="BO32" s="233"/>
    </row>
    <row r="33" spans="1:67">
      <c r="A33" s="1349">
        <f>Actions!F27</f>
        <v>26</v>
      </c>
      <c r="B33" s="1352">
        <f ca="1">Actions!G27</f>
        <v>0</v>
      </c>
      <c r="C33" s="1353" t="str">
        <f ca="1">IF(OR(AND(Actions!Y27&gt;0,Actions!Y27&lt;=$C$7,Actions!Z27&gt;=$C$7),AND(Actions!Y27&gt;0,Actions!Y27&lt;=$C$7,Actions!Z27&lt;Actions!Y27),AND(Actions!Y27=0,Actions!Z27&gt;=$C$7)),Actions!$AA27,"")</f>
        <v/>
      </c>
      <c r="D33" s="1353">
        <f ca="1">IF(C33&lt;&gt;"",VLOOKUP($A33,Actions!$F$1:$AQ$70,38,0)/(1+VLOOKUP($A33,Actions!$F$1:$AQ$70,21,0)-VLOOKUP($A33,Actions!$F$1:$AQ$70,20,0)),0)</f>
        <v>0</v>
      </c>
      <c r="E33" s="1353">
        <f ca="1">IF(C33&lt;&gt;"",IF(VLOOKUP($A33,Actions!$F$1:$AQ$70,34,0)="Commune",(VLOOKUP($A33,Actions!$F$1:$AQ$70,24,0)-VLOOKUP($A33,Actions!$F$1:$AQ$70,26,0))/(1+VLOOKUP($A33,Actions!$F$1:$AQ$70,21,0)-VLOOKUP($A33,Actions!$F$1:$AQ$70,20,0)),0),0)</f>
        <v>0</v>
      </c>
      <c r="F33" s="1353">
        <v>0</v>
      </c>
      <c r="G33" s="1354" t="str">
        <f ca="1">IF(OR(Actions!$Y27=G$7,AND(Actions!$Y27&lt;=G$7,Actions!$Z27&gt;=G$7)),Actions!$AA27,"")</f>
        <v/>
      </c>
      <c r="H33" s="1353">
        <f ca="1">IF(G33&lt;&gt;"",VLOOKUP($A33,Actions!$F$1:$AQ$70,38,0)/(1+VLOOKUP($A33,Actions!$F$1:$AQ$70,21,0)-VLOOKUP($A33,Actions!$F$1:$AQ$70,20,0)),0)</f>
        <v>0</v>
      </c>
      <c r="I33" s="1353">
        <f ca="1">IF(G33&lt;&gt;"",IF(VLOOKUP($A33,Actions!$F$1:$AQ$70,34,0)="Commune",(VLOOKUP($A33,Actions!$F$1:$AQ$70,24,0)-VLOOKUP($A33,Actions!$F$1:$AQ$70,26,0))/(1+VLOOKUP($A33,Actions!$F$1:$AQ$70,21,0)-VLOOKUP($A33,Actions!$F$1:$AQ$70,20,0)),0),0)</f>
        <v>0</v>
      </c>
      <c r="J33" s="1353">
        <f ca="1">IF(C33="",F33,IF(AND(G33="",C33&lt;&gt;""),VLOOKUP($A33,Actions!$F$1:$AQ$70,31,0),0))</f>
        <v>0</v>
      </c>
      <c r="K33" s="1354" t="str">
        <f ca="1">IF(OR(Actions!$Y27=K$7,AND(Actions!$Y27&lt;=K$7,Actions!$Z27&gt;=K$7)),Actions!$AA27,"")</f>
        <v/>
      </c>
      <c r="L33" s="1353">
        <f ca="1">IF(K33&lt;&gt;"",VLOOKUP($A33,Actions!$F$1:$AQ$70,38,0)/(1+VLOOKUP($A33,Actions!$F$1:$AQ$70,21,0)-VLOOKUP($A33,Actions!$F$1:$AQ$70,20,0)),0)</f>
        <v>0</v>
      </c>
      <c r="M33" s="1353">
        <f ca="1">IF(K33&lt;&gt;"",IF(VLOOKUP($A33,Actions!$F$1:$AQ$70,34,0)="Commune",(VLOOKUP($A33,Actions!$F$1:$AQ$70,24,0)-VLOOKUP($A33,Actions!$F$1:$AQ$70,26,0))/(1+VLOOKUP($A33,Actions!$F$1:$AQ$70,21,0)-VLOOKUP($A33,Actions!$F$1:$AQ$70,20,0)),0),0)</f>
        <v>0</v>
      </c>
      <c r="N33" s="1353">
        <f ca="1">IF(G33="",J33,IF(AND(K33="",G33&lt;&gt;""),VLOOKUP($A33,Actions!$F$1:$AQ$70,31,0),0))</f>
        <v>0</v>
      </c>
      <c r="O33" s="1354" t="str">
        <f ca="1">IF(OR(Actions!$Y27=O$7,AND(Actions!$Y27&lt;=O$7,Actions!$Z27&gt;=O$7)),Actions!$AA27,"")</f>
        <v/>
      </c>
      <c r="P33" s="1353">
        <f ca="1">IF(O33&lt;&gt;"",VLOOKUP($A33,Actions!$F$1:$AQ$70,38,0)/(1+VLOOKUP($A33,Actions!$F$1:$AQ$70,21,0)-VLOOKUP($A33,Actions!$F$1:$AQ$70,20,0)),0)</f>
        <v>0</v>
      </c>
      <c r="Q33" s="1353">
        <f ca="1">IF(O33&lt;&gt;"",IF(VLOOKUP($A33,Actions!$F$1:$AQ$70,34,0)="Commune",(VLOOKUP($A33,Actions!$F$1:$AQ$70,24,0)-VLOOKUP($A33,Actions!$F$1:$AQ$70,26,0))/(1+VLOOKUP($A33,Actions!$F$1:$AQ$70,21,0)-VLOOKUP($A33,Actions!$F$1:$AQ$70,20,0)),0),0)</f>
        <v>0</v>
      </c>
      <c r="R33" s="1353">
        <f ca="1">IF(K33="",N33,IF(AND(O33="",K33&lt;&gt;""),VLOOKUP($A33,Actions!$F$1:$AQ$70,31,0),0))</f>
        <v>0</v>
      </c>
      <c r="S33" s="1354" t="str">
        <f ca="1">IF(OR(Actions!$Y27=S$7,AND(Actions!$Y27&lt;=S$7,Actions!$Z27&gt;=S$7)),Actions!$AA27,"")</f>
        <v/>
      </c>
      <c r="T33" s="1353">
        <f ca="1">IF(S33&lt;&gt;"",VLOOKUP($A33,Actions!$F$1:$AQ$70,38,0)/(1+VLOOKUP($A33,Actions!$F$1:$AQ$70,21,0)-VLOOKUP($A33,Actions!$F$1:$AQ$70,20,0)),0)</f>
        <v>0</v>
      </c>
      <c r="U33" s="1353">
        <f ca="1">IF(S33&lt;&gt;"",IF(VLOOKUP($A33,Actions!$F$1:$AQ$70,34,0)="Commune",(VLOOKUP($A33,Actions!$F$1:$AQ$70,24,0)-VLOOKUP($A33,Actions!$F$1:$AQ$70,26,0))/(1+VLOOKUP($A33,Actions!$F$1:$AQ$70,21,0)-VLOOKUP($A33,Actions!$F$1:$AQ$70,20,0)),0),0)</f>
        <v>0</v>
      </c>
      <c r="V33" s="1353">
        <f ca="1">IF(O33="",R33,IF(AND(S33="",O33&lt;&gt;""),VLOOKUP($A33,Actions!$F$1:$AQ$70,31,0),0))</f>
        <v>0</v>
      </c>
      <c r="W33" s="1354" t="str">
        <f ca="1">IF(OR(Actions!$Y27=W$7,AND(Actions!$Y27&lt;=W$7,Actions!$Z27&gt;=W$7)),Actions!$AA27,"")</f>
        <v/>
      </c>
      <c r="X33" s="1353">
        <f ca="1">IF(W33&lt;&gt;"",VLOOKUP($A33,Actions!$F$1:$AQ$70,38,0)/(1+VLOOKUP($A33,Actions!$F$1:$AQ$70,21,0)-VLOOKUP($A33,Actions!$F$1:$AQ$70,20,0)),0)</f>
        <v>0</v>
      </c>
      <c r="Y33" s="1353">
        <f ca="1">IF(W33&lt;&gt;"",IF(VLOOKUP($A33,Actions!$F$1:$AQ$70,34,0)="Commune",(VLOOKUP($A33,Actions!$F$1:$AQ$70,24,0)-VLOOKUP($A33,Actions!$F$1:$AQ$70,26,0))/(1+VLOOKUP($A33,Actions!$F$1:$AQ$70,21,0)-VLOOKUP($A33,Actions!$F$1:$AQ$70,20,0)),0),0)</f>
        <v>0</v>
      </c>
      <c r="Z33" s="1353">
        <f ca="1">IF(S33="",V33,IF(AND(W33="",S33&lt;&gt;""),VLOOKUP($A33,Actions!$F$1:$AQ$70,31,0),0))</f>
        <v>0</v>
      </c>
      <c r="AA33" s="1354" t="str">
        <f ca="1">IF(OR(Actions!$Y27=AA$7,AND(Actions!$Y27&lt;=AA$7,Actions!$Z27&gt;=AA$7)),Actions!$AA27,"")</f>
        <v/>
      </c>
      <c r="AB33" s="1353">
        <f ca="1">IF(AA33&lt;&gt;"",VLOOKUP($A33,Actions!$F$1:$AQ$70,38,0)/(1+VLOOKUP($A33,Actions!$F$1:$AQ$70,21,0)-VLOOKUP($A33,Actions!$F$1:$AQ$70,20,0)),0)</f>
        <v>0</v>
      </c>
      <c r="AC33" s="1353">
        <f ca="1">IF(AA33&lt;&gt;"",IF(VLOOKUP($A33,Actions!$F$1:$AQ$70,34,0)="Commune",(VLOOKUP($A33,Actions!$F$1:$AQ$70,24,0)-VLOOKUP($A33,Actions!$F$1:$AQ$70,26,0))/(1+VLOOKUP($A33,Actions!$F$1:$AQ$70,21,0)-VLOOKUP($A33,Actions!$F$1:$AQ$70,20,0)),0),0)</f>
        <v>0</v>
      </c>
      <c r="AD33" s="1353">
        <f ca="1">IF(W33="",Z33,IF(AND(AA33="",W33&lt;&gt;""),VLOOKUP($A33,Actions!$F$1:$AQ$70,31,0),0))</f>
        <v>0</v>
      </c>
      <c r="AE33" s="1354" t="str">
        <f ca="1">IF(OR(Actions!$Y27=AE$7,AND(Actions!$Y27&lt;=AE$7,Actions!$Z27&gt;=AE$7)),Actions!$AA27,"")</f>
        <v/>
      </c>
      <c r="AF33" s="1353">
        <f ca="1">IF(AE33&lt;&gt;"",VLOOKUP($A33,Actions!$F$1:$AQ$70,38,0)/(1+VLOOKUP($A33,Actions!$F$1:$AQ$70,21,0)-VLOOKUP($A33,Actions!$F$1:$AQ$70,20,0)),0)</f>
        <v>0</v>
      </c>
      <c r="AG33" s="1353">
        <f ca="1">IF(AE33&lt;&gt;"",IF(VLOOKUP($A33,Actions!$F$1:$AQ$70,34,0)="Commune",(VLOOKUP($A33,Actions!$F$1:$AQ$70,24,0)-VLOOKUP($A33,Actions!$F$1:$AQ$70,26,0))/(1+VLOOKUP($A33,Actions!$F$1:$AQ$70,21,0)-VLOOKUP($A33,Actions!$F$1:$AQ$70,20,0)),0),0)</f>
        <v>0</v>
      </c>
      <c r="AH33" s="1353">
        <f ca="1">IF(AA33="",AD33,IF(AND(AE33="",AA33&lt;&gt;""),VLOOKUP($A33,Actions!$F$1:$AQ$70,31,0),0))</f>
        <v>0</v>
      </c>
      <c r="AI33" s="1354" t="str">
        <f ca="1">IF(OR(Actions!$Y27=AI$7,AND(Actions!$Y27&lt;=AI$7,Actions!$Z27&gt;=AI$7)),Actions!$AA27,"")</f>
        <v/>
      </c>
      <c r="AJ33" s="1353">
        <f ca="1">IF(AI33&lt;&gt;"",VLOOKUP($A33,Actions!$F$1:$AQ$70,38,0)/(1+VLOOKUP($A33,Actions!$F$1:$AQ$70,21,0)-VLOOKUP($A33,Actions!$F$1:$AQ$70,20,0)),0)</f>
        <v>0</v>
      </c>
      <c r="AK33" s="1353">
        <f ca="1">IF(AI33&lt;&gt;"",IF(VLOOKUP($A33,Actions!$F$1:$AQ$70,34,0)="Commune",(VLOOKUP($A33,Actions!$F$1:$AQ$70,24,0)-VLOOKUP($A33,Actions!$F$1:$AQ$70,26,0))/(1+VLOOKUP($A33,Actions!$F$1:$AQ$70,21,0)-VLOOKUP($A33,Actions!$F$1:$AQ$70,20,0)),0),0)</f>
        <v>0</v>
      </c>
      <c r="AL33" s="1353">
        <f ca="1">IF(AE33="",AH33,IF(AND(AI33="",AE33&lt;&gt;""),VLOOKUP($A33,Actions!$F$1:$AQ$70,31,0),0))</f>
        <v>0</v>
      </c>
      <c r="AM33" s="1354" t="str">
        <f ca="1">IF(OR(Actions!$Y27=AM$7,AND(Actions!$Y27&lt;=AM$7,Actions!$Z27&gt;=AM$7)),Actions!$AA27,"")</f>
        <v/>
      </c>
      <c r="AN33" s="1353">
        <f ca="1">IF(AM33&lt;&gt;"",VLOOKUP($A33,Actions!$F$1:$AQ$70,38,0)/(1+VLOOKUP($A33,Actions!$F$1:$AQ$70,21,0)-VLOOKUP($A33,Actions!$F$1:$AQ$70,20,0)),0)</f>
        <v>0</v>
      </c>
      <c r="AO33" s="1353">
        <f ca="1">IF(AM33&lt;&gt;"",IF(VLOOKUP($A33,Actions!$F$1:$AQ$70,34,0)="Commune",(VLOOKUP($A33,Actions!$F$1:$AQ$70,24,0)-VLOOKUP($A33,Actions!$F$1:$AQ$70,26,0))/(1+VLOOKUP($A33,Actions!$F$1:$AQ$70,21,0)-VLOOKUP($A33,Actions!$F$1:$AQ$70,20,0)),0),0)</f>
        <v>0</v>
      </c>
      <c r="AP33" s="1353">
        <f ca="1">IF(AI33="",AL33,IF(AND(AM33="",AI33&lt;&gt;""),VLOOKUP($A33,Actions!$F$1:$AQ$70,31,0),0))</f>
        <v>0</v>
      </c>
      <c r="AQ33" s="1354" t="str">
        <f ca="1">IF(OR(Actions!$Y27=AQ$7,AND(Actions!$Y27&lt;=AQ$7,Actions!$Z27&gt;=AQ$7)),Actions!$AA27,"")</f>
        <v/>
      </c>
      <c r="AR33" s="1353">
        <f ca="1">IF(AQ33&lt;&gt;"",VLOOKUP($A33,Actions!$F$1:$AQ$70,38,0)/(1+VLOOKUP($A33,Actions!$F$1:$AQ$70,21,0)-VLOOKUP($A33,Actions!$F$1:$AQ$70,20,0)),0)</f>
        <v>0</v>
      </c>
      <c r="AS33" s="1353">
        <f ca="1">IF(AQ33&lt;&gt;"",IF(VLOOKUP($A33,Actions!$F$1:$AQ$70,34,0)="Commune",(VLOOKUP($A33,Actions!$F$1:$AQ$70,24,0)-VLOOKUP($A33,Actions!$F$1:$AQ$70,26,0))/(1+VLOOKUP($A33,Actions!$F$1:$AQ$70,21,0)-VLOOKUP($A33,Actions!$F$1:$AQ$70,20,0)),0),0)</f>
        <v>0</v>
      </c>
      <c r="AT33" s="1353">
        <f ca="1">IF(AM33="",AP33,IF(AND(AQ33="",AM33&lt;&gt;""),VLOOKUP($A33,Actions!$F$1:$AQ$70,31,0),0))</f>
        <v>0</v>
      </c>
      <c r="AU33" s="1354" t="str">
        <f ca="1">IF(OR(Actions!$Y27=AU$7,AND(Actions!$Y27&lt;=AU$7,Actions!$Z27&gt;=AU$7)),Actions!$AA27,"")</f>
        <v/>
      </c>
      <c r="AV33" s="1353">
        <f ca="1">IF(AU33&lt;&gt;"",VLOOKUP($A33,Actions!$F$1:$AQ$70,38,0)/(1+VLOOKUP($A33,Actions!$F$1:$AQ$70,21,0)-VLOOKUP($A33,Actions!$F$1:$AQ$70,20,0)),0)</f>
        <v>0</v>
      </c>
      <c r="AW33" s="1353">
        <f ca="1">IF(AU33&lt;&gt;"",IF(VLOOKUP($A33,Actions!$F$1:$AQ$70,34,0)="Commune",(VLOOKUP($A33,Actions!$F$1:$AQ$70,24,0)-VLOOKUP($A33,Actions!$F$1:$AQ$70,26,0))/(1+VLOOKUP($A33,Actions!$F$1:$AQ$70,21,0)-VLOOKUP($A33,Actions!$F$1:$AQ$70,20,0)),0),0)</f>
        <v>0</v>
      </c>
      <c r="AX33" s="1353">
        <f ca="1">IF(AQ33="",AT33,IF(AND(AU33="",AQ33&lt;&gt;""),VLOOKUP($A33,Actions!$F$1:$AQ$70,31,0),0))</f>
        <v>0</v>
      </c>
      <c r="AY33" s="1354" t="str">
        <f ca="1">IF(OR(Actions!$Y27=AY$7,AND(Actions!$Y27&lt;=AY$7,Actions!$Z27&gt;=AY$7)),Actions!$AA27,"")</f>
        <v/>
      </c>
      <c r="AZ33" s="1353">
        <f ca="1">IF(AY33&lt;&gt;"",VLOOKUP($A33,Actions!$F$1:$AQ$70,38,0)/(1+VLOOKUP($A33,Actions!$F$1:$AQ$70,21,0)-VLOOKUP($A33,Actions!$F$1:$AQ$70,20,0)),0)</f>
        <v>0</v>
      </c>
      <c r="BA33" s="1353">
        <f ca="1">IF(AY33&lt;&gt;"",IF(VLOOKUP($A33,Actions!$F$1:$AQ$70,34,0)="Commune",(VLOOKUP($A33,Actions!$F$1:$AQ$70,24,0)-VLOOKUP($A33,Actions!$F$1:$AQ$70,26,0))/(1+VLOOKUP($A33,Actions!$F$1:$AQ$70,21,0)-VLOOKUP($A33,Actions!$F$1:$AQ$70,20,0)),0),0)</f>
        <v>0</v>
      </c>
      <c r="BB33" s="1353">
        <f ca="1">IF(AU33="",AX33,IF(AND(AY33="",AU33&lt;&gt;""),VLOOKUP($A33,Actions!$F$1:$AQ$70,31,0),0))</f>
        <v>0</v>
      </c>
      <c r="BC33" s="1354" t="str">
        <f ca="1">IF(OR(Actions!$Y27=BC$7,AND(Actions!$Y27&lt;=BC$7,Actions!$Z27&gt;=BC$7)),Actions!$AA27,"")</f>
        <v/>
      </c>
      <c r="BD33" s="1353">
        <f ca="1">IF(BC33&lt;&gt;"",VLOOKUP($A33,Actions!$F$1:$AQ$70,38,0)/(1+VLOOKUP($A33,Actions!$F$1:$AQ$70,21,0)-VLOOKUP($A33,Actions!$F$1:$AQ$70,20,0)),0)</f>
        <v>0</v>
      </c>
      <c r="BE33" s="1353">
        <f ca="1">IF(BC33&lt;&gt;"",IF(VLOOKUP($A33,Actions!$F$1:$AQ$70,34,0)="Commune",(VLOOKUP($A33,Actions!$F$1:$AQ$70,24,0)-VLOOKUP($A33,Actions!$F$1:$AQ$70,26,0))/(1+VLOOKUP($A33,Actions!$F$1:$AQ$70,21,0)-VLOOKUP($A33,Actions!$F$1:$AQ$70,20,0)),0),0)</f>
        <v>0</v>
      </c>
      <c r="BF33" s="1353">
        <f ca="1">IF(AY33="",BB33,IF(AND(BC33="",AY33&lt;&gt;""),VLOOKUP($A33,Actions!$F$1:$AQ$70,31,0),0))</f>
        <v>0</v>
      </c>
      <c r="BG33" s="1355">
        <f t="shared" ca="1" si="0"/>
        <v>0</v>
      </c>
      <c r="BJ33" s="233"/>
      <c r="BK33" s="233"/>
      <c r="BL33" s="233"/>
      <c r="BM33" s="233"/>
      <c r="BN33" s="233"/>
      <c r="BO33" s="233"/>
    </row>
    <row r="34" spans="1:67">
      <c r="A34" s="1349">
        <f>Actions!F28</f>
        <v>27</v>
      </c>
      <c r="B34" s="1352">
        <f ca="1">Actions!G28</f>
        <v>0</v>
      </c>
      <c r="C34" s="1353" t="str">
        <f ca="1">IF(OR(AND(Actions!Y28&gt;0,Actions!Y28&lt;=$C$7,Actions!Z28&gt;=$C$7),AND(Actions!Y28&gt;0,Actions!Y28&lt;=$C$7,Actions!Z28&lt;Actions!Y28),AND(Actions!Y28=0,Actions!Z28&gt;=$C$7)),Actions!$AA28,"")</f>
        <v/>
      </c>
      <c r="D34" s="1353">
        <f ca="1">IF(C34&lt;&gt;"",VLOOKUP($A34,Actions!$F$1:$AQ$70,38,0)/(1+VLOOKUP($A34,Actions!$F$1:$AQ$70,21,0)-VLOOKUP($A34,Actions!$F$1:$AQ$70,20,0)),0)</f>
        <v>0</v>
      </c>
      <c r="E34" s="1353">
        <f ca="1">IF(C34&lt;&gt;"",IF(VLOOKUP($A34,Actions!$F$1:$AQ$70,34,0)="Commune",(VLOOKUP($A34,Actions!$F$1:$AQ$70,24,0)-VLOOKUP($A34,Actions!$F$1:$AQ$70,26,0))/(1+VLOOKUP($A34,Actions!$F$1:$AQ$70,21,0)-VLOOKUP($A34,Actions!$F$1:$AQ$70,20,0)),0),0)</f>
        <v>0</v>
      </c>
      <c r="F34" s="1353">
        <v>0</v>
      </c>
      <c r="G34" s="1354" t="str">
        <f ca="1">IF(OR(Actions!$Y28=G$7,AND(Actions!$Y28&lt;=G$7,Actions!$Z28&gt;=G$7)),Actions!$AA28,"")</f>
        <v/>
      </c>
      <c r="H34" s="1353">
        <f ca="1">IF(G34&lt;&gt;"",VLOOKUP($A34,Actions!$F$1:$AQ$70,38,0)/(1+VLOOKUP($A34,Actions!$F$1:$AQ$70,21,0)-VLOOKUP($A34,Actions!$F$1:$AQ$70,20,0)),0)</f>
        <v>0</v>
      </c>
      <c r="I34" s="1353">
        <f ca="1">IF(G34&lt;&gt;"",IF(VLOOKUP($A34,Actions!$F$1:$AQ$70,34,0)="Commune",(VLOOKUP($A34,Actions!$F$1:$AQ$70,24,0)-VLOOKUP($A34,Actions!$F$1:$AQ$70,26,0))/(1+VLOOKUP($A34,Actions!$F$1:$AQ$70,21,0)-VLOOKUP($A34,Actions!$F$1:$AQ$70,20,0)),0),0)</f>
        <v>0</v>
      </c>
      <c r="J34" s="1353">
        <f ca="1">IF(C34="",F34,IF(AND(G34="",C34&lt;&gt;""),VLOOKUP($A34,Actions!$F$1:$AQ$70,31,0),0))</f>
        <v>0</v>
      </c>
      <c r="K34" s="1354" t="str">
        <f ca="1">IF(OR(Actions!$Y28=K$7,AND(Actions!$Y28&lt;=K$7,Actions!$Z28&gt;=K$7)),Actions!$AA28,"")</f>
        <v/>
      </c>
      <c r="L34" s="1353">
        <f ca="1">IF(K34&lt;&gt;"",VLOOKUP($A34,Actions!$F$1:$AQ$70,38,0)/(1+VLOOKUP($A34,Actions!$F$1:$AQ$70,21,0)-VLOOKUP($A34,Actions!$F$1:$AQ$70,20,0)),0)</f>
        <v>0</v>
      </c>
      <c r="M34" s="1353">
        <f ca="1">IF(K34&lt;&gt;"",IF(VLOOKUP($A34,Actions!$F$1:$AQ$70,34,0)="Commune",(VLOOKUP($A34,Actions!$F$1:$AQ$70,24,0)-VLOOKUP($A34,Actions!$F$1:$AQ$70,26,0))/(1+VLOOKUP($A34,Actions!$F$1:$AQ$70,21,0)-VLOOKUP($A34,Actions!$F$1:$AQ$70,20,0)),0),0)</f>
        <v>0</v>
      </c>
      <c r="N34" s="1353">
        <f ca="1">IF(G34="",J34,IF(AND(K34="",G34&lt;&gt;""),VLOOKUP($A34,Actions!$F$1:$AQ$70,31,0),0))</f>
        <v>0</v>
      </c>
      <c r="O34" s="1354" t="str">
        <f ca="1">IF(OR(Actions!$Y28=O$7,AND(Actions!$Y28&lt;=O$7,Actions!$Z28&gt;=O$7)),Actions!$AA28,"")</f>
        <v/>
      </c>
      <c r="P34" s="1353">
        <f ca="1">IF(O34&lt;&gt;"",VLOOKUP($A34,Actions!$F$1:$AQ$70,38,0)/(1+VLOOKUP($A34,Actions!$F$1:$AQ$70,21,0)-VLOOKUP($A34,Actions!$F$1:$AQ$70,20,0)),0)</f>
        <v>0</v>
      </c>
      <c r="Q34" s="1353">
        <f ca="1">IF(O34&lt;&gt;"",IF(VLOOKUP($A34,Actions!$F$1:$AQ$70,34,0)="Commune",(VLOOKUP($A34,Actions!$F$1:$AQ$70,24,0)-VLOOKUP($A34,Actions!$F$1:$AQ$70,26,0))/(1+VLOOKUP($A34,Actions!$F$1:$AQ$70,21,0)-VLOOKUP($A34,Actions!$F$1:$AQ$70,20,0)),0),0)</f>
        <v>0</v>
      </c>
      <c r="R34" s="1353">
        <f ca="1">IF(K34="",N34,IF(AND(O34="",K34&lt;&gt;""),VLOOKUP($A34,Actions!$F$1:$AQ$70,31,0),0))</f>
        <v>0</v>
      </c>
      <c r="S34" s="1354" t="str">
        <f ca="1">IF(OR(Actions!$Y28=S$7,AND(Actions!$Y28&lt;=S$7,Actions!$Z28&gt;=S$7)),Actions!$AA28,"")</f>
        <v/>
      </c>
      <c r="T34" s="1353">
        <f ca="1">IF(S34&lt;&gt;"",VLOOKUP($A34,Actions!$F$1:$AQ$70,38,0)/(1+VLOOKUP($A34,Actions!$F$1:$AQ$70,21,0)-VLOOKUP($A34,Actions!$F$1:$AQ$70,20,0)),0)</f>
        <v>0</v>
      </c>
      <c r="U34" s="1353">
        <f ca="1">IF(S34&lt;&gt;"",IF(VLOOKUP($A34,Actions!$F$1:$AQ$70,34,0)="Commune",(VLOOKUP($A34,Actions!$F$1:$AQ$70,24,0)-VLOOKUP($A34,Actions!$F$1:$AQ$70,26,0))/(1+VLOOKUP($A34,Actions!$F$1:$AQ$70,21,0)-VLOOKUP($A34,Actions!$F$1:$AQ$70,20,0)),0),0)</f>
        <v>0</v>
      </c>
      <c r="V34" s="1353">
        <f ca="1">IF(O34="",R34,IF(AND(S34="",O34&lt;&gt;""),VLOOKUP($A34,Actions!$F$1:$AQ$70,31,0),0))</f>
        <v>0</v>
      </c>
      <c r="W34" s="1354" t="str">
        <f ca="1">IF(OR(Actions!$Y28=W$7,AND(Actions!$Y28&lt;=W$7,Actions!$Z28&gt;=W$7)),Actions!$AA28,"")</f>
        <v/>
      </c>
      <c r="X34" s="1353">
        <f ca="1">IF(W34&lt;&gt;"",VLOOKUP($A34,Actions!$F$1:$AQ$70,38,0)/(1+VLOOKUP($A34,Actions!$F$1:$AQ$70,21,0)-VLOOKUP($A34,Actions!$F$1:$AQ$70,20,0)),0)</f>
        <v>0</v>
      </c>
      <c r="Y34" s="1353">
        <f ca="1">IF(W34&lt;&gt;"",IF(VLOOKUP($A34,Actions!$F$1:$AQ$70,34,0)="Commune",(VLOOKUP($A34,Actions!$F$1:$AQ$70,24,0)-VLOOKUP($A34,Actions!$F$1:$AQ$70,26,0))/(1+VLOOKUP($A34,Actions!$F$1:$AQ$70,21,0)-VLOOKUP($A34,Actions!$F$1:$AQ$70,20,0)),0),0)</f>
        <v>0</v>
      </c>
      <c r="Z34" s="1353">
        <f ca="1">IF(S34="",V34,IF(AND(W34="",S34&lt;&gt;""),VLOOKUP($A34,Actions!$F$1:$AQ$70,31,0),0))</f>
        <v>0</v>
      </c>
      <c r="AA34" s="1354" t="str">
        <f ca="1">IF(OR(Actions!$Y28=AA$7,AND(Actions!$Y28&lt;=AA$7,Actions!$Z28&gt;=AA$7)),Actions!$AA28,"")</f>
        <v/>
      </c>
      <c r="AB34" s="1353">
        <f ca="1">IF(AA34&lt;&gt;"",VLOOKUP($A34,Actions!$F$1:$AQ$70,38,0)/(1+VLOOKUP($A34,Actions!$F$1:$AQ$70,21,0)-VLOOKUP($A34,Actions!$F$1:$AQ$70,20,0)),0)</f>
        <v>0</v>
      </c>
      <c r="AC34" s="1353">
        <f ca="1">IF(AA34&lt;&gt;"",IF(VLOOKUP($A34,Actions!$F$1:$AQ$70,34,0)="Commune",(VLOOKUP($A34,Actions!$F$1:$AQ$70,24,0)-VLOOKUP($A34,Actions!$F$1:$AQ$70,26,0))/(1+VLOOKUP($A34,Actions!$F$1:$AQ$70,21,0)-VLOOKUP($A34,Actions!$F$1:$AQ$70,20,0)),0),0)</f>
        <v>0</v>
      </c>
      <c r="AD34" s="1353">
        <f ca="1">IF(W34="",Z34,IF(AND(AA34="",W34&lt;&gt;""),VLOOKUP($A34,Actions!$F$1:$AQ$70,31,0),0))</f>
        <v>0</v>
      </c>
      <c r="AE34" s="1354" t="str">
        <f ca="1">IF(OR(Actions!$Y28=AE$7,AND(Actions!$Y28&lt;=AE$7,Actions!$Z28&gt;=AE$7)),Actions!$AA28,"")</f>
        <v/>
      </c>
      <c r="AF34" s="1353">
        <f ca="1">IF(AE34&lt;&gt;"",VLOOKUP($A34,Actions!$F$1:$AQ$70,38,0)/(1+VLOOKUP($A34,Actions!$F$1:$AQ$70,21,0)-VLOOKUP($A34,Actions!$F$1:$AQ$70,20,0)),0)</f>
        <v>0</v>
      </c>
      <c r="AG34" s="1353">
        <f ca="1">IF(AE34&lt;&gt;"",IF(VLOOKUP($A34,Actions!$F$1:$AQ$70,34,0)="Commune",(VLOOKUP($A34,Actions!$F$1:$AQ$70,24,0)-VLOOKUP($A34,Actions!$F$1:$AQ$70,26,0))/(1+VLOOKUP($A34,Actions!$F$1:$AQ$70,21,0)-VLOOKUP($A34,Actions!$F$1:$AQ$70,20,0)),0),0)</f>
        <v>0</v>
      </c>
      <c r="AH34" s="1353">
        <f ca="1">IF(AA34="",AD34,IF(AND(AE34="",AA34&lt;&gt;""),VLOOKUP($A34,Actions!$F$1:$AQ$70,31,0),0))</f>
        <v>0</v>
      </c>
      <c r="AI34" s="1354" t="str">
        <f ca="1">IF(OR(Actions!$Y28=AI$7,AND(Actions!$Y28&lt;=AI$7,Actions!$Z28&gt;=AI$7)),Actions!$AA28,"")</f>
        <v/>
      </c>
      <c r="AJ34" s="1353">
        <f ca="1">IF(AI34&lt;&gt;"",VLOOKUP($A34,Actions!$F$1:$AQ$70,38,0)/(1+VLOOKUP($A34,Actions!$F$1:$AQ$70,21,0)-VLOOKUP($A34,Actions!$F$1:$AQ$70,20,0)),0)</f>
        <v>0</v>
      </c>
      <c r="AK34" s="1353">
        <f ca="1">IF(AI34&lt;&gt;"",IF(VLOOKUP($A34,Actions!$F$1:$AQ$70,34,0)="Commune",(VLOOKUP($A34,Actions!$F$1:$AQ$70,24,0)-VLOOKUP($A34,Actions!$F$1:$AQ$70,26,0))/(1+VLOOKUP($A34,Actions!$F$1:$AQ$70,21,0)-VLOOKUP($A34,Actions!$F$1:$AQ$70,20,0)),0),0)</f>
        <v>0</v>
      </c>
      <c r="AL34" s="1353">
        <f ca="1">IF(AE34="",AH34,IF(AND(AI34="",AE34&lt;&gt;""),VLOOKUP($A34,Actions!$F$1:$AQ$70,31,0),0))</f>
        <v>0</v>
      </c>
      <c r="AM34" s="1354" t="str">
        <f ca="1">IF(OR(Actions!$Y28=AM$7,AND(Actions!$Y28&lt;=AM$7,Actions!$Z28&gt;=AM$7)),Actions!$AA28,"")</f>
        <v/>
      </c>
      <c r="AN34" s="1353">
        <f ca="1">IF(AM34&lt;&gt;"",VLOOKUP($A34,Actions!$F$1:$AQ$70,38,0)/(1+VLOOKUP($A34,Actions!$F$1:$AQ$70,21,0)-VLOOKUP($A34,Actions!$F$1:$AQ$70,20,0)),0)</f>
        <v>0</v>
      </c>
      <c r="AO34" s="1353">
        <f ca="1">IF(AM34&lt;&gt;"",IF(VLOOKUP($A34,Actions!$F$1:$AQ$70,34,0)="Commune",(VLOOKUP($A34,Actions!$F$1:$AQ$70,24,0)-VLOOKUP($A34,Actions!$F$1:$AQ$70,26,0))/(1+VLOOKUP($A34,Actions!$F$1:$AQ$70,21,0)-VLOOKUP($A34,Actions!$F$1:$AQ$70,20,0)),0),0)</f>
        <v>0</v>
      </c>
      <c r="AP34" s="1353">
        <f ca="1">IF(AI34="",AL34,IF(AND(AM34="",AI34&lt;&gt;""),VLOOKUP($A34,Actions!$F$1:$AQ$70,31,0),0))</f>
        <v>0</v>
      </c>
      <c r="AQ34" s="1354" t="str">
        <f ca="1">IF(OR(Actions!$Y28=AQ$7,AND(Actions!$Y28&lt;=AQ$7,Actions!$Z28&gt;=AQ$7)),Actions!$AA28,"")</f>
        <v/>
      </c>
      <c r="AR34" s="1353">
        <f ca="1">IF(AQ34&lt;&gt;"",VLOOKUP($A34,Actions!$F$1:$AQ$70,38,0)/(1+VLOOKUP($A34,Actions!$F$1:$AQ$70,21,0)-VLOOKUP($A34,Actions!$F$1:$AQ$70,20,0)),0)</f>
        <v>0</v>
      </c>
      <c r="AS34" s="1353">
        <f ca="1">IF(AQ34&lt;&gt;"",IF(VLOOKUP($A34,Actions!$F$1:$AQ$70,34,0)="Commune",(VLOOKUP($A34,Actions!$F$1:$AQ$70,24,0)-VLOOKUP($A34,Actions!$F$1:$AQ$70,26,0))/(1+VLOOKUP($A34,Actions!$F$1:$AQ$70,21,0)-VLOOKUP($A34,Actions!$F$1:$AQ$70,20,0)),0),0)</f>
        <v>0</v>
      </c>
      <c r="AT34" s="1353">
        <f ca="1">IF(AM34="",AP34,IF(AND(AQ34="",AM34&lt;&gt;""),VLOOKUP($A34,Actions!$F$1:$AQ$70,31,0),0))</f>
        <v>0</v>
      </c>
      <c r="AU34" s="1354" t="str">
        <f ca="1">IF(OR(Actions!$Y28=AU$7,AND(Actions!$Y28&lt;=AU$7,Actions!$Z28&gt;=AU$7)),Actions!$AA28,"")</f>
        <v/>
      </c>
      <c r="AV34" s="1353">
        <f ca="1">IF(AU34&lt;&gt;"",VLOOKUP($A34,Actions!$F$1:$AQ$70,38,0)/(1+VLOOKUP($A34,Actions!$F$1:$AQ$70,21,0)-VLOOKUP($A34,Actions!$F$1:$AQ$70,20,0)),0)</f>
        <v>0</v>
      </c>
      <c r="AW34" s="1353">
        <f ca="1">IF(AU34&lt;&gt;"",IF(VLOOKUP($A34,Actions!$F$1:$AQ$70,34,0)="Commune",(VLOOKUP($A34,Actions!$F$1:$AQ$70,24,0)-VLOOKUP($A34,Actions!$F$1:$AQ$70,26,0))/(1+VLOOKUP($A34,Actions!$F$1:$AQ$70,21,0)-VLOOKUP($A34,Actions!$F$1:$AQ$70,20,0)),0),0)</f>
        <v>0</v>
      </c>
      <c r="AX34" s="1353">
        <f ca="1">IF(AQ34="",AT34,IF(AND(AU34="",AQ34&lt;&gt;""),VLOOKUP($A34,Actions!$F$1:$AQ$70,31,0),0))</f>
        <v>0</v>
      </c>
      <c r="AY34" s="1354" t="str">
        <f ca="1">IF(OR(Actions!$Y28=AY$7,AND(Actions!$Y28&lt;=AY$7,Actions!$Z28&gt;=AY$7)),Actions!$AA28,"")</f>
        <v/>
      </c>
      <c r="AZ34" s="1353">
        <f ca="1">IF(AY34&lt;&gt;"",VLOOKUP($A34,Actions!$F$1:$AQ$70,38,0)/(1+VLOOKUP($A34,Actions!$F$1:$AQ$70,21,0)-VLOOKUP($A34,Actions!$F$1:$AQ$70,20,0)),0)</f>
        <v>0</v>
      </c>
      <c r="BA34" s="1353">
        <f ca="1">IF(AY34&lt;&gt;"",IF(VLOOKUP($A34,Actions!$F$1:$AQ$70,34,0)="Commune",(VLOOKUP($A34,Actions!$F$1:$AQ$70,24,0)-VLOOKUP($A34,Actions!$F$1:$AQ$70,26,0))/(1+VLOOKUP($A34,Actions!$F$1:$AQ$70,21,0)-VLOOKUP($A34,Actions!$F$1:$AQ$70,20,0)),0),0)</f>
        <v>0</v>
      </c>
      <c r="BB34" s="1353">
        <f ca="1">IF(AU34="",AX34,IF(AND(AY34="",AU34&lt;&gt;""),VLOOKUP($A34,Actions!$F$1:$AQ$70,31,0),0))</f>
        <v>0</v>
      </c>
      <c r="BC34" s="1354" t="str">
        <f ca="1">IF(OR(Actions!$Y28=BC$7,AND(Actions!$Y28&lt;=BC$7,Actions!$Z28&gt;=BC$7)),Actions!$AA28,"")</f>
        <v/>
      </c>
      <c r="BD34" s="1353">
        <f ca="1">IF(BC34&lt;&gt;"",VLOOKUP($A34,Actions!$F$1:$AQ$70,38,0)/(1+VLOOKUP($A34,Actions!$F$1:$AQ$70,21,0)-VLOOKUP($A34,Actions!$F$1:$AQ$70,20,0)),0)</f>
        <v>0</v>
      </c>
      <c r="BE34" s="1353">
        <f ca="1">IF(BC34&lt;&gt;"",IF(VLOOKUP($A34,Actions!$F$1:$AQ$70,34,0)="Commune",(VLOOKUP($A34,Actions!$F$1:$AQ$70,24,0)-VLOOKUP($A34,Actions!$F$1:$AQ$70,26,0))/(1+VLOOKUP($A34,Actions!$F$1:$AQ$70,21,0)-VLOOKUP($A34,Actions!$F$1:$AQ$70,20,0)),0),0)</f>
        <v>0</v>
      </c>
      <c r="BF34" s="1353">
        <f ca="1">IF(AY34="",BB34,IF(AND(BC34="",AY34&lt;&gt;""),VLOOKUP($A34,Actions!$F$1:$AQ$70,31,0),0))</f>
        <v>0</v>
      </c>
      <c r="BG34" s="1355">
        <f t="shared" ca="1" si="0"/>
        <v>0</v>
      </c>
      <c r="BJ34" s="233"/>
      <c r="BK34" s="233"/>
      <c r="BL34" s="233"/>
      <c r="BM34" s="233"/>
      <c r="BN34" s="233"/>
      <c r="BO34" s="233"/>
    </row>
    <row r="35" spans="1:67">
      <c r="A35" s="1349">
        <f>Actions!F29</f>
        <v>28</v>
      </c>
      <c r="B35" s="1352">
        <f ca="1">Actions!G29</f>
        <v>0</v>
      </c>
      <c r="C35" s="1353" t="str">
        <f ca="1">IF(OR(AND(Actions!Y29&gt;0,Actions!Y29&lt;=$C$7,Actions!Z29&gt;=$C$7),AND(Actions!Y29&gt;0,Actions!Y29&lt;=$C$7,Actions!Z29&lt;Actions!Y29),AND(Actions!Y29=0,Actions!Z29&gt;=$C$7)),Actions!$AA29,"")</f>
        <v/>
      </c>
      <c r="D35" s="1353">
        <f ca="1">IF(C35&lt;&gt;"",VLOOKUP($A35,Actions!$F$1:$AQ$70,38,0)/(1+VLOOKUP($A35,Actions!$F$1:$AQ$70,21,0)-VLOOKUP($A35,Actions!$F$1:$AQ$70,20,0)),0)</f>
        <v>0</v>
      </c>
      <c r="E35" s="1353">
        <f ca="1">IF(C35&lt;&gt;"",IF(VLOOKUP($A35,Actions!$F$1:$AQ$70,34,0)="Commune",(VLOOKUP($A35,Actions!$F$1:$AQ$70,24,0)-VLOOKUP($A35,Actions!$F$1:$AQ$70,26,0))/(1+VLOOKUP($A35,Actions!$F$1:$AQ$70,21,0)-VLOOKUP($A35,Actions!$F$1:$AQ$70,20,0)),0),0)</f>
        <v>0</v>
      </c>
      <c r="F35" s="1353">
        <v>0</v>
      </c>
      <c r="G35" s="1354" t="str">
        <f ca="1">IF(OR(Actions!$Y29=G$7,AND(Actions!$Y29&lt;=G$7,Actions!$Z29&gt;=G$7)),Actions!$AA29,"")</f>
        <v/>
      </c>
      <c r="H35" s="1353">
        <f ca="1">IF(G35&lt;&gt;"",VLOOKUP($A35,Actions!$F$1:$AQ$70,38,0)/(1+VLOOKUP($A35,Actions!$F$1:$AQ$70,21,0)-VLOOKUP($A35,Actions!$F$1:$AQ$70,20,0)),0)</f>
        <v>0</v>
      </c>
      <c r="I35" s="1353">
        <f ca="1">IF(G35&lt;&gt;"",IF(VLOOKUP($A35,Actions!$F$1:$AQ$70,34,0)="Commune",(VLOOKUP($A35,Actions!$F$1:$AQ$70,24,0)-VLOOKUP($A35,Actions!$F$1:$AQ$70,26,0))/(1+VLOOKUP($A35,Actions!$F$1:$AQ$70,21,0)-VLOOKUP($A35,Actions!$F$1:$AQ$70,20,0)),0),0)</f>
        <v>0</v>
      </c>
      <c r="J35" s="1353">
        <f ca="1">IF(C35="",F35,IF(AND(G35="",C35&lt;&gt;""),VLOOKUP($A35,Actions!$F$1:$AQ$70,31,0),0))</f>
        <v>0</v>
      </c>
      <c r="K35" s="1354" t="str">
        <f ca="1">IF(OR(Actions!$Y29=K$7,AND(Actions!$Y29&lt;=K$7,Actions!$Z29&gt;=K$7)),Actions!$AA29,"")</f>
        <v/>
      </c>
      <c r="L35" s="1353">
        <f ca="1">IF(K35&lt;&gt;"",VLOOKUP($A35,Actions!$F$1:$AQ$70,38,0)/(1+VLOOKUP($A35,Actions!$F$1:$AQ$70,21,0)-VLOOKUP($A35,Actions!$F$1:$AQ$70,20,0)),0)</f>
        <v>0</v>
      </c>
      <c r="M35" s="1353">
        <f ca="1">IF(K35&lt;&gt;"",IF(VLOOKUP($A35,Actions!$F$1:$AQ$70,34,0)="Commune",(VLOOKUP($A35,Actions!$F$1:$AQ$70,24,0)-VLOOKUP($A35,Actions!$F$1:$AQ$70,26,0))/(1+VLOOKUP($A35,Actions!$F$1:$AQ$70,21,0)-VLOOKUP($A35,Actions!$F$1:$AQ$70,20,0)),0),0)</f>
        <v>0</v>
      </c>
      <c r="N35" s="1353">
        <f ca="1">IF(G35="",J35,IF(AND(K35="",G35&lt;&gt;""),VLOOKUP($A35,Actions!$F$1:$AQ$70,31,0),0))</f>
        <v>0</v>
      </c>
      <c r="O35" s="1354" t="str">
        <f ca="1">IF(OR(Actions!$Y29=O$7,AND(Actions!$Y29&lt;=O$7,Actions!$Z29&gt;=O$7)),Actions!$AA29,"")</f>
        <v/>
      </c>
      <c r="P35" s="1353">
        <f ca="1">IF(O35&lt;&gt;"",VLOOKUP($A35,Actions!$F$1:$AQ$70,38,0)/(1+VLOOKUP($A35,Actions!$F$1:$AQ$70,21,0)-VLOOKUP($A35,Actions!$F$1:$AQ$70,20,0)),0)</f>
        <v>0</v>
      </c>
      <c r="Q35" s="1353">
        <f ca="1">IF(O35&lt;&gt;"",IF(VLOOKUP($A35,Actions!$F$1:$AQ$70,34,0)="Commune",(VLOOKUP($A35,Actions!$F$1:$AQ$70,24,0)-VLOOKUP($A35,Actions!$F$1:$AQ$70,26,0))/(1+VLOOKUP($A35,Actions!$F$1:$AQ$70,21,0)-VLOOKUP($A35,Actions!$F$1:$AQ$70,20,0)),0),0)</f>
        <v>0</v>
      </c>
      <c r="R35" s="1353">
        <f ca="1">IF(K35="",N35,IF(AND(O35="",K35&lt;&gt;""),VLOOKUP($A35,Actions!$F$1:$AQ$70,31,0),0))</f>
        <v>0</v>
      </c>
      <c r="S35" s="1354" t="str">
        <f ca="1">IF(OR(Actions!$Y29=S$7,AND(Actions!$Y29&lt;=S$7,Actions!$Z29&gt;=S$7)),Actions!$AA29,"")</f>
        <v/>
      </c>
      <c r="T35" s="1353">
        <f ca="1">IF(S35&lt;&gt;"",VLOOKUP($A35,Actions!$F$1:$AQ$70,38,0)/(1+VLOOKUP($A35,Actions!$F$1:$AQ$70,21,0)-VLOOKUP($A35,Actions!$F$1:$AQ$70,20,0)),0)</f>
        <v>0</v>
      </c>
      <c r="U35" s="1353">
        <f ca="1">IF(S35&lt;&gt;"",IF(VLOOKUP($A35,Actions!$F$1:$AQ$70,34,0)="Commune",(VLOOKUP($A35,Actions!$F$1:$AQ$70,24,0)-VLOOKUP($A35,Actions!$F$1:$AQ$70,26,0))/(1+VLOOKUP($A35,Actions!$F$1:$AQ$70,21,0)-VLOOKUP($A35,Actions!$F$1:$AQ$70,20,0)),0),0)</f>
        <v>0</v>
      </c>
      <c r="V35" s="1353">
        <f ca="1">IF(O35="",R35,IF(AND(S35="",O35&lt;&gt;""),VLOOKUP($A35,Actions!$F$1:$AQ$70,31,0),0))</f>
        <v>0</v>
      </c>
      <c r="W35" s="1354" t="str">
        <f ca="1">IF(OR(Actions!$Y29=W$7,AND(Actions!$Y29&lt;=W$7,Actions!$Z29&gt;=W$7)),Actions!$AA29,"")</f>
        <v/>
      </c>
      <c r="X35" s="1353">
        <f ca="1">IF(W35&lt;&gt;"",VLOOKUP($A35,Actions!$F$1:$AQ$70,38,0)/(1+VLOOKUP($A35,Actions!$F$1:$AQ$70,21,0)-VLOOKUP($A35,Actions!$F$1:$AQ$70,20,0)),0)</f>
        <v>0</v>
      </c>
      <c r="Y35" s="1353">
        <f ca="1">IF(W35&lt;&gt;"",IF(VLOOKUP($A35,Actions!$F$1:$AQ$70,34,0)="Commune",(VLOOKUP($A35,Actions!$F$1:$AQ$70,24,0)-VLOOKUP($A35,Actions!$F$1:$AQ$70,26,0))/(1+VLOOKUP($A35,Actions!$F$1:$AQ$70,21,0)-VLOOKUP($A35,Actions!$F$1:$AQ$70,20,0)),0),0)</f>
        <v>0</v>
      </c>
      <c r="Z35" s="1353">
        <f ca="1">IF(S35="",V35,IF(AND(W35="",S35&lt;&gt;""),VLOOKUP($A35,Actions!$F$1:$AQ$70,31,0),0))</f>
        <v>0</v>
      </c>
      <c r="AA35" s="1354" t="str">
        <f ca="1">IF(OR(Actions!$Y29=AA$7,AND(Actions!$Y29&lt;=AA$7,Actions!$Z29&gt;=AA$7)),Actions!$AA29,"")</f>
        <v/>
      </c>
      <c r="AB35" s="1353">
        <f ca="1">IF(AA35&lt;&gt;"",VLOOKUP($A35,Actions!$F$1:$AQ$70,38,0)/(1+VLOOKUP($A35,Actions!$F$1:$AQ$70,21,0)-VLOOKUP($A35,Actions!$F$1:$AQ$70,20,0)),0)</f>
        <v>0</v>
      </c>
      <c r="AC35" s="1353">
        <f ca="1">IF(AA35&lt;&gt;"",IF(VLOOKUP($A35,Actions!$F$1:$AQ$70,34,0)="Commune",(VLOOKUP($A35,Actions!$F$1:$AQ$70,24,0)-VLOOKUP($A35,Actions!$F$1:$AQ$70,26,0))/(1+VLOOKUP($A35,Actions!$F$1:$AQ$70,21,0)-VLOOKUP($A35,Actions!$F$1:$AQ$70,20,0)),0),0)</f>
        <v>0</v>
      </c>
      <c r="AD35" s="1353">
        <f ca="1">IF(W35="",Z35,IF(AND(AA35="",W35&lt;&gt;""),VLOOKUP($A35,Actions!$F$1:$AQ$70,31,0),0))</f>
        <v>0</v>
      </c>
      <c r="AE35" s="1354" t="str">
        <f ca="1">IF(OR(Actions!$Y29=AE$7,AND(Actions!$Y29&lt;=AE$7,Actions!$Z29&gt;=AE$7)),Actions!$AA29,"")</f>
        <v/>
      </c>
      <c r="AF35" s="1353">
        <f ca="1">IF(AE35&lt;&gt;"",VLOOKUP($A35,Actions!$F$1:$AQ$70,38,0)/(1+VLOOKUP($A35,Actions!$F$1:$AQ$70,21,0)-VLOOKUP($A35,Actions!$F$1:$AQ$70,20,0)),0)</f>
        <v>0</v>
      </c>
      <c r="AG35" s="1353">
        <f ca="1">IF(AE35&lt;&gt;"",IF(VLOOKUP($A35,Actions!$F$1:$AQ$70,34,0)="Commune",(VLOOKUP($A35,Actions!$F$1:$AQ$70,24,0)-VLOOKUP($A35,Actions!$F$1:$AQ$70,26,0))/(1+VLOOKUP($A35,Actions!$F$1:$AQ$70,21,0)-VLOOKUP($A35,Actions!$F$1:$AQ$70,20,0)),0),0)</f>
        <v>0</v>
      </c>
      <c r="AH35" s="1353">
        <f ca="1">IF(AA35="",AD35,IF(AND(AE35="",AA35&lt;&gt;""),VLOOKUP($A35,Actions!$F$1:$AQ$70,31,0),0))</f>
        <v>0</v>
      </c>
      <c r="AI35" s="1354" t="str">
        <f ca="1">IF(OR(Actions!$Y29=AI$7,AND(Actions!$Y29&lt;=AI$7,Actions!$Z29&gt;=AI$7)),Actions!$AA29,"")</f>
        <v/>
      </c>
      <c r="AJ35" s="1353">
        <f ca="1">IF(AI35&lt;&gt;"",VLOOKUP($A35,Actions!$F$1:$AQ$70,38,0)/(1+VLOOKUP($A35,Actions!$F$1:$AQ$70,21,0)-VLOOKUP($A35,Actions!$F$1:$AQ$70,20,0)),0)</f>
        <v>0</v>
      </c>
      <c r="AK35" s="1353">
        <f ca="1">IF(AI35&lt;&gt;"",IF(VLOOKUP($A35,Actions!$F$1:$AQ$70,34,0)="Commune",(VLOOKUP($A35,Actions!$F$1:$AQ$70,24,0)-VLOOKUP($A35,Actions!$F$1:$AQ$70,26,0))/(1+VLOOKUP($A35,Actions!$F$1:$AQ$70,21,0)-VLOOKUP($A35,Actions!$F$1:$AQ$70,20,0)),0),0)</f>
        <v>0</v>
      </c>
      <c r="AL35" s="1353">
        <f ca="1">IF(AE35="",AH35,IF(AND(AI35="",AE35&lt;&gt;""),VLOOKUP($A35,Actions!$F$1:$AQ$70,31,0),0))</f>
        <v>0</v>
      </c>
      <c r="AM35" s="1354" t="str">
        <f ca="1">IF(OR(Actions!$Y29=AM$7,AND(Actions!$Y29&lt;=AM$7,Actions!$Z29&gt;=AM$7)),Actions!$AA29,"")</f>
        <v/>
      </c>
      <c r="AN35" s="1353">
        <f ca="1">IF(AM35&lt;&gt;"",VLOOKUP($A35,Actions!$F$1:$AQ$70,38,0)/(1+VLOOKUP($A35,Actions!$F$1:$AQ$70,21,0)-VLOOKUP($A35,Actions!$F$1:$AQ$70,20,0)),0)</f>
        <v>0</v>
      </c>
      <c r="AO35" s="1353">
        <f ca="1">IF(AM35&lt;&gt;"",IF(VLOOKUP($A35,Actions!$F$1:$AQ$70,34,0)="Commune",(VLOOKUP($A35,Actions!$F$1:$AQ$70,24,0)-VLOOKUP($A35,Actions!$F$1:$AQ$70,26,0))/(1+VLOOKUP($A35,Actions!$F$1:$AQ$70,21,0)-VLOOKUP($A35,Actions!$F$1:$AQ$70,20,0)),0),0)</f>
        <v>0</v>
      </c>
      <c r="AP35" s="1353">
        <f ca="1">IF(AI35="",AL35,IF(AND(AM35="",AI35&lt;&gt;""),VLOOKUP($A35,Actions!$F$1:$AQ$70,31,0),0))</f>
        <v>0</v>
      </c>
      <c r="AQ35" s="1354" t="str">
        <f ca="1">IF(OR(Actions!$Y29=AQ$7,AND(Actions!$Y29&lt;=AQ$7,Actions!$Z29&gt;=AQ$7)),Actions!$AA29,"")</f>
        <v/>
      </c>
      <c r="AR35" s="1353">
        <f ca="1">IF(AQ35&lt;&gt;"",VLOOKUP($A35,Actions!$F$1:$AQ$70,38,0)/(1+VLOOKUP($A35,Actions!$F$1:$AQ$70,21,0)-VLOOKUP($A35,Actions!$F$1:$AQ$70,20,0)),0)</f>
        <v>0</v>
      </c>
      <c r="AS35" s="1353">
        <f ca="1">IF(AQ35&lt;&gt;"",IF(VLOOKUP($A35,Actions!$F$1:$AQ$70,34,0)="Commune",(VLOOKUP($A35,Actions!$F$1:$AQ$70,24,0)-VLOOKUP($A35,Actions!$F$1:$AQ$70,26,0))/(1+VLOOKUP($A35,Actions!$F$1:$AQ$70,21,0)-VLOOKUP($A35,Actions!$F$1:$AQ$70,20,0)),0),0)</f>
        <v>0</v>
      </c>
      <c r="AT35" s="1353">
        <f ca="1">IF(AM35="",AP35,IF(AND(AQ35="",AM35&lt;&gt;""),VLOOKUP($A35,Actions!$F$1:$AQ$70,31,0),0))</f>
        <v>0</v>
      </c>
      <c r="AU35" s="1354" t="str">
        <f ca="1">IF(OR(Actions!$Y29=AU$7,AND(Actions!$Y29&lt;=AU$7,Actions!$Z29&gt;=AU$7)),Actions!$AA29,"")</f>
        <v/>
      </c>
      <c r="AV35" s="1353">
        <f ca="1">IF(AU35&lt;&gt;"",VLOOKUP($A35,Actions!$F$1:$AQ$70,38,0)/(1+VLOOKUP($A35,Actions!$F$1:$AQ$70,21,0)-VLOOKUP($A35,Actions!$F$1:$AQ$70,20,0)),0)</f>
        <v>0</v>
      </c>
      <c r="AW35" s="1353">
        <f ca="1">IF(AU35&lt;&gt;"",IF(VLOOKUP($A35,Actions!$F$1:$AQ$70,34,0)="Commune",(VLOOKUP($A35,Actions!$F$1:$AQ$70,24,0)-VLOOKUP($A35,Actions!$F$1:$AQ$70,26,0))/(1+VLOOKUP($A35,Actions!$F$1:$AQ$70,21,0)-VLOOKUP($A35,Actions!$F$1:$AQ$70,20,0)),0),0)</f>
        <v>0</v>
      </c>
      <c r="AX35" s="1353">
        <f ca="1">IF(AQ35="",AT35,IF(AND(AU35="",AQ35&lt;&gt;""),VLOOKUP($A35,Actions!$F$1:$AQ$70,31,0),0))</f>
        <v>0</v>
      </c>
      <c r="AY35" s="1354" t="str">
        <f ca="1">IF(OR(Actions!$Y29=AY$7,AND(Actions!$Y29&lt;=AY$7,Actions!$Z29&gt;=AY$7)),Actions!$AA29,"")</f>
        <v/>
      </c>
      <c r="AZ35" s="1353">
        <f ca="1">IF(AY35&lt;&gt;"",VLOOKUP($A35,Actions!$F$1:$AQ$70,38,0)/(1+VLOOKUP($A35,Actions!$F$1:$AQ$70,21,0)-VLOOKUP($A35,Actions!$F$1:$AQ$70,20,0)),0)</f>
        <v>0</v>
      </c>
      <c r="BA35" s="1353">
        <f ca="1">IF(AY35&lt;&gt;"",IF(VLOOKUP($A35,Actions!$F$1:$AQ$70,34,0)="Commune",(VLOOKUP($A35,Actions!$F$1:$AQ$70,24,0)-VLOOKUP($A35,Actions!$F$1:$AQ$70,26,0))/(1+VLOOKUP($A35,Actions!$F$1:$AQ$70,21,0)-VLOOKUP($A35,Actions!$F$1:$AQ$70,20,0)),0),0)</f>
        <v>0</v>
      </c>
      <c r="BB35" s="1353">
        <f ca="1">IF(AU35="",AX35,IF(AND(AY35="",AU35&lt;&gt;""),VLOOKUP($A35,Actions!$F$1:$AQ$70,31,0),0))</f>
        <v>0</v>
      </c>
      <c r="BC35" s="1354" t="str">
        <f ca="1">IF(OR(Actions!$Y29=BC$7,AND(Actions!$Y29&lt;=BC$7,Actions!$Z29&gt;=BC$7)),Actions!$AA29,"")</f>
        <v/>
      </c>
      <c r="BD35" s="1353">
        <f ca="1">IF(BC35&lt;&gt;"",VLOOKUP($A35,Actions!$F$1:$AQ$70,38,0)/(1+VLOOKUP($A35,Actions!$F$1:$AQ$70,21,0)-VLOOKUP($A35,Actions!$F$1:$AQ$70,20,0)),0)</f>
        <v>0</v>
      </c>
      <c r="BE35" s="1353">
        <f ca="1">IF(BC35&lt;&gt;"",IF(VLOOKUP($A35,Actions!$F$1:$AQ$70,34,0)="Commune",(VLOOKUP($A35,Actions!$F$1:$AQ$70,24,0)-VLOOKUP($A35,Actions!$F$1:$AQ$70,26,0))/(1+VLOOKUP($A35,Actions!$F$1:$AQ$70,21,0)-VLOOKUP($A35,Actions!$F$1:$AQ$70,20,0)),0),0)</f>
        <v>0</v>
      </c>
      <c r="BF35" s="1353">
        <f ca="1">IF(AY35="",BB35,IF(AND(BC35="",AY35&lt;&gt;""),VLOOKUP($A35,Actions!$F$1:$AQ$70,31,0),0))</f>
        <v>0</v>
      </c>
      <c r="BG35" s="1355">
        <f t="shared" ca="1" si="0"/>
        <v>0</v>
      </c>
      <c r="BJ35" s="233"/>
      <c r="BK35" s="233"/>
      <c r="BL35" s="233"/>
      <c r="BM35" s="233"/>
      <c r="BN35" s="233"/>
      <c r="BO35" s="233"/>
    </row>
    <row r="36" spans="1:67">
      <c r="A36" s="1349">
        <f>Actions!F30</f>
        <v>29</v>
      </c>
      <c r="B36" s="1352">
        <f ca="1">Actions!G30</f>
        <v>0</v>
      </c>
      <c r="C36" s="1353" t="str">
        <f ca="1">IF(OR(AND(Actions!Y30&gt;0,Actions!Y30&lt;=$C$7,Actions!Z30&gt;=$C$7),AND(Actions!Y30&gt;0,Actions!Y30&lt;=$C$7,Actions!Z30&lt;Actions!Y30),AND(Actions!Y30=0,Actions!Z30&gt;=$C$7)),Actions!$AA30,"")</f>
        <v/>
      </c>
      <c r="D36" s="1353">
        <f ca="1">IF(C36&lt;&gt;"",VLOOKUP($A36,Actions!$F$1:$AQ$70,38,0)/(1+VLOOKUP($A36,Actions!$F$1:$AQ$70,21,0)-VLOOKUP($A36,Actions!$F$1:$AQ$70,20,0)),0)</f>
        <v>0</v>
      </c>
      <c r="E36" s="1353">
        <f ca="1">IF(C36&lt;&gt;"",IF(VLOOKUP($A36,Actions!$F$1:$AQ$70,34,0)="Commune",(VLOOKUP($A36,Actions!$F$1:$AQ$70,24,0)-VLOOKUP($A36,Actions!$F$1:$AQ$70,26,0))/(1+VLOOKUP($A36,Actions!$F$1:$AQ$70,21,0)-VLOOKUP($A36,Actions!$F$1:$AQ$70,20,0)),0),0)</f>
        <v>0</v>
      </c>
      <c r="F36" s="1353">
        <v>0</v>
      </c>
      <c r="G36" s="1354" t="str">
        <f ca="1">IF(OR(Actions!$Y30=G$7,AND(Actions!$Y30&lt;=G$7,Actions!$Z30&gt;=G$7)),Actions!$AA30,"")</f>
        <v/>
      </c>
      <c r="H36" s="1353">
        <f ca="1">IF(G36&lt;&gt;"",VLOOKUP($A36,Actions!$F$1:$AQ$70,38,0)/(1+VLOOKUP($A36,Actions!$F$1:$AQ$70,21,0)-VLOOKUP($A36,Actions!$F$1:$AQ$70,20,0)),0)</f>
        <v>0</v>
      </c>
      <c r="I36" s="1353">
        <f ca="1">IF(G36&lt;&gt;"",IF(VLOOKUP($A36,Actions!$F$1:$AQ$70,34,0)="Commune",(VLOOKUP($A36,Actions!$F$1:$AQ$70,24,0)-VLOOKUP($A36,Actions!$F$1:$AQ$70,26,0))/(1+VLOOKUP($A36,Actions!$F$1:$AQ$70,21,0)-VLOOKUP($A36,Actions!$F$1:$AQ$70,20,0)),0),0)</f>
        <v>0</v>
      </c>
      <c r="J36" s="1353">
        <f ca="1">IF(C36="",F36,IF(AND(G36="",C36&lt;&gt;""),VLOOKUP($A36,Actions!$F$1:$AQ$70,31,0),0))</f>
        <v>0</v>
      </c>
      <c r="K36" s="1354" t="str">
        <f ca="1">IF(OR(Actions!$Y30=K$7,AND(Actions!$Y30&lt;=K$7,Actions!$Z30&gt;=K$7)),Actions!$AA30,"")</f>
        <v/>
      </c>
      <c r="L36" s="1353">
        <f ca="1">IF(K36&lt;&gt;"",VLOOKUP($A36,Actions!$F$1:$AQ$70,38,0)/(1+VLOOKUP($A36,Actions!$F$1:$AQ$70,21,0)-VLOOKUP($A36,Actions!$F$1:$AQ$70,20,0)),0)</f>
        <v>0</v>
      </c>
      <c r="M36" s="1353">
        <f ca="1">IF(K36&lt;&gt;"",IF(VLOOKUP($A36,Actions!$F$1:$AQ$70,34,0)="Commune",(VLOOKUP($A36,Actions!$F$1:$AQ$70,24,0)-VLOOKUP($A36,Actions!$F$1:$AQ$70,26,0))/(1+VLOOKUP($A36,Actions!$F$1:$AQ$70,21,0)-VLOOKUP($A36,Actions!$F$1:$AQ$70,20,0)),0),0)</f>
        <v>0</v>
      </c>
      <c r="N36" s="1353">
        <f ca="1">IF(G36="",J36,IF(AND(K36="",G36&lt;&gt;""),VLOOKUP($A36,Actions!$F$1:$AQ$70,31,0),0))</f>
        <v>0</v>
      </c>
      <c r="O36" s="1354" t="str">
        <f ca="1">IF(OR(Actions!$Y30=O$7,AND(Actions!$Y30&lt;=O$7,Actions!$Z30&gt;=O$7)),Actions!$AA30,"")</f>
        <v/>
      </c>
      <c r="P36" s="1353">
        <f ca="1">IF(O36&lt;&gt;"",VLOOKUP($A36,Actions!$F$1:$AQ$70,38,0)/(1+VLOOKUP($A36,Actions!$F$1:$AQ$70,21,0)-VLOOKUP($A36,Actions!$F$1:$AQ$70,20,0)),0)</f>
        <v>0</v>
      </c>
      <c r="Q36" s="1353">
        <f ca="1">IF(O36&lt;&gt;"",IF(VLOOKUP($A36,Actions!$F$1:$AQ$70,34,0)="Commune",(VLOOKUP($A36,Actions!$F$1:$AQ$70,24,0)-VLOOKUP($A36,Actions!$F$1:$AQ$70,26,0))/(1+VLOOKUP($A36,Actions!$F$1:$AQ$70,21,0)-VLOOKUP($A36,Actions!$F$1:$AQ$70,20,0)),0),0)</f>
        <v>0</v>
      </c>
      <c r="R36" s="1353">
        <f ca="1">IF(K36="",N36,IF(AND(O36="",K36&lt;&gt;""),VLOOKUP($A36,Actions!$F$1:$AQ$70,31,0),0))</f>
        <v>0</v>
      </c>
      <c r="S36" s="1354" t="str">
        <f ca="1">IF(OR(Actions!$Y30=S$7,AND(Actions!$Y30&lt;=S$7,Actions!$Z30&gt;=S$7)),Actions!$AA30,"")</f>
        <v/>
      </c>
      <c r="T36" s="1353">
        <f ca="1">IF(S36&lt;&gt;"",VLOOKUP($A36,Actions!$F$1:$AQ$70,38,0)/(1+VLOOKUP($A36,Actions!$F$1:$AQ$70,21,0)-VLOOKUP($A36,Actions!$F$1:$AQ$70,20,0)),0)</f>
        <v>0</v>
      </c>
      <c r="U36" s="1353">
        <f ca="1">IF(S36&lt;&gt;"",IF(VLOOKUP($A36,Actions!$F$1:$AQ$70,34,0)="Commune",(VLOOKUP($A36,Actions!$F$1:$AQ$70,24,0)-VLOOKUP($A36,Actions!$F$1:$AQ$70,26,0))/(1+VLOOKUP($A36,Actions!$F$1:$AQ$70,21,0)-VLOOKUP($A36,Actions!$F$1:$AQ$70,20,0)),0),0)</f>
        <v>0</v>
      </c>
      <c r="V36" s="1353">
        <f ca="1">IF(O36="",R36,IF(AND(S36="",O36&lt;&gt;""),VLOOKUP($A36,Actions!$F$1:$AQ$70,31,0),0))</f>
        <v>0</v>
      </c>
      <c r="W36" s="1354" t="str">
        <f ca="1">IF(OR(Actions!$Y30=W$7,AND(Actions!$Y30&lt;=W$7,Actions!$Z30&gt;=W$7)),Actions!$AA30,"")</f>
        <v/>
      </c>
      <c r="X36" s="1353">
        <f ca="1">IF(W36&lt;&gt;"",VLOOKUP($A36,Actions!$F$1:$AQ$70,38,0)/(1+VLOOKUP($A36,Actions!$F$1:$AQ$70,21,0)-VLOOKUP($A36,Actions!$F$1:$AQ$70,20,0)),0)</f>
        <v>0</v>
      </c>
      <c r="Y36" s="1353">
        <f ca="1">IF(W36&lt;&gt;"",IF(VLOOKUP($A36,Actions!$F$1:$AQ$70,34,0)="Commune",(VLOOKUP($A36,Actions!$F$1:$AQ$70,24,0)-VLOOKUP($A36,Actions!$F$1:$AQ$70,26,0))/(1+VLOOKUP($A36,Actions!$F$1:$AQ$70,21,0)-VLOOKUP($A36,Actions!$F$1:$AQ$70,20,0)),0),0)</f>
        <v>0</v>
      </c>
      <c r="Z36" s="1353">
        <f ca="1">IF(S36="",V36,IF(AND(W36="",S36&lt;&gt;""),VLOOKUP($A36,Actions!$F$1:$AQ$70,31,0),0))</f>
        <v>0</v>
      </c>
      <c r="AA36" s="1354" t="str">
        <f ca="1">IF(OR(Actions!$Y30=AA$7,AND(Actions!$Y30&lt;=AA$7,Actions!$Z30&gt;=AA$7)),Actions!$AA30,"")</f>
        <v/>
      </c>
      <c r="AB36" s="1353">
        <f ca="1">IF(AA36&lt;&gt;"",VLOOKUP($A36,Actions!$F$1:$AQ$70,38,0)/(1+VLOOKUP($A36,Actions!$F$1:$AQ$70,21,0)-VLOOKUP($A36,Actions!$F$1:$AQ$70,20,0)),0)</f>
        <v>0</v>
      </c>
      <c r="AC36" s="1353">
        <f ca="1">IF(AA36&lt;&gt;"",IF(VLOOKUP($A36,Actions!$F$1:$AQ$70,34,0)="Commune",(VLOOKUP($A36,Actions!$F$1:$AQ$70,24,0)-VLOOKUP($A36,Actions!$F$1:$AQ$70,26,0))/(1+VLOOKUP($A36,Actions!$F$1:$AQ$70,21,0)-VLOOKUP($A36,Actions!$F$1:$AQ$70,20,0)),0),0)</f>
        <v>0</v>
      </c>
      <c r="AD36" s="1353">
        <f ca="1">IF(W36="",Z36,IF(AND(AA36="",W36&lt;&gt;""),VLOOKUP($A36,Actions!$F$1:$AQ$70,31,0),0))</f>
        <v>0</v>
      </c>
      <c r="AE36" s="1354" t="str">
        <f ca="1">IF(OR(Actions!$Y30=AE$7,AND(Actions!$Y30&lt;=AE$7,Actions!$Z30&gt;=AE$7)),Actions!$AA30,"")</f>
        <v/>
      </c>
      <c r="AF36" s="1353">
        <f ca="1">IF(AE36&lt;&gt;"",VLOOKUP($A36,Actions!$F$1:$AQ$70,38,0)/(1+VLOOKUP($A36,Actions!$F$1:$AQ$70,21,0)-VLOOKUP($A36,Actions!$F$1:$AQ$70,20,0)),0)</f>
        <v>0</v>
      </c>
      <c r="AG36" s="1353">
        <f ca="1">IF(AE36&lt;&gt;"",IF(VLOOKUP($A36,Actions!$F$1:$AQ$70,34,0)="Commune",(VLOOKUP($A36,Actions!$F$1:$AQ$70,24,0)-VLOOKUP($A36,Actions!$F$1:$AQ$70,26,0))/(1+VLOOKUP($A36,Actions!$F$1:$AQ$70,21,0)-VLOOKUP($A36,Actions!$F$1:$AQ$70,20,0)),0),0)</f>
        <v>0</v>
      </c>
      <c r="AH36" s="1353">
        <f ca="1">IF(AA36="",AD36,IF(AND(AE36="",AA36&lt;&gt;""),VLOOKUP($A36,Actions!$F$1:$AQ$70,31,0),0))</f>
        <v>0</v>
      </c>
      <c r="AI36" s="1354" t="str">
        <f ca="1">IF(OR(Actions!$Y30=AI$7,AND(Actions!$Y30&lt;=AI$7,Actions!$Z30&gt;=AI$7)),Actions!$AA30,"")</f>
        <v/>
      </c>
      <c r="AJ36" s="1353">
        <f ca="1">IF(AI36&lt;&gt;"",VLOOKUP($A36,Actions!$F$1:$AQ$70,38,0)/(1+VLOOKUP($A36,Actions!$F$1:$AQ$70,21,0)-VLOOKUP($A36,Actions!$F$1:$AQ$70,20,0)),0)</f>
        <v>0</v>
      </c>
      <c r="AK36" s="1353">
        <f ca="1">IF(AI36&lt;&gt;"",IF(VLOOKUP($A36,Actions!$F$1:$AQ$70,34,0)="Commune",(VLOOKUP($A36,Actions!$F$1:$AQ$70,24,0)-VLOOKUP($A36,Actions!$F$1:$AQ$70,26,0))/(1+VLOOKUP($A36,Actions!$F$1:$AQ$70,21,0)-VLOOKUP($A36,Actions!$F$1:$AQ$70,20,0)),0),0)</f>
        <v>0</v>
      </c>
      <c r="AL36" s="1353">
        <f ca="1">IF(AE36="",AH36,IF(AND(AI36="",AE36&lt;&gt;""),VLOOKUP($A36,Actions!$F$1:$AQ$70,31,0),0))</f>
        <v>0</v>
      </c>
      <c r="AM36" s="1354" t="str">
        <f ca="1">IF(OR(Actions!$Y30=AM$7,AND(Actions!$Y30&lt;=AM$7,Actions!$Z30&gt;=AM$7)),Actions!$AA30,"")</f>
        <v/>
      </c>
      <c r="AN36" s="1353">
        <f ca="1">IF(AM36&lt;&gt;"",VLOOKUP($A36,Actions!$F$1:$AQ$70,38,0)/(1+VLOOKUP($A36,Actions!$F$1:$AQ$70,21,0)-VLOOKUP($A36,Actions!$F$1:$AQ$70,20,0)),0)</f>
        <v>0</v>
      </c>
      <c r="AO36" s="1353">
        <f ca="1">IF(AM36&lt;&gt;"",IF(VLOOKUP($A36,Actions!$F$1:$AQ$70,34,0)="Commune",(VLOOKUP($A36,Actions!$F$1:$AQ$70,24,0)-VLOOKUP($A36,Actions!$F$1:$AQ$70,26,0))/(1+VLOOKUP($A36,Actions!$F$1:$AQ$70,21,0)-VLOOKUP($A36,Actions!$F$1:$AQ$70,20,0)),0),0)</f>
        <v>0</v>
      </c>
      <c r="AP36" s="1353">
        <f ca="1">IF(AI36="",AL36,IF(AND(AM36="",AI36&lt;&gt;""),VLOOKUP($A36,Actions!$F$1:$AQ$70,31,0),0))</f>
        <v>0</v>
      </c>
      <c r="AQ36" s="1354" t="str">
        <f ca="1">IF(OR(Actions!$Y30=AQ$7,AND(Actions!$Y30&lt;=AQ$7,Actions!$Z30&gt;=AQ$7)),Actions!$AA30,"")</f>
        <v/>
      </c>
      <c r="AR36" s="1353">
        <f ca="1">IF(AQ36&lt;&gt;"",VLOOKUP($A36,Actions!$F$1:$AQ$70,38,0)/(1+VLOOKUP($A36,Actions!$F$1:$AQ$70,21,0)-VLOOKUP($A36,Actions!$F$1:$AQ$70,20,0)),0)</f>
        <v>0</v>
      </c>
      <c r="AS36" s="1353">
        <f ca="1">IF(AQ36&lt;&gt;"",IF(VLOOKUP($A36,Actions!$F$1:$AQ$70,34,0)="Commune",(VLOOKUP($A36,Actions!$F$1:$AQ$70,24,0)-VLOOKUP($A36,Actions!$F$1:$AQ$70,26,0))/(1+VLOOKUP($A36,Actions!$F$1:$AQ$70,21,0)-VLOOKUP($A36,Actions!$F$1:$AQ$70,20,0)),0),0)</f>
        <v>0</v>
      </c>
      <c r="AT36" s="1353">
        <f ca="1">IF(AM36="",AP36,IF(AND(AQ36="",AM36&lt;&gt;""),VLOOKUP($A36,Actions!$F$1:$AQ$70,31,0),0))</f>
        <v>0</v>
      </c>
      <c r="AU36" s="1354" t="str">
        <f ca="1">IF(OR(Actions!$Y30=AU$7,AND(Actions!$Y30&lt;=AU$7,Actions!$Z30&gt;=AU$7)),Actions!$AA30,"")</f>
        <v/>
      </c>
      <c r="AV36" s="1353">
        <f ca="1">IF(AU36&lt;&gt;"",VLOOKUP($A36,Actions!$F$1:$AQ$70,38,0)/(1+VLOOKUP($A36,Actions!$F$1:$AQ$70,21,0)-VLOOKUP($A36,Actions!$F$1:$AQ$70,20,0)),0)</f>
        <v>0</v>
      </c>
      <c r="AW36" s="1353">
        <f ca="1">IF(AU36&lt;&gt;"",IF(VLOOKUP($A36,Actions!$F$1:$AQ$70,34,0)="Commune",(VLOOKUP($A36,Actions!$F$1:$AQ$70,24,0)-VLOOKUP($A36,Actions!$F$1:$AQ$70,26,0))/(1+VLOOKUP($A36,Actions!$F$1:$AQ$70,21,0)-VLOOKUP($A36,Actions!$F$1:$AQ$70,20,0)),0),0)</f>
        <v>0</v>
      </c>
      <c r="AX36" s="1353">
        <f ca="1">IF(AQ36="",AT36,IF(AND(AU36="",AQ36&lt;&gt;""),VLOOKUP($A36,Actions!$F$1:$AQ$70,31,0),0))</f>
        <v>0</v>
      </c>
      <c r="AY36" s="1354" t="str">
        <f ca="1">IF(OR(Actions!$Y30=AY$7,AND(Actions!$Y30&lt;=AY$7,Actions!$Z30&gt;=AY$7)),Actions!$AA30,"")</f>
        <v/>
      </c>
      <c r="AZ36" s="1353">
        <f ca="1">IF(AY36&lt;&gt;"",VLOOKUP($A36,Actions!$F$1:$AQ$70,38,0)/(1+VLOOKUP($A36,Actions!$F$1:$AQ$70,21,0)-VLOOKUP($A36,Actions!$F$1:$AQ$70,20,0)),0)</f>
        <v>0</v>
      </c>
      <c r="BA36" s="1353">
        <f ca="1">IF(AY36&lt;&gt;"",IF(VLOOKUP($A36,Actions!$F$1:$AQ$70,34,0)="Commune",(VLOOKUP($A36,Actions!$F$1:$AQ$70,24,0)-VLOOKUP($A36,Actions!$F$1:$AQ$70,26,0))/(1+VLOOKUP($A36,Actions!$F$1:$AQ$70,21,0)-VLOOKUP($A36,Actions!$F$1:$AQ$70,20,0)),0),0)</f>
        <v>0</v>
      </c>
      <c r="BB36" s="1353">
        <f ca="1">IF(AU36="",AX36,IF(AND(AY36="",AU36&lt;&gt;""),VLOOKUP($A36,Actions!$F$1:$AQ$70,31,0),0))</f>
        <v>0</v>
      </c>
      <c r="BC36" s="1354" t="str">
        <f ca="1">IF(OR(Actions!$Y30=BC$7,AND(Actions!$Y30&lt;=BC$7,Actions!$Z30&gt;=BC$7)),Actions!$AA30,"")</f>
        <v/>
      </c>
      <c r="BD36" s="1353">
        <f ca="1">IF(BC36&lt;&gt;"",VLOOKUP($A36,Actions!$F$1:$AQ$70,38,0)/(1+VLOOKUP($A36,Actions!$F$1:$AQ$70,21,0)-VLOOKUP($A36,Actions!$F$1:$AQ$70,20,0)),0)</f>
        <v>0</v>
      </c>
      <c r="BE36" s="1353">
        <f ca="1">IF(BC36&lt;&gt;"",IF(VLOOKUP($A36,Actions!$F$1:$AQ$70,34,0)="Commune",(VLOOKUP($A36,Actions!$F$1:$AQ$70,24,0)-VLOOKUP($A36,Actions!$F$1:$AQ$70,26,0))/(1+VLOOKUP($A36,Actions!$F$1:$AQ$70,21,0)-VLOOKUP($A36,Actions!$F$1:$AQ$70,20,0)),0),0)</f>
        <v>0</v>
      </c>
      <c r="BF36" s="1353">
        <f ca="1">IF(AY36="",BB36,IF(AND(BC36="",AY36&lt;&gt;""),VLOOKUP($A36,Actions!$F$1:$AQ$70,31,0),0))</f>
        <v>0</v>
      </c>
      <c r="BG36" s="1355">
        <f t="shared" ca="1" si="0"/>
        <v>0</v>
      </c>
      <c r="BJ36" s="233"/>
      <c r="BK36" s="233"/>
      <c r="BL36" s="233"/>
      <c r="BM36" s="233"/>
      <c r="BN36" s="233"/>
      <c r="BO36" s="233"/>
    </row>
    <row r="37" spans="1:67">
      <c r="A37" s="1349">
        <f>Actions!F31</f>
        <v>30</v>
      </c>
      <c r="B37" s="1352">
        <f ca="1">Actions!G31</f>
        <v>0</v>
      </c>
      <c r="C37" s="1353" t="str">
        <f ca="1">IF(OR(AND(Actions!Y31&gt;0,Actions!Y31&lt;=$C$7,Actions!Z31&gt;=$C$7),AND(Actions!Y31&gt;0,Actions!Y31&lt;=$C$7,Actions!Z31&lt;Actions!Y31),AND(Actions!Y31=0,Actions!Z31&gt;=$C$7)),Actions!$AA31,"")</f>
        <v/>
      </c>
      <c r="D37" s="1353">
        <f ca="1">IF(C37&lt;&gt;"",VLOOKUP($A37,Actions!$F$1:$AQ$70,38,0)/(1+VLOOKUP($A37,Actions!$F$1:$AQ$70,21,0)-VLOOKUP($A37,Actions!$F$1:$AQ$70,20,0)),0)</f>
        <v>0</v>
      </c>
      <c r="E37" s="1353">
        <f ca="1">IF(C37&lt;&gt;"",IF(VLOOKUP($A37,Actions!$F$1:$AQ$70,34,0)="Commune",(VLOOKUP($A37,Actions!$F$1:$AQ$70,24,0)-VLOOKUP($A37,Actions!$F$1:$AQ$70,26,0))/(1+VLOOKUP($A37,Actions!$F$1:$AQ$70,21,0)-VLOOKUP($A37,Actions!$F$1:$AQ$70,20,0)),0),0)</f>
        <v>0</v>
      </c>
      <c r="F37" s="1353">
        <v>0</v>
      </c>
      <c r="G37" s="1354" t="str">
        <f ca="1">IF(OR(Actions!$Y31=G$7,AND(Actions!$Y31&lt;=G$7,Actions!$Z31&gt;=G$7)),Actions!$AA31,"")</f>
        <v/>
      </c>
      <c r="H37" s="1353">
        <f ca="1">IF(G37&lt;&gt;"",VLOOKUP($A37,Actions!$F$1:$AQ$70,38,0)/(1+VLOOKUP($A37,Actions!$F$1:$AQ$70,21,0)-VLOOKUP($A37,Actions!$F$1:$AQ$70,20,0)),0)</f>
        <v>0</v>
      </c>
      <c r="I37" s="1353">
        <f ca="1">IF(G37&lt;&gt;"",IF(VLOOKUP($A37,Actions!$F$1:$AQ$70,34,0)="Commune",(VLOOKUP($A37,Actions!$F$1:$AQ$70,24,0)-VLOOKUP($A37,Actions!$F$1:$AQ$70,26,0))/(1+VLOOKUP($A37,Actions!$F$1:$AQ$70,21,0)-VLOOKUP($A37,Actions!$F$1:$AQ$70,20,0)),0),0)</f>
        <v>0</v>
      </c>
      <c r="J37" s="1353">
        <f ca="1">IF(C37="",F37,IF(AND(G37="",C37&lt;&gt;""),VLOOKUP($A37,Actions!$F$1:$AQ$70,31,0),0))</f>
        <v>0</v>
      </c>
      <c r="K37" s="1354" t="str">
        <f ca="1">IF(OR(Actions!$Y31=K$7,AND(Actions!$Y31&lt;=K$7,Actions!$Z31&gt;=K$7)),Actions!$AA31,"")</f>
        <v/>
      </c>
      <c r="L37" s="1353">
        <f ca="1">IF(K37&lt;&gt;"",VLOOKUP($A37,Actions!$F$1:$AQ$70,38,0)/(1+VLOOKUP($A37,Actions!$F$1:$AQ$70,21,0)-VLOOKUP($A37,Actions!$F$1:$AQ$70,20,0)),0)</f>
        <v>0</v>
      </c>
      <c r="M37" s="1353">
        <f ca="1">IF(K37&lt;&gt;"",IF(VLOOKUP($A37,Actions!$F$1:$AQ$70,34,0)="Commune",(VLOOKUP($A37,Actions!$F$1:$AQ$70,24,0)-VLOOKUP($A37,Actions!$F$1:$AQ$70,26,0))/(1+VLOOKUP($A37,Actions!$F$1:$AQ$70,21,0)-VLOOKUP($A37,Actions!$F$1:$AQ$70,20,0)),0),0)</f>
        <v>0</v>
      </c>
      <c r="N37" s="1353">
        <f ca="1">IF(G37="",J37,IF(AND(K37="",G37&lt;&gt;""),VLOOKUP($A37,Actions!$F$1:$AQ$70,31,0),0))</f>
        <v>0</v>
      </c>
      <c r="O37" s="1354" t="str">
        <f ca="1">IF(OR(Actions!$Y31=O$7,AND(Actions!$Y31&lt;=O$7,Actions!$Z31&gt;=O$7)),Actions!$AA31,"")</f>
        <v/>
      </c>
      <c r="P37" s="1353">
        <f ca="1">IF(O37&lt;&gt;"",VLOOKUP($A37,Actions!$F$1:$AQ$70,38,0)/(1+VLOOKUP($A37,Actions!$F$1:$AQ$70,21,0)-VLOOKUP($A37,Actions!$F$1:$AQ$70,20,0)),0)</f>
        <v>0</v>
      </c>
      <c r="Q37" s="1353">
        <f ca="1">IF(O37&lt;&gt;"",IF(VLOOKUP($A37,Actions!$F$1:$AQ$70,34,0)="Commune",(VLOOKUP($A37,Actions!$F$1:$AQ$70,24,0)-VLOOKUP($A37,Actions!$F$1:$AQ$70,26,0))/(1+VLOOKUP($A37,Actions!$F$1:$AQ$70,21,0)-VLOOKUP($A37,Actions!$F$1:$AQ$70,20,0)),0),0)</f>
        <v>0</v>
      </c>
      <c r="R37" s="1353">
        <f ca="1">IF(K37="",N37,IF(AND(O37="",K37&lt;&gt;""),VLOOKUP($A37,Actions!$F$1:$AQ$70,31,0),0))</f>
        <v>0</v>
      </c>
      <c r="S37" s="1354" t="str">
        <f ca="1">IF(OR(Actions!$Y31=S$7,AND(Actions!$Y31&lt;=S$7,Actions!$Z31&gt;=S$7)),Actions!$AA31,"")</f>
        <v/>
      </c>
      <c r="T37" s="1353">
        <f ca="1">IF(S37&lt;&gt;"",VLOOKUP($A37,Actions!$F$1:$AQ$70,38,0)/(1+VLOOKUP($A37,Actions!$F$1:$AQ$70,21,0)-VLOOKUP($A37,Actions!$F$1:$AQ$70,20,0)),0)</f>
        <v>0</v>
      </c>
      <c r="U37" s="1353">
        <f ca="1">IF(S37&lt;&gt;"",IF(VLOOKUP($A37,Actions!$F$1:$AQ$70,34,0)="Commune",(VLOOKUP($A37,Actions!$F$1:$AQ$70,24,0)-VLOOKUP($A37,Actions!$F$1:$AQ$70,26,0))/(1+VLOOKUP($A37,Actions!$F$1:$AQ$70,21,0)-VLOOKUP($A37,Actions!$F$1:$AQ$70,20,0)),0),0)</f>
        <v>0</v>
      </c>
      <c r="V37" s="1353">
        <f ca="1">IF(O37="",R37,IF(AND(S37="",O37&lt;&gt;""),VLOOKUP($A37,Actions!$F$1:$AQ$70,31,0),0))</f>
        <v>0</v>
      </c>
      <c r="W37" s="1354" t="str">
        <f ca="1">IF(OR(Actions!$Y31=W$7,AND(Actions!$Y31&lt;=W$7,Actions!$Z31&gt;=W$7)),Actions!$AA31,"")</f>
        <v/>
      </c>
      <c r="X37" s="1353">
        <f ca="1">IF(W37&lt;&gt;"",VLOOKUP($A37,Actions!$F$1:$AQ$70,38,0)/(1+VLOOKUP($A37,Actions!$F$1:$AQ$70,21,0)-VLOOKUP($A37,Actions!$F$1:$AQ$70,20,0)),0)</f>
        <v>0</v>
      </c>
      <c r="Y37" s="1353">
        <f ca="1">IF(W37&lt;&gt;"",IF(VLOOKUP($A37,Actions!$F$1:$AQ$70,34,0)="Commune",(VLOOKUP($A37,Actions!$F$1:$AQ$70,24,0)-VLOOKUP($A37,Actions!$F$1:$AQ$70,26,0))/(1+VLOOKUP($A37,Actions!$F$1:$AQ$70,21,0)-VLOOKUP($A37,Actions!$F$1:$AQ$70,20,0)),0),0)</f>
        <v>0</v>
      </c>
      <c r="Z37" s="1353">
        <f ca="1">IF(S37="",V37,IF(AND(W37="",S37&lt;&gt;""),VLOOKUP($A37,Actions!$F$1:$AQ$70,31,0),0))</f>
        <v>0</v>
      </c>
      <c r="AA37" s="1354" t="str">
        <f ca="1">IF(OR(Actions!$Y31=AA$7,AND(Actions!$Y31&lt;=AA$7,Actions!$Z31&gt;=AA$7)),Actions!$AA31,"")</f>
        <v/>
      </c>
      <c r="AB37" s="1353">
        <f ca="1">IF(AA37&lt;&gt;"",VLOOKUP($A37,Actions!$F$1:$AQ$70,38,0)/(1+VLOOKUP($A37,Actions!$F$1:$AQ$70,21,0)-VLOOKUP($A37,Actions!$F$1:$AQ$70,20,0)),0)</f>
        <v>0</v>
      </c>
      <c r="AC37" s="1353">
        <f ca="1">IF(AA37&lt;&gt;"",IF(VLOOKUP($A37,Actions!$F$1:$AQ$70,34,0)="Commune",(VLOOKUP($A37,Actions!$F$1:$AQ$70,24,0)-VLOOKUP($A37,Actions!$F$1:$AQ$70,26,0))/(1+VLOOKUP($A37,Actions!$F$1:$AQ$70,21,0)-VLOOKUP($A37,Actions!$F$1:$AQ$70,20,0)),0),0)</f>
        <v>0</v>
      </c>
      <c r="AD37" s="1353">
        <f ca="1">IF(W37="",Z37,IF(AND(AA37="",W37&lt;&gt;""),VLOOKUP($A37,Actions!$F$1:$AQ$70,31,0),0))</f>
        <v>0</v>
      </c>
      <c r="AE37" s="1354" t="str">
        <f ca="1">IF(OR(Actions!$Y31=AE$7,AND(Actions!$Y31&lt;=AE$7,Actions!$Z31&gt;=AE$7)),Actions!$AA31,"")</f>
        <v/>
      </c>
      <c r="AF37" s="1353">
        <f ca="1">IF(AE37&lt;&gt;"",VLOOKUP($A37,Actions!$F$1:$AQ$70,38,0)/(1+VLOOKUP($A37,Actions!$F$1:$AQ$70,21,0)-VLOOKUP($A37,Actions!$F$1:$AQ$70,20,0)),0)</f>
        <v>0</v>
      </c>
      <c r="AG37" s="1353">
        <f ca="1">IF(AE37&lt;&gt;"",IF(VLOOKUP($A37,Actions!$F$1:$AQ$70,34,0)="Commune",(VLOOKUP($A37,Actions!$F$1:$AQ$70,24,0)-VLOOKUP($A37,Actions!$F$1:$AQ$70,26,0))/(1+VLOOKUP($A37,Actions!$F$1:$AQ$70,21,0)-VLOOKUP($A37,Actions!$F$1:$AQ$70,20,0)),0),0)</f>
        <v>0</v>
      </c>
      <c r="AH37" s="1353">
        <f ca="1">IF(AA37="",AD37,IF(AND(AE37="",AA37&lt;&gt;""),VLOOKUP($A37,Actions!$F$1:$AQ$70,31,0),0))</f>
        <v>0</v>
      </c>
      <c r="AI37" s="1354" t="str">
        <f ca="1">IF(OR(Actions!$Y31=AI$7,AND(Actions!$Y31&lt;=AI$7,Actions!$Z31&gt;=AI$7)),Actions!$AA31,"")</f>
        <v/>
      </c>
      <c r="AJ37" s="1353">
        <f ca="1">IF(AI37&lt;&gt;"",VLOOKUP($A37,Actions!$F$1:$AQ$70,38,0)/(1+VLOOKUP($A37,Actions!$F$1:$AQ$70,21,0)-VLOOKUP($A37,Actions!$F$1:$AQ$70,20,0)),0)</f>
        <v>0</v>
      </c>
      <c r="AK37" s="1353">
        <f ca="1">IF(AI37&lt;&gt;"",IF(VLOOKUP($A37,Actions!$F$1:$AQ$70,34,0)="Commune",(VLOOKUP($A37,Actions!$F$1:$AQ$70,24,0)-VLOOKUP($A37,Actions!$F$1:$AQ$70,26,0))/(1+VLOOKUP($A37,Actions!$F$1:$AQ$70,21,0)-VLOOKUP($A37,Actions!$F$1:$AQ$70,20,0)),0),0)</f>
        <v>0</v>
      </c>
      <c r="AL37" s="1353">
        <f ca="1">IF(AE37="",AH37,IF(AND(AI37="",AE37&lt;&gt;""),VLOOKUP($A37,Actions!$F$1:$AQ$70,31,0),0))</f>
        <v>0</v>
      </c>
      <c r="AM37" s="1354" t="str">
        <f ca="1">IF(OR(Actions!$Y31=AM$7,AND(Actions!$Y31&lt;=AM$7,Actions!$Z31&gt;=AM$7)),Actions!$AA31,"")</f>
        <v/>
      </c>
      <c r="AN37" s="1353">
        <f ca="1">IF(AM37&lt;&gt;"",VLOOKUP($A37,Actions!$F$1:$AQ$70,38,0)/(1+VLOOKUP($A37,Actions!$F$1:$AQ$70,21,0)-VLOOKUP($A37,Actions!$F$1:$AQ$70,20,0)),0)</f>
        <v>0</v>
      </c>
      <c r="AO37" s="1353">
        <f ca="1">IF(AM37&lt;&gt;"",IF(VLOOKUP($A37,Actions!$F$1:$AQ$70,34,0)="Commune",(VLOOKUP($A37,Actions!$F$1:$AQ$70,24,0)-VLOOKUP($A37,Actions!$F$1:$AQ$70,26,0))/(1+VLOOKUP($A37,Actions!$F$1:$AQ$70,21,0)-VLOOKUP($A37,Actions!$F$1:$AQ$70,20,0)),0),0)</f>
        <v>0</v>
      </c>
      <c r="AP37" s="1353">
        <f ca="1">IF(AI37="",AL37,IF(AND(AM37="",AI37&lt;&gt;""),VLOOKUP($A37,Actions!$F$1:$AQ$70,31,0),0))</f>
        <v>0</v>
      </c>
      <c r="AQ37" s="1354" t="str">
        <f ca="1">IF(OR(Actions!$Y31=AQ$7,AND(Actions!$Y31&lt;=AQ$7,Actions!$Z31&gt;=AQ$7)),Actions!$AA31,"")</f>
        <v/>
      </c>
      <c r="AR37" s="1353">
        <f ca="1">IF(AQ37&lt;&gt;"",VLOOKUP($A37,Actions!$F$1:$AQ$70,38,0)/(1+VLOOKUP($A37,Actions!$F$1:$AQ$70,21,0)-VLOOKUP($A37,Actions!$F$1:$AQ$70,20,0)),0)</f>
        <v>0</v>
      </c>
      <c r="AS37" s="1353">
        <f ca="1">IF(AQ37&lt;&gt;"",IF(VLOOKUP($A37,Actions!$F$1:$AQ$70,34,0)="Commune",(VLOOKUP($A37,Actions!$F$1:$AQ$70,24,0)-VLOOKUP($A37,Actions!$F$1:$AQ$70,26,0))/(1+VLOOKUP($A37,Actions!$F$1:$AQ$70,21,0)-VLOOKUP($A37,Actions!$F$1:$AQ$70,20,0)),0),0)</f>
        <v>0</v>
      </c>
      <c r="AT37" s="1353">
        <f ca="1">IF(AM37="",AP37,IF(AND(AQ37="",AM37&lt;&gt;""),VLOOKUP($A37,Actions!$F$1:$AQ$70,31,0),0))</f>
        <v>0</v>
      </c>
      <c r="AU37" s="1354" t="str">
        <f ca="1">IF(OR(Actions!$Y31=AU$7,AND(Actions!$Y31&lt;=AU$7,Actions!$Z31&gt;=AU$7)),Actions!$AA31,"")</f>
        <v/>
      </c>
      <c r="AV37" s="1353">
        <f ca="1">IF(AU37&lt;&gt;"",VLOOKUP($A37,Actions!$F$1:$AQ$70,38,0)/(1+VLOOKUP($A37,Actions!$F$1:$AQ$70,21,0)-VLOOKUP($A37,Actions!$F$1:$AQ$70,20,0)),0)</f>
        <v>0</v>
      </c>
      <c r="AW37" s="1353">
        <f ca="1">IF(AU37&lt;&gt;"",IF(VLOOKUP($A37,Actions!$F$1:$AQ$70,34,0)="Commune",(VLOOKUP($A37,Actions!$F$1:$AQ$70,24,0)-VLOOKUP($A37,Actions!$F$1:$AQ$70,26,0))/(1+VLOOKUP($A37,Actions!$F$1:$AQ$70,21,0)-VLOOKUP($A37,Actions!$F$1:$AQ$70,20,0)),0),0)</f>
        <v>0</v>
      </c>
      <c r="AX37" s="1353">
        <f ca="1">IF(AQ37="",AT37,IF(AND(AU37="",AQ37&lt;&gt;""),VLOOKUP($A37,Actions!$F$1:$AQ$70,31,0),0))</f>
        <v>0</v>
      </c>
      <c r="AY37" s="1354" t="str">
        <f ca="1">IF(OR(Actions!$Y31=AY$7,AND(Actions!$Y31&lt;=AY$7,Actions!$Z31&gt;=AY$7)),Actions!$AA31,"")</f>
        <v/>
      </c>
      <c r="AZ37" s="1353">
        <f ca="1">IF(AY37&lt;&gt;"",VLOOKUP($A37,Actions!$F$1:$AQ$70,38,0)/(1+VLOOKUP($A37,Actions!$F$1:$AQ$70,21,0)-VLOOKUP($A37,Actions!$F$1:$AQ$70,20,0)),0)</f>
        <v>0</v>
      </c>
      <c r="BA37" s="1353">
        <f ca="1">IF(AY37&lt;&gt;"",IF(VLOOKUP($A37,Actions!$F$1:$AQ$70,34,0)="Commune",(VLOOKUP($A37,Actions!$F$1:$AQ$70,24,0)-VLOOKUP($A37,Actions!$F$1:$AQ$70,26,0))/(1+VLOOKUP($A37,Actions!$F$1:$AQ$70,21,0)-VLOOKUP($A37,Actions!$F$1:$AQ$70,20,0)),0),0)</f>
        <v>0</v>
      </c>
      <c r="BB37" s="1353">
        <f ca="1">IF(AU37="",AX37,IF(AND(AY37="",AU37&lt;&gt;""),VLOOKUP($A37,Actions!$F$1:$AQ$70,31,0),0))</f>
        <v>0</v>
      </c>
      <c r="BC37" s="1354" t="str">
        <f ca="1">IF(OR(Actions!$Y31=BC$7,AND(Actions!$Y31&lt;=BC$7,Actions!$Z31&gt;=BC$7)),Actions!$AA31,"")</f>
        <v/>
      </c>
      <c r="BD37" s="1353">
        <f ca="1">IF(BC37&lt;&gt;"",VLOOKUP($A37,Actions!$F$1:$AQ$70,38,0)/(1+VLOOKUP($A37,Actions!$F$1:$AQ$70,21,0)-VLOOKUP($A37,Actions!$F$1:$AQ$70,20,0)),0)</f>
        <v>0</v>
      </c>
      <c r="BE37" s="1353">
        <f ca="1">IF(BC37&lt;&gt;"",IF(VLOOKUP($A37,Actions!$F$1:$AQ$70,34,0)="Commune",(VLOOKUP($A37,Actions!$F$1:$AQ$70,24,0)-VLOOKUP($A37,Actions!$F$1:$AQ$70,26,0))/(1+VLOOKUP($A37,Actions!$F$1:$AQ$70,21,0)-VLOOKUP($A37,Actions!$F$1:$AQ$70,20,0)),0),0)</f>
        <v>0</v>
      </c>
      <c r="BF37" s="1353">
        <f ca="1">IF(AY37="",BB37,IF(AND(BC37="",AY37&lt;&gt;""),VLOOKUP($A37,Actions!$F$1:$AQ$70,31,0),0))</f>
        <v>0</v>
      </c>
      <c r="BG37" s="1355">
        <f t="shared" ca="1" si="0"/>
        <v>0</v>
      </c>
      <c r="BJ37" s="233"/>
      <c r="BK37" s="233"/>
      <c r="BL37" s="233"/>
      <c r="BM37" s="233"/>
      <c r="BN37" s="233"/>
      <c r="BO37" s="233"/>
    </row>
    <row r="38" spans="1:67">
      <c r="A38" s="1349">
        <f>Actions!F32</f>
        <v>31</v>
      </c>
      <c r="B38" s="1352">
        <f ca="1">Actions!G32</f>
        <v>0</v>
      </c>
      <c r="C38" s="1353" t="str">
        <f ca="1">IF(OR(AND(Actions!Y32&gt;0,Actions!Y32&lt;=$C$7,Actions!Z32&gt;=$C$7),AND(Actions!Y32&gt;0,Actions!Y32&lt;=$C$7,Actions!Z32&lt;Actions!Y32),AND(Actions!Y32=0,Actions!Z32&gt;=$C$7)),Actions!$AA32,"")</f>
        <v/>
      </c>
      <c r="D38" s="1353">
        <f ca="1">IF(C38&lt;&gt;"",VLOOKUP($A38,Actions!$F$1:$AQ$70,38,0)/(1+VLOOKUP($A38,Actions!$F$1:$AQ$70,21,0)-VLOOKUP($A38,Actions!$F$1:$AQ$70,20,0)),0)</f>
        <v>0</v>
      </c>
      <c r="E38" s="1353">
        <f ca="1">IF(C38&lt;&gt;"",IF(VLOOKUP($A38,Actions!$F$1:$AQ$70,34,0)="Commune",(VLOOKUP($A38,Actions!$F$1:$AQ$70,24,0)-VLOOKUP($A38,Actions!$F$1:$AQ$70,26,0))/(1+VLOOKUP($A38,Actions!$F$1:$AQ$70,21,0)-VLOOKUP($A38,Actions!$F$1:$AQ$70,20,0)),0),0)</f>
        <v>0</v>
      </c>
      <c r="F38" s="1353">
        <v>0</v>
      </c>
      <c r="G38" s="1354" t="str">
        <f ca="1">IF(OR(Actions!$Y32=G$7,AND(Actions!$Y32&lt;=G$7,Actions!$Z32&gt;=G$7)),Actions!$AA32,"")</f>
        <v/>
      </c>
      <c r="H38" s="1353">
        <f ca="1">IF(G38&lt;&gt;"",VLOOKUP($A38,Actions!$F$1:$AQ$70,38,0)/(1+VLOOKUP($A38,Actions!$F$1:$AQ$70,21,0)-VLOOKUP($A38,Actions!$F$1:$AQ$70,20,0)),0)</f>
        <v>0</v>
      </c>
      <c r="I38" s="1353">
        <f ca="1">IF(G38&lt;&gt;"",IF(VLOOKUP($A38,Actions!$F$1:$AQ$70,34,0)="Commune",(VLOOKUP($A38,Actions!$F$1:$AQ$70,24,0)-VLOOKUP($A38,Actions!$F$1:$AQ$70,26,0))/(1+VLOOKUP($A38,Actions!$F$1:$AQ$70,21,0)-VLOOKUP($A38,Actions!$F$1:$AQ$70,20,0)),0),0)</f>
        <v>0</v>
      </c>
      <c r="J38" s="1353">
        <f ca="1">IF(C38="",F38,IF(AND(G38="",C38&lt;&gt;""),VLOOKUP($A38,Actions!$F$1:$AQ$70,31,0),0))</f>
        <v>0</v>
      </c>
      <c r="K38" s="1354" t="str">
        <f ca="1">IF(OR(Actions!$Y32=K$7,AND(Actions!$Y32&lt;=K$7,Actions!$Z32&gt;=K$7)),Actions!$AA32,"")</f>
        <v/>
      </c>
      <c r="L38" s="1353">
        <f ca="1">IF(K38&lt;&gt;"",VLOOKUP($A38,Actions!$F$1:$AQ$70,38,0)/(1+VLOOKUP($A38,Actions!$F$1:$AQ$70,21,0)-VLOOKUP($A38,Actions!$F$1:$AQ$70,20,0)),0)</f>
        <v>0</v>
      </c>
      <c r="M38" s="1353">
        <f ca="1">IF(K38&lt;&gt;"",IF(VLOOKUP($A38,Actions!$F$1:$AQ$70,34,0)="Commune",(VLOOKUP($A38,Actions!$F$1:$AQ$70,24,0)-VLOOKUP($A38,Actions!$F$1:$AQ$70,26,0))/(1+VLOOKUP($A38,Actions!$F$1:$AQ$70,21,0)-VLOOKUP($A38,Actions!$F$1:$AQ$70,20,0)),0),0)</f>
        <v>0</v>
      </c>
      <c r="N38" s="1353">
        <f ca="1">IF(G38="",J38,IF(AND(K38="",G38&lt;&gt;""),VLOOKUP($A38,Actions!$F$1:$AQ$70,31,0),0))</f>
        <v>0</v>
      </c>
      <c r="O38" s="1354" t="str">
        <f ca="1">IF(OR(Actions!$Y32=O$7,AND(Actions!$Y32&lt;=O$7,Actions!$Z32&gt;=O$7)),Actions!$AA32,"")</f>
        <v/>
      </c>
      <c r="P38" s="1353">
        <f ca="1">IF(O38&lt;&gt;"",VLOOKUP($A38,Actions!$F$1:$AQ$70,38,0)/(1+VLOOKUP($A38,Actions!$F$1:$AQ$70,21,0)-VLOOKUP($A38,Actions!$F$1:$AQ$70,20,0)),0)</f>
        <v>0</v>
      </c>
      <c r="Q38" s="1353">
        <f ca="1">IF(O38&lt;&gt;"",IF(VLOOKUP($A38,Actions!$F$1:$AQ$70,34,0)="Commune",(VLOOKUP($A38,Actions!$F$1:$AQ$70,24,0)-VLOOKUP($A38,Actions!$F$1:$AQ$70,26,0))/(1+VLOOKUP($A38,Actions!$F$1:$AQ$70,21,0)-VLOOKUP($A38,Actions!$F$1:$AQ$70,20,0)),0),0)</f>
        <v>0</v>
      </c>
      <c r="R38" s="1353">
        <f ca="1">IF(K38="",N38,IF(AND(O38="",K38&lt;&gt;""),VLOOKUP($A38,Actions!$F$1:$AQ$70,31,0),0))</f>
        <v>0</v>
      </c>
      <c r="S38" s="1354" t="str">
        <f ca="1">IF(OR(Actions!$Y32=S$7,AND(Actions!$Y32&lt;=S$7,Actions!$Z32&gt;=S$7)),Actions!$AA32,"")</f>
        <v/>
      </c>
      <c r="T38" s="1353">
        <f ca="1">IF(S38&lt;&gt;"",VLOOKUP($A38,Actions!$F$1:$AQ$70,38,0)/(1+VLOOKUP($A38,Actions!$F$1:$AQ$70,21,0)-VLOOKUP($A38,Actions!$F$1:$AQ$70,20,0)),0)</f>
        <v>0</v>
      </c>
      <c r="U38" s="1353">
        <f ca="1">IF(S38&lt;&gt;"",IF(VLOOKUP($A38,Actions!$F$1:$AQ$70,34,0)="Commune",(VLOOKUP($A38,Actions!$F$1:$AQ$70,24,0)-VLOOKUP($A38,Actions!$F$1:$AQ$70,26,0))/(1+VLOOKUP($A38,Actions!$F$1:$AQ$70,21,0)-VLOOKUP($A38,Actions!$F$1:$AQ$70,20,0)),0),0)</f>
        <v>0</v>
      </c>
      <c r="V38" s="1353">
        <f ca="1">IF(O38="",R38,IF(AND(S38="",O38&lt;&gt;""),VLOOKUP($A38,Actions!$F$1:$AQ$70,31,0),0))</f>
        <v>0</v>
      </c>
      <c r="W38" s="1354" t="str">
        <f ca="1">IF(OR(Actions!$Y32=W$7,AND(Actions!$Y32&lt;=W$7,Actions!$Z32&gt;=W$7)),Actions!$AA32,"")</f>
        <v/>
      </c>
      <c r="X38" s="1353">
        <f ca="1">IF(W38&lt;&gt;"",VLOOKUP($A38,Actions!$F$1:$AQ$70,38,0)/(1+VLOOKUP($A38,Actions!$F$1:$AQ$70,21,0)-VLOOKUP($A38,Actions!$F$1:$AQ$70,20,0)),0)</f>
        <v>0</v>
      </c>
      <c r="Y38" s="1353">
        <f ca="1">IF(W38&lt;&gt;"",IF(VLOOKUP($A38,Actions!$F$1:$AQ$70,34,0)="Commune",(VLOOKUP($A38,Actions!$F$1:$AQ$70,24,0)-VLOOKUP($A38,Actions!$F$1:$AQ$70,26,0))/(1+VLOOKUP($A38,Actions!$F$1:$AQ$70,21,0)-VLOOKUP($A38,Actions!$F$1:$AQ$70,20,0)),0),0)</f>
        <v>0</v>
      </c>
      <c r="Z38" s="1353">
        <f ca="1">IF(S38="",V38,IF(AND(W38="",S38&lt;&gt;""),VLOOKUP($A38,Actions!$F$1:$AQ$70,31,0),0))</f>
        <v>0</v>
      </c>
      <c r="AA38" s="1354" t="str">
        <f ca="1">IF(OR(Actions!$Y32=AA$7,AND(Actions!$Y32&lt;=AA$7,Actions!$Z32&gt;=AA$7)),Actions!$AA32,"")</f>
        <v/>
      </c>
      <c r="AB38" s="1353">
        <f ca="1">IF(AA38&lt;&gt;"",VLOOKUP($A38,Actions!$F$1:$AQ$70,38,0)/(1+VLOOKUP($A38,Actions!$F$1:$AQ$70,21,0)-VLOOKUP($A38,Actions!$F$1:$AQ$70,20,0)),0)</f>
        <v>0</v>
      </c>
      <c r="AC38" s="1353">
        <f ca="1">IF(AA38&lt;&gt;"",IF(VLOOKUP($A38,Actions!$F$1:$AQ$70,34,0)="Commune",(VLOOKUP($A38,Actions!$F$1:$AQ$70,24,0)-VLOOKUP($A38,Actions!$F$1:$AQ$70,26,0))/(1+VLOOKUP($A38,Actions!$F$1:$AQ$70,21,0)-VLOOKUP($A38,Actions!$F$1:$AQ$70,20,0)),0),0)</f>
        <v>0</v>
      </c>
      <c r="AD38" s="1353">
        <f ca="1">IF(W38="",Z38,IF(AND(AA38="",W38&lt;&gt;""),VLOOKUP($A38,Actions!$F$1:$AQ$70,31,0),0))</f>
        <v>0</v>
      </c>
      <c r="AE38" s="1354" t="str">
        <f ca="1">IF(OR(Actions!$Y32=AE$7,AND(Actions!$Y32&lt;=AE$7,Actions!$Z32&gt;=AE$7)),Actions!$AA32,"")</f>
        <v/>
      </c>
      <c r="AF38" s="1353">
        <f ca="1">IF(AE38&lt;&gt;"",VLOOKUP($A38,Actions!$F$1:$AQ$70,38,0)/(1+VLOOKUP($A38,Actions!$F$1:$AQ$70,21,0)-VLOOKUP($A38,Actions!$F$1:$AQ$70,20,0)),0)</f>
        <v>0</v>
      </c>
      <c r="AG38" s="1353">
        <f ca="1">IF(AE38&lt;&gt;"",IF(VLOOKUP($A38,Actions!$F$1:$AQ$70,34,0)="Commune",(VLOOKUP($A38,Actions!$F$1:$AQ$70,24,0)-VLOOKUP($A38,Actions!$F$1:$AQ$70,26,0))/(1+VLOOKUP($A38,Actions!$F$1:$AQ$70,21,0)-VLOOKUP($A38,Actions!$F$1:$AQ$70,20,0)),0),0)</f>
        <v>0</v>
      </c>
      <c r="AH38" s="1353">
        <f ca="1">IF(AA38="",AD38,IF(AND(AE38="",AA38&lt;&gt;""),VLOOKUP($A38,Actions!$F$1:$AQ$70,31,0),0))</f>
        <v>0</v>
      </c>
      <c r="AI38" s="1354" t="str">
        <f ca="1">IF(OR(Actions!$Y32=AI$7,AND(Actions!$Y32&lt;=AI$7,Actions!$Z32&gt;=AI$7)),Actions!$AA32,"")</f>
        <v/>
      </c>
      <c r="AJ38" s="1353">
        <f ca="1">IF(AI38&lt;&gt;"",VLOOKUP($A38,Actions!$F$1:$AQ$70,38,0)/(1+VLOOKUP($A38,Actions!$F$1:$AQ$70,21,0)-VLOOKUP($A38,Actions!$F$1:$AQ$70,20,0)),0)</f>
        <v>0</v>
      </c>
      <c r="AK38" s="1353">
        <f ca="1">IF(AI38&lt;&gt;"",IF(VLOOKUP($A38,Actions!$F$1:$AQ$70,34,0)="Commune",(VLOOKUP($A38,Actions!$F$1:$AQ$70,24,0)-VLOOKUP($A38,Actions!$F$1:$AQ$70,26,0))/(1+VLOOKUP($A38,Actions!$F$1:$AQ$70,21,0)-VLOOKUP($A38,Actions!$F$1:$AQ$70,20,0)),0),0)</f>
        <v>0</v>
      </c>
      <c r="AL38" s="1353">
        <f ca="1">IF(AE38="",AH38,IF(AND(AI38="",AE38&lt;&gt;""),VLOOKUP($A38,Actions!$F$1:$AQ$70,31,0),0))</f>
        <v>0</v>
      </c>
      <c r="AM38" s="1354" t="str">
        <f ca="1">IF(OR(Actions!$Y32=AM$7,AND(Actions!$Y32&lt;=AM$7,Actions!$Z32&gt;=AM$7)),Actions!$AA32,"")</f>
        <v/>
      </c>
      <c r="AN38" s="1353">
        <f ca="1">IF(AM38&lt;&gt;"",VLOOKUP($A38,Actions!$F$1:$AQ$70,38,0)/(1+VLOOKUP($A38,Actions!$F$1:$AQ$70,21,0)-VLOOKUP($A38,Actions!$F$1:$AQ$70,20,0)),0)</f>
        <v>0</v>
      </c>
      <c r="AO38" s="1353">
        <f ca="1">IF(AM38&lt;&gt;"",IF(VLOOKUP($A38,Actions!$F$1:$AQ$70,34,0)="Commune",(VLOOKUP($A38,Actions!$F$1:$AQ$70,24,0)-VLOOKUP($A38,Actions!$F$1:$AQ$70,26,0))/(1+VLOOKUP($A38,Actions!$F$1:$AQ$70,21,0)-VLOOKUP($A38,Actions!$F$1:$AQ$70,20,0)),0),0)</f>
        <v>0</v>
      </c>
      <c r="AP38" s="1353">
        <f ca="1">IF(AI38="",AL38,IF(AND(AM38="",AI38&lt;&gt;""),VLOOKUP($A38,Actions!$F$1:$AQ$70,31,0),0))</f>
        <v>0</v>
      </c>
      <c r="AQ38" s="1354" t="str">
        <f ca="1">IF(OR(Actions!$Y32=AQ$7,AND(Actions!$Y32&lt;=AQ$7,Actions!$Z32&gt;=AQ$7)),Actions!$AA32,"")</f>
        <v/>
      </c>
      <c r="AR38" s="1353">
        <f ca="1">IF(AQ38&lt;&gt;"",VLOOKUP($A38,Actions!$F$1:$AQ$70,38,0)/(1+VLOOKUP($A38,Actions!$F$1:$AQ$70,21,0)-VLOOKUP($A38,Actions!$F$1:$AQ$70,20,0)),0)</f>
        <v>0</v>
      </c>
      <c r="AS38" s="1353">
        <f ca="1">IF(AQ38&lt;&gt;"",IF(VLOOKUP($A38,Actions!$F$1:$AQ$70,34,0)="Commune",(VLOOKUP($A38,Actions!$F$1:$AQ$70,24,0)-VLOOKUP($A38,Actions!$F$1:$AQ$70,26,0))/(1+VLOOKUP($A38,Actions!$F$1:$AQ$70,21,0)-VLOOKUP($A38,Actions!$F$1:$AQ$70,20,0)),0),0)</f>
        <v>0</v>
      </c>
      <c r="AT38" s="1353">
        <f ca="1">IF(AM38="",AP38,IF(AND(AQ38="",AM38&lt;&gt;""),VLOOKUP($A38,Actions!$F$1:$AQ$70,31,0),0))</f>
        <v>0</v>
      </c>
      <c r="AU38" s="1354" t="str">
        <f ca="1">IF(OR(Actions!$Y32=AU$7,AND(Actions!$Y32&lt;=AU$7,Actions!$Z32&gt;=AU$7)),Actions!$AA32,"")</f>
        <v/>
      </c>
      <c r="AV38" s="1353">
        <f ca="1">IF(AU38&lt;&gt;"",VLOOKUP($A38,Actions!$F$1:$AQ$70,38,0)/(1+VLOOKUP($A38,Actions!$F$1:$AQ$70,21,0)-VLOOKUP($A38,Actions!$F$1:$AQ$70,20,0)),0)</f>
        <v>0</v>
      </c>
      <c r="AW38" s="1353">
        <f ca="1">IF(AU38&lt;&gt;"",IF(VLOOKUP($A38,Actions!$F$1:$AQ$70,34,0)="Commune",(VLOOKUP($A38,Actions!$F$1:$AQ$70,24,0)-VLOOKUP($A38,Actions!$F$1:$AQ$70,26,0))/(1+VLOOKUP($A38,Actions!$F$1:$AQ$70,21,0)-VLOOKUP($A38,Actions!$F$1:$AQ$70,20,0)),0),0)</f>
        <v>0</v>
      </c>
      <c r="AX38" s="1353">
        <f ca="1">IF(AQ38="",AT38,IF(AND(AU38="",AQ38&lt;&gt;""),VLOOKUP($A38,Actions!$F$1:$AQ$70,31,0),0))</f>
        <v>0</v>
      </c>
      <c r="AY38" s="1354" t="str">
        <f ca="1">IF(OR(Actions!$Y32=AY$7,AND(Actions!$Y32&lt;=AY$7,Actions!$Z32&gt;=AY$7)),Actions!$AA32,"")</f>
        <v/>
      </c>
      <c r="AZ38" s="1353">
        <f ca="1">IF(AY38&lt;&gt;"",VLOOKUP($A38,Actions!$F$1:$AQ$70,38,0)/(1+VLOOKUP($A38,Actions!$F$1:$AQ$70,21,0)-VLOOKUP($A38,Actions!$F$1:$AQ$70,20,0)),0)</f>
        <v>0</v>
      </c>
      <c r="BA38" s="1353">
        <f ca="1">IF(AY38&lt;&gt;"",IF(VLOOKUP($A38,Actions!$F$1:$AQ$70,34,0)="Commune",(VLOOKUP($A38,Actions!$F$1:$AQ$70,24,0)-VLOOKUP($A38,Actions!$F$1:$AQ$70,26,0))/(1+VLOOKUP($A38,Actions!$F$1:$AQ$70,21,0)-VLOOKUP($A38,Actions!$F$1:$AQ$70,20,0)),0),0)</f>
        <v>0</v>
      </c>
      <c r="BB38" s="1353">
        <f ca="1">IF(AU38="",AX38,IF(AND(AY38="",AU38&lt;&gt;""),VLOOKUP($A38,Actions!$F$1:$AQ$70,31,0),0))</f>
        <v>0</v>
      </c>
      <c r="BC38" s="1354" t="str">
        <f ca="1">IF(OR(Actions!$Y32=BC$7,AND(Actions!$Y32&lt;=BC$7,Actions!$Z32&gt;=BC$7)),Actions!$AA32,"")</f>
        <v/>
      </c>
      <c r="BD38" s="1353">
        <f ca="1">IF(BC38&lt;&gt;"",VLOOKUP($A38,Actions!$F$1:$AQ$70,38,0)/(1+VLOOKUP($A38,Actions!$F$1:$AQ$70,21,0)-VLOOKUP($A38,Actions!$F$1:$AQ$70,20,0)),0)</f>
        <v>0</v>
      </c>
      <c r="BE38" s="1353">
        <f ca="1">IF(BC38&lt;&gt;"",IF(VLOOKUP($A38,Actions!$F$1:$AQ$70,34,0)="Commune",(VLOOKUP($A38,Actions!$F$1:$AQ$70,24,0)-VLOOKUP($A38,Actions!$F$1:$AQ$70,26,0))/(1+VLOOKUP($A38,Actions!$F$1:$AQ$70,21,0)-VLOOKUP($A38,Actions!$F$1:$AQ$70,20,0)),0),0)</f>
        <v>0</v>
      </c>
      <c r="BF38" s="1353">
        <f ca="1">IF(AY38="",BB38,IF(AND(BC38="",AY38&lt;&gt;""),VLOOKUP($A38,Actions!$F$1:$AQ$70,31,0),0))</f>
        <v>0</v>
      </c>
      <c r="BG38" s="1355">
        <f t="shared" ca="1" si="0"/>
        <v>0</v>
      </c>
      <c r="BJ38" s="233"/>
      <c r="BK38" s="233"/>
      <c r="BL38" s="233"/>
      <c r="BM38" s="233"/>
      <c r="BN38" s="233"/>
      <c r="BO38" s="233"/>
    </row>
    <row r="39" spans="1:67">
      <c r="A39" s="1349">
        <f>Actions!F33</f>
        <v>32</v>
      </c>
      <c r="B39" s="1352">
        <f ca="1">Actions!G33</f>
        <v>0</v>
      </c>
      <c r="C39" s="1353" t="str">
        <f ca="1">IF(OR(AND(Actions!Y33&gt;0,Actions!Y33&lt;=$C$7,Actions!Z33&gt;=$C$7),AND(Actions!Y33&gt;0,Actions!Y33&lt;=$C$7,Actions!Z33&lt;Actions!Y33),AND(Actions!Y33=0,Actions!Z33&gt;=$C$7)),Actions!$AA33,"")</f>
        <v/>
      </c>
      <c r="D39" s="1353">
        <f ca="1">IF(C39&lt;&gt;"",VLOOKUP($A39,Actions!$F$1:$AQ$70,38,0)/(1+VLOOKUP($A39,Actions!$F$1:$AQ$70,21,0)-VLOOKUP($A39,Actions!$F$1:$AQ$70,20,0)),0)</f>
        <v>0</v>
      </c>
      <c r="E39" s="1353">
        <f ca="1">IF(C39&lt;&gt;"",IF(VLOOKUP($A39,Actions!$F$1:$AQ$70,34,0)="Commune",(VLOOKUP($A39,Actions!$F$1:$AQ$70,24,0)-VLOOKUP($A39,Actions!$F$1:$AQ$70,26,0))/(1+VLOOKUP($A39,Actions!$F$1:$AQ$70,21,0)-VLOOKUP($A39,Actions!$F$1:$AQ$70,20,0)),0),0)</f>
        <v>0</v>
      </c>
      <c r="F39" s="1353">
        <v>0</v>
      </c>
      <c r="G39" s="1354" t="str">
        <f ca="1">IF(OR(Actions!$Y33=G$7,AND(Actions!$Y33&lt;=G$7,Actions!$Z33&gt;=G$7)),Actions!$AA33,"")</f>
        <v/>
      </c>
      <c r="H39" s="1353">
        <f ca="1">IF(G39&lt;&gt;"",VLOOKUP($A39,Actions!$F$1:$AQ$70,38,0)/(1+VLOOKUP($A39,Actions!$F$1:$AQ$70,21,0)-VLOOKUP($A39,Actions!$F$1:$AQ$70,20,0)),0)</f>
        <v>0</v>
      </c>
      <c r="I39" s="1353">
        <f ca="1">IF(G39&lt;&gt;"",IF(VLOOKUP($A39,Actions!$F$1:$AQ$70,34,0)="Commune",(VLOOKUP($A39,Actions!$F$1:$AQ$70,24,0)-VLOOKUP($A39,Actions!$F$1:$AQ$70,26,0))/(1+VLOOKUP($A39,Actions!$F$1:$AQ$70,21,0)-VLOOKUP($A39,Actions!$F$1:$AQ$70,20,0)),0),0)</f>
        <v>0</v>
      </c>
      <c r="J39" s="1353">
        <f ca="1">IF(C39="",F39,IF(AND(G39="",C39&lt;&gt;""),VLOOKUP($A39,Actions!$F$1:$AQ$70,31,0),0))</f>
        <v>0</v>
      </c>
      <c r="K39" s="1354" t="str">
        <f ca="1">IF(OR(Actions!$Y33=K$7,AND(Actions!$Y33&lt;=K$7,Actions!$Z33&gt;=K$7)),Actions!$AA33,"")</f>
        <v/>
      </c>
      <c r="L39" s="1353">
        <f ca="1">IF(K39&lt;&gt;"",VLOOKUP($A39,Actions!$F$1:$AQ$70,38,0)/(1+VLOOKUP($A39,Actions!$F$1:$AQ$70,21,0)-VLOOKUP($A39,Actions!$F$1:$AQ$70,20,0)),0)</f>
        <v>0</v>
      </c>
      <c r="M39" s="1353">
        <f ca="1">IF(K39&lt;&gt;"",IF(VLOOKUP($A39,Actions!$F$1:$AQ$70,34,0)="Commune",(VLOOKUP($A39,Actions!$F$1:$AQ$70,24,0)-VLOOKUP($A39,Actions!$F$1:$AQ$70,26,0))/(1+VLOOKUP($A39,Actions!$F$1:$AQ$70,21,0)-VLOOKUP($A39,Actions!$F$1:$AQ$70,20,0)),0),0)</f>
        <v>0</v>
      </c>
      <c r="N39" s="1353">
        <f ca="1">IF(G39="",J39,IF(AND(K39="",G39&lt;&gt;""),VLOOKUP($A39,Actions!$F$1:$AQ$70,31,0),0))</f>
        <v>0</v>
      </c>
      <c r="O39" s="1354" t="str">
        <f ca="1">IF(OR(Actions!$Y33=O$7,AND(Actions!$Y33&lt;=O$7,Actions!$Z33&gt;=O$7)),Actions!$AA33,"")</f>
        <v/>
      </c>
      <c r="P39" s="1353">
        <f ca="1">IF(O39&lt;&gt;"",VLOOKUP($A39,Actions!$F$1:$AQ$70,38,0)/(1+VLOOKUP($A39,Actions!$F$1:$AQ$70,21,0)-VLOOKUP($A39,Actions!$F$1:$AQ$70,20,0)),0)</f>
        <v>0</v>
      </c>
      <c r="Q39" s="1353">
        <f ca="1">IF(O39&lt;&gt;"",IF(VLOOKUP($A39,Actions!$F$1:$AQ$70,34,0)="Commune",(VLOOKUP($A39,Actions!$F$1:$AQ$70,24,0)-VLOOKUP($A39,Actions!$F$1:$AQ$70,26,0))/(1+VLOOKUP($A39,Actions!$F$1:$AQ$70,21,0)-VLOOKUP($A39,Actions!$F$1:$AQ$70,20,0)),0),0)</f>
        <v>0</v>
      </c>
      <c r="R39" s="1353">
        <f ca="1">IF(K39="",N39,IF(AND(O39="",K39&lt;&gt;""),VLOOKUP($A39,Actions!$F$1:$AQ$70,31,0),0))</f>
        <v>0</v>
      </c>
      <c r="S39" s="1354" t="str">
        <f ca="1">IF(OR(Actions!$Y33=S$7,AND(Actions!$Y33&lt;=S$7,Actions!$Z33&gt;=S$7)),Actions!$AA33,"")</f>
        <v/>
      </c>
      <c r="T39" s="1353">
        <f ca="1">IF(S39&lt;&gt;"",VLOOKUP($A39,Actions!$F$1:$AQ$70,38,0)/(1+VLOOKUP($A39,Actions!$F$1:$AQ$70,21,0)-VLOOKUP($A39,Actions!$F$1:$AQ$70,20,0)),0)</f>
        <v>0</v>
      </c>
      <c r="U39" s="1353">
        <f ca="1">IF(S39&lt;&gt;"",IF(VLOOKUP($A39,Actions!$F$1:$AQ$70,34,0)="Commune",(VLOOKUP($A39,Actions!$F$1:$AQ$70,24,0)-VLOOKUP($A39,Actions!$F$1:$AQ$70,26,0))/(1+VLOOKUP($A39,Actions!$F$1:$AQ$70,21,0)-VLOOKUP($A39,Actions!$F$1:$AQ$70,20,0)),0),0)</f>
        <v>0</v>
      </c>
      <c r="V39" s="1353">
        <f ca="1">IF(O39="",R39,IF(AND(S39="",O39&lt;&gt;""),VLOOKUP($A39,Actions!$F$1:$AQ$70,31,0),0))</f>
        <v>0</v>
      </c>
      <c r="W39" s="1354" t="str">
        <f ca="1">IF(OR(Actions!$Y33=W$7,AND(Actions!$Y33&lt;=W$7,Actions!$Z33&gt;=W$7)),Actions!$AA33,"")</f>
        <v/>
      </c>
      <c r="X39" s="1353">
        <f ca="1">IF(W39&lt;&gt;"",VLOOKUP($A39,Actions!$F$1:$AQ$70,38,0)/(1+VLOOKUP($A39,Actions!$F$1:$AQ$70,21,0)-VLOOKUP($A39,Actions!$F$1:$AQ$70,20,0)),0)</f>
        <v>0</v>
      </c>
      <c r="Y39" s="1353">
        <f ca="1">IF(W39&lt;&gt;"",IF(VLOOKUP($A39,Actions!$F$1:$AQ$70,34,0)="Commune",(VLOOKUP($A39,Actions!$F$1:$AQ$70,24,0)-VLOOKUP($A39,Actions!$F$1:$AQ$70,26,0))/(1+VLOOKUP($A39,Actions!$F$1:$AQ$70,21,0)-VLOOKUP($A39,Actions!$F$1:$AQ$70,20,0)),0),0)</f>
        <v>0</v>
      </c>
      <c r="Z39" s="1353">
        <f ca="1">IF(S39="",V39,IF(AND(W39="",S39&lt;&gt;""),VLOOKUP($A39,Actions!$F$1:$AQ$70,31,0),0))</f>
        <v>0</v>
      </c>
      <c r="AA39" s="1354" t="str">
        <f ca="1">IF(OR(Actions!$Y33=AA$7,AND(Actions!$Y33&lt;=AA$7,Actions!$Z33&gt;=AA$7)),Actions!$AA33,"")</f>
        <v/>
      </c>
      <c r="AB39" s="1353">
        <f ca="1">IF(AA39&lt;&gt;"",VLOOKUP($A39,Actions!$F$1:$AQ$70,38,0)/(1+VLOOKUP($A39,Actions!$F$1:$AQ$70,21,0)-VLOOKUP($A39,Actions!$F$1:$AQ$70,20,0)),0)</f>
        <v>0</v>
      </c>
      <c r="AC39" s="1353">
        <f ca="1">IF(AA39&lt;&gt;"",IF(VLOOKUP($A39,Actions!$F$1:$AQ$70,34,0)="Commune",(VLOOKUP($A39,Actions!$F$1:$AQ$70,24,0)-VLOOKUP($A39,Actions!$F$1:$AQ$70,26,0))/(1+VLOOKUP($A39,Actions!$F$1:$AQ$70,21,0)-VLOOKUP($A39,Actions!$F$1:$AQ$70,20,0)),0),0)</f>
        <v>0</v>
      </c>
      <c r="AD39" s="1353">
        <f ca="1">IF(W39="",Z39,IF(AND(AA39="",W39&lt;&gt;""),VLOOKUP($A39,Actions!$F$1:$AQ$70,31,0),0))</f>
        <v>0</v>
      </c>
      <c r="AE39" s="1354" t="str">
        <f ca="1">IF(OR(Actions!$Y33=AE$7,AND(Actions!$Y33&lt;=AE$7,Actions!$Z33&gt;=AE$7)),Actions!$AA33,"")</f>
        <v/>
      </c>
      <c r="AF39" s="1353">
        <f ca="1">IF(AE39&lt;&gt;"",VLOOKUP($A39,Actions!$F$1:$AQ$70,38,0)/(1+VLOOKUP($A39,Actions!$F$1:$AQ$70,21,0)-VLOOKUP($A39,Actions!$F$1:$AQ$70,20,0)),0)</f>
        <v>0</v>
      </c>
      <c r="AG39" s="1353">
        <f ca="1">IF(AE39&lt;&gt;"",IF(VLOOKUP($A39,Actions!$F$1:$AQ$70,34,0)="Commune",(VLOOKUP($A39,Actions!$F$1:$AQ$70,24,0)-VLOOKUP($A39,Actions!$F$1:$AQ$70,26,0))/(1+VLOOKUP($A39,Actions!$F$1:$AQ$70,21,0)-VLOOKUP($A39,Actions!$F$1:$AQ$70,20,0)),0),0)</f>
        <v>0</v>
      </c>
      <c r="AH39" s="1353">
        <f ca="1">IF(AA39="",AD39,IF(AND(AE39="",AA39&lt;&gt;""),VLOOKUP($A39,Actions!$F$1:$AQ$70,31,0),0))</f>
        <v>0</v>
      </c>
      <c r="AI39" s="1354" t="str">
        <f ca="1">IF(OR(Actions!$Y33=AI$7,AND(Actions!$Y33&lt;=AI$7,Actions!$Z33&gt;=AI$7)),Actions!$AA33,"")</f>
        <v/>
      </c>
      <c r="AJ39" s="1353">
        <f ca="1">IF(AI39&lt;&gt;"",VLOOKUP($A39,Actions!$F$1:$AQ$70,38,0)/(1+VLOOKUP($A39,Actions!$F$1:$AQ$70,21,0)-VLOOKUP($A39,Actions!$F$1:$AQ$70,20,0)),0)</f>
        <v>0</v>
      </c>
      <c r="AK39" s="1353">
        <f ca="1">IF(AI39&lt;&gt;"",IF(VLOOKUP($A39,Actions!$F$1:$AQ$70,34,0)="Commune",(VLOOKUP($A39,Actions!$F$1:$AQ$70,24,0)-VLOOKUP($A39,Actions!$F$1:$AQ$70,26,0))/(1+VLOOKUP($A39,Actions!$F$1:$AQ$70,21,0)-VLOOKUP($A39,Actions!$F$1:$AQ$70,20,0)),0),0)</f>
        <v>0</v>
      </c>
      <c r="AL39" s="1353">
        <f ca="1">IF(AE39="",AH39,IF(AND(AI39="",AE39&lt;&gt;""),VLOOKUP($A39,Actions!$F$1:$AQ$70,31,0),0))</f>
        <v>0</v>
      </c>
      <c r="AM39" s="1354" t="str">
        <f ca="1">IF(OR(Actions!$Y33=AM$7,AND(Actions!$Y33&lt;=AM$7,Actions!$Z33&gt;=AM$7)),Actions!$AA33,"")</f>
        <v/>
      </c>
      <c r="AN39" s="1353">
        <f ca="1">IF(AM39&lt;&gt;"",VLOOKUP($A39,Actions!$F$1:$AQ$70,38,0)/(1+VLOOKUP($A39,Actions!$F$1:$AQ$70,21,0)-VLOOKUP($A39,Actions!$F$1:$AQ$70,20,0)),0)</f>
        <v>0</v>
      </c>
      <c r="AO39" s="1353">
        <f ca="1">IF(AM39&lt;&gt;"",IF(VLOOKUP($A39,Actions!$F$1:$AQ$70,34,0)="Commune",(VLOOKUP($A39,Actions!$F$1:$AQ$70,24,0)-VLOOKUP($A39,Actions!$F$1:$AQ$70,26,0))/(1+VLOOKUP($A39,Actions!$F$1:$AQ$70,21,0)-VLOOKUP($A39,Actions!$F$1:$AQ$70,20,0)),0),0)</f>
        <v>0</v>
      </c>
      <c r="AP39" s="1353">
        <f ca="1">IF(AI39="",AL39,IF(AND(AM39="",AI39&lt;&gt;""),VLOOKUP($A39,Actions!$F$1:$AQ$70,31,0),0))</f>
        <v>0</v>
      </c>
      <c r="AQ39" s="1354" t="str">
        <f ca="1">IF(OR(Actions!$Y33=AQ$7,AND(Actions!$Y33&lt;=AQ$7,Actions!$Z33&gt;=AQ$7)),Actions!$AA33,"")</f>
        <v/>
      </c>
      <c r="AR39" s="1353">
        <f ca="1">IF(AQ39&lt;&gt;"",VLOOKUP($A39,Actions!$F$1:$AQ$70,38,0)/(1+VLOOKUP($A39,Actions!$F$1:$AQ$70,21,0)-VLOOKUP($A39,Actions!$F$1:$AQ$70,20,0)),0)</f>
        <v>0</v>
      </c>
      <c r="AS39" s="1353">
        <f ca="1">IF(AQ39&lt;&gt;"",IF(VLOOKUP($A39,Actions!$F$1:$AQ$70,34,0)="Commune",(VLOOKUP($A39,Actions!$F$1:$AQ$70,24,0)-VLOOKUP($A39,Actions!$F$1:$AQ$70,26,0))/(1+VLOOKUP($A39,Actions!$F$1:$AQ$70,21,0)-VLOOKUP($A39,Actions!$F$1:$AQ$70,20,0)),0),0)</f>
        <v>0</v>
      </c>
      <c r="AT39" s="1353">
        <f ca="1">IF(AM39="",AP39,IF(AND(AQ39="",AM39&lt;&gt;""),VLOOKUP($A39,Actions!$F$1:$AQ$70,31,0),0))</f>
        <v>0</v>
      </c>
      <c r="AU39" s="1354" t="str">
        <f ca="1">IF(OR(Actions!$Y33=AU$7,AND(Actions!$Y33&lt;=AU$7,Actions!$Z33&gt;=AU$7)),Actions!$AA33,"")</f>
        <v/>
      </c>
      <c r="AV39" s="1353">
        <f ca="1">IF(AU39&lt;&gt;"",VLOOKUP($A39,Actions!$F$1:$AQ$70,38,0)/(1+VLOOKUP($A39,Actions!$F$1:$AQ$70,21,0)-VLOOKUP($A39,Actions!$F$1:$AQ$70,20,0)),0)</f>
        <v>0</v>
      </c>
      <c r="AW39" s="1353">
        <f ca="1">IF(AU39&lt;&gt;"",IF(VLOOKUP($A39,Actions!$F$1:$AQ$70,34,0)="Commune",(VLOOKUP($A39,Actions!$F$1:$AQ$70,24,0)-VLOOKUP($A39,Actions!$F$1:$AQ$70,26,0))/(1+VLOOKUP($A39,Actions!$F$1:$AQ$70,21,0)-VLOOKUP($A39,Actions!$F$1:$AQ$70,20,0)),0),0)</f>
        <v>0</v>
      </c>
      <c r="AX39" s="1353">
        <f ca="1">IF(AQ39="",AT39,IF(AND(AU39="",AQ39&lt;&gt;""),VLOOKUP($A39,Actions!$F$1:$AQ$70,31,0),0))</f>
        <v>0</v>
      </c>
      <c r="AY39" s="1354" t="str">
        <f ca="1">IF(OR(Actions!$Y33=AY$7,AND(Actions!$Y33&lt;=AY$7,Actions!$Z33&gt;=AY$7)),Actions!$AA33,"")</f>
        <v/>
      </c>
      <c r="AZ39" s="1353">
        <f ca="1">IF(AY39&lt;&gt;"",VLOOKUP($A39,Actions!$F$1:$AQ$70,38,0)/(1+VLOOKUP($A39,Actions!$F$1:$AQ$70,21,0)-VLOOKUP($A39,Actions!$F$1:$AQ$70,20,0)),0)</f>
        <v>0</v>
      </c>
      <c r="BA39" s="1353">
        <f ca="1">IF(AY39&lt;&gt;"",IF(VLOOKUP($A39,Actions!$F$1:$AQ$70,34,0)="Commune",(VLOOKUP($A39,Actions!$F$1:$AQ$70,24,0)-VLOOKUP($A39,Actions!$F$1:$AQ$70,26,0))/(1+VLOOKUP($A39,Actions!$F$1:$AQ$70,21,0)-VLOOKUP($A39,Actions!$F$1:$AQ$70,20,0)),0),0)</f>
        <v>0</v>
      </c>
      <c r="BB39" s="1353">
        <f ca="1">IF(AU39="",AX39,IF(AND(AY39="",AU39&lt;&gt;""),VLOOKUP($A39,Actions!$F$1:$AQ$70,31,0),0))</f>
        <v>0</v>
      </c>
      <c r="BC39" s="1354" t="str">
        <f ca="1">IF(OR(Actions!$Y33=BC$7,AND(Actions!$Y33&lt;=BC$7,Actions!$Z33&gt;=BC$7)),Actions!$AA33,"")</f>
        <v/>
      </c>
      <c r="BD39" s="1353">
        <f ca="1">IF(BC39&lt;&gt;"",VLOOKUP($A39,Actions!$F$1:$AQ$70,38,0)/(1+VLOOKUP($A39,Actions!$F$1:$AQ$70,21,0)-VLOOKUP($A39,Actions!$F$1:$AQ$70,20,0)),0)</f>
        <v>0</v>
      </c>
      <c r="BE39" s="1353">
        <f ca="1">IF(BC39&lt;&gt;"",IF(VLOOKUP($A39,Actions!$F$1:$AQ$70,34,0)="Commune",(VLOOKUP($A39,Actions!$F$1:$AQ$70,24,0)-VLOOKUP($A39,Actions!$F$1:$AQ$70,26,0))/(1+VLOOKUP($A39,Actions!$F$1:$AQ$70,21,0)-VLOOKUP($A39,Actions!$F$1:$AQ$70,20,0)),0),0)</f>
        <v>0</v>
      </c>
      <c r="BF39" s="1353">
        <f ca="1">IF(AY39="",BB39,IF(AND(BC39="",AY39&lt;&gt;""),VLOOKUP($A39,Actions!$F$1:$AQ$70,31,0),0))</f>
        <v>0</v>
      </c>
      <c r="BG39" s="1355">
        <f t="shared" ca="1" si="0"/>
        <v>0</v>
      </c>
      <c r="BJ39" s="233"/>
      <c r="BK39" s="233"/>
      <c r="BL39" s="233"/>
      <c r="BM39" s="233"/>
      <c r="BN39" s="233"/>
      <c r="BO39" s="233"/>
    </row>
    <row r="40" spans="1:67">
      <c r="A40" s="1349">
        <f>Actions!F34</f>
        <v>33</v>
      </c>
      <c r="B40" s="1352">
        <f ca="1">Actions!G34</f>
        <v>0</v>
      </c>
      <c r="C40" s="1353" t="str">
        <f ca="1">IF(OR(AND(Actions!Y34&gt;0,Actions!Y34&lt;=$C$7,Actions!Z34&gt;=$C$7),AND(Actions!Y34&gt;0,Actions!Y34&lt;=$C$7,Actions!Z34&lt;Actions!Y34),AND(Actions!Y34=0,Actions!Z34&gt;=$C$7)),Actions!$AA34,"")</f>
        <v/>
      </c>
      <c r="D40" s="1353">
        <f ca="1">IF(C40&lt;&gt;"",VLOOKUP($A40,Actions!$F$1:$AQ$70,38,0)/(1+VLOOKUP($A40,Actions!$F$1:$AQ$70,21,0)-VLOOKUP($A40,Actions!$F$1:$AQ$70,20,0)),0)</f>
        <v>0</v>
      </c>
      <c r="E40" s="1353">
        <f ca="1">IF(C40&lt;&gt;"",IF(VLOOKUP($A40,Actions!$F$1:$AQ$70,34,0)="Commune",(VLOOKUP($A40,Actions!$F$1:$AQ$70,24,0)-VLOOKUP($A40,Actions!$F$1:$AQ$70,26,0))/(1+VLOOKUP($A40,Actions!$F$1:$AQ$70,21,0)-VLOOKUP($A40,Actions!$F$1:$AQ$70,20,0)),0),0)</f>
        <v>0</v>
      </c>
      <c r="F40" s="1353">
        <v>0</v>
      </c>
      <c r="G40" s="1354" t="str">
        <f ca="1">IF(OR(Actions!$Y34=G$7,AND(Actions!$Y34&lt;=G$7,Actions!$Z34&gt;=G$7)),Actions!$AA34,"")</f>
        <v/>
      </c>
      <c r="H40" s="1353">
        <f ca="1">IF(G40&lt;&gt;"",VLOOKUP($A40,Actions!$F$1:$AQ$70,38,0)/(1+VLOOKUP($A40,Actions!$F$1:$AQ$70,21,0)-VLOOKUP($A40,Actions!$F$1:$AQ$70,20,0)),0)</f>
        <v>0</v>
      </c>
      <c r="I40" s="1353">
        <f ca="1">IF(G40&lt;&gt;"",IF(VLOOKUP($A40,Actions!$F$1:$AQ$70,34,0)="Commune",(VLOOKUP($A40,Actions!$F$1:$AQ$70,24,0)-VLOOKUP($A40,Actions!$F$1:$AQ$70,26,0))/(1+VLOOKUP($A40,Actions!$F$1:$AQ$70,21,0)-VLOOKUP($A40,Actions!$F$1:$AQ$70,20,0)),0),0)</f>
        <v>0</v>
      </c>
      <c r="J40" s="1353">
        <f ca="1">IF(C40="",F40,IF(AND(G40="",C40&lt;&gt;""),VLOOKUP($A40,Actions!$F$1:$AQ$70,31,0),0))</f>
        <v>0</v>
      </c>
      <c r="K40" s="1354" t="str">
        <f ca="1">IF(OR(Actions!$Y34=K$7,AND(Actions!$Y34&lt;=K$7,Actions!$Z34&gt;=K$7)),Actions!$AA34,"")</f>
        <v/>
      </c>
      <c r="L40" s="1353">
        <f ca="1">IF(K40&lt;&gt;"",VLOOKUP($A40,Actions!$F$1:$AQ$70,38,0)/(1+VLOOKUP($A40,Actions!$F$1:$AQ$70,21,0)-VLOOKUP($A40,Actions!$F$1:$AQ$70,20,0)),0)</f>
        <v>0</v>
      </c>
      <c r="M40" s="1353">
        <f ca="1">IF(K40&lt;&gt;"",IF(VLOOKUP($A40,Actions!$F$1:$AQ$70,34,0)="Commune",(VLOOKUP($A40,Actions!$F$1:$AQ$70,24,0)-VLOOKUP($A40,Actions!$F$1:$AQ$70,26,0))/(1+VLOOKUP($A40,Actions!$F$1:$AQ$70,21,0)-VLOOKUP($A40,Actions!$F$1:$AQ$70,20,0)),0),0)</f>
        <v>0</v>
      </c>
      <c r="N40" s="1353">
        <f ca="1">IF(G40="",J40,IF(AND(K40="",G40&lt;&gt;""),VLOOKUP($A40,Actions!$F$1:$AQ$70,31,0),0))</f>
        <v>0</v>
      </c>
      <c r="O40" s="1354" t="str">
        <f ca="1">IF(OR(Actions!$Y34=O$7,AND(Actions!$Y34&lt;=O$7,Actions!$Z34&gt;=O$7)),Actions!$AA34,"")</f>
        <v/>
      </c>
      <c r="P40" s="1353">
        <f ca="1">IF(O40&lt;&gt;"",VLOOKUP($A40,Actions!$F$1:$AQ$70,38,0)/(1+VLOOKUP($A40,Actions!$F$1:$AQ$70,21,0)-VLOOKUP($A40,Actions!$F$1:$AQ$70,20,0)),0)</f>
        <v>0</v>
      </c>
      <c r="Q40" s="1353">
        <f ca="1">IF(O40&lt;&gt;"",IF(VLOOKUP($A40,Actions!$F$1:$AQ$70,34,0)="Commune",(VLOOKUP($A40,Actions!$F$1:$AQ$70,24,0)-VLOOKUP($A40,Actions!$F$1:$AQ$70,26,0))/(1+VLOOKUP($A40,Actions!$F$1:$AQ$70,21,0)-VLOOKUP($A40,Actions!$F$1:$AQ$70,20,0)),0),0)</f>
        <v>0</v>
      </c>
      <c r="R40" s="1353">
        <f ca="1">IF(K40="",N40,IF(AND(O40="",K40&lt;&gt;""),VLOOKUP($A40,Actions!$F$1:$AQ$70,31,0),0))</f>
        <v>0</v>
      </c>
      <c r="S40" s="1354" t="str">
        <f ca="1">IF(OR(Actions!$Y34=S$7,AND(Actions!$Y34&lt;=S$7,Actions!$Z34&gt;=S$7)),Actions!$AA34,"")</f>
        <v/>
      </c>
      <c r="T40" s="1353">
        <f ca="1">IF(S40&lt;&gt;"",VLOOKUP($A40,Actions!$F$1:$AQ$70,38,0)/(1+VLOOKUP($A40,Actions!$F$1:$AQ$70,21,0)-VLOOKUP($A40,Actions!$F$1:$AQ$70,20,0)),0)</f>
        <v>0</v>
      </c>
      <c r="U40" s="1353">
        <f ca="1">IF(S40&lt;&gt;"",IF(VLOOKUP($A40,Actions!$F$1:$AQ$70,34,0)="Commune",(VLOOKUP($A40,Actions!$F$1:$AQ$70,24,0)-VLOOKUP($A40,Actions!$F$1:$AQ$70,26,0))/(1+VLOOKUP($A40,Actions!$F$1:$AQ$70,21,0)-VLOOKUP($A40,Actions!$F$1:$AQ$70,20,0)),0),0)</f>
        <v>0</v>
      </c>
      <c r="V40" s="1353">
        <f ca="1">IF(O40="",R40,IF(AND(S40="",O40&lt;&gt;""),VLOOKUP($A40,Actions!$F$1:$AQ$70,31,0),0))</f>
        <v>0</v>
      </c>
      <c r="W40" s="1354" t="str">
        <f ca="1">IF(OR(Actions!$Y34=W$7,AND(Actions!$Y34&lt;=W$7,Actions!$Z34&gt;=W$7)),Actions!$AA34,"")</f>
        <v/>
      </c>
      <c r="X40" s="1353">
        <f ca="1">IF(W40&lt;&gt;"",VLOOKUP($A40,Actions!$F$1:$AQ$70,38,0)/(1+VLOOKUP($A40,Actions!$F$1:$AQ$70,21,0)-VLOOKUP($A40,Actions!$F$1:$AQ$70,20,0)),0)</f>
        <v>0</v>
      </c>
      <c r="Y40" s="1353">
        <f ca="1">IF(W40&lt;&gt;"",IF(VLOOKUP($A40,Actions!$F$1:$AQ$70,34,0)="Commune",(VLOOKUP($A40,Actions!$F$1:$AQ$70,24,0)-VLOOKUP($A40,Actions!$F$1:$AQ$70,26,0))/(1+VLOOKUP($A40,Actions!$F$1:$AQ$70,21,0)-VLOOKUP($A40,Actions!$F$1:$AQ$70,20,0)),0),0)</f>
        <v>0</v>
      </c>
      <c r="Z40" s="1353">
        <f ca="1">IF(S40="",V40,IF(AND(W40="",S40&lt;&gt;""),VLOOKUP($A40,Actions!$F$1:$AQ$70,31,0),0))</f>
        <v>0</v>
      </c>
      <c r="AA40" s="1354" t="str">
        <f ca="1">IF(OR(Actions!$Y34=AA$7,AND(Actions!$Y34&lt;=AA$7,Actions!$Z34&gt;=AA$7)),Actions!$AA34,"")</f>
        <v/>
      </c>
      <c r="AB40" s="1353">
        <f ca="1">IF(AA40&lt;&gt;"",VLOOKUP($A40,Actions!$F$1:$AQ$70,38,0)/(1+VLOOKUP($A40,Actions!$F$1:$AQ$70,21,0)-VLOOKUP($A40,Actions!$F$1:$AQ$70,20,0)),0)</f>
        <v>0</v>
      </c>
      <c r="AC40" s="1353">
        <f ca="1">IF(AA40&lt;&gt;"",IF(VLOOKUP($A40,Actions!$F$1:$AQ$70,34,0)="Commune",(VLOOKUP($A40,Actions!$F$1:$AQ$70,24,0)-VLOOKUP($A40,Actions!$F$1:$AQ$70,26,0))/(1+VLOOKUP($A40,Actions!$F$1:$AQ$70,21,0)-VLOOKUP($A40,Actions!$F$1:$AQ$70,20,0)),0),0)</f>
        <v>0</v>
      </c>
      <c r="AD40" s="1353">
        <f ca="1">IF(W40="",Z40,IF(AND(AA40="",W40&lt;&gt;""),VLOOKUP($A40,Actions!$F$1:$AQ$70,31,0),0))</f>
        <v>0</v>
      </c>
      <c r="AE40" s="1354" t="str">
        <f ca="1">IF(OR(Actions!$Y34=AE$7,AND(Actions!$Y34&lt;=AE$7,Actions!$Z34&gt;=AE$7)),Actions!$AA34,"")</f>
        <v/>
      </c>
      <c r="AF40" s="1353">
        <f ca="1">IF(AE40&lt;&gt;"",VLOOKUP($A40,Actions!$F$1:$AQ$70,38,0)/(1+VLOOKUP($A40,Actions!$F$1:$AQ$70,21,0)-VLOOKUP($A40,Actions!$F$1:$AQ$70,20,0)),0)</f>
        <v>0</v>
      </c>
      <c r="AG40" s="1353">
        <f ca="1">IF(AE40&lt;&gt;"",IF(VLOOKUP($A40,Actions!$F$1:$AQ$70,34,0)="Commune",(VLOOKUP($A40,Actions!$F$1:$AQ$70,24,0)-VLOOKUP($A40,Actions!$F$1:$AQ$70,26,0))/(1+VLOOKUP($A40,Actions!$F$1:$AQ$70,21,0)-VLOOKUP($A40,Actions!$F$1:$AQ$70,20,0)),0),0)</f>
        <v>0</v>
      </c>
      <c r="AH40" s="1353">
        <f ca="1">IF(AA40="",AD40,IF(AND(AE40="",AA40&lt;&gt;""),VLOOKUP($A40,Actions!$F$1:$AQ$70,31,0),0))</f>
        <v>0</v>
      </c>
      <c r="AI40" s="1354" t="str">
        <f ca="1">IF(OR(Actions!$Y34=AI$7,AND(Actions!$Y34&lt;=AI$7,Actions!$Z34&gt;=AI$7)),Actions!$AA34,"")</f>
        <v/>
      </c>
      <c r="AJ40" s="1353">
        <f ca="1">IF(AI40&lt;&gt;"",VLOOKUP($A40,Actions!$F$1:$AQ$70,38,0)/(1+VLOOKUP($A40,Actions!$F$1:$AQ$70,21,0)-VLOOKUP($A40,Actions!$F$1:$AQ$70,20,0)),0)</f>
        <v>0</v>
      </c>
      <c r="AK40" s="1353">
        <f ca="1">IF(AI40&lt;&gt;"",IF(VLOOKUP($A40,Actions!$F$1:$AQ$70,34,0)="Commune",(VLOOKUP($A40,Actions!$F$1:$AQ$70,24,0)-VLOOKUP($A40,Actions!$F$1:$AQ$70,26,0))/(1+VLOOKUP($A40,Actions!$F$1:$AQ$70,21,0)-VLOOKUP($A40,Actions!$F$1:$AQ$70,20,0)),0),0)</f>
        <v>0</v>
      </c>
      <c r="AL40" s="1353">
        <f ca="1">IF(AE40="",AH40,IF(AND(AI40="",AE40&lt;&gt;""),VLOOKUP($A40,Actions!$F$1:$AQ$70,31,0),0))</f>
        <v>0</v>
      </c>
      <c r="AM40" s="1354" t="str">
        <f ca="1">IF(OR(Actions!$Y34=AM$7,AND(Actions!$Y34&lt;=AM$7,Actions!$Z34&gt;=AM$7)),Actions!$AA34,"")</f>
        <v/>
      </c>
      <c r="AN40" s="1353">
        <f ca="1">IF(AM40&lt;&gt;"",VLOOKUP($A40,Actions!$F$1:$AQ$70,38,0)/(1+VLOOKUP($A40,Actions!$F$1:$AQ$70,21,0)-VLOOKUP($A40,Actions!$F$1:$AQ$70,20,0)),0)</f>
        <v>0</v>
      </c>
      <c r="AO40" s="1353">
        <f ca="1">IF(AM40&lt;&gt;"",IF(VLOOKUP($A40,Actions!$F$1:$AQ$70,34,0)="Commune",(VLOOKUP($A40,Actions!$F$1:$AQ$70,24,0)-VLOOKUP($A40,Actions!$F$1:$AQ$70,26,0))/(1+VLOOKUP($A40,Actions!$F$1:$AQ$70,21,0)-VLOOKUP($A40,Actions!$F$1:$AQ$70,20,0)),0),0)</f>
        <v>0</v>
      </c>
      <c r="AP40" s="1353">
        <f ca="1">IF(AI40="",AL40,IF(AND(AM40="",AI40&lt;&gt;""),VLOOKUP($A40,Actions!$F$1:$AQ$70,31,0),0))</f>
        <v>0</v>
      </c>
      <c r="AQ40" s="1354" t="str">
        <f ca="1">IF(OR(Actions!$Y34=AQ$7,AND(Actions!$Y34&lt;=AQ$7,Actions!$Z34&gt;=AQ$7)),Actions!$AA34,"")</f>
        <v/>
      </c>
      <c r="AR40" s="1353">
        <f ca="1">IF(AQ40&lt;&gt;"",VLOOKUP($A40,Actions!$F$1:$AQ$70,38,0)/(1+VLOOKUP($A40,Actions!$F$1:$AQ$70,21,0)-VLOOKUP($A40,Actions!$F$1:$AQ$70,20,0)),0)</f>
        <v>0</v>
      </c>
      <c r="AS40" s="1353">
        <f ca="1">IF(AQ40&lt;&gt;"",IF(VLOOKUP($A40,Actions!$F$1:$AQ$70,34,0)="Commune",(VLOOKUP($A40,Actions!$F$1:$AQ$70,24,0)-VLOOKUP($A40,Actions!$F$1:$AQ$70,26,0))/(1+VLOOKUP($A40,Actions!$F$1:$AQ$70,21,0)-VLOOKUP($A40,Actions!$F$1:$AQ$70,20,0)),0),0)</f>
        <v>0</v>
      </c>
      <c r="AT40" s="1353">
        <f ca="1">IF(AM40="",AP40,IF(AND(AQ40="",AM40&lt;&gt;""),VLOOKUP($A40,Actions!$F$1:$AQ$70,31,0),0))</f>
        <v>0</v>
      </c>
      <c r="AU40" s="1354" t="str">
        <f ca="1">IF(OR(Actions!$Y34=AU$7,AND(Actions!$Y34&lt;=AU$7,Actions!$Z34&gt;=AU$7)),Actions!$AA34,"")</f>
        <v/>
      </c>
      <c r="AV40" s="1353">
        <f ca="1">IF(AU40&lt;&gt;"",VLOOKUP($A40,Actions!$F$1:$AQ$70,38,0)/(1+VLOOKUP($A40,Actions!$F$1:$AQ$70,21,0)-VLOOKUP($A40,Actions!$F$1:$AQ$70,20,0)),0)</f>
        <v>0</v>
      </c>
      <c r="AW40" s="1353">
        <f ca="1">IF(AU40&lt;&gt;"",IF(VLOOKUP($A40,Actions!$F$1:$AQ$70,34,0)="Commune",(VLOOKUP($A40,Actions!$F$1:$AQ$70,24,0)-VLOOKUP($A40,Actions!$F$1:$AQ$70,26,0))/(1+VLOOKUP($A40,Actions!$F$1:$AQ$70,21,0)-VLOOKUP($A40,Actions!$F$1:$AQ$70,20,0)),0),0)</f>
        <v>0</v>
      </c>
      <c r="AX40" s="1353">
        <f ca="1">IF(AQ40="",AT40,IF(AND(AU40="",AQ40&lt;&gt;""),VLOOKUP($A40,Actions!$F$1:$AQ$70,31,0),0))</f>
        <v>0</v>
      </c>
      <c r="AY40" s="1354" t="str">
        <f ca="1">IF(OR(Actions!$Y34=AY$7,AND(Actions!$Y34&lt;=AY$7,Actions!$Z34&gt;=AY$7)),Actions!$AA34,"")</f>
        <v/>
      </c>
      <c r="AZ40" s="1353">
        <f ca="1">IF(AY40&lt;&gt;"",VLOOKUP($A40,Actions!$F$1:$AQ$70,38,0)/(1+VLOOKUP($A40,Actions!$F$1:$AQ$70,21,0)-VLOOKUP($A40,Actions!$F$1:$AQ$70,20,0)),0)</f>
        <v>0</v>
      </c>
      <c r="BA40" s="1353">
        <f ca="1">IF(AY40&lt;&gt;"",IF(VLOOKUP($A40,Actions!$F$1:$AQ$70,34,0)="Commune",(VLOOKUP($A40,Actions!$F$1:$AQ$70,24,0)-VLOOKUP($A40,Actions!$F$1:$AQ$70,26,0))/(1+VLOOKUP($A40,Actions!$F$1:$AQ$70,21,0)-VLOOKUP($A40,Actions!$F$1:$AQ$70,20,0)),0),0)</f>
        <v>0</v>
      </c>
      <c r="BB40" s="1353">
        <f ca="1">IF(AU40="",AX40,IF(AND(AY40="",AU40&lt;&gt;""),VLOOKUP($A40,Actions!$F$1:$AQ$70,31,0),0))</f>
        <v>0</v>
      </c>
      <c r="BC40" s="1354" t="str">
        <f ca="1">IF(OR(Actions!$Y34=BC$7,AND(Actions!$Y34&lt;=BC$7,Actions!$Z34&gt;=BC$7)),Actions!$AA34,"")</f>
        <v/>
      </c>
      <c r="BD40" s="1353">
        <f ca="1">IF(BC40&lt;&gt;"",VLOOKUP($A40,Actions!$F$1:$AQ$70,38,0)/(1+VLOOKUP($A40,Actions!$F$1:$AQ$70,21,0)-VLOOKUP($A40,Actions!$F$1:$AQ$70,20,0)),0)</f>
        <v>0</v>
      </c>
      <c r="BE40" s="1353">
        <f ca="1">IF(BC40&lt;&gt;"",IF(VLOOKUP($A40,Actions!$F$1:$AQ$70,34,0)="Commune",(VLOOKUP($A40,Actions!$F$1:$AQ$70,24,0)-VLOOKUP($A40,Actions!$F$1:$AQ$70,26,0))/(1+VLOOKUP($A40,Actions!$F$1:$AQ$70,21,0)-VLOOKUP($A40,Actions!$F$1:$AQ$70,20,0)),0),0)</f>
        <v>0</v>
      </c>
      <c r="BF40" s="1353">
        <f ca="1">IF(AY40="",BB40,IF(AND(BC40="",AY40&lt;&gt;""),VLOOKUP($A40,Actions!$F$1:$AQ$70,31,0),0))</f>
        <v>0</v>
      </c>
      <c r="BG40" s="1355">
        <f t="shared" ca="1" si="0"/>
        <v>0</v>
      </c>
      <c r="BJ40" s="233"/>
      <c r="BK40" s="233"/>
      <c r="BL40" s="233"/>
      <c r="BM40" s="233"/>
      <c r="BN40" s="233"/>
      <c r="BO40" s="233"/>
    </row>
    <row r="41" spans="1:67">
      <c r="A41" s="1349">
        <f>Actions!F35</f>
        <v>34</v>
      </c>
      <c r="B41" s="1352">
        <f ca="1">Actions!G35</f>
        <v>0</v>
      </c>
      <c r="C41" s="1353" t="str">
        <f ca="1">IF(OR(AND(Actions!Y35&gt;0,Actions!Y35&lt;=$C$7,Actions!Z35&gt;=$C$7),AND(Actions!Y35&gt;0,Actions!Y35&lt;=$C$7,Actions!Z35&lt;Actions!Y35),AND(Actions!Y35=0,Actions!Z35&gt;=$C$7)),Actions!$AA35,"")</f>
        <v/>
      </c>
      <c r="D41" s="1353">
        <f ca="1">IF(C41&lt;&gt;"",VLOOKUP($A41,Actions!$F$1:$AQ$70,38,0)/(1+VLOOKUP($A41,Actions!$F$1:$AQ$70,21,0)-VLOOKUP($A41,Actions!$F$1:$AQ$70,20,0)),0)</f>
        <v>0</v>
      </c>
      <c r="E41" s="1353">
        <f ca="1">IF(C41&lt;&gt;"",IF(VLOOKUP($A41,Actions!$F$1:$AQ$70,34,0)="Commune",(VLOOKUP($A41,Actions!$F$1:$AQ$70,24,0)-VLOOKUP($A41,Actions!$F$1:$AQ$70,26,0))/(1+VLOOKUP($A41,Actions!$F$1:$AQ$70,21,0)-VLOOKUP($A41,Actions!$F$1:$AQ$70,20,0)),0),0)</f>
        <v>0</v>
      </c>
      <c r="F41" s="1353">
        <v>0</v>
      </c>
      <c r="G41" s="1354" t="str">
        <f ca="1">IF(OR(Actions!$Y35=G$7,AND(Actions!$Y35&lt;=G$7,Actions!$Z35&gt;=G$7)),Actions!$AA35,"")</f>
        <v/>
      </c>
      <c r="H41" s="1353">
        <f ca="1">IF(G41&lt;&gt;"",VLOOKUP($A41,Actions!$F$1:$AQ$70,38,0)/(1+VLOOKUP($A41,Actions!$F$1:$AQ$70,21,0)-VLOOKUP($A41,Actions!$F$1:$AQ$70,20,0)),0)</f>
        <v>0</v>
      </c>
      <c r="I41" s="1353">
        <f ca="1">IF(G41&lt;&gt;"",IF(VLOOKUP($A41,Actions!$F$1:$AQ$70,34,0)="Commune",(VLOOKUP($A41,Actions!$F$1:$AQ$70,24,0)-VLOOKUP($A41,Actions!$F$1:$AQ$70,26,0))/(1+VLOOKUP($A41,Actions!$F$1:$AQ$70,21,0)-VLOOKUP($A41,Actions!$F$1:$AQ$70,20,0)),0),0)</f>
        <v>0</v>
      </c>
      <c r="J41" s="1353">
        <f ca="1">IF(C41="",F41,IF(AND(G41="",C41&lt;&gt;""),VLOOKUP($A41,Actions!$F$1:$AQ$70,31,0),0))</f>
        <v>0</v>
      </c>
      <c r="K41" s="1354" t="str">
        <f ca="1">IF(OR(Actions!$Y35=K$7,AND(Actions!$Y35&lt;=K$7,Actions!$Z35&gt;=K$7)),Actions!$AA35,"")</f>
        <v/>
      </c>
      <c r="L41" s="1353">
        <f ca="1">IF(K41&lt;&gt;"",VLOOKUP($A41,Actions!$F$1:$AQ$70,38,0)/(1+VLOOKUP($A41,Actions!$F$1:$AQ$70,21,0)-VLOOKUP($A41,Actions!$F$1:$AQ$70,20,0)),0)</f>
        <v>0</v>
      </c>
      <c r="M41" s="1353">
        <f ca="1">IF(K41&lt;&gt;"",IF(VLOOKUP($A41,Actions!$F$1:$AQ$70,34,0)="Commune",(VLOOKUP($A41,Actions!$F$1:$AQ$70,24,0)-VLOOKUP($A41,Actions!$F$1:$AQ$70,26,0))/(1+VLOOKUP($A41,Actions!$F$1:$AQ$70,21,0)-VLOOKUP($A41,Actions!$F$1:$AQ$70,20,0)),0),0)</f>
        <v>0</v>
      </c>
      <c r="N41" s="1353">
        <f ca="1">IF(G41="",J41,IF(AND(K41="",G41&lt;&gt;""),VLOOKUP($A41,Actions!$F$1:$AQ$70,31,0),0))</f>
        <v>0</v>
      </c>
      <c r="O41" s="1354" t="str">
        <f ca="1">IF(OR(Actions!$Y35=O$7,AND(Actions!$Y35&lt;=O$7,Actions!$Z35&gt;=O$7)),Actions!$AA35,"")</f>
        <v/>
      </c>
      <c r="P41" s="1353">
        <f ca="1">IF(O41&lt;&gt;"",VLOOKUP($A41,Actions!$F$1:$AQ$70,38,0)/(1+VLOOKUP($A41,Actions!$F$1:$AQ$70,21,0)-VLOOKUP($A41,Actions!$F$1:$AQ$70,20,0)),0)</f>
        <v>0</v>
      </c>
      <c r="Q41" s="1353">
        <f ca="1">IF(O41&lt;&gt;"",IF(VLOOKUP($A41,Actions!$F$1:$AQ$70,34,0)="Commune",(VLOOKUP($A41,Actions!$F$1:$AQ$70,24,0)-VLOOKUP($A41,Actions!$F$1:$AQ$70,26,0))/(1+VLOOKUP($A41,Actions!$F$1:$AQ$70,21,0)-VLOOKUP($A41,Actions!$F$1:$AQ$70,20,0)),0),0)</f>
        <v>0</v>
      </c>
      <c r="R41" s="1353">
        <f ca="1">IF(K41="",N41,IF(AND(O41="",K41&lt;&gt;""),VLOOKUP($A41,Actions!$F$1:$AQ$70,31,0),0))</f>
        <v>0</v>
      </c>
      <c r="S41" s="1354" t="str">
        <f ca="1">IF(OR(Actions!$Y35=S$7,AND(Actions!$Y35&lt;=S$7,Actions!$Z35&gt;=S$7)),Actions!$AA35,"")</f>
        <v/>
      </c>
      <c r="T41" s="1353">
        <f ca="1">IF(S41&lt;&gt;"",VLOOKUP($A41,Actions!$F$1:$AQ$70,38,0)/(1+VLOOKUP($A41,Actions!$F$1:$AQ$70,21,0)-VLOOKUP($A41,Actions!$F$1:$AQ$70,20,0)),0)</f>
        <v>0</v>
      </c>
      <c r="U41" s="1353">
        <f ca="1">IF(S41&lt;&gt;"",IF(VLOOKUP($A41,Actions!$F$1:$AQ$70,34,0)="Commune",(VLOOKUP($A41,Actions!$F$1:$AQ$70,24,0)-VLOOKUP($A41,Actions!$F$1:$AQ$70,26,0))/(1+VLOOKUP($A41,Actions!$F$1:$AQ$70,21,0)-VLOOKUP($A41,Actions!$F$1:$AQ$70,20,0)),0),0)</f>
        <v>0</v>
      </c>
      <c r="V41" s="1353">
        <f ca="1">IF(O41="",R41,IF(AND(S41="",O41&lt;&gt;""),VLOOKUP($A41,Actions!$F$1:$AQ$70,31,0),0))</f>
        <v>0</v>
      </c>
      <c r="W41" s="1354" t="str">
        <f ca="1">IF(OR(Actions!$Y35=W$7,AND(Actions!$Y35&lt;=W$7,Actions!$Z35&gt;=W$7)),Actions!$AA35,"")</f>
        <v/>
      </c>
      <c r="X41" s="1353">
        <f ca="1">IF(W41&lt;&gt;"",VLOOKUP($A41,Actions!$F$1:$AQ$70,38,0)/(1+VLOOKUP($A41,Actions!$F$1:$AQ$70,21,0)-VLOOKUP($A41,Actions!$F$1:$AQ$70,20,0)),0)</f>
        <v>0</v>
      </c>
      <c r="Y41" s="1353">
        <f ca="1">IF(W41&lt;&gt;"",IF(VLOOKUP($A41,Actions!$F$1:$AQ$70,34,0)="Commune",(VLOOKUP($A41,Actions!$F$1:$AQ$70,24,0)-VLOOKUP($A41,Actions!$F$1:$AQ$70,26,0))/(1+VLOOKUP($A41,Actions!$F$1:$AQ$70,21,0)-VLOOKUP($A41,Actions!$F$1:$AQ$70,20,0)),0),0)</f>
        <v>0</v>
      </c>
      <c r="Z41" s="1353">
        <f ca="1">IF(S41="",V41,IF(AND(W41="",S41&lt;&gt;""),VLOOKUP($A41,Actions!$F$1:$AQ$70,31,0),0))</f>
        <v>0</v>
      </c>
      <c r="AA41" s="1354" t="str">
        <f ca="1">IF(OR(Actions!$Y35=AA$7,AND(Actions!$Y35&lt;=AA$7,Actions!$Z35&gt;=AA$7)),Actions!$AA35,"")</f>
        <v/>
      </c>
      <c r="AB41" s="1353">
        <f ca="1">IF(AA41&lt;&gt;"",VLOOKUP($A41,Actions!$F$1:$AQ$70,38,0)/(1+VLOOKUP($A41,Actions!$F$1:$AQ$70,21,0)-VLOOKUP($A41,Actions!$F$1:$AQ$70,20,0)),0)</f>
        <v>0</v>
      </c>
      <c r="AC41" s="1353">
        <f ca="1">IF(AA41&lt;&gt;"",IF(VLOOKUP($A41,Actions!$F$1:$AQ$70,34,0)="Commune",(VLOOKUP($A41,Actions!$F$1:$AQ$70,24,0)-VLOOKUP($A41,Actions!$F$1:$AQ$70,26,0))/(1+VLOOKUP($A41,Actions!$F$1:$AQ$70,21,0)-VLOOKUP($A41,Actions!$F$1:$AQ$70,20,0)),0),0)</f>
        <v>0</v>
      </c>
      <c r="AD41" s="1353">
        <f ca="1">IF(W41="",Z41,IF(AND(AA41="",W41&lt;&gt;""),VLOOKUP($A41,Actions!$F$1:$AQ$70,31,0),0))</f>
        <v>0</v>
      </c>
      <c r="AE41" s="1354" t="str">
        <f ca="1">IF(OR(Actions!$Y35=AE$7,AND(Actions!$Y35&lt;=AE$7,Actions!$Z35&gt;=AE$7)),Actions!$AA35,"")</f>
        <v/>
      </c>
      <c r="AF41" s="1353">
        <f ca="1">IF(AE41&lt;&gt;"",VLOOKUP($A41,Actions!$F$1:$AQ$70,38,0)/(1+VLOOKUP($A41,Actions!$F$1:$AQ$70,21,0)-VLOOKUP($A41,Actions!$F$1:$AQ$70,20,0)),0)</f>
        <v>0</v>
      </c>
      <c r="AG41" s="1353">
        <f ca="1">IF(AE41&lt;&gt;"",IF(VLOOKUP($A41,Actions!$F$1:$AQ$70,34,0)="Commune",(VLOOKUP($A41,Actions!$F$1:$AQ$70,24,0)-VLOOKUP($A41,Actions!$F$1:$AQ$70,26,0))/(1+VLOOKUP($A41,Actions!$F$1:$AQ$70,21,0)-VLOOKUP($A41,Actions!$F$1:$AQ$70,20,0)),0),0)</f>
        <v>0</v>
      </c>
      <c r="AH41" s="1353">
        <f ca="1">IF(AA41="",AD41,IF(AND(AE41="",AA41&lt;&gt;""),VLOOKUP($A41,Actions!$F$1:$AQ$70,31,0),0))</f>
        <v>0</v>
      </c>
      <c r="AI41" s="1354" t="str">
        <f ca="1">IF(OR(Actions!$Y35=AI$7,AND(Actions!$Y35&lt;=AI$7,Actions!$Z35&gt;=AI$7)),Actions!$AA35,"")</f>
        <v/>
      </c>
      <c r="AJ41" s="1353">
        <f ca="1">IF(AI41&lt;&gt;"",VLOOKUP($A41,Actions!$F$1:$AQ$70,38,0)/(1+VLOOKUP($A41,Actions!$F$1:$AQ$70,21,0)-VLOOKUP($A41,Actions!$F$1:$AQ$70,20,0)),0)</f>
        <v>0</v>
      </c>
      <c r="AK41" s="1353">
        <f ca="1">IF(AI41&lt;&gt;"",IF(VLOOKUP($A41,Actions!$F$1:$AQ$70,34,0)="Commune",(VLOOKUP($A41,Actions!$F$1:$AQ$70,24,0)-VLOOKUP($A41,Actions!$F$1:$AQ$70,26,0))/(1+VLOOKUP($A41,Actions!$F$1:$AQ$70,21,0)-VLOOKUP($A41,Actions!$F$1:$AQ$70,20,0)),0),0)</f>
        <v>0</v>
      </c>
      <c r="AL41" s="1353">
        <f ca="1">IF(AE41="",AH41,IF(AND(AI41="",AE41&lt;&gt;""),VLOOKUP($A41,Actions!$F$1:$AQ$70,31,0),0))</f>
        <v>0</v>
      </c>
      <c r="AM41" s="1354" t="str">
        <f ca="1">IF(OR(Actions!$Y35=AM$7,AND(Actions!$Y35&lt;=AM$7,Actions!$Z35&gt;=AM$7)),Actions!$AA35,"")</f>
        <v/>
      </c>
      <c r="AN41" s="1353">
        <f ca="1">IF(AM41&lt;&gt;"",VLOOKUP($A41,Actions!$F$1:$AQ$70,38,0)/(1+VLOOKUP($A41,Actions!$F$1:$AQ$70,21,0)-VLOOKUP($A41,Actions!$F$1:$AQ$70,20,0)),0)</f>
        <v>0</v>
      </c>
      <c r="AO41" s="1353">
        <f ca="1">IF(AM41&lt;&gt;"",IF(VLOOKUP($A41,Actions!$F$1:$AQ$70,34,0)="Commune",(VLOOKUP($A41,Actions!$F$1:$AQ$70,24,0)-VLOOKUP($A41,Actions!$F$1:$AQ$70,26,0))/(1+VLOOKUP($A41,Actions!$F$1:$AQ$70,21,0)-VLOOKUP($A41,Actions!$F$1:$AQ$70,20,0)),0),0)</f>
        <v>0</v>
      </c>
      <c r="AP41" s="1353">
        <f ca="1">IF(AI41="",AL41,IF(AND(AM41="",AI41&lt;&gt;""),VLOOKUP($A41,Actions!$F$1:$AQ$70,31,0),0))</f>
        <v>0</v>
      </c>
      <c r="AQ41" s="1354" t="str">
        <f ca="1">IF(OR(Actions!$Y35=AQ$7,AND(Actions!$Y35&lt;=AQ$7,Actions!$Z35&gt;=AQ$7)),Actions!$AA35,"")</f>
        <v/>
      </c>
      <c r="AR41" s="1353">
        <f ca="1">IF(AQ41&lt;&gt;"",VLOOKUP($A41,Actions!$F$1:$AQ$70,38,0)/(1+VLOOKUP($A41,Actions!$F$1:$AQ$70,21,0)-VLOOKUP($A41,Actions!$F$1:$AQ$70,20,0)),0)</f>
        <v>0</v>
      </c>
      <c r="AS41" s="1353">
        <f ca="1">IF(AQ41&lt;&gt;"",IF(VLOOKUP($A41,Actions!$F$1:$AQ$70,34,0)="Commune",(VLOOKUP($A41,Actions!$F$1:$AQ$70,24,0)-VLOOKUP($A41,Actions!$F$1:$AQ$70,26,0))/(1+VLOOKUP($A41,Actions!$F$1:$AQ$70,21,0)-VLOOKUP($A41,Actions!$F$1:$AQ$70,20,0)),0),0)</f>
        <v>0</v>
      </c>
      <c r="AT41" s="1353">
        <f ca="1">IF(AM41="",AP41,IF(AND(AQ41="",AM41&lt;&gt;""),VLOOKUP($A41,Actions!$F$1:$AQ$70,31,0),0))</f>
        <v>0</v>
      </c>
      <c r="AU41" s="1354" t="str">
        <f ca="1">IF(OR(Actions!$Y35=AU$7,AND(Actions!$Y35&lt;=AU$7,Actions!$Z35&gt;=AU$7)),Actions!$AA35,"")</f>
        <v/>
      </c>
      <c r="AV41" s="1353">
        <f ca="1">IF(AU41&lt;&gt;"",VLOOKUP($A41,Actions!$F$1:$AQ$70,38,0)/(1+VLOOKUP($A41,Actions!$F$1:$AQ$70,21,0)-VLOOKUP($A41,Actions!$F$1:$AQ$70,20,0)),0)</f>
        <v>0</v>
      </c>
      <c r="AW41" s="1353">
        <f ca="1">IF(AU41&lt;&gt;"",IF(VLOOKUP($A41,Actions!$F$1:$AQ$70,34,0)="Commune",(VLOOKUP($A41,Actions!$F$1:$AQ$70,24,0)-VLOOKUP($A41,Actions!$F$1:$AQ$70,26,0))/(1+VLOOKUP($A41,Actions!$F$1:$AQ$70,21,0)-VLOOKUP($A41,Actions!$F$1:$AQ$70,20,0)),0),0)</f>
        <v>0</v>
      </c>
      <c r="AX41" s="1353">
        <f ca="1">IF(AQ41="",AT41,IF(AND(AU41="",AQ41&lt;&gt;""),VLOOKUP($A41,Actions!$F$1:$AQ$70,31,0),0))</f>
        <v>0</v>
      </c>
      <c r="AY41" s="1354" t="str">
        <f ca="1">IF(OR(Actions!$Y35=AY$7,AND(Actions!$Y35&lt;=AY$7,Actions!$Z35&gt;=AY$7)),Actions!$AA35,"")</f>
        <v/>
      </c>
      <c r="AZ41" s="1353">
        <f ca="1">IF(AY41&lt;&gt;"",VLOOKUP($A41,Actions!$F$1:$AQ$70,38,0)/(1+VLOOKUP($A41,Actions!$F$1:$AQ$70,21,0)-VLOOKUP($A41,Actions!$F$1:$AQ$70,20,0)),0)</f>
        <v>0</v>
      </c>
      <c r="BA41" s="1353">
        <f ca="1">IF(AY41&lt;&gt;"",IF(VLOOKUP($A41,Actions!$F$1:$AQ$70,34,0)="Commune",(VLOOKUP($A41,Actions!$F$1:$AQ$70,24,0)-VLOOKUP($A41,Actions!$F$1:$AQ$70,26,0))/(1+VLOOKUP($A41,Actions!$F$1:$AQ$70,21,0)-VLOOKUP($A41,Actions!$F$1:$AQ$70,20,0)),0),0)</f>
        <v>0</v>
      </c>
      <c r="BB41" s="1353">
        <f ca="1">IF(AU41="",AX41,IF(AND(AY41="",AU41&lt;&gt;""),VLOOKUP($A41,Actions!$F$1:$AQ$70,31,0),0))</f>
        <v>0</v>
      </c>
      <c r="BC41" s="1354" t="str">
        <f ca="1">IF(OR(Actions!$Y35=BC$7,AND(Actions!$Y35&lt;=BC$7,Actions!$Z35&gt;=BC$7)),Actions!$AA35,"")</f>
        <v/>
      </c>
      <c r="BD41" s="1353">
        <f ca="1">IF(BC41&lt;&gt;"",VLOOKUP($A41,Actions!$F$1:$AQ$70,38,0)/(1+VLOOKUP($A41,Actions!$F$1:$AQ$70,21,0)-VLOOKUP($A41,Actions!$F$1:$AQ$70,20,0)),0)</f>
        <v>0</v>
      </c>
      <c r="BE41" s="1353">
        <f ca="1">IF(BC41&lt;&gt;"",IF(VLOOKUP($A41,Actions!$F$1:$AQ$70,34,0)="Commune",(VLOOKUP($A41,Actions!$F$1:$AQ$70,24,0)-VLOOKUP($A41,Actions!$F$1:$AQ$70,26,0))/(1+VLOOKUP($A41,Actions!$F$1:$AQ$70,21,0)-VLOOKUP($A41,Actions!$F$1:$AQ$70,20,0)),0),0)</f>
        <v>0</v>
      </c>
      <c r="BF41" s="1353">
        <f ca="1">IF(AY41="",BB41,IF(AND(BC41="",AY41&lt;&gt;""),VLOOKUP($A41,Actions!$F$1:$AQ$70,31,0),0))</f>
        <v>0</v>
      </c>
      <c r="BG41" s="1355">
        <f t="shared" ca="1" si="0"/>
        <v>0</v>
      </c>
      <c r="BJ41" s="233"/>
      <c r="BK41" s="233"/>
      <c r="BL41" s="233"/>
      <c r="BM41" s="233"/>
      <c r="BN41" s="233"/>
      <c r="BO41" s="233"/>
    </row>
    <row r="42" spans="1:67">
      <c r="A42" s="1349">
        <f>Actions!F36</f>
        <v>35</v>
      </c>
      <c r="B42" s="1352">
        <f ca="1">Actions!G36</f>
        <v>0</v>
      </c>
      <c r="C42" s="1353" t="str">
        <f ca="1">IF(OR(AND(Actions!Y36&gt;0,Actions!Y36&lt;=$C$7,Actions!Z36&gt;=$C$7),AND(Actions!Y36&gt;0,Actions!Y36&lt;=$C$7,Actions!Z36&lt;Actions!Y36),AND(Actions!Y36=0,Actions!Z36&gt;=$C$7)),Actions!$AA36,"")</f>
        <v/>
      </c>
      <c r="D42" s="1353">
        <f ca="1">IF(C42&lt;&gt;"",VLOOKUP($A42,Actions!$F$1:$AQ$70,38,0)/(1+VLOOKUP($A42,Actions!$F$1:$AQ$70,21,0)-VLOOKUP($A42,Actions!$F$1:$AQ$70,20,0)),0)</f>
        <v>0</v>
      </c>
      <c r="E42" s="1353">
        <f ca="1">IF(C42&lt;&gt;"",IF(VLOOKUP($A42,Actions!$F$1:$AQ$70,34,0)="Commune",(VLOOKUP($A42,Actions!$F$1:$AQ$70,24,0)-VLOOKUP($A42,Actions!$F$1:$AQ$70,26,0))/(1+VLOOKUP($A42,Actions!$F$1:$AQ$70,21,0)-VLOOKUP($A42,Actions!$F$1:$AQ$70,20,0)),0),0)</f>
        <v>0</v>
      </c>
      <c r="F42" s="1353">
        <v>0</v>
      </c>
      <c r="G42" s="1354" t="str">
        <f ca="1">IF(OR(Actions!$Y36=G$7,AND(Actions!$Y36&lt;=G$7,Actions!$Z36&gt;=G$7)),Actions!$AA36,"")</f>
        <v/>
      </c>
      <c r="H42" s="1353">
        <f ca="1">IF(G42&lt;&gt;"",VLOOKUP($A42,Actions!$F$1:$AQ$70,38,0)/(1+VLOOKUP($A42,Actions!$F$1:$AQ$70,21,0)-VLOOKUP($A42,Actions!$F$1:$AQ$70,20,0)),0)</f>
        <v>0</v>
      </c>
      <c r="I42" s="1353">
        <f ca="1">IF(G42&lt;&gt;"",IF(VLOOKUP($A42,Actions!$F$1:$AQ$70,34,0)="Commune",(VLOOKUP($A42,Actions!$F$1:$AQ$70,24,0)-VLOOKUP($A42,Actions!$F$1:$AQ$70,26,0))/(1+VLOOKUP($A42,Actions!$F$1:$AQ$70,21,0)-VLOOKUP($A42,Actions!$F$1:$AQ$70,20,0)),0),0)</f>
        <v>0</v>
      </c>
      <c r="J42" s="1353">
        <f ca="1">IF(C42="",F42,IF(AND(G42="",C42&lt;&gt;""),VLOOKUP($A42,Actions!$F$1:$AQ$70,31,0),0))</f>
        <v>0</v>
      </c>
      <c r="K42" s="1354" t="str">
        <f ca="1">IF(OR(Actions!$Y36=K$7,AND(Actions!$Y36&lt;=K$7,Actions!$Z36&gt;=K$7)),Actions!$AA36,"")</f>
        <v/>
      </c>
      <c r="L42" s="1353">
        <f ca="1">IF(K42&lt;&gt;"",VLOOKUP($A42,Actions!$F$1:$AQ$70,38,0)/(1+VLOOKUP($A42,Actions!$F$1:$AQ$70,21,0)-VLOOKUP($A42,Actions!$F$1:$AQ$70,20,0)),0)</f>
        <v>0</v>
      </c>
      <c r="M42" s="1353">
        <f ca="1">IF(K42&lt;&gt;"",IF(VLOOKUP($A42,Actions!$F$1:$AQ$70,34,0)="Commune",(VLOOKUP($A42,Actions!$F$1:$AQ$70,24,0)-VLOOKUP($A42,Actions!$F$1:$AQ$70,26,0))/(1+VLOOKUP($A42,Actions!$F$1:$AQ$70,21,0)-VLOOKUP($A42,Actions!$F$1:$AQ$70,20,0)),0),0)</f>
        <v>0</v>
      </c>
      <c r="N42" s="1353">
        <f ca="1">IF(G42="",J42,IF(AND(K42="",G42&lt;&gt;""),VLOOKUP($A42,Actions!$F$1:$AQ$70,31,0),0))</f>
        <v>0</v>
      </c>
      <c r="O42" s="1354" t="str">
        <f ca="1">IF(OR(Actions!$Y36=O$7,AND(Actions!$Y36&lt;=O$7,Actions!$Z36&gt;=O$7)),Actions!$AA36,"")</f>
        <v/>
      </c>
      <c r="P42" s="1353">
        <f ca="1">IF(O42&lt;&gt;"",VLOOKUP($A42,Actions!$F$1:$AQ$70,38,0)/(1+VLOOKUP($A42,Actions!$F$1:$AQ$70,21,0)-VLOOKUP($A42,Actions!$F$1:$AQ$70,20,0)),0)</f>
        <v>0</v>
      </c>
      <c r="Q42" s="1353">
        <f ca="1">IF(O42&lt;&gt;"",IF(VLOOKUP($A42,Actions!$F$1:$AQ$70,34,0)="Commune",(VLOOKUP($A42,Actions!$F$1:$AQ$70,24,0)-VLOOKUP($A42,Actions!$F$1:$AQ$70,26,0))/(1+VLOOKUP($A42,Actions!$F$1:$AQ$70,21,0)-VLOOKUP($A42,Actions!$F$1:$AQ$70,20,0)),0),0)</f>
        <v>0</v>
      </c>
      <c r="R42" s="1353">
        <f ca="1">IF(K42="",N42,IF(AND(O42="",K42&lt;&gt;""),VLOOKUP($A42,Actions!$F$1:$AQ$70,31,0),0))</f>
        <v>0</v>
      </c>
      <c r="S42" s="1354" t="str">
        <f ca="1">IF(OR(Actions!$Y36=S$7,AND(Actions!$Y36&lt;=S$7,Actions!$Z36&gt;=S$7)),Actions!$AA36,"")</f>
        <v/>
      </c>
      <c r="T42" s="1353">
        <f ca="1">IF(S42&lt;&gt;"",VLOOKUP($A42,Actions!$F$1:$AQ$70,38,0)/(1+VLOOKUP($A42,Actions!$F$1:$AQ$70,21,0)-VLOOKUP($A42,Actions!$F$1:$AQ$70,20,0)),0)</f>
        <v>0</v>
      </c>
      <c r="U42" s="1353">
        <f ca="1">IF(S42&lt;&gt;"",IF(VLOOKUP($A42,Actions!$F$1:$AQ$70,34,0)="Commune",(VLOOKUP($A42,Actions!$F$1:$AQ$70,24,0)-VLOOKUP($A42,Actions!$F$1:$AQ$70,26,0))/(1+VLOOKUP($A42,Actions!$F$1:$AQ$70,21,0)-VLOOKUP($A42,Actions!$F$1:$AQ$70,20,0)),0),0)</f>
        <v>0</v>
      </c>
      <c r="V42" s="1353">
        <f ca="1">IF(O42="",R42,IF(AND(S42="",O42&lt;&gt;""),VLOOKUP($A42,Actions!$F$1:$AQ$70,31,0),0))</f>
        <v>0</v>
      </c>
      <c r="W42" s="1354" t="str">
        <f ca="1">IF(OR(Actions!$Y36=W$7,AND(Actions!$Y36&lt;=W$7,Actions!$Z36&gt;=W$7)),Actions!$AA36,"")</f>
        <v/>
      </c>
      <c r="X42" s="1353">
        <f ca="1">IF(W42&lt;&gt;"",VLOOKUP($A42,Actions!$F$1:$AQ$70,38,0)/(1+VLOOKUP($A42,Actions!$F$1:$AQ$70,21,0)-VLOOKUP($A42,Actions!$F$1:$AQ$70,20,0)),0)</f>
        <v>0</v>
      </c>
      <c r="Y42" s="1353">
        <f ca="1">IF(W42&lt;&gt;"",IF(VLOOKUP($A42,Actions!$F$1:$AQ$70,34,0)="Commune",(VLOOKUP($A42,Actions!$F$1:$AQ$70,24,0)-VLOOKUP($A42,Actions!$F$1:$AQ$70,26,0))/(1+VLOOKUP($A42,Actions!$F$1:$AQ$70,21,0)-VLOOKUP($A42,Actions!$F$1:$AQ$70,20,0)),0),0)</f>
        <v>0</v>
      </c>
      <c r="Z42" s="1353">
        <f ca="1">IF(S42="",V42,IF(AND(W42="",S42&lt;&gt;""),VLOOKUP($A42,Actions!$F$1:$AQ$70,31,0),0))</f>
        <v>0</v>
      </c>
      <c r="AA42" s="1354" t="str">
        <f ca="1">IF(OR(Actions!$Y36=AA$7,AND(Actions!$Y36&lt;=AA$7,Actions!$Z36&gt;=AA$7)),Actions!$AA36,"")</f>
        <v/>
      </c>
      <c r="AB42" s="1353">
        <f ca="1">IF(AA42&lt;&gt;"",VLOOKUP($A42,Actions!$F$1:$AQ$70,38,0)/(1+VLOOKUP($A42,Actions!$F$1:$AQ$70,21,0)-VLOOKUP($A42,Actions!$F$1:$AQ$70,20,0)),0)</f>
        <v>0</v>
      </c>
      <c r="AC42" s="1353">
        <f ca="1">IF(AA42&lt;&gt;"",IF(VLOOKUP($A42,Actions!$F$1:$AQ$70,34,0)="Commune",(VLOOKUP($A42,Actions!$F$1:$AQ$70,24,0)-VLOOKUP($A42,Actions!$F$1:$AQ$70,26,0))/(1+VLOOKUP($A42,Actions!$F$1:$AQ$70,21,0)-VLOOKUP($A42,Actions!$F$1:$AQ$70,20,0)),0),0)</f>
        <v>0</v>
      </c>
      <c r="AD42" s="1353">
        <f ca="1">IF(W42="",Z42,IF(AND(AA42="",W42&lt;&gt;""),VLOOKUP($A42,Actions!$F$1:$AQ$70,31,0),0))</f>
        <v>0</v>
      </c>
      <c r="AE42" s="1354" t="str">
        <f ca="1">IF(OR(Actions!$Y36=AE$7,AND(Actions!$Y36&lt;=AE$7,Actions!$Z36&gt;=AE$7)),Actions!$AA36,"")</f>
        <v/>
      </c>
      <c r="AF42" s="1353">
        <f ca="1">IF(AE42&lt;&gt;"",VLOOKUP($A42,Actions!$F$1:$AQ$70,38,0)/(1+VLOOKUP($A42,Actions!$F$1:$AQ$70,21,0)-VLOOKUP($A42,Actions!$F$1:$AQ$70,20,0)),0)</f>
        <v>0</v>
      </c>
      <c r="AG42" s="1353">
        <f ca="1">IF(AE42&lt;&gt;"",IF(VLOOKUP($A42,Actions!$F$1:$AQ$70,34,0)="Commune",(VLOOKUP($A42,Actions!$F$1:$AQ$70,24,0)-VLOOKUP($A42,Actions!$F$1:$AQ$70,26,0))/(1+VLOOKUP($A42,Actions!$F$1:$AQ$70,21,0)-VLOOKUP($A42,Actions!$F$1:$AQ$70,20,0)),0),0)</f>
        <v>0</v>
      </c>
      <c r="AH42" s="1353">
        <f ca="1">IF(AA42="",AD42,IF(AND(AE42="",AA42&lt;&gt;""),VLOOKUP($A42,Actions!$F$1:$AQ$70,31,0),0))</f>
        <v>0</v>
      </c>
      <c r="AI42" s="1354" t="str">
        <f ca="1">IF(OR(Actions!$Y36=AI$7,AND(Actions!$Y36&lt;=AI$7,Actions!$Z36&gt;=AI$7)),Actions!$AA36,"")</f>
        <v/>
      </c>
      <c r="AJ42" s="1353">
        <f ca="1">IF(AI42&lt;&gt;"",VLOOKUP($A42,Actions!$F$1:$AQ$70,38,0)/(1+VLOOKUP($A42,Actions!$F$1:$AQ$70,21,0)-VLOOKUP($A42,Actions!$F$1:$AQ$70,20,0)),0)</f>
        <v>0</v>
      </c>
      <c r="AK42" s="1353">
        <f ca="1">IF(AI42&lt;&gt;"",IF(VLOOKUP($A42,Actions!$F$1:$AQ$70,34,0)="Commune",(VLOOKUP($A42,Actions!$F$1:$AQ$70,24,0)-VLOOKUP($A42,Actions!$F$1:$AQ$70,26,0))/(1+VLOOKUP($A42,Actions!$F$1:$AQ$70,21,0)-VLOOKUP($A42,Actions!$F$1:$AQ$70,20,0)),0),0)</f>
        <v>0</v>
      </c>
      <c r="AL42" s="1353">
        <f ca="1">IF(AE42="",AH42,IF(AND(AI42="",AE42&lt;&gt;""),VLOOKUP($A42,Actions!$F$1:$AQ$70,31,0),0))</f>
        <v>0</v>
      </c>
      <c r="AM42" s="1354" t="str">
        <f ca="1">IF(OR(Actions!$Y36=AM$7,AND(Actions!$Y36&lt;=AM$7,Actions!$Z36&gt;=AM$7)),Actions!$AA36,"")</f>
        <v/>
      </c>
      <c r="AN42" s="1353">
        <f ca="1">IF(AM42&lt;&gt;"",VLOOKUP($A42,Actions!$F$1:$AQ$70,38,0)/(1+VLOOKUP($A42,Actions!$F$1:$AQ$70,21,0)-VLOOKUP($A42,Actions!$F$1:$AQ$70,20,0)),0)</f>
        <v>0</v>
      </c>
      <c r="AO42" s="1353">
        <f ca="1">IF(AM42&lt;&gt;"",IF(VLOOKUP($A42,Actions!$F$1:$AQ$70,34,0)="Commune",(VLOOKUP($A42,Actions!$F$1:$AQ$70,24,0)-VLOOKUP($A42,Actions!$F$1:$AQ$70,26,0))/(1+VLOOKUP($A42,Actions!$F$1:$AQ$70,21,0)-VLOOKUP($A42,Actions!$F$1:$AQ$70,20,0)),0),0)</f>
        <v>0</v>
      </c>
      <c r="AP42" s="1353">
        <f ca="1">IF(AI42="",AL42,IF(AND(AM42="",AI42&lt;&gt;""),VLOOKUP($A42,Actions!$F$1:$AQ$70,31,0),0))</f>
        <v>0</v>
      </c>
      <c r="AQ42" s="1354" t="str">
        <f ca="1">IF(OR(Actions!$Y36=AQ$7,AND(Actions!$Y36&lt;=AQ$7,Actions!$Z36&gt;=AQ$7)),Actions!$AA36,"")</f>
        <v/>
      </c>
      <c r="AR42" s="1353">
        <f ca="1">IF(AQ42&lt;&gt;"",VLOOKUP($A42,Actions!$F$1:$AQ$70,38,0)/(1+VLOOKUP($A42,Actions!$F$1:$AQ$70,21,0)-VLOOKUP($A42,Actions!$F$1:$AQ$70,20,0)),0)</f>
        <v>0</v>
      </c>
      <c r="AS42" s="1353">
        <f ca="1">IF(AQ42&lt;&gt;"",IF(VLOOKUP($A42,Actions!$F$1:$AQ$70,34,0)="Commune",(VLOOKUP($A42,Actions!$F$1:$AQ$70,24,0)-VLOOKUP($A42,Actions!$F$1:$AQ$70,26,0))/(1+VLOOKUP($A42,Actions!$F$1:$AQ$70,21,0)-VLOOKUP($A42,Actions!$F$1:$AQ$70,20,0)),0),0)</f>
        <v>0</v>
      </c>
      <c r="AT42" s="1353">
        <f ca="1">IF(AM42="",AP42,IF(AND(AQ42="",AM42&lt;&gt;""),VLOOKUP($A42,Actions!$F$1:$AQ$70,31,0),0))</f>
        <v>0</v>
      </c>
      <c r="AU42" s="1354" t="str">
        <f ca="1">IF(OR(Actions!$Y36=AU$7,AND(Actions!$Y36&lt;=AU$7,Actions!$Z36&gt;=AU$7)),Actions!$AA36,"")</f>
        <v/>
      </c>
      <c r="AV42" s="1353">
        <f ca="1">IF(AU42&lt;&gt;"",VLOOKUP($A42,Actions!$F$1:$AQ$70,38,0)/(1+VLOOKUP($A42,Actions!$F$1:$AQ$70,21,0)-VLOOKUP($A42,Actions!$F$1:$AQ$70,20,0)),0)</f>
        <v>0</v>
      </c>
      <c r="AW42" s="1353">
        <f ca="1">IF(AU42&lt;&gt;"",IF(VLOOKUP($A42,Actions!$F$1:$AQ$70,34,0)="Commune",(VLOOKUP($A42,Actions!$F$1:$AQ$70,24,0)-VLOOKUP($A42,Actions!$F$1:$AQ$70,26,0))/(1+VLOOKUP($A42,Actions!$F$1:$AQ$70,21,0)-VLOOKUP($A42,Actions!$F$1:$AQ$70,20,0)),0),0)</f>
        <v>0</v>
      </c>
      <c r="AX42" s="1353">
        <f ca="1">IF(AQ42="",AT42,IF(AND(AU42="",AQ42&lt;&gt;""),VLOOKUP($A42,Actions!$F$1:$AQ$70,31,0),0))</f>
        <v>0</v>
      </c>
      <c r="AY42" s="1354" t="str">
        <f ca="1">IF(OR(Actions!$Y36=AY$7,AND(Actions!$Y36&lt;=AY$7,Actions!$Z36&gt;=AY$7)),Actions!$AA36,"")</f>
        <v/>
      </c>
      <c r="AZ42" s="1353">
        <f ca="1">IF(AY42&lt;&gt;"",VLOOKUP($A42,Actions!$F$1:$AQ$70,38,0)/(1+VLOOKUP($A42,Actions!$F$1:$AQ$70,21,0)-VLOOKUP($A42,Actions!$F$1:$AQ$70,20,0)),0)</f>
        <v>0</v>
      </c>
      <c r="BA42" s="1353">
        <f ca="1">IF(AY42&lt;&gt;"",IF(VLOOKUP($A42,Actions!$F$1:$AQ$70,34,0)="Commune",(VLOOKUP($A42,Actions!$F$1:$AQ$70,24,0)-VLOOKUP($A42,Actions!$F$1:$AQ$70,26,0))/(1+VLOOKUP($A42,Actions!$F$1:$AQ$70,21,0)-VLOOKUP($A42,Actions!$F$1:$AQ$70,20,0)),0),0)</f>
        <v>0</v>
      </c>
      <c r="BB42" s="1353">
        <f ca="1">IF(AU42="",AX42,IF(AND(AY42="",AU42&lt;&gt;""),VLOOKUP($A42,Actions!$F$1:$AQ$70,31,0),0))</f>
        <v>0</v>
      </c>
      <c r="BC42" s="1354" t="str">
        <f ca="1">IF(OR(Actions!$Y36=BC$7,AND(Actions!$Y36&lt;=BC$7,Actions!$Z36&gt;=BC$7)),Actions!$AA36,"")</f>
        <v/>
      </c>
      <c r="BD42" s="1353">
        <f ca="1">IF(BC42&lt;&gt;"",VLOOKUP($A42,Actions!$F$1:$AQ$70,38,0)/(1+VLOOKUP($A42,Actions!$F$1:$AQ$70,21,0)-VLOOKUP($A42,Actions!$F$1:$AQ$70,20,0)),0)</f>
        <v>0</v>
      </c>
      <c r="BE42" s="1353">
        <f ca="1">IF(BC42&lt;&gt;"",IF(VLOOKUP($A42,Actions!$F$1:$AQ$70,34,0)="Commune",(VLOOKUP($A42,Actions!$F$1:$AQ$70,24,0)-VLOOKUP($A42,Actions!$F$1:$AQ$70,26,0))/(1+VLOOKUP($A42,Actions!$F$1:$AQ$70,21,0)-VLOOKUP($A42,Actions!$F$1:$AQ$70,20,0)),0),0)</f>
        <v>0</v>
      </c>
      <c r="BF42" s="1353">
        <f ca="1">IF(AY42="",BB42,IF(AND(BC42="",AY42&lt;&gt;""),VLOOKUP($A42,Actions!$F$1:$AQ$70,31,0),0))</f>
        <v>0</v>
      </c>
      <c r="BG42" s="1355">
        <f t="shared" ca="1" si="0"/>
        <v>0</v>
      </c>
      <c r="BJ42" s="233"/>
      <c r="BK42" s="233"/>
      <c r="BL42" s="233"/>
      <c r="BM42" s="233"/>
      <c r="BN42" s="233"/>
      <c r="BO42" s="233"/>
    </row>
    <row r="43" spans="1:67">
      <c r="A43" s="1349">
        <f>Actions!F37</f>
        <v>36</v>
      </c>
      <c r="B43" s="1352">
        <f ca="1">Actions!G37</f>
        <v>0</v>
      </c>
      <c r="C43" s="1353" t="str">
        <f ca="1">IF(OR(AND(Actions!Y37&gt;0,Actions!Y37&lt;=$C$7,Actions!Z37&gt;=$C$7),AND(Actions!Y37&gt;0,Actions!Y37&lt;=$C$7,Actions!Z37&lt;Actions!Y37),AND(Actions!Y37=0,Actions!Z37&gt;=$C$7)),Actions!$AA37,"")</f>
        <v/>
      </c>
      <c r="D43" s="1353">
        <f ca="1">IF(C43&lt;&gt;"",VLOOKUP($A43,Actions!$F$1:$AQ$70,38,0)/(1+VLOOKUP($A43,Actions!$F$1:$AQ$70,21,0)-VLOOKUP($A43,Actions!$F$1:$AQ$70,20,0)),0)</f>
        <v>0</v>
      </c>
      <c r="E43" s="1353">
        <f ca="1">IF(C43&lt;&gt;"",IF(VLOOKUP($A43,Actions!$F$1:$AQ$70,34,0)="Commune",(VLOOKUP($A43,Actions!$F$1:$AQ$70,24,0)-VLOOKUP($A43,Actions!$F$1:$AQ$70,26,0))/(1+VLOOKUP($A43,Actions!$F$1:$AQ$70,21,0)-VLOOKUP($A43,Actions!$F$1:$AQ$70,20,0)),0),0)</f>
        <v>0</v>
      </c>
      <c r="F43" s="1353">
        <v>0</v>
      </c>
      <c r="G43" s="1354" t="str">
        <f ca="1">IF(OR(Actions!$Y37=G$7,AND(Actions!$Y37&lt;=G$7,Actions!$Z37&gt;=G$7)),Actions!$AA37,"")</f>
        <v/>
      </c>
      <c r="H43" s="1353">
        <f ca="1">IF(G43&lt;&gt;"",VLOOKUP($A43,Actions!$F$1:$AQ$70,38,0)/(1+VLOOKUP($A43,Actions!$F$1:$AQ$70,21,0)-VLOOKUP($A43,Actions!$F$1:$AQ$70,20,0)),0)</f>
        <v>0</v>
      </c>
      <c r="I43" s="1353">
        <f ca="1">IF(G43&lt;&gt;"",IF(VLOOKUP($A43,Actions!$F$1:$AQ$70,34,0)="Commune",(VLOOKUP($A43,Actions!$F$1:$AQ$70,24,0)-VLOOKUP($A43,Actions!$F$1:$AQ$70,26,0))/(1+VLOOKUP($A43,Actions!$F$1:$AQ$70,21,0)-VLOOKUP($A43,Actions!$F$1:$AQ$70,20,0)),0),0)</f>
        <v>0</v>
      </c>
      <c r="J43" s="1353">
        <f ca="1">IF(C43="",F43,IF(AND(G43="",C43&lt;&gt;""),VLOOKUP($A43,Actions!$F$1:$AQ$70,31,0),0))</f>
        <v>0</v>
      </c>
      <c r="K43" s="1354" t="str">
        <f ca="1">IF(OR(Actions!$Y37=K$7,AND(Actions!$Y37&lt;=K$7,Actions!$Z37&gt;=K$7)),Actions!$AA37,"")</f>
        <v/>
      </c>
      <c r="L43" s="1353">
        <f ca="1">IF(K43&lt;&gt;"",VLOOKUP($A43,Actions!$F$1:$AQ$70,38,0)/(1+VLOOKUP($A43,Actions!$F$1:$AQ$70,21,0)-VLOOKUP($A43,Actions!$F$1:$AQ$70,20,0)),0)</f>
        <v>0</v>
      </c>
      <c r="M43" s="1353">
        <f ca="1">IF(K43&lt;&gt;"",IF(VLOOKUP($A43,Actions!$F$1:$AQ$70,34,0)="Commune",(VLOOKUP($A43,Actions!$F$1:$AQ$70,24,0)-VLOOKUP($A43,Actions!$F$1:$AQ$70,26,0))/(1+VLOOKUP($A43,Actions!$F$1:$AQ$70,21,0)-VLOOKUP($A43,Actions!$F$1:$AQ$70,20,0)),0),0)</f>
        <v>0</v>
      </c>
      <c r="N43" s="1353">
        <f ca="1">IF(G43="",J43,IF(AND(K43="",G43&lt;&gt;""),VLOOKUP($A43,Actions!$F$1:$AQ$70,31,0),0))</f>
        <v>0</v>
      </c>
      <c r="O43" s="1354" t="str">
        <f ca="1">IF(OR(Actions!$Y37=O$7,AND(Actions!$Y37&lt;=O$7,Actions!$Z37&gt;=O$7)),Actions!$AA37,"")</f>
        <v/>
      </c>
      <c r="P43" s="1353">
        <f ca="1">IF(O43&lt;&gt;"",VLOOKUP($A43,Actions!$F$1:$AQ$70,38,0)/(1+VLOOKUP($A43,Actions!$F$1:$AQ$70,21,0)-VLOOKUP($A43,Actions!$F$1:$AQ$70,20,0)),0)</f>
        <v>0</v>
      </c>
      <c r="Q43" s="1353">
        <f ca="1">IF(O43&lt;&gt;"",IF(VLOOKUP($A43,Actions!$F$1:$AQ$70,34,0)="Commune",(VLOOKUP($A43,Actions!$F$1:$AQ$70,24,0)-VLOOKUP($A43,Actions!$F$1:$AQ$70,26,0))/(1+VLOOKUP($A43,Actions!$F$1:$AQ$70,21,0)-VLOOKUP($A43,Actions!$F$1:$AQ$70,20,0)),0),0)</f>
        <v>0</v>
      </c>
      <c r="R43" s="1353">
        <f ca="1">IF(K43="",N43,IF(AND(O43="",K43&lt;&gt;""),VLOOKUP($A43,Actions!$F$1:$AQ$70,31,0),0))</f>
        <v>0</v>
      </c>
      <c r="S43" s="1354" t="str">
        <f ca="1">IF(OR(Actions!$Y37=S$7,AND(Actions!$Y37&lt;=S$7,Actions!$Z37&gt;=S$7)),Actions!$AA37,"")</f>
        <v/>
      </c>
      <c r="T43" s="1353">
        <f ca="1">IF(S43&lt;&gt;"",VLOOKUP($A43,Actions!$F$1:$AQ$70,38,0)/(1+VLOOKUP($A43,Actions!$F$1:$AQ$70,21,0)-VLOOKUP($A43,Actions!$F$1:$AQ$70,20,0)),0)</f>
        <v>0</v>
      </c>
      <c r="U43" s="1353">
        <f ca="1">IF(S43&lt;&gt;"",IF(VLOOKUP($A43,Actions!$F$1:$AQ$70,34,0)="Commune",(VLOOKUP($A43,Actions!$F$1:$AQ$70,24,0)-VLOOKUP($A43,Actions!$F$1:$AQ$70,26,0))/(1+VLOOKUP($A43,Actions!$F$1:$AQ$70,21,0)-VLOOKUP($A43,Actions!$F$1:$AQ$70,20,0)),0),0)</f>
        <v>0</v>
      </c>
      <c r="V43" s="1353">
        <f ca="1">IF(O43="",R43,IF(AND(S43="",O43&lt;&gt;""),VLOOKUP($A43,Actions!$F$1:$AQ$70,31,0),0))</f>
        <v>0</v>
      </c>
      <c r="W43" s="1354" t="str">
        <f ca="1">IF(OR(Actions!$Y37=W$7,AND(Actions!$Y37&lt;=W$7,Actions!$Z37&gt;=W$7)),Actions!$AA37,"")</f>
        <v/>
      </c>
      <c r="X43" s="1353">
        <f ca="1">IF(W43&lt;&gt;"",VLOOKUP($A43,Actions!$F$1:$AQ$70,38,0)/(1+VLOOKUP($A43,Actions!$F$1:$AQ$70,21,0)-VLOOKUP($A43,Actions!$F$1:$AQ$70,20,0)),0)</f>
        <v>0</v>
      </c>
      <c r="Y43" s="1353">
        <f ca="1">IF(W43&lt;&gt;"",IF(VLOOKUP($A43,Actions!$F$1:$AQ$70,34,0)="Commune",(VLOOKUP($A43,Actions!$F$1:$AQ$70,24,0)-VLOOKUP($A43,Actions!$F$1:$AQ$70,26,0))/(1+VLOOKUP($A43,Actions!$F$1:$AQ$70,21,0)-VLOOKUP($A43,Actions!$F$1:$AQ$70,20,0)),0),0)</f>
        <v>0</v>
      </c>
      <c r="Z43" s="1353">
        <f ca="1">IF(S43="",V43,IF(AND(W43="",S43&lt;&gt;""),VLOOKUP($A43,Actions!$F$1:$AQ$70,31,0),0))</f>
        <v>0</v>
      </c>
      <c r="AA43" s="1354" t="str">
        <f ca="1">IF(OR(Actions!$Y37=AA$7,AND(Actions!$Y37&lt;=AA$7,Actions!$Z37&gt;=AA$7)),Actions!$AA37,"")</f>
        <v/>
      </c>
      <c r="AB43" s="1353">
        <f ca="1">IF(AA43&lt;&gt;"",VLOOKUP($A43,Actions!$F$1:$AQ$70,38,0)/(1+VLOOKUP($A43,Actions!$F$1:$AQ$70,21,0)-VLOOKUP($A43,Actions!$F$1:$AQ$70,20,0)),0)</f>
        <v>0</v>
      </c>
      <c r="AC43" s="1353">
        <f ca="1">IF(AA43&lt;&gt;"",IF(VLOOKUP($A43,Actions!$F$1:$AQ$70,34,0)="Commune",(VLOOKUP($A43,Actions!$F$1:$AQ$70,24,0)-VLOOKUP($A43,Actions!$F$1:$AQ$70,26,0))/(1+VLOOKUP($A43,Actions!$F$1:$AQ$70,21,0)-VLOOKUP($A43,Actions!$F$1:$AQ$70,20,0)),0),0)</f>
        <v>0</v>
      </c>
      <c r="AD43" s="1353">
        <f ca="1">IF(W43="",Z43,IF(AND(AA43="",W43&lt;&gt;""),VLOOKUP($A43,Actions!$F$1:$AQ$70,31,0),0))</f>
        <v>0</v>
      </c>
      <c r="AE43" s="1354" t="str">
        <f ca="1">IF(OR(Actions!$Y37=AE$7,AND(Actions!$Y37&lt;=AE$7,Actions!$Z37&gt;=AE$7)),Actions!$AA37,"")</f>
        <v/>
      </c>
      <c r="AF43" s="1353">
        <f ca="1">IF(AE43&lt;&gt;"",VLOOKUP($A43,Actions!$F$1:$AQ$70,38,0)/(1+VLOOKUP($A43,Actions!$F$1:$AQ$70,21,0)-VLOOKUP($A43,Actions!$F$1:$AQ$70,20,0)),0)</f>
        <v>0</v>
      </c>
      <c r="AG43" s="1353">
        <f ca="1">IF(AE43&lt;&gt;"",IF(VLOOKUP($A43,Actions!$F$1:$AQ$70,34,0)="Commune",(VLOOKUP($A43,Actions!$F$1:$AQ$70,24,0)-VLOOKUP($A43,Actions!$F$1:$AQ$70,26,0))/(1+VLOOKUP($A43,Actions!$F$1:$AQ$70,21,0)-VLOOKUP($A43,Actions!$F$1:$AQ$70,20,0)),0),0)</f>
        <v>0</v>
      </c>
      <c r="AH43" s="1353">
        <f ca="1">IF(AA43="",AD43,IF(AND(AE43="",AA43&lt;&gt;""),VLOOKUP($A43,Actions!$F$1:$AQ$70,31,0),0))</f>
        <v>0</v>
      </c>
      <c r="AI43" s="1354" t="str">
        <f ca="1">IF(OR(Actions!$Y37=AI$7,AND(Actions!$Y37&lt;=AI$7,Actions!$Z37&gt;=AI$7)),Actions!$AA37,"")</f>
        <v/>
      </c>
      <c r="AJ43" s="1353">
        <f ca="1">IF(AI43&lt;&gt;"",VLOOKUP($A43,Actions!$F$1:$AQ$70,38,0)/(1+VLOOKUP($A43,Actions!$F$1:$AQ$70,21,0)-VLOOKUP($A43,Actions!$F$1:$AQ$70,20,0)),0)</f>
        <v>0</v>
      </c>
      <c r="AK43" s="1353">
        <f ca="1">IF(AI43&lt;&gt;"",IF(VLOOKUP($A43,Actions!$F$1:$AQ$70,34,0)="Commune",(VLOOKUP($A43,Actions!$F$1:$AQ$70,24,0)-VLOOKUP($A43,Actions!$F$1:$AQ$70,26,0))/(1+VLOOKUP($A43,Actions!$F$1:$AQ$70,21,0)-VLOOKUP($A43,Actions!$F$1:$AQ$70,20,0)),0),0)</f>
        <v>0</v>
      </c>
      <c r="AL43" s="1353">
        <f ca="1">IF(AE43="",AH43,IF(AND(AI43="",AE43&lt;&gt;""),VLOOKUP($A43,Actions!$F$1:$AQ$70,31,0),0))</f>
        <v>0</v>
      </c>
      <c r="AM43" s="1354" t="str">
        <f ca="1">IF(OR(Actions!$Y37=AM$7,AND(Actions!$Y37&lt;=AM$7,Actions!$Z37&gt;=AM$7)),Actions!$AA37,"")</f>
        <v/>
      </c>
      <c r="AN43" s="1353">
        <f ca="1">IF(AM43&lt;&gt;"",VLOOKUP($A43,Actions!$F$1:$AQ$70,38,0)/(1+VLOOKUP($A43,Actions!$F$1:$AQ$70,21,0)-VLOOKUP($A43,Actions!$F$1:$AQ$70,20,0)),0)</f>
        <v>0</v>
      </c>
      <c r="AO43" s="1353">
        <f ca="1">IF(AM43&lt;&gt;"",IF(VLOOKUP($A43,Actions!$F$1:$AQ$70,34,0)="Commune",(VLOOKUP($A43,Actions!$F$1:$AQ$70,24,0)-VLOOKUP($A43,Actions!$F$1:$AQ$70,26,0))/(1+VLOOKUP($A43,Actions!$F$1:$AQ$70,21,0)-VLOOKUP($A43,Actions!$F$1:$AQ$70,20,0)),0),0)</f>
        <v>0</v>
      </c>
      <c r="AP43" s="1353">
        <f ca="1">IF(AI43="",AL43,IF(AND(AM43="",AI43&lt;&gt;""),VLOOKUP($A43,Actions!$F$1:$AQ$70,31,0),0))</f>
        <v>0</v>
      </c>
      <c r="AQ43" s="1354" t="str">
        <f ca="1">IF(OR(Actions!$Y37=AQ$7,AND(Actions!$Y37&lt;=AQ$7,Actions!$Z37&gt;=AQ$7)),Actions!$AA37,"")</f>
        <v/>
      </c>
      <c r="AR43" s="1353">
        <f ca="1">IF(AQ43&lt;&gt;"",VLOOKUP($A43,Actions!$F$1:$AQ$70,38,0)/(1+VLOOKUP($A43,Actions!$F$1:$AQ$70,21,0)-VLOOKUP($A43,Actions!$F$1:$AQ$70,20,0)),0)</f>
        <v>0</v>
      </c>
      <c r="AS43" s="1353">
        <f ca="1">IF(AQ43&lt;&gt;"",IF(VLOOKUP($A43,Actions!$F$1:$AQ$70,34,0)="Commune",(VLOOKUP($A43,Actions!$F$1:$AQ$70,24,0)-VLOOKUP($A43,Actions!$F$1:$AQ$70,26,0))/(1+VLOOKUP($A43,Actions!$F$1:$AQ$70,21,0)-VLOOKUP($A43,Actions!$F$1:$AQ$70,20,0)),0),0)</f>
        <v>0</v>
      </c>
      <c r="AT43" s="1353">
        <f ca="1">IF(AM43="",AP43,IF(AND(AQ43="",AM43&lt;&gt;""),VLOOKUP($A43,Actions!$F$1:$AQ$70,31,0),0))</f>
        <v>0</v>
      </c>
      <c r="AU43" s="1354" t="str">
        <f ca="1">IF(OR(Actions!$Y37=AU$7,AND(Actions!$Y37&lt;=AU$7,Actions!$Z37&gt;=AU$7)),Actions!$AA37,"")</f>
        <v/>
      </c>
      <c r="AV43" s="1353">
        <f ca="1">IF(AU43&lt;&gt;"",VLOOKUP($A43,Actions!$F$1:$AQ$70,38,0)/(1+VLOOKUP($A43,Actions!$F$1:$AQ$70,21,0)-VLOOKUP($A43,Actions!$F$1:$AQ$70,20,0)),0)</f>
        <v>0</v>
      </c>
      <c r="AW43" s="1353">
        <f ca="1">IF(AU43&lt;&gt;"",IF(VLOOKUP($A43,Actions!$F$1:$AQ$70,34,0)="Commune",(VLOOKUP($A43,Actions!$F$1:$AQ$70,24,0)-VLOOKUP($A43,Actions!$F$1:$AQ$70,26,0))/(1+VLOOKUP($A43,Actions!$F$1:$AQ$70,21,0)-VLOOKUP($A43,Actions!$F$1:$AQ$70,20,0)),0),0)</f>
        <v>0</v>
      </c>
      <c r="AX43" s="1353">
        <f ca="1">IF(AQ43="",AT43,IF(AND(AU43="",AQ43&lt;&gt;""),VLOOKUP($A43,Actions!$F$1:$AQ$70,31,0),0))</f>
        <v>0</v>
      </c>
      <c r="AY43" s="1354" t="str">
        <f ca="1">IF(OR(Actions!$Y37=AY$7,AND(Actions!$Y37&lt;=AY$7,Actions!$Z37&gt;=AY$7)),Actions!$AA37,"")</f>
        <v/>
      </c>
      <c r="AZ43" s="1353">
        <f ca="1">IF(AY43&lt;&gt;"",VLOOKUP($A43,Actions!$F$1:$AQ$70,38,0)/(1+VLOOKUP($A43,Actions!$F$1:$AQ$70,21,0)-VLOOKUP($A43,Actions!$F$1:$AQ$70,20,0)),0)</f>
        <v>0</v>
      </c>
      <c r="BA43" s="1353">
        <f ca="1">IF(AY43&lt;&gt;"",IF(VLOOKUP($A43,Actions!$F$1:$AQ$70,34,0)="Commune",(VLOOKUP($A43,Actions!$F$1:$AQ$70,24,0)-VLOOKUP($A43,Actions!$F$1:$AQ$70,26,0))/(1+VLOOKUP($A43,Actions!$F$1:$AQ$70,21,0)-VLOOKUP($A43,Actions!$F$1:$AQ$70,20,0)),0),0)</f>
        <v>0</v>
      </c>
      <c r="BB43" s="1353">
        <f ca="1">IF(AU43="",AX43,IF(AND(AY43="",AU43&lt;&gt;""),VLOOKUP($A43,Actions!$F$1:$AQ$70,31,0),0))</f>
        <v>0</v>
      </c>
      <c r="BC43" s="1354" t="str">
        <f ca="1">IF(OR(Actions!$Y37=BC$7,AND(Actions!$Y37&lt;=BC$7,Actions!$Z37&gt;=BC$7)),Actions!$AA37,"")</f>
        <v/>
      </c>
      <c r="BD43" s="1353">
        <f ca="1">IF(BC43&lt;&gt;"",VLOOKUP($A43,Actions!$F$1:$AQ$70,38,0)/(1+VLOOKUP($A43,Actions!$F$1:$AQ$70,21,0)-VLOOKUP($A43,Actions!$F$1:$AQ$70,20,0)),0)</f>
        <v>0</v>
      </c>
      <c r="BE43" s="1353">
        <f ca="1">IF(BC43&lt;&gt;"",IF(VLOOKUP($A43,Actions!$F$1:$AQ$70,34,0)="Commune",(VLOOKUP($A43,Actions!$F$1:$AQ$70,24,0)-VLOOKUP($A43,Actions!$F$1:$AQ$70,26,0))/(1+VLOOKUP($A43,Actions!$F$1:$AQ$70,21,0)-VLOOKUP($A43,Actions!$F$1:$AQ$70,20,0)),0),0)</f>
        <v>0</v>
      </c>
      <c r="BF43" s="1353">
        <f ca="1">IF(AY43="",BB43,IF(AND(BC43="",AY43&lt;&gt;""),VLOOKUP($A43,Actions!$F$1:$AQ$70,31,0),0))</f>
        <v>0</v>
      </c>
      <c r="BG43" s="1355">
        <f t="shared" ca="1" si="0"/>
        <v>0</v>
      </c>
      <c r="BJ43" s="233"/>
      <c r="BK43" s="233"/>
      <c r="BL43" s="233"/>
      <c r="BM43" s="233"/>
      <c r="BN43" s="233"/>
      <c r="BO43" s="233"/>
    </row>
    <row r="44" spans="1:67">
      <c r="A44" s="1349">
        <f>Actions!F38</f>
        <v>37</v>
      </c>
      <c r="B44" s="1352">
        <f ca="1">Actions!G38</f>
        <v>0</v>
      </c>
      <c r="C44" s="1353" t="str">
        <f ca="1">IF(OR(AND(Actions!Y38&gt;0,Actions!Y38&lt;=$C$7,Actions!Z38&gt;=$C$7),AND(Actions!Y38&gt;0,Actions!Y38&lt;=$C$7,Actions!Z38&lt;Actions!Y38),AND(Actions!Y38=0,Actions!Z38&gt;=$C$7)),Actions!$AA38,"")</f>
        <v/>
      </c>
      <c r="D44" s="1353">
        <f ca="1">IF(C44&lt;&gt;"",VLOOKUP($A44,Actions!$F$1:$AQ$70,38,0)/(1+VLOOKUP($A44,Actions!$F$1:$AQ$70,21,0)-VLOOKUP($A44,Actions!$F$1:$AQ$70,20,0)),0)</f>
        <v>0</v>
      </c>
      <c r="E44" s="1353">
        <f ca="1">IF(C44&lt;&gt;"",IF(VLOOKUP($A44,Actions!$F$1:$AQ$70,34,0)="Commune",(VLOOKUP($A44,Actions!$F$1:$AQ$70,24,0)-VLOOKUP($A44,Actions!$F$1:$AQ$70,26,0))/(1+VLOOKUP($A44,Actions!$F$1:$AQ$70,21,0)-VLOOKUP($A44,Actions!$F$1:$AQ$70,20,0)),0),0)</f>
        <v>0</v>
      </c>
      <c r="F44" s="1353">
        <v>0</v>
      </c>
      <c r="G44" s="1354" t="str">
        <f ca="1">IF(OR(Actions!$Y38=G$7,AND(Actions!$Y38&lt;=G$7,Actions!$Z38&gt;=G$7)),Actions!$AA38,"")</f>
        <v/>
      </c>
      <c r="H44" s="1353">
        <f ca="1">IF(G44&lt;&gt;"",VLOOKUP($A44,Actions!$F$1:$AQ$70,38,0)/(1+VLOOKUP($A44,Actions!$F$1:$AQ$70,21,0)-VLOOKUP($A44,Actions!$F$1:$AQ$70,20,0)),0)</f>
        <v>0</v>
      </c>
      <c r="I44" s="1353">
        <f ca="1">IF(G44&lt;&gt;"",IF(VLOOKUP($A44,Actions!$F$1:$AQ$70,34,0)="Commune",(VLOOKUP($A44,Actions!$F$1:$AQ$70,24,0)-VLOOKUP($A44,Actions!$F$1:$AQ$70,26,0))/(1+VLOOKUP($A44,Actions!$F$1:$AQ$70,21,0)-VLOOKUP($A44,Actions!$F$1:$AQ$70,20,0)),0),0)</f>
        <v>0</v>
      </c>
      <c r="J44" s="1353">
        <f ca="1">IF(C44="",F44,IF(AND(G44="",C44&lt;&gt;""),VLOOKUP($A44,Actions!$F$1:$AQ$70,31,0),0))</f>
        <v>0</v>
      </c>
      <c r="K44" s="1354" t="str">
        <f ca="1">IF(OR(Actions!$Y38=K$7,AND(Actions!$Y38&lt;=K$7,Actions!$Z38&gt;=K$7)),Actions!$AA38,"")</f>
        <v/>
      </c>
      <c r="L44" s="1353">
        <f ca="1">IF(K44&lt;&gt;"",VLOOKUP($A44,Actions!$F$1:$AQ$70,38,0)/(1+VLOOKUP($A44,Actions!$F$1:$AQ$70,21,0)-VLOOKUP($A44,Actions!$F$1:$AQ$70,20,0)),0)</f>
        <v>0</v>
      </c>
      <c r="M44" s="1353">
        <f ca="1">IF(K44&lt;&gt;"",IF(VLOOKUP($A44,Actions!$F$1:$AQ$70,34,0)="Commune",(VLOOKUP($A44,Actions!$F$1:$AQ$70,24,0)-VLOOKUP($A44,Actions!$F$1:$AQ$70,26,0))/(1+VLOOKUP($A44,Actions!$F$1:$AQ$70,21,0)-VLOOKUP($A44,Actions!$F$1:$AQ$70,20,0)),0),0)</f>
        <v>0</v>
      </c>
      <c r="N44" s="1353">
        <f ca="1">IF(G44="",J44,IF(AND(K44="",G44&lt;&gt;""),VLOOKUP($A44,Actions!$F$1:$AQ$70,31,0),0))</f>
        <v>0</v>
      </c>
      <c r="O44" s="1354" t="str">
        <f ca="1">IF(OR(Actions!$Y38=O$7,AND(Actions!$Y38&lt;=O$7,Actions!$Z38&gt;=O$7)),Actions!$AA38,"")</f>
        <v/>
      </c>
      <c r="P44" s="1353">
        <f ca="1">IF(O44&lt;&gt;"",VLOOKUP($A44,Actions!$F$1:$AQ$70,38,0)/(1+VLOOKUP($A44,Actions!$F$1:$AQ$70,21,0)-VLOOKUP($A44,Actions!$F$1:$AQ$70,20,0)),0)</f>
        <v>0</v>
      </c>
      <c r="Q44" s="1353">
        <f ca="1">IF(O44&lt;&gt;"",IF(VLOOKUP($A44,Actions!$F$1:$AQ$70,34,0)="Commune",(VLOOKUP($A44,Actions!$F$1:$AQ$70,24,0)-VLOOKUP($A44,Actions!$F$1:$AQ$70,26,0))/(1+VLOOKUP($A44,Actions!$F$1:$AQ$70,21,0)-VLOOKUP($A44,Actions!$F$1:$AQ$70,20,0)),0),0)</f>
        <v>0</v>
      </c>
      <c r="R44" s="1353">
        <f ca="1">IF(K44="",N44,IF(AND(O44="",K44&lt;&gt;""),VLOOKUP($A44,Actions!$F$1:$AQ$70,31,0),0))</f>
        <v>0</v>
      </c>
      <c r="S44" s="1354" t="str">
        <f ca="1">IF(OR(Actions!$Y38=S$7,AND(Actions!$Y38&lt;=S$7,Actions!$Z38&gt;=S$7)),Actions!$AA38,"")</f>
        <v/>
      </c>
      <c r="T44" s="1353">
        <f ca="1">IF(S44&lt;&gt;"",VLOOKUP($A44,Actions!$F$1:$AQ$70,38,0)/(1+VLOOKUP($A44,Actions!$F$1:$AQ$70,21,0)-VLOOKUP($A44,Actions!$F$1:$AQ$70,20,0)),0)</f>
        <v>0</v>
      </c>
      <c r="U44" s="1353">
        <f ca="1">IF(S44&lt;&gt;"",IF(VLOOKUP($A44,Actions!$F$1:$AQ$70,34,0)="Commune",(VLOOKUP($A44,Actions!$F$1:$AQ$70,24,0)-VLOOKUP($A44,Actions!$F$1:$AQ$70,26,0))/(1+VLOOKUP($A44,Actions!$F$1:$AQ$70,21,0)-VLOOKUP($A44,Actions!$F$1:$AQ$70,20,0)),0),0)</f>
        <v>0</v>
      </c>
      <c r="V44" s="1353">
        <f ca="1">IF(O44="",R44,IF(AND(S44="",O44&lt;&gt;""),VLOOKUP($A44,Actions!$F$1:$AQ$70,31,0),0))</f>
        <v>0</v>
      </c>
      <c r="W44" s="1354" t="str">
        <f ca="1">IF(OR(Actions!$Y38=W$7,AND(Actions!$Y38&lt;=W$7,Actions!$Z38&gt;=W$7)),Actions!$AA38,"")</f>
        <v/>
      </c>
      <c r="X44" s="1353">
        <f ca="1">IF(W44&lt;&gt;"",VLOOKUP($A44,Actions!$F$1:$AQ$70,38,0)/(1+VLOOKUP($A44,Actions!$F$1:$AQ$70,21,0)-VLOOKUP($A44,Actions!$F$1:$AQ$70,20,0)),0)</f>
        <v>0</v>
      </c>
      <c r="Y44" s="1353">
        <f ca="1">IF(W44&lt;&gt;"",IF(VLOOKUP($A44,Actions!$F$1:$AQ$70,34,0)="Commune",(VLOOKUP($A44,Actions!$F$1:$AQ$70,24,0)-VLOOKUP($A44,Actions!$F$1:$AQ$70,26,0))/(1+VLOOKUP($A44,Actions!$F$1:$AQ$70,21,0)-VLOOKUP($A44,Actions!$F$1:$AQ$70,20,0)),0),0)</f>
        <v>0</v>
      </c>
      <c r="Z44" s="1353">
        <f ca="1">IF(S44="",V44,IF(AND(W44="",S44&lt;&gt;""),VLOOKUP($A44,Actions!$F$1:$AQ$70,31,0),0))</f>
        <v>0</v>
      </c>
      <c r="AA44" s="1354" t="str">
        <f ca="1">IF(OR(Actions!$Y38=AA$7,AND(Actions!$Y38&lt;=AA$7,Actions!$Z38&gt;=AA$7)),Actions!$AA38,"")</f>
        <v/>
      </c>
      <c r="AB44" s="1353">
        <f ca="1">IF(AA44&lt;&gt;"",VLOOKUP($A44,Actions!$F$1:$AQ$70,38,0)/(1+VLOOKUP($A44,Actions!$F$1:$AQ$70,21,0)-VLOOKUP($A44,Actions!$F$1:$AQ$70,20,0)),0)</f>
        <v>0</v>
      </c>
      <c r="AC44" s="1353">
        <f ca="1">IF(AA44&lt;&gt;"",IF(VLOOKUP($A44,Actions!$F$1:$AQ$70,34,0)="Commune",(VLOOKUP($A44,Actions!$F$1:$AQ$70,24,0)-VLOOKUP($A44,Actions!$F$1:$AQ$70,26,0))/(1+VLOOKUP($A44,Actions!$F$1:$AQ$70,21,0)-VLOOKUP($A44,Actions!$F$1:$AQ$70,20,0)),0),0)</f>
        <v>0</v>
      </c>
      <c r="AD44" s="1353">
        <f ca="1">IF(W44="",Z44,IF(AND(AA44="",W44&lt;&gt;""),VLOOKUP($A44,Actions!$F$1:$AQ$70,31,0),0))</f>
        <v>0</v>
      </c>
      <c r="AE44" s="1354" t="str">
        <f ca="1">IF(OR(Actions!$Y38=AE$7,AND(Actions!$Y38&lt;=AE$7,Actions!$Z38&gt;=AE$7)),Actions!$AA38,"")</f>
        <v/>
      </c>
      <c r="AF44" s="1353">
        <f ca="1">IF(AE44&lt;&gt;"",VLOOKUP($A44,Actions!$F$1:$AQ$70,38,0)/(1+VLOOKUP($A44,Actions!$F$1:$AQ$70,21,0)-VLOOKUP($A44,Actions!$F$1:$AQ$70,20,0)),0)</f>
        <v>0</v>
      </c>
      <c r="AG44" s="1353">
        <f ca="1">IF(AE44&lt;&gt;"",IF(VLOOKUP($A44,Actions!$F$1:$AQ$70,34,0)="Commune",(VLOOKUP($A44,Actions!$F$1:$AQ$70,24,0)-VLOOKUP($A44,Actions!$F$1:$AQ$70,26,0))/(1+VLOOKUP($A44,Actions!$F$1:$AQ$70,21,0)-VLOOKUP($A44,Actions!$F$1:$AQ$70,20,0)),0),0)</f>
        <v>0</v>
      </c>
      <c r="AH44" s="1353">
        <f ca="1">IF(AA44="",AD44,IF(AND(AE44="",AA44&lt;&gt;""),VLOOKUP($A44,Actions!$F$1:$AQ$70,31,0),0))</f>
        <v>0</v>
      </c>
      <c r="AI44" s="1354" t="str">
        <f ca="1">IF(OR(Actions!$Y38=AI$7,AND(Actions!$Y38&lt;=AI$7,Actions!$Z38&gt;=AI$7)),Actions!$AA38,"")</f>
        <v/>
      </c>
      <c r="AJ44" s="1353">
        <f ca="1">IF(AI44&lt;&gt;"",VLOOKUP($A44,Actions!$F$1:$AQ$70,38,0)/(1+VLOOKUP($A44,Actions!$F$1:$AQ$70,21,0)-VLOOKUP($A44,Actions!$F$1:$AQ$70,20,0)),0)</f>
        <v>0</v>
      </c>
      <c r="AK44" s="1353">
        <f ca="1">IF(AI44&lt;&gt;"",IF(VLOOKUP($A44,Actions!$F$1:$AQ$70,34,0)="Commune",(VLOOKUP($A44,Actions!$F$1:$AQ$70,24,0)-VLOOKUP($A44,Actions!$F$1:$AQ$70,26,0))/(1+VLOOKUP($A44,Actions!$F$1:$AQ$70,21,0)-VLOOKUP($A44,Actions!$F$1:$AQ$70,20,0)),0),0)</f>
        <v>0</v>
      </c>
      <c r="AL44" s="1353">
        <f ca="1">IF(AE44="",AH44,IF(AND(AI44="",AE44&lt;&gt;""),VLOOKUP($A44,Actions!$F$1:$AQ$70,31,0),0))</f>
        <v>0</v>
      </c>
      <c r="AM44" s="1354" t="str">
        <f ca="1">IF(OR(Actions!$Y38=AM$7,AND(Actions!$Y38&lt;=AM$7,Actions!$Z38&gt;=AM$7)),Actions!$AA38,"")</f>
        <v/>
      </c>
      <c r="AN44" s="1353">
        <f ca="1">IF(AM44&lt;&gt;"",VLOOKUP($A44,Actions!$F$1:$AQ$70,38,0)/(1+VLOOKUP($A44,Actions!$F$1:$AQ$70,21,0)-VLOOKUP($A44,Actions!$F$1:$AQ$70,20,0)),0)</f>
        <v>0</v>
      </c>
      <c r="AO44" s="1353">
        <f ca="1">IF(AM44&lt;&gt;"",IF(VLOOKUP($A44,Actions!$F$1:$AQ$70,34,0)="Commune",(VLOOKUP($A44,Actions!$F$1:$AQ$70,24,0)-VLOOKUP($A44,Actions!$F$1:$AQ$70,26,0))/(1+VLOOKUP($A44,Actions!$F$1:$AQ$70,21,0)-VLOOKUP($A44,Actions!$F$1:$AQ$70,20,0)),0),0)</f>
        <v>0</v>
      </c>
      <c r="AP44" s="1353">
        <f ca="1">IF(AI44="",AL44,IF(AND(AM44="",AI44&lt;&gt;""),VLOOKUP($A44,Actions!$F$1:$AQ$70,31,0),0))</f>
        <v>0</v>
      </c>
      <c r="AQ44" s="1354" t="str">
        <f ca="1">IF(OR(Actions!$Y38=AQ$7,AND(Actions!$Y38&lt;=AQ$7,Actions!$Z38&gt;=AQ$7)),Actions!$AA38,"")</f>
        <v/>
      </c>
      <c r="AR44" s="1353">
        <f ca="1">IF(AQ44&lt;&gt;"",VLOOKUP($A44,Actions!$F$1:$AQ$70,38,0)/(1+VLOOKUP($A44,Actions!$F$1:$AQ$70,21,0)-VLOOKUP($A44,Actions!$F$1:$AQ$70,20,0)),0)</f>
        <v>0</v>
      </c>
      <c r="AS44" s="1353">
        <f ca="1">IF(AQ44&lt;&gt;"",IF(VLOOKUP($A44,Actions!$F$1:$AQ$70,34,0)="Commune",(VLOOKUP($A44,Actions!$F$1:$AQ$70,24,0)-VLOOKUP($A44,Actions!$F$1:$AQ$70,26,0))/(1+VLOOKUP($A44,Actions!$F$1:$AQ$70,21,0)-VLOOKUP($A44,Actions!$F$1:$AQ$70,20,0)),0),0)</f>
        <v>0</v>
      </c>
      <c r="AT44" s="1353">
        <f ca="1">IF(AM44="",AP44,IF(AND(AQ44="",AM44&lt;&gt;""),VLOOKUP($A44,Actions!$F$1:$AQ$70,31,0),0))</f>
        <v>0</v>
      </c>
      <c r="AU44" s="1354" t="str">
        <f ca="1">IF(OR(Actions!$Y38=AU$7,AND(Actions!$Y38&lt;=AU$7,Actions!$Z38&gt;=AU$7)),Actions!$AA38,"")</f>
        <v/>
      </c>
      <c r="AV44" s="1353">
        <f ca="1">IF(AU44&lt;&gt;"",VLOOKUP($A44,Actions!$F$1:$AQ$70,38,0)/(1+VLOOKUP($A44,Actions!$F$1:$AQ$70,21,0)-VLOOKUP($A44,Actions!$F$1:$AQ$70,20,0)),0)</f>
        <v>0</v>
      </c>
      <c r="AW44" s="1353">
        <f ca="1">IF(AU44&lt;&gt;"",IF(VLOOKUP($A44,Actions!$F$1:$AQ$70,34,0)="Commune",(VLOOKUP($A44,Actions!$F$1:$AQ$70,24,0)-VLOOKUP($A44,Actions!$F$1:$AQ$70,26,0))/(1+VLOOKUP($A44,Actions!$F$1:$AQ$70,21,0)-VLOOKUP($A44,Actions!$F$1:$AQ$70,20,0)),0),0)</f>
        <v>0</v>
      </c>
      <c r="AX44" s="1353">
        <f ca="1">IF(AQ44="",AT44,IF(AND(AU44="",AQ44&lt;&gt;""),VLOOKUP($A44,Actions!$F$1:$AQ$70,31,0),0))</f>
        <v>0</v>
      </c>
      <c r="AY44" s="1354" t="str">
        <f ca="1">IF(OR(Actions!$Y38=AY$7,AND(Actions!$Y38&lt;=AY$7,Actions!$Z38&gt;=AY$7)),Actions!$AA38,"")</f>
        <v/>
      </c>
      <c r="AZ44" s="1353">
        <f ca="1">IF(AY44&lt;&gt;"",VLOOKUP($A44,Actions!$F$1:$AQ$70,38,0)/(1+VLOOKUP($A44,Actions!$F$1:$AQ$70,21,0)-VLOOKUP($A44,Actions!$F$1:$AQ$70,20,0)),0)</f>
        <v>0</v>
      </c>
      <c r="BA44" s="1353">
        <f ca="1">IF(AY44&lt;&gt;"",IF(VLOOKUP($A44,Actions!$F$1:$AQ$70,34,0)="Commune",(VLOOKUP($A44,Actions!$F$1:$AQ$70,24,0)-VLOOKUP($A44,Actions!$F$1:$AQ$70,26,0))/(1+VLOOKUP($A44,Actions!$F$1:$AQ$70,21,0)-VLOOKUP($A44,Actions!$F$1:$AQ$70,20,0)),0),0)</f>
        <v>0</v>
      </c>
      <c r="BB44" s="1353">
        <f ca="1">IF(AU44="",AX44,IF(AND(AY44="",AU44&lt;&gt;""),VLOOKUP($A44,Actions!$F$1:$AQ$70,31,0),0))</f>
        <v>0</v>
      </c>
      <c r="BC44" s="1354" t="str">
        <f ca="1">IF(OR(Actions!$Y38=BC$7,AND(Actions!$Y38&lt;=BC$7,Actions!$Z38&gt;=BC$7)),Actions!$AA38,"")</f>
        <v/>
      </c>
      <c r="BD44" s="1353">
        <f ca="1">IF(BC44&lt;&gt;"",VLOOKUP($A44,Actions!$F$1:$AQ$70,38,0)/(1+VLOOKUP($A44,Actions!$F$1:$AQ$70,21,0)-VLOOKUP($A44,Actions!$F$1:$AQ$70,20,0)),0)</f>
        <v>0</v>
      </c>
      <c r="BE44" s="1353">
        <f ca="1">IF(BC44&lt;&gt;"",IF(VLOOKUP($A44,Actions!$F$1:$AQ$70,34,0)="Commune",(VLOOKUP($A44,Actions!$F$1:$AQ$70,24,0)-VLOOKUP($A44,Actions!$F$1:$AQ$70,26,0))/(1+VLOOKUP($A44,Actions!$F$1:$AQ$70,21,0)-VLOOKUP($A44,Actions!$F$1:$AQ$70,20,0)),0),0)</f>
        <v>0</v>
      </c>
      <c r="BF44" s="1353">
        <f ca="1">IF(AY44="",BB44,IF(AND(BC44="",AY44&lt;&gt;""),VLOOKUP($A44,Actions!$F$1:$AQ$70,31,0),0))</f>
        <v>0</v>
      </c>
      <c r="BG44" s="1355">
        <f t="shared" ca="1" si="0"/>
        <v>0</v>
      </c>
      <c r="BJ44" s="233"/>
      <c r="BK44" s="233"/>
      <c r="BL44" s="233"/>
      <c r="BM44" s="233"/>
      <c r="BN44" s="233"/>
      <c r="BO44" s="233"/>
    </row>
    <row r="45" spans="1:67">
      <c r="A45" s="1349">
        <f>Actions!F39</f>
        <v>38</v>
      </c>
      <c r="B45" s="1352">
        <f ca="1">Actions!G39</f>
        <v>0</v>
      </c>
      <c r="C45" s="1353" t="str">
        <f ca="1">IF(OR(AND(Actions!Y39&gt;0,Actions!Y39&lt;=$C$7,Actions!Z39&gt;=$C$7),AND(Actions!Y39&gt;0,Actions!Y39&lt;=$C$7,Actions!Z39&lt;Actions!Y39),AND(Actions!Y39=0,Actions!Z39&gt;=$C$7)),Actions!$AA39,"")</f>
        <v/>
      </c>
      <c r="D45" s="1353">
        <f ca="1">IF(C45&lt;&gt;"",VLOOKUP($A45,Actions!$F$1:$AQ$70,38,0)/(1+VLOOKUP($A45,Actions!$F$1:$AQ$70,21,0)-VLOOKUP($A45,Actions!$F$1:$AQ$70,20,0)),0)</f>
        <v>0</v>
      </c>
      <c r="E45" s="1353">
        <f ca="1">IF(C45&lt;&gt;"",IF(VLOOKUP($A45,Actions!$F$1:$AQ$70,34,0)="Commune",(VLOOKUP($A45,Actions!$F$1:$AQ$70,24,0)-VLOOKUP($A45,Actions!$F$1:$AQ$70,26,0))/(1+VLOOKUP($A45,Actions!$F$1:$AQ$70,21,0)-VLOOKUP($A45,Actions!$F$1:$AQ$70,20,0)),0),0)</f>
        <v>0</v>
      </c>
      <c r="F45" s="1353">
        <v>0</v>
      </c>
      <c r="G45" s="1354" t="str">
        <f ca="1">IF(OR(Actions!$Y39=G$7,AND(Actions!$Y39&lt;=G$7,Actions!$Z39&gt;=G$7)),Actions!$AA39,"")</f>
        <v/>
      </c>
      <c r="H45" s="1353">
        <f ca="1">IF(G45&lt;&gt;"",VLOOKUP($A45,Actions!$F$1:$AQ$70,38,0)/(1+VLOOKUP($A45,Actions!$F$1:$AQ$70,21,0)-VLOOKUP($A45,Actions!$F$1:$AQ$70,20,0)),0)</f>
        <v>0</v>
      </c>
      <c r="I45" s="1353">
        <f ca="1">IF(G45&lt;&gt;"",IF(VLOOKUP($A45,Actions!$F$1:$AQ$70,34,0)="Commune",(VLOOKUP($A45,Actions!$F$1:$AQ$70,24,0)-VLOOKUP($A45,Actions!$F$1:$AQ$70,26,0))/(1+VLOOKUP($A45,Actions!$F$1:$AQ$70,21,0)-VLOOKUP($A45,Actions!$F$1:$AQ$70,20,0)),0),0)</f>
        <v>0</v>
      </c>
      <c r="J45" s="1353">
        <f ca="1">IF(C45="",F45,IF(AND(G45="",C45&lt;&gt;""),VLOOKUP($A45,Actions!$F$1:$AQ$70,31,0),0))</f>
        <v>0</v>
      </c>
      <c r="K45" s="1354" t="str">
        <f ca="1">IF(OR(Actions!$Y39=K$7,AND(Actions!$Y39&lt;=K$7,Actions!$Z39&gt;=K$7)),Actions!$AA39,"")</f>
        <v/>
      </c>
      <c r="L45" s="1353">
        <f ca="1">IF(K45&lt;&gt;"",VLOOKUP($A45,Actions!$F$1:$AQ$70,38,0)/(1+VLOOKUP($A45,Actions!$F$1:$AQ$70,21,0)-VLOOKUP($A45,Actions!$F$1:$AQ$70,20,0)),0)</f>
        <v>0</v>
      </c>
      <c r="M45" s="1353">
        <f ca="1">IF(K45&lt;&gt;"",IF(VLOOKUP($A45,Actions!$F$1:$AQ$70,34,0)="Commune",(VLOOKUP($A45,Actions!$F$1:$AQ$70,24,0)-VLOOKUP($A45,Actions!$F$1:$AQ$70,26,0))/(1+VLOOKUP($A45,Actions!$F$1:$AQ$70,21,0)-VLOOKUP($A45,Actions!$F$1:$AQ$70,20,0)),0),0)</f>
        <v>0</v>
      </c>
      <c r="N45" s="1353">
        <f ca="1">IF(G45="",J45,IF(AND(K45="",G45&lt;&gt;""),VLOOKUP($A45,Actions!$F$1:$AQ$70,31,0),0))</f>
        <v>0</v>
      </c>
      <c r="O45" s="1354" t="str">
        <f ca="1">IF(OR(Actions!$Y39=O$7,AND(Actions!$Y39&lt;=O$7,Actions!$Z39&gt;=O$7)),Actions!$AA39,"")</f>
        <v/>
      </c>
      <c r="P45" s="1353">
        <f ca="1">IF(O45&lt;&gt;"",VLOOKUP($A45,Actions!$F$1:$AQ$70,38,0)/(1+VLOOKUP($A45,Actions!$F$1:$AQ$70,21,0)-VLOOKUP($A45,Actions!$F$1:$AQ$70,20,0)),0)</f>
        <v>0</v>
      </c>
      <c r="Q45" s="1353">
        <f ca="1">IF(O45&lt;&gt;"",IF(VLOOKUP($A45,Actions!$F$1:$AQ$70,34,0)="Commune",(VLOOKUP($A45,Actions!$F$1:$AQ$70,24,0)-VLOOKUP($A45,Actions!$F$1:$AQ$70,26,0))/(1+VLOOKUP($A45,Actions!$F$1:$AQ$70,21,0)-VLOOKUP($A45,Actions!$F$1:$AQ$70,20,0)),0),0)</f>
        <v>0</v>
      </c>
      <c r="R45" s="1353">
        <f ca="1">IF(K45="",N45,IF(AND(O45="",K45&lt;&gt;""),VLOOKUP($A45,Actions!$F$1:$AQ$70,31,0),0))</f>
        <v>0</v>
      </c>
      <c r="S45" s="1354" t="str">
        <f ca="1">IF(OR(Actions!$Y39=S$7,AND(Actions!$Y39&lt;=S$7,Actions!$Z39&gt;=S$7)),Actions!$AA39,"")</f>
        <v/>
      </c>
      <c r="T45" s="1353">
        <f ca="1">IF(S45&lt;&gt;"",VLOOKUP($A45,Actions!$F$1:$AQ$70,38,0)/(1+VLOOKUP($A45,Actions!$F$1:$AQ$70,21,0)-VLOOKUP($A45,Actions!$F$1:$AQ$70,20,0)),0)</f>
        <v>0</v>
      </c>
      <c r="U45" s="1353">
        <f ca="1">IF(S45&lt;&gt;"",IF(VLOOKUP($A45,Actions!$F$1:$AQ$70,34,0)="Commune",(VLOOKUP($A45,Actions!$F$1:$AQ$70,24,0)-VLOOKUP($A45,Actions!$F$1:$AQ$70,26,0))/(1+VLOOKUP($A45,Actions!$F$1:$AQ$70,21,0)-VLOOKUP($A45,Actions!$F$1:$AQ$70,20,0)),0),0)</f>
        <v>0</v>
      </c>
      <c r="V45" s="1353">
        <f ca="1">IF(O45="",R45,IF(AND(S45="",O45&lt;&gt;""),VLOOKUP($A45,Actions!$F$1:$AQ$70,31,0),0))</f>
        <v>0</v>
      </c>
      <c r="W45" s="1354" t="str">
        <f ca="1">IF(OR(Actions!$Y39=W$7,AND(Actions!$Y39&lt;=W$7,Actions!$Z39&gt;=W$7)),Actions!$AA39,"")</f>
        <v/>
      </c>
      <c r="X45" s="1353">
        <f ca="1">IF(W45&lt;&gt;"",VLOOKUP($A45,Actions!$F$1:$AQ$70,38,0)/(1+VLOOKUP($A45,Actions!$F$1:$AQ$70,21,0)-VLOOKUP($A45,Actions!$F$1:$AQ$70,20,0)),0)</f>
        <v>0</v>
      </c>
      <c r="Y45" s="1353">
        <f ca="1">IF(W45&lt;&gt;"",IF(VLOOKUP($A45,Actions!$F$1:$AQ$70,34,0)="Commune",(VLOOKUP($A45,Actions!$F$1:$AQ$70,24,0)-VLOOKUP($A45,Actions!$F$1:$AQ$70,26,0))/(1+VLOOKUP($A45,Actions!$F$1:$AQ$70,21,0)-VLOOKUP($A45,Actions!$F$1:$AQ$70,20,0)),0),0)</f>
        <v>0</v>
      </c>
      <c r="Z45" s="1353">
        <f ca="1">IF(S45="",V45,IF(AND(W45="",S45&lt;&gt;""),VLOOKUP($A45,Actions!$F$1:$AQ$70,31,0),0))</f>
        <v>0</v>
      </c>
      <c r="AA45" s="1354" t="str">
        <f ca="1">IF(OR(Actions!$Y39=AA$7,AND(Actions!$Y39&lt;=AA$7,Actions!$Z39&gt;=AA$7)),Actions!$AA39,"")</f>
        <v/>
      </c>
      <c r="AB45" s="1353">
        <f ca="1">IF(AA45&lt;&gt;"",VLOOKUP($A45,Actions!$F$1:$AQ$70,38,0)/(1+VLOOKUP($A45,Actions!$F$1:$AQ$70,21,0)-VLOOKUP($A45,Actions!$F$1:$AQ$70,20,0)),0)</f>
        <v>0</v>
      </c>
      <c r="AC45" s="1353">
        <f ca="1">IF(AA45&lt;&gt;"",IF(VLOOKUP($A45,Actions!$F$1:$AQ$70,34,0)="Commune",(VLOOKUP($A45,Actions!$F$1:$AQ$70,24,0)-VLOOKUP($A45,Actions!$F$1:$AQ$70,26,0))/(1+VLOOKUP($A45,Actions!$F$1:$AQ$70,21,0)-VLOOKUP($A45,Actions!$F$1:$AQ$70,20,0)),0),0)</f>
        <v>0</v>
      </c>
      <c r="AD45" s="1353">
        <f ca="1">IF(W45="",Z45,IF(AND(AA45="",W45&lt;&gt;""),VLOOKUP($A45,Actions!$F$1:$AQ$70,31,0),0))</f>
        <v>0</v>
      </c>
      <c r="AE45" s="1354" t="str">
        <f ca="1">IF(OR(Actions!$Y39=AE$7,AND(Actions!$Y39&lt;=AE$7,Actions!$Z39&gt;=AE$7)),Actions!$AA39,"")</f>
        <v/>
      </c>
      <c r="AF45" s="1353">
        <f ca="1">IF(AE45&lt;&gt;"",VLOOKUP($A45,Actions!$F$1:$AQ$70,38,0)/(1+VLOOKUP($A45,Actions!$F$1:$AQ$70,21,0)-VLOOKUP($A45,Actions!$F$1:$AQ$70,20,0)),0)</f>
        <v>0</v>
      </c>
      <c r="AG45" s="1353">
        <f ca="1">IF(AE45&lt;&gt;"",IF(VLOOKUP($A45,Actions!$F$1:$AQ$70,34,0)="Commune",(VLOOKUP($A45,Actions!$F$1:$AQ$70,24,0)-VLOOKUP($A45,Actions!$F$1:$AQ$70,26,0))/(1+VLOOKUP($A45,Actions!$F$1:$AQ$70,21,0)-VLOOKUP($A45,Actions!$F$1:$AQ$70,20,0)),0),0)</f>
        <v>0</v>
      </c>
      <c r="AH45" s="1353">
        <f ca="1">IF(AA45="",AD45,IF(AND(AE45="",AA45&lt;&gt;""),VLOOKUP($A45,Actions!$F$1:$AQ$70,31,0),0))</f>
        <v>0</v>
      </c>
      <c r="AI45" s="1354" t="str">
        <f ca="1">IF(OR(Actions!$Y39=AI$7,AND(Actions!$Y39&lt;=AI$7,Actions!$Z39&gt;=AI$7)),Actions!$AA39,"")</f>
        <v/>
      </c>
      <c r="AJ45" s="1353">
        <f ca="1">IF(AI45&lt;&gt;"",VLOOKUP($A45,Actions!$F$1:$AQ$70,38,0)/(1+VLOOKUP($A45,Actions!$F$1:$AQ$70,21,0)-VLOOKUP($A45,Actions!$F$1:$AQ$70,20,0)),0)</f>
        <v>0</v>
      </c>
      <c r="AK45" s="1353">
        <f ca="1">IF(AI45&lt;&gt;"",IF(VLOOKUP($A45,Actions!$F$1:$AQ$70,34,0)="Commune",(VLOOKUP($A45,Actions!$F$1:$AQ$70,24,0)-VLOOKUP($A45,Actions!$F$1:$AQ$70,26,0))/(1+VLOOKUP($A45,Actions!$F$1:$AQ$70,21,0)-VLOOKUP($A45,Actions!$F$1:$AQ$70,20,0)),0),0)</f>
        <v>0</v>
      </c>
      <c r="AL45" s="1353">
        <f ca="1">IF(AE45="",AH45,IF(AND(AI45="",AE45&lt;&gt;""),VLOOKUP($A45,Actions!$F$1:$AQ$70,31,0),0))</f>
        <v>0</v>
      </c>
      <c r="AM45" s="1354" t="str">
        <f ca="1">IF(OR(Actions!$Y39=AM$7,AND(Actions!$Y39&lt;=AM$7,Actions!$Z39&gt;=AM$7)),Actions!$AA39,"")</f>
        <v/>
      </c>
      <c r="AN45" s="1353">
        <f ca="1">IF(AM45&lt;&gt;"",VLOOKUP($A45,Actions!$F$1:$AQ$70,38,0)/(1+VLOOKUP($A45,Actions!$F$1:$AQ$70,21,0)-VLOOKUP($A45,Actions!$F$1:$AQ$70,20,0)),0)</f>
        <v>0</v>
      </c>
      <c r="AO45" s="1353">
        <f ca="1">IF(AM45&lt;&gt;"",IF(VLOOKUP($A45,Actions!$F$1:$AQ$70,34,0)="Commune",(VLOOKUP($A45,Actions!$F$1:$AQ$70,24,0)-VLOOKUP($A45,Actions!$F$1:$AQ$70,26,0))/(1+VLOOKUP($A45,Actions!$F$1:$AQ$70,21,0)-VLOOKUP($A45,Actions!$F$1:$AQ$70,20,0)),0),0)</f>
        <v>0</v>
      </c>
      <c r="AP45" s="1353">
        <f ca="1">IF(AI45="",AL45,IF(AND(AM45="",AI45&lt;&gt;""),VLOOKUP($A45,Actions!$F$1:$AQ$70,31,0),0))</f>
        <v>0</v>
      </c>
      <c r="AQ45" s="1354" t="str">
        <f ca="1">IF(OR(Actions!$Y39=AQ$7,AND(Actions!$Y39&lt;=AQ$7,Actions!$Z39&gt;=AQ$7)),Actions!$AA39,"")</f>
        <v/>
      </c>
      <c r="AR45" s="1353">
        <f ca="1">IF(AQ45&lt;&gt;"",VLOOKUP($A45,Actions!$F$1:$AQ$70,38,0)/(1+VLOOKUP($A45,Actions!$F$1:$AQ$70,21,0)-VLOOKUP($A45,Actions!$F$1:$AQ$70,20,0)),0)</f>
        <v>0</v>
      </c>
      <c r="AS45" s="1353">
        <f ca="1">IF(AQ45&lt;&gt;"",IF(VLOOKUP($A45,Actions!$F$1:$AQ$70,34,0)="Commune",(VLOOKUP($A45,Actions!$F$1:$AQ$70,24,0)-VLOOKUP($A45,Actions!$F$1:$AQ$70,26,0))/(1+VLOOKUP($A45,Actions!$F$1:$AQ$70,21,0)-VLOOKUP($A45,Actions!$F$1:$AQ$70,20,0)),0),0)</f>
        <v>0</v>
      </c>
      <c r="AT45" s="1353">
        <f ca="1">IF(AM45="",AP45,IF(AND(AQ45="",AM45&lt;&gt;""),VLOOKUP($A45,Actions!$F$1:$AQ$70,31,0),0))</f>
        <v>0</v>
      </c>
      <c r="AU45" s="1354" t="str">
        <f ca="1">IF(OR(Actions!$Y39=AU$7,AND(Actions!$Y39&lt;=AU$7,Actions!$Z39&gt;=AU$7)),Actions!$AA39,"")</f>
        <v/>
      </c>
      <c r="AV45" s="1353">
        <f ca="1">IF(AU45&lt;&gt;"",VLOOKUP($A45,Actions!$F$1:$AQ$70,38,0)/(1+VLOOKUP($A45,Actions!$F$1:$AQ$70,21,0)-VLOOKUP($A45,Actions!$F$1:$AQ$70,20,0)),0)</f>
        <v>0</v>
      </c>
      <c r="AW45" s="1353">
        <f ca="1">IF(AU45&lt;&gt;"",IF(VLOOKUP($A45,Actions!$F$1:$AQ$70,34,0)="Commune",(VLOOKUP($A45,Actions!$F$1:$AQ$70,24,0)-VLOOKUP($A45,Actions!$F$1:$AQ$70,26,0))/(1+VLOOKUP($A45,Actions!$F$1:$AQ$70,21,0)-VLOOKUP($A45,Actions!$F$1:$AQ$70,20,0)),0),0)</f>
        <v>0</v>
      </c>
      <c r="AX45" s="1353">
        <f ca="1">IF(AQ45="",AT45,IF(AND(AU45="",AQ45&lt;&gt;""),VLOOKUP($A45,Actions!$F$1:$AQ$70,31,0),0))</f>
        <v>0</v>
      </c>
      <c r="AY45" s="1354" t="str">
        <f ca="1">IF(OR(Actions!$Y39=AY$7,AND(Actions!$Y39&lt;=AY$7,Actions!$Z39&gt;=AY$7)),Actions!$AA39,"")</f>
        <v/>
      </c>
      <c r="AZ45" s="1353">
        <f ca="1">IF(AY45&lt;&gt;"",VLOOKUP($A45,Actions!$F$1:$AQ$70,38,0)/(1+VLOOKUP($A45,Actions!$F$1:$AQ$70,21,0)-VLOOKUP($A45,Actions!$F$1:$AQ$70,20,0)),0)</f>
        <v>0</v>
      </c>
      <c r="BA45" s="1353">
        <f ca="1">IF(AY45&lt;&gt;"",IF(VLOOKUP($A45,Actions!$F$1:$AQ$70,34,0)="Commune",(VLOOKUP($A45,Actions!$F$1:$AQ$70,24,0)-VLOOKUP($A45,Actions!$F$1:$AQ$70,26,0))/(1+VLOOKUP($A45,Actions!$F$1:$AQ$70,21,0)-VLOOKUP($A45,Actions!$F$1:$AQ$70,20,0)),0),0)</f>
        <v>0</v>
      </c>
      <c r="BB45" s="1353">
        <f ca="1">IF(AU45="",AX45,IF(AND(AY45="",AU45&lt;&gt;""),VLOOKUP($A45,Actions!$F$1:$AQ$70,31,0),0))</f>
        <v>0</v>
      </c>
      <c r="BC45" s="1354" t="str">
        <f ca="1">IF(OR(Actions!$Y39=BC$7,AND(Actions!$Y39&lt;=BC$7,Actions!$Z39&gt;=BC$7)),Actions!$AA39,"")</f>
        <v/>
      </c>
      <c r="BD45" s="1353">
        <f ca="1">IF(BC45&lt;&gt;"",VLOOKUP($A45,Actions!$F$1:$AQ$70,38,0)/(1+VLOOKUP($A45,Actions!$F$1:$AQ$70,21,0)-VLOOKUP($A45,Actions!$F$1:$AQ$70,20,0)),0)</f>
        <v>0</v>
      </c>
      <c r="BE45" s="1353">
        <f ca="1">IF(BC45&lt;&gt;"",IF(VLOOKUP($A45,Actions!$F$1:$AQ$70,34,0)="Commune",(VLOOKUP($A45,Actions!$F$1:$AQ$70,24,0)-VLOOKUP($A45,Actions!$F$1:$AQ$70,26,0))/(1+VLOOKUP($A45,Actions!$F$1:$AQ$70,21,0)-VLOOKUP($A45,Actions!$F$1:$AQ$70,20,0)),0),0)</f>
        <v>0</v>
      </c>
      <c r="BF45" s="1353">
        <f ca="1">IF(AY45="",BB45,IF(AND(BC45="",AY45&lt;&gt;""),VLOOKUP($A45,Actions!$F$1:$AQ$70,31,0),0))</f>
        <v>0</v>
      </c>
      <c r="BG45" s="1355">
        <f t="shared" ca="1" si="0"/>
        <v>0</v>
      </c>
      <c r="BJ45" s="233"/>
      <c r="BK45" s="233"/>
      <c r="BL45" s="233"/>
      <c r="BM45" s="233"/>
      <c r="BN45" s="233"/>
      <c r="BO45" s="233"/>
    </row>
    <row r="46" spans="1:67">
      <c r="A46" s="1349">
        <f>Actions!F40</f>
        <v>39</v>
      </c>
      <c r="B46" s="1352">
        <f ca="1">Actions!G40</f>
        <v>0</v>
      </c>
      <c r="C46" s="1353" t="str">
        <f ca="1">IF(OR(AND(Actions!Y40&gt;0,Actions!Y40&lt;=$C$7,Actions!Z40&gt;=$C$7),AND(Actions!Y40&gt;0,Actions!Y40&lt;=$C$7,Actions!Z40&lt;Actions!Y40),AND(Actions!Y40=0,Actions!Z40&gt;=$C$7)),Actions!$AA40,"")</f>
        <v/>
      </c>
      <c r="D46" s="1353">
        <f ca="1">IF(C46&lt;&gt;"",VLOOKUP($A46,Actions!$F$1:$AQ$70,38,0)/(1+VLOOKUP($A46,Actions!$F$1:$AQ$70,21,0)-VLOOKUP($A46,Actions!$F$1:$AQ$70,20,0)),0)</f>
        <v>0</v>
      </c>
      <c r="E46" s="1353">
        <f ca="1">IF(C46&lt;&gt;"",IF(VLOOKUP($A46,Actions!$F$1:$AQ$70,34,0)="Commune",(VLOOKUP($A46,Actions!$F$1:$AQ$70,24,0)-VLOOKUP($A46,Actions!$F$1:$AQ$70,26,0))/(1+VLOOKUP($A46,Actions!$F$1:$AQ$70,21,0)-VLOOKUP($A46,Actions!$F$1:$AQ$70,20,0)),0),0)</f>
        <v>0</v>
      </c>
      <c r="F46" s="1353">
        <v>0</v>
      </c>
      <c r="G46" s="1354" t="str">
        <f ca="1">IF(OR(Actions!$Y40=G$7,AND(Actions!$Y40&lt;=G$7,Actions!$Z40&gt;=G$7)),Actions!$AA40,"")</f>
        <v/>
      </c>
      <c r="H46" s="1353">
        <f ca="1">IF(G46&lt;&gt;"",VLOOKUP($A46,Actions!$F$1:$AQ$70,38,0)/(1+VLOOKUP($A46,Actions!$F$1:$AQ$70,21,0)-VLOOKUP($A46,Actions!$F$1:$AQ$70,20,0)),0)</f>
        <v>0</v>
      </c>
      <c r="I46" s="1353">
        <f ca="1">IF(G46&lt;&gt;"",IF(VLOOKUP($A46,Actions!$F$1:$AQ$70,34,0)="Commune",(VLOOKUP($A46,Actions!$F$1:$AQ$70,24,0)-VLOOKUP($A46,Actions!$F$1:$AQ$70,26,0))/(1+VLOOKUP($A46,Actions!$F$1:$AQ$70,21,0)-VLOOKUP($A46,Actions!$F$1:$AQ$70,20,0)),0),0)</f>
        <v>0</v>
      </c>
      <c r="J46" s="1353">
        <f ca="1">IF(C46="",F46,IF(AND(G46="",C46&lt;&gt;""),VLOOKUP($A46,Actions!$F$1:$AQ$70,31,0),0))</f>
        <v>0</v>
      </c>
      <c r="K46" s="1354" t="str">
        <f ca="1">IF(OR(Actions!$Y40=K$7,AND(Actions!$Y40&lt;=K$7,Actions!$Z40&gt;=K$7)),Actions!$AA40,"")</f>
        <v/>
      </c>
      <c r="L46" s="1353">
        <f ca="1">IF(K46&lt;&gt;"",VLOOKUP($A46,Actions!$F$1:$AQ$70,38,0)/(1+VLOOKUP($A46,Actions!$F$1:$AQ$70,21,0)-VLOOKUP($A46,Actions!$F$1:$AQ$70,20,0)),0)</f>
        <v>0</v>
      </c>
      <c r="M46" s="1353">
        <f ca="1">IF(K46&lt;&gt;"",IF(VLOOKUP($A46,Actions!$F$1:$AQ$70,34,0)="Commune",(VLOOKUP($A46,Actions!$F$1:$AQ$70,24,0)-VLOOKUP($A46,Actions!$F$1:$AQ$70,26,0))/(1+VLOOKUP($A46,Actions!$F$1:$AQ$70,21,0)-VLOOKUP($A46,Actions!$F$1:$AQ$70,20,0)),0),0)</f>
        <v>0</v>
      </c>
      <c r="N46" s="1353">
        <f ca="1">IF(G46="",J46,IF(AND(K46="",G46&lt;&gt;""),VLOOKUP($A46,Actions!$F$1:$AQ$70,31,0),0))</f>
        <v>0</v>
      </c>
      <c r="O46" s="1354" t="str">
        <f ca="1">IF(OR(Actions!$Y40=O$7,AND(Actions!$Y40&lt;=O$7,Actions!$Z40&gt;=O$7)),Actions!$AA40,"")</f>
        <v/>
      </c>
      <c r="P46" s="1353">
        <f ca="1">IF(O46&lt;&gt;"",VLOOKUP($A46,Actions!$F$1:$AQ$70,38,0)/(1+VLOOKUP($A46,Actions!$F$1:$AQ$70,21,0)-VLOOKUP($A46,Actions!$F$1:$AQ$70,20,0)),0)</f>
        <v>0</v>
      </c>
      <c r="Q46" s="1353">
        <f ca="1">IF(O46&lt;&gt;"",IF(VLOOKUP($A46,Actions!$F$1:$AQ$70,34,0)="Commune",(VLOOKUP($A46,Actions!$F$1:$AQ$70,24,0)-VLOOKUP($A46,Actions!$F$1:$AQ$70,26,0))/(1+VLOOKUP($A46,Actions!$F$1:$AQ$70,21,0)-VLOOKUP($A46,Actions!$F$1:$AQ$70,20,0)),0),0)</f>
        <v>0</v>
      </c>
      <c r="R46" s="1353">
        <f ca="1">IF(K46="",N46,IF(AND(O46="",K46&lt;&gt;""),VLOOKUP($A46,Actions!$F$1:$AQ$70,31,0),0))</f>
        <v>0</v>
      </c>
      <c r="S46" s="1354" t="str">
        <f ca="1">IF(OR(Actions!$Y40=S$7,AND(Actions!$Y40&lt;=S$7,Actions!$Z40&gt;=S$7)),Actions!$AA40,"")</f>
        <v/>
      </c>
      <c r="T46" s="1353">
        <f ca="1">IF(S46&lt;&gt;"",VLOOKUP($A46,Actions!$F$1:$AQ$70,38,0)/(1+VLOOKUP($A46,Actions!$F$1:$AQ$70,21,0)-VLOOKUP($A46,Actions!$F$1:$AQ$70,20,0)),0)</f>
        <v>0</v>
      </c>
      <c r="U46" s="1353">
        <f ca="1">IF(S46&lt;&gt;"",IF(VLOOKUP($A46,Actions!$F$1:$AQ$70,34,0)="Commune",(VLOOKUP($A46,Actions!$F$1:$AQ$70,24,0)-VLOOKUP($A46,Actions!$F$1:$AQ$70,26,0))/(1+VLOOKUP($A46,Actions!$F$1:$AQ$70,21,0)-VLOOKUP($A46,Actions!$F$1:$AQ$70,20,0)),0),0)</f>
        <v>0</v>
      </c>
      <c r="V46" s="1353">
        <f ca="1">IF(O46="",R46,IF(AND(S46="",O46&lt;&gt;""),VLOOKUP($A46,Actions!$F$1:$AQ$70,31,0),0))</f>
        <v>0</v>
      </c>
      <c r="W46" s="1354" t="str">
        <f ca="1">IF(OR(Actions!$Y40=W$7,AND(Actions!$Y40&lt;=W$7,Actions!$Z40&gt;=W$7)),Actions!$AA40,"")</f>
        <v/>
      </c>
      <c r="X46" s="1353">
        <f ca="1">IF(W46&lt;&gt;"",VLOOKUP($A46,Actions!$F$1:$AQ$70,38,0)/(1+VLOOKUP($A46,Actions!$F$1:$AQ$70,21,0)-VLOOKUP($A46,Actions!$F$1:$AQ$70,20,0)),0)</f>
        <v>0</v>
      </c>
      <c r="Y46" s="1353">
        <f ca="1">IF(W46&lt;&gt;"",IF(VLOOKUP($A46,Actions!$F$1:$AQ$70,34,0)="Commune",(VLOOKUP($A46,Actions!$F$1:$AQ$70,24,0)-VLOOKUP($A46,Actions!$F$1:$AQ$70,26,0))/(1+VLOOKUP($A46,Actions!$F$1:$AQ$70,21,0)-VLOOKUP($A46,Actions!$F$1:$AQ$70,20,0)),0),0)</f>
        <v>0</v>
      </c>
      <c r="Z46" s="1353">
        <f ca="1">IF(S46="",V46,IF(AND(W46="",S46&lt;&gt;""),VLOOKUP($A46,Actions!$F$1:$AQ$70,31,0),0))</f>
        <v>0</v>
      </c>
      <c r="AA46" s="1354" t="str">
        <f ca="1">IF(OR(Actions!$Y40=AA$7,AND(Actions!$Y40&lt;=AA$7,Actions!$Z40&gt;=AA$7)),Actions!$AA40,"")</f>
        <v/>
      </c>
      <c r="AB46" s="1353">
        <f ca="1">IF(AA46&lt;&gt;"",VLOOKUP($A46,Actions!$F$1:$AQ$70,38,0)/(1+VLOOKUP($A46,Actions!$F$1:$AQ$70,21,0)-VLOOKUP($A46,Actions!$F$1:$AQ$70,20,0)),0)</f>
        <v>0</v>
      </c>
      <c r="AC46" s="1353">
        <f ca="1">IF(AA46&lt;&gt;"",IF(VLOOKUP($A46,Actions!$F$1:$AQ$70,34,0)="Commune",(VLOOKUP($A46,Actions!$F$1:$AQ$70,24,0)-VLOOKUP($A46,Actions!$F$1:$AQ$70,26,0))/(1+VLOOKUP($A46,Actions!$F$1:$AQ$70,21,0)-VLOOKUP($A46,Actions!$F$1:$AQ$70,20,0)),0),0)</f>
        <v>0</v>
      </c>
      <c r="AD46" s="1353">
        <f ca="1">IF(W46="",Z46,IF(AND(AA46="",W46&lt;&gt;""),VLOOKUP($A46,Actions!$F$1:$AQ$70,31,0),0))</f>
        <v>0</v>
      </c>
      <c r="AE46" s="1354" t="str">
        <f ca="1">IF(OR(Actions!$Y40=AE$7,AND(Actions!$Y40&lt;=AE$7,Actions!$Z40&gt;=AE$7)),Actions!$AA40,"")</f>
        <v/>
      </c>
      <c r="AF46" s="1353">
        <f ca="1">IF(AE46&lt;&gt;"",VLOOKUP($A46,Actions!$F$1:$AQ$70,38,0)/(1+VLOOKUP($A46,Actions!$F$1:$AQ$70,21,0)-VLOOKUP($A46,Actions!$F$1:$AQ$70,20,0)),0)</f>
        <v>0</v>
      </c>
      <c r="AG46" s="1353">
        <f ca="1">IF(AE46&lt;&gt;"",IF(VLOOKUP($A46,Actions!$F$1:$AQ$70,34,0)="Commune",(VLOOKUP($A46,Actions!$F$1:$AQ$70,24,0)-VLOOKUP($A46,Actions!$F$1:$AQ$70,26,0))/(1+VLOOKUP($A46,Actions!$F$1:$AQ$70,21,0)-VLOOKUP($A46,Actions!$F$1:$AQ$70,20,0)),0),0)</f>
        <v>0</v>
      </c>
      <c r="AH46" s="1353">
        <f ca="1">IF(AA46="",AD46,IF(AND(AE46="",AA46&lt;&gt;""),VLOOKUP($A46,Actions!$F$1:$AQ$70,31,0),0))</f>
        <v>0</v>
      </c>
      <c r="AI46" s="1354" t="str">
        <f ca="1">IF(OR(Actions!$Y40=AI$7,AND(Actions!$Y40&lt;=AI$7,Actions!$Z40&gt;=AI$7)),Actions!$AA40,"")</f>
        <v/>
      </c>
      <c r="AJ46" s="1353">
        <f ca="1">IF(AI46&lt;&gt;"",VLOOKUP($A46,Actions!$F$1:$AQ$70,38,0)/(1+VLOOKUP($A46,Actions!$F$1:$AQ$70,21,0)-VLOOKUP($A46,Actions!$F$1:$AQ$70,20,0)),0)</f>
        <v>0</v>
      </c>
      <c r="AK46" s="1353">
        <f ca="1">IF(AI46&lt;&gt;"",IF(VLOOKUP($A46,Actions!$F$1:$AQ$70,34,0)="Commune",(VLOOKUP($A46,Actions!$F$1:$AQ$70,24,0)-VLOOKUP($A46,Actions!$F$1:$AQ$70,26,0))/(1+VLOOKUP($A46,Actions!$F$1:$AQ$70,21,0)-VLOOKUP($A46,Actions!$F$1:$AQ$70,20,0)),0),0)</f>
        <v>0</v>
      </c>
      <c r="AL46" s="1353">
        <f ca="1">IF(AE46="",AH46,IF(AND(AI46="",AE46&lt;&gt;""),VLOOKUP($A46,Actions!$F$1:$AQ$70,31,0),0))</f>
        <v>0</v>
      </c>
      <c r="AM46" s="1354" t="str">
        <f ca="1">IF(OR(Actions!$Y40=AM$7,AND(Actions!$Y40&lt;=AM$7,Actions!$Z40&gt;=AM$7)),Actions!$AA40,"")</f>
        <v/>
      </c>
      <c r="AN46" s="1353">
        <f ca="1">IF(AM46&lt;&gt;"",VLOOKUP($A46,Actions!$F$1:$AQ$70,38,0)/(1+VLOOKUP($A46,Actions!$F$1:$AQ$70,21,0)-VLOOKUP($A46,Actions!$F$1:$AQ$70,20,0)),0)</f>
        <v>0</v>
      </c>
      <c r="AO46" s="1353">
        <f ca="1">IF(AM46&lt;&gt;"",IF(VLOOKUP($A46,Actions!$F$1:$AQ$70,34,0)="Commune",(VLOOKUP($A46,Actions!$F$1:$AQ$70,24,0)-VLOOKUP($A46,Actions!$F$1:$AQ$70,26,0))/(1+VLOOKUP($A46,Actions!$F$1:$AQ$70,21,0)-VLOOKUP($A46,Actions!$F$1:$AQ$70,20,0)),0),0)</f>
        <v>0</v>
      </c>
      <c r="AP46" s="1353">
        <f ca="1">IF(AI46="",AL46,IF(AND(AM46="",AI46&lt;&gt;""),VLOOKUP($A46,Actions!$F$1:$AQ$70,31,0),0))</f>
        <v>0</v>
      </c>
      <c r="AQ46" s="1354" t="str">
        <f ca="1">IF(OR(Actions!$Y40=AQ$7,AND(Actions!$Y40&lt;=AQ$7,Actions!$Z40&gt;=AQ$7)),Actions!$AA40,"")</f>
        <v/>
      </c>
      <c r="AR46" s="1353">
        <f ca="1">IF(AQ46&lt;&gt;"",VLOOKUP($A46,Actions!$F$1:$AQ$70,38,0)/(1+VLOOKUP($A46,Actions!$F$1:$AQ$70,21,0)-VLOOKUP($A46,Actions!$F$1:$AQ$70,20,0)),0)</f>
        <v>0</v>
      </c>
      <c r="AS46" s="1353">
        <f ca="1">IF(AQ46&lt;&gt;"",IF(VLOOKUP($A46,Actions!$F$1:$AQ$70,34,0)="Commune",(VLOOKUP($A46,Actions!$F$1:$AQ$70,24,0)-VLOOKUP($A46,Actions!$F$1:$AQ$70,26,0))/(1+VLOOKUP($A46,Actions!$F$1:$AQ$70,21,0)-VLOOKUP($A46,Actions!$F$1:$AQ$70,20,0)),0),0)</f>
        <v>0</v>
      </c>
      <c r="AT46" s="1353">
        <f ca="1">IF(AM46="",AP46,IF(AND(AQ46="",AM46&lt;&gt;""),VLOOKUP($A46,Actions!$F$1:$AQ$70,31,0),0))</f>
        <v>0</v>
      </c>
      <c r="AU46" s="1354" t="str">
        <f ca="1">IF(OR(Actions!$Y40=AU$7,AND(Actions!$Y40&lt;=AU$7,Actions!$Z40&gt;=AU$7)),Actions!$AA40,"")</f>
        <v/>
      </c>
      <c r="AV46" s="1353">
        <f ca="1">IF(AU46&lt;&gt;"",VLOOKUP($A46,Actions!$F$1:$AQ$70,38,0)/(1+VLOOKUP($A46,Actions!$F$1:$AQ$70,21,0)-VLOOKUP($A46,Actions!$F$1:$AQ$70,20,0)),0)</f>
        <v>0</v>
      </c>
      <c r="AW46" s="1353">
        <f ca="1">IF(AU46&lt;&gt;"",IF(VLOOKUP($A46,Actions!$F$1:$AQ$70,34,0)="Commune",(VLOOKUP($A46,Actions!$F$1:$AQ$70,24,0)-VLOOKUP($A46,Actions!$F$1:$AQ$70,26,0))/(1+VLOOKUP($A46,Actions!$F$1:$AQ$70,21,0)-VLOOKUP($A46,Actions!$F$1:$AQ$70,20,0)),0),0)</f>
        <v>0</v>
      </c>
      <c r="AX46" s="1353">
        <f ca="1">IF(AQ46="",AT46,IF(AND(AU46="",AQ46&lt;&gt;""),VLOOKUP($A46,Actions!$F$1:$AQ$70,31,0),0))</f>
        <v>0</v>
      </c>
      <c r="AY46" s="1354" t="str">
        <f ca="1">IF(OR(Actions!$Y40=AY$7,AND(Actions!$Y40&lt;=AY$7,Actions!$Z40&gt;=AY$7)),Actions!$AA40,"")</f>
        <v/>
      </c>
      <c r="AZ46" s="1353">
        <f ca="1">IF(AY46&lt;&gt;"",VLOOKUP($A46,Actions!$F$1:$AQ$70,38,0)/(1+VLOOKUP($A46,Actions!$F$1:$AQ$70,21,0)-VLOOKUP($A46,Actions!$F$1:$AQ$70,20,0)),0)</f>
        <v>0</v>
      </c>
      <c r="BA46" s="1353">
        <f ca="1">IF(AY46&lt;&gt;"",IF(VLOOKUP($A46,Actions!$F$1:$AQ$70,34,0)="Commune",(VLOOKUP($A46,Actions!$F$1:$AQ$70,24,0)-VLOOKUP($A46,Actions!$F$1:$AQ$70,26,0))/(1+VLOOKUP($A46,Actions!$F$1:$AQ$70,21,0)-VLOOKUP($A46,Actions!$F$1:$AQ$70,20,0)),0),0)</f>
        <v>0</v>
      </c>
      <c r="BB46" s="1353">
        <f ca="1">IF(AU46="",AX46,IF(AND(AY46="",AU46&lt;&gt;""),VLOOKUP($A46,Actions!$F$1:$AQ$70,31,0),0))</f>
        <v>0</v>
      </c>
      <c r="BC46" s="1354" t="str">
        <f ca="1">IF(OR(Actions!$Y40=BC$7,AND(Actions!$Y40&lt;=BC$7,Actions!$Z40&gt;=BC$7)),Actions!$AA40,"")</f>
        <v/>
      </c>
      <c r="BD46" s="1353">
        <f ca="1">IF(BC46&lt;&gt;"",VLOOKUP($A46,Actions!$F$1:$AQ$70,38,0)/(1+VLOOKUP($A46,Actions!$F$1:$AQ$70,21,0)-VLOOKUP($A46,Actions!$F$1:$AQ$70,20,0)),0)</f>
        <v>0</v>
      </c>
      <c r="BE46" s="1353">
        <f ca="1">IF(BC46&lt;&gt;"",IF(VLOOKUP($A46,Actions!$F$1:$AQ$70,34,0)="Commune",(VLOOKUP($A46,Actions!$F$1:$AQ$70,24,0)-VLOOKUP($A46,Actions!$F$1:$AQ$70,26,0))/(1+VLOOKUP($A46,Actions!$F$1:$AQ$70,21,0)-VLOOKUP($A46,Actions!$F$1:$AQ$70,20,0)),0),0)</f>
        <v>0</v>
      </c>
      <c r="BF46" s="1353">
        <f ca="1">IF(AY46="",BB46,IF(AND(BC46="",AY46&lt;&gt;""),VLOOKUP($A46,Actions!$F$1:$AQ$70,31,0),0))</f>
        <v>0</v>
      </c>
      <c r="BG46" s="1355">
        <f t="shared" ca="1" si="0"/>
        <v>0</v>
      </c>
      <c r="BJ46" s="233"/>
      <c r="BK46" s="233"/>
      <c r="BL46" s="233"/>
      <c r="BM46" s="233"/>
      <c r="BN46" s="233"/>
      <c r="BO46" s="233"/>
    </row>
    <row r="47" spans="1:67">
      <c r="A47" s="1349">
        <f>Actions!F41</f>
        <v>40</v>
      </c>
      <c r="B47" s="1352">
        <f ca="1">Actions!G41</f>
        <v>0</v>
      </c>
      <c r="C47" s="1353" t="str">
        <f ca="1">IF(OR(AND(Actions!Y41&gt;0,Actions!Y41&lt;=$C$7,Actions!Z41&gt;=$C$7),AND(Actions!Y41&gt;0,Actions!Y41&lt;=$C$7,Actions!Z41&lt;Actions!Y41),AND(Actions!Y41=0,Actions!Z41&gt;=$C$7)),Actions!$AA41,"")</f>
        <v/>
      </c>
      <c r="D47" s="1353">
        <f ca="1">IF(C47&lt;&gt;"",VLOOKUP($A47,Actions!$F$1:$AQ$70,38,0)/(1+VLOOKUP($A47,Actions!$F$1:$AQ$70,21,0)-VLOOKUP($A47,Actions!$F$1:$AQ$70,20,0)),0)</f>
        <v>0</v>
      </c>
      <c r="E47" s="1353">
        <f ca="1">IF(C47&lt;&gt;"",IF(VLOOKUP($A47,Actions!$F$1:$AQ$70,34,0)="Commune",(VLOOKUP($A47,Actions!$F$1:$AQ$70,24,0)-VLOOKUP($A47,Actions!$F$1:$AQ$70,26,0))/(1+VLOOKUP($A47,Actions!$F$1:$AQ$70,21,0)-VLOOKUP($A47,Actions!$F$1:$AQ$70,20,0)),0),0)</f>
        <v>0</v>
      </c>
      <c r="F47" s="1353">
        <v>0</v>
      </c>
      <c r="G47" s="1354" t="str">
        <f ca="1">IF(OR(Actions!$Y41=G$7,AND(Actions!$Y41&lt;=G$7,Actions!$Z41&gt;=G$7)),Actions!$AA41,"")</f>
        <v/>
      </c>
      <c r="H47" s="1353">
        <f ca="1">IF(G47&lt;&gt;"",VLOOKUP($A47,Actions!$F$1:$AQ$70,38,0)/(1+VLOOKUP($A47,Actions!$F$1:$AQ$70,21,0)-VLOOKUP($A47,Actions!$F$1:$AQ$70,20,0)),0)</f>
        <v>0</v>
      </c>
      <c r="I47" s="1353">
        <f ca="1">IF(G47&lt;&gt;"",IF(VLOOKUP($A47,Actions!$F$1:$AQ$70,34,0)="Commune",(VLOOKUP($A47,Actions!$F$1:$AQ$70,24,0)-VLOOKUP($A47,Actions!$F$1:$AQ$70,26,0))/(1+VLOOKUP($A47,Actions!$F$1:$AQ$70,21,0)-VLOOKUP($A47,Actions!$F$1:$AQ$70,20,0)),0),0)</f>
        <v>0</v>
      </c>
      <c r="J47" s="1353">
        <f ca="1">IF(C47="",F47,IF(AND(G47="",C47&lt;&gt;""),VLOOKUP($A47,Actions!$F$1:$AQ$70,31,0),0))</f>
        <v>0</v>
      </c>
      <c r="K47" s="1354" t="str">
        <f ca="1">IF(OR(Actions!$Y41=K$7,AND(Actions!$Y41&lt;=K$7,Actions!$Z41&gt;=K$7)),Actions!$AA41,"")</f>
        <v/>
      </c>
      <c r="L47" s="1353">
        <f ca="1">IF(K47&lt;&gt;"",VLOOKUP($A47,Actions!$F$1:$AQ$70,38,0)/(1+VLOOKUP($A47,Actions!$F$1:$AQ$70,21,0)-VLOOKUP($A47,Actions!$F$1:$AQ$70,20,0)),0)</f>
        <v>0</v>
      </c>
      <c r="M47" s="1353">
        <f ca="1">IF(K47&lt;&gt;"",IF(VLOOKUP($A47,Actions!$F$1:$AQ$70,34,0)="Commune",(VLOOKUP($A47,Actions!$F$1:$AQ$70,24,0)-VLOOKUP($A47,Actions!$F$1:$AQ$70,26,0))/(1+VLOOKUP($A47,Actions!$F$1:$AQ$70,21,0)-VLOOKUP($A47,Actions!$F$1:$AQ$70,20,0)),0),0)</f>
        <v>0</v>
      </c>
      <c r="N47" s="1353">
        <f ca="1">IF(G47="",J47,IF(AND(K47="",G47&lt;&gt;""),VLOOKUP($A47,Actions!$F$1:$AQ$70,31,0),0))</f>
        <v>0</v>
      </c>
      <c r="O47" s="1354" t="str">
        <f ca="1">IF(OR(Actions!$Y41=O$7,AND(Actions!$Y41&lt;=O$7,Actions!$Z41&gt;=O$7)),Actions!$AA41,"")</f>
        <v/>
      </c>
      <c r="P47" s="1353">
        <f ca="1">IF(O47&lt;&gt;"",VLOOKUP($A47,Actions!$F$1:$AQ$70,38,0)/(1+VLOOKUP($A47,Actions!$F$1:$AQ$70,21,0)-VLOOKUP($A47,Actions!$F$1:$AQ$70,20,0)),0)</f>
        <v>0</v>
      </c>
      <c r="Q47" s="1353">
        <f ca="1">IF(O47&lt;&gt;"",IF(VLOOKUP($A47,Actions!$F$1:$AQ$70,34,0)="Commune",(VLOOKUP($A47,Actions!$F$1:$AQ$70,24,0)-VLOOKUP($A47,Actions!$F$1:$AQ$70,26,0))/(1+VLOOKUP($A47,Actions!$F$1:$AQ$70,21,0)-VLOOKUP($A47,Actions!$F$1:$AQ$70,20,0)),0),0)</f>
        <v>0</v>
      </c>
      <c r="R47" s="1353">
        <f ca="1">IF(K47="",N47,IF(AND(O47="",K47&lt;&gt;""),VLOOKUP($A47,Actions!$F$1:$AQ$70,31,0),0))</f>
        <v>0</v>
      </c>
      <c r="S47" s="1354" t="str">
        <f ca="1">IF(OR(Actions!$Y41=S$7,AND(Actions!$Y41&lt;=S$7,Actions!$Z41&gt;=S$7)),Actions!$AA41,"")</f>
        <v/>
      </c>
      <c r="T47" s="1353">
        <f ca="1">IF(S47&lt;&gt;"",VLOOKUP($A47,Actions!$F$1:$AQ$70,38,0)/(1+VLOOKUP($A47,Actions!$F$1:$AQ$70,21,0)-VLOOKUP($A47,Actions!$F$1:$AQ$70,20,0)),0)</f>
        <v>0</v>
      </c>
      <c r="U47" s="1353">
        <f ca="1">IF(S47&lt;&gt;"",IF(VLOOKUP($A47,Actions!$F$1:$AQ$70,34,0)="Commune",(VLOOKUP($A47,Actions!$F$1:$AQ$70,24,0)-VLOOKUP($A47,Actions!$F$1:$AQ$70,26,0))/(1+VLOOKUP($A47,Actions!$F$1:$AQ$70,21,0)-VLOOKUP($A47,Actions!$F$1:$AQ$70,20,0)),0),0)</f>
        <v>0</v>
      </c>
      <c r="V47" s="1353">
        <f ca="1">IF(O47="",R47,IF(AND(S47="",O47&lt;&gt;""),VLOOKUP($A47,Actions!$F$1:$AQ$70,31,0),0))</f>
        <v>0</v>
      </c>
      <c r="W47" s="1354" t="str">
        <f ca="1">IF(OR(Actions!$Y41=W$7,AND(Actions!$Y41&lt;=W$7,Actions!$Z41&gt;=W$7)),Actions!$AA41,"")</f>
        <v/>
      </c>
      <c r="X47" s="1353">
        <f ca="1">IF(W47&lt;&gt;"",VLOOKUP($A47,Actions!$F$1:$AQ$70,38,0)/(1+VLOOKUP($A47,Actions!$F$1:$AQ$70,21,0)-VLOOKUP($A47,Actions!$F$1:$AQ$70,20,0)),0)</f>
        <v>0</v>
      </c>
      <c r="Y47" s="1353">
        <f ca="1">IF(W47&lt;&gt;"",IF(VLOOKUP($A47,Actions!$F$1:$AQ$70,34,0)="Commune",(VLOOKUP($A47,Actions!$F$1:$AQ$70,24,0)-VLOOKUP($A47,Actions!$F$1:$AQ$70,26,0))/(1+VLOOKUP($A47,Actions!$F$1:$AQ$70,21,0)-VLOOKUP($A47,Actions!$F$1:$AQ$70,20,0)),0),0)</f>
        <v>0</v>
      </c>
      <c r="Z47" s="1353">
        <f ca="1">IF(S47="",V47,IF(AND(W47="",S47&lt;&gt;""),VLOOKUP($A47,Actions!$F$1:$AQ$70,31,0),0))</f>
        <v>0</v>
      </c>
      <c r="AA47" s="1354" t="str">
        <f ca="1">IF(OR(Actions!$Y41=AA$7,AND(Actions!$Y41&lt;=AA$7,Actions!$Z41&gt;=AA$7)),Actions!$AA41,"")</f>
        <v/>
      </c>
      <c r="AB47" s="1353">
        <f ca="1">IF(AA47&lt;&gt;"",VLOOKUP($A47,Actions!$F$1:$AQ$70,38,0)/(1+VLOOKUP($A47,Actions!$F$1:$AQ$70,21,0)-VLOOKUP($A47,Actions!$F$1:$AQ$70,20,0)),0)</f>
        <v>0</v>
      </c>
      <c r="AC47" s="1353">
        <f ca="1">IF(AA47&lt;&gt;"",IF(VLOOKUP($A47,Actions!$F$1:$AQ$70,34,0)="Commune",(VLOOKUP($A47,Actions!$F$1:$AQ$70,24,0)-VLOOKUP($A47,Actions!$F$1:$AQ$70,26,0))/(1+VLOOKUP($A47,Actions!$F$1:$AQ$70,21,0)-VLOOKUP($A47,Actions!$F$1:$AQ$70,20,0)),0),0)</f>
        <v>0</v>
      </c>
      <c r="AD47" s="1353">
        <f ca="1">IF(W47="",Z47,IF(AND(AA47="",W47&lt;&gt;""),VLOOKUP($A47,Actions!$F$1:$AQ$70,31,0),0))</f>
        <v>0</v>
      </c>
      <c r="AE47" s="1354" t="str">
        <f ca="1">IF(OR(Actions!$Y41=AE$7,AND(Actions!$Y41&lt;=AE$7,Actions!$Z41&gt;=AE$7)),Actions!$AA41,"")</f>
        <v/>
      </c>
      <c r="AF47" s="1353">
        <f ca="1">IF(AE47&lt;&gt;"",VLOOKUP($A47,Actions!$F$1:$AQ$70,38,0)/(1+VLOOKUP($A47,Actions!$F$1:$AQ$70,21,0)-VLOOKUP($A47,Actions!$F$1:$AQ$70,20,0)),0)</f>
        <v>0</v>
      </c>
      <c r="AG47" s="1353">
        <f ca="1">IF(AE47&lt;&gt;"",IF(VLOOKUP($A47,Actions!$F$1:$AQ$70,34,0)="Commune",(VLOOKUP($A47,Actions!$F$1:$AQ$70,24,0)-VLOOKUP($A47,Actions!$F$1:$AQ$70,26,0))/(1+VLOOKUP($A47,Actions!$F$1:$AQ$70,21,0)-VLOOKUP($A47,Actions!$F$1:$AQ$70,20,0)),0),0)</f>
        <v>0</v>
      </c>
      <c r="AH47" s="1353">
        <f ca="1">IF(AA47="",AD47,IF(AND(AE47="",AA47&lt;&gt;""),VLOOKUP($A47,Actions!$F$1:$AQ$70,31,0),0))</f>
        <v>0</v>
      </c>
      <c r="AI47" s="1354" t="str">
        <f ca="1">IF(OR(Actions!$Y41=AI$7,AND(Actions!$Y41&lt;=AI$7,Actions!$Z41&gt;=AI$7)),Actions!$AA41,"")</f>
        <v/>
      </c>
      <c r="AJ47" s="1353">
        <f ca="1">IF(AI47&lt;&gt;"",VLOOKUP($A47,Actions!$F$1:$AQ$70,38,0)/(1+VLOOKUP($A47,Actions!$F$1:$AQ$70,21,0)-VLOOKUP($A47,Actions!$F$1:$AQ$70,20,0)),0)</f>
        <v>0</v>
      </c>
      <c r="AK47" s="1353">
        <f ca="1">IF(AI47&lt;&gt;"",IF(VLOOKUP($A47,Actions!$F$1:$AQ$70,34,0)="Commune",(VLOOKUP($A47,Actions!$F$1:$AQ$70,24,0)-VLOOKUP($A47,Actions!$F$1:$AQ$70,26,0))/(1+VLOOKUP($A47,Actions!$F$1:$AQ$70,21,0)-VLOOKUP($A47,Actions!$F$1:$AQ$70,20,0)),0),0)</f>
        <v>0</v>
      </c>
      <c r="AL47" s="1353">
        <f ca="1">IF(AE47="",AH47,IF(AND(AI47="",AE47&lt;&gt;""),VLOOKUP($A47,Actions!$F$1:$AQ$70,31,0),0))</f>
        <v>0</v>
      </c>
      <c r="AM47" s="1354" t="str">
        <f ca="1">IF(OR(Actions!$Y41=AM$7,AND(Actions!$Y41&lt;=AM$7,Actions!$Z41&gt;=AM$7)),Actions!$AA41,"")</f>
        <v/>
      </c>
      <c r="AN47" s="1353">
        <f ca="1">IF(AM47&lt;&gt;"",VLOOKUP($A47,Actions!$F$1:$AQ$70,38,0)/(1+VLOOKUP($A47,Actions!$F$1:$AQ$70,21,0)-VLOOKUP($A47,Actions!$F$1:$AQ$70,20,0)),0)</f>
        <v>0</v>
      </c>
      <c r="AO47" s="1353">
        <f ca="1">IF(AM47&lt;&gt;"",IF(VLOOKUP($A47,Actions!$F$1:$AQ$70,34,0)="Commune",(VLOOKUP($A47,Actions!$F$1:$AQ$70,24,0)-VLOOKUP($A47,Actions!$F$1:$AQ$70,26,0))/(1+VLOOKUP($A47,Actions!$F$1:$AQ$70,21,0)-VLOOKUP($A47,Actions!$F$1:$AQ$70,20,0)),0),0)</f>
        <v>0</v>
      </c>
      <c r="AP47" s="1353">
        <f ca="1">IF(AI47="",AL47,IF(AND(AM47="",AI47&lt;&gt;""),VLOOKUP($A47,Actions!$F$1:$AQ$70,31,0),0))</f>
        <v>0</v>
      </c>
      <c r="AQ47" s="1354" t="str">
        <f ca="1">IF(OR(Actions!$Y41=AQ$7,AND(Actions!$Y41&lt;=AQ$7,Actions!$Z41&gt;=AQ$7)),Actions!$AA41,"")</f>
        <v/>
      </c>
      <c r="AR47" s="1353">
        <f ca="1">IF(AQ47&lt;&gt;"",VLOOKUP($A47,Actions!$F$1:$AQ$70,38,0)/(1+VLOOKUP($A47,Actions!$F$1:$AQ$70,21,0)-VLOOKUP($A47,Actions!$F$1:$AQ$70,20,0)),0)</f>
        <v>0</v>
      </c>
      <c r="AS47" s="1353">
        <f ca="1">IF(AQ47&lt;&gt;"",IF(VLOOKUP($A47,Actions!$F$1:$AQ$70,34,0)="Commune",(VLOOKUP($A47,Actions!$F$1:$AQ$70,24,0)-VLOOKUP($A47,Actions!$F$1:$AQ$70,26,0))/(1+VLOOKUP($A47,Actions!$F$1:$AQ$70,21,0)-VLOOKUP($A47,Actions!$F$1:$AQ$70,20,0)),0),0)</f>
        <v>0</v>
      </c>
      <c r="AT47" s="1353">
        <f ca="1">IF(AM47="",AP47,IF(AND(AQ47="",AM47&lt;&gt;""),VLOOKUP($A47,Actions!$F$1:$AQ$70,31,0),0))</f>
        <v>0</v>
      </c>
      <c r="AU47" s="1354" t="str">
        <f ca="1">IF(OR(Actions!$Y41=AU$7,AND(Actions!$Y41&lt;=AU$7,Actions!$Z41&gt;=AU$7)),Actions!$AA41,"")</f>
        <v/>
      </c>
      <c r="AV47" s="1353">
        <f ca="1">IF(AU47&lt;&gt;"",VLOOKUP($A47,Actions!$F$1:$AQ$70,38,0)/(1+VLOOKUP($A47,Actions!$F$1:$AQ$70,21,0)-VLOOKUP($A47,Actions!$F$1:$AQ$70,20,0)),0)</f>
        <v>0</v>
      </c>
      <c r="AW47" s="1353">
        <f ca="1">IF(AU47&lt;&gt;"",IF(VLOOKUP($A47,Actions!$F$1:$AQ$70,34,0)="Commune",(VLOOKUP($A47,Actions!$F$1:$AQ$70,24,0)-VLOOKUP($A47,Actions!$F$1:$AQ$70,26,0))/(1+VLOOKUP($A47,Actions!$F$1:$AQ$70,21,0)-VLOOKUP($A47,Actions!$F$1:$AQ$70,20,0)),0),0)</f>
        <v>0</v>
      </c>
      <c r="AX47" s="1353">
        <f ca="1">IF(AQ47="",AT47,IF(AND(AU47="",AQ47&lt;&gt;""),VLOOKUP($A47,Actions!$F$1:$AQ$70,31,0),0))</f>
        <v>0</v>
      </c>
      <c r="AY47" s="1354" t="str">
        <f ca="1">IF(OR(Actions!$Y41=AY$7,AND(Actions!$Y41&lt;=AY$7,Actions!$Z41&gt;=AY$7)),Actions!$AA41,"")</f>
        <v/>
      </c>
      <c r="AZ47" s="1353">
        <f ca="1">IF(AY47&lt;&gt;"",VLOOKUP($A47,Actions!$F$1:$AQ$70,38,0)/(1+VLOOKUP($A47,Actions!$F$1:$AQ$70,21,0)-VLOOKUP($A47,Actions!$F$1:$AQ$70,20,0)),0)</f>
        <v>0</v>
      </c>
      <c r="BA47" s="1353">
        <f ca="1">IF(AY47&lt;&gt;"",IF(VLOOKUP($A47,Actions!$F$1:$AQ$70,34,0)="Commune",(VLOOKUP($A47,Actions!$F$1:$AQ$70,24,0)-VLOOKUP($A47,Actions!$F$1:$AQ$70,26,0))/(1+VLOOKUP($A47,Actions!$F$1:$AQ$70,21,0)-VLOOKUP($A47,Actions!$F$1:$AQ$70,20,0)),0),0)</f>
        <v>0</v>
      </c>
      <c r="BB47" s="1353">
        <f ca="1">IF(AU47="",AX47,IF(AND(AY47="",AU47&lt;&gt;""),VLOOKUP($A47,Actions!$F$1:$AQ$70,31,0),0))</f>
        <v>0</v>
      </c>
      <c r="BC47" s="1354" t="str">
        <f ca="1">IF(OR(Actions!$Y41=BC$7,AND(Actions!$Y41&lt;=BC$7,Actions!$Z41&gt;=BC$7)),Actions!$AA41,"")</f>
        <v/>
      </c>
      <c r="BD47" s="1353">
        <f ca="1">IF(BC47&lt;&gt;"",VLOOKUP($A47,Actions!$F$1:$AQ$70,38,0)/(1+VLOOKUP($A47,Actions!$F$1:$AQ$70,21,0)-VLOOKUP($A47,Actions!$F$1:$AQ$70,20,0)),0)</f>
        <v>0</v>
      </c>
      <c r="BE47" s="1353">
        <f ca="1">IF(BC47&lt;&gt;"",IF(VLOOKUP($A47,Actions!$F$1:$AQ$70,34,0)="Commune",(VLOOKUP($A47,Actions!$F$1:$AQ$70,24,0)-VLOOKUP($A47,Actions!$F$1:$AQ$70,26,0))/(1+VLOOKUP($A47,Actions!$F$1:$AQ$70,21,0)-VLOOKUP($A47,Actions!$F$1:$AQ$70,20,0)),0),0)</f>
        <v>0</v>
      </c>
      <c r="BF47" s="1353">
        <f ca="1">IF(AY47="",BB47,IF(AND(BC47="",AY47&lt;&gt;""),VLOOKUP($A47,Actions!$F$1:$AQ$70,31,0),0))</f>
        <v>0</v>
      </c>
      <c r="BG47" s="1355">
        <f t="shared" ca="1" si="0"/>
        <v>0</v>
      </c>
      <c r="BJ47" s="233"/>
      <c r="BK47" s="233"/>
      <c r="BL47" s="233"/>
      <c r="BM47" s="233"/>
      <c r="BN47" s="233"/>
      <c r="BO47" s="233"/>
    </row>
    <row r="48" spans="1:67">
      <c r="A48" s="1349">
        <f>Actions!F42</f>
        <v>41</v>
      </c>
      <c r="B48" s="1352">
        <f ca="1">Actions!G42</f>
        <v>0</v>
      </c>
      <c r="C48" s="1353" t="str">
        <f ca="1">IF(OR(AND(Actions!Y42&gt;0,Actions!Y42&lt;=$C$7,Actions!Z42&gt;=$C$7),AND(Actions!Y42&gt;0,Actions!Y42&lt;=$C$7,Actions!Z42&lt;Actions!Y42),AND(Actions!Y42=0,Actions!Z42&gt;=$C$7)),Actions!$AA42,"")</f>
        <v/>
      </c>
      <c r="D48" s="1353">
        <f ca="1">IF(C48&lt;&gt;"",VLOOKUP($A48,Actions!$F$1:$AQ$70,38,0)/(1+VLOOKUP($A48,Actions!$F$1:$AQ$70,21,0)-VLOOKUP($A48,Actions!$F$1:$AQ$70,20,0)),0)</f>
        <v>0</v>
      </c>
      <c r="E48" s="1353">
        <f ca="1">IF(C48&lt;&gt;"",IF(VLOOKUP($A48,Actions!$F$1:$AQ$70,34,0)="Commune",(VLOOKUP($A48,Actions!$F$1:$AQ$70,24,0)-VLOOKUP($A48,Actions!$F$1:$AQ$70,26,0))/(1+VLOOKUP($A48,Actions!$F$1:$AQ$70,21,0)-VLOOKUP($A48,Actions!$F$1:$AQ$70,20,0)),0),0)</f>
        <v>0</v>
      </c>
      <c r="F48" s="1353">
        <v>0</v>
      </c>
      <c r="G48" s="1354" t="str">
        <f ca="1">IF(OR(Actions!$Y42=G$7,AND(Actions!$Y42&lt;=G$7,Actions!$Z42&gt;=G$7)),Actions!$AA42,"")</f>
        <v/>
      </c>
      <c r="H48" s="1353">
        <f ca="1">IF(G48&lt;&gt;"",VLOOKUP($A48,Actions!$F$1:$AQ$70,38,0)/(1+VLOOKUP($A48,Actions!$F$1:$AQ$70,21,0)-VLOOKUP($A48,Actions!$F$1:$AQ$70,20,0)),0)</f>
        <v>0</v>
      </c>
      <c r="I48" s="1353">
        <f ca="1">IF(G48&lt;&gt;"",IF(VLOOKUP($A48,Actions!$F$1:$AQ$70,34,0)="Commune",(VLOOKUP($A48,Actions!$F$1:$AQ$70,24,0)-VLOOKUP($A48,Actions!$F$1:$AQ$70,26,0))/(1+VLOOKUP($A48,Actions!$F$1:$AQ$70,21,0)-VLOOKUP($A48,Actions!$F$1:$AQ$70,20,0)),0),0)</f>
        <v>0</v>
      </c>
      <c r="J48" s="1353">
        <f ca="1">IF(C48="",F48,IF(AND(G48="",C48&lt;&gt;""),VLOOKUP($A48,Actions!$F$1:$AQ$70,31,0),0))</f>
        <v>0</v>
      </c>
      <c r="K48" s="1354" t="str">
        <f ca="1">IF(OR(Actions!$Y42=K$7,AND(Actions!$Y42&lt;=K$7,Actions!$Z42&gt;=K$7)),Actions!$AA42,"")</f>
        <v/>
      </c>
      <c r="L48" s="1353">
        <f ca="1">IF(K48&lt;&gt;"",VLOOKUP($A48,Actions!$F$1:$AQ$70,38,0)/(1+VLOOKUP($A48,Actions!$F$1:$AQ$70,21,0)-VLOOKUP($A48,Actions!$F$1:$AQ$70,20,0)),0)</f>
        <v>0</v>
      </c>
      <c r="M48" s="1353">
        <f ca="1">IF(K48&lt;&gt;"",IF(VLOOKUP($A48,Actions!$F$1:$AQ$70,34,0)="Commune",(VLOOKUP($A48,Actions!$F$1:$AQ$70,24,0)-VLOOKUP($A48,Actions!$F$1:$AQ$70,26,0))/(1+VLOOKUP($A48,Actions!$F$1:$AQ$70,21,0)-VLOOKUP($A48,Actions!$F$1:$AQ$70,20,0)),0),0)</f>
        <v>0</v>
      </c>
      <c r="N48" s="1353">
        <f ca="1">IF(G48="",J48,IF(AND(K48="",G48&lt;&gt;""),VLOOKUP($A48,Actions!$F$1:$AQ$70,31,0),0))</f>
        <v>0</v>
      </c>
      <c r="O48" s="1354" t="str">
        <f ca="1">IF(OR(Actions!$Y42=O$7,AND(Actions!$Y42&lt;=O$7,Actions!$Z42&gt;=O$7)),Actions!$AA42,"")</f>
        <v/>
      </c>
      <c r="P48" s="1353">
        <f ca="1">IF(O48&lt;&gt;"",VLOOKUP($A48,Actions!$F$1:$AQ$70,38,0)/(1+VLOOKUP($A48,Actions!$F$1:$AQ$70,21,0)-VLOOKUP($A48,Actions!$F$1:$AQ$70,20,0)),0)</f>
        <v>0</v>
      </c>
      <c r="Q48" s="1353">
        <f ca="1">IF(O48&lt;&gt;"",IF(VLOOKUP($A48,Actions!$F$1:$AQ$70,34,0)="Commune",(VLOOKUP($A48,Actions!$F$1:$AQ$70,24,0)-VLOOKUP($A48,Actions!$F$1:$AQ$70,26,0))/(1+VLOOKUP($A48,Actions!$F$1:$AQ$70,21,0)-VLOOKUP($A48,Actions!$F$1:$AQ$70,20,0)),0),0)</f>
        <v>0</v>
      </c>
      <c r="R48" s="1353">
        <f ca="1">IF(K48="",N48,IF(AND(O48="",K48&lt;&gt;""),VLOOKUP($A48,Actions!$F$1:$AQ$70,31,0),0))</f>
        <v>0</v>
      </c>
      <c r="S48" s="1354" t="str">
        <f ca="1">IF(OR(Actions!$Y42=S$7,AND(Actions!$Y42&lt;=S$7,Actions!$Z42&gt;=S$7)),Actions!$AA42,"")</f>
        <v/>
      </c>
      <c r="T48" s="1353">
        <f ca="1">IF(S48&lt;&gt;"",VLOOKUP($A48,Actions!$F$1:$AQ$70,38,0)/(1+VLOOKUP($A48,Actions!$F$1:$AQ$70,21,0)-VLOOKUP($A48,Actions!$F$1:$AQ$70,20,0)),0)</f>
        <v>0</v>
      </c>
      <c r="U48" s="1353">
        <f ca="1">IF(S48&lt;&gt;"",IF(VLOOKUP($A48,Actions!$F$1:$AQ$70,34,0)="Commune",(VLOOKUP($A48,Actions!$F$1:$AQ$70,24,0)-VLOOKUP($A48,Actions!$F$1:$AQ$70,26,0))/(1+VLOOKUP($A48,Actions!$F$1:$AQ$70,21,0)-VLOOKUP($A48,Actions!$F$1:$AQ$70,20,0)),0),0)</f>
        <v>0</v>
      </c>
      <c r="V48" s="1353">
        <f ca="1">IF(O48="",R48,IF(AND(S48="",O48&lt;&gt;""),VLOOKUP($A48,Actions!$F$1:$AQ$70,31,0),0))</f>
        <v>0</v>
      </c>
      <c r="W48" s="1354" t="str">
        <f ca="1">IF(OR(Actions!$Y42=W$7,AND(Actions!$Y42&lt;=W$7,Actions!$Z42&gt;=W$7)),Actions!$AA42,"")</f>
        <v/>
      </c>
      <c r="X48" s="1353">
        <f ca="1">IF(W48&lt;&gt;"",VLOOKUP($A48,Actions!$F$1:$AQ$70,38,0)/(1+VLOOKUP($A48,Actions!$F$1:$AQ$70,21,0)-VLOOKUP($A48,Actions!$F$1:$AQ$70,20,0)),0)</f>
        <v>0</v>
      </c>
      <c r="Y48" s="1353">
        <f ca="1">IF(W48&lt;&gt;"",IF(VLOOKUP($A48,Actions!$F$1:$AQ$70,34,0)="Commune",(VLOOKUP($A48,Actions!$F$1:$AQ$70,24,0)-VLOOKUP($A48,Actions!$F$1:$AQ$70,26,0))/(1+VLOOKUP($A48,Actions!$F$1:$AQ$70,21,0)-VLOOKUP($A48,Actions!$F$1:$AQ$70,20,0)),0),0)</f>
        <v>0</v>
      </c>
      <c r="Z48" s="1353">
        <f ca="1">IF(S48="",V48,IF(AND(W48="",S48&lt;&gt;""),VLOOKUP($A48,Actions!$F$1:$AQ$70,31,0),0))</f>
        <v>0</v>
      </c>
      <c r="AA48" s="1354" t="str">
        <f ca="1">IF(OR(Actions!$Y42=AA$7,AND(Actions!$Y42&lt;=AA$7,Actions!$Z42&gt;=AA$7)),Actions!$AA42,"")</f>
        <v/>
      </c>
      <c r="AB48" s="1353">
        <f ca="1">IF(AA48&lt;&gt;"",VLOOKUP($A48,Actions!$F$1:$AQ$70,38,0)/(1+VLOOKUP($A48,Actions!$F$1:$AQ$70,21,0)-VLOOKUP($A48,Actions!$F$1:$AQ$70,20,0)),0)</f>
        <v>0</v>
      </c>
      <c r="AC48" s="1353">
        <f ca="1">IF(AA48&lt;&gt;"",IF(VLOOKUP($A48,Actions!$F$1:$AQ$70,34,0)="Commune",(VLOOKUP($A48,Actions!$F$1:$AQ$70,24,0)-VLOOKUP($A48,Actions!$F$1:$AQ$70,26,0))/(1+VLOOKUP($A48,Actions!$F$1:$AQ$70,21,0)-VLOOKUP($A48,Actions!$F$1:$AQ$70,20,0)),0),0)</f>
        <v>0</v>
      </c>
      <c r="AD48" s="1353">
        <f ca="1">IF(W48="",Z48,IF(AND(AA48="",W48&lt;&gt;""),VLOOKUP($A48,Actions!$F$1:$AQ$70,31,0),0))</f>
        <v>0</v>
      </c>
      <c r="AE48" s="1354" t="str">
        <f ca="1">IF(OR(Actions!$Y42=AE$7,AND(Actions!$Y42&lt;=AE$7,Actions!$Z42&gt;=AE$7)),Actions!$AA42,"")</f>
        <v/>
      </c>
      <c r="AF48" s="1353">
        <f ca="1">IF(AE48&lt;&gt;"",VLOOKUP($A48,Actions!$F$1:$AQ$70,38,0)/(1+VLOOKUP($A48,Actions!$F$1:$AQ$70,21,0)-VLOOKUP($A48,Actions!$F$1:$AQ$70,20,0)),0)</f>
        <v>0</v>
      </c>
      <c r="AG48" s="1353">
        <f ca="1">IF(AE48&lt;&gt;"",IF(VLOOKUP($A48,Actions!$F$1:$AQ$70,34,0)="Commune",(VLOOKUP($A48,Actions!$F$1:$AQ$70,24,0)-VLOOKUP($A48,Actions!$F$1:$AQ$70,26,0))/(1+VLOOKUP($A48,Actions!$F$1:$AQ$70,21,0)-VLOOKUP($A48,Actions!$F$1:$AQ$70,20,0)),0),0)</f>
        <v>0</v>
      </c>
      <c r="AH48" s="1353">
        <f ca="1">IF(AA48="",AD48,IF(AND(AE48="",AA48&lt;&gt;""),VLOOKUP($A48,Actions!$F$1:$AQ$70,31,0),0))</f>
        <v>0</v>
      </c>
      <c r="AI48" s="1354" t="str">
        <f ca="1">IF(OR(Actions!$Y42=AI$7,AND(Actions!$Y42&lt;=AI$7,Actions!$Z42&gt;=AI$7)),Actions!$AA42,"")</f>
        <v/>
      </c>
      <c r="AJ48" s="1353">
        <f ca="1">IF(AI48&lt;&gt;"",VLOOKUP($A48,Actions!$F$1:$AQ$70,38,0)/(1+VLOOKUP($A48,Actions!$F$1:$AQ$70,21,0)-VLOOKUP($A48,Actions!$F$1:$AQ$70,20,0)),0)</f>
        <v>0</v>
      </c>
      <c r="AK48" s="1353">
        <f ca="1">IF(AI48&lt;&gt;"",IF(VLOOKUP($A48,Actions!$F$1:$AQ$70,34,0)="Commune",(VLOOKUP($A48,Actions!$F$1:$AQ$70,24,0)-VLOOKUP($A48,Actions!$F$1:$AQ$70,26,0))/(1+VLOOKUP($A48,Actions!$F$1:$AQ$70,21,0)-VLOOKUP($A48,Actions!$F$1:$AQ$70,20,0)),0),0)</f>
        <v>0</v>
      </c>
      <c r="AL48" s="1353">
        <f ca="1">IF(AE48="",AH48,IF(AND(AI48="",AE48&lt;&gt;""),VLOOKUP($A48,Actions!$F$1:$AQ$70,31,0),0))</f>
        <v>0</v>
      </c>
      <c r="AM48" s="1354" t="str">
        <f ca="1">IF(OR(Actions!$Y42=AM$7,AND(Actions!$Y42&lt;=AM$7,Actions!$Z42&gt;=AM$7)),Actions!$AA42,"")</f>
        <v/>
      </c>
      <c r="AN48" s="1353">
        <f ca="1">IF(AM48&lt;&gt;"",VLOOKUP($A48,Actions!$F$1:$AQ$70,38,0)/(1+VLOOKUP($A48,Actions!$F$1:$AQ$70,21,0)-VLOOKUP($A48,Actions!$F$1:$AQ$70,20,0)),0)</f>
        <v>0</v>
      </c>
      <c r="AO48" s="1353">
        <f ca="1">IF(AM48&lt;&gt;"",IF(VLOOKUP($A48,Actions!$F$1:$AQ$70,34,0)="Commune",(VLOOKUP($A48,Actions!$F$1:$AQ$70,24,0)-VLOOKUP($A48,Actions!$F$1:$AQ$70,26,0))/(1+VLOOKUP($A48,Actions!$F$1:$AQ$70,21,0)-VLOOKUP($A48,Actions!$F$1:$AQ$70,20,0)),0),0)</f>
        <v>0</v>
      </c>
      <c r="AP48" s="1353">
        <f ca="1">IF(AI48="",AL48,IF(AND(AM48="",AI48&lt;&gt;""),VLOOKUP($A48,Actions!$F$1:$AQ$70,31,0),0))</f>
        <v>0</v>
      </c>
      <c r="AQ48" s="1354" t="str">
        <f ca="1">IF(OR(Actions!$Y42=AQ$7,AND(Actions!$Y42&lt;=AQ$7,Actions!$Z42&gt;=AQ$7)),Actions!$AA42,"")</f>
        <v/>
      </c>
      <c r="AR48" s="1353">
        <f ca="1">IF(AQ48&lt;&gt;"",VLOOKUP($A48,Actions!$F$1:$AQ$70,38,0)/(1+VLOOKUP($A48,Actions!$F$1:$AQ$70,21,0)-VLOOKUP($A48,Actions!$F$1:$AQ$70,20,0)),0)</f>
        <v>0</v>
      </c>
      <c r="AS48" s="1353">
        <f ca="1">IF(AQ48&lt;&gt;"",IF(VLOOKUP($A48,Actions!$F$1:$AQ$70,34,0)="Commune",(VLOOKUP($A48,Actions!$F$1:$AQ$70,24,0)-VLOOKUP($A48,Actions!$F$1:$AQ$70,26,0))/(1+VLOOKUP($A48,Actions!$F$1:$AQ$70,21,0)-VLOOKUP($A48,Actions!$F$1:$AQ$70,20,0)),0),0)</f>
        <v>0</v>
      </c>
      <c r="AT48" s="1353">
        <f ca="1">IF(AM48="",AP48,IF(AND(AQ48="",AM48&lt;&gt;""),VLOOKUP($A48,Actions!$F$1:$AQ$70,31,0),0))</f>
        <v>0</v>
      </c>
      <c r="AU48" s="1354" t="str">
        <f ca="1">IF(OR(Actions!$Y42=AU$7,AND(Actions!$Y42&lt;=AU$7,Actions!$Z42&gt;=AU$7)),Actions!$AA42,"")</f>
        <v/>
      </c>
      <c r="AV48" s="1353">
        <f ca="1">IF(AU48&lt;&gt;"",VLOOKUP($A48,Actions!$F$1:$AQ$70,38,0)/(1+VLOOKUP($A48,Actions!$F$1:$AQ$70,21,0)-VLOOKUP($A48,Actions!$F$1:$AQ$70,20,0)),0)</f>
        <v>0</v>
      </c>
      <c r="AW48" s="1353">
        <f ca="1">IF(AU48&lt;&gt;"",IF(VLOOKUP($A48,Actions!$F$1:$AQ$70,34,0)="Commune",(VLOOKUP($A48,Actions!$F$1:$AQ$70,24,0)-VLOOKUP($A48,Actions!$F$1:$AQ$70,26,0))/(1+VLOOKUP($A48,Actions!$F$1:$AQ$70,21,0)-VLOOKUP($A48,Actions!$F$1:$AQ$70,20,0)),0),0)</f>
        <v>0</v>
      </c>
      <c r="AX48" s="1353">
        <f ca="1">IF(AQ48="",AT48,IF(AND(AU48="",AQ48&lt;&gt;""),VLOOKUP($A48,Actions!$F$1:$AQ$70,31,0),0))</f>
        <v>0</v>
      </c>
      <c r="AY48" s="1354" t="str">
        <f ca="1">IF(OR(Actions!$Y42=AY$7,AND(Actions!$Y42&lt;=AY$7,Actions!$Z42&gt;=AY$7)),Actions!$AA42,"")</f>
        <v/>
      </c>
      <c r="AZ48" s="1353">
        <f ca="1">IF(AY48&lt;&gt;"",VLOOKUP($A48,Actions!$F$1:$AQ$70,38,0)/(1+VLOOKUP($A48,Actions!$F$1:$AQ$70,21,0)-VLOOKUP($A48,Actions!$F$1:$AQ$70,20,0)),0)</f>
        <v>0</v>
      </c>
      <c r="BA48" s="1353">
        <f ca="1">IF(AY48&lt;&gt;"",IF(VLOOKUP($A48,Actions!$F$1:$AQ$70,34,0)="Commune",(VLOOKUP($A48,Actions!$F$1:$AQ$70,24,0)-VLOOKUP($A48,Actions!$F$1:$AQ$70,26,0))/(1+VLOOKUP($A48,Actions!$F$1:$AQ$70,21,0)-VLOOKUP($A48,Actions!$F$1:$AQ$70,20,0)),0),0)</f>
        <v>0</v>
      </c>
      <c r="BB48" s="1353">
        <f ca="1">IF(AU48="",AX48,IF(AND(AY48="",AU48&lt;&gt;""),VLOOKUP($A48,Actions!$F$1:$AQ$70,31,0),0))</f>
        <v>0</v>
      </c>
      <c r="BC48" s="1354" t="str">
        <f ca="1">IF(OR(Actions!$Y42=BC$7,AND(Actions!$Y42&lt;=BC$7,Actions!$Z42&gt;=BC$7)),Actions!$AA42,"")</f>
        <v/>
      </c>
      <c r="BD48" s="1353">
        <f ca="1">IF(BC48&lt;&gt;"",VLOOKUP($A48,Actions!$F$1:$AQ$70,38,0)/(1+VLOOKUP($A48,Actions!$F$1:$AQ$70,21,0)-VLOOKUP($A48,Actions!$F$1:$AQ$70,20,0)),0)</f>
        <v>0</v>
      </c>
      <c r="BE48" s="1353">
        <f ca="1">IF(BC48&lt;&gt;"",IF(VLOOKUP($A48,Actions!$F$1:$AQ$70,34,0)="Commune",(VLOOKUP($A48,Actions!$F$1:$AQ$70,24,0)-VLOOKUP($A48,Actions!$F$1:$AQ$70,26,0))/(1+VLOOKUP($A48,Actions!$F$1:$AQ$70,21,0)-VLOOKUP($A48,Actions!$F$1:$AQ$70,20,0)),0),0)</f>
        <v>0</v>
      </c>
      <c r="BF48" s="1353">
        <f ca="1">IF(AY48="",BB48,IF(AND(BC48="",AY48&lt;&gt;""),VLOOKUP($A48,Actions!$F$1:$AQ$70,31,0),0))</f>
        <v>0</v>
      </c>
      <c r="BG48" s="1355">
        <f t="shared" ca="1" si="0"/>
        <v>0</v>
      </c>
      <c r="BJ48" s="233"/>
      <c r="BK48" s="233"/>
      <c r="BL48" s="233"/>
      <c r="BM48" s="233"/>
      <c r="BN48" s="233"/>
      <c r="BO48" s="233"/>
    </row>
    <row r="49" spans="1:67">
      <c r="A49" s="1349">
        <f>Actions!F43</f>
        <v>42</v>
      </c>
      <c r="B49" s="1352">
        <f ca="1">Actions!G43</f>
        <v>0</v>
      </c>
      <c r="C49" s="1353" t="str">
        <f ca="1">IF(OR(AND(Actions!Y43&gt;0,Actions!Y43&lt;=$C$7,Actions!Z43&gt;=$C$7),AND(Actions!Y43&gt;0,Actions!Y43&lt;=$C$7,Actions!Z43&lt;Actions!Y43),AND(Actions!Y43=0,Actions!Z43&gt;=$C$7)),Actions!$AA43,"")</f>
        <v/>
      </c>
      <c r="D49" s="1353">
        <f ca="1">IF(C49&lt;&gt;"",VLOOKUP($A49,Actions!$F$1:$AQ$70,38,0)/(1+VLOOKUP($A49,Actions!$F$1:$AQ$70,21,0)-VLOOKUP($A49,Actions!$F$1:$AQ$70,20,0)),0)</f>
        <v>0</v>
      </c>
      <c r="E49" s="1353">
        <f ca="1">IF(C49&lt;&gt;"",IF(VLOOKUP($A49,Actions!$F$1:$AQ$70,34,0)="Commune",(VLOOKUP($A49,Actions!$F$1:$AQ$70,24,0)-VLOOKUP($A49,Actions!$F$1:$AQ$70,26,0))/(1+VLOOKUP($A49,Actions!$F$1:$AQ$70,21,0)-VLOOKUP($A49,Actions!$F$1:$AQ$70,20,0)),0),0)</f>
        <v>0</v>
      </c>
      <c r="F49" s="1353">
        <v>0</v>
      </c>
      <c r="G49" s="1354" t="str">
        <f ca="1">IF(OR(Actions!$Y43=G$7,AND(Actions!$Y43&lt;=G$7,Actions!$Z43&gt;=G$7)),Actions!$AA43,"")</f>
        <v/>
      </c>
      <c r="H49" s="1353">
        <f ca="1">IF(G49&lt;&gt;"",VLOOKUP($A49,Actions!$F$1:$AQ$70,38,0)/(1+VLOOKUP($A49,Actions!$F$1:$AQ$70,21,0)-VLOOKUP($A49,Actions!$F$1:$AQ$70,20,0)),0)</f>
        <v>0</v>
      </c>
      <c r="I49" s="1353">
        <f ca="1">IF(G49&lt;&gt;"",IF(VLOOKUP($A49,Actions!$F$1:$AQ$70,34,0)="Commune",(VLOOKUP($A49,Actions!$F$1:$AQ$70,24,0)-VLOOKUP($A49,Actions!$F$1:$AQ$70,26,0))/(1+VLOOKUP($A49,Actions!$F$1:$AQ$70,21,0)-VLOOKUP($A49,Actions!$F$1:$AQ$70,20,0)),0),0)</f>
        <v>0</v>
      </c>
      <c r="J49" s="1353">
        <f ca="1">IF(C49="",F49,IF(AND(G49="",C49&lt;&gt;""),VLOOKUP($A49,Actions!$F$1:$AQ$70,31,0),0))</f>
        <v>0</v>
      </c>
      <c r="K49" s="1354" t="str">
        <f ca="1">IF(OR(Actions!$Y43=K$7,AND(Actions!$Y43&lt;=K$7,Actions!$Z43&gt;=K$7)),Actions!$AA43,"")</f>
        <v/>
      </c>
      <c r="L49" s="1353">
        <f ca="1">IF(K49&lt;&gt;"",VLOOKUP($A49,Actions!$F$1:$AQ$70,38,0)/(1+VLOOKUP($A49,Actions!$F$1:$AQ$70,21,0)-VLOOKUP($A49,Actions!$F$1:$AQ$70,20,0)),0)</f>
        <v>0</v>
      </c>
      <c r="M49" s="1353">
        <f ca="1">IF(K49&lt;&gt;"",IF(VLOOKUP($A49,Actions!$F$1:$AQ$70,34,0)="Commune",(VLOOKUP($A49,Actions!$F$1:$AQ$70,24,0)-VLOOKUP($A49,Actions!$F$1:$AQ$70,26,0))/(1+VLOOKUP($A49,Actions!$F$1:$AQ$70,21,0)-VLOOKUP($A49,Actions!$F$1:$AQ$70,20,0)),0),0)</f>
        <v>0</v>
      </c>
      <c r="N49" s="1353">
        <f ca="1">IF(G49="",J49,IF(AND(K49="",G49&lt;&gt;""),VLOOKUP($A49,Actions!$F$1:$AQ$70,31,0),0))</f>
        <v>0</v>
      </c>
      <c r="O49" s="1354" t="str">
        <f ca="1">IF(OR(Actions!$Y43=O$7,AND(Actions!$Y43&lt;=O$7,Actions!$Z43&gt;=O$7)),Actions!$AA43,"")</f>
        <v/>
      </c>
      <c r="P49" s="1353">
        <f ca="1">IF(O49&lt;&gt;"",VLOOKUP($A49,Actions!$F$1:$AQ$70,38,0)/(1+VLOOKUP($A49,Actions!$F$1:$AQ$70,21,0)-VLOOKUP($A49,Actions!$F$1:$AQ$70,20,0)),0)</f>
        <v>0</v>
      </c>
      <c r="Q49" s="1353">
        <f ca="1">IF(O49&lt;&gt;"",IF(VLOOKUP($A49,Actions!$F$1:$AQ$70,34,0)="Commune",(VLOOKUP($A49,Actions!$F$1:$AQ$70,24,0)-VLOOKUP($A49,Actions!$F$1:$AQ$70,26,0))/(1+VLOOKUP($A49,Actions!$F$1:$AQ$70,21,0)-VLOOKUP($A49,Actions!$F$1:$AQ$70,20,0)),0),0)</f>
        <v>0</v>
      </c>
      <c r="R49" s="1353">
        <f ca="1">IF(K49="",N49,IF(AND(O49="",K49&lt;&gt;""),VLOOKUP($A49,Actions!$F$1:$AQ$70,31,0),0))</f>
        <v>0</v>
      </c>
      <c r="S49" s="1354" t="str">
        <f ca="1">IF(OR(Actions!$Y43=S$7,AND(Actions!$Y43&lt;=S$7,Actions!$Z43&gt;=S$7)),Actions!$AA43,"")</f>
        <v/>
      </c>
      <c r="T49" s="1353">
        <f ca="1">IF(S49&lt;&gt;"",VLOOKUP($A49,Actions!$F$1:$AQ$70,38,0)/(1+VLOOKUP($A49,Actions!$F$1:$AQ$70,21,0)-VLOOKUP($A49,Actions!$F$1:$AQ$70,20,0)),0)</f>
        <v>0</v>
      </c>
      <c r="U49" s="1353">
        <f ca="1">IF(S49&lt;&gt;"",IF(VLOOKUP($A49,Actions!$F$1:$AQ$70,34,0)="Commune",(VLOOKUP($A49,Actions!$F$1:$AQ$70,24,0)-VLOOKUP($A49,Actions!$F$1:$AQ$70,26,0))/(1+VLOOKUP($A49,Actions!$F$1:$AQ$70,21,0)-VLOOKUP($A49,Actions!$F$1:$AQ$70,20,0)),0),0)</f>
        <v>0</v>
      </c>
      <c r="V49" s="1353">
        <f ca="1">IF(O49="",R49,IF(AND(S49="",O49&lt;&gt;""),VLOOKUP($A49,Actions!$F$1:$AQ$70,31,0),0))</f>
        <v>0</v>
      </c>
      <c r="W49" s="1354" t="str">
        <f ca="1">IF(OR(Actions!$Y43=W$7,AND(Actions!$Y43&lt;=W$7,Actions!$Z43&gt;=W$7)),Actions!$AA43,"")</f>
        <v/>
      </c>
      <c r="X49" s="1353">
        <f ca="1">IF(W49&lt;&gt;"",VLOOKUP($A49,Actions!$F$1:$AQ$70,38,0)/(1+VLOOKUP($A49,Actions!$F$1:$AQ$70,21,0)-VLOOKUP($A49,Actions!$F$1:$AQ$70,20,0)),0)</f>
        <v>0</v>
      </c>
      <c r="Y49" s="1353">
        <f ca="1">IF(W49&lt;&gt;"",IF(VLOOKUP($A49,Actions!$F$1:$AQ$70,34,0)="Commune",(VLOOKUP($A49,Actions!$F$1:$AQ$70,24,0)-VLOOKUP($A49,Actions!$F$1:$AQ$70,26,0))/(1+VLOOKUP($A49,Actions!$F$1:$AQ$70,21,0)-VLOOKUP($A49,Actions!$F$1:$AQ$70,20,0)),0),0)</f>
        <v>0</v>
      </c>
      <c r="Z49" s="1353">
        <f ca="1">IF(S49="",V49,IF(AND(W49="",S49&lt;&gt;""),VLOOKUP($A49,Actions!$F$1:$AQ$70,31,0),0))</f>
        <v>0</v>
      </c>
      <c r="AA49" s="1354" t="str">
        <f ca="1">IF(OR(Actions!$Y43=AA$7,AND(Actions!$Y43&lt;=AA$7,Actions!$Z43&gt;=AA$7)),Actions!$AA43,"")</f>
        <v/>
      </c>
      <c r="AB49" s="1353">
        <f ca="1">IF(AA49&lt;&gt;"",VLOOKUP($A49,Actions!$F$1:$AQ$70,38,0)/(1+VLOOKUP($A49,Actions!$F$1:$AQ$70,21,0)-VLOOKUP($A49,Actions!$F$1:$AQ$70,20,0)),0)</f>
        <v>0</v>
      </c>
      <c r="AC49" s="1353">
        <f ca="1">IF(AA49&lt;&gt;"",IF(VLOOKUP($A49,Actions!$F$1:$AQ$70,34,0)="Commune",(VLOOKUP($A49,Actions!$F$1:$AQ$70,24,0)-VLOOKUP($A49,Actions!$F$1:$AQ$70,26,0))/(1+VLOOKUP($A49,Actions!$F$1:$AQ$70,21,0)-VLOOKUP($A49,Actions!$F$1:$AQ$70,20,0)),0),0)</f>
        <v>0</v>
      </c>
      <c r="AD49" s="1353">
        <f ca="1">IF(W49="",Z49,IF(AND(AA49="",W49&lt;&gt;""),VLOOKUP($A49,Actions!$F$1:$AQ$70,31,0),0))</f>
        <v>0</v>
      </c>
      <c r="AE49" s="1354" t="str">
        <f ca="1">IF(OR(Actions!$Y43=AE$7,AND(Actions!$Y43&lt;=AE$7,Actions!$Z43&gt;=AE$7)),Actions!$AA43,"")</f>
        <v/>
      </c>
      <c r="AF49" s="1353">
        <f ca="1">IF(AE49&lt;&gt;"",VLOOKUP($A49,Actions!$F$1:$AQ$70,38,0)/(1+VLOOKUP($A49,Actions!$F$1:$AQ$70,21,0)-VLOOKUP($A49,Actions!$F$1:$AQ$70,20,0)),0)</f>
        <v>0</v>
      </c>
      <c r="AG49" s="1353">
        <f ca="1">IF(AE49&lt;&gt;"",IF(VLOOKUP($A49,Actions!$F$1:$AQ$70,34,0)="Commune",(VLOOKUP($A49,Actions!$F$1:$AQ$70,24,0)-VLOOKUP($A49,Actions!$F$1:$AQ$70,26,0))/(1+VLOOKUP($A49,Actions!$F$1:$AQ$70,21,0)-VLOOKUP($A49,Actions!$F$1:$AQ$70,20,0)),0),0)</f>
        <v>0</v>
      </c>
      <c r="AH49" s="1353">
        <f ca="1">IF(AA49="",AD49,IF(AND(AE49="",AA49&lt;&gt;""),VLOOKUP($A49,Actions!$F$1:$AQ$70,31,0),0))</f>
        <v>0</v>
      </c>
      <c r="AI49" s="1354" t="str">
        <f ca="1">IF(OR(Actions!$Y43=AI$7,AND(Actions!$Y43&lt;=AI$7,Actions!$Z43&gt;=AI$7)),Actions!$AA43,"")</f>
        <v/>
      </c>
      <c r="AJ49" s="1353">
        <f ca="1">IF(AI49&lt;&gt;"",VLOOKUP($A49,Actions!$F$1:$AQ$70,38,0)/(1+VLOOKUP($A49,Actions!$F$1:$AQ$70,21,0)-VLOOKUP($A49,Actions!$F$1:$AQ$70,20,0)),0)</f>
        <v>0</v>
      </c>
      <c r="AK49" s="1353">
        <f ca="1">IF(AI49&lt;&gt;"",IF(VLOOKUP($A49,Actions!$F$1:$AQ$70,34,0)="Commune",(VLOOKUP($A49,Actions!$F$1:$AQ$70,24,0)-VLOOKUP($A49,Actions!$F$1:$AQ$70,26,0))/(1+VLOOKUP($A49,Actions!$F$1:$AQ$70,21,0)-VLOOKUP($A49,Actions!$F$1:$AQ$70,20,0)),0),0)</f>
        <v>0</v>
      </c>
      <c r="AL49" s="1353">
        <f ca="1">IF(AE49="",AH49,IF(AND(AI49="",AE49&lt;&gt;""),VLOOKUP($A49,Actions!$F$1:$AQ$70,31,0),0))</f>
        <v>0</v>
      </c>
      <c r="AM49" s="1354" t="str">
        <f ca="1">IF(OR(Actions!$Y43=AM$7,AND(Actions!$Y43&lt;=AM$7,Actions!$Z43&gt;=AM$7)),Actions!$AA43,"")</f>
        <v/>
      </c>
      <c r="AN49" s="1353">
        <f ca="1">IF(AM49&lt;&gt;"",VLOOKUP($A49,Actions!$F$1:$AQ$70,38,0)/(1+VLOOKUP($A49,Actions!$F$1:$AQ$70,21,0)-VLOOKUP($A49,Actions!$F$1:$AQ$70,20,0)),0)</f>
        <v>0</v>
      </c>
      <c r="AO49" s="1353">
        <f ca="1">IF(AM49&lt;&gt;"",IF(VLOOKUP($A49,Actions!$F$1:$AQ$70,34,0)="Commune",(VLOOKUP($A49,Actions!$F$1:$AQ$70,24,0)-VLOOKUP($A49,Actions!$F$1:$AQ$70,26,0))/(1+VLOOKUP($A49,Actions!$F$1:$AQ$70,21,0)-VLOOKUP($A49,Actions!$F$1:$AQ$70,20,0)),0),0)</f>
        <v>0</v>
      </c>
      <c r="AP49" s="1353">
        <f ca="1">IF(AI49="",AL49,IF(AND(AM49="",AI49&lt;&gt;""),VLOOKUP($A49,Actions!$F$1:$AQ$70,31,0),0))</f>
        <v>0</v>
      </c>
      <c r="AQ49" s="1354" t="str">
        <f ca="1">IF(OR(Actions!$Y43=AQ$7,AND(Actions!$Y43&lt;=AQ$7,Actions!$Z43&gt;=AQ$7)),Actions!$AA43,"")</f>
        <v/>
      </c>
      <c r="AR49" s="1353">
        <f ca="1">IF(AQ49&lt;&gt;"",VLOOKUP($A49,Actions!$F$1:$AQ$70,38,0)/(1+VLOOKUP($A49,Actions!$F$1:$AQ$70,21,0)-VLOOKUP($A49,Actions!$F$1:$AQ$70,20,0)),0)</f>
        <v>0</v>
      </c>
      <c r="AS49" s="1353">
        <f ca="1">IF(AQ49&lt;&gt;"",IF(VLOOKUP($A49,Actions!$F$1:$AQ$70,34,0)="Commune",(VLOOKUP($A49,Actions!$F$1:$AQ$70,24,0)-VLOOKUP($A49,Actions!$F$1:$AQ$70,26,0))/(1+VLOOKUP($A49,Actions!$F$1:$AQ$70,21,0)-VLOOKUP($A49,Actions!$F$1:$AQ$70,20,0)),0),0)</f>
        <v>0</v>
      </c>
      <c r="AT49" s="1353">
        <f ca="1">IF(AM49="",AP49,IF(AND(AQ49="",AM49&lt;&gt;""),VLOOKUP($A49,Actions!$F$1:$AQ$70,31,0),0))</f>
        <v>0</v>
      </c>
      <c r="AU49" s="1354" t="str">
        <f ca="1">IF(OR(Actions!$Y43=AU$7,AND(Actions!$Y43&lt;=AU$7,Actions!$Z43&gt;=AU$7)),Actions!$AA43,"")</f>
        <v/>
      </c>
      <c r="AV49" s="1353">
        <f ca="1">IF(AU49&lt;&gt;"",VLOOKUP($A49,Actions!$F$1:$AQ$70,38,0)/(1+VLOOKUP($A49,Actions!$F$1:$AQ$70,21,0)-VLOOKUP($A49,Actions!$F$1:$AQ$70,20,0)),0)</f>
        <v>0</v>
      </c>
      <c r="AW49" s="1353">
        <f ca="1">IF(AU49&lt;&gt;"",IF(VLOOKUP($A49,Actions!$F$1:$AQ$70,34,0)="Commune",(VLOOKUP($A49,Actions!$F$1:$AQ$70,24,0)-VLOOKUP($A49,Actions!$F$1:$AQ$70,26,0))/(1+VLOOKUP($A49,Actions!$F$1:$AQ$70,21,0)-VLOOKUP($A49,Actions!$F$1:$AQ$70,20,0)),0),0)</f>
        <v>0</v>
      </c>
      <c r="AX49" s="1353">
        <f ca="1">IF(AQ49="",AT49,IF(AND(AU49="",AQ49&lt;&gt;""),VLOOKUP($A49,Actions!$F$1:$AQ$70,31,0),0))</f>
        <v>0</v>
      </c>
      <c r="AY49" s="1354" t="str">
        <f ca="1">IF(OR(Actions!$Y43=AY$7,AND(Actions!$Y43&lt;=AY$7,Actions!$Z43&gt;=AY$7)),Actions!$AA43,"")</f>
        <v/>
      </c>
      <c r="AZ49" s="1353">
        <f ca="1">IF(AY49&lt;&gt;"",VLOOKUP($A49,Actions!$F$1:$AQ$70,38,0)/(1+VLOOKUP($A49,Actions!$F$1:$AQ$70,21,0)-VLOOKUP($A49,Actions!$F$1:$AQ$70,20,0)),0)</f>
        <v>0</v>
      </c>
      <c r="BA49" s="1353">
        <f ca="1">IF(AY49&lt;&gt;"",IF(VLOOKUP($A49,Actions!$F$1:$AQ$70,34,0)="Commune",(VLOOKUP($A49,Actions!$F$1:$AQ$70,24,0)-VLOOKUP($A49,Actions!$F$1:$AQ$70,26,0))/(1+VLOOKUP($A49,Actions!$F$1:$AQ$70,21,0)-VLOOKUP($A49,Actions!$F$1:$AQ$70,20,0)),0),0)</f>
        <v>0</v>
      </c>
      <c r="BB49" s="1353">
        <f ca="1">IF(AU49="",AX49,IF(AND(AY49="",AU49&lt;&gt;""),VLOOKUP($A49,Actions!$F$1:$AQ$70,31,0),0))</f>
        <v>0</v>
      </c>
      <c r="BC49" s="1354" t="str">
        <f ca="1">IF(OR(Actions!$Y43=BC$7,AND(Actions!$Y43&lt;=BC$7,Actions!$Z43&gt;=BC$7)),Actions!$AA43,"")</f>
        <v/>
      </c>
      <c r="BD49" s="1353">
        <f ca="1">IF(BC49&lt;&gt;"",VLOOKUP($A49,Actions!$F$1:$AQ$70,38,0)/(1+VLOOKUP($A49,Actions!$F$1:$AQ$70,21,0)-VLOOKUP($A49,Actions!$F$1:$AQ$70,20,0)),0)</f>
        <v>0</v>
      </c>
      <c r="BE49" s="1353">
        <f ca="1">IF(BC49&lt;&gt;"",IF(VLOOKUP($A49,Actions!$F$1:$AQ$70,34,0)="Commune",(VLOOKUP($A49,Actions!$F$1:$AQ$70,24,0)-VLOOKUP($A49,Actions!$F$1:$AQ$70,26,0))/(1+VLOOKUP($A49,Actions!$F$1:$AQ$70,21,0)-VLOOKUP($A49,Actions!$F$1:$AQ$70,20,0)),0),0)</f>
        <v>0</v>
      </c>
      <c r="BF49" s="1353">
        <f ca="1">IF(AY49="",BB49,IF(AND(BC49="",AY49&lt;&gt;""),VLOOKUP($A49,Actions!$F$1:$AQ$70,31,0),0))</f>
        <v>0</v>
      </c>
      <c r="BG49" s="1355">
        <f t="shared" ca="1" si="0"/>
        <v>0</v>
      </c>
      <c r="BJ49" s="233"/>
      <c r="BK49" s="233"/>
      <c r="BL49" s="233"/>
      <c r="BM49" s="233"/>
      <c r="BN49" s="233"/>
      <c r="BO49" s="233"/>
    </row>
    <row r="50" spans="1:67">
      <c r="A50" s="1349">
        <f>Actions!F44</f>
        <v>43</v>
      </c>
      <c r="B50" s="1352">
        <f ca="1">Actions!G44</f>
        <v>0</v>
      </c>
      <c r="C50" s="1353" t="str">
        <f ca="1">IF(OR(AND(Actions!Y44&gt;0,Actions!Y44&lt;=$C$7,Actions!Z44&gt;=$C$7),AND(Actions!Y44&gt;0,Actions!Y44&lt;=$C$7,Actions!Z44&lt;Actions!Y44),AND(Actions!Y44=0,Actions!Z44&gt;=$C$7)),Actions!$AA44,"")</f>
        <v/>
      </c>
      <c r="D50" s="1353">
        <f ca="1">IF(C50&lt;&gt;"",VLOOKUP($A50,Actions!$F$1:$AQ$70,38,0)/(1+VLOOKUP($A50,Actions!$F$1:$AQ$70,21,0)-VLOOKUP($A50,Actions!$F$1:$AQ$70,20,0)),0)</f>
        <v>0</v>
      </c>
      <c r="E50" s="1353">
        <f ca="1">IF(C50&lt;&gt;"",IF(VLOOKUP($A50,Actions!$F$1:$AQ$70,34,0)="Commune",(VLOOKUP($A50,Actions!$F$1:$AQ$70,24,0)-VLOOKUP($A50,Actions!$F$1:$AQ$70,26,0))/(1+VLOOKUP($A50,Actions!$F$1:$AQ$70,21,0)-VLOOKUP($A50,Actions!$F$1:$AQ$70,20,0)),0),0)</f>
        <v>0</v>
      </c>
      <c r="F50" s="1353">
        <v>0</v>
      </c>
      <c r="G50" s="1354" t="str">
        <f ca="1">IF(OR(Actions!$Y44=G$7,AND(Actions!$Y44&lt;=G$7,Actions!$Z44&gt;=G$7)),Actions!$AA44,"")</f>
        <v/>
      </c>
      <c r="H50" s="1353">
        <f ca="1">IF(G50&lt;&gt;"",VLOOKUP($A50,Actions!$F$1:$AQ$70,38,0)/(1+VLOOKUP($A50,Actions!$F$1:$AQ$70,21,0)-VLOOKUP($A50,Actions!$F$1:$AQ$70,20,0)),0)</f>
        <v>0</v>
      </c>
      <c r="I50" s="1353">
        <f ca="1">IF(G50&lt;&gt;"",IF(VLOOKUP($A50,Actions!$F$1:$AQ$70,34,0)="Commune",(VLOOKUP($A50,Actions!$F$1:$AQ$70,24,0)-VLOOKUP($A50,Actions!$F$1:$AQ$70,26,0))/(1+VLOOKUP($A50,Actions!$F$1:$AQ$70,21,0)-VLOOKUP($A50,Actions!$F$1:$AQ$70,20,0)),0),0)</f>
        <v>0</v>
      </c>
      <c r="J50" s="1353">
        <f ca="1">IF(C50="",F50,IF(AND(G50="",C50&lt;&gt;""),VLOOKUP($A50,Actions!$F$1:$AQ$70,31,0),0))</f>
        <v>0</v>
      </c>
      <c r="K50" s="1354" t="str">
        <f ca="1">IF(OR(Actions!$Y44=K$7,AND(Actions!$Y44&lt;=K$7,Actions!$Z44&gt;=K$7)),Actions!$AA44,"")</f>
        <v/>
      </c>
      <c r="L50" s="1353">
        <f ca="1">IF(K50&lt;&gt;"",VLOOKUP($A50,Actions!$F$1:$AQ$70,38,0)/(1+VLOOKUP($A50,Actions!$F$1:$AQ$70,21,0)-VLOOKUP($A50,Actions!$F$1:$AQ$70,20,0)),0)</f>
        <v>0</v>
      </c>
      <c r="M50" s="1353">
        <f ca="1">IF(K50&lt;&gt;"",IF(VLOOKUP($A50,Actions!$F$1:$AQ$70,34,0)="Commune",(VLOOKUP($A50,Actions!$F$1:$AQ$70,24,0)-VLOOKUP($A50,Actions!$F$1:$AQ$70,26,0))/(1+VLOOKUP($A50,Actions!$F$1:$AQ$70,21,0)-VLOOKUP($A50,Actions!$F$1:$AQ$70,20,0)),0),0)</f>
        <v>0</v>
      </c>
      <c r="N50" s="1353">
        <f ca="1">IF(G50="",J50,IF(AND(K50="",G50&lt;&gt;""),VLOOKUP($A50,Actions!$F$1:$AQ$70,31,0),0))</f>
        <v>0</v>
      </c>
      <c r="O50" s="1354" t="str">
        <f ca="1">IF(OR(Actions!$Y44=O$7,AND(Actions!$Y44&lt;=O$7,Actions!$Z44&gt;=O$7)),Actions!$AA44,"")</f>
        <v/>
      </c>
      <c r="P50" s="1353">
        <f ca="1">IF(O50&lt;&gt;"",VLOOKUP($A50,Actions!$F$1:$AQ$70,38,0)/(1+VLOOKUP($A50,Actions!$F$1:$AQ$70,21,0)-VLOOKUP($A50,Actions!$F$1:$AQ$70,20,0)),0)</f>
        <v>0</v>
      </c>
      <c r="Q50" s="1353">
        <f ca="1">IF(O50&lt;&gt;"",IF(VLOOKUP($A50,Actions!$F$1:$AQ$70,34,0)="Commune",(VLOOKUP($A50,Actions!$F$1:$AQ$70,24,0)-VLOOKUP($A50,Actions!$F$1:$AQ$70,26,0))/(1+VLOOKUP($A50,Actions!$F$1:$AQ$70,21,0)-VLOOKUP($A50,Actions!$F$1:$AQ$70,20,0)),0),0)</f>
        <v>0</v>
      </c>
      <c r="R50" s="1353">
        <f ca="1">IF(K50="",N50,IF(AND(O50="",K50&lt;&gt;""),VLOOKUP($A50,Actions!$F$1:$AQ$70,31,0),0))</f>
        <v>0</v>
      </c>
      <c r="S50" s="1354" t="str">
        <f ca="1">IF(OR(Actions!$Y44=S$7,AND(Actions!$Y44&lt;=S$7,Actions!$Z44&gt;=S$7)),Actions!$AA44,"")</f>
        <v/>
      </c>
      <c r="T50" s="1353">
        <f ca="1">IF(S50&lt;&gt;"",VLOOKUP($A50,Actions!$F$1:$AQ$70,38,0)/(1+VLOOKUP($A50,Actions!$F$1:$AQ$70,21,0)-VLOOKUP($A50,Actions!$F$1:$AQ$70,20,0)),0)</f>
        <v>0</v>
      </c>
      <c r="U50" s="1353">
        <f ca="1">IF(S50&lt;&gt;"",IF(VLOOKUP($A50,Actions!$F$1:$AQ$70,34,0)="Commune",(VLOOKUP($A50,Actions!$F$1:$AQ$70,24,0)-VLOOKUP($A50,Actions!$F$1:$AQ$70,26,0))/(1+VLOOKUP($A50,Actions!$F$1:$AQ$70,21,0)-VLOOKUP($A50,Actions!$F$1:$AQ$70,20,0)),0),0)</f>
        <v>0</v>
      </c>
      <c r="V50" s="1353">
        <f ca="1">IF(O50="",R50,IF(AND(S50="",O50&lt;&gt;""),VLOOKUP($A50,Actions!$F$1:$AQ$70,31,0),0))</f>
        <v>0</v>
      </c>
      <c r="W50" s="1354" t="str">
        <f ca="1">IF(OR(Actions!$Y44=W$7,AND(Actions!$Y44&lt;=W$7,Actions!$Z44&gt;=W$7)),Actions!$AA44,"")</f>
        <v/>
      </c>
      <c r="X50" s="1353">
        <f ca="1">IF(W50&lt;&gt;"",VLOOKUP($A50,Actions!$F$1:$AQ$70,38,0)/(1+VLOOKUP($A50,Actions!$F$1:$AQ$70,21,0)-VLOOKUP($A50,Actions!$F$1:$AQ$70,20,0)),0)</f>
        <v>0</v>
      </c>
      <c r="Y50" s="1353">
        <f ca="1">IF(W50&lt;&gt;"",IF(VLOOKUP($A50,Actions!$F$1:$AQ$70,34,0)="Commune",(VLOOKUP($A50,Actions!$F$1:$AQ$70,24,0)-VLOOKUP($A50,Actions!$F$1:$AQ$70,26,0))/(1+VLOOKUP($A50,Actions!$F$1:$AQ$70,21,0)-VLOOKUP($A50,Actions!$F$1:$AQ$70,20,0)),0),0)</f>
        <v>0</v>
      </c>
      <c r="Z50" s="1353">
        <f ca="1">IF(S50="",V50,IF(AND(W50="",S50&lt;&gt;""),VLOOKUP($A50,Actions!$F$1:$AQ$70,31,0),0))</f>
        <v>0</v>
      </c>
      <c r="AA50" s="1354" t="str">
        <f ca="1">IF(OR(Actions!$Y44=AA$7,AND(Actions!$Y44&lt;=AA$7,Actions!$Z44&gt;=AA$7)),Actions!$AA44,"")</f>
        <v/>
      </c>
      <c r="AB50" s="1353">
        <f ca="1">IF(AA50&lt;&gt;"",VLOOKUP($A50,Actions!$F$1:$AQ$70,38,0)/(1+VLOOKUP($A50,Actions!$F$1:$AQ$70,21,0)-VLOOKUP($A50,Actions!$F$1:$AQ$70,20,0)),0)</f>
        <v>0</v>
      </c>
      <c r="AC50" s="1353">
        <f ca="1">IF(AA50&lt;&gt;"",IF(VLOOKUP($A50,Actions!$F$1:$AQ$70,34,0)="Commune",(VLOOKUP($A50,Actions!$F$1:$AQ$70,24,0)-VLOOKUP($A50,Actions!$F$1:$AQ$70,26,0))/(1+VLOOKUP($A50,Actions!$F$1:$AQ$70,21,0)-VLOOKUP($A50,Actions!$F$1:$AQ$70,20,0)),0),0)</f>
        <v>0</v>
      </c>
      <c r="AD50" s="1353">
        <f ca="1">IF(W50="",Z50,IF(AND(AA50="",W50&lt;&gt;""),VLOOKUP($A50,Actions!$F$1:$AQ$70,31,0),0))</f>
        <v>0</v>
      </c>
      <c r="AE50" s="1354" t="str">
        <f ca="1">IF(OR(Actions!$Y44=AE$7,AND(Actions!$Y44&lt;=AE$7,Actions!$Z44&gt;=AE$7)),Actions!$AA44,"")</f>
        <v/>
      </c>
      <c r="AF50" s="1353">
        <f ca="1">IF(AE50&lt;&gt;"",VLOOKUP($A50,Actions!$F$1:$AQ$70,38,0)/(1+VLOOKUP($A50,Actions!$F$1:$AQ$70,21,0)-VLOOKUP($A50,Actions!$F$1:$AQ$70,20,0)),0)</f>
        <v>0</v>
      </c>
      <c r="AG50" s="1353">
        <f ca="1">IF(AE50&lt;&gt;"",IF(VLOOKUP($A50,Actions!$F$1:$AQ$70,34,0)="Commune",(VLOOKUP($A50,Actions!$F$1:$AQ$70,24,0)-VLOOKUP($A50,Actions!$F$1:$AQ$70,26,0))/(1+VLOOKUP($A50,Actions!$F$1:$AQ$70,21,0)-VLOOKUP($A50,Actions!$F$1:$AQ$70,20,0)),0),0)</f>
        <v>0</v>
      </c>
      <c r="AH50" s="1353">
        <f ca="1">IF(AA50="",AD50,IF(AND(AE50="",AA50&lt;&gt;""),VLOOKUP($A50,Actions!$F$1:$AQ$70,31,0),0))</f>
        <v>0</v>
      </c>
      <c r="AI50" s="1354" t="str">
        <f ca="1">IF(OR(Actions!$Y44=AI$7,AND(Actions!$Y44&lt;=AI$7,Actions!$Z44&gt;=AI$7)),Actions!$AA44,"")</f>
        <v/>
      </c>
      <c r="AJ50" s="1353">
        <f ca="1">IF(AI50&lt;&gt;"",VLOOKUP($A50,Actions!$F$1:$AQ$70,38,0)/(1+VLOOKUP($A50,Actions!$F$1:$AQ$70,21,0)-VLOOKUP($A50,Actions!$F$1:$AQ$70,20,0)),0)</f>
        <v>0</v>
      </c>
      <c r="AK50" s="1353">
        <f ca="1">IF(AI50&lt;&gt;"",IF(VLOOKUP($A50,Actions!$F$1:$AQ$70,34,0)="Commune",(VLOOKUP($A50,Actions!$F$1:$AQ$70,24,0)-VLOOKUP($A50,Actions!$F$1:$AQ$70,26,0))/(1+VLOOKUP($A50,Actions!$F$1:$AQ$70,21,0)-VLOOKUP($A50,Actions!$F$1:$AQ$70,20,0)),0),0)</f>
        <v>0</v>
      </c>
      <c r="AL50" s="1353">
        <f ca="1">IF(AE50="",AH50,IF(AND(AI50="",AE50&lt;&gt;""),VLOOKUP($A50,Actions!$F$1:$AQ$70,31,0),0))</f>
        <v>0</v>
      </c>
      <c r="AM50" s="1354" t="str">
        <f ca="1">IF(OR(Actions!$Y44=AM$7,AND(Actions!$Y44&lt;=AM$7,Actions!$Z44&gt;=AM$7)),Actions!$AA44,"")</f>
        <v/>
      </c>
      <c r="AN50" s="1353">
        <f ca="1">IF(AM50&lt;&gt;"",VLOOKUP($A50,Actions!$F$1:$AQ$70,38,0)/(1+VLOOKUP($A50,Actions!$F$1:$AQ$70,21,0)-VLOOKUP($A50,Actions!$F$1:$AQ$70,20,0)),0)</f>
        <v>0</v>
      </c>
      <c r="AO50" s="1353">
        <f ca="1">IF(AM50&lt;&gt;"",IF(VLOOKUP($A50,Actions!$F$1:$AQ$70,34,0)="Commune",(VLOOKUP($A50,Actions!$F$1:$AQ$70,24,0)-VLOOKUP($A50,Actions!$F$1:$AQ$70,26,0))/(1+VLOOKUP($A50,Actions!$F$1:$AQ$70,21,0)-VLOOKUP($A50,Actions!$F$1:$AQ$70,20,0)),0),0)</f>
        <v>0</v>
      </c>
      <c r="AP50" s="1353">
        <f ca="1">IF(AI50="",AL50,IF(AND(AM50="",AI50&lt;&gt;""),VLOOKUP($A50,Actions!$F$1:$AQ$70,31,0),0))</f>
        <v>0</v>
      </c>
      <c r="AQ50" s="1354" t="str">
        <f ca="1">IF(OR(Actions!$Y44=AQ$7,AND(Actions!$Y44&lt;=AQ$7,Actions!$Z44&gt;=AQ$7)),Actions!$AA44,"")</f>
        <v/>
      </c>
      <c r="AR50" s="1353">
        <f ca="1">IF(AQ50&lt;&gt;"",VLOOKUP($A50,Actions!$F$1:$AQ$70,38,0)/(1+VLOOKUP($A50,Actions!$F$1:$AQ$70,21,0)-VLOOKUP($A50,Actions!$F$1:$AQ$70,20,0)),0)</f>
        <v>0</v>
      </c>
      <c r="AS50" s="1353">
        <f ca="1">IF(AQ50&lt;&gt;"",IF(VLOOKUP($A50,Actions!$F$1:$AQ$70,34,0)="Commune",(VLOOKUP($A50,Actions!$F$1:$AQ$70,24,0)-VLOOKUP($A50,Actions!$F$1:$AQ$70,26,0))/(1+VLOOKUP($A50,Actions!$F$1:$AQ$70,21,0)-VLOOKUP($A50,Actions!$F$1:$AQ$70,20,0)),0),0)</f>
        <v>0</v>
      </c>
      <c r="AT50" s="1353">
        <f ca="1">IF(AM50="",AP50,IF(AND(AQ50="",AM50&lt;&gt;""),VLOOKUP($A50,Actions!$F$1:$AQ$70,31,0),0))</f>
        <v>0</v>
      </c>
      <c r="AU50" s="1354" t="str">
        <f ca="1">IF(OR(Actions!$Y44=AU$7,AND(Actions!$Y44&lt;=AU$7,Actions!$Z44&gt;=AU$7)),Actions!$AA44,"")</f>
        <v/>
      </c>
      <c r="AV50" s="1353">
        <f ca="1">IF(AU50&lt;&gt;"",VLOOKUP($A50,Actions!$F$1:$AQ$70,38,0)/(1+VLOOKUP($A50,Actions!$F$1:$AQ$70,21,0)-VLOOKUP($A50,Actions!$F$1:$AQ$70,20,0)),0)</f>
        <v>0</v>
      </c>
      <c r="AW50" s="1353">
        <f ca="1">IF(AU50&lt;&gt;"",IF(VLOOKUP($A50,Actions!$F$1:$AQ$70,34,0)="Commune",(VLOOKUP($A50,Actions!$F$1:$AQ$70,24,0)-VLOOKUP($A50,Actions!$F$1:$AQ$70,26,0))/(1+VLOOKUP($A50,Actions!$F$1:$AQ$70,21,0)-VLOOKUP($A50,Actions!$F$1:$AQ$70,20,0)),0),0)</f>
        <v>0</v>
      </c>
      <c r="AX50" s="1353">
        <f ca="1">IF(AQ50="",AT50,IF(AND(AU50="",AQ50&lt;&gt;""),VLOOKUP($A50,Actions!$F$1:$AQ$70,31,0),0))</f>
        <v>0</v>
      </c>
      <c r="AY50" s="1354" t="str">
        <f ca="1">IF(OR(Actions!$Y44=AY$7,AND(Actions!$Y44&lt;=AY$7,Actions!$Z44&gt;=AY$7)),Actions!$AA44,"")</f>
        <v/>
      </c>
      <c r="AZ50" s="1353">
        <f ca="1">IF(AY50&lt;&gt;"",VLOOKUP($A50,Actions!$F$1:$AQ$70,38,0)/(1+VLOOKUP($A50,Actions!$F$1:$AQ$70,21,0)-VLOOKUP($A50,Actions!$F$1:$AQ$70,20,0)),0)</f>
        <v>0</v>
      </c>
      <c r="BA50" s="1353">
        <f ca="1">IF(AY50&lt;&gt;"",IF(VLOOKUP($A50,Actions!$F$1:$AQ$70,34,0)="Commune",(VLOOKUP($A50,Actions!$F$1:$AQ$70,24,0)-VLOOKUP($A50,Actions!$F$1:$AQ$70,26,0))/(1+VLOOKUP($A50,Actions!$F$1:$AQ$70,21,0)-VLOOKUP($A50,Actions!$F$1:$AQ$70,20,0)),0),0)</f>
        <v>0</v>
      </c>
      <c r="BB50" s="1353">
        <f ca="1">IF(AU50="",AX50,IF(AND(AY50="",AU50&lt;&gt;""),VLOOKUP($A50,Actions!$F$1:$AQ$70,31,0),0))</f>
        <v>0</v>
      </c>
      <c r="BC50" s="1354" t="str">
        <f ca="1">IF(OR(Actions!$Y44=BC$7,AND(Actions!$Y44&lt;=BC$7,Actions!$Z44&gt;=BC$7)),Actions!$AA44,"")</f>
        <v/>
      </c>
      <c r="BD50" s="1353">
        <f ca="1">IF(BC50&lt;&gt;"",VLOOKUP($A50,Actions!$F$1:$AQ$70,38,0)/(1+VLOOKUP($A50,Actions!$F$1:$AQ$70,21,0)-VLOOKUP($A50,Actions!$F$1:$AQ$70,20,0)),0)</f>
        <v>0</v>
      </c>
      <c r="BE50" s="1353">
        <f ca="1">IF(BC50&lt;&gt;"",IF(VLOOKUP($A50,Actions!$F$1:$AQ$70,34,0)="Commune",(VLOOKUP($A50,Actions!$F$1:$AQ$70,24,0)-VLOOKUP($A50,Actions!$F$1:$AQ$70,26,0))/(1+VLOOKUP($A50,Actions!$F$1:$AQ$70,21,0)-VLOOKUP($A50,Actions!$F$1:$AQ$70,20,0)),0),0)</f>
        <v>0</v>
      </c>
      <c r="BF50" s="1353">
        <f ca="1">IF(AY50="",BB50,IF(AND(BC50="",AY50&lt;&gt;""),VLOOKUP($A50,Actions!$F$1:$AQ$70,31,0),0))</f>
        <v>0</v>
      </c>
      <c r="BG50" s="1355">
        <f t="shared" ca="1" si="0"/>
        <v>0</v>
      </c>
      <c r="BJ50" s="233"/>
      <c r="BK50" s="233"/>
      <c r="BL50" s="233"/>
      <c r="BM50" s="233"/>
      <c r="BN50" s="233"/>
      <c r="BO50" s="233"/>
    </row>
    <row r="51" spans="1:67">
      <c r="A51" s="1349">
        <f>Actions!F45</f>
        <v>44</v>
      </c>
      <c r="B51" s="1352">
        <f ca="1">Actions!G45</f>
        <v>0</v>
      </c>
      <c r="C51" s="1353" t="str">
        <f ca="1">IF(OR(AND(Actions!Y45&gt;0,Actions!Y45&lt;=$C$7,Actions!Z45&gt;=$C$7),AND(Actions!Y45&gt;0,Actions!Y45&lt;=$C$7,Actions!Z45&lt;Actions!Y45),AND(Actions!Y45=0,Actions!Z45&gt;=$C$7)),Actions!$AA45,"")</f>
        <v/>
      </c>
      <c r="D51" s="1353">
        <f ca="1">IF(C51&lt;&gt;"",VLOOKUP($A51,Actions!$F$1:$AQ$70,38,0)/(1+VLOOKUP($A51,Actions!$F$1:$AQ$70,21,0)-VLOOKUP($A51,Actions!$F$1:$AQ$70,20,0)),0)</f>
        <v>0</v>
      </c>
      <c r="E51" s="1353">
        <f ca="1">IF(C51&lt;&gt;"",IF(VLOOKUP($A51,Actions!$F$1:$AQ$70,34,0)="Commune",(VLOOKUP($A51,Actions!$F$1:$AQ$70,24,0)-VLOOKUP($A51,Actions!$F$1:$AQ$70,26,0))/(1+VLOOKUP($A51,Actions!$F$1:$AQ$70,21,0)-VLOOKUP($A51,Actions!$F$1:$AQ$70,20,0)),0),0)</f>
        <v>0</v>
      </c>
      <c r="F51" s="1353">
        <v>0</v>
      </c>
      <c r="G51" s="1354" t="str">
        <f ca="1">IF(OR(Actions!$Y45=G$7,AND(Actions!$Y45&lt;=G$7,Actions!$Z45&gt;=G$7)),Actions!$AA45,"")</f>
        <v/>
      </c>
      <c r="H51" s="1353">
        <f ca="1">IF(G51&lt;&gt;"",VLOOKUP($A51,Actions!$F$1:$AQ$70,38,0)/(1+VLOOKUP($A51,Actions!$F$1:$AQ$70,21,0)-VLOOKUP($A51,Actions!$F$1:$AQ$70,20,0)),0)</f>
        <v>0</v>
      </c>
      <c r="I51" s="1353">
        <f ca="1">IF(G51&lt;&gt;"",IF(VLOOKUP($A51,Actions!$F$1:$AQ$70,34,0)="Commune",(VLOOKUP($A51,Actions!$F$1:$AQ$70,24,0)-VLOOKUP($A51,Actions!$F$1:$AQ$70,26,0))/(1+VLOOKUP($A51,Actions!$F$1:$AQ$70,21,0)-VLOOKUP($A51,Actions!$F$1:$AQ$70,20,0)),0),0)</f>
        <v>0</v>
      </c>
      <c r="J51" s="1353">
        <f ca="1">IF(C51="",F51,IF(AND(G51="",C51&lt;&gt;""),VLOOKUP($A51,Actions!$F$1:$AQ$70,31,0),0))</f>
        <v>0</v>
      </c>
      <c r="K51" s="1354" t="str">
        <f ca="1">IF(OR(Actions!$Y45=K$7,AND(Actions!$Y45&lt;=K$7,Actions!$Z45&gt;=K$7)),Actions!$AA45,"")</f>
        <v/>
      </c>
      <c r="L51" s="1353">
        <f ca="1">IF(K51&lt;&gt;"",VLOOKUP($A51,Actions!$F$1:$AQ$70,38,0)/(1+VLOOKUP($A51,Actions!$F$1:$AQ$70,21,0)-VLOOKUP($A51,Actions!$F$1:$AQ$70,20,0)),0)</f>
        <v>0</v>
      </c>
      <c r="M51" s="1353">
        <f ca="1">IF(K51&lt;&gt;"",IF(VLOOKUP($A51,Actions!$F$1:$AQ$70,34,0)="Commune",(VLOOKUP($A51,Actions!$F$1:$AQ$70,24,0)-VLOOKUP($A51,Actions!$F$1:$AQ$70,26,0))/(1+VLOOKUP($A51,Actions!$F$1:$AQ$70,21,0)-VLOOKUP($A51,Actions!$F$1:$AQ$70,20,0)),0),0)</f>
        <v>0</v>
      </c>
      <c r="N51" s="1353">
        <f ca="1">IF(G51="",J51,IF(AND(K51="",G51&lt;&gt;""),VLOOKUP($A51,Actions!$F$1:$AQ$70,31,0),0))</f>
        <v>0</v>
      </c>
      <c r="O51" s="1354" t="str">
        <f ca="1">IF(OR(Actions!$Y45=O$7,AND(Actions!$Y45&lt;=O$7,Actions!$Z45&gt;=O$7)),Actions!$AA45,"")</f>
        <v/>
      </c>
      <c r="P51" s="1353">
        <f ca="1">IF(O51&lt;&gt;"",VLOOKUP($A51,Actions!$F$1:$AQ$70,38,0)/(1+VLOOKUP($A51,Actions!$F$1:$AQ$70,21,0)-VLOOKUP($A51,Actions!$F$1:$AQ$70,20,0)),0)</f>
        <v>0</v>
      </c>
      <c r="Q51" s="1353">
        <f ca="1">IF(O51&lt;&gt;"",IF(VLOOKUP($A51,Actions!$F$1:$AQ$70,34,0)="Commune",(VLOOKUP($A51,Actions!$F$1:$AQ$70,24,0)-VLOOKUP($A51,Actions!$F$1:$AQ$70,26,0))/(1+VLOOKUP($A51,Actions!$F$1:$AQ$70,21,0)-VLOOKUP($A51,Actions!$F$1:$AQ$70,20,0)),0),0)</f>
        <v>0</v>
      </c>
      <c r="R51" s="1353">
        <f ca="1">IF(K51="",N51,IF(AND(O51="",K51&lt;&gt;""),VLOOKUP($A51,Actions!$F$1:$AQ$70,31,0),0))</f>
        <v>0</v>
      </c>
      <c r="S51" s="1354" t="str">
        <f ca="1">IF(OR(Actions!$Y45=S$7,AND(Actions!$Y45&lt;=S$7,Actions!$Z45&gt;=S$7)),Actions!$AA45,"")</f>
        <v/>
      </c>
      <c r="T51" s="1353">
        <f ca="1">IF(S51&lt;&gt;"",VLOOKUP($A51,Actions!$F$1:$AQ$70,38,0)/(1+VLOOKUP($A51,Actions!$F$1:$AQ$70,21,0)-VLOOKUP($A51,Actions!$F$1:$AQ$70,20,0)),0)</f>
        <v>0</v>
      </c>
      <c r="U51" s="1353">
        <f ca="1">IF(S51&lt;&gt;"",IF(VLOOKUP($A51,Actions!$F$1:$AQ$70,34,0)="Commune",(VLOOKUP($A51,Actions!$F$1:$AQ$70,24,0)-VLOOKUP($A51,Actions!$F$1:$AQ$70,26,0))/(1+VLOOKUP($A51,Actions!$F$1:$AQ$70,21,0)-VLOOKUP($A51,Actions!$F$1:$AQ$70,20,0)),0),0)</f>
        <v>0</v>
      </c>
      <c r="V51" s="1353">
        <f ca="1">IF(O51="",R51,IF(AND(S51="",O51&lt;&gt;""),VLOOKUP($A51,Actions!$F$1:$AQ$70,31,0),0))</f>
        <v>0</v>
      </c>
      <c r="W51" s="1354" t="str">
        <f ca="1">IF(OR(Actions!$Y45=W$7,AND(Actions!$Y45&lt;=W$7,Actions!$Z45&gt;=W$7)),Actions!$AA45,"")</f>
        <v/>
      </c>
      <c r="X51" s="1353">
        <f ca="1">IF(W51&lt;&gt;"",VLOOKUP($A51,Actions!$F$1:$AQ$70,38,0)/(1+VLOOKUP($A51,Actions!$F$1:$AQ$70,21,0)-VLOOKUP($A51,Actions!$F$1:$AQ$70,20,0)),0)</f>
        <v>0</v>
      </c>
      <c r="Y51" s="1353">
        <f ca="1">IF(W51&lt;&gt;"",IF(VLOOKUP($A51,Actions!$F$1:$AQ$70,34,0)="Commune",(VLOOKUP($A51,Actions!$F$1:$AQ$70,24,0)-VLOOKUP($A51,Actions!$F$1:$AQ$70,26,0))/(1+VLOOKUP($A51,Actions!$F$1:$AQ$70,21,0)-VLOOKUP($A51,Actions!$F$1:$AQ$70,20,0)),0),0)</f>
        <v>0</v>
      </c>
      <c r="Z51" s="1353">
        <f ca="1">IF(S51="",V51,IF(AND(W51="",S51&lt;&gt;""),VLOOKUP($A51,Actions!$F$1:$AQ$70,31,0),0))</f>
        <v>0</v>
      </c>
      <c r="AA51" s="1354" t="str">
        <f ca="1">IF(OR(Actions!$Y45=AA$7,AND(Actions!$Y45&lt;=AA$7,Actions!$Z45&gt;=AA$7)),Actions!$AA45,"")</f>
        <v/>
      </c>
      <c r="AB51" s="1353">
        <f ca="1">IF(AA51&lt;&gt;"",VLOOKUP($A51,Actions!$F$1:$AQ$70,38,0)/(1+VLOOKUP($A51,Actions!$F$1:$AQ$70,21,0)-VLOOKUP($A51,Actions!$F$1:$AQ$70,20,0)),0)</f>
        <v>0</v>
      </c>
      <c r="AC51" s="1353">
        <f ca="1">IF(AA51&lt;&gt;"",IF(VLOOKUP($A51,Actions!$F$1:$AQ$70,34,0)="Commune",(VLOOKUP($A51,Actions!$F$1:$AQ$70,24,0)-VLOOKUP($A51,Actions!$F$1:$AQ$70,26,0))/(1+VLOOKUP($A51,Actions!$F$1:$AQ$70,21,0)-VLOOKUP($A51,Actions!$F$1:$AQ$70,20,0)),0),0)</f>
        <v>0</v>
      </c>
      <c r="AD51" s="1353">
        <f ca="1">IF(W51="",Z51,IF(AND(AA51="",W51&lt;&gt;""),VLOOKUP($A51,Actions!$F$1:$AQ$70,31,0),0))</f>
        <v>0</v>
      </c>
      <c r="AE51" s="1354" t="str">
        <f ca="1">IF(OR(Actions!$Y45=AE$7,AND(Actions!$Y45&lt;=AE$7,Actions!$Z45&gt;=AE$7)),Actions!$AA45,"")</f>
        <v/>
      </c>
      <c r="AF51" s="1353">
        <f ca="1">IF(AE51&lt;&gt;"",VLOOKUP($A51,Actions!$F$1:$AQ$70,38,0)/(1+VLOOKUP($A51,Actions!$F$1:$AQ$70,21,0)-VLOOKUP($A51,Actions!$F$1:$AQ$70,20,0)),0)</f>
        <v>0</v>
      </c>
      <c r="AG51" s="1353">
        <f ca="1">IF(AE51&lt;&gt;"",IF(VLOOKUP($A51,Actions!$F$1:$AQ$70,34,0)="Commune",(VLOOKUP($A51,Actions!$F$1:$AQ$70,24,0)-VLOOKUP($A51,Actions!$F$1:$AQ$70,26,0))/(1+VLOOKUP($A51,Actions!$F$1:$AQ$70,21,0)-VLOOKUP($A51,Actions!$F$1:$AQ$70,20,0)),0),0)</f>
        <v>0</v>
      </c>
      <c r="AH51" s="1353">
        <f ca="1">IF(AA51="",AD51,IF(AND(AE51="",AA51&lt;&gt;""),VLOOKUP($A51,Actions!$F$1:$AQ$70,31,0),0))</f>
        <v>0</v>
      </c>
      <c r="AI51" s="1354" t="str">
        <f ca="1">IF(OR(Actions!$Y45=AI$7,AND(Actions!$Y45&lt;=AI$7,Actions!$Z45&gt;=AI$7)),Actions!$AA45,"")</f>
        <v/>
      </c>
      <c r="AJ51" s="1353">
        <f ca="1">IF(AI51&lt;&gt;"",VLOOKUP($A51,Actions!$F$1:$AQ$70,38,0)/(1+VLOOKUP($A51,Actions!$F$1:$AQ$70,21,0)-VLOOKUP($A51,Actions!$F$1:$AQ$70,20,0)),0)</f>
        <v>0</v>
      </c>
      <c r="AK51" s="1353">
        <f ca="1">IF(AI51&lt;&gt;"",IF(VLOOKUP($A51,Actions!$F$1:$AQ$70,34,0)="Commune",(VLOOKUP($A51,Actions!$F$1:$AQ$70,24,0)-VLOOKUP($A51,Actions!$F$1:$AQ$70,26,0))/(1+VLOOKUP($A51,Actions!$F$1:$AQ$70,21,0)-VLOOKUP($A51,Actions!$F$1:$AQ$70,20,0)),0),0)</f>
        <v>0</v>
      </c>
      <c r="AL51" s="1353">
        <f ca="1">IF(AE51="",AH51,IF(AND(AI51="",AE51&lt;&gt;""),VLOOKUP($A51,Actions!$F$1:$AQ$70,31,0),0))</f>
        <v>0</v>
      </c>
      <c r="AM51" s="1354" t="str">
        <f ca="1">IF(OR(Actions!$Y45=AM$7,AND(Actions!$Y45&lt;=AM$7,Actions!$Z45&gt;=AM$7)),Actions!$AA45,"")</f>
        <v/>
      </c>
      <c r="AN51" s="1353">
        <f ca="1">IF(AM51&lt;&gt;"",VLOOKUP($A51,Actions!$F$1:$AQ$70,38,0)/(1+VLOOKUP($A51,Actions!$F$1:$AQ$70,21,0)-VLOOKUP($A51,Actions!$F$1:$AQ$70,20,0)),0)</f>
        <v>0</v>
      </c>
      <c r="AO51" s="1353">
        <f ca="1">IF(AM51&lt;&gt;"",IF(VLOOKUP($A51,Actions!$F$1:$AQ$70,34,0)="Commune",(VLOOKUP($A51,Actions!$F$1:$AQ$70,24,0)-VLOOKUP($A51,Actions!$F$1:$AQ$70,26,0))/(1+VLOOKUP($A51,Actions!$F$1:$AQ$70,21,0)-VLOOKUP($A51,Actions!$F$1:$AQ$70,20,0)),0),0)</f>
        <v>0</v>
      </c>
      <c r="AP51" s="1353">
        <f ca="1">IF(AI51="",AL51,IF(AND(AM51="",AI51&lt;&gt;""),VLOOKUP($A51,Actions!$F$1:$AQ$70,31,0),0))</f>
        <v>0</v>
      </c>
      <c r="AQ51" s="1354" t="str">
        <f ca="1">IF(OR(Actions!$Y45=AQ$7,AND(Actions!$Y45&lt;=AQ$7,Actions!$Z45&gt;=AQ$7)),Actions!$AA45,"")</f>
        <v/>
      </c>
      <c r="AR51" s="1353">
        <f ca="1">IF(AQ51&lt;&gt;"",VLOOKUP($A51,Actions!$F$1:$AQ$70,38,0)/(1+VLOOKUP($A51,Actions!$F$1:$AQ$70,21,0)-VLOOKUP($A51,Actions!$F$1:$AQ$70,20,0)),0)</f>
        <v>0</v>
      </c>
      <c r="AS51" s="1353">
        <f ca="1">IF(AQ51&lt;&gt;"",IF(VLOOKUP($A51,Actions!$F$1:$AQ$70,34,0)="Commune",(VLOOKUP($A51,Actions!$F$1:$AQ$70,24,0)-VLOOKUP($A51,Actions!$F$1:$AQ$70,26,0))/(1+VLOOKUP($A51,Actions!$F$1:$AQ$70,21,0)-VLOOKUP($A51,Actions!$F$1:$AQ$70,20,0)),0),0)</f>
        <v>0</v>
      </c>
      <c r="AT51" s="1353">
        <f ca="1">IF(AM51="",AP51,IF(AND(AQ51="",AM51&lt;&gt;""),VLOOKUP($A51,Actions!$F$1:$AQ$70,31,0),0))</f>
        <v>0</v>
      </c>
      <c r="AU51" s="1354" t="str">
        <f ca="1">IF(OR(Actions!$Y45=AU$7,AND(Actions!$Y45&lt;=AU$7,Actions!$Z45&gt;=AU$7)),Actions!$AA45,"")</f>
        <v/>
      </c>
      <c r="AV51" s="1353">
        <f ca="1">IF(AU51&lt;&gt;"",VLOOKUP($A51,Actions!$F$1:$AQ$70,38,0)/(1+VLOOKUP($A51,Actions!$F$1:$AQ$70,21,0)-VLOOKUP($A51,Actions!$F$1:$AQ$70,20,0)),0)</f>
        <v>0</v>
      </c>
      <c r="AW51" s="1353">
        <f ca="1">IF(AU51&lt;&gt;"",IF(VLOOKUP($A51,Actions!$F$1:$AQ$70,34,0)="Commune",(VLOOKUP($A51,Actions!$F$1:$AQ$70,24,0)-VLOOKUP($A51,Actions!$F$1:$AQ$70,26,0))/(1+VLOOKUP($A51,Actions!$F$1:$AQ$70,21,0)-VLOOKUP($A51,Actions!$F$1:$AQ$70,20,0)),0),0)</f>
        <v>0</v>
      </c>
      <c r="AX51" s="1353">
        <f ca="1">IF(AQ51="",AT51,IF(AND(AU51="",AQ51&lt;&gt;""),VLOOKUP($A51,Actions!$F$1:$AQ$70,31,0),0))</f>
        <v>0</v>
      </c>
      <c r="AY51" s="1354" t="str">
        <f ca="1">IF(OR(Actions!$Y45=AY$7,AND(Actions!$Y45&lt;=AY$7,Actions!$Z45&gt;=AY$7)),Actions!$AA45,"")</f>
        <v/>
      </c>
      <c r="AZ51" s="1353">
        <f ca="1">IF(AY51&lt;&gt;"",VLOOKUP($A51,Actions!$F$1:$AQ$70,38,0)/(1+VLOOKUP($A51,Actions!$F$1:$AQ$70,21,0)-VLOOKUP($A51,Actions!$F$1:$AQ$70,20,0)),0)</f>
        <v>0</v>
      </c>
      <c r="BA51" s="1353">
        <f ca="1">IF(AY51&lt;&gt;"",IF(VLOOKUP($A51,Actions!$F$1:$AQ$70,34,0)="Commune",(VLOOKUP($A51,Actions!$F$1:$AQ$70,24,0)-VLOOKUP($A51,Actions!$F$1:$AQ$70,26,0))/(1+VLOOKUP($A51,Actions!$F$1:$AQ$70,21,0)-VLOOKUP($A51,Actions!$F$1:$AQ$70,20,0)),0),0)</f>
        <v>0</v>
      </c>
      <c r="BB51" s="1353">
        <f ca="1">IF(AU51="",AX51,IF(AND(AY51="",AU51&lt;&gt;""),VLOOKUP($A51,Actions!$F$1:$AQ$70,31,0),0))</f>
        <v>0</v>
      </c>
      <c r="BC51" s="1354" t="str">
        <f ca="1">IF(OR(Actions!$Y45=BC$7,AND(Actions!$Y45&lt;=BC$7,Actions!$Z45&gt;=BC$7)),Actions!$AA45,"")</f>
        <v/>
      </c>
      <c r="BD51" s="1353">
        <f ca="1">IF(BC51&lt;&gt;"",VLOOKUP($A51,Actions!$F$1:$AQ$70,38,0)/(1+VLOOKUP($A51,Actions!$F$1:$AQ$70,21,0)-VLOOKUP($A51,Actions!$F$1:$AQ$70,20,0)),0)</f>
        <v>0</v>
      </c>
      <c r="BE51" s="1353">
        <f ca="1">IF(BC51&lt;&gt;"",IF(VLOOKUP($A51,Actions!$F$1:$AQ$70,34,0)="Commune",(VLOOKUP($A51,Actions!$F$1:$AQ$70,24,0)-VLOOKUP($A51,Actions!$F$1:$AQ$70,26,0))/(1+VLOOKUP($A51,Actions!$F$1:$AQ$70,21,0)-VLOOKUP($A51,Actions!$F$1:$AQ$70,20,0)),0),0)</f>
        <v>0</v>
      </c>
      <c r="BF51" s="1353">
        <f ca="1">IF(AY51="",BB51,IF(AND(BC51="",AY51&lt;&gt;""),VLOOKUP($A51,Actions!$F$1:$AQ$70,31,0),0))</f>
        <v>0</v>
      </c>
      <c r="BG51" s="1355">
        <f t="shared" ca="1" si="0"/>
        <v>0</v>
      </c>
      <c r="BJ51" s="233"/>
      <c r="BK51" s="233"/>
      <c r="BL51" s="233"/>
      <c r="BM51" s="233"/>
      <c r="BN51" s="233"/>
      <c r="BO51" s="233"/>
    </row>
    <row r="52" spans="1:67">
      <c r="A52" s="1349">
        <f>Actions!F46</f>
        <v>45</v>
      </c>
      <c r="B52" s="1352">
        <f ca="1">Actions!G46</f>
        <v>0</v>
      </c>
      <c r="C52" s="1353" t="str">
        <f ca="1">IF(OR(AND(Actions!Y46&gt;0,Actions!Y46&lt;=$C$7,Actions!Z46&gt;=$C$7),AND(Actions!Y46&gt;0,Actions!Y46&lt;=$C$7,Actions!Z46&lt;Actions!Y46),AND(Actions!Y46=0,Actions!Z46&gt;=$C$7)),Actions!$AA46,"")</f>
        <v/>
      </c>
      <c r="D52" s="1353">
        <f ca="1">IF(C52&lt;&gt;"",VLOOKUP($A52,Actions!$F$1:$AQ$70,38,0)/(1+VLOOKUP($A52,Actions!$F$1:$AQ$70,21,0)-VLOOKUP($A52,Actions!$F$1:$AQ$70,20,0)),0)</f>
        <v>0</v>
      </c>
      <c r="E52" s="1353">
        <f ca="1">IF(C52&lt;&gt;"",IF(VLOOKUP($A52,Actions!$F$1:$AQ$70,34,0)="Commune",(VLOOKUP($A52,Actions!$F$1:$AQ$70,24,0)-VLOOKUP($A52,Actions!$F$1:$AQ$70,26,0))/(1+VLOOKUP($A52,Actions!$F$1:$AQ$70,21,0)-VLOOKUP($A52,Actions!$F$1:$AQ$70,20,0)),0),0)</f>
        <v>0</v>
      </c>
      <c r="F52" s="1353">
        <v>0</v>
      </c>
      <c r="G52" s="1354" t="str">
        <f ca="1">IF(OR(Actions!$Y46=G$7,AND(Actions!$Y46&lt;=G$7,Actions!$Z46&gt;=G$7)),Actions!$AA46,"")</f>
        <v/>
      </c>
      <c r="H52" s="1353">
        <f ca="1">IF(G52&lt;&gt;"",VLOOKUP($A52,Actions!$F$1:$AQ$70,38,0)/(1+VLOOKUP($A52,Actions!$F$1:$AQ$70,21,0)-VLOOKUP($A52,Actions!$F$1:$AQ$70,20,0)),0)</f>
        <v>0</v>
      </c>
      <c r="I52" s="1353">
        <f ca="1">IF(G52&lt;&gt;"",IF(VLOOKUP($A52,Actions!$F$1:$AQ$70,34,0)="Commune",(VLOOKUP($A52,Actions!$F$1:$AQ$70,24,0)-VLOOKUP($A52,Actions!$F$1:$AQ$70,26,0))/(1+VLOOKUP($A52,Actions!$F$1:$AQ$70,21,0)-VLOOKUP($A52,Actions!$F$1:$AQ$70,20,0)),0),0)</f>
        <v>0</v>
      </c>
      <c r="J52" s="1353">
        <f ca="1">IF(C52="",F52,IF(AND(G52="",C52&lt;&gt;""),VLOOKUP($A52,Actions!$F$1:$AQ$70,31,0),0))</f>
        <v>0</v>
      </c>
      <c r="K52" s="1354" t="str">
        <f ca="1">IF(OR(Actions!$Y46=K$7,AND(Actions!$Y46&lt;=K$7,Actions!$Z46&gt;=K$7)),Actions!$AA46,"")</f>
        <v/>
      </c>
      <c r="L52" s="1353">
        <f ca="1">IF(K52&lt;&gt;"",VLOOKUP($A52,Actions!$F$1:$AQ$70,38,0)/(1+VLOOKUP($A52,Actions!$F$1:$AQ$70,21,0)-VLOOKUP($A52,Actions!$F$1:$AQ$70,20,0)),0)</f>
        <v>0</v>
      </c>
      <c r="M52" s="1353">
        <f ca="1">IF(K52&lt;&gt;"",IF(VLOOKUP($A52,Actions!$F$1:$AQ$70,34,0)="Commune",(VLOOKUP($A52,Actions!$F$1:$AQ$70,24,0)-VLOOKUP($A52,Actions!$F$1:$AQ$70,26,0))/(1+VLOOKUP($A52,Actions!$F$1:$AQ$70,21,0)-VLOOKUP($A52,Actions!$F$1:$AQ$70,20,0)),0),0)</f>
        <v>0</v>
      </c>
      <c r="N52" s="1353">
        <f ca="1">IF(G52="",J52,IF(AND(K52="",G52&lt;&gt;""),VLOOKUP($A52,Actions!$F$1:$AQ$70,31,0),0))</f>
        <v>0</v>
      </c>
      <c r="O52" s="1354" t="str">
        <f ca="1">IF(OR(Actions!$Y46=O$7,AND(Actions!$Y46&lt;=O$7,Actions!$Z46&gt;=O$7)),Actions!$AA46,"")</f>
        <v/>
      </c>
      <c r="P52" s="1353">
        <f ca="1">IF(O52&lt;&gt;"",VLOOKUP($A52,Actions!$F$1:$AQ$70,38,0)/(1+VLOOKUP($A52,Actions!$F$1:$AQ$70,21,0)-VLOOKUP($A52,Actions!$F$1:$AQ$70,20,0)),0)</f>
        <v>0</v>
      </c>
      <c r="Q52" s="1353">
        <f ca="1">IF(O52&lt;&gt;"",IF(VLOOKUP($A52,Actions!$F$1:$AQ$70,34,0)="Commune",(VLOOKUP($A52,Actions!$F$1:$AQ$70,24,0)-VLOOKUP($A52,Actions!$F$1:$AQ$70,26,0))/(1+VLOOKUP($A52,Actions!$F$1:$AQ$70,21,0)-VLOOKUP($A52,Actions!$F$1:$AQ$70,20,0)),0),0)</f>
        <v>0</v>
      </c>
      <c r="R52" s="1353">
        <f ca="1">IF(K52="",N52,IF(AND(O52="",K52&lt;&gt;""),VLOOKUP($A52,Actions!$F$1:$AQ$70,31,0),0))</f>
        <v>0</v>
      </c>
      <c r="S52" s="1354" t="str">
        <f ca="1">IF(OR(Actions!$Y46=S$7,AND(Actions!$Y46&lt;=S$7,Actions!$Z46&gt;=S$7)),Actions!$AA46,"")</f>
        <v/>
      </c>
      <c r="T52" s="1353">
        <f ca="1">IF(S52&lt;&gt;"",VLOOKUP($A52,Actions!$F$1:$AQ$70,38,0)/(1+VLOOKUP($A52,Actions!$F$1:$AQ$70,21,0)-VLOOKUP($A52,Actions!$F$1:$AQ$70,20,0)),0)</f>
        <v>0</v>
      </c>
      <c r="U52" s="1353">
        <f ca="1">IF(S52&lt;&gt;"",IF(VLOOKUP($A52,Actions!$F$1:$AQ$70,34,0)="Commune",(VLOOKUP($A52,Actions!$F$1:$AQ$70,24,0)-VLOOKUP($A52,Actions!$F$1:$AQ$70,26,0))/(1+VLOOKUP($A52,Actions!$F$1:$AQ$70,21,0)-VLOOKUP($A52,Actions!$F$1:$AQ$70,20,0)),0),0)</f>
        <v>0</v>
      </c>
      <c r="V52" s="1353">
        <f ca="1">IF(O52="",R52,IF(AND(S52="",O52&lt;&gt;""),VLOOKUP($A52,Actions!$F$1:$AQ$70,31,0),0))</f>
        <v>0</v>
      </c>
      <c r="W52" s="1354" t="str">
        <f ca="1">IF(OR(Actions!$Y46=W$7,AND(Actions!$Y46&lt;=W$7,Actions!$Z46&gt;=W$7)),Actions!$AA46,"")</f>
        <v/>
      </c>
      <c r="X52" s="1353">
        <f ca="1">IF(W52&lt;&gt;"",VLOOKUP($A52,Actions!$F$1:$AQ$70,38,0)/(1+VLOOKUP($A52,Actions!$F$1:$AQ$70,21,0)-VLOOKUP($A52,Actions!$F$1:$AQ$70,20,0)),0)</f>
        <v>0</v>
      </c>
      <c r="Y52" s="1353">
        <f ca="1">IF(W52&lt;&gt;"",IF(VLOOKUP($A52,Actions!$F$1:$AQ$70,34,0)="Commune",(VLOOKUP($A52,Actions!$F$1:$AQ$70,24,0)-VLOOKUP($A52,Actions!$F$1:$AQ$70,26,0))/(1+VLOOKUP($A52,Actions!$F$1:$AQ$70,21,0)-VLOOKUP($A52,Actions!$F$1:$AQ$70,20,0)),0),0)</f>
        <v>0</v>
      </c>
      <c r="Z52" s="1353">
        <f ca="1">IF(S52="",V52,IF(AND(W52="",S52&lt;&gt;""),VLOOKUP($A52,Actions!$F$1:$AQ$70,31,0),0))</f>
        <v>0</v>
      </c>
      <c r="AA52" s="1354" t="str">
        <f ca="1">IF(OR(Actions!$Y46=AA$7,AND(Actions!$Y46&lt;=AA$7,Actions!$Z46&gt;=AA$7)),Actions!$AA46,"")</f>
        <v/>
      </c>
      <c r="AB52" s="1353">
        <f ca="1">IF(AA52&lt;&gt;"",VLOOKUP($A52,Actions!$F$1:$AQ$70,38,0)/(1+VLOOKUP($A52,Actions!$F$1:$AQ$70,21,0)-VLOOKUP($A52,Actions!$F$1:$AQ$70,20,0)),0)</f>
        <v>0</v>
      </c>
      <c r="AC52" s="1353">
        <f ca="1">IF(AA52&lt;&gt;"",IF(VLOOKUP($A52,Actions!$F$1:$AQ$70,34,0)="Commune",(VLOOKUP($A52,Actions!$F$1:$AQ$70,24,0)-VLOOKUP($A52,Actions!$F$1:$AQ$70,26,0))/(1+VLOOKUP($A52,Actions!$F$1:$AQ$70,21,0)-VLOOKUP($A52,Actions!$F$1:$AQ$70,20,0)),0),0)</f>
        <v>0</v>
      </c>
      <c r="AD52" s="1353">
        <f ca="1">IF(W52="",Z52,IF(AND(AA52="",W52&lt;&gt;""),VLOOKUP($A52,Actions!$F$1:$AQ$70,31,0),0))</f>
        <v>0</v>
      </c>
      <c r="AE52" s="1354" t="str">
        <f ca="1">IF(OR(Actions!$Y46=AE$7,AND(Actions!$Y46&lt;=AE$7,Actions!$Z46&gt;=AE$7)),Actions!$AA46,"")</f>
        <v/>
      </c>
      <c r="AF52" s="1353">
        <f ca="1">IF(AE52&lt;&gt;"",VLOOKUP($A52,Actions!$F$1:$AQ$70,38,0)/(1+VLOOKUP($A52,Actions!$F$1:$AQ$70,21,0)-VLOOKUP($A52,Actions!$F$1:$AQ$70,20,0)),0)</f>
        <v>0</v>
      </c>
      <c r="AG52" s="1353">
        <f ca="1">IF(AE52&lt;&gt;"",IF(VLOOKUP($A52,Actions!$F$1:$AQ$70,34,0)="Commune",(VLOOKUP($A52,Actions!$F$1:$AQ$70,24,0)-VLOOKUP($A52,Actions!$F$1:$AQ$70,26,0))/(1+VLOOKUP($A52,Actions!$F$1:$AQ$70,21,0)-VLOOKUP($A52,Actions!$F$1:$AQ$70,20,0)),0),0)</f>
        <v>0</v>
      </c>
      <c r="AH52" s="1353">
        <f ca="1">IF(AA52="",AD52,IF(AND(AE52="",AA52&lt;&gt;""),VLOOKUP($A52,Actions!$F$1:$AQ$70,31,0),0))</f>
        <v>0</v>
      </c>
      <c r="AI52" s="1354" t="str">
        <f ca="1">IF(OR(Actions!$Y46=AI$7,AND(Actions!$Y46&lt;=AI$7,Actions!$Z46&gt;=AI$7)),Actions!$AA46,"")</f>
        <v/>
      </c>
      <c r="AJ52" s="1353">
        <f ca="1">IF(AI52&lt;&gt;"",VLOOKUP($A52,Actions!$F$1:$AQ$70,38,0)/(1+VLOOKUP($A52,Actions!$F$1:$AQ$70,21,0)-VLOOKUP($A52,Actions!$F$1:$AQ$70,20,0)),0)</f>
        <v>0</v>
      </c>
      <c r="AK52" s="1353">
        <f ca="1">IF(AI52&lt;&gt;"",IF(VLOOKUP($A52,Actions!$F$1:$AQ$70,34,0)="Commune",(VLOOKUP($A52,Actions!$F$1:$AQ$70,24,0)-VLOOKUP($A52,Actions!$F$1:$AQ$70,26,0))/(1+VLOOKUP($A52,Actions!$F$1:$AQ$70,21,0)-VLOOKUP($A52,Actions!$F$1:$AQ$70,20,0)),0),0)</f>
        <v>0</v>
      </c>
      <c r="AL52" s="1353">
        <f ca="1">IF(AE52="",AH52,IF(AND(AI52="",AE52&lt;&gt;""),VLOOKUP($A52,Actions!$F$1:$AQ$70,31,0),0))</f>
        <v>0</v>
      </c>
      <c r="AM52" s="1354" t="str">
        <f ca="1">IF(OR(Actions!$Y46=AM$7,AND(Actions!$Y46&lt;=AM$7,Actions!$Z46&gt;=AM$7)),Actions!$AA46,"")</f>
        <v/>
      </c>
      <c r="AN52" s="1353">
        <f ca="1">IF(AM52&lt;&gt;"",VLOOKUP($A52,Actions!$F$1:$AQ$70,38,0)/(1+VLOOKUP($A52,Actions!$F$1:$AQ$70,21,0)-VLOOKUP($A52,Actions!$F$1:$AQ$70,20,0)),0)</f>
        <v>0</v>
      </c>
      <c r="AO52" s="1353">
        <f ca="1">IF(AM52&lt;&gt;"",IF(VLOOKUP($A52,Actions!$F$1:$AQ$70,34,0)="Commune",(VLOOKUP($A52,Actions!$F$1:$AQ$70,24,0)-VLOOKUP($A52,Actions!$F$1:$AQ$70,26,0))/(1+VLOOKUP($A52,Actions!$F$1:$AQ$70,21,0)-VLOOKUP($A52,Actions!$F$1:$AQ$70,20,0)),0),0)</f>
        <v>0</v>
      </c>
      <c r="AP52" s="1353">
        <f ca="1">IF(AI52="",AL52,IF(AND(AM52="",AI52&lt;&gt;""),VLOOKUP($A52,Actions!$F$1:$AQ$70,31,0),0))</f>
        <v>0</v>
      </c>
      <c r="AQ52" s="1354" t="str">
        <f ca="1">IF(OR(Actions!$Y46=AQ$7,AND(Actions!$Y46&lt;=AQ$7,Actions!$Z46&gt;=AQ$7)),Actions!$AA46,"")</f>
        <v/>
      </c>
      <c r="AR52" s="1353">
        <f ca="1">IF(AQ52&lt;&gt;"",VLOOKUP($A52,Actions!$F$1:$AQ$70,38,0)/(1+VLOOKUP($A52,Actions!$F$1:$AQ$70,21,0)-VLOOKUP($A52,Actions!$F$1:$AQ$70,20,0)),0)</f>
        <v>0</v>
      </c>
      <c r="AS52" s="1353">
        <f ca="1">IF(AQ52&lt;&gt;"",IF(VLOOKUP($A52,Actions!$F$1:$AQ$70,34,0)="Commune",(VLOOKUP($A52,Actions!$F$1:$AQ$70,24,0)-VLOOKUP($A52,Actions!$F$1:$AQ$70,26,0))/(1+VLOOKUP($A52,Actions!$F$1:$AQ$70,21,0)-VLOOKUP($A52,Actions!$F$1:$AQ$70,20,0)),0),0)</f>
        <v>0</v>
      </c>
      <c r="AT52" s="1353">
        <f ca="1">IF(AM52="",AP52,IF(AND(AQ52="",AM52&lt;&gt;""),VLOOKUP($A52,Actions!$F$1:$AQ$70,31,0),0))</f>
        <v>0</v>
      </c>
      <c r="AU52" s="1354" t="str">
        <f ca="1">IF(OR(Actions!$Y46=AU$7,AND(Actions!$Y46&lt;=AU$7,Actions!$Z46&gt;=AU$7)),Actions!$AA46,"")</f>
        <v/>
      </c>
      <c r="AV52" s="1353">
        <f ca="1">IF(AU52&lt;&gt;"",VLOOKUP($A52,Actions!$F$1:$AQ$70,38,0)/(1+VLOOKUP($A52,Actions!$F$1:$AQ$70,21,0)-VLOOKUP($A52,Actions!$F$1:$AQ$70,20,0)),0)</f>
        <v>0</v>
      </c>
      <c r="AW52" s="1353">
        <f ca="1">IF(AU52&lt;&gt;"",IF(VLOOKUP($A52,Actions!$F$1:$AQ$70,34,0)="Commune",(VLOOKUP($A52,Actions!$F$1:$AQ$70,24,0)-VLOOKUP($A52,Actions!$F$1:$AQ$70,26,0))/(1+VLOOKUP($A52,Actions!$F$1:$AQ$70,21,0)-VLOOKUP($A52,Actions!$F$1:$AQ$70,20,0)),0),0)</f>
        <v>0</v>
      </c>
      <c r="AX52" s="1353">
        <f ca="1">IF(AQ52="",AT52,IF(AND(AU52="",AQ52&lt;&gt;""),VLOOKUP($A52,Actions!$F$1:$AQ$70,31,0),0))</f>
        <v>0</v>
      </c>
      <c r="AY52" s="1354" t="str">
        <f ca="1">IF(OR(Actions!$Y46=AY$7,AND(Actions!$Y46&lt;=AY$7,Actions!$Z46&gt;=AY$7)),Actions!$AA46,"")</f>
        <v/>
      </c>
      <c r="AZ52" s="1353">
        <f ca="1">IF(AY52&lt;&gt;"",VLOOKUP($A52,Actions!$F$1:$AQ$70,38,0)/(1+VLOOKUP($A52,Actions!$F$1:$AQ$70,21,0)-VLOOKUP($A52,Actions!$F$1:$AQ$70,20,0)),0)</f>
        <v>0</v>
      </c>
      <c r="BA52" s="1353">
        <f ca="1">IF(AY52&lt;&gt;"",IF(VLOOKUP($A52,Actions!$F$1:$AQ$70,34,0)="Commune",(VLOOKUP($A52,Actions!$F$1:$AQ$70,24,0)-VLOOKUP($A52,Actions!$F$1:$AQ$70,26,0))/(1+VLOOKUP($A52,Actions!$F$1:$AQ$70,21,0)-VLOOKUP($A52,Actions!$F$1:$AQ$70,20,0)),0),0)</f>
        <v>0</v>
      </c>
      <c r="BB52" s="1353">
        <f ca="1">IF(AU52="",AX52,IF(AND(AY52="",AU52&lt;&gt;""),VLOOKUP($A52,Actions!$F$1:$AQ$70,31,0),0))</f>
        <v>0</v>
      </c>
      <c r="BC52" s="1354" t="str">
        <f ca="1">IF(OR(Actions!$Y46=BC$7,AND(Actions!$Y46&lt;=BC$7,Actions!$Z46&gt;=BC$7)),Actions!$AA46,"")</f>
        <v/>
      </c>
      <c r="BD52" s="1353">
        <f ca="1">IF(BC52&lt;&gt;"",VLOOKUP($A52,Actions!$F$1:$AQ$70,38,0)/(1+VLOOKUP($A52,Actions!$F$1:$AQ$70,21,0)-VLOOKUP($A52,Actions!$F$1:$AQ$70,20,0)),0)</f>
        <v>0</v>
      </c>
      <c r="BE52" s="1353">
        <f ca="1">IF(BC52&lt;&gt;"",IF(VLOOKUP($A52,Actions!$F$1:$AQ$70,34,0)="Commune",(VLOOKUP($A52,Actions!$F$1:$AQ$70,24,0)-VLOOKUP($A52,Actions!$F$1:$AQ$70,26,0))/(1+VLOOKUP($A52,Actions!$F$1:$AQ$70,21,0)-VLOOKUP($A52,Actions!$F$1:$AQ$70,20,0)),0),0)</f>
        <v>0</v>
      </c>
      <c r="BF52" s="1353">
        <f ca="1">IF(AY52="",BB52,IF(AND(BC52="",AY52&lt;&gt;""),VLOOKUP($A52,Actions!$F$1:$AQ$70,31,0),0))</f>
        <v>0</v>
      </c>
      <c r="BG52" s="1355">
        <f t="shared" ca="1" si="0"/>
        <v>0</v>
      </c>
      <c r="BJ52" s="233"/>
      <c r="BK52" s="233"/>
      <c r="BL52" s="233"/>
      <c r="BM52" s="233"/>
      <c r="BN52" s="233"/>
      <c r="BO52" s="233"/>
    </row>
    <row r="53" spans="1:67">
      <c r="A53" s="1349">
        <f>Actions!F47</f>
        <v>46</v>
      </c>
      <c r="B53" s="1352">
        <f>Actions!G47</f>
        <v>0</v>
      </c>
      <c r="C53" s="1353" t="str">
        <f>IF(OR(AND(Actions!Y47&gt;0,Actions!Y47&lt;=$C$7,Actions!Z47&gt;=$C$7),AND(Actions!Y47&gt;0,Actions!Y47&lt;=$C$7,Actions!Z47&lt;Actions!Y47),AND(Actions!Y47=0,Actions!Z47&gt;=$C$7)),Actions!$AA47,"")</f>
        <v/>
      </c>
      <c r="D53" s="1353">
        <f>IF(C53&lt;&gt;"",VLOOKUP($A53,Actions!$F$1:$AQ$70,38,0)/(1+VLOOKUP($A53,Actions!$F$1:$AQ$70,21,0)-VLOOKUP($A53,Actions!$F$1:$AQ$70,20,0)),0)</f>
        <v>0</v>
      </c>
      <c r="E53" s="1353">
        <f>IF(C53&lt;&gt;"",IF(VLOOKUP($A53,Actions!$F$1:$AQ$70,34,0)="Commune",(VLOOKUP($A53,Actions!$F$1:$AQ$70,24,0)-VLOOKUP($A53,Actions!$F$1:$AQ$70,26,0))/(1+VLOOKUP($A53,Actions!$F$1:$AQ$70,21,0)-VLOOKUP($A53,Actions!$F$1:$AQ$70,20,0)),0),0)</f>
        <v>0</v>
      </c>
      <c r="F53" s="1353">
        <v>0</v>
      </c>
      <c r="G53" s="1354" t="str">
        <f>IF(OR(Actions!$Y47=G$7,AND(Actions!$Y47&lt;=G$7,Actions!$Z47&gt;=G$7)),Actions!$AA47,"")</f>
        <v/>
      </c>
      <c r="H53" s="1353">
        <f>IF(G53&lt;&gt;"",VLOOKUP($A53,Actions!$F$1:$AQ$70,38,0)/(1+VLOOKUP($A53,Actions!$F$1:$AQ$70,21,0)-VLOOKUP($A53,Actions!$F$1:$AQ$70,20,0)),0)</f>
        <v>0</v>
      </c>
      <c r="I53" s="1353">
        <f>IF(G53&lt;&gt;"",IF(VLOOKUP($A53,Actions!$F$1:$AQ$70,34,0)="Commune",(VLOOKUP($A53,Actions!$F$1:$AQ$70,24,0)-VLOOKUP($A53,Actions!$F$1:$AQ$70,26,0))/(1+VLOOKUP($A53,Actions!$F$1:$AQ$70,21,0)-VLOOKUP($A53,Actions!$F$1:$AQ$70,20,0)),0),0)</f>
        <v>0</v>
      </c>
      <c r="J53" s="1353">
        <f>IF(C53="",F53,IF(AND(G53="",C53&lt;&gt;""),VLOOKUP($A53,Actions!$F$1:$AQ$70,31,0),0))</f>
        <v>0</v>
      </c>
      <c r="K53" s="1354" t="str">
        <f>IF(OR(Actions!$Y47=K$7,AND(Actions!$Y47&lt;=K$7,Actions!$Z47&gt;=K$7)),Actions!$AA47,"")</f>
        <v/>
      </c>
      <c r="L53" s="1353">
        <f>IF(K53&lt;&gt;"",VLOOKUP($A53,Actions!$F$1:$AQ$70,38,0)/(1+VLOOKUP($A53,Actions!$F$1:$AQ$70,21,0)-VLOOKUP($A53,Actions!$F$1:$AQ$70,20,0)),0)</f>
        <v>0</v>
      </c>
      <c r="M53" s="1353">
        <f>IF(K53&lt;&gt;"",IF(VLOOKUP($A53,Actions!$F$1:$AQ$70,34,0)="Commune",(VLOOKUP($A53,Actions!$F$1:$AQ$70,24,0)-VLOOKUP($A53,Actions!$F$1:$AQ$70,26,0))/(1+VLOOKUP($A53,Actions!$F$1:$AQ$70,21,0)-VLOOKUP($A53,Actions!$F$1:$AQ$70,20,0)),0),0)</f>
        <v>0</v>
      </c>
      <c r="N53" s="1353">
        <f>IF(G53="",J53,IF(AND(K53="",G53&lt;&gt;""),VLOOKUP($A53,Actions!$F$1:$AQ$70,31,0),0))</f>
        <v>0</v>
      </c>
      <c r="O53" s="1354" t="str">
        <f>IF(OR(Actions!$Y47=O$7,AND(Actions!$Y47&lt;=O$7,Actions!$Z47&gt;=O$7)),Actions!$AA47,"")</f>
        <v/>
      </c>
      <c r="P53" s="1353">
        <f>IF(O53&lt;&gt;"",VLOOKUP($A53,Actions!$F$1:$AQ$70,38,0)/(1+VLOOKUP($A53,Actions!$F$1:$AQ$70,21,0)-VLOOKUP($A53,Actions!$F$1:$AQ$70,20,0)),0)</f>
        <v>0</v>
      </c>
      <c r="Q53" s="1353">
        <f>IF(O53&lt;&gt;"",IF(VLOOKUP($A53,Actions!$F$1:$AQ$70,34,0)="Commune",(VLOOKUP($A53,Actions!$F$1:$AQ$70,24,0)-VLOOKUP($A53,Actions!$F$1:$AQ$70,26,0))/(1+VLOOKUP($A53,Actions!$F$1:$AQ$70,21,0)-VLOOKUP($A53,Actions!$F$1:$AQ$70,20,0)),0),0)</f>
        <v>0</v>
      </c>
      <c r="R53" s="1353">
        <f>IF(K53="",N53,IF(AND(O53="",K53&lt;&gt;""),VLOOKUP($A53,Actions!$F$1:$AQ$70,31,0),0))</f>
        <v>0</v>
      </c>
      <c r="S53" s="1354" t="str">
        <f>IF(OR(Actions!$Y47=S$7,AND(Actions!$Y47&lt;=S$7,Actions!$Z47&gt;=S$7)),Actions!$AA47,"")</f>
        <v/>
      </c>
      <c r="T53" s="1353">
        <f>IF(S53&lt;&gt;"",VLOOKUP($A53,Actions!$F$1:$AQ$70,38,0)/(1+VLOOKUP($A53,Actions!$F$1:$AQ$70,21,0)-VLOOKUP($A53,Actions!$F$1:$AQ$70,20,0)),0)</f>
        <v>0</v>
      </c>
      <c r="U53" s="1353">
        <f>IF(S53&lt;&gt;"",IF(VLOOKUP($A53,Actions!$F$1:$AQ$70,34,0)="Commune",(VLOOKUP($A53,Actions!$F$1:$AQ$70,24,0)-VLOOKUP($A53,Actions!$F$1:$AQ$70,26,0))/(1+VLOOKUP($A53,Actions!$F$1:$AQ$70,21,0)-VLOOKUP($A53,Actions!$F$1:$AQ$70,20,0)),0),0)</f>
        <v>0</v>
      </c>
      <c r="V53" s="1353">
        <f>IF(O53="",R53,IF(AND(S53="",O53&lt;&gt;""),VLOOKUP($A53,Actions!$F$1:$AQ$70,31,0),0))</f>
        <v>0</v>
      </c>
      <c r="W53" s="1354" t="str">
        <f>IF(OR(Actions!$Y47=W$7,AND(Actions!$Y47&lt;=W$7,Actions!$Z47&gt;=W$7)),Actions!$AA47,"")</f>
        <v/>
      </c>
      <c r="X53" s="1353">
        <f>IF(W53&lt;&gt;"",VLOOKUP($A53,Actions!$F$1:$AQ$70,38,0)/(1+VLOOKUP($A53,Actions!$F$1:$AQ$70,21,0)-VLOOKUP($A53,Actions!$F$1:$AQ$70,20,0)),0)</f>
        <v>0</v>
      </c>
      <c r="Y53" s="1353">
        <f>IF(W53&lt;&gt;"",IF(VLOOKUP($A53,Actions!$F$1:$AQ$70,34,0)="Commune",(VLOOKUP($A53,Actions!$F$1:$AQ$70,24,0)-VLOOKUP($A53,Actions!$F$1:$AQ$70,26,0))/(1+VLOOKUP($A53,Actions!$F$1:$AQ$70,21,0)-VLOOKUP($A53,Actions!$F$1:$AQ$70,20,0)),0),0)</f>
        <v>0</v>
      </c>
      <c r="Z53" s="1353">
        <f>IF(S53="",V53,IF(AND(W53="",S53&lt;&gt;""),VLOOKUP($A53,Actions!$F$1:$AQ$70,31,0),0))</f>
        <v>0</v>
      </c>
      <c r="AA53" s="1354" t="str">
        <f>IF(OR(Actions!$Y47=AA$7,AND(Actions!$Y47&lt;=AA$7,Actions!$Z47&gt;=AA$7)),Actions!$AA47,"")</f>
        <v/>
      </c>
      <c r="AB53" s="1353">
        <f>IF(AA53&lt;&gt;"",VLOOKUP($A53,Actions!$F$1:$AQ$70,38,0)/(1+VLOOKUP($A53,Actions!$F$1:$AQ$70,21,0)-VLOOKUP($A53,Actions!$F$1:$AQ$70,20,0)),0)</f>
        <v>0</v>
      </c>
      <c r="AC53" s="1353">
        <f>IF(AA53&lt;&gt;"",IF(VLOOKUP($A53,Actions!$F$1:$AQ$70,34,0)="Commune",(VLOOKUP($A53,Actions!$F$1:$AQ$70,24,0)-VLOOKUP($A53,Actions!$F$1:$AQ$70,26,0))/(1+VLOOKUP($A53,Actions!$F$1:$AQ$70,21,0)-VLOOKUP($A53,Actions!$F$1:$AQ$70,20,0)),0),0)</f>
        <v>0</v>
      </c>
      <c r="AD53" s="1353">
        <f>IF(W53="",Z53,IF(AND(AA53="",W53&lt;&gt;""),VLOOKUP($A53,Actions!$F$1:$AQ$70,31,0),0))</f>
        <v>0</v>
      </c>
      <c r="AE53" s="1354" t="str">
        <f>IF(OR(Actions!$Y47=AE$7,AND(Actions!$Y47&lt;=AE$7,Actions!$Z47&gt;=AE$7)),Actions!$AA47,"")</f>
        <v/>
      </c>
      <c r="AF53" s="1353">
        <f>IF(AE53&lt;&gt;"",VLOOKUP($A53,Actions!$F$1:$AQ$70,38,0)/(1+VLOOKUP($A53,Actions!$F$1:$AQ$70,21,0)-VLOOKUP($A53,Actions!$F$1:$AQ$70,20,0)),0)</f>
        <v>0</v>
      </c>
      <c r="AG53" s="1353">
        <f>IF(AE53&lt;&gt;"",IF(VLOOKUP($A53,Actions!$F$1:$AQ$70,34,0)="Commune",(VLOOKUP($A53,Actions!$F$1:$AQ$70,24,0)-VLOOKUP($A53,Actions!$F$1:$AQ$70,26,0))/(1+VLOOKUP($A53,Actions!$F$1:$AQ$70,21,0)-VLOOKUP($A53,Actions!$F$1:$AQ$70,20,0)),0),0)</f>
        <v>0</v>
      </c>
      <c r="AH53" s="1353">
        <f>IF(AA53="",AD53,IF(AND(AE53="",AA53&lt;&gt;""),VLOOKUP($A53,Actions!$F$1:$AQ$70,31,0),0))</f>
        <v>0</v>
      </c>
      <c r="AI53" s="1354" t="str">
        <f>IF(OR(Actions!$Y47=AI$7,AND(Actions!$Y47&lt;=AI$7,Actions!$Z47&gt;=AI$7)),Actions!$AA47,"")</f>
        <v/>
      </c>
      <c r="AJ53" s="1353">
        <f>IF(AI53&lt;&gt;"",VLOOKUP($A53,Actions!$F$1:$AQ$70,38,0)/(1+VLOOKUP($A53,Actions!$F$1:$AQ$70,21,0)-VLOOKUP($A53,Actions!$F$1:$AQ$70,20,0)),0)</f>
        <v>0</v>
      </c>
      <c r="AK53" s="1353">
        <f>IF(AI53&lt;&gt;"",IF(VLOOKUP($A53,Actions!$F$1:$AQ$70,34,0)="Commune",(VLOOKUP($A53,Actions!$F$1:$AQ$70,24,0)-VLOOKUP($A53,Actions!$F$1:$AQ$70,26,0))/(1+VLOOKUP($A53,Actions!$F$1:$AQ$70,21,0)-VLOOKUP($A53,Actions!$F$1:$AQ$70,20,0)),0),0)</f>
        <v>0</v>
      </c>
      <c r="AL53" s="1353">
        <f>IF(AE53="",AH53,IF(AND(AI53="",AE53&lt;&gt;""),VLOOKUP($A53,Actions!$F$1:$AQ$70,31,0),0))</f>
        <v>0</v>
      </c>
      <c r="AM53" s="1354" t="str">
        <f>IF(OR(Actions!$Y47=AM$7,AND(Actions!$Y47&lt;=AM$7,Actions!$Z47&gt;=AM$7)),Actions!$AA47,"")</f>
        <v/>
      </c>
      <c r="AN53" s="1353">
        <f>IF(AM53&lt;&gt;"",VLOOKUP($A53,Actions!$F$1:$AQ$70,38,0)/(1+VLOOKUP($A53,Actions!$F$1:$AQ$70,21,0)-VLOOKUP($A53,Actions!$F$1:$AQ$70,20,0)),0)</f>
        <v>0</v>
      </c>
      <c r="AO53" s="1353">
        <f>IF(AM53&lt;&gt;"",IF(VLOOKUP($A53,Actions!$F$1:$AQ$70,34,0)="Commune",(VLOOKUP($A53,Actions!$F$1:$AQ$70,24,0)-VLOOKUP($A53,Actions!$F$1:$AQ$70,26,0))/(1+VLOOKUP($A53,Actions!$F$1:$AQ$70,21,0)-VLOOKUP($A53,Actions!$F$1:$AQ$70,20,0)),0),0)</f>
        <v>0</v>
      </c>
      <c r="AP53" s="1353">
        <f>IF(AI53="",AL53,IF(AND(AM53="",AI53&lt;&gt;""),VLOOKUP($A53,Actions!$F$1:$AQ$70,31,0),0))</f>
        <v>0</v>
      </c>
      <c r="AQ53" s="1354" t="str">
        <f>IF(OR(Actions!$Y47=AQ$7,AND(Actions!$Y47&lt;=AQ$7,Actions!$Z47&gt;=AQ$7)),Actions!$AA47,"")</f>
        <v/>
      </c>
      <c r="AR53" s="1353">
        <f>IF(AQ53&lt;&gt;"",VLOOKUP($A53,Actions!$F$1:$AQ$70,38,0)/(1+VLOOKUP($A53,Actions!$F$1:$AQ$70,21,0)-VLOOKUP($A53,Actions!$F$1:$AQ$70,20,0)),0)</f>
        <v>0</v>
      </c>
      <c r="AS53" s="1353">
        <f>IF(AQ53&lt;&gt;"",IF(VLOOKUP($A53,Actions!$F$1:$AQ$70,34,0)="Commune",(VLOOKUP($A53,Actions!$F$1:$AQ$70,24,0)-VLOOKUP($A53,Actions!$F$1:$AQ$70,26,0))/(1+VLOOKUP($A53,Actions!$F$1:$AQ$70,21,0)-VLOOKUP($A53,Actions!$F$1:$AQ$70,20,0)),0),0)</f>
        <v>0</v>
      </c>
      <c r="AT53" s="1353">
        <f>IF(AM53="",AP53,IF(AND(AQ53="",AM53&lt;&gt;""),VLOOKUP($A53,Actions!$F$1:$AQ$70,31,0),0))</f>
        <v>0</v>
      </c>
      <c r="AU53" s="1354" t="str">
        <f>IF(OR(Actions!$Y47=AU$7,AND(Actions!$Y47&lt;=AU$7,Actions!$Z47&gt;=AU$7)),Actions!$AA47,"")</f>
        <v/>
      </c>
      <c r="AV53" s="1353">
        <f>IF(AU53&lt;&gt;"",VLOOKUP($A53,Actions!$F$1:$AQ$70,38,0)/(1+VLOOKUP($A53,Actions!$F$1:$AQ$70,21,0)-VLOOKUP($A53,Actions!$F$1:$AQ$70,20,0)),0)</f>
        <v>0</v>
      </c>
      <c r="AW53" s="1353">
        <f>IF(AU53&lt;&gt;"",IF(VLOOKUP($A53,Actions!$F$1:$AQ$70,34,0)="Commune",(VLOOKUP($A53,Actions!$F$1:$AQ$70,24,0)-VLOOKUP($A53,Actions!$F$1:$AQ$70,26,0))/(1+VLOOKUP($A53,Actions!$F$1:$AQ$70,21,0)-VLOOKUP($A53,Actions!$F$1:$AQ$70,20,0)),0),0)</f>
        <v>0</v>
      </c>
      <c r="AX53" s="1353">
        <f>IF(AQ53="",AT53,IF(AND(AU53="",AQ53&lt;&gt;""),VLOOKUP($A53,Actions!$F$1:$AQ$70,31,0),0))</f>
        <v>0</v>
      </c>
      <c r="AY53" s="1354" t="str">
        <f>IF(OR(Actions!$Y47=AY$7,AND(Actions!$Y47&lt;=AY$7,Actions!$Z47&gt;=AY$7)),Actions!$AA47,"")</f>
        <v/>
      </c>
      <c r="AZ53" s="1353">
        <f>IF(AY53&lt;&gt;"",VLOOKUP($A53,Actions!$F$1:$AQ$70,38,0)/(1+VLOOKUP($A53,Actions!$F$1:$AQ$70,21,0)-VLOOKUP($A53,Actions!$F$1:$AQ$70,20,0)),0)</f>
        <v>0</v>
      </c>
      <c r="BA53" s="1353">
        <f>IF(AY53&lt;&gt;"",IF(VLOOKUP($A53,Actions!$F$1:$AQ$70,34,0)="Commune",(VLOOKUP($A53,Actions!$F$1:$AQ$70,24,0)-VLOOKUP($A53,Actions!$F$1:$AQ$70,26,0))/(1+VLOOKUP($A53,Actions!$F$1:$AQ$70,21,0)-VLOOKUP($A53,Actions!$F$1:$AQ$70,20,0)),0),0)</f>
        <v>0</v>
      </c>
      <c r="BB53" s="1353">
        <f>IF(AU53="",AX53,IF(AND(AY53="",AU53&lt;&gt;""),VLOOKUP($A53,Actions!$F$1:$AQ$70,31,0),0))</f>
        <v>0</v>
      </c>
      <c r="BC53" s="1354" t="str">
        <f>IF(OR(Actions!$Y47=BC$7,AND(Actions!$Y47&lt;=BC$7,Actions!$Z47&gt;=BC$7)),Actions!$AA47,"")</f>
        <v/>
      </c>
      <c r="BD53" s="1353">
        <f>IF(BC53&lt;&gt;"",VLOOKUP($A53,Actions!$F$1:$AQ$70,38,0)/(1+VLOOKUP($A53,Actions!$F$1:$AQ$70,21,0)-VLOOKUP($A53,Actions!$F$1:$AQ$70,20,0)),0)</f>
        <v>0</v>
      </c>
      <c r="BE53" s="1353">
        <f>IF(BC53&lt;&gt;"",IF(VLOOKUP($A53,Actions!$F$1:$AQ$70,34,0)="Commune",(VLOOKUP($A53,Actions!$F$1:$AQ$70,24,0)-VLOOKUP($A53,Actions!$F$1:$AQ$70,26,0))/(1+VLOOKUP($A53,Actions!$F$1:$AQ$70,21,0)-VLOOKUP($A53,Actions!$F$1:$AQ$70,20,0)),0),0)</f>
        <v>0</v>
      </c>
      <c r="BF53" s="1353">
        <f>IF(AY53="",BB53,IF(AND(BC53="",AY53&lt;&gt;""),VLOOKUP($A53,Actions!$F$1:$AQ$70,31,0),0))</f>
        <v>0</v>
      </c>
      <c r="BG53" s="1355">
        <f t="shared" si="0"/>
        <v>0</v>
      </c>
      <c r="BJ53" s="233"/>
      <c r="BK53" s="233"/>
      <c r="BL53" s="233"/>
      <c r="BM53" s="233"/>
      <c r="BN53" s="233"/>
      <c r="BO53" s="233"/>
    </row>
    <row r="54" spans="1:67">
      <c r="A54" s="1349">
        <f>Actions!F48</f>
        <v>47</v>
      </c>
      <c r="B54" s="1352">
        <f>Actions!G48</f>
        <v>0</v>
      </c>
      <c r="C54" s="1353" t="str">
        <f>IF(OR(AND(Actions!Y48&gt;0,Actions!Y48&lt;=$C$7,Actions!Z48&gt;=$C$7),AND(Actions!Y48&gt;0,Actions!Y48&lt;=$C$7,Actions!Z48&lt;Actions!Y48),AND(Actions!Y48=0,Actions!Z48&gt;=$C$7)),Actions!$AA48,"")</f>
        <v/>
      </c>
      <c r="D54" s="1353">
        <f>IF(C54&lt;&gt;"",VLOOKUP($A54,Actions!$F$1:$AQ$70,38,0)/(1+VLOOKUP($A54,Actions!$F$1:$AQ$70,21,0)-VLOOKUP($A54,Actions!$F$1:$AQ$70,20,0)),0)</f>
        <v>0</v>
      </c>
      <c r="E54" s="1353">
        <f>IF(C54&lt;&gt;"",IF(VLOOKUP($A54,Actions!$F$1:$AQ$70,34,0)="Commune",(VLOOKUP($A54,Actions!$F$1:$AQ$70,24,0)-VLOOKUP($A54,Actions!$F$1:$AQ$70,26,0))/(1+VLOOKUP($A54,Actions!$F$1:$AQ$70,21,0)-VLOOKUP($A54,Actions!$F$1:$AQ$70,20,0)),0),0)</f>
        <v>0</v>
      </c>
      <c r="F54" s="1353">
        <v>0</v>
      </c>
      <c r="G54" s="1354" t="str">
        <f>IF(OR(Actions!$Y48=G$7,AND(Actions!$Y48&lt;=G$7,Actions!$Z48&gt;=G$7)),Actions!$AA48,"")</f>
        <v/>
      </c>
      <c r="H54" s="1353">
        <f>IF(G54&lt;&gt;"",VLOOKUP($A54,Actions!$F$1:$AQ$70,38,0)/(1+VLOOKUP($A54,Actions!$F$1:$AQ$70,21,0)-VLOOKUP($A54,Actions!$F$1:$AQ$70,20,0)),0)</f>
        <v>0</v>
      </c>
      <c r="I54" s="1353">
        <f>IF(G54&lt;&gt;"",IF(VLOOKUP($A54,Actions!$F$1:$AQ$70,34,0)="Commune",(VLOOKUP($A54,Actions!$F$1:$AQ$70,24,0)-VLOOKUP($A54,Actions!$F$1:$AQ$70,26,0))/(1+VLOOKUP($A54,Actions!$F$1:$AQ$70,21,0)-VLOOKUP($A54,Actions!$F$1:$AQ$70,20,0)),0),0)</f>
        <v>0</v>
      </c>
      <c r="J54" s="1353">
        <f>IF(C54="",F54,IF(AND(G54="",C54&lt;&gt;""),VLOOKUP($A54,Actions!$F$1:$AQ$70,31,0),0))</f>
        <v>0</v>
      </c>
      <c r="K54" s="1354" t="str">
        <f>IF(OR(Actions!$Y48=K$7,AND(Actions!$Y48&lt;=K$7,Actions!$Z48&gt;=K$7)),Actions!$AA48,"")</f>
        <v/>
      </c>
      <c r="L54" s="1353">
        <f>IF(K54&lt;&gt;"",VLOOKUP($A54,Actions!$F$1:$AQ$70,38,0)/(1+VLOOKUP($A54,Actions!$F$1:$AQ$70,21,0)-VLOOKUP($A54,Actions!$F$1:$AQ$70,20,0)),0)</f>
        <v>0</v>
      </c>
      <c r="M54" s="1353">
        <f>IF(K54&lt;&gt;"",IF(VLOOKUP($A54,Actions!$F$1:$AQ$70,34,0)="Commune",(VLOOKUP($A54,Actions!$F$1:$AQ$70,24,0)-VLOOKUP($A54,Actions!$F$1:$AQ$70,26,0))/(1+VLOOKUP($A54,Actions!$F$1:$AQ$70,21,0)-VLOOKUP($A54,Actions!$F$1:$AQ$70,20,0)),0),0)</f>
        <v>0</v>
      </c>
      <c r="N54" s="1353">
        <f>IF(G54="",J54,IF(AND(K54="",G54&lt;&gt;""),VLOOKUP($A54,Actions!$F$1:$AQ$70,31,0),0))</f>
        <v>0</v>
      </c>
      <c r="O54" s="1354" t="str">
        <f>IF(OR(Actions!$Y48=O$7,AND(Actions!$Y48&lt;=O$7,Actions!$Z48&gt;=O$7)),Actions!$AA48,"")</f>
        <v/>
      </c>
      <c r="P54" s="1353">
        <f>IF(O54&lt;&gt;"",VLOOKUP($A54,Actions!$F$1:$AQ$70,38,0)/(1+VLOOKUP($A54,Actions!$F$1:$AQ$70,21,0)-VLOOKUP($A54,Actions!$F$1:$AQ$70,20,0)),0)</f>
        <v>0</v>
      </c>
      <c r="Q54" s="1353">
        <f>IF(O54&lt;&gt;"",IF(VLOOKUP($A54,Actions!$F$1:$AQ$70,34,0)="Commune",(VLOOKUP($A54,Actions!$F$1:$AQ$70,24,0)-VLOOKUP($A54,Actions!$F$1:$AQ$70,26,0))/(1+VLOOKUP($A54,Actions!$F$1:$AQ$70,21,0)-VLOOKUP($A54,Actions!$F$1:$AQ$70,20,0)),0),0)</f>
        <v>0</v>
      </c>
      <c r="R54" s="1353">
        <f>IF(K54="",N54,IF(AND(O54="",K54&lt;&gt;""),VLOOKUP($A54,Actions!$F$1:$AQ$70,31,0),0))</f>
        <v>0</v>
      </c>
      <c r="S54" s="1354" t="str">
        <f>IF(OR(Actions!$Y48=S$7,AND(Actions!$Y48&lt;=S$7,Actions!$Z48&gt;=S$7)),Actions!$AA48,"")</f>
        <v/>
      </c>
      <c r="T54" s="1353">
        <f>IF(S54&lt;&gt;"",VLOOKUP($A54,Actions!$F$1:$AQ$70,38,0)/(1+VLOOKUP($A54,Actions!$F$1:$AQ$70,21,0)-VLOOKUP($A54,Actions!$F$1:$AQ$70,20,0)),0)</f>
        <v>0</v>
      </c>
      <c r="U54" s="1353">
        <f>IF(S54&lt;&gt;"",IF(VLOOKUP($A54,Actions!$F$1:$AQ$70,34,0)="Commune",(VLOOKUP($A54,Actions!$F$1:$AQ$70,24,0)-VLOOKUP($A54,Actions!$F$1:$AQ$70,26,0))/(1+VLOOKUP($A54,Actions!$F$1:$AQ$70,21,0)-VLOOKUP($A54,Actions!$F$1:$AQ$70,20,0)),0),0)</f>
        <v>0</v>
      </c>
      <c r="V54" s="1353">
        <f>IF(O54="",R54,IF(AND(S54="",O54&lt;&gt;""),VLOOKUP($A54,Actions!$F$1:$AQ$70,31,0),0))</f>
        <v>0</v>
      </c>
      <c r="W54" s="1354" t="str">
        <f>IF(OR(Actions!$Y48=W$7,AND(Actions!$Y48&lt;=W$7,Actions!$Z48&gt;=W$7)),Actions!$AA48,"")</f>
        <v/>
      </c>
      <c r="X54" s="1353">
        <f>IF(W54&lt;&gt;"",VLOOKUP($A54,Actions!$F$1:$AQ$70,38,0)/(1+VLOOKUP($A54,Actions!$F$1:$AQ$70,21,0)-VLOOKUP($A54,Actions!$F$1:$AQ$70,20,0)),0)</f>
        <v>0</v>
      </c>
      <c r="Y54" s="1353">
        <f>IF(W54&lt;&gt;"",IF(VLOOKUP($A54,Actions!$F$1:$AQ$70,34,0)="Commune",(VLOOKUP($A54,Actions!$F$1:$AQ$70,24,0)-VLOOKUP($A54,Actions!$F$1:$AQ$70,26,0))/(1+VLOOKUP($A54,Actions!$F$1:$AQ$70,21,0)-VLOOKUP($A54,Actions!$F$1:$AQ$70,20,0)),0),0)</f>
        <v>0</v>
      </c>
      <c r="Z54" s="1353">
        <f>IF(S54="",V54,IF(AND(W54="",S54&lt;&gt;""),VLOOKUP($A54,Actions!$F$1:$AQ$70,31,0),0))</f>
        <v>0</v>
      </c>
      <c r="AA54" s="1354" t="str">
        <f>IF(OR(Actions!$Y48=AA$7,AND(Actions!$Y48&lt;=AA$7,Actions!$Z48&gt;=AA$7)),Actions!$AA48,"")</f>
        <v/>
      </c>
      <c r="AB54" s="1353">
        <f>IF(AA54&lt;&gt;"",VLOOKUP($A54,Actions!$F$1:$AQ$70,38,0)/(1+VLOOKUP($A54,Actions!$F$1:$AQ$70,21,0)-VLOOKUP($A54,Actions!$F$1:$AQ$70,20,0)),0)</f>
        <v>0</v>
      </c>
      <c r="AC54" s="1353">
        <f>IF(AA54&lt;&gt;"",IF(VLOOKUP($A54,Actions!$F$1:$AQ$70,34,0)="Commune",(VLOOKUP($A54,Actions!$F$1:$AQ$70,24,0)-VLOOKUP($A54,Actions!$F$1:$AQ$70,26,0))/(1+VLOOKUP($A54,Actions!$F$1:$AQ$70,21,0)-VLOOKUP($A54,Actions!$F$1:$AQ$70,20,0)),0),0)</f>
        <v>0</v>
      </c>
      <c r="AD54" s="1353">
        <f>IF(W54="",Z54,IF(AND(AA54="",W54&lt;&gt;""),VLOOKUP($A54,Actions!$F$1:$AQ$70,31,0),0))</f>
        <v>0</v>
      </c>
      <c r="AE54" s="1354" t="str">
        <f>IF(OR(Actions!$Y48=AE$7,AND(Actions!$Y48&lt;=AE$7,Actions!$Z48&gt;=AE$7)),Actions!$AA48,"")</f>
        <v/>
      </c>
      <c r="AF54" s="1353">
        <f>IF(AE54&lt;&gt;"",VLOOKUP($A54,Actions!$F$1:$AQ$70,38,0)/(1+VLOOKUP($A54,Actions!$F$1:$AQ$70,21,0)-VLOOKUP($A54,Actions!$F$1:$AQ$70,20,0)),0)</f>
        <v>0</v>
      </c>
      <c r="AG54" s="1353">
        <f>IF(AE54&lt;&gt;"",IF(VLOOKUP($A54,Actions!$F$1:$AQ$70,34,0)="Commune",(VLOOKUP($A54,Actions!$F$1:$AQ$70,24,0)-VLOOKUP($A54,Actions!$F$1:$AQ$70,26,0))/(1+VLOOKUP($A54,Actions!$F$1:$AQ$70,21,0)-VLOOKUP($A54,Actions!$F$1:$AQ$70,20,0)),0),0)</f>
        <v>0</v>
      </c>
      <c r="AH54" s="1353">
        <f>IF(AA54="",AD54,IF(AND(AE54="",AA54&lt;&gt;""),VLOOKUP($A54,Actions!$F$1:$AQ$70,31,0),0))</f>
        <v>0</v>
      </c>
      <c r="AI54" s="1354" t="str">
        <f>IF(OR(Actions!$Y48=AI$7,AND(Actions!$Y48&lt;=AI$7,Actions!$Z48&gt;=AI$7)),Actions!$AA48,"")</f>
        <v/>
      </c>
      <c r="AJ54" s="1353">
        <f>IF(AI54&lt;&gt;"",VLOOKUP($A54,Actions!$F$1:$AQ$70,38,0)/(1+VLOOKUP($A54,Actions!$F$1:$AQ$70,21,0)-VLOOKUP($A54,Actions!$F$1:$AQ$70,20,0)),0)</f>
        <v>0</v>
      </c>
      <c r="AK54" s="1353">
        <f>IF(AI54&lt;&gt;"",IF(VLOOKUP($A54,Actions!$F$1:$AQ$70,34,0)="Commune",(VLOOKUP($A54,Actions!$F$1:$AQ$70,24,0)-VLOOKUP($A54,Actions!$F$1:$AQ$70,26,0))/(1+VLOOKUP($A54,Actions!$F$1:$AQ$70,21,0)-VLOOKUP($A54,Actions!$F$1:$AQ$70,20,0)),0),0)</f>
        <v>0</v>
      </c>
      <c r="AL54" s="1353">
        <f>IF(AE54="",AH54,IF(AND(AI54="",AE54&lt;&gt;""),VLOOKUP($A54,Actions!$F$1:$AQ$70,31,0),0))</f>
        <v>0</v>
      </c>
      <c r="AM54" s="1354" t="str">
        <f>IF(OR(Actions!$Y48=AM$7,AND(Actions!$Y48&lt;=AM$7,Actions!$Z48&gt;=AM$7)),Actions!$AA48,"")</f>
        <v/>
      </c>
      <c r="AN54" s="1353">
        <f>IF(AM54&lt;&gt;"",VLOOKUP($A54,Actions!$F$1:$AQ$70,38,0)/(1+VLOOKUP($A54,Actions!$F$1:$AQ$70,21,0)-VLOOKUP($A54,Actions!$F$1:$AQ$70,20,0)),0)</f>
        <v>0</v>
      </c>
      <c r="AO54" s="1353">
        <f>IF(AM54&lt;&gt;"",IF(VLOOKUP($A54,Actions!$F$1:$AQ$70,34,0)="Commune",(VLOOKUP($A54,Actions!$F$1:$AQ$70,24,0)-VLOOKUP($A54,Actions!$F$1:$AQ$70,26,0))/(1+VLOOKUP($A54,Actions!$F$1:$AQ$70,21,0)-VLOOKUP($A54,Actions!$F$1:$AQ$70,20,0)),0),0)</f>
        <v>0</v>
      </c>
      <c r="AP54" s="1353">
        <f>IF(AI54="",AL54,IF(AND(AM54="",AI54&lt;&gt;""),VLOOKUP($A54,Actions!$F$1:$AQ$70,31,0),0))</f>
        <v>0</v>
      </c>
      <c r="AQ54" s="1354" t="str">
        <f>IF(OR(Actions!$Y48=AQ$7,AND(Actions!$Y48&lt;=AQ$7,Actions!$Z48&gt;=AQ$7)),Actions!$AA48,"")</f>
        <v/>
      </c>
      <c r="AR54" s="1353">
        <f>IF(AQ54&lt;&gt;"",VLOOKUP($A54,Actions!$F$1:$AQ$70,38,0)/(1+VLOOKUP($A54,Actions!$F$1:$AQ$70,21,0)-VLOOKUP($A54,Actions!$F$1:$AQ$70,20,0)),0)</f>
        <v>0</v>
      </c>
      <c r="AS54" s="1353">
        <f>IF(AQ54&lt;&gt;"",IF(VLOOKUP($A54,Actions!$F$1:$AQ$70,34,0)="Commune",(VLOOKUP($A54,Actions!$F$1:$AQ$70,24,0)-VLOOKUP($A54,Actions!$F$1:$AQ$70,26,0))/(1+VLOOKUP($A54,Actions!$F$1:$AQ$70,21,0)-VLOOKUP($A54,Actions!$F$1:$AQ$70,20,0)),0),0)</f>
        <v>0</v>
      </c>
      <c r="AT54" s="1353">
        <f>IF(AM54="",AP54,IF(AND(AQ54="",AM54&lt;&gt;""),VLOOKUP($A54,Actions!$F$1:$AQ$70,31,0),0))</f>
        <v>0</v>
      </c>
      <c r="AU54" s="1354" t="str">
        <f>IF(OR(Actions!$Y48=AU$7,AND(Actions!$Y48&lt;=AU$7,Actions!$Z48&gt;=AU$7)),Actions!$AA48,"")</f>
        <v/>
      </c>
      <c r="AV54" s="1353">
        <f>IF(AU54&lt;&gt;"",VLOOKUP($A54,Actions!$F$1:$AQ$70,38,0)/(1+VLOOKUP($A54,Actions!$F$1:$AQ$70,21,0)-VLOOKUP($A54,Actions!$F$1:$AQ$70,20,0)),0)</f>
        <v>0</v>
      </c>
      <c r="AW54" s="1353">
        <f>IF(AU54&lt;&gt;"",IF(VLOOKUP($A54,Actions!$F$1:$AQ$70,34,0)="Commune",(VLOOKUP($A54,Actions!$F$1:$AQ$70,24,0)-VLOOKUP($A54,Actions!$F$1:$AQ$70,26,0))/(1+VLOOKUP($A54,Actions!$F$1:$AQ$70,21,0)-VLOOKUP($A54,Actions!$F$1:$AQ$70,20,0)),0),0)</f>
        <v>0</v>
      </c>
      <c r="AX54" s="1353">
        <f>IF(AQ54="",AT54,IF(AND(AU54="",AQ54&lt;&gt;""),VLOOKUP($A54,Actions!$F$1:$AQ$70,31,0),0))</f>
        <v>0</v>
      </c>
      <c r="AY54" s="1354" t="str">
        <f>IF(OR(Actions!$Y48=AY$7,AND(Actions!$Y48&lt;=AY$7,Actions!$Z48&gt;=AY$7)),Actions!$AA48,"")</f>
        <v/>
      </c>
      <c r="AZ54" s="1353">
        <f>IF(AY54&lt;&gt;"",VLOOKUP($A54,Actions!$F$1:$AQ$70,38,0)/(1+VLOOKUP($A54,Actions!$F$1:$AQ$70,21,0)-VLOOKUP($A54,Actions!$F$1:$AQ$70,20,0)),0)</f>
        <v>0</v>
      </c>
      <c r="BA54" s="1353">
        <f>IF(AY54&lt;&gt;"",IF(VLOOKUP($A54,Actions!$F$1:$AQ$70,34,0)="Commune",(VLOOKUP($A54,Actions!$F$1:$AQ$70,24,0)-VLOOKUP($A54,Actions!$F$1:$AQ$70,26,0))/(1+VLOOKUP($A54,Actions!$F$1:$AQ$70,21,0)-VLOOKUP($A54,Actions!$F$1:$AQ$70,20,0)),0),0)</f>
        <v>0</v>
      </c>
      <c r="BB54" s="1353">
        <f>IF(AU54="",AX54,IF(AND(AY54="",AU54&lt;&gt;""),VLOOKUP($A54,Actions!$F$1:$AQ$70,31,0),0))</f>
        <v>0</v>
      </c>
      <c r="BC54" s="1354" t="str">
        <f>IF(OR(Actions!$Y48=BC$7,AND(Actions!$Y48&lt;=BC$7,Actions!$Z48&gt;=BC$7)),Actions!$AA48,"")</f>
        <v/>
      </c>
      <c r="BD54" s="1353">
        <f>IF(BC54&lt;&gt;"",VLOOKUP($A54,Actions!$F$1:$AQ$70,38,0)/(1+VLOOKUP($A54,Actions!$F$1:$AQ$70,21,0)-VLOOKUP($A54,Actions!$F$1:$AQ$70,20,0)),0)</f>
        <v>0</v>
      </c>
      <c r="BE54" s="1353">
        <f>IF(BC54&lt;&gt;"",IF(VLOOKUP($A54,Actions!$F$1:$AQ$70,34,0)="Commune",(VLOOKUP($A54,Actions!$F$1:$AQ$70,24,0)-VLOOKUP($A54,Actions!$F$1:$AQ$70,26,0))/(1+VLOOKUP($A54,Actions!$F$1:$AQ$70,21,0)-VLOOKUP($A54,Actions!$F$1:$AQ$70,20,0)),0),0)</f>
        <v>0</v>
      </c>
      <c r="BF54" s="1353">
        <f>IF(AY54="",BB54,IF(AND(BC54="",AY54&lt;&gt;""),VLOOKUP($A54,Actions!$F$1:$AQ$70,31,0),0))</f>
        <v>0</v>
      </c>
      <c r="BG54" s="1355">
        <f t="shared" si="0"/>
        <v>0</v>
      </c>
      <c r="BJ54" s="233"/>
      <c r="BK54" s="233"/>
      <c r="BL54" s="233"/>
      <c r="BM54" s="233"/>
      <c r="BN54" s="233"/>
      <c r="BO54" s="233"/>
    </row>
    <row r="55" spans="1:67">
      <c r="A55" s="1349">
        <f>Actions!F49</f>
        <v>48</v>
      </c>
      <c r="B55" s="1352">
        <f>Actions!G49</f>
        <v>0</v>
      </c>
      <c r="C55" s="1353" t="str">
        <f>IF(OR(AND(Actions!Y49&gt;0,Actions!Y49&lt;=$C$7,Actions!Z49&gt;=$C$7),AND(Actions!Y49&gt;0,Actions!Y49&lt;=$C$7,Actions!Z49&lt;Actions!Y49),AND(Actions!Y49=0,Actions!Z49&gt;=$C$7)),Actions!$AA49,"")</f>
        <v/>
      </c>
      <c r="D55" s="1353">
        <f>IF(C55&lt;&gt;"",VLOOKUP($A55,Actions!$F$1:$AQ$70,38,0)/(1+VLOOKUP($A55,Actions!$F$1:$AQ$70,21,0)-VLOOKUP($A55,Actions!$F$1:$AQ$70,20,0)),0)</f>
        <v>0</v>
      </c>
      <c r="E55" s="1353">
        <f>IF(C55&lt;&gt;"",IF(VLOOKUP($A55,Actions!$F$1:$AQ$70,34,0)="Commune",(VLOOKUP($A55,Actions!$F$1:$AQ$70,24,0)-VLOOKUP($A55,Actions!$F$1:$AQ$70,26,0))/(1+VLOOKUP($A55,Actions!$F$1:$AQ$70,21,0)-VLOOKUP($A55,Actions!$F$1:$AQ$70,20,0)),0),0)</f>
        <v>0</v>
      </c>
      <c r="F55" s="1353">
        <v>0</v>
      </c>
      <c r="G55" s="1354" t="str">
        <f>IF(OR(Actions!$Y49=G$7,AND(Actions!$Y49&lt;=G$7,Actions!$Z49&gt;=G$7)),Actions!$AA49,"")</f>
        <v/>
      </c>
      <c r="H55" s="1353">
        <f>IF(G55&lt;&gt;"",VLOOKUP($A55,Actions!$F$1:$AQ$70,38,0)/(1+VLOOKUP($A55,Actions!$F$1:$AQ$70,21,0)-VLOOKUP($A55,Actions!$F$1:$AQ$70,20,0)),0)</f>
        <v>0</v>
      </c>
      <c r="I55" s="1353">
        <f>IF(G55&lt;&gt;"",IF(VLOOKUP($A55,Actions!$F$1:$AQ$70,34,0)="Commune",(VLOOKUP($A55,Actions!$F$1:$AQ$70,24,0)-VLOOKUP($A55,Actions!$F$1:$AQ$70,26,0))/(1+VLOOKUP($A55,Actions!$F$1:$AQ$70,21,0)-VLOOKUP($A55,Actions!$F$1:$AQ$70,20,0)),0),0)</f>
        <v>0</v>
      </c>
      <c r="J55" s="1353">
        <f>IF(C55="",F55,IF(AND(G55="",C55&lt;&gt;""),VLOOKUP($A55,Actions!$F$1:$AQ$70,31,0),0))</f>
        <v>0</v>
      </c>
      <c r="K55" s="1354" t="str">
        <f>IF(OR(Actions!$Y49=K$7,AND(Actions!$Y49&lt;=K$7,Actions!$Z49&gt;=K$7)),Actions!$AA49,"")</f>
        <v/>
      </c>
      <c r="L55" s="1353">
        <f>IF(K55&lt;&gt;"",VLOOKUP($A55,Actions!$F$1:$AQ$70,38,0)/(1+VLOOKUP($A55,Actions!$F$1:$AQ$70,21,0)-VLOOKUP($A55,Actions!$F$1:$AQ$70,20,0)),0)</f>
        <v>0</v>
      </c>
      <c r="M55" s="1353">
        <f>IF(K55&lt;&gt;"",IF(VLOOKUP($A55,Actions!$F$1:$AQ$70,34,0)="Commune",(VLOOKUP($A55,Actions!$F$1:$AQ$70,24,0)-VLOOKUP($A55,Actions!$F$1:$AQ$70,26,0))/(1+VLOOKUP($A55,Actions!$F$1:$AQ$70,21,0)-VLOOKUP($A55,Actions!$F$1:$AQ$70,20,0)),0),0)</f>
        <v>0</v>
      </c>
      <c r="N55" s="1353">
        <f>IF(G55="",J55,IF(AND(K55="",G55&lt;&gt;""),VLOOKUP($A55,Actions!$F$1:$AQ$70,31,0),0))</f>
        <v>0</v>
      </c>
      <c r="O55" s="1354" t="str">
        <f>IF(OR(Actions!$Y49=O$7,AND(Actions!$Y49&lt;=O$7,Actions!$Z49&gt;=O$7)),Actions!$AA49,"")</f>
        <v/>
      </c>
      <c r="P55" s="1353">
        <f>IF(O55&lt;&gt;"",VLOOKUP($A55,Actions!$F$1:$AQ$70,38,0)/(1+VLOOKUP($A55,Actions!$F$1:$AQ$70,21,0)-VLOOKUP($A55,Actions!$F$1:$AQ$70,20,0)),0)</f>
        <v>0</v>
      </c>
      <c r="Q55" s="1353">
        <f>IF(O55&lt;&gt;"",IF(VLOOKUP($A55,Actions!$F$1:$AQ$70,34,0)="Commune",(VLOOKUP($A55,Actions!$F$1:$AQ$70,24,0)-VLOOKUP($A55,Actions!$F$1:$AQ$70,26,0))/(1+VLOOKUP($A55,Actions!$F$1:$AQ$70,21,0)-VLOOKUP($A55,Actions!$F$1:$AQ$70,20,0)),0),0)</f>
        <v>0</v>
      </c>
      <c r="R55" s="1353">
        <f>IF(K55="",N55,IF(AND(O55="",K55&lt;&gt;""),VLOOKUP($A55,Actions!$F$1:$AQ$70,31,0),0))</f>
        <v>0</v>
      </c>
      <c r="S55" s="1354" t="str">
        <f>IF(OR(Actions!$Y49=S$7,AND(Actions!$Y49&lt;=S$7,Actions!$Z49&gt;=S$7)),Actions!$AA49,"")</f>
        <v/>
      </c>
      <c r="T55" s="1353">
        <f>IF(S55&lt;&gt;"",VLOOKUP($A55,Actions!$F$1:$AQ$70,38,0)/(1+VLOOKUP($A55,Actions!$F$1:$AQ$70,21,0)-VLOOKUP($A55,Actions!$F$1:$AQ$70,20,0)),0)</f>
        <v>0</v>
      </c>
      <c r="U55" s="1353">
        <f>IF(S55&lt;&gt;"",IF(VLOOKUP($A55,Actions!$F$1:$AQ$70,34,0)="Commune",(VLOOKUP($A55,Actions!$F$1:$AQ$70,24,0)-VLOOKUP($A55,Actions!$F$1:$AQ$70,26,0))/(1+VLOOKUP($A55,Actions!$F$1:$AQ$70,21,0)-VLOOKUP($A55,Actions!$F$1:$AQ$70,20,0)),0),0)</f>
        <v>0</v>
      </c>
      <c r="V55" s="1353">
        <f>IF(O55="",R55,IF(AND(S55="",O55&lt;&gt;""),VLOOKUP($A55,Actions!$F$1:$AQ$70,31,0),0))</f>
        <v>0</v>
      </c>
      <c r="W55" s="1354" t="str">
        <f>IF(OR(Actions!$Y49=W$7,AND(Actions!$Y49&lt;=W$7,Actions!$Z49&gt;=W$7)),Actions!$AA49,"")</f>
        <v/>
      </c>
      <c r="X55" s="1353">
        <f>IF(W55&lt;&gt;"",VLOOKUP($A55,Actions!$F$1:$AQ$70,38,0)/(1+VLOOKUP($A55,Actions!$F$1:$AQ$70,21,0)-VLOOKUP($A55,Actions!$F$1:$AQ$70,20,0)),0)</f>
        <v>0</v>
      </c>
      <c r="Y55" s="1353">
        <f>IF(W55&lt;&gt;"",IF(VLOOKUP($A55,Actions!$F$1:$AQ$70,34,0)="Commune",(VLOOKUP($A55,Actions!$F$1:$AQ$70,24,0)-VLOOKUP($A55,Actions!$F$1:$AQ$70,26,0))/(1+VLOOKUP($A55,Actions!$F$1:$AQ$70,21,0)-VLOOKUP($A55,Actions!$F$1:$AQ$70,20,0)),0),0)</f>
        <v>0</v>
      </c>
      <c r="Z55" s="1353">
        <f>IF(S55="",V55,IF(AND(W55="",S55&lt;&gt;""),VLOOKUP($A55,Actions!$F$1:$AQ$70,31,0),0))</f>
        <v>0</v>
      </c>
      <c r="AA55" s="1354" t="str">
        <f>IF(OR(Actions!$Y49=AA$7,AND(Actions!$Y49&lt;=AA$7,Actions!$Z49&gt;=AA$7)),Actions!$AA49,"")</f>
        <v/>
      </c>
      <c r="AB55" s="1353">
        <f>IF(AA55&lt;&gt;"",VLOOKUP($A55,Actions!$F$1:$AQ$70,38,0)/(1+VLOOKUP($A55,Actions!$F$1:$AQ$70,21,0)-VLOOKUP($A55,Actions!$F$1:$AQ$70,20,0)),0)</f>
        <v>0</v>
      </c>
      <c r="AC55" s="1353">
        <f>IF(AA55&lt;&gt;"",IF(VLOOKUP($A55,Actions!$F$1:$AQ$70,34,0)="Commune",(VLOOKUP($A55,Actions!$F$1:$AQ$70,24,0)-VLOOKUP($A55,Actions!$F$1:$AQ$70,26,0))/(1+VLOOKUP($A55,Actions!$F$1:$AQ$70,21,0)-VLOOKUP($A55,Actions!$F$1:$AQ$70,20,0)),0),0)</f>
        <v>0</v>
      </c>
      <c r="AD55" s="1353">
        <f>IF(W55="",Z55,IF(AND(AA55="",W55&lt;&gt;""),VLOOKUP($A55,Actions!$F$1:$AQ$70,31,0),0))</f>
        <v>0</v>
      </c>
      <c r="AE55" s="1354" t="str">
        <f>IF(OR(Actions!$Y49=AE$7,AND(Actions!$Y49&lt;=AE$7,Actions!$Z49&gt;=AE$7)),Actions!$AA49,"")</f>
        <v/>
      </c>
      <c r="AF55" s="1353">
        <f>IF(AE55&lt;&gt;"",VLOOKUP($A55,Actions!$F$1:$AQ$70,38,0)/(1+VLOOKUP($A55,Actions!$F$1:$AQ$70,21,0)-VLOOKUP($A55,Actions!$F$1:$AQ$70,20,0)),0)</f>
        <v>0</v>
      </c>
      <c r="AG55" s="1353">
        <f>IF(AE55&lt;&gt;"",IF(VLOOKUP($A55,Actions!$F$1:$AQ$70,34,0)="Commune",(VLOOKUP($A55,Actions!$F$1:$AQ$70,24,0)-VLOOKUP($A55,Actions!$F$1:$AQ$70,26,0))/(1+VLOOKUP($A55,Actions!$F$1:$AQ$70,21,0)-VLOOKUP($A55,Actions!$F$1:$AQ$70,20,0)),0),0)</f>
        <v>0</v>
      </c>
      <c r="AH55" s="1353">
        <f>IF(AA55="",AD55,IF(AND(AE55="",AA55&lt;&gt;""),VLOOKUP($A55,Actions!$F$1:$AQ$70,31,0),0))</f>
        <v>0</v>
      </c>
      <c r="AI55" s="1354" t="str">
        <f>IF(OR(Actions!$Y49=AI$7,AND(Actions!$Y49&lt;=AI$7,Actions!$Z49&gt;=AI$7)),Actions!$AA49,"")</f>
        <v/>
      </c>
      <c r="AJ55" s="1353">
        <f>IF(AI55&lt;&gt;"",VLOOKUP($A55,Actions!$F$1:$AQ$70,38,0)/(1+VLOOKUP($A55,Actions!$F$1:$AQ$70,21,0)-VLOOKUP($A55,Actions!$F$1:$AQ$70,20,0)),0)</f>
        <v>0</v>
      </c>
      <c r="AK55" s="1353">
        <f>IF(AI55&lt;&gt;"",IF(VLOOKUP($A55,Actions!$F$1:$AQ$70,34,0)="Commune",(VLOOKUP($A55,Actions!$F$1:$AQ$70,24,0)-VLOOKUP($A55,Actions!$F$1:$AQ$70,26,0))/(1+VLOOKUP($A55,Actions!$F$1:$AQ$70,21,0)-VLOOKUP($A55,Actions!$F$1:$AQ$70,20,0)),0),0)</f>
        <v>0</v>
      </c>
      <c r="AL55" s="1353">
        <f>IF(AE55="",AH55,IF(AND(AI55="",AE55&lt;&gt;""),VLOOKUP($A55,Actions!$F$1:$AQ$70,31,0),0))</f>
        <v>0</v>
      </c>
      <c r="AM55" s="1354" t="str">
        <f>IF(OR(Actions!$Y49=AM$7,AND(Actions!$Y49&lt;=AM$7,Actions!$Z49&gt;=AM$7)),Actions!$AA49,"")</f>
        <v/>
      </c>
      <c r="AN55" s="1353">
        <f>IF(AM55&lt;&gt;"",VLOOKUP($A55,Actions!$F$1:$AQ$70,38,0)/(1+VLOOKUP($A55,Actions!$F$1:$AQ$70,21,0)-VLOOKUP($A55,Actions!$F$1:$AQ$70,20,0)),0)</f>
        <v>0</v>
      </c>
      <c r="AO55" s="1353">
        <f>IF(AM55&lt;&gt;"",IF(VLOOKUP($A55,Actions!$F$1:$AQ$70,34,0)="Commune",(VLOOKUP($A55,Actions!$F$1:$AQ$70,24,0)-VLOOKUP($A55,Actions!$F$1:$AQ$70,26,0))/(1+VLOOKUP($A55,Actions!$F$1:$AQ$70,21,0)-VLOOKUP($A55,Actions!$F$1:$AQ$70,20,0)),0),0)</f>
        <v>0</v>
      </c>
      <c r="AP55" s="1353">
        <f>IF(AI55="",AL55,IF(AND(AM55="",AI55&lt;&gt;""),VLOOKUP($A55,Actions!$F$1:$AQ$70,31,0),0))</f>
        <v>0</v>
      </c>
      <c r="AQ55" s="1354" t="str">
        <f>IF(OR(Actions!$Y49=AQ$7,AND(Actions!$Y49&lt;=AQ$7,Actions!$Z49&gt;=AQ$7)),Actions!$AA49,"")</f>
        <v/>
      </c>
      <c r="AR55" s="1353">
        <f>IF(AQ55&lt;&gt;"",VLOOKUP($A55,Actions!$F$1:$AQ$70,38,0)/(1+VLOOKUP($A55,Actions!$F$1:$AQ$70,21,0)-VLOOKUP($A55,Actions!$F$1:$AQ$70,20,0)),0)</f>
        <v>0</v>
      </c>
      <c r="AS55" s="1353">
        <f>IF(AQ55&lt;&gt;"",IF(VLOOKUP($A55,Actions!$F$1:$AQ$70,34,0)="Commune",(VLOOKUP($A55,Actions!$F$1:$AQ$70,24,0)-VLOOKUP($A55,Actions!$F$1:$AQ$70,26,0))/(1+VLOOKUP($A55,Actions!$F$1:$AQ$70,21,0)-VLOOKUP($A55,Actions!$F$1:$AQ$70,20,0)),0),0)</f>
        <v>0</v>
      </c>
      <c r="AT55" s="1353">
        <f>IF(AM55="",AP55,IF(AND(AQ55="",AM55&lt;&gt;""),VLOOKUP($A55,Actions!$F$1:$AQ$70,31,0),0))</f>
        <v>0</v>
      </c>
      <c r="AU55" s="1354" t="str">
        <f>IF(OR(Actions!$Y49=AU$7,AND(Actions!$Y49&lt;=AU$7,Actions!$Z49&gt;=AU$7)),Actions!$AA49,"")</f>
        <v/>
      </c>
      <c r="AV55" s="1353">
        <f>IF(AU55&lt;&gt;"",VLOOKUP($A55,Actions!$F$1:$AQ$70,38,0)/(1+VLOOKUP($A55,Actions!$F$1:$AQ$70,21,0)-VLOOKUP($A55,Actions!$F$1:$AQ$70,20,0)),0)</f>
        <v>0</v>
      </c>
      <c r="AW55" s="1353">
        <f>IF(AU55&lt;&gt;"",IF(VLOOKUP($A55,Actions!$F$1:$AQ$70,34,0)="Commune",(VLOOKUP($A55,Actions!$F$1:$AQ$70,24,0)-VLOOKUP($A55,Actions!$F$1:$AQ$70,26,0))/(1+VLOOKUP($A55,Actions!$F$1:$AQ$70,21,0)-VLOOKUP($A55,Actions!$F$1:$AQ$70,20,0)),0),0)</f>
        <v>0</v>
      </c>
      <c r="AX55" s="1353">
        <f>IF(AQ55="",AT55,IF(AND(AU55="",AQ55&lt;&gt;""),VLOOKUP($A55,Actions!$F$1:$AQ$70,31,0),0))</f>
        <v>0</v>
      </c>
      <c r="AY55" s="1354" t="str">
        <f>IF(OR(Actions!$Y49=AY$7,AND(Actions!$Y49&lt;=AY$7,Actions!$Z49&gt;=AY$7)),Actions!$AA49,"")</f>
        <v/>
      </c>
      <c r="AZ55" s="1353">
        <f>IF(AY55&lt;&gt;"",VLOOKUP($A55,Actions!$F$1:$AQ$70,38,0)/(1+VLOOKUP($A55,Actions!$F$1:$AQ$70,21,0)-VLOOKUP($A55,Actions!$F$1:$AQ$70,20,0)),0)</f>
        <v>0</v>
      </c>
      <c r="BA55" s="1353">
        <f>IF(AY55&lt;&gt;"",IF(VLOOKUP($A55,Actions!$F$1:$AQ$70,34,0)="Commune",(VLOOKUP($A55,Actions!$F$1:$AQ$70,24,0)-VLOOKUP($A55,Actions!$F$1:$AQ$70,26,0))/(1+VLOOKUP($A55,Actions!$F$1:$AQ$70,21,0)-VLOOKUP($A55,Actions!$F$1:$AQ$70,20,0)),0),0)</f>
        <v>0</v>
      </c>
      <c r="BB55" s="1353">
        <f>IF(AU55="",AX55,IF(AND(AY55="",AU55&lt;&gt;""),VLOOKUP($A55,Actions!$F$1:$AQ$70,31,0),0))</f>
        <v>0</v>
      </c>
      <c r="BC55" s="1354" t="str">
        <f>IF(OR(Actions!$Y49=BC$7,AND(Actions!$Y49&lt;=BC$7,Actions!$Z49&gt;=BC$7)),Actions!$AA49,"")</f>
        <v/>
      </c>
      <c r="BD55" s="1353">
        <f>IF(BC55&lt;&gt;"",VLOOKUP($A55,Actions!$F$1:$AQ$70,38,0)/(1+VLOOKUP($A55,Actions!$F$1:$AQ$70,21,0)-VLOOKUP($A55,Actions!$F$1:$AQ$70,20,0)),0)</f>
        <v>0</v>
      </c>
      <c r="BE55" s="1353">
        <f>IF(BC55&lt;&gt;"",IF(VLOOKUP($A55,Actions!$F$1:$AQ$70,34,0)="Commune",(VLOOKUP($A55,Actions!$F$1:$AQ$70,24,0)-VLOOKUP($A55,Actions!$F$1:$AQ$70,26,0))/(1+VLOOKUP($A55,Actions!$F$1:$AQ$70,21,0)-VLOOKUP($A55,Actions!$F$1:$AQ$70,20,0)),0),0)</f>
        <v>0</v>
      </c>
      <c r="BF55" s="1353">
        <f>IF(AY55="",BB55,IF(AND(BC55="",AY55&lt;&gt;""),VLOOKUP($A55,Actions!$F$1:$AQ$70,31,0),0))</f>
        <v>0</v>
      </c>
      <c r="BG55" s="1355">
        <f t="shared" si="0"/>
        <v>0</v>
      </c>
      <c r="BJ55" s="233"/>
      <c r="BK55" s="233"/>
      <c r="BL55" s="233"/>
      <c r="BM55" s="233"/>
      <c r="BN55" s="233"/>
      <c r="BO55" s="233"/>
    </row>
    <row r="56" spans="1:67">
      <c r="A56" s="1349">
        <f>Actions!F50</f>
        <v>49</v>
      </c>
      <c r="B56" s="1352">
        <f>Actions!G50</f>
        <v>0</v>
      </c>
      <c r="C56" s="1353" t="str">
        <f>IF(OR(AND(Actions!Y50&gt;0,Actions!Y50&lt;=$C$7,Actions!Z50&gt;=$C$7),AND(Actions!Y50&gt;0,Actions!Y50&lt;=$C$7,Actions!Z50&lt;Actions!Y50),AND(Actions!Y50=0,Actions!Z50&gt;=$C$7)),Actions!$AA50,"")</f>
        <v/>
      </c>
      <c r="D56" s="1353">
        <f>IF(C56&lt;&gt;"",VLOOKUP($A56,Actions!$F$1:$AQ$70,38,0)/(1+VLOOKUP($A56,Actions!$F$1:$AQ$70,21,0)-VLOOKUP($A56,Actions!$F$1:$AQ$70,20,0)),0)</f>
        <v>0</v>
      </c>
      <c r="E56" s="1353">
        <f>IF(C56&lt;&gt;"",IF(VLOOKUP($A56,Actions!$F$1:$AQ$70,34,0)="Commune",(VLOOKUP($A56,Actions!$F$1:$AQ$70,24,0)-VLOOKUP($A56,Actions!$F$1:$AQ$70,26,0))/(1+VLOOKUP($A56,Actions!$F$1:$AQ$70,21,0)-VLOOKUP($A56,Actions!$F$1:$AQ$70,20,0)),0),0)</f>
        <v>0</v>
      </c>
      <c r="F56" s="1353">
        <v>0</v>
      </c>
      <c r="G56" s="1354" t="str">
        <f>IF(OR(Actions!$Y50=G$7,AND(Actions!$Y50&lt;=G$7,Actions!$Z50&gt;=G$7)),Actions!$AA50,"")</f>
        <v/>
      </c>
      <c r="H56" s="1353">
        <f>IF(G56&lt;&gt;"",VLOOKUP($A56,Actions!$F$1:$AQ$70,38,0)/(1+VLOOKUP($A56,Actions!$F$1:$AQ$70,21,0)-VLOOKUP($A56,Actions!$F$1:$AQ$70,20,0)),0)</f>
        <v>0</v>
      </c>
      <c r="I56" s="1353">
        <f>IF(G56&lt;&gt;"",IF(VLOOKUP($A56,Actions!$F$1:$AQ$70,34,0)="Commune",(VLOOKUP($A56,Actions!$F$1:$AQ$70,24,0)-VLOOKUP($A56,Actions!$F$1:$AQ$70,26,0))/(1+VLOOKUP($A56,Actions!$F$1:$AQ$70,21,0)-VLOOKUP($A56,Actions!$F$1:$AQ$70,20,0)),0),0)</f>
        <v>0</v>
      </c>
      <c r="J56" s="1353">
        <f>IF(C56="",F56,IF(AND(G56="",C56&lt;&gt;""),VLOOKUP($A56,Actions!$F$1:$AQ$70,31,0),0))</f>
        <v>0</v>
      </c>
      <c r="K56" s="1354" t="str">
        <f>IF(OR(Actions!$Y50=K$7,AND(Actions!$Y50&lt;=K$7,Actions!$Z50&gt;=K$7)),Actions!$AA50,"")</f>
        <v/>
      </c>
      <c r="L56" s="1353">
        <f>IF(K56&lt;&gt;"",VLOOKUP($A56,Actions!$F$1:$AQ$70,38,0)/(1+VLOOKUP($A56,Actions!$F$1:$AQ$70,21,0)-VLOOKUP($A56,Actions!$F$1:$AQ$70,20,0)),0)</f>
        <v>0</v>
      </c>
      <c r="M56" s="1353">
        <f>IF(K56&lt;&gt;"",IF(VLOOKUP($A56,Actions!$F$1:$AQ$70,34,0)="Commune",(VLOOKUP($A56,Actions!$F$1:$AQ$70,24,0)-VLOOKUP($A56,Actions!$F$1:$AQ$70,26,0))/(1+VLOOKUP($A56,Actions!$F$1:$AQ$70,21,0)-VLOOKUP($A56,Actions!$F$1:$AQ$70,20,0)),0),0)</f>
        <v>0</v>
      </c>
      <c r="N56" s="1353">
        <f>IF(G56="",J56,IF(AND(K56="",G56&lt;&gt;""),VLOOKUP($A56,Actions!$F$1:$AQ$70,31,0),0))</f>
        <v>0</v>
      </c>
      <c r="O56" s="1354" t="str">
        <f>IF(OR(Actions!$Y50=O$7,AND(Actions!$Y50&lt;=O$7,Actions!$Z50&gt;=O$7)),Actions!$AA50,"")</f>
        <v/>
      </c>
      <c r="P56" s="1353">
        <f>IF(O56&lt;&gt;"",VLOOKUP($A56,Actions!$F$1:$AQ$70,38,0)/(1+VLOOKUP($A56,Actions!$F$1:$AQ$70,21,0)-VLOOKUP($A56,Actions!$F$1:$AQ$70,20,0)),0)</f>
        <v>0</v>
      </c>
      <c r="Q56" s="1353">
        <f>IF(O56&lt;&gt;"",IF(VLOOKUP($A56,Actions!$F$1:$AQ$70,34,0)="Commune",(VLOOKUP($A56,Actions!$F$1:$AQ$70,24,0)-VLOOKUP($A56,Actions!$F$1:$AQ$70,26,0))/(1+VLOOKUP($A56,Actions!$F$1:$AQ$70,21,0)-VLOOKUP($A56,Actions!$F$1:$AQ$70,20,0)),0),0)</f>
        <v>0</v>
      </c>
      <c r="R56" s="1353">
        <f>IF(K56="",N56,IF(AND(O56="",K56&lt;&gt;""),VLOOKUP($A56,Actions!$F$1:$AQ$70,31,0),0))</f>
        <v>0</v>
      </c>
      <c r="S56" s="1354" t="str">
        <f>IF(OR(Actions!$Y50=S$7,AND(Actions!$Y50&lt;=S$7,Actions!$Z50&gt;=S$7)),Actions!$AA50,"")</f>
        <v/>
      </c>
      <c r="T56" s="1353">
        <f>IF(S56&lt;&gt;"",VLOOKUP($A56,Actions!$F$1:$AQ$70,38,0)/(1+VLOOKUP($A56,Actions!$F$1:$AQ$70,21,0)-VLOOKUP($A56,Actions!$F$1:$AQ$70,20,0)),0)</f>
        <v>0</v>
      </c>
      <c r="U56" s="1353">
        <f>IF(S56&lt;&gt;"",IF(VLOOKUP($A56,Actions!$F$1:$AQ$70,34,0)="Commune",(VLOOKUP($A56,Actions!$F$1:$AQ$70,24,0)-VLOOKUP($A56,Actions!$F$1:$AQ$70,26,0))/(1+VLOOKUP($A56,Actions!$F$1:$AQ$70,21,0)-VLOOKUP($A56,Actions!$F$1:$AQ$70,20,0)),0),0)</f>
        <v>0</v>
      </c>
      <c r="V56" s="1353">
        <f>IF(O56="",R56,IF(AND(S56="",O56&lt;&gt;""),VLOOKUP($A56,Actions!$F$1:$AQ$70,31,0),0))</f>
        <v>0</v>
      </c>
      <c r="W56" s="1354" t="str">
        <f>IF(OR(Actions!$Y50=W$7,AND(Actions!$Y50&lt;=W$7,Actions!$Z50&gt;=W$7)),Actions!$AA50,"")</f>
        <v/>
      </c>
      <c r="X56" s="1353">
        <f>IF(W56&lt;&gt;"",VLOOKUP($A56,Actions!$F$1:$AQ$70,38,0)/(1+VLOOKUP($A56,Actions!$F$1:$AQ$70,21,0)-VLOOKUP($A56,Actions!$F$1:$AQ$70,20,0)),0)</f>
        <v>0</v>
      </c>
      <c r="Y56" s="1353">
        <f>IF(W56&lt;&gt;"",IF(VLOOKUP($A56,Actions!$F$1:$AQ$70,34,0)="Commune",(VLOOKUP($A56,Actions!$F$1:$AQ$70,24,0)-VLOOKUP($A56,Actions!$F$1:$AQ$70,26,0))/(1+VLOOKUP($A56,Actions!$F$1:$AQ$70,21,0)-VLOOKUP($A56,Actions!$F$1:$AQ$70,20,0)),0),0)</f>
        <v>0</v>
      </c>
      <c r="Z56" s="1353">
        <f>IF(S56="",V56,IF(AND(W56="",S56&lt;&gt;""),VLOOKUP($A56,Actions!$F$1:$AQ$70,31,0),0))</f>
        <v>0</v>
      </c>
      <c r="AA56" s="1354" t="str">
        <f>IF(OR(Actions!$Y50=AA$7,AND(Actions!$Y50&lt;=AA$7,Actions!$Z50&gt;=AA$7)),Actions!$AA50,"")</f>
        <v/>
      </c>
      <c r="AB56" s="1353">
        <f>IF(AA56&lt;&gt;"",VLOOKUP($A56,Actions!$F$1:$AQ$70,38,0)/(1+VLOOKUP($A56,Actions!$F$1:$AQ$70,21,0)-VLOOKUP($A56,Actions!$F$1:$AQ$70,20,0)),0)</f>
        <v>0</v>
      </c>
      <c r="AC56" s="1353">
        <f>IF(AA56&lt;&gt;"",IF(VLOOKUP($A56,Actions!$F$1:$AQ$70,34,0)="Commune",(VLOOKUP($A56,Actions!$F$1:$AQ$70,24,0)-VLOOKUP($A56,Actions!$F$1:$AQ$70,26,0))/(1+VLOOKUP($A56,Actions!$F$1:$AQ$70,21,0)-VLOOKUP($A56,Actions!$F$1:$AQ$70,20,0)),0),0)</f>
        <v>0</v>
      </c>
      <c r="AD56" s="1353">
        <f>IF(W56="",Z56,IF(AND(AA56="",W56&lt;&gt;""),VLOOKUP($A56,Actions!$F$1:$AQ$70,31,0),0))</f>
        <v>0</v>
      </c>
      <c r="AE56" s="1354" t="str">
        <f>IF(OR(Actions!$Y50=AE$7,AND(Actions!$Y50&lt;=AE$7,Actions!$Z50&gt;=AE$7)),Actions!$AA50,"")</f>
        <v/>
      </c>
      <c r="AF56" s="1353">
        <f>IF(AE56&lt;&gt;"",VLOOKUP($A56,Actions!$F$1:$AQ$70,38,0)/(1+VLOOKUP($A56,Actions!$F$1:$AQ$70,21,0)-VLOOKUP($A56,Actions!$F$1:$AQ$70,20,0)),0)</f>
        <v>0</v>
      </c>
      <c r="AG56" s="1353">
        <f>IF(AE56&lt;&gt;"",IF(VLOOKUP($A56,Actions!$F$1:$AQ$70,34,0)="Commune",(VLOOKUP($A56,Actions!$F$1:$AQ$70,24,0)-VLOOKUP($A56,Actions!$F$1:$AQ$70,26,0))/(1+VLOOKUP($A56,Actions!$F$1:$AQ$70,21,0)-VLOOKUP($A56,Actions!$F$1:$AQ$70,20,0)),0),0)</f>
        <v>0</v>
      </c>
      <c r="AH56" s="1353">
        <f>IF(AA56="",AD56,IF(AND(AE56="",AA56&lt;&gt;""),VLOOKUP($A56,Actions!$F$1:$AQ$70,31,0),0))</f>
        <v>0</v>
      </c>
      <c r="AI56" s="1354" t="str">
        <f>IF(OR(Actions!$Y50=AI$7,AND(Actions!$Y50&lt;=AI$7,Actions!$Z50&gt;=AI$7)),Actions!$AA50,"")</f>
        <v/>
      </c>
      <c r="AJ56" s="1353">
        <f>IF(AI56&lt;&gt;"",VLOOKUP($A56,Actions!$F$1:$AQ$70,38,0)/(1+VLOOKUP($A56,Actions!$F$1:$AQ$70,21,0)-VLOOKUP($A56,Actions!$F$1:$AQ$70,20,0)),0)</f>
        <v>0</v>
      </c>
      <c r="AK56" s="1353">
        <f>IF(AI56&lt;&gt;"",IF(VLOOKUP($A56,Actions!$F$1:$AQ$70,34,0)="Commune",(VLOOKUP($A56,Actions!$F$1:$AQ$70,24,0)-VLOOKUP($A56,Actions!$F$1:$AQ$70,26,0))/(1+VLOOKUP($A56,Actions!$F$1:$AQ$70,21,0)-VLOOKUP($A56,Actions!$F$1:$AQ$70,20,0)),0),0)</f>
        <v>0</v>
      </c>
      <c r="AL56" s="1353">
        <f>IF(AE56="",AH56,IF(AND(AI56="",AE56&lt;&gt;""),VLOOKUP($A56,Actions!$F$1:$AQ$70,31,0),0))</f>
        <v>0</v>
      </c>
      <c r="AM56" s="1354" t="str">
        <f>IF(OR(Actions!$Y50=AM$7,AND(Actions!$Y50&lt;=AM$7,Actions!$Z50&gt;=AM$7)),Actions!$AA50,"")</f>
        <v/>
      </c>
      <c r="AN56" s="1353">
        <f>IF(AM56&lt;&gt;"",VLOOKUP($A56,Actions!$F$1:$AQ$70,38,0)/(1+VLOOKUP($A56,Actions!$F$1:$AQ$70,21,0)-VLOOKUP($A56,Actions!$F$1:$AQ$70,20,0)),0)</f>
        <v>0</v>
      </c>
      <c r="AO56" s="1353">
        <f>IF(AM56&lt;&gt;"",IF(VLOOKUP($A56,Actions!$F$1:$AQ$70,34,0)="Commune",(VLOOKUP($A56,Actions!$F$1:$AQ$70,24,0)-VLOOKUP($A56,Actions!$F$1:$AQ$70,26,0))/(1+VLOOKUP($A56,Actions!$F$1:$AQ$70,21,0)-VLOOKUP($A56,Actions!$F$1:$AQ$70,20,0)),0),0)</f>
        <v>0</v>
      </c>
      <c r="AP56" s="1353">
        <f>IF(AI56="",AL56,IF(AND(AM56="",AI56&lt;&gt;""),VLOOKUP($A56,Actions!$F$1:$AQ$70,31,0),0))</f>
        <v>0</v>
      </c>
      <c r="AQ56" s="1354" t="str">
        <f>IF(OR(Actions!$Y50=AQ$7,AND(Actions!$Y50&lt;=AQ$7,Actions!$Z50&gt;=AQ$7)),Actions!$AA50,"")</f>
        <v/>
      </c>
      <c r="AR56" s="1353">
        <f>IF(AQ56&lt;&gt;"",VLOOKUP($A56,Actions!$F$1:$AQ$70,38,0)/(1+VLOOKUP($A56,Actions!$F$1:$AQ$70,21,0)-VLOOKUP($A56,Actions!$F$1:$AQ$70,20,0)),0)</f>
        <v>0</v>
      </c>
      <c r="AS56" s="1353">
        <f>IF(AQ56&lt;&gt;"",IF(VLOOKUP($A56,Actions!$F$1:$AQ$70,34,0)="Commune",(VLOOKUP($A56,Actions!$F$1:$AQ$70,24,0)-VLOOKUP($A56,Actions!$F$1:$AQ$70,26,0))/(1+VLOOKUP($A56,Actions!$F$1:$AQ$70,21,0)-VLOOKUP($A56,Actions!$F$1:$AQ$70,20,0)),0),0)</f>
        <v>0</v>
      </c>
      <c r="AT56" s="1353">
        <f>IF(AM56="",AP56,IF(AND(AQ56="",AM56&lt;&gt;""),VLOOKUP($A56,Actions!$F$1:$AQ$70,31,0),0))</f>
        <v>0</v>
      </c>
      <c r="AU56" s="1354" t="str">
        <f>IF(OR(Actions!$Y50=AU$7,AND(Actions!$Y50&lt;=AU$7,Actions!$Z50&gt;=AU$7)),Actions!$AA50,"")</f>
        <v/>
      </c>
      <c r="AV56" s="1353">
        <f>IF(AU56&lt;&gt;"",VLOOKUP($A56,Actions!$F$1:$AQ$70,38,0)/(1+VLOOKUP($A56,Actions!$F$1:$AQ$70,21,0)-VLOOKUP($A56,Actions!$F$1:$AQ$70,20,0)),0)</f>
        <v>0</v>
      </c>
      <c r="AW56" s="1353">
        <f>IF(AU56&lt;&gt;"",IF(VLOOKUP($A56,Actions!$F$1:$AQ$70,34,0)="Commune",(VLOOKUP($A56,Actions!$F$1:$AQ$70,24,0)-VLOOKUP($A56,Actions!$F$1:$AQ$70,26,0))/(1+VLOOKUP($A56,Actions!$F$1:$AQ$70,21,0)-VLOOKUP($A56,Actions!$F$1:$AQ$70,20,0)),0),0)</f>
        <v>0</v>
      </c>
      <c r="AX56" s="1353">
        <f>IF(AQ56="",AT56,IF(AND(AU56="",AQ56&lt;&gt;""),VLOOKUP($A56,Actions!$F$1:$AQ$70,31,0),0))</f>
        <v>0</v>
      </c>
      <c r="AY56" s="1354" t="str">
        <f>IF(OR(Actions!$Y50=AY$7,AND(Actions!$Y50&lt;=AY$7,Actions!$Z50&gt;=AY$7)),Actions!$AA50,"")</f>
        <v/>
      </c>
      <c r="AZ56" s="1353">
        <f>IF(AY56&lt;&gt;"",VLOOKUP($A56,Actions!$F$1:$AQ$70,38,0)/(1+VLOOKUP($A56,Actions!$F$1:$AQ$70,21,0)-VLOOKUP($A56,Actions!$F$1:$AQ$70,20,0)),0)</f>
        <v>0</v>
      </c>
      <c r="BA56" s="1353">
        <f>IF(AY56&lt;&gt;"",IF(VLOOKUP($A56,Actions!$F$1:$AQ$70,34,0)="Commune",(VLOOKUP($A56,Actions!$F$1:$AQ$70,24,0)-VLOOKUP($A56,Actions!$F$1:$AQ$70,26,0))/(1+VLOOKUP($A56,Actions!$F$1:$AQ$70,21,0)-VLOOKUP($A56,Actions!$F$1:$AQ$70,20,0)),0),0)</f>
        <v>0</v>
      </c>
      <c r="BB56" s="1353">
        <f>IF(AU56="",AX56,IF(AND(AY56="",AU56&lt;&gt;""),VLOOKUP($A56,Actions!$F$1:$AQ$70,31,0),0))</f>
        <v>0</v>
      </c>
      <c r="BC56" s="1354" t="str">
        <f>IF(OR(Actions!$Y50=BC$7,AND(Actions!$Y50&lt;=BC$7,Actions!$Z50&gt;=BC$7)),Actions!$AA50,"")</f>
        <v/>
      </c>
      <c r="BD56" s="1353">
        <f>IF(BC56&lt;&gt;"",VLOOKUP($A56,Actions!$F$1:$AQ$70,38,0)/(1+VLOOKUP($A56,Actions!$F$1:$AQ$70,21,0)-VLOOKUP($A56,Actions!$F$1:$AQ$70,20,0)),0)</f>
        <v>0</v>
      </c>
      <c r="BE56" s="1353">
        <f>IF(BC56&lt;&gt;"",IF(VLOOKUP($A56,Actions!$F$1:$AQ$70,34,0)="Commune",(VLOOKUP($A56,Actions!$F$1:$AQ$70,24,0)-VLOOKUP($A56,Actions!$F$1:$AQ$70,26,0))/(1+VLOOKUP($A56,Actions!$F$1:$AQ$70,21,0)-VLOOKUP($A56,Actions!$F$1:$AQ$70,20,0)),0),0)</f>
        <v>0</v>
      </c>
      <c r="BF56" s="1353">
        <f>IF(AY56="",BB56,IF(AND(BC56="",AY56&lt;&gt;""),VLOOKUP($A56,Actions!$F$1:$AQ$70,31,0),0))</f>
        <v>0</v>
      </c>
      <c r="BG56" s="1355">
        <f t="shared" si="0"/>
        <v>0</v>
      </c>
      <c r="BJ56" s="233"/>
      <c r="BK56" s="233"/>
      <c r="BL56" s="233"/>
      <c r="BM56" s="233"/>
      <c r="BN56" s="233"/>
      <c r="BO56" s="233"/>
    </row>
    <row r="57" spans="1:67">
      <c r="A57" s="1349">
        <f>Actions!F51</f>
        <v>50</v>
      </c>
      <c r="B57" s="1352">
        <f>Actions!G51</f>
        <v>0</v>
      </c>
      <c r="C57" s="1353" t="str">
        <f>IF(OR(AND(Actions!Y51&gt;0,Actions!Y51&lt;=$C$7,Actions!Z51&gt;=$C$7),AND(Actions!Y51&gt;0,Actions!Y51&lt;=$C$7,Actions!Z51&lt;Actions!Y51),AND(Actions!Y51=0,Actions!Z51&gt;=$C$7)),Actions!$AA51,"")</f>
        <v/>
      </c>
      <c r="D57" s="1353">
        <f>IF(C57&lt;&gt;"",VLOOKUP($A57,Actions!$F$1:$AQ$70,38,0)/(1+VLOOKUP($A57,Actions!$F$1:$AQ$70,21,0)-VLOOKUP($A57,Actions!$F$1:$AQ$70,20,0)),0)</f>
        <v>0</v>
      </c>
      <c r="E57" s="1353">
        <f>IF(C57&lt;&gt;"",IF(VLOOKUP($A57,Actions!$F$1:$AQ$70,34,0)="Commune",(VLOOKUP($A57,Actions!$F$1:$AQ$70,24,0)-VLOOKUP($A57,Actions!$F$1:$AQ$70,26,0))/(1+VLOOKUP($A57,Actions!$F$1:$AQ$70,21,0)-VLOOKUP($A57,Actions!$F$1:$AQ$70,20,0)),0),0)</f>
        <v>0</v>
      </c>
      <c r="F57" s="1353">
        <v>0</v>
      </c>
      <c r="G57" s="1354" t="str">
        <f>IF(OR(Actions!$Y51=G$7,AND(Actions!$Y51&lt;=G$7,Actions!$Z51&gt;=G$7)),Actions!$AA51,"")</f>
        <v/>
      </c>
      <c r="H57" s="1353">
        <f>IF(G57&lt;&gt;"",VLOOKUP($A57,Actions!$F$1:$AQ$70,38,0)/(1+VLOOKUP($A57,Actions!$F$1:$AQ$70,21,0)-VLOOKUP($A57,Actions!$F$1:$AQ$70,20,0)),0)</f>
        <v>0</v>
      </c>
      <c r="I57" s="1353">
        <f>IF(G57&lt;&gt;"",IF(VLOOKUP($A57,Actions!$F$1:$AQ$70,34,0)="Commune",(VLOOKUP($A57,Actions!$F$1:$AQ$70,24,0)-VLOOKUP($A57,Actions!$F$1:$AQ$70,26,0))/(1+VLOOKUP($A57,Actions!$F$1:$AQ$70,21,0)-VLOOKUP($A57,Actions!$F$1:$AQ$70,20,0)),0),0)</f>
        <v>0</v>
      </c>
      <c r="J57" s="1353">
        <f>IF(C57="",F57,IF(AND(G57="",C57&lt;&gt;""),VLOOKUP($A57,Actions!$F$1:$AQ$70,31,0),0))</f>
        <v>0</v>
      </c>
      <c r="K57" s="1354" t="str">
        <f>IF(OR(Actions!$Y51=K$7,AND(Actions!$Y51&lt;=K$7,Actions!$Z51&gt;=K$7)),Actions!$AA51,"")</f>
        <v/>
      </c>
      <c r="L57" s="1353">
        <f>IF(K57&lt;&gt;"",VLOOKUP($A57,Actions!$F$1:$AQ$70,38,0)/(1+VLOOKUP($A57,Actions!$F$1:$AQ$70,21,0)-VLOOKUP($A57,Actions!$F$1:$AQ$70,20,0)),0)</f>
        <v>0</v>
      </c>
      <c r="M57" s="1353">
        <f>IF(K57&lt;&gt;"",IF(VLOOKUP($A57,Actions!$F$1:$AQ$70,34,0)="Commune",(VLOOKUP($A57,Actions!$F$1:$AQ$70,24,0)-VLOOKUP($A57,Actions!$F$1:$AQ$70,26,0))/(1+VLOOKUP($A57,Actions!$F$1:$AQ$70,21,0)-VLOOKUP($A57,Actions!$F$1:$AQ$70,20,0)),0),0)</f>
        <v>0</v>
      </c>
      <c r="N57" s="1353">
        <f>IF(G57="",J57,IF(AND(K57="",G57&lt;&gt;""),VLOOKUP($A57,Actions!$F$1:$AQ$70,31,0),0))</f>
        <v>0</v>
      </c>
      <c r="O57" s="1354" t="str">
        <f>IF(OR(Actions!$Y51=O$7,AND(Actions!$Y51&lt;=O$7,Actions!$Z51&gt;=O$7)),Actions!$AA51,"")</f>
        <v/>
      </c>
      <c r="P57" s="1353">
        <f>IF(O57&lt;&gt;"",VLOOKUP($A57,Actions!$F$1:$AQ$70,38,0)/(1+VLOOKUP($A57,Actions!$F$1:$AQ$70,21,0)-VLOOKUP($A57,Actions!$F$1:$AQ$70,20,0)),0)</f>
        <v>0</v>
      </c>
      <c r="Q57" s="1353">
        <f>IF(O57&lt;&gt;"",IF(VLOOKUP($A57,Actions!$F$1:$AQ$70,34,0)="Commune",(VLOOKUP($A57,Actions!$F$1:$AQ$70,24,0)-VLOOKUP($A57,Actions!$F$1:$AQ$70,26,0))/(1+VLOOKUP($A57,Actions!$F$1:$AQ$70,21,0)-VLOOKUP($A57,Actions!$F$1:$AQ$70,20,0)),0),0)</f>
        <v>0</v>
      </c>
      <c r="R57" s="1353">
        <f>IF(K57="",N57,IF(AND(O57="",K57&lt;&gt;""),VLOOKUP($A57,Actions!$F$1:$AQ$70,31,0),0))</f>
        <v>0</v>
      </c>
      <c r="S57" s="1354" t="str">
        <f>IF(OR(Actions!$Y51=S$7,AND(Actions!$Y51&lt;=S$7,Actions!$Z51&gt;=S$7)),Actions!$AA51,"")</f>
        <v/>
      </c>
      <c r="T57" s="1353">
        <f>IF(S57&lt;&gt;"",VLOOKUP($A57,Actions!$F$1:$AQ$70,38,0)/(1+VLOOKUP($A57,Actions!$F$1:$AQ$70,21,0)-VLOOKUP($A57,Actions!$F$1:$AQ$70,20,0)),0)</f>
        <v>0</v>
      </c>
      <c r="U57" s="1353">
        <f>IF(S57&lt;&gt;"",IF(VLOOKUP($A57,Actions!$F$1:$AQ$70,34,0)="Commune",(VLOOKUP($A57,Actions!$F$1:$AQ$70,24,0)-VLOOKUP($A57,Actions!$F$1:$AQ$70,26,0))/(1+VLOOKUP($A57,Actions!$F$1:$AQ$70,21,0)-VLOOKUP($A57,Actions!$F$1:$AQ$70,20,0)),0),0)</f>
        <v>0</v>
      </c>
      <c r="V57" s="1353">
        <f>IF(O57="",R57,IF(AND(S57="",O57&lt;&gt;""),VLOOKUP($A57,Actions!$F$1:$AQ$70,31,0),0))</f>
        <v>0</v>
      </c>
      <c r="W57" s="1354" t="str">
        <f>IF(OR(Actions!$Y51=W$7,AND(Actions!$Y51&lt;=W$7,Actions!$Z51&gt;=W$7)),Actions!$AA51,"")</f>
        <v/>
      </c>
      <c r="X57" s="1353">
        <f>IF(W57&lt;&gt;"",VLOOKUP($A57,Actions!$F$1:$AQ$70,38,0)/(1+VLOOKUP($A57,Actions!$F$1:$AQ$70,21,0)-VLOOKUP($A57,Actions!$F$1:$AQ$70,20,0)),0)</f>
        <v>0</v>
      </c>
      <c r="Y57" s="1353">
        <f>IF(W57&lt;&gt;"",IF(VLOOKUP($A57,Actions!$F$1:$AQ$70,34,0)="Commune",(VLOOKUP($A57,Actions!$F$1:$AQ$70,24,0)-VLOOKUP($A57,Actions!$F$1:$AQ$70,26,0))/(1+VLOOKUP($A57,Actions!$F$1:$AQ$70,21,0)-VLOOKUP($A57,Actions!$F$1:$AQ$70,20,0)),0),0)</f>
        <v>0</v>
      </c>
      <c r="Z57" s="1353">
        <f>IF(S57="",V57,IF(AND(W57="",S57&lt;&gt;""),VLOOKUP($A57,Actions!$F$1:$AQ$70,31,0),0))</f>
        <v>0</v>
      </c>
      <c r="AA57" s="1354" t="str">
        <f>IF(OR(Actions!$Y51=AA$7,AND(Actions!$Y51&lt;=AA$7,Actions!$Z51&gt;=AA$7)),Actions!$AA51,"")</f>
        <v/>
      </c>
      <c r="AB57" s="1353">
        <f>IF(AA57&lt;&gt;"",VLOOKUP($A57,Actions!$F$1:$AQ$70,38,0)/(1+VLOOKUP($A57,Actions!$F$1:$AQ$70,21,0)-VLOOKUP($A57,Actions!$F$1:$AQ$70,20,0)),0)</f>
        <v>0</v>
      </c>
      <c r="AC57" s="1353">
        <f>IF(AA57&lt;&gt;"",IF(VLOOKUP($A57,Actions!$F$1:$AQ$70,34,0)="Commune",(VLOOKUP($A57,Actions!$F$1:$AQ$70,24,0)-VLOOKUP($A57,Actions!$F$1:$AQ$70,26,0))/(1+VLOOKUP($A57,Actions!$F$1:$AQ$70,21,0)-VLOOKUP($A57,Actions!$F$1:$AQ$70,20,0)),0),0)</f>
        <v>0</v>
      </c>
      <c r="AD57" s="1353">
        <f>IF(W57="",Z57,IF(AND(AA57="",W57&lt;&gt;""),VLOOKUP($A57,Actions!$F$1:$AQ$70,31,0),0))</f>
        <v>0</v>
      </c>
      <c r="AE57" s="1354" t="str">
        <f>IF(OR(Actions!$Y51=AE$7,AND(Actions!$Y51&lt;=AE$7,Actions!$Z51&gt;=AE$7)),Actions!$AA51,"")</f>
        <v/>
      </c>
      <c r="AF57" s="1353">
        <f>IF(AE57&lt;&gt;"",VLOOKUP($A57,Actions!$F$1:$AQ$70,38,0)/(1+VLOOKUP($A57,Actions!$F$1:$AQ$70,21,0)-VLOOKUP($A57,Actions!$F$1:$AQ$70,20,0)),0)</f>
        <v>0</v>
      </c>
      <c r="AG57" s="1353">
        <f>IF(AE57&lt;&gt;"",IF(VLOOKUP($A57,Actions!$F$1:$AQ$70,34,0)="Commune",(VLOOKUP($A57,Actions!$F$1:$AQ$70,24,0)-VLOOKUP($A57,Actions!$F$1:$AQ$70,26,0))/(1+VLOOKUP($A57,Actions!$F$1:$AQ$70,21,0)-VLOOKUP($A57,Actions!$F$1:$AQ$70,20,0)),0),0)</f>
        <v>0</v>
      </c>
      <c r="AH57" s="1353">
        <f>IF(AA57="",AD57,IF(AND(AE57="",AA57&lt;&gt;""),VLOOKUP($A57,Actions!$F$1:$AQ$70,31,0),0))</f>
        <v>0</v>
      </c>
      <c r="AI57" s="1354" t="str">
        <f>IF(OR(Actions!$Y51=AI$7,AND(Actions!$Y51&lt;=AI$7,Actions!$Z51&gt;=AI$7)),Actions!$AA51,"")</f>
        <v/>
      </c>
      <c r="AJ57" s="1353">
        <f>IF(AI57&lt;&gt;"",VLOOKUP($A57,Actions!$F$1:$AQ$70,38,0)/(1+VLOOKUP($A57,Actions!$F$1:$AQ$70,21,0)-VLOOKUP($A57,Actions!$F$1:$AQ$70,20,0)),0)</f>
        <v>0</v>
      </c>
      <c r="AK57" s="1353">
        <f>IF(AI57&lt;&gt;"",IF(VLOOKUP($A57,Actions!$F$1:$AQ$70,34,0)="Commune",(VLOOKUP($A57,Actions!$F$1:$AQ$70,24,0)-VLOOKUP($A57,Actions!$F$1:$AQ$70,26,0))/(1+VLOOKUP($A57,Actions!$F$1:$AQ$70,21,0)-VLOOKUP($A57,Actions!$F$1:$AQ$70,20,0)),0),0)</f>
        <v>0</v>
      </c>
      <c r="AL57" s="1353">
        <f>IF(AE57="",AH57,IF(AND(AI57="",AE57&lt;&gt;""),VLOOKUP($A57,Actions!$F$1:$AQ$70,31,0),0))</f>
        <v>0</v>
      </c>
      <c r="AM57" s="1354" t="str">
        <f>IF(OR(Actions!$Y51=AM$7,AND(Actions!$Y51&lt;=AM$7,Actions!$Z51&gt;=AM$7)),Actions!$AA51,"")</f>
        <v/>
      </c>
      <c r="AN57" s="1353">
        <f>IF(AM57&lt;&gt;"",VLOOKUP($A57,Actions!$F$1:$AQ$70,38,0)/(1+VLOOKUP($A57,Actions!$F$1:$AQ$70,21,0)-VLOOKUP($A57,Actions!$F$1:$AQ$70,20,0)),0)</f>
        <v>0</v>
      </c>
      <c r="AO57" s="1353">
        <f>IF(AM57&lt;&gt;"",IF(VLOOKUP($A57,Actions!$F$1:$AQ$70,34,0)="Commune",(VLOOKUP($A57,Actions!$F$1:$AQ$70,24,0)-VLOOKUP($A57,Actions!$F$1:$AQ$70,26,0))/(1+VLOOKUP($A57,Actions!$F$1:$AQ$70,21,0)-VLOOKUP($A57,Actions!$F$1:$AQ$70,20,0)),0),0)</f>
        <v>0</v>
      </c>
      <c r="AP57" s="1353">
        <f>IF(AI57="",AL57,IF(AND(AM57="",AI57&lt;&gt;""),VLOOKUP($A57,Actions!$F$1:$AQ$70,31,0),0))</f>
        <v>0</v>
      </c>
      <c r="AQ57" s="1354" t="str">
        <f>IF(OR(Actions!$Y51=AQ$7,AND(Actions!$Y51&lt;=AQ$7,Actions!$Z51&gt;=AQ$7)),Actions!$AA51,"")</f>
        <v/>
      </c>
      <c r="AR57" s="1353">
        <f>IF(AQ57&lt;&gt;"",VLOOKUP($A57,Actions!$F$1:$AQ$70,38,0)/(1+VLOOKUP($A57,Actions!$F$1:$AQ$70,21,0)-VLOOKUP($A57,Actions!$F$1:$AQ$70,20,0)),0)</f>
        <v>0</v>
      </c>
      <c r="AS57" s="1353">
        <f>IF(AQ57&lt;&gt;"",IF(VLOOKUP($A57,Actions!$F$1:$AQ$70,34,0)="Commune",(VLOOKUP($A57,Actions!$F$1:$AQ$70,24,0)-VLOOKUP($A57,Actions!$F$1:$AQ$70,26,0))/(1+VLOOKUP($A57,Actions!$F$1:$AQ$70,21,0)-VLOOKUP($A57,Actions!$F$1:$AQ$70,20,0)),0),0)</f>
        <v>0</v>
      </c>
      <c r="AT57" s="1353">
        <f>IF(AM57="",AP57,IF(AND(AQ57="",AM57&lt;&gt;""),VLOOKUP($A57,Actions!$F$1:$AQ$70,31,0),0))</f>
        <v>0</v>
      </c>
      <c r="AU57" s="1354" t="str">
        <f>IF(OR(Actions!$Y51=AU$7,AND(Actions!$Y51&lt;=AU$7,Actions!$Z51&gt;=AU$7)),Actions!$AA51,"")</f>
        <v/>
      </c>
      <c r="AV57" s="1353">
        <f>IF(AU57&lt;&gt;"",VLOOKUP($A57,Actions!$F$1:$AQ$70,38,0)/(1+VLOOKUP($A57,Actions!$F$1:$AQ$70,21,0)-VLOOKUP($A57,Actions!$F$1:$AQ$70,20,0)),0)</f>
        <v>0</v>
      </c>
      <c r="AW57" s="1353">
        <f>IF(AU57&lt;&gt;"",IF(VLOOKUP($A57,Actions!$F$1:$AQ$70,34,0)="Commune",(VLOOKUP($A57,Actions!$F$1:$AQ$70,24,0)-VLOOKUP($A57,Actions!$F$1:$AQ$70,26,0))/(1+VLOOKUP($A57,Actions!$F$1:$AQ$70,21,0)-VLOOKUP($A57,Actions!$F$1:$AQ$70,20,0)),0),0)</f>
        <v>0</v>
      </c>
      <c r="AX57" s="1353">
        <f>IF(AQ57="",AT57,IF(AND(AU57="",AQ57&lt;&gt;""),VLOOKUP($A57,Actions!$F$1:$AQ$70,31,0),0))</f>
        <v>0</v>
      </c>
      <c r="AY57" s="1354" t="str">
        <f>IF(OR(Actions!$Y51=AY$7,AND(Actions!$Y51&lt;=AY$7,Actions!$Z51&gt;=AY$7)),Actions!$AA51,"")</f>
        <v/>
      </c>
      <c r="AZ57" s="1353">
        <f>IF(AY57&lt;&gt;"",VLOOKUP($A57,Actions!$F$1:$AQ$70,38,0)/(1+VLOOKUP($A57,Actions!$F$1:$AQ$70,21,0)-VLOOKUP($A57,Actions!$F$1:$AQ$70,20,0)),0)</f>
        <v>0</v>
      </c>
      <c r="BA57" s="1353">
        <f>IF(AY57&lt;&gt;"",IF(VLOOKUP($A57,Actions!$F$1:$AQ$70,34,0)="Commune",(VLOOKUP($A57,Actions!$F$1:$AQ$70,24,0)-VLOOKUP($A57,Actions!$F$1:$AQ$70,26,0))/(1+VLOOKUP($A57,Actions!$F$1:$AQ$70,21,0)-VLOOKUP($A57,Actions!$F$1:$AQ$70,20,0)),0),0)</f>
        <v>0</v>
      </c>
      <c r="BB57" s="1353">
        <f>IF(AU57="",AX57,IF(AND(AY57="",AU57&lt;&gt;""),VLOOKUP($A57,Actions!$F$1:$AQ$70,31,0),0))</f>
        <v>0</v>
      </c>
      <c r="BC57" s="1354" t="str">
        <f>IF(OR(Actions!$Y51=BC$7,AND(Actions!$Y51&lt;=BC$7,Actions!$Z51&gt;=BC$7)),Actions!$AA51,"")</f>
        <v/>
      </c>
      <c r="BD57" s="1353">
        <f>IF(BC57&lt;&gt;"",VLOOKUP($A57,Actions!$F$1:$AQ$70,38,0)/(1+VLOOKUP($A57,Actions!$F$1:$AQ$70,21,0)-VLOOKUP($A57,Actions!$F$1:$AQ$70,20,0)),0)</f>
        <v>0</v>
      </c>
      <c r="BE57" s="1353">
        <f>IF(BC57&lt;&gt;"",IF(VLOOKUP($A57,Actions!$F$1:$AQ$70,34,0)="Commune",(VLOOKUP($A57,Actions!$F$1:$AQ$70,24,0)-VLOOKUP($A57,Actions!$F$1:$AQ$70,26,0))/(1+VLOOKUP($A57,Actions!$F$1:$AQ$70,21,0)-VLOOKUP($A57,Actions!$F$1:$AQ$70,20,0)),0),0)</f>
        <v>0</v>
      </c>
      <c r="BF57" s="1353">
        <f>IF(AY57="",BB57,IF(AND(BC57="",AY57&lt;&gt;""),VLOOKUP($A57,Actions!$F$1:$AQ$70,31,0),0))</f>
        <v>0</v>
      </c>
      <c r="BG57" s="1355">
        <f t="shared" si="0"/>
        <v>0</v>
      </c>
      <c r="BJ57" s="233"/>
      <c r="BK57" s="233"/>
      <c r="BL57" s="233"/>
      <c r="BM57" s="233"/>
      <c r="BN57" s="233"/>
      <c r="BO57" s="233"/>
    </row>
    <row r="58" spans="1:67">
      <c r="A58" s="1349">
        <f>Actions!F52</f>
        <v>51</v>
      </c>
      <c r="B58" s="1352">
        <f>Actions!G52</f>
        <v>0</v>
      </c>
      <c r="C58" s="1353" t="str">
        <f>IF(OR(AND(Actions!Y52&gt;0,Actions!Y52&lt;=$C$7,Actions!Z52&gt;=$C$7),AND(Actions!Y52&gt;0,Actions!Y52&lt;=$C$7,Actions!Z52&lt;Actions!Y52),AND(Actions!Y52=0,Actions!Z52&gt;=$C$7)),Actions!$AA52,"")</f>
        <v/>
      </c>
      <c r="D58" s="1353">
        <f>IF(C58&lt;&gt;"",VLOOKUP($A58,Actions!$F$1:$AQ$70,38,0)/(1+VLOOKUP($A58,Actions!$F$1:$AQ$70,21,0)-VLOOKUP($A58,Actions!$F$1:$AQ$70,20,0)),0)</f>
        <v>0</v>
      </c>
      <c r="E58" s="1353">
        <f>IF(C58&lt;&gt;"",IF(VLOOKUP($A58,Actions!$F$1:$AQ$70,34,0)="Commune",(VLOOKUP($A58,Actions!$F$1:$AQ$70,24,0)-VLOOKUP($A58,Actions!$F$1:$AQ$70,26,0))/(1+VLOOKUP($A58,Actions!$F$1:$AQ$70,21,0)-VLOOKUP($A58,Actions!$F$1:$AQ$70,20,0)),0),0)</f>
        <v>0</v>
      </c>
      <c r="F58" s="1353">
        <v>0</v>
      </c>
      <c r="G58" s="1354" t="str">
        <f>IF(OR(Actions!$Y52=G$7,AND(Actions!$Y52&lt;=G$7,Actions!$Z52&gt;=G$7)),Actions!$AA52,"")</f>
        <v/>
      </c>
      <c r="H58" s="1353">
        <f>IF(G58&lt;&gt;"",VLOOKUP($A58,Actions!$F$1:$AQ$70,38,0)/(1+VLOOKUP($A58,Actions!$F$1:$AQ$70,21,0)-VLOOKUP($A58,Actions!$F$1:$AQ$70,20,0)),0)</f>
        <v>0</v>
      </c>
      <c r="I58" s="1353">
        <f>IF(G58&lt;&gt;"",IF(VLOOKUP($A58,Actions!$F$1:$AQ$70,34,0)="Commune",(VLOOKUP($A58,Actions!$F$1:$AQ$70,24,0)-VLOOKUP($A58,Actions!$F$1:$AQ$70,26,0))/(1+VLOOKUP($A58,Actions!$F$1:$AQ$70,21,0)-VLOOKUP($A58,Actions!$F$1:$AQ$70,20,0)),0),0)</f>
        <v>0</v>
      </c>
      <c r="J58" s="1353">
        <f>IF(C58="",F58,IF(AND(G58="",C58&lt;&gt;""),VLOOKUP($A58,Actions!$F$1:$AQ$70,31,0),0))</f>
        <v>0</v>
      </c>
      <c r="K58" s="1354" t="str">
        <f>IF(OR(Actions!$Y52=K$7,AND(Actions!$Y52&lt;=K$7,Actions!$Z52&gt;=K$7)),Actions!$AA52,"")</f>
        <v/>
      </c>
      <c r="L58" s="1353">
        <f>IF(K58&lt;&gt;"",VLOOKUP($A58,Actions!$F$1:$AQ$70,38,0)/(1+VLOOKUP($A58,Actions!$F$1:$AQ$70,21,0)-VLOOKUP($A58,Actions!$F$1:$AQ$70,20,0)),0)</f>
        <v>0</v>
      </c>
      <c r="M58" s="1353">
        <f>IF(K58&lt;&gt;"",IF(VLOOKUP($A58,Actions!$F$1:$AQ$70,34,0)="Commune",(VLOOKUP($A58,Actions!$F$1:$AQ$70,24,0)-VLOOKUP($A58,Actions!$F$1:$AQ$70,26,0))/(1+VLOOKUP($A58,Actions!$F$1:$AQ$70,21,0)-VLOOKUP($A58,Actions!$F$1:$AQ$70,20,0)),0),0)</f>
        <v>0</v>
      </c>
      <c r="N58" s="1353">
        <f>IF(G58="",J58,IF(AND(K58="",G58&lt;&gt;""),VLOOKUP($A58,Actions!$F$1:$AQ$70,31,0),0))</f>
        <v>0</v>
      </c>
      <c r="O58" s="1354" t="str">
        <f>IF(OR(Actions!$Y52=O$7,AND(Actions!$Y52&lt;=O$7,Actions!$Z52&gt;=O$7)),Actions!$AA52,"")</f>
        <v/>
      </c>
      <c r="P58" s="1353">
        <f>IF(O58&lt;&gt;"",VLOOKUP($A58,Actions!$F$1:$AQ$70,38,0)/(1+VLOOKUP($A58,Actions!$F$1:$AQ$70,21,0)-VLOOKUP($A58,Actions!$F$1:$AQ$70,20,0)),0)</f>
        <v>0</v>
      </c>
      <c r="Q58" s="1353">
        <f>IF(O58&lt;&gt;"",IF(VLOOKUP($A58,Actions!$F$1:$AQ$70,34,0)="Commune",(VLOOKUP($A58,Actions!$F$1:$AQ$70,24,0)-VLOOKUP($A58,Actions!$F$1:$AQ$70,26,0))/(1+VLOOKUP($A58,Actions!$F$1:$AQ$70,21,0)-VLOOKUP($A58,Actions!$F$1:$AQ$70,20,0)),0),0)</f>
        <v>0</v>
      </c>
      <c r="R58" s="1353">
        <f>IF(K58="",N58,IF(AND(O58="",K58&lt;&gt;""),VLOOKUP($A58,Actions!$F$1:$AQ$70,31,0),0))</f>
        <v>0</v>
      </c>
      <c r="S58" s="1354" t="str">
        <f>IF(OR(Actions!$Y52=S$7,AND(Actions!$Y52&lt;=S$7,Actions!$Z52&gt;=S$7)),Actions!$AA52,"")</f>
        <v/>
      </c>
      <c r="T58" s="1353">
        <f>IF(S58&lt;&gt;"",VLOOKUP($A58,Actions!$F$1:$AQ$70,38,0)/(1+VLOOKUP($A58,Actions!$F$1:$AQ$70,21,0)-VLOOKUP($A58,Actions!$F$1:$AQ$70,20,0)),0)</f>
        <v>0</v>
      </c>
      <c r="U58" s="1353">
        <f>IF(S58&lt;&gt;"",IF(VLOOKUP($A58,Actions!$F$1:$AQ$70,34,0)="Commune",(VLOOKUP($A58,Actions!$F$1:$AQ$70,24,0)-VLOOKUP($A58,Actions!$F$1:$AQ$70,26,0))/(1+VLOOKUP($A58,Actions!$F$1:$AQ$70,21,0)-VLOOKUP($A58,Actions!$F$1:$AQ$70,20,0)),0),0)</f>
        <v>0</v>
      </c>
      <c r="V58" s="1353">
        <f>IF(O58="",R58,IF(AND(S58="",O58&lt;&gt;""),VLOOKUP($A58,Actions!$F$1:$AQ$70,31,0),0))</f>
        <v>0</v>
      </c>
      <c r="W58" s="1354" t="str">
        <f>IF(OR(Actions!$Y52=W$7,AND(Actions!$Y52&lt;=W$7,Actions!$Z52&gt;=W$7)),Actions!$AA52,"")</f>
        <v/>
      </c>
      <c r="X58" s="1353">
        <f>IF(W58&lt;&gt;"",VLOOKUP($A58,Actions!$F$1:$AQ$70,38,0)/(1+VLOOKUP($A58,Actions!$F$1:$AQ$70,21,0)-VLOOKUP($A58,Actions!$F$1:$AQ$70,20,0)),0)</f>
        <v>0</v>
      </c>
      <c r="Y58" s="1353">
        <f>IF(W58&lt;&gt;"",IF(VLOOKUP($A58,Actions!$F$1:$AQ$70,34,0)="Commune",(VLOOKUP($A58,Actions!$F$1:$AQ$70,24,0)-VLOOKUP($A58,Actions!$F$1:$AQ$70,26,0))/(1+VLOOKUP($A58,Actions!$F$1:$AQ$70,21,0)-VLOOKUP($A58,Actions!$F$1:$AQ$70,20,0)),0),0)</f>
        <v>0</v>
      </c>
      <c r="Z58" s="1353">
        <f>IF(S58="",V58,IF(AND(W58="",S58&lt;&gt;""),VLOOKUP($A58,Actions!$F$1:$AQ$70,31,0),0))</f>
        <v>0</v>
      </c>
      <c r="AA58" s="1354" t="str">
        <f>IF(OR(Actions!$Y52=AA$7,AND(Actions!$Y52&lt;=AA$7,Actions!$Z52&gt;=AA$7)),Actions!$AA52,"")</f>
        <v/>
      </c>
      <c r="AB58" s="1353">
        <f>IF(AA58&lt;&gt;"",VLOOKUP($A58,Actions!$F$1:$AQ$70,38,0)/(1+VLOOKUP($A58,Actions!$F$1:$AQ$70,21,0)-VLOOKUP($A58,Actions!$F$1:$AQ$70,20,0)),0)</f>
        <v>0</v>
      </c>
      <c r="AC58" s="1353">
        <f>IF(AA58&lt;&gt;"",IF(VLOOKUP($A58,Actions!$F$1:$AQ$70,34,0)="Commune",(VLOOKUP($A58,Actions!$F$1:$AQ$70,24,0)-VLOOKUP($A58,Actions!$F$1:$AQ$70,26,0))/(1+VLOOKUP($A58,Actions!$F$1:$AQ$70,21,0)-VLOOKUP($A58,Actions!$F$1:$AQ$70,20,0)),0),0)</f>
        <v>0</v>
      </c>
      <c r="AD58" s="1353">
        <f>IF(W58="",Z58,IF(AND(AA58="",W58&lt;&gt;""),VLOOKUP($A58,Actions!$F$1:$AQ$70,31,0),0))</f>
        <v>0</v>
      </c>
      <c r="AE58" s="1354" t="str">
        <f>IF(OR(Actions!$Y52=AE$7,AND(Actions!$Y52&lt;=AE$7,Actions!$Z52&gt;=AE$7)),Actions!$AA52,"")</f>
        <v/>
      </c>
      <c r="AF58" s="1353">
        <f>IF(AE58&lt;&gt;"",VLOOKUP($A58,Actions!$F$1:$AQ$70,38,0)/(1+VLOOKUP($A58,Actions!$F$1:$AQ$70,21,0)-VLOOKUP($A58,Actions!$F$1:$AQ$70,20,0)),0)</f>
        <v>0</v>
      </c>
      <c r="AG58" s="1353">
        <f>IF(AE58&lt;&gt;"",IF(VLOOKUP($A58,Actions!$F$1:$AQ$70,34,0)="Commune",(VLOOKUP($A58,Actions!$F$1:$AQ$70,24,0)-VLOOKUP($A58,Actions!$F$1:$AQ$70,26,0))/(1+VLOOKUP($A58,Actions!$F$1:$AQ$70,21,0)-VLOOKUP($A58,Actions!$F$1:$AQ$70,20,0)),0),0)</f>
        <v>0</v>
      </c>
      <c r="AH58" s="1353">
        <f>IF(AA58="",AD58,IF(AND(AE58="",AA58&lt;&gt;""),VLOOKUP($A58,Actions!$F$1:$AQ$70,31,0),0))</f>
        <v>0</v>
      </c>
      <c r="AI58" s="1354" t="str">
        <f>IF(OR(Actions!$Y52=AI$7,AND(Actions!$Y52&lt;=AI$7,Actions!$Z52&gt;=AI$7)),Actions!$AA52,"")</f>
        <v/>
      </c>
      <c r="AJ58" s="1353">
        <f>IF(AI58&lt;&gt;"",VLOOKUP($A58,Actions!$F$1:$AQ$70,38,0)/(1+VLOOKUP($A58,Actions!$F$1:$AQ$70,21,0)-VLOOKUP($A58,Actions!$F$1:$AQ$70,20,0)),0)</f>
        <v>0</v>
      </c>
      <c r="AK58" s="1353">
        <f>IF(AI58&lt;&gt;"",IF(VLOOKUP($A58,Actions!$F$1:$AQ$70,34,0)="Commune",(VLOOKUP($A58,Actions!$F$1:$AQ$70,24,0)-VLOOKUP($A58,Actions!$F$1:$AQ$70,26,0))/(1+VLOOKUP($A58,Actions!$F$1:$AQ$70,21,0)-VLOOKUP($A58,Actions!$F$1:$AQ$70,20,0)),0),0)</f>
        <v>0</v>
      </c>
      <c r="AL58" s="1353">
        <f>IF(AE58="",AH58,IF(AND(AI58="",AE58&lt;&gt;""),VLOOKUP($A58,Actions!$F$1:$AQ$70,31,0),0))</f>
        <v>0</v>
      </c>
      <c r="AM58" s="1354" t="str">
        <f>IF(OR(Actions!$Y52=AM$7,AND(Actions!$Y52&lt;=AM$7,Actions!$Z52&gt;=AM$7)),Actions!$AA52,"")</f>
        <v/>
      </c>
      <c r="AN58" s="1353">
        <f>IF(AM58&lt;&gt;"",VLOOKUP($A58,Actions!$F$1:$AQ$70,38,0)/(1+VLOOKUP($A58,Actions!$F$1:$AQ$70,21,0)-VLOOKUP($A58,Actions!$F$1:$AQ$70,20,0)),0)</f>
        <v>0</v>
      </c>
      <c r="AO58" s="1353">
        <f>IF(AM58&lt;&gt;"",IF(VLOOKUP($A58,Actions!$F$1:$AQ$70,34,0)="Commune",(VLOOKUP($A58,Actions!$F$1:$AQ$70,24,0)-VLOOKUP($A58,Actions!$F$1:$AQ$70,26,0))/(1+VLOOKUP($A58,Actions!$F$1:$AQ$70,21,0)-VLOOKUP($A58,Actions!$F$1:$AQ$70,20,0)),0),0)</f>
        <v>0</v>
      </c>
      <c r="AP58" s="1353">
        <f>IF(AI58="",AL58,IF(AND(AM58="",AI58&lt;&gt;""),VLOOKUP($A58,Actions!$F$1:$AQ$70,31,0),0))</f>
        <v>0</v>
      </c>
      <c r="AQ58" s="1354" t="str">
        <f>IF(OR(Actions!$Y52=AQ$7,AND(Actions!$Y52&lt;=AQ$7,Actions!$Z52&gt;=AQ$7)),Actions!$AA52,"")</f>
        <v/>
      </c>
      <c r="AR58" s="1353">
        <f>IF(AQ58&lt;&gt;"",VLOOKUP($A58,Actions!$F$1:$AQ$70,38,0)/(1+VLOOKUP($A58,Actions!$F$1:$AQ$70,21,0)-VLOOKUP($A58,Actions!$F$1:$AQ$70,20,0)),0)</f>
        <v>0</v>
      </c>
      <c r="AS58" s="1353">
        <f>IF(AQ58&lt;&gt;"",IF(VLOOKUP($A58,Actions!$F$1:$AQ$70,34,0)="Commune",(VLOOKUP($A58,Actions!$F$1:$AQ$70,24,0)-VLOOKUP($A58,Actions!$F$1:$AQ$70,26,0))/(1+VLOOKUP($A58,Actions!$F$1:$AQ$70,21,0)-VLOOKUP($A58,Actions!$F$1:$AQ$70,20,0)),0),0)</f>
        <v>0</v>
      </c>
      <c r="AT58" s="1353">
        <f>IF(AM58="",AP58,IF(AND(AQ58="",AM58&lt;&gt;""),VLOOKUP($A58,Actions!$F$1:$AQ$70,31,0),0))</f>
        <v>0</v>
      </c>
      <c r="AU58" s="1354" t="str">
        <f>IF(OR(Actions!$Y52=AU$7,AND(Actions!$Y52&lt;=AU$7,Actions!$Z52&gt;=AU$7)),Actions!$AA52,"")</f>
        <v/>
      </c>
      <c r="AV58" s="1353">
        <f>IF(AU58&lt;&gt;"",VLOOKUP($A58,Actions!$F$1:$AQ$70,38,0)/(1+VLOOKUP($A58,Actions!$F$1:$AQ$70,21,0)-VLOOKUP($A58,Actions!$F$1:$AQ$70,20,0)),0)</f>
        <v>0</v>
      </c>
      <c r="AW58" s="1353">
        <f>IF(AU58&lt;&gt;"",IF(VLOOKUP($A58,Actions!$F$1:$AQ$70,34,0)="Commune",(VLOOKUP($A58,Actions!$F$1:$AQ$70,24,0)-VLOOKUP($A58,Actions!$F$1:$AQ$70,26,0))/(1+VLOOKUP($A58,Actions!$F$1:$AQ$70,21,0)-VLOOKUP($A58,Actions!$F$1:$AQ$70,20,0)),0),0)</f>
        <v>0</v>
      </c>
      <c r="AX58" s="1353">
        <f>IF(AQ58="",AT58,IF(AND(AU58="",AQ58&lt;&gt;""),VLOOKUP($A58,Actions!$F$1:$AQ$70,31,0),0))</f>
        <v>0</v>
      </c>
      <c r="AY58" s="1354" t="str">
        <f>IF(OR(Actions!$Y52=AY$7,AND(Actions!$Y52&lt;=AY$7,Actions!$Z52&gt;=AY$7)),Actions!$AA52,"")</f>
        <v/>
      </c>
      <c r="AZ58" s="1353">
        <f>IF(AY58&lt;&gt;"",VLOOKUP($A58,Actions!$F$1:$AQ$70,38,0)/(1+VLOOKUP($A58,Actions!$F$1:$AQ$70,21,0)-VLOOKUP($A58,Actions!$F$1:$AQ$70,20,0)),0)</f>
        <v>0</v>
      </c>
      <c r="BA58" s="1353">
        <f>IF(AY58&lt;&gt;"",IF(VLOOKUP($A58,Actions!$F$1:$AQ$70,34,0)="Commune",(VLOOKUP($A58,Actions!$F$1:$AQ$70,24,0)-VLOOKUP($A58,Actions!$F$1:$AQ$70,26,0))/(1+VLOOKUP($A58,Actions!$F$1:$AQ$70,21,0)-VLOOKUP($A58,Actions!$F$1:$AQ$70,20,0)),0),0)</f>
        <v>0</v>
      </c>
      <c r="BB58" s="1353">
        <f>IF(AU58="",AX58,IF(AND(AY58="",AU58&lt;&gt;""),VLOOKUP($A58,Actions!$F$1:$AQ$70,31,0),0))</f>
        <v>0</v>
      </c>
      <c r="BC58" s="1354" t="str">
        <f>IF(OR(Actions!$Y52=BC$7,AND(Actions!$Y52&lt;=BC$7,Actions!$Z52&gt;=BC$7)),Actions!$AA52,"")</f>
        <v/>
      </c>
      <c r="BD58" s="1353">
        <f>IF(BC58&lt;&gt;"",VLOOKUP($A58,Actions!$F$1:$AQ$70,38,0)/(1+VLOOKUP($A58,Actions!$F$1:$AQ$70,21,0)-VLOOKUP($A58,Actions!$F$1:$AQ$70,20,0)),0)</f>
        <v>0</v>
      </c>
      <c r="BE58" s="1353">
        <f>IF(BC58&lt;&gt;"",IF(VLOOKUP($A58,Actions!$F$1:$AQ$70,34,0)="Commune",(VLOOKUP($A58,Actions!$F$1:$AQ$70,24,0)-VLOOKUP($A58,Actions!$F$1:$AQ$70,26,0))/(1+VLOOKUP($A58,Actions!$F$1:$AQ$70,21,0)-VLOOKUP($A58,Actions!$F$1:$AQ$70,20,0)),0),0)</f>
        <v>0</v>
      </c>
      <c r="BF58" s="1353">
        <f>IF(AY58="",BB58,IF(AND(BC58="",AY58&lt;&gt;""),VLOOKUP($A58,Actions!$F$1:$AQ$70,31,0),0))</f>
        <v>0</v>
      </c>
      <c r="BG58" s="1355">
        <f t="shared" si="0"/>
        <v>0</v>
      </c>
      <c r="BJ58" s="233"/>
      <c r="BK58" s="233"/>
      <c r="BL58" s="233"/>
      <c r="BM58" s="233"/>
      <c r="BN58" s="233"/>
      <c r="BO58" s="233"/>
    </row>
    <row r="59" spans="1:67">
      <c r="A59" s="1349">
        <f>Actions!F53</f>
        <v>52</v>
      </c>
      <c r="B59" s="1352">
        <f>Actions!G53</f>
        <v>0</v>
      </c>
      <c r="C59" s="1353" t="str">
        <f>IF(OR(AND(Actions!Y53&gt;0,Actions!Y53&lt;=$C$7,Actions!Z53&gt;=$C$7),AND(Actions!Y53&gt;0,Actions!Y53&lt;=$C$7,Actions!Z53&lt;Actions!Y53),AND(Actions!Y53=0,Actions!Z53&gt;=$C$7)),Actions!$AA53,"")</f>
        <v/>
      </c>
      <c r="D59" s="1353">
        <f>IF(C59&lt;&gt;"",VLOOKUP($A59,Actions!$F$1:$AQ$70,38,0)/(1+VLOOKUP($A59,Actions!$F$1:$AQ$70,21,0)-VLOOKUP($A59,Actions!$F$1:$AQ$70,20,0)),0)</f>
        <v>0</v>
      </c>
      <c r="E59" s="1353">
        <f>IF(C59&lt;&gt;"",IF(VLOOKUP($A59,Actions!$F$1:$AQ$70,34,0)="Commune",(VLOOKUP($A59,Actions!$F$1:$AQ$70,24,0)-VLOOKUP($A59,Actions!$F$1:$AQ$70,26,0))/(1+VLOOKUP($A59,Actions!$F$1:$AQ$70,21,0)-VLOOKUP($A59,Actions!$F$1:$AQ$70,20,0)),0),0)</f>
        <v>0</v>
      </c>
      <c r="F59" s="1353">
        <v>0</v>
      </c>
      <c r="G59" s="1354" t="str">
        <f>IF(OR(Actions!$Y53=G$7,AND(Actions!$Y53&lt;=G$7,Actions!$Z53&gt;=G$7)),Actions!$AA53,"")</f>
        <v/>
      </c>
      <c r="H59" s="1353">
        <f>IF(G59&lt;&gt;"",VLOOKUP($A59,Actions!$F$1:$AQ$70,38,0)/(1+VLOOKUP($A59,Actions!$F$1:$AQ$70,21,0)-VLOOKUP($A59,Actions!$F$1:$AQ$70,20,0)),0)</f>
        <v>0</v>
      </c>
      <c r="I59" s="1353">
        <f>IF(G59&lt;&gt;"",IF(VLOOKUP($A59,Actions!$F$1:$AQ$70,34,0)="Commune",(VLOOKUP($A59,Actions!$F$1:$AQ$70,24,0)-VLOOKUP($A59,Actions!$F$1:$AQ$70,26,0))/(1+VLOOKUP($A59,Actions!$F$1:$AQ$70,21,0)-VLOOKUP($A59,Actions!$F$1:$AQ$70,20,0)),0),0)</f>
        <v>0</v>
      </c>
      <c r="J59" s="1353">
        <f>IF(C59="",F59,IF(AND(G59="",C59&lt;&gt;""),VLOOKUP($A59,Actions!$F$1:$AQ$70,31,0),0))</f>
        <v>0</v>
      </c>
      <c r="K59" s="1354" t="str">
        <f>IF(OR(Actions!$Y53=K$7,AND(Actions!$Y53&lt;=K$7,Actions!$Z53&gt;=K$7)),Actions!$AA53,"")</f>
        <v/>
      </c>
      <c r="L59" s="1353">
        <f>IF(K59&lt;&gt;"",VLOOKUP($A59,Actions!$F$1:$AQ$70,38,0)/(1+VLOOKUP($A59,Actions!$F$1:$AQ$70,21,0)-VLOOKUP($A59,Actions!$F$1:$AQ$70,20,0)),0)</f>
        <v>0</v>
      </c>
      <c r="M59" s="1353">
        <f>IF(K59&lt;&gt;"",IF(VLOOKUP($A59,Actions!$F$1:$AQ$70,34,0)="Commune",(VLOOKUP($A59,Actions!$F$1:$AQ$70,24,0)-VLOOKUP($A59,Actions!$F$1:$AQ$70,26,0))/(1+VLOOKUP($A59,Actions!$F$1:$AQ$70,21,0)-VLOOKUP($A59,Actions!$F$1:$AQ$70,20,0)),0),0)</f>
        <v>0</v>
      </c>
      <c r="N59" s="1353">
        <f>IF(G59="",J59,IF(AND(K59="",G59&lt;&gt;""),VLOOKUP($A59,Actions!$F$1:$AQ$70,31,0),0))</f>
        <v>0</v>
      </c>
      <c r="O59" s="1354" t="str">
        <f>IF(OR(Actions!$Y53=O$7,AND(Actions!$Y53&lt;=O$7,Actions!$Z53&gt;=O$7)),Actions!$AA53,"")</f>
        <v/>
      </c>
      <c r="P59" s="1353">
        <f>IF(O59&lt;&gt;"",VLOOKUP($A59,Actions!$F$1:$AQ$70,38,0)/(1+VLOOKUP($A59,Actions!$F$1:$AQ$70,21,0)-VLOOKUP($A59,Actions!$F$1:$AQ$70,20,0)),0)</f>
        <v>0</v>
      </c>
      <c r="Q59" s="1353">
        <f>IF(O59&lt;&gt;"",IF(VLOOKUP($A59,Actions!$F$1:$AQ$70,34,0)="Commune",(VLOOKUP($A59,Actions!$F$1:$AQ$70,24,0)-VLOOKUP($A59,Actions!$F$1:$AQ$70,26,0))/(1+VLOOKUP($A59,Actions!$F$1:$AQ$70,21,0)-VLOOKUP($A59,Actions!$F$1:$AQ$70,20,0)),0),0)</f>
        <v>0</v>
      </c>
      <c r="R59" s="1353">
        <f>IF(K59="",N59,IF(AND(O59="",K59&lt;&gt;""),VLOOKUP($A59,Actions!$F$1:$AQ$70,31,0),0))</f>
        <v>0</v>
      </c>
      <c r="S59" s="1354" t="str">
        <f>IF(OR(Actions!$Y53=S$7,AND(Actions!$Y53&lt;=S$7,Actions!$Z53&gt;=S$7)),Actions!$AA53,"")</f>
        <v/>
      </c>
      <c r="T59" s="1353">
        <f>IF(S59&lt;&gt;"",VLOOKUP($A59,Actions!$F$1:$AQ$70,38,0)/(1+VLOOKUP($A59,Actions!$F$1:$AQ$70,21,0)-VLOOKUP($A59,Actions!$F$1:$AQ$70,20,0)),0)</f>
        <v>0</v>
      </c>
      <c r="U59" s="1353">
        <f>IF(S59&lt;&gt;"",IF(VLOOKUP($A59,Actions!$F$1:$AQ$70,34,0)="Commune",(VLOOKUP($A59,Actions!$F$1:$AQ$70,24,0)-VLOOKUP($A59,Actions!$F$1:$AQ$70,26,0))/(1+VLOOKUP($A59,Actions!$F$1:$AQ$70,21,0)-VLOOKUP($A59,Actions!$F$1:$AQ$70,20,0)),0),0)</f>
        <v>0</v>
      </c>
      <c r="V59" s="1353">
        <f>IF(O59="",R59,IF(AND(S59="",O59&lt;&gt;""),VLOOKUP($A59,Actions!$F$1:$AQ$70,31,0),0))</f>
        <v>0</v>
      </c>
      <c r="W59" s="1354" t="str">
        <f>IF(OR(Actions!$Y53=W$7,AND(Actions!$Y53&lt;=W$7,Actions!$Z53&gt;=W$7)),Actions!$AA53,"")</f>
        <v/>
      </c>
      <c r="X59" s="1353">
        <f>IF(W59&lt;&gt;"",VLOOKUP($A59,Actions!$F$1:$AQ$70,38,0)/(1+VLOOKUP($A59,Actions!$F$1:$AQ$70,21,0)-VLOOKUP($A59,Actions!$F$1:$AQ$70,20,0)),0)</f>
        <v>0</v>
      </c>
      <c r="Y59" s="1353">
        <f>IF(W59&lt;&gt;"",IF(VLOOKUP($A59,Actions!$F$1:$AQ$70,34,0)="Commune",(VLOOKUP($A59,Actions!$F$1:$AQ$70,24,0)-VLOOKUP($A59,Actions!$F$1:$AQ$70,26,0))/(1+VLOOKUP($A59,Actions!$F$1:$AQ$70,21,0)-VLOOKUP($A59,Actions!$F$1:$AQ$70,20,0)),0),0)</f>
        <v>0</v>
      </c>
      <c r="Z59" s="1353">
        <f>IF(S59="",V59,IF(AND(W59="",S59&lt;&gt;""),VLOOKUP($A59,Actions!$F$1:$AQ$70,31,0),0))</f>
        <v>0</v>
      </c>
      <c r="AA59" s="1354" t="str">
        <f>IF(OR(Actions!$Y53=AA$7,AND(Actions!$Y53&lt;=AA$7,Actions!$Z53&gt;=AA$7)),Actions!$AA53,"")</f>
        <v/>
      </c>
      <c r="AB59" s="1353">
        <f>IF(AA59&lt;&gt;"",VLOOKUP($A59,Actions!$F$1:$AQ$70,38,0)/(1+VLOOKUP($A59,Actions!$F$1:$AQ$70,21,0)-VLOOKUP($A59,Actions!$F$1:$AQ$70,20,0)),0)</f>
        <v>0</v>
      </c>
      <c r="AC59" s="1353">
        <f>IF(AA59&lt;&gt;"",IF(VLOOKUP($A59,Actions!$F$1:$AQ$70,34,0)="Commune",(VLOOKUP($A59,Actions!$F$1:$AQ$70,24,0)-VLOOKUP($A59,Actions!$F$1:$AQ$70,26,0))/(1+VLOOKUP($A59,Actions!$F$1:$AQ$70,21,0)-VLOOKUP($A59,Actions!$F$1:$AQ$70,20,0)),0),0)</f>
        <v>0</v>
      </c>
      <c r="AD59" s="1353">
        <f>IF(W59="",Z59,IF(AND(AA59="",W59&lt;&gt;""),VLOOKUP($A59,Actions!$F$1:$AQ$70,31,0),0))</f>
        <v>0</v>
      </c>
      <c r="AE59" s="1354" t="str">
        <f>IF(OR(Actions!$Y53=AE$7,AND(Actions!$Y53&lt;=AE$7,Actions!$Z53&gt;=AE$7)),Actions!$AA53,"")</f>
        <v/>
      </c>
      <c r="AF59" s="1353">
        <f>IF(AE59&lt;&gt;"",VLOOKUP($A59,Actions!$F$1:$AQ$70,38,0)/(1+VLOOKUP($A59,Actions!$F$1:$AQ$70,21,0)-VLOOKUP($A59,Actions!$F$1:$AQ$70,20,0)),0)</f>
        <v>0</v>
      </c>
      <c r="AG59" s="1353">
        <f>IF(AE59&lt;&gt;"",IF(VLOOKUP($A59,Actions!$F$1:$AQ$70,34,0)="Commune",(VLOOKUP($A59,Actions!$F$1:$AQ$70,24,0)-VLOOKUP($A59,Actions!$F$1:$AQ$70,26,0))/(1+VLOOKUP($A59,Actions!$F$1:$AQ$70,21,0)-VLOOKUP($A59,Actions!$F$1:$AQ$70,20,0)),0),0)</f>
        <v>0</v>
      </c>
      <c r="AH59" s="1353">
        <f>IF(AA59="",AD59,IF(AND(AE59="",AA59&lt;&gt;""),VLOOKUP($A59,Actions!$F$1:$AQ$70,31,0),0))</f>
        <v>0</v>
      </c>
      <c r="AI59" s="1354" t="str">
        <f>IF(OR(Actions!$Y53=AI$7,AND(Actions!$Y53&lt;=AI$7,Actions!$Z53&gt;=AI$7)),Actions!$AA53,"")</f>
        <v/>
      </c>
      <c r="AJ59" s="1353">
        <f>IF(AI59&lt;&gt;"",VLOOKUP($A59,Actions!$F$1:$AQ$70,38,0)/(1+VLOOKUP($A59,Actions!$F$1:$AQ$70,21,0)-VLOOKUP($A59,Actions!$F$1:$AQ$70,20,0)),0)</f>
        <v>0</v>
      </c>
      <c r="AK59" s="1353">
        <f>IF(AI59&lt;&gt;"",IF(VLOOKUP($A59,Actions!$F$1:$AQ$70,34,0)="Commune",(VLOOKUP($A59,Actions!$F$1:$AQ$70,24,0)-VLOOKUP($A59,Actions!$F$1:$AQ$70,26,0))/(1+VLOOKUP($A59,Actions!$F$1:$AQ$70,21,0)-VLOOKUP($A59,Actions!$F$1:$AQ$70,20,0)),0),0)</f>
        <v>0</v>
      </c>
      <c r="AL59" s="1353">
        <f>IF(AE59="",AH59,IF(AND(AI59="",AE59&lt;&gt;""),VLOOKUP($A59,Actions!$F$1:$AQ$70,31,0),0))</f>
        <v>0</v>
      </c>
      <c r="AM59" s="1354" t="str">
        <f>IF(OR(Actions!$Y53=AM$7,AND(Actions!$Y53&lt;=AM$7,Actions!$Z53&gt;=AM$7)),Actions!$AA53,"")</f>
        <v/>
      </c>
      <c r="AN59" s="1353">
        <f>IF(AM59&lt;&gt;"",VLOOKUP($A59,Actions!$F$1:$AQ$70,38,0)/(1+VLOOKUP($A59,Actions!$F$1:$AQ$70,21,0)-VLOOKUP($A59,Actions!$F$1:$AQ$70,20,0)),0)</f>
        <v>0</v>
      </c>
      <c r="AO59" s="1353">
        <f>IF(AM59&lt;&gt;"",IF(VLOOKUP($A59,Actions!$F$1:$AQ$70,34,0)="Commune",(VLOOKUP($A59,Actions!$F$1:$AQ$70,24,0)-VLOOKUP($A59,Actions!$F$1:$AQ$70,26,0))/(1+VLOOKUP($A59,Actions!$F$1:$AQ$70,21,0)-VLOOKUP($A59,Actions!$F$1:$AQ$70,20,0)),0),0)</f>
        <v>0</v>
      </c>
      <c r="AP59" s="1353">
        <f>IF(AI59="",AL59,IF(AND(AM59="",AI59&lt;&gt;""),VLOOKUP($A59,Actions!$F$1:$AQ$70,31,0),0))</f>
        <v>0</v>
      </c>
      <c r="AQ59" s="1354" t="str">
        <f>IF(OR(Actions!$Y53=AQ$7,AND(Actions!$Y53&lt;=AQ$7,Actions!$Z53&gt;=AQ$7)),Actions!$AA53,"")</f>
        <v/>
      </c>
      <c r="AR59" s="1353">
        <f>IF(AQ59&lt;&gt;"",VLOOKUP($A59,Actions!$F$1:$AQ$70,38,0)/(1+VLOOKUP($A59,Actions!$F$1:$AQ$70,21,0)-VLOOKUP($A59,Actions!$F$1:$AQ$70,20,0)),0)</f>
        <v>0</v>
      </c>
      <c r="AS59" s="1353">
        <f>IF(AQ59&lt;&gt;"",IF(VLOOKUP($A59,Actions!$F$1:$AQ$70,34,0)="Commune",(VLOOKUP($A59,Actions!$F$1:$AQ$70,24,0)-VLOOKUP($A59,Actions!$F$1:$AQ$70,26,0))/(1+VLOOKUP($A59,Actions!$F$1:$AQ$70,21,0)-VLOOKUP($A59,Actions!$F$1:$AQ$70,20,0)),0),0)</f>
        <v>0</v>
      </c>
      <c r="AT59" s="1353">
        <f>IF(AM59="",AP59,IF(AND(AQ59="",AM59&lt;&gt;""),VLOOKUP($A59,Actions!$F$1:$AQ$70,31,0),0))</f>
        <v>0</v>
      </c>
      <c r="AU59" s="1354" t="str">
        <f>IF(OR(Actions!$Y53=AU$7,AND(Actions!$Y53&lt;=AU$7,Actions!$Z53&gt;=AU$7)),Actions!$AA53,"")</f>
        <v/>
      </c>
      <c r="AV59" s="1353">
        <f>IF(AU59&lt;&gt;"",VLOOKUP($A59,Actions!$F$1:$AQ$70,38,0)/(1+VLOOKUP($A59,Actions!$F$1:$AQ$70,21,0)-VLOOKUP($A59,Actions!$F$1:$AQ$70,20,0)),0)</f>
        <v>0</v>
      </c>
      <c r="AW59" s="1353">
        <f>IF(AU59&lt;&gt;"",IF(VLOOKUP($A59,Actions!$F$1:$AQ$70,34,0)="Commune",(VLOOKUP($A59,Actions!$F$1:$AQ$70,24,0)-VLOOKUP($A59,Actions!$F$1:$AQ$70,26,0))/(1+VLOOKUP($A59,Actions!$F$1:$AQ$70,21,0)-VLOOKUP($A59,Actions!$F$1:$AQ$70,20,0)),0),0)</f>
        <v>0</v>
      </c>
      <c r="AX59" s="1353">
        <f>IF(AQ59="",AT59,IF(AND(AU59="",AQ59&lt;&gt;""),VLOOKUP($A59,Actions!$F$1:$AQ$70,31,0),0))</f>
        <v>0</v>
      </c>
      <c r="AY59" s="1354" t="str">
        <f>IF(OR(Actions!$Y53=AY$7,AND(Actions!$Y53&lt;=AY$7,Actions!$Z53&gt;=AY$7)),Actions!$AA53,"")</f>
        <v/>
      </c>
      <c r="AZ59" s="1353">
        <f>IF(AY59&lt;&gt;"",VLOOKUP($A59,Actions!$F$1:$AQ$70,38,0)/(1+VLOOKUP($A59,Actions!$F$1:$AQ$70,21,0)-VLOOKUP($A59,Actions!$F$1:$AQ$70,20,0)),0)</f>
        <v>0</v>
      </c>
      <c r="BA59" s="1353">
        <f>IF(AY59&lt;&gt;"",IF(VLOOKUP($A59,Actions!$F$1:$AQ$70,34,0)="Commune",(VLOOKUP($A59,Actions!$F$1:$AQ$70,24,0)-VLOOKUP($A59,Actions!$F$1:$AQ$70,26,0))/(1+VLOOKUP($A59,Actions!$F$1:$AQ$70,21,0)-VLOOKUP($A59,Actions!$F$1:$AQ$70,20,0)),0),0)</f>
        <v>0</v>
      </c>
      <c r="BB59" s="1353">
        <f>IF(AU59="",AX59,IF(AND(AY59="",AU59&lt;&gt;""),VLOOKUP($A59,Actions!$F$1:$AQ$70,31,0),0))</f>
        <v>0</v>
      </c>
      <c r="BC59" s="1354" t="str">
        <f>IF(OR(Actions!$Y53=BC$7,AND(Actions!$Y53&lt;=BC$7,Actions!$Z53&gt;=BC$7)),Actions!$AA53,"")</f>
        <v/>
      </c>
      <c r="BD59" s="1353">
        <f>IF(BC59&lt;&gt;"",VLOOKUP($A59,Actions!$F$1:$AQ$70,38,0)/(1+VLOOKUP($A59,Actions!$F$1:$AQ$70,21,0)-VLOOKUP($A59,Actions!$F$1:$AQ$70,20,0)),0)</f>
        <v>0</v>
      </c>
      <c r="BE59" s="1353">
        <f>IF(BC59&lt;&gt;"",IF(VLOOKUP($A59,Actions!$F$1:$AQ$70,34,0)="Commune",(VLOOKUP($A59,Actions!$F$1:$AQ$70,24,0)-VLOOKUP($A59,Actions!$F$1:$AQ$70,26,0))/(1+VLOOKUP($A59,Actions!$F$1:$AQ$70,21,0)-VLOOKUP($A59,Actions!$F$1:$AQ$70,20,0)),0),0)</f>
        <v>0</v>
      </c>
      <c r="BF59" s="1353">
        <f>IF(AY59="",BB59,IF(AND(BC59="",AY59&lt;&gt;""),VLOOKUP($A59,Actions!$F$1:$AQ$70,31,0),0))</f>
        <v>0</v>
      </c>
      <c r="BG59" s="1355">
        <f t="shared" si="0"/>
        <v>0</v>
      </c>
      <c r="BJ59" s="233"/>
      <c r="BK59" s="233"/>
      <c r="BL59" s="233"/>
      <c r="BM59" s="233"/>
      <c r="BN59" s="233"/>
      <c r="BO59" s="233"/>
    </row>
    <row r="60" spans="1:67">
      <c r="A60" s="1349">
        <f>Actions!F54</f>
        <v>53</v>
      </c>
      <c r="B60" s="1352">
        <f>Actions!G54</f>
        <v>0</v>
      </c>
      <c r="C60" s="1353" t="str">
        <f>IF(OR(AND(Actions!Y54&gt;0,Actions!Y54&lt;=$C$7,Actions!Z54&gt;=$C$7),AND(Actions!Y54&gt;0,Actions!Y54&lt;=$C$7,Actions!Z54&lt;Actions!Y54),AND(Actions!Y54=0,Actions!Z54&gt;=$C$7)),Actions!$AA54,"")</f>
        <v/>
      </c>
      <c r="D60" s="1353">
        <f>IF(C60&lt;&gt;"",VLOOKUP($A60,Actions!$F$1:$AQ$70,38,0)/(1+VLOOKUP($A60,Actions!$F$1:$AQ$70,21,0)-VLOOKUP($A60,Actions!$F$1:$AQ$70,20,0)),0)</f>
        <v>0</v>
      </c>
      <c r="E60" s="1353">
        <f>IF(C60&lt;&gt;"",IF(VLOOKUP($A60,Actions!$F$1:$AQ$70,34,0)="Commune",(VLOOKUP($A60,Actions!$F$1:$AQ$70,24,0)-VLOOKUP($A60,Actions!$F$1:$AQ$70,26,0))/(1+VLOOKUP($A60,Actions!$F$1:$AQ$70,21,0)-VLOOKUP($A60,Actions!$F$1:$AQ$70,20,0)),0),0)</f>
        <v>0</v>
      </c>
      <c r="F60" s="1353">
        <v>0</v>
      </c>
      <c r="G60" s="1354" t="str">
        <f>IF(OR(Actions!$Y54=G$7,AND(Actions!$Y54&lt;=G$7,Actions!$Z54&gt;=G$7)),Actions!$AA54,"")</f>
        <v/>
      </c>
      <c r="H60" s="1353">
        <f>IF(G60&lt;&gt;"",VLOOKUP($A60,Actions!$F$1:$AQ$70,38,0)/(1+VLOOKUP($A60,Actions!$F$1:$AQ$70,21,0)-VLOOKUP($A60,Actions!$F$1:$AQ$70,20,0)),0)</f>
        <v>0</v>
      </c>
      <c r="I60" s="1353">
        <f>IF(G60&lt;&gt;"",IF(VLOOKUP($A60,Actions!$F$1:$AQ$70,34,0)="Commune",(VLOOKUP($A60,Actions!$F$1:$AQ$70,24,0)-VLOOKUP($A60,Actions!$F$1:$AQ$70,26,0))/(1+VLOOKUP($A60,Actions!$F$1:$AQ$70,21,0)-VLOOKUP($A60,Actions!$F$1:$AQ$70,20,0)),0),0)</f>
        <v>0</v>
      </c>
      <c r="J60" s="1353">
        <f>IF(C60="",F60,IF(AND(G60="",C60&lt;&gt;""),VLOOKUP($A60,Actions!$F$1:$AQ$70,31,0),0))</f>
        <v>0</v>
      </c>
      <c r="K60" s="1354" t="str">
        <f>IF(OR(Actions!$Y54=K$7,AND(Actions!$Y54&lt;=K$7,Actions!$Z54&gt;=K$7)),Actions!$AA54,"")</f>
        <v/>
      </c>
      <c r="L60" s="1353">
        <f>IF(K60&lt;&gt;"",VLOOKUP($A60,Actions!$F$1:$AQ$70,38,0)/(1+VLOOKUP($A60,Actions!$F$1:$AQ$70,21,0)-VLOOKUP($A60,Actions!$F$1:$AQ$70,20,0)),0)</f>
        <v>0</v>
      </c>
      <c r="M60" s="1353">
        <f>IF(K60&lt;&gt;"",IF(VLOOKUP($A60,Actions!$F$1:$AQ$70,34,0)="Commune",(VLOOKUP($A60,Actions!$F$1:$AQ$70,24,0)-VLOOKUP($A60,Actions!$F$1:$AQ$70,26,0))/(1+VLOOKUP($A60,Actions!$F$1:$AQ$70,21,0)-VLOOKUP($A60,Actions!$F$1:$AQ$70,20,0)),0),0)</f>
        <v>0</v>
      </c>
      <c r="N60" s="1353">
        <f>IF(G60="",J60,IF(AND(K60="",G60&lt;&gt;""),VLOOKUP($A60,Actions!$F$1:$AQ$70,31,0),0))</f>
        <v>0</v>
      </c>
      <c r="O60" s="1354" t="str">
        <f>IF(OR(Actions!$Y54=O$7,AND(Actions!$Y54&lt;=O$7,Actions!$Z54&gt;=O$7)),Actions!$AA54,"")</f>
        <v/>
      </c>
      <c r="P60" s="1353">
        <f>IF(O60&lt;&gt;"",VLOOKUP($A60,Actions!$F$1:$AQ$70,38,0)/(1+VLOOKUP($A60,Actions!$F$1:$AQ$70,21,0)-VLOOKUP($A60,Actions!$F$1:$AQ$70,20,0)),0)</f>
        <v>0</v>
      </c>
      <c r="Q60" s="1353">
        <f>IF(O60&lt;&gt;"",IF(VLOOKUP($A60,Actions!$F$1:$AQ$70,34,0)="Commune",(VLOOKUP($A60,Actions!$F$1:$AQ$70,24,0)-VLOOKUP($A60,Actions!$F$1:$AQ$70,26,0))/(1+VLOOKUP($A60,Actions!$F$1:$AQ$70,21,0)-VLOOKUP($A60,Actions!$F$1:$AQ$70,20,0)),0),0)</f>
        <v>0</v>
      </c>
      <c r="R60" s="1353">
        <f>IF(K60="",N60,IF(AND(O60="",K60&lt;&gt;""),VLOOKUP($A60,Actions!$F$1:$AQ$70,31,0),0))</f>
        <v>0</v>
      </c>
      <c r="S60" s="1354" t="str">
        <f>IF(OR(Actions!$Y54=S$7,AND(Actions!$Y54&lt;=S$7,Actions!$Z54&gt;=S$7)),Actions!$AA54,"")</f>
        <v/>
      </c>
      <c r="T60" s="1353">
        <f>IF(S60&lt;&gt;"",VLOOKUP($A60,Actions!$F$1:$AQ$70,38,0)/(1+VLOOKUP($A60,Actions!$F$1:$AQ$70,21,0)-VLOOKUP($A60,Actions!$F$1:$AQ$70,20,0)),0)</f>
        <v>0</v>
      </c>
      <c r="U60" s="1353">
        <f>IF(S60&lt;&gt;"",IF(VLOOKUP($A60,Actions!$F$1:$AQ$70,34,0)="Commune",(VLOOKUP($A60,Actions!$F$1:$AQ$70,24,0)-VLOOKUP($A60,Actions!$F$1:$AQ$70,26,0))/(1+VLOOKUP($A60,Actions!$F$1:$AQ$70,21,0)-VLOOKUP($A60,Actions!$F$1:$AQ$70,20,0)),0),0)</f>
        <v>0</v>
      </c>
      <c r="V60" s="1353">
        <f>IF(O60="",R60,IF(AND(S60="",O60&lt;&gt;""),VLOOKUP($A60,Actions!$F$1:$AQ$70,31,0),0))</f>
        <v>0</v>
      </c>
      <c r="W60" s="1354" t="str">
        <f>IF(OR(Actions!$Y54=W$7,AND(Actions!$Y54&lt;=W$7,Actions!$Z54&gt;=W$7)),Actions!$AA54,"")</f>
        <v/>
      </c>
      <c r="X60" s="1353">
        <f>IF(W60&lt;&gt;"",VLOOKUP($A60,Actions!$F$1:$AQ$70,38,0)/(1+VLOOKUP($A60,Actions!$F$1:$AQ$70,21,0)-VLOOKUP($A60,Actions!$F$1:$AQ$70,20,0)),0)</f>
        <v>0</v>
      </c>
      <c r="Y60" s="1353">
        <f>IF(W60&lt;&gt;"",IF(VLOOKUP($A60,Actions!$F$1:$AQ$70,34,0)="Commune",(VLOOKUP($A60,Actions!$F$1:$AQ$70,24,0)-VLOOKUP($A60,Actions!$F$1:$AQ$70,26,0))/(1+VLOOKUP($A60,Actions!$F$1:$AQ$70,21,0)-VLOOKUP($A60,Actions!$F$1:$AQ$70,20,0)),0),0)</f>
        <v>0</v>
      </c>
      <c r="Z60" s="1353">
        <f>IF(S60="",V60,IF(AND(W60="",S60&lt;&gt;""),VLOOKUP($A60,Actions!$F$1:$AQ$70,31,0),0))</f>
        <v>0</v>
      </c>
      <c r="AA60" s="1354" t="str">
        <f>IF(OR(Actions!$Y54=AA$7,AND(Actions!$Y54&lt;=AA$7,Actions!$Z54&gt;=AA$7)),Actions!$AA54,"")</f>
        <v/>
      </c>
      <c r="AB60" s="1353">
        <f>IF(AA60&lt;&gt;"",VLOOKUP($A60,Actions!$F$1:$AQ$70,38,0)/(1+VLOOKUP($A60,Actions!$F$1:$AQ$70,21,0)-VLOOKUP($A60,Actions!$F$1:$AQ$70,20,0)),0)</f>
        <v>0</v>
      </c>
      <c r="AC60" s="1353">
        <f>IF(AA60&lt;&gt;"",IF(VLOOKUP($A60,Actions!$F$1:$AQ$70,34,0)="Commune",(VLOOKUP($A60,Actions!$F$1:$AQ$70,24,0)-VLOOKUP($A60,Actions!$F$1:$AQ$70,26,0))/(1+VLOOKUP($A60,Actions!$F$1:$AQ$70,21,0)-VLOOKUP($A60,Actions!$F$1:$AQ$70,20,0)),0),0)</f>
        <v>0</v>
      </c>
      <c r="AD60" s="1353">
        <f>IF(W60="",Z60,IF(AND(AA60="",W60&lt;&gt;""),VLOOKUP($A60,Actions!$F$1:$AQ$70,31,0),0))</f>
        <v>0</v>
      </c>
      <c r="AE60" s="1354" t="str">
        <f>IF(OR(Actions!$Y54=AE$7,AND(Actions!$Y54&lt;=AE$7,Actions!$Z54&gt;=AE$7)),Actions!$AA54,"")</f>
        <v/>
      </c>
      <c r="AF60" s="1353">
        <f>IF(AE60&lt;&gt;"",VLOOKUP($A60,Actions!$F$1:$AQ$70,38,0)/(1+VLOOKUP($A60,Actions!$F$1:$AQ$70,21,0)-VLOOKUP($A60,Actions!$F$1:$AQ$70,20,0)),0)</f>
        <v>0</v>
      </c>
      <c r="AG60" s="1353">
        <f>IF(AE60&lt;&gt;"",IF(VLOOKUP($A60,Actions!$F$1:$AQ$70,34,0)="Commune",(VLOOKUP($A60,Actions!$F$1:$AQ$70,24,0)-VLOOKUP($A60,Actions!$F$1:$AQ$70,26,0))/(1+VLOOKUP($A60,Actions!$F$1:$AQ$70,21,0)-VLOOKUP($A60,Actions!$F$1:$AQ$70,20,0)),0),0)</f>
        <v>0</v>
      </c>
      <c r="AH60" s="1353">
        <f>IF(AA60="",AD60,IF(AND(AE60="",AA60&lt;&gt;""),VLOOKUP($A60,Actions!$F$1:$AQ$70,31,0),0))</f>
        <v>0</v>
      </c>
      <c r="AI60" s="1354" t="str">
        <f>IF(OR(Actions!$Y54=AI$7,AND(Actions!$Y54&lt;=AI$7,Actions!$Z54&gt;=AI$7)),Actions!$AA54,"")</f>
        <v/>
      </c>
      <c r="AJ60" s="1353">
        <f>IF(AI60&lt;&gt;"",VLOOKUP($A60,Actions!$F$1:$AQ$70,38,0)/(1+VLOOKUP($A60,Actions!$F$1:$AQ$70,21,0)-VLOOKUP($A60,Actions!$F$1:$AQ$70,20,0)),0)</f>
        <v>0</v>
      </c>
      <c r="AK60" s="1353">
        <f>IF(AI60&lt;&gt;"",IF(VLOOKUP($A60,Actions!$F$1:$AQ$70,34,0)="Commune",(VLOOKUP($A60,Actions!$F$1:$AQ$70,24,0)-VLOOKUP($A60,Actions!$F$1:$AQ$70,26,0))/(1+VLOOKUP($A60,Actions!$F$1:$AQ$70,21,0)-VLOOKUP($A60,Actions!$F$1:$AQ$70,20,0)),0),0)</f>
        <v>0</v>
      </c>
      <c r="AL60" s="1353">
        <f>IF(AE60="",AH60,IF(AND(AI60="",AE60&lt;&gt;""),VLOOKUP($A60,Actions!$F$1:$AQ$70,31,0),0))</f>
        <v>0</v>
      </c>
      <c r="AM60" s="1354" t="str">
        <f>IF(OR(Actions!$Y54=AM$7,AND(Actions!$Y54&lt;=AM$7,Actions!$Z54&gt;=AM$7)),Actions!$AA54,"")</f>
        <v/>
      </c>
      <c r="AN60" s="1353">
        <f>IF(AM60&lt;&gt;"",VLOOKUP($A60,Actions!$F$1:$AQ$70,38,0)/(1+VLOOKUP($A60,Actions!$F$1:$AQ$70,21,0)-VLOOKUP($A60,Actions!$F$1:$AQ$70,20,0)),0)</f>
        <v>0</v>
      </c>
      <c r="AO60" s="1353">
        <f>IF(AM60&lt;&gt;"",IF(VLOOKUP($A60,Actions!$F$1:$AQ$70,34,0)="Commune",(VLOOKUP($A60,Actions!$F$1:$AQ$70,24,0)-VLOOKUP($A60,Actions!$F$1:$AQ$70,26,0))/(1+VLOOKUP($A60,Actions!$F$1:$AQ$70,21,0)-VLOOKUP($A60,Actions!$F$1:$AQ$70,20,0)),0),0)</f>
        <v>0</v>
      </c>
      <c r="AP60" s="1353">
        <f>IF(AI60="",AL60,IF(AND(AM60="",AI60&lt;&gt;""),VLOOKUP($A60,Actions!$F$1:$AQ$70,31,0),0))</f>
        <v>0</v>
      </c>
      <c r="AQ60" s="1354" t="str">
        <f>IF(OR(Actions!$Y54=AQ$7,AND(Actions!$Y54&lt;=AQ$7,Actions!$Z54&gt;=AQ$7)),Actions!$AA54,"")</f>
        <v/>
      </c>
      <c r="AR60" s="1353">
        <f>IF(AQ60&lt;&gt;"",VLOOKUP($A60,Actions!$F$1:$AQ$70,38,0)/(1+VLOOKUP($A60,Actions!$F$1:$AQ$70,21,0)-VLOOKUP($A60,Actions!$F$1:$AQ$70,20,0)),0)</f>
        <v>0</v>
      </c>
      <c r="AS60" s="1353">
        <f>IF(AQ60&lt;&gt;"",IF(VLOOKUP($A60,Actions!$F$1:$AQ$70,34,0)="Commune",(VLOOKUP($A60,Actions!$F$1:$AQ$70,24,0)-VLOOKUP($A60,Actions!$F$1:$AQ$70,26,0))/(1+VLOOKUP($A60,Actions!$F$1:$AQ$70,21,0)-VLOOKUP($A60,Actions!$F$1:$AQ$70,20,0)),0),0)</f>
        <v>0</v>
      </c>
      <c r="AT60" s="1353">
        <f>IF(AM60="",AP60,IF(AND(AQ60="",AM60&lt;&gt;""),VLOOKUP($A60,Actions!$F$1:$AQ$70,31,0),0))</f>
        <v>0</v>
      </c>
      <c r="AU60" s="1354" t="str">
        <f>IF(OR(Actions!$Y54=AU$7,AND(Actions!$Y54&lt;=AU$7,Actions!$Z54&gt;=AU$7)),Actions!$AA54,"")</f>
        <v/>
      </c>
      <c r="AV60" s="1353">
        <f>IF(AU60&lt;&gt;"",VLOOKUP($A60,Actions!$F$1:$AQ$70,38,0)/(1+VLOOKUP($A60,Actions!$F$1:$AQ$70,21,0)-VLOOKUP($A60,Actions!$F$1:$AQ$70,20,0)),0)</f>
        <v>0</v>
      </c>
      <c r="AW60" s="1353">
        <f>IF(AU60&lt;&gt;"",IF(VLOOKUP($A60,Actions!$F$1:$AQ$70,34,0)="Commune",(VLOOKUP($A60,Actions!$F$1:$AQ$70,24,0)-VLOOKUP($A60,Actions!$F$1:$AQ$70,26,0))/(1+VLOOKUP($A60,Actions!$F$1:$AQ$70,21,0)-VLOOKUP($A60,Actions!$F$1:$AQ$70,20,0)),0),0)</f>
        <v>0</v>
      </c>
      <c r="AX60" s="1353">
        <f>IF(AQ60="",AT60,IF(AND(AU60="",AQ60&lt;&gt;""),VLOOKUP($A60,Actions!$F$1:$AQ$70,31,0),0))</f>
        <v>0</v>
      </c>
      <c r="AY60" s="1354" t="str">
        <f>IF(OR(Actions!$Y54=AY$7,AND(Actions!$Y54&lt;=AY$7,Actions!$Z54&gt;=AY$7)),Actions!$AA54,"")</f>
        <v/>
      </c>
      <c r="AZ60" s="1353">
        <f>IF(AY60&lt;&gt;"",VLOOKUP($A60,Actions!$F$1:$AQ$70,38,0)/(1+VLOOKUP($A60,Actions!$F$1:$AQ$70,21,0)-VLOOKUP($A60,Actions!$F$1:$AQ$70,20,0)),0)</f>
        <v>0</v>
      </c>
      <c r="BA60" s="1353">
        <f>IF(AY60&lt;&gt;"",IF(VLOOKUP($A60,Actions!$F$1:$AQ$70,34,0)="Commune",(VLOOKUP($A60,Actions!$F$1:$AQ$70,24,0)-VLOOKUP($A60,Actions!$F$1:$AQ$70,26,0))/(1+VLOOKUP($A60,Actions!$F$1:$AQ$70,21,0)-VLOOKUP($A60,Actions!$F$1:$AQ$70,20,0)),0),0)</f>
        <v>0</v>
      </c>
      <c r="BB60" s="1353">
        <f>IF(AU60="",AX60,IF(AND(AY60="",AU60&lt;&gt;""),VLOOKUP($A60,Actions!$F$1:$AQ$70,31,0),0))</f>
        <v>0</v>
      </c>
      <c r="BC60" s="1354" t="str">
        <f>IF(OR(Actions!$Y54=BC$7,AND(Actions!$Y54&lt;=BC$7,Actions!$Z54&gt;=BC$7)),Actions!$AA54,"")</f>
        <v/>
      </c>
      <c r="BD60" s="1353">
        <f>IF(BC60&lt;&gt;"",VLOOKUP($A60,Actions!$F$1:$AQ$70,38,0)/(1+VLOOKUP($A60,Actions!$F$1:$AQ$70,21,0)-VLOOKUP($A60,Actions!$F$1:$AQ$70,20,0)),0)</f>
        <v>0</v>
      </c>
      <c r="BE60" s="1353">
        <f>IF(BC60&lt;&gt;"",IF(VLOOKUP($A60,Actions!$F$1:$AQ$70,34,0)="Commune",(VLOOKUP($A60,Actions!$F$1:$AQ$70,24,0)-VLOOKUP($A60,Actions!$F$1:$AQ$70,26,0))/(1+VLOOKUP($A60,Actions!$F$1:$AQ$70,21,0)-VLOOKUP($A60,Actions!$F$1:$AQ$70,20,0)),0),0)</f>
        <v>0</v>
      </c>
      <c r="BF60" s="1353">
        <f>IF(AY60="",BB60,IF(AND(BC60="",AY60&lt;&gt;""),VLOOKUP($A60,Actions!$F$1:$AQ$70,31,0),0))</f>
        <v>0</v>
      </c>
      <c r="BG60" s="1355">
        <f t="shared" si="0"/>
        <v>0</v>
      </c>
      <c r="BJ60" s="233"/>
      <c r="BK60" s="233"/>
      <c r="BL60" s="233"/>
      <c r="BM60" s="233"/>
      <c r="BN60" s="233"/>
      <c r="BO60" s="233"/>
    </row>
    <row r="61" spans="1:67">
      <c r="A61" s="1349">
        <f>Actions!F55</f>
        <v>54</v>
      </c>
      <c r="B61" s="1352">
        <f>Actions!G55</f>
        <v>0</v>
      </c>
      <c r="C61" s="1353" t="str">
        <f>IF(OR(AND(Actions!Y55&gt;0,Actions!Y55&lt;=$C$7,Actions!Z55&gt;=$C$7),AND(Actions!Y55&gt;0,Actions!Y55&lt;=$C$7,Actions!Z55&lt;Actions!Y55),AND(Actions!Y55=0,Actions!Z55&gt;=$C$7)),Actions!$AA55,"")</f>
        <v/>
      </c>
      <c r="D61" s="1353">
        <f>IF(C61&lt;&gt;"",VLOOKUP($A61,Actions!$F$1:$AQ$70,38,0)/(1+VLOOKUP($A61,Actions!$F$1:$AQ$70,21,0)-VLOOKUP($A61,Actions!$F$1:$AQ$70,20,0)),0)</f>
        <v>0</v>
      </c>
      <c r="E61" s="1353">
        <f>IF(C61&lt;&gt;"",IF(VLOOKUP($A61,Actions!$F$1:$AQ$70,34,0)="Commune",(VLOOKUP($A61,Actions!$F$1:$AQ$70,24,0)-VLOOKUP($A61,Actions!$F$1:$AQ$70,26,0))/(1+VLOOKUP($A61,Actions!$F$1:$AQ$70,21,0)-VLOOKUP($A61,Actions!$F$1:$AQ$70,20,0)),0),0)</f>
        <v>0</v>
      </c>
      <c r="F61" s="1353">
        <v>0</v>
      </c>
      <c r="G61" s="1354" t="str">
        <f>IF(OR(Actions!$Y55=G$7,AND(Actions!$Y55&lt;=G$7,Actions!$Z55&gt;=G$7)),Actions!$AA55,"")</f>
        <v/>
      </c>
      <c r="H61" s="1353">
        <f>IF(G61&lt;&gt;"",VLOOKUP($A61,Actions!$F$1:$AQ$70,38,0)/(1+VLOOKUP($A61,Actions!$F$1:$AQ$70,21,0)-VLOOKUP($A61,Actions!$F$1:$AQ$70,20,0)),0)</f>
        <v>0</v>
      </c>
      <c r="I61" s="1353">
        <f>IF(G61&lt;&gt;"",IF(VLOOKUP($A61,Actions!$F$1:$AQ$70,34,0)="Commune",(VLOOKUP($A61,Actions!$F$1:$AQ$70,24,0)-VLOOKUP($A61,Actions!$F$1:$AQ$70,26,0))/(1+VLOOKUP($A61,Actions!$F$1:$AQ$70,21,0)-VLOOKUP($A61,Actions!$F$1:$AQ$70,20,0)),0),0)</f>
        <v>0</v>
      </c>
      <c r="J61" s="1353">
        <f>IF(C61="",F61,IF(AND(G61="",C61&lt;&gt;""),VLOOKUP($A61,Actions!$F$1:$AQ$70,31,0),0))</f>
        <v>0</v>
      </c>
      <c r="K61" s="1354" t="str">
        <f>IF(OR(Actions!$Y55=K$7,AND(Actions!$Y55&lt;=K$7,Actions!$Z55&gt;=K$7)),Actions!$AA55,"")</f>
        <v/>
      </c>
      <c r="L61" s="1353">
        <f>IF(K61&lt;&gt;"",VLOOKUP($A61,Actions!$F$1:$AQ$70,38,0)/(1+VLOOKUP($A61,Actions!$F$1:$AQ$70,21,0)-VLOOKUP($A61,Actions!$F$1:$AQ$70,20,0)),0)</f>
        <v>0</v>
      </c>
      <c r="M61" s="1353">
        <f>IF(K61&lt;&gt;"",IF(VLOOKUP($A61,Actions!$F$1:$AQ$70,34,0)="Commune",(VLOOKUP($A61,Actions!$F$1:$AQ$70,24,0)-VLOOKUP($A61,Actions!$F$1:$AQ$70,26,0))/(1+VLOOKUP($A61,Actions!$F$1:$AQ$70,21,0)-VLOOKUP($A61,Actions!$F$1:$AQ$70,20,0)),0),0)</f>
        <v>0</v>
      </c>
      <c r="N61" s="1353">
        <f>IF(G61="",J61,IF(AND(K61="",G61&lt;&gt;""),VLOOKUP($A61,Actions!$F$1:$AQ$70,31,0),0))</f>
        <v>0</v>
      </c>
      <c r="O61" s="1354" t="str">
        <f>IF(OR(Actions!$Y55=O$7,AND(Actions!$Y55&lt;=O$7,Actions!$Z55&gt;=O$7)),Actions!$AA55,"")</f>
        <v/>
      </c>
      <c r="P61" s="1353">
        <f>IF(O61&lt;&gt;"",VLOOKUP($A61,Actions!$F$1:$AQ$70,38,0)/(1+VLOOKUP($A61,Actions!$F$1:$AQ$70,21,0)-VLOOKUP($A61,Actions!$F$1:$AQ$70,20,0)),0)</f>
        <v>0</v>
      </c>
      <c r="Q61" s="1353">
        <f>IF(O61&lt;&gt;"",IF(VLOOKUP($A61,Actions!$F$1:$AQ$70,34,0)="Commune",(VLOOKUP($A61,Actions!$F$1:$AQ$70,24,0)-VLOOKUP($A61,Actions!$F$1:$AQ$70,26,0))/(1+VLOOKUP($A61,Actions!$F$1:$AQ$70,21,0)-VLOOKUP($A61,Actions!$F$1:$AQ$70,20,0)),0),0)</f>
        <v>0</v>
      </c>
      <c r="R61" s="1353">
        <f>IF(K61="",N61,IF(AND(O61="",K61&lt;&gt;""),VLOOKUP($A61,Actions!$F$1:$AQ$70,31,0),0))</f>
        <v>0</v>
      </c>
      <c r="S61" s="1354" t="str">
        <f>IF(OR(Actions!$Y55=S$7,AND(Actions!$Y55&lt;=S$7,Actions!$Z55&gt;=S$7)),Actions!$AA55,"")</f>
        <v/>
      </c>
      <c r="T61" s="1353">
        <f>IF(S61&lt;&gt;"",VLOOKUP($A61,Actions!$F$1:$AQ$70,38,0)/(1+VLOOKUP($A61,Actions!$F$1:$AQ$70,21,0)-VLOOKUP($A61,Actions!$F$1:$AQ$70,20,0)),0)</f>
        <v>0</v>
      </c>
      <c r="U61" s="1353">
        <f>IF(S61&lt;&gt;"",IF(VLOOKUP($A61,Actions!$F$1:$AQ$70,34,0)="Commune",(VLOOKUP($A61,Actions!$F$1:$AQ$70,24,0)-VLOOKUP($A61,Actions!$F$1:$AQ$70,26,0))/(1+VLOOKUP($A61,Actions!$F$1:$AQ$70,21,0)-VLOOKUP($A61,Actions!$F$1:$AQ$70,20,0)),0),0)</f>
        <v>0</v>
      </c>
      <c r="V61" s="1353">
        <f>IF(O61="",R61,IF(AND(S61="",O61&lt;&gt;""),VLOOKUP($A61,Actions!$F$1:$AQ$70,31,0),0))</f>
        <v>0</v>
      </c>
      <c r="W61" s="1354" t="str">
        <f>IF(OR(Actions!$Y55=W$7,AND(Actions!$Y55&lt;=W$7,Actions!$Z55&gt;=W$7)),Actions!$AA55,"")</f>
        <v/>
      </c>
      <c r="X61" s="1353">
        <f>IF(W61&lt;&gt;"",VLOOKUP($A61,Actions!$F$1:$AQ$70,38,0)/(1+VLOOKUP($A61,Actions!$F$1:$AQ$70,21,0)-VLOOKUP($A61,Actions!$F$1:$AQ$70,20,0)),0)</f>
        <v>0</v>
      </c>
      <c r="Y61" s="1353">
        <f>IF(W61&lt;&gt;"",IF(VLOOKUP($A61,Actions!$F$1:$AQ$70,34,0)="Commune",(VLOOKUP($A61,Actions!$F$1:$AQ$70,24,0)-VLOOKUP($A61,Actions!$F$1:$AQ$70,26,0))/(1+VLOOKUP($A61,Actions!$F$1:$AQ$70,21,0)-VLOOKUP($A61,Actions!$F$1:$AQ$70,20,0)),0),0)</f>
        <v>0</v>
      </c>
      <c r="Z61" s="1353">
        <f>IF(S61="",V61,IF(AND(W61="",S61&lt;&gt;""),VLOOKUP($A61,Actions!$F$1:$AQ$70,31,0),0))</f>
        <v>0</v>
      </c>
      <c r="AA61" s="1354" t="str">
        <f>IF(OR(Actions!$Y55=AA$7,AND(Actions!$Y55&lt;=AA$7,Actions!$Z55&gt;=AA$7)),Actions!$AA55,"")</f>
        <v/>
      </c>
      <c r="AB61" s="1353">
        <f>IF(AA61&lt;&gt;"",VLOOKUP($A61,Actions!$F$1:$AQ$70,38,0)/(1+VLOOKUP($A61,Actions!$F$1:$AQ$70,21,0)-VLOOKUP($A61,Actions!$F$1:$AQ$70,20,0)),0)</f>
        <v>0</v>
      </c>
      <c r="AC61" s="1353">
        <f>IF(AA61&lt;&gt;"",IF(VLOOKUP($A61,Actions!$F$1:$AQ$70,34,0)="Commune",(VLOOKUP($A61,Actions!$F$1:$AQ$70,24,0)-VLOOKUP($A61,Actions!$F$1:$AQ$70,26,0))/(1+VLOOKUP($A61,Actions!$F$1:$AQ$70,21,0)-VLOOKUP($A61,Actions!$F$1:$AQ$70,20,0)),0),0)</f>
        <v>0</v>
      </c>
      <c r="AD61" s="1353">
        <f>IF(W61="",Z61,IF(AND(AA61="",W61&lt;&gt;""),VLOOKUP($A61,Actions!$F$1:$AQ$70,31,0),0))</f>
        <v>0</v>
      </c>
      <c r="AE61" s="1354" t="str">
        <f>IF(OR(Actions!$Y55=AE$7,AND(Actions!$Y55&lt;=AE$7,Actions!$Z55&gt;=AE$7)),Actions!$AA55,"")</f>
        <v/>
      </c>
      <c r="AF61" s="1353">
        <f>IF(AE61&lt;&gt;"",VLOOKUP($A61,Actions!$F$1:$AQ$70,38,0)/(1+VLOOKUP($A61,Actions!$F$1:$AQ$70,21,0)-VLOOKUP($A61,Actions!$F$1:$AQ$70,20,0)),0)</f>
        <v>0</v>
      </c>
      <c r="AG61" s="1353">
        <f>IF(AE61&lt;&gt;"",IF(VLOOKUP($A61,Actions!$F$1:$AQ$70,34,0)="Commune",(VLOOKUP($A61,Actions!$F$1:$AQ$70,24,0)-VLOOKUP($A61,Actions!$F$1:$AQ$70,26,0))/(1+VLOOKUP($A61,Actions!$F$1:$AQ$70,21,0)-VLOOKUP($A61,Actions!$F$1:$AQ$70,20,0)),0),0)</f>
        <v>0</v>
      </c>
      <c r="AH61" s="1353">
        <f>IF(AA61="",AD61,IF(AND(AE61="",AA61&lt;&gt;""),VLOOKUP($A61,Actions!$F$1:$AQ$70,31,0),0))</f>
        <v>0</v>
      </c>
      <c r="AI61" s="1354" t="str">
        <f>IF(OR(Actions!$Y55=AI$7,AND(Actions!$Y55&lt;=AI$7,Actions!$Z55&gt;=AI$7)),Actions!$AA55,"")</f>
        <v/>
      </c>
      <c r="AJ61" s="1353">
        <f>IF(AI61&lt;&gt;"",VLOOKUP($A61,Actions!$F$1:$AQ$70,38,0)/(1+VLOOKUP($A61,Actions!$F$1:$AQ$70,21,0)-VLOOKUP($A61,Actions!$F$1:$AQ$70,20,0)),0)</f>
        <v>0</v>
      </c>
      <c r="AK61" s="1353">
        <f>IF(AI61&lt;&gt;"",IF(VLOOKUP($A61,Actions!$F$1:$AQ$70,34,0)="Commune",(VLOOKUP($A61,Actions!$F$1:$AQ$70,24,0)-VLOOKUP($A61,Actions!$F$1:$AQ$70,26,0))/(1+VLOOKUP($A61,Actions!$F$1:$AQ$70,21,0)-VLOOKUP($A61,Actions!$F$1:$AQ$70,20,0)),0),0)</f>
        <v>0</v>
      </c>
      <c r="AL61" s="1353">
        <f>IF(AE61="",AH61,IF(AND(AI61="",AE61&lt;&gt;""),VLOOKUP($A61,Actions!$F$1:$AQ$70,31,0),0))</f>
        <v>0</v>
      </c>
      <c r="AM61" s="1354" t="str">
        <f>IF(OR(Actions!$Y55=AM$7,AND(Actions!$Y55&lt;=AM$7,Actions!$Z55&gt;=AM$7)),Actions!$AA55,"")</f>
        <v/>
      </c>
      <c r="AN61" s="1353">
        <f>IF(AM61&lt;&gt;"",VLOOKUP($A61,Actions!$F$1:$AQ$70,38,0)/(1+VLOOKUP($A61,Actions!$F$1:$AQ$70,21,0)-VLOOKUP($A61,Actions!$F$1:$AQ$70,20,0)),0)</f>
        <v>0</v>
      </c>
      <c r="AO61" s="1353">
        <f>IF(AM61&lt;&gt;"",IF(VLOOKUP($A61,Actions!$F$1:$AQ$70,34,0)="Commune",(VLOOKUP($A61,Actions!$F$1:$AQ$70,24,0)-VLOOKUP($A61,Actions!$F$1:$AQ$70,26,0))/(1+VLOOKUP($A61,Actions!$F$1:$AQ$70,21,0)-VLOOKUP($A61,Actions!$F$1:$AQ$70,20,0)),0),0)</f>
        <v>0</v>
      </c>
      <c r="AP61" s="1353">
        <f>IF(AI61="",AL61,IF(AND(AM61="",AI61&lt;&gt;""),VLOOKUP($A61,Actions!$F$1:$AQ$70,31,0),0))</f>
        <v>0</v>
      </c>
      <c r="AQ61" s="1354" t="str">
        <f>IF(OR(Actions!$Y55=AQ$7,AND(Actions!$Y55&lt;=AQ$7,Actions!$Z55&gt;=AQ$7)),Actions!$AA55,"")</f>
        <v/>
      </c>
      <c r="AR61" s="1353">
        <f>IF(AQ61&lt;&gt;"",VLOOKUP($A61,Actions!$F$1:$AQ$70,38,0)/(1+VLOOKUP($A61,Actions!$F$1:$AQ$70,21,0)-VLOOKUP($A61,Actions!$F$1:$AQ$70,20,0)),0)</f>
        <v>0</v>
      </c>
      <c r="AS61" s="1353">
        <f>IF(AQ61&lt;&gt;"",IF(VLOOKUP($A61,Actions!$F$1:$AQ$70,34,0)="Commune",(VLOOKUP($A61,Actions!$F$1:$AQ$70,24,0)-VLOOKUP($A61,Actions!$F$1:$AQ$70,26,0))/(1+VLOOKUP($A61,Actions!$F$1:$AQ$70,21,0)-VLOOKUP($A61,Actions!$F$1:$AQ$70,20,0)),0),0)</f>
        <v>0</v>
      </c>
      <c r="AT61" s="1353">
        <f>IF(AM61="",AP61,IF(AND(AQ61="",AM61&lt;&gt;""),VLOOKUP($A61,Actions!$F$1:$AQ$70,31,0),0))</f>
        <v>0</v>
      </c>
      <c r="AU61" s="1354" t="str">
        <f>IF(OR(Actions!$Y55=AU$7,AND(Actions!$Y55&lt;=AU$7,Actions!$Z55&gt;=AU$7)),Actions!$AA55,"")</f>
        <v/>
      </c>
      <c r="AV61" s="1353">
        <f>IF(AU61&lt;&gt;"",VLOOKUP($A61,Actions!$F$1:$AQ$70,38,0)/(1+VLOOKUP($A61,Actions!$F$1:$AQ$70,21,0)-VLOOKUP($A61,Actions!$F$1:$AQ$70,20,0)),0)</f>
        <v>0</v>
      </c>
      <c r="AW61" s="1353">
        <f>IF(AU61&lt;&gt;"",IF(VLOOKUP($A61,Actions!$F$1:$AQ$70,34,0)="Commune",(VLOOKUP($A61,Actions!$F$1:$AQ$70,24,0)-VLOOKUP($A61,Actions!$F$1:$AQ$70,26,0))/(1+VLOOKUP($A61,Actions!$F$1:$AQ$70,21,0)-VLOOKUP($A61,Actions!$F$1:$AQ$70,20,0)),0),0)</f>
        <v>0</v>
      </c>
      <c r="AX61" s="1353">
        <f>IF(AQ61="",AT61,IF(AND(AU61="",AQ61&lt;&gt;""),VLOOKUP($A61,Actions!$F$1:$AQ$70,31,0),0))</f>
        <v>0</v>
      </c>
      <c r="AY61" s="1354" t="str">
        <f>IF(OR(Actions!$Y55=AY$7,AND(Actions!$Y55&lt;=AY$7,Actions!$Z55&gt;=AY$7)),Actions!$AA55,"")</f>
        <v/>
      </c>
      <c r="AZ61" s="1353">
        <f>IF(AY61&lt;&gt;"",VLOOKUP($A61,Actions!$F$1:$AQ$70,38,0)/(1+VLOOKUP($A61,Actions!$F$1:$AQ$70,21,0)-VLOOKUP($A61,Actions!$F$1:$AQ$70,20,0)),0)</f>
        <v>0</v>
      </c>
      <c r="BA61" s="1353">
        <f>IF(AY61&lt;&gt;"",IF(VLOOKUP($A61,Actions!$F$1:$AQ$70,34,0)="Commune",(VLOOKUP($A61,Actions!$F$1:$AQ$70,24,0)-VLOOKUP($A61,Actions!$F$1:$AQ$70,26,0))/(1+VLOOKUP($A61,Actions!$F$1:$AQ$70,21,0)-VLOOKUP($A61,Actions!$F$1:$AQ$70,20,0)),0),0)</f>
        <v>0</v>
      </c>
      <c r="BB61" s="1353">
        <f>IF(AU61="",AX61,IF(AND(AY61="",AU61&lt;&gt;""),VLOOKUP($A61,Actions!$F$1:$AQ$70,31,0),0))</f>
        <v>0</v>
      </c>
      <c r="BC61" s="1354" t="str">
        <f>IF(OR(Actions!$Y55=BC$7,AND(Actions!$Y55&lt;=BC$7,Actions!$Z55&gt;=BC$7)),Actions!$AA55,"")</f>
        <v/>
      </c>
      <c r="BD61" s="1353">
        <f>IF(BC61&lt;&gt;"",VLOOKUP($A61,Actions!$F$1:$AQ$70,38,0)/(1+VLOOKUP($A61,Actions!$F$1:$AQ$70,21,0)-VLOOKUP($A61,Actions!$F$1:$AQ$70,20,0)),0)</f>
        <v>0</v>
      </c>
      <c r="BE61" s="1353">
        <f>IF(BC61&lt;&gt;"",IF(VLOOKUP($A61,Actions!$F$1:$AQ$70,34,0)="Commune",(VLOOKUP($A61,Actions!$F$1:$AQ$70,24,0)-VLOOKUP($A61,Actions!$F$1:$AQ$70,26,0))/(1+VLOOKUP($A61,Actions!$F$1:$AQ$70,21,0)-VLOOKUP($A61,Actions!$F$1:$AQ$70,20,0)),0),0)</f>
        <v>0</v>
      </c>
      <c r="BF61" s="1353">
        <f>IF(AY61="",BB61,IF(AND(BC61="",AY61&lt;&gt;""),VLOOKUP($A61,Actions!$F$1:$AQ$70,31,0),0))</f>
        <v>0</v>
      </c>
      <c r="BG61" s="1355">
        <f t="shared" si="0"/>
        <v>0</v>
      </c>
      <c r="BJ61" s="233"/>
      <c r="BK61" s="233"/>
      <c r="BL61" s="233"/>
      <c r="BM61" s="233"/>
      <c r="BN61" s="233"/>
      <c r="BO61" s="233"/>
    </row>
    <row r="62" spans="1:67">
      <c r="A62" s="1349">
        <f>Actions!F56</f>
        <v>55</v>
      </c>
      <c r="B62" s="1352">
        <f>Actions!G56</f>
        <v>0</v>
      </c>
      <c r="C62" s="1353" t="str">
        <f>IF(OR(AND(Actions!Y56&gt;0,Actions!Y56&lt;=$C$7,Actions!Z56&gt;=$C$7),AND(Actions!Y56&gt;0,Actions!Y56&lt;=$C$7,Actions!Z56&lt;Actions!Y56),AND(Actions!Y56=0,Actions!Z56&gt;=$C$7)),Actions!$AA56,"")</f>
        <v/>
      </c>
      <c r="D62" s="1353">
        <f>IF(C62&lt;&gt;"",VLOOKUP($A62,Actions!$F$1:$AQ$70,38,0)/(1+VLOOKUP($A62,Actions!$F$1:$AQ$70,21,0)-VLOOKUP($A62,Actions!$F$1:$AQ$70,20,0)),0)</f>
        <v>0</v>
      </c>
      <c r="E62" s="1353">
        <f>IF(C62&lt;&gt;"",IF(VLOOKUP($A62,Actions!$F$1:$AQ$70,34,0)="Commune",(VLOOKUP($A62,Actions!$F$1:$AQ$70,24,0)-VLOOKUP($A62,Actions!$F$1:$AQ$70,26,0))/(1+VLOOKUP($A62,Actions!$F$1:$AQ$70,21,0)-VLOOKUP($A62,Actions!$F$1:$AQ$70,20,0)),0),0)</f>
        <v>0</v>
      </c>
      <c r="F62" s="1353">
        <v>0</v>
      </c>
      <c r="G62" s="1354" t="str">
        <f>IF(OR(Actions!$Y56=G$7,AND(Actions!$Y56&lt;=G$7,Actions!$Z56&gt;=G$7)),Actions!$AA56,"")</f>
        <v/>
      </c>
      <c r="H62" s="1353">
        <f>IF(G62&lt;&gt;"",VLOOKUP($A62,Actions!$F$1:$AQ$70,38,0)/(1+VLOOKUP($A62,Actions!$F$1:$AQ$70,21,0)-VLOOKUP($A62,Actions!$F$1:$AQ$70,20,0)),0)</f>
        <v>0</v>
      </c>
      <c r="I62" s="1353">
        <f>IF(G62&lt;&gt;"",IF(VLOOKUP($A62,Actions!$F$1:$AQ$70,34,0)="Commune",(VLOOKUP($A62,Actions!$F$1:$AQ$70,24,0)-VLOOKUP($A62,Actions!$F$1:$AQ$70,26,0))/(1+VLOOKUP($A62,Actions!$F$1:$AQ$70,21,0)-VLOOKUP($A62,Actions!$F$1:$AQ$70,20,0)),0),0)</f>
        <v>0</v>
      </c>
      <c r="J62" s="1353">
        <f>IF(C62="",F62,IF(AND(G62="",C62&lt;&gt;""),VLOOKUP($A62,Actions!$F$1:$AQ$70,31,0),0))</f>
        <v>0</v>
      </c>
      <c r="K62" s="1354" t="str">
        <f>IF(OR(Actions!$Y56=K$7,AND(Actions!$Y56&lt;=K$7,Actions!$Z56&gt;=K$7)),Actions!$AA56,"")</f>
        <v/>
      </c>
      <c r="L62" s="1353">
        <f>IF(K62&lt;&gt;"",VLOOKUP($A62,Actions!$F$1:$AQ$70,38,0)/(1+VLOOKUP($A62,Actions!$F$1:$AQ$70,21,0)-VLOOKUP($A62,Actions!$F$1:$AQ$70,20,0)),0)</f>
        <v>0</v>
      </c>
      <c r="M62" s="1353">
        <f>IF(K62&lt;&gt;"",IF(VLOOKUP($A62,Actions!$F$1:$AQ$70,34,0)="Commune",(VLOOKUP($A62,Actions!$F$1:$AQ$70,24,0)-VLOOKUP($A62,Actions!$F$1:$AQ$70,26,0))/(1+VLOOKUP($A62,Actions!$F$1:$AQ$70,21,0)-VLOOKUP($A62,Actions!$F$1:$AQ$70,20,0)),0),0)</f>
        <v>0</v>
      </c>
      <c r="N62" s="1353">
        <f>IF(G62="",J62,IF(AND(K62="",G62&lt;&gt;""),VLOOKUP($A62,Actions!$F$1:$AQ$70,31,0),0))</f>
        <v>0</v>
      </c>
      <c r="O62" s="1354" t="str">
        <f>IF(OR(Actions!$Y56=O$7,AND(Actions!$Y56&lt;=O$7,Actions!$Z56&gt;=O$7)),Actions!$AA56,"")</f>
        <v/>
      </c>
      <c r="P62" s="1353">
        <f>IF(O62&lt;&gt;"",VLOOKUP($A62,Actions!$F$1:$AQ$70,38,0)/(1+VLOOKUP($A62,Actions!$F$1:$AQ$70,21,0)-VLOOKUP($A62,Actions!$F$1:$AQ$70,20,0)),0)</f>
        <v>0</v>
      </c>
      <c r="Q62" s="1353">
        <f>IF(O62&lt;&gt;"",IF(VLOOKUP($A62,Actions!$F$1:$AQ$70,34,0)="Commune",(VLOOKUP($A62,Actions!$F$1:$AQ$70,24,0)-VLOOKUP($A62,Actions!$F$1:$AQ$70,26,0))/(1+VLOOKUP($A62,Actions!$F$1:$AQ$70,21,0)-VLOOKUP($A62,Actions!$F$1:$AQ$70,20,0)),0),0)</f>
        <v>0</v>
      </c>
      <c r="R62" s="1353">
        <f>IF(K62="",N62,IF(AND(O62="",K62&lt;&gt;""),VLOOKUP($A62,Actions!$F$1:$AQ$70,31,0),0))</f>
        <v>0</v>
      </c>
      <c r="S62" s="1354" t="str">
        <f>IF(OR(Actions!$Y56=S$7,AND(Actions!$Y56&lt;=S$7,Actions!$Z56&gt;=S$7)),Actions!$AA56,"")</f>
        <v/>
      </c>
      <c r="T62" s="1353">
        <f>IF(S62&lt;&gt;"",VLOOKUP($A62,Actions!$F$1:$AQ$70,38,0)/(1+VLOOKUP($A62,Actions!$F$1:$AQ$70,21,0)-VLOOKUP($A62,Actions!$F$1:$AQ$70,20,0)),0)</f>
        <v>0</v>
      </c>
      <c r="U62" s="1353">
        <f>IF(S62&lt;&gt;"",IF(VLOOKUP($A62,Actions!$F$1:$AQ$70,34,0)="Commune",(VLOOKUP($A62,Actions!$F$1:$AQ$70,24,0)-VLOOKUP($A62,Actions!$F$1:$AQ$70,26,0))/(1+VLOOKUP($A62,Actions!$F$1:$AQ$70,21,0)-VLOOKUP($A62,Actions!$F$1:$AQ$70,20,0)),0),0)</f>
        <v>0</v>
      </c>
      <c r="V62" s="1353">
        <f>IF(O62="",R62,IF(AND(S62="",O62&lt;&gt;""),VLOOKUP($A62,Actions!$F$1:$AQ$70,31,0),0))</f>
        <v>0</v>
      </c>
      <c r="W62" s="1354" t="str">
        <f>IF(OR(Actions!$Y56=W$7,AND(Actions!$Y56&lt;=W$7,Actions!$Z56&gt;=W$7)),Actions!$AA56,"")</f>
        <v/>
      </c>
      <c r="X62" s="1353">
        <f>IF(W62&lt;&gt;"",VLOOKUP($A62,Actions!$F$1:$AQ$70,38,0)/(1+VLOOKUP($A62,Actions!$F$1:$AQ$70,21,0)-VLOOKUP($A62,Actions!$F$1:$AQ$70,20,0)),0)</f>
        <v>0</v>
      </c>
      <c r="Y62" s="1353">
        <f>IF(W62&lt;&gt;"",IF(VLOOKUP($A62,Actions!$F$1:$AQ$70,34,0)="Commune",(VLOOKUP($A62,Actions!$F$1:$AQ$70,24,0)-VLOOKUP($A62,Actions!$F$1:$AQ$70,26,0))/(1+VLOOKUP($A62,Actions!$F$1:$AQ$70,21,0)-VLOOKUP($A62,Actions!$F$1:$AQ$70,20,0)),0),0)</f>
        <v>0</v>
      </c>
      <c r="Z62" s="1353">
        <f>IF(S62="",V62,IF(AND(W62="",S62&lt;&gt;""),VLOOKUP($A62,Actions!$F$1:$AQ$70,31,0),0))</f>
        <v>0</v>
      </c>
      <c r="AA62" s="1354" t="str">
        <f>IF(OR(Actions!$Y56=AA$7,AND(Actions!$Y56&lt;=AA$7,Actions!$Z56&gt;=AA$7)),Actions!$AA56,"")</f>
        <v/>
      </c>
      <c r="AB62" s="1353">
        <f>IF(AA62&lt;&gt;"",VLOOKUP($A62,Actions!$F$1:$AQ$70,38,0)/(1+VLOOKUP($A62,Actions!$F$1:$AQ$70,21,0)-VLOOKUP($A62,Actions!$F$1:$AQ$70,20,0)),0)</f>
        <v>0</v>
      </c>
      <c r="AC62" s="1353">
        <f>IF(AA62&lt;&gt;"",IF(VLOOKUP($A62,Actions!$F$1:$AQ$70,34,0)="Commune",(VLOOKUP($A62,Actions!$F$1:$AQ$70,24,0)-VLOOKUP($A62,Actions!$F$1:$AQ$70,26,0))/(1+VLOOKUP($A62,Actions!$F$1:$AQ$70,21,0)-VLOOKUP($A62,Actions!$F$1:$AQ$70,20,0)),0),0)</f>
        <v>0</v>
      </c>
      <c r="AD62" s="1353">
        <f>IF(W62="",Z62,IF(AND(AA62="",W62&lt;&gt;""),VLOOKUP($A62,Actions!$F$1:$AQ$70,31,0),0))</f>
        <v>0</v>
      </c>
      <c r="AE62" s="1354" t="str">
        <f>IF(OR(Actions!$Y56=AE$7,AND(Actions!$Y56&lt;=AE$7,Actions!$Z56&gt;=AE$7)),Actions!$AA56,"")</f>
        <v/>
      </c>
      <c r="AF62" s="1353">
        <f>IF(AE62&lt;&gt;"",VLOOKUP($A62,Actions!$F$1:$AQ$70,38,0)/(1+VLOOKUP($A62,Actions!$F$1:$AQ$70,21,0)-VLOOKUP($A62,Actions!$F$1:$AQ$70,20,0)),0)</f>
        <v>0</v>
      </c>
      <c r="AG62" s="1353">
        <f>IF(AE62&lt;&gt;"",IF(VLOOKUP($A62,Actions!$F$1:$AQ$70,34,0)="Commune",(VLOOKUP($A62,Actions!$F$1:$AQ$70,24,0)-VLOOKUP($A62,Actions!$F$1:$AQ$70,26,0))/(1+VLOOKUP($A62,Actions!$F$1:$AQ$70,21,0)-VLOOKUP($A62,Actions!$F$1:$AQ$70,20,0)),0),0)</f>
        <v>0</v>
      </c>
      <c r="AH62" s="1353">
        <f>IF(AA62="",AD62,IF(AND(AE62="",AA62&lt;&gt;""),VLOOKUP($A62,Actions!$F$1:$AQ$70,31,0),0))</f>
        <v>0</v>
      </c>
      <c r="AI62" s="1354" t="str">
        <f>IF(OR(Actions!$Y56=AI$7,AND(Actions!$Y56&lt;=AI$7,Actions!$Z56&gt;=AI$7)),Actions!$AA56,"")</f>
        <v/>
      </c>
      <c r="AJ62" s="1353">
        <f>IF(AI62&lt;&gt;"",VLOOKUP($A62,Actions!$F$1:$AQ$70,38,0)/(1+VLOOKUP($A62,Actions!$F$1:$AQ$70,21,0)-VLOOKUP($A62,Actions!$F$1:$AQ$70,20,0)),0)</f>
        <v>0</v>
      </c>
      <c r="AK62" s="1353">
        <f>IF(AI62&lt;&gt;"",IF(VLOOKUP($A62,Actions!$F$1:$AQ$70,34,0)="Commune",(VLOOKUP($A62,Actions!$F$1:$AQ$70,24,0)-VLOOKUP($A62,Actions!$F$1:$AQ$70,26,0))/(1+VLOOKUP($A62,Actions!$F$1:$AQ$70,21,0)-VLOOKUP($A62,Actions!$F$1:$AQ$70,20,0)),0),0)</f>
        <v>0</v>
      </c>
      <c r="AL62" s="1353">
        <f>IF(AE62="",AH62,IF(AND(AI62="",AE62&lt;&gt;""),VLOOKUP($A62,Actions!$F$1:$AQ$70,31,0),0))</f>
        <v>0</v>
      </c>
      <c r="AM62" s="1354" t="str">
        <f>IF(OR(Actions!$Y56=AM$7,AND(Actions!$Y56&lt;=AM$7,Actions!$Z56&gt;=AM$7)),Actions!$AA56,"")</f>
        <v/>
      </c>
      <c r="AN62" s="1353">
        <f>IF(AM62&lt;&gt;"",VLOOKUP($A62,Actions!$F$1:$AQ$70,38,0)/(1+VLOOKUP($A62,Actions!$F$1:$AQ$70,21,0)-VLOOKUP($A62,Actions!$F$1:$AQ$70,20,0)),0)</f>
        <v>0</v>
      </c>
      <c r="AO62" s="1353">
        <f>IF(AM62&lt;&gt;"",IF(VLOOKUP($A62,Actions!$F$1:$AQ$70,34,0)="Commune",(VLOOKUP($A62,Actions!$F$1:$AQ$70,24,0)-VLOOKUP($A62,Actions!$F$1:$AQ$70,26,0))/(1+VLOOKUP($A62,Actions!$F$1:$AQ$70,21,0)-VLOOKUP($A62,Actions!$F$1:$AQ$70,20,0)),0),0)</f>
        <v>0</v>
      </c>
      <c r="AP62" s="1353">
        <f>IF(AI62="",AL62,IF(AND(AM62="",AI62&lt;&gt;""),VLOOKUP($A62,Actions!$F$1:$AQ$70,31,0),0))</f>
        <v>0</v>
      </c>
      <c r="AQ62" s="1354" t="str">
        <f>IF(OR(Actions!$Y56=AQ$7,AND(Actions!$Y56&lt;=AQ$7,Actions!$Z56&gt;=AQ$7)),Actions!$AA56,"")</f>
        <v/>
      </c>
      <c r="AR62" s="1353">
        <f>IF(AQ62&lt;&gt;"",VLOOKUP($A62,Actions!$F$1:$AQ$70,38,0)/(1+VLOOKUP($A62,Actions!$F$1:$AQ$70,21,0)-VLOOKUP($A62,Actions!$F$1:$AQ$70,20,0)),0)</f>
        <v>0</v>
      </c>
      <c r="AS62" s="1353">
        <f>IF(AQ62&lt;&gt;"",IF(VLOOKUP($A62,Actions!$F$1:$AQ$70,34,0)="Commune",(VLOOKUP($A62,Actions!$F$1:$AQ$70,24,0)-VLOOKUP($A62,Actions!$F$1:$AQ$70,26,0))/(1+VLOOKUP($A62,Actions!$F$1:$AQ$70,21,0)-VLOOKUP($A62,Actions!$F$1:$AQ$70,20,0)),0),0)</f>
        <v>0</v>
      </c>
      <c r="AT62" s="1353">
        <f>IF(AM62="",AP62,IF(AND(AQ62="",AM62&lt;&gt;""),VLOOKUP($A62,Actions!$F$1:$AQ$70,31,0),0))</f>
        <v>0</v>
      </c>
      <c r="AU62" s="1354" t="str">
        <f>IF(OR(Actions!$Y56=AU$7,AND(Actions!$Y56&lt;=AU$7,Actions!$Z56&gt;=AU$7)),Actions!$AA56,"")</f>
        <v/>
      </c>
      <c r="AV62" s="1353">
        <f>IF(AU62&lt;&gt;"",VLOOKUP($A62,Actions!$F$1:$AQ$70,38,0)/(1+VLOOKUP($A62,Actions!$F$1:$AQ$70,21,0)-VLOOKUP($A62,Actions!$F$1:$AQ$70,20,0)),0)</f>
        <v>0</v>
      </c>
      <c r="AW62" s="1353">
        <f>IF(AU62&lt;&gt;"",IF(VLOOKUP($A62,Actions!$F$1:$AQ$70,34,0)="Commune",(VLOOKUP($A62,Actions!$F$1:$AQ$70,24,0)-VLOOKUP($A62,Actions!$F$1:$AQ$70,26,0))/(1+VLOOKUP($A62,Actions!$F$1:$AQ$70,21,0)-VLOOKUP($A62,Actions!$F$1:$AQ$70,20,0)),0),0)</f>
        <v>0</v>
      </c>
      <c r="AX62" s="1353">
        <f>IF(AQ62="",AT62,IF(AND(AU62="",AQ62&lt;&gt;""),VLOOKUP($A62,Actions!$F$1:$AQ$70,31,0),0))</f>
        <v>0</v>
      </c>
      <c r="AY62" s="1354" t="str">
        <f>IF(OR(Actions!$Y56=AY$7,AND(Actions!$Y56&lt;=AY$7,Actions!$Z56&gt;=AY$7)),Actions!$AA56,"")</f>
        <v/>
      </c>
      <c r="AZ62" s="1353">
        <f>IF(AY62&lt;&gt;"",VLOOKUP($A62,Actions!$F$1:$AQ$70,38,0)/(1+VLOOKUP($A62,Actions!$F$1:$AQ$70,21,0)-VLOOKUP($A62,Actions!$F$1:$AQ$70,20,0)),0)</f>
        <v>0</v>
      </c>
      <c r="BA62" s="1353">
        <f>IF(AY62&lt;&gt;"",IF(VLOOKUP($A62,Actions!$F$1:$AQ$70,34,0)="Commune",(VLOOKUP($A62,Actions!$F$1:$AQ$70,24,0)-VLOOKUP($A62,Actions!$F$1:$AQ$70,26,0))/(1+VLOOKUP($A62,Actions!$F$1:$AQ$70,21,0)-VLOOKUP($A62,Actions!$F$1:$AQ$70,20,0)),0),0)</f>
        <v>0</v>
      </c>
      <c r="BB62" s="1353">
        <f>IF(AU62="",AX62,IF(AND(AY62="",AU62&lt;&gt;""),VLOOKUP($A62,Actions!$F$1:$AQ$70,31,0),0))</f>
        <v>0</v>
      </c>
      <c r="BC62" s="1354" t="str">
        <f>IF(OR(Actions!$Y56=BC$7,AND(Actions!$Y56&lt;=BC$7,Actions!$Z56&gt;=BC$7)),Actions!$AA56,"")</f>
        <v/>
      </c>
      <c r="BD62" s="1353">
        <f>IF(BC62&lt;&gt;"",VLOOKUP($A62,Actions!$F$1:$AQ$70,38,0)/(1+VLOOKUP($A62,Actions!$F$1:$AQ$70,21,0)-VLOOKUP($A62,Actions!$F$1:$AQ$70,20,0)),0)</f>
        <v>0</v>
      </c>
      <c r="BE62" s="1353">
        <f>IF(BC62&lt;&gt;"",IF(VLOOKUP($A62,Actions!$F$1:$AQ$70,34,0)="Commune",(VLOOKUP($A62,Actions!$F$1:$AQ$70,24,0)-VLOOKUP($A62,Actions!$F$1:$AQ$70,26,0))/(1+VLOOKUP($A62,Actions!$F$1:$AQ$70,21,0)-VLOOKUP($A62,Actions!$F$1:$AQ$70,20,0)),0),0)</f>
        <v>0</v>
      </c>
      <c r="BF62" s="1353">
        <f>IF(AY62="",BB62,IF(AND(BC62="",AY62&lt;&gt;""),VLOOKUP($A62,Actions!$F$1:$AQ$70,31,0),0))</f>
        <v>0</v>
      </c>
      <c r="BG62" s="1355">
        <f t="shared" si="0"/>
        <v>0</v>
      </c>
      <c r="BJ62" s="233"/>
      <c r="BK62" s="233"/>
      <c r="BL62" s="233"/>
      <c r="BM62" s="233"/>
      <c r="BN62" s="233"/>
      <c r="BO62" s="233"/>
    </row>
    <row r="63" spans="1:67">
      <c r="A63" s="1349">
        <f>Actions!F57</f>
        <v>56</v>
      </c>
      <c r="B63" s="1352">
        <f>Actions!G57</f>
        <v>0</v>
      </c>
      <c r="C63" s="1353" t="str">
        <f>IF(OR(AND(Actions!Y57&gt;0,Actions!Y57&lt;=$C$7,Actions!Z57&gt;=$C$7),AND(Actions!Y57&gt;0,Actions!Y57&lt;=$C$7,Actions!Z57&lt;Actions!Y57),AND(Actions!Y57=0,Actions!Z57&gt;=$C$7)),Actions!$AA57,"")</f>
        <v/>
      </c>
      <c r="D63" s="1353">
        <f>IF(C63&lt;&gt;"",VLOOKUP($A63,Actions!$F$1:$AQ$70,38,0)/(1+VLOOKUP($A63,Actions!$F$1:$AQ$70,21,0)-VLOOKUP($A63,Actions!$F$1:$AQ$70,20,0)),0)</f>
        <v>0</v>
      </c>
      <c r="E63" s="1353">
        <f>IF(C63&lt;&gt;"",IF(VLOOKUP($A63,Actions!$F$1:$AQ$70,34,0)="Commune",(VLOOKUP($A63,Actions!$F$1:$AQ$70,24,0)-VLOOKUP($A63,Actions!$F$1:$AQ$70,26,0))/(1+VLOOKUP($A63,Actions!$F$1:$AQ$70,21,0)-VLOOKUP($A63,Actions!$F$1:$AQ$70,20,0)),0),0)</f>
        <v>0</v>
      </c>
      <c r="F63" s="1353">
        <v>0</v>
      </c>
      <c r="G63" s="1354" t="str">
        <f>IF(OR(Actions!$Y57=G$7,AND(Actions!$Y57&lt;=G$7,Actions!$Z57&gt;=G$7)),Actions!$AA57,"")</f>
        <v/>
      </c>
      <c r="H63" s="1353">
        <f>IF(G63&lt;&gt;"",VLOOKUP($A63,Actions!$F$1:$AQ$70,38,0)/(1+VLOOKUP($A63,Actions!$F$1:$AQ$70,21,0)-VLOOKUP($A63,Actions!$F$1:$AQ$70,20,0)),0)</f>
        <v>0</v>
      </c>
      <c r="I63" s="1353">
        <f>IF(G63&lt;&gt;"",IF(VLOOKUP($A63,Actions!$F$1:$AQ$70,34,0)="Commune",(VLOOKUP($A63,Actions!$F$1:$AQ$70,24,0)-VLOOKUP($A63,Actions!$F$1:$AQ$70,26,0))/(1+VLOOKUP($A63,Actions!$F$1:$AQ$70,21,0)-VLOOKUP($A63,Actions!$F$1:$AQ$70,20,0)),0),0)</f>
        <v>0</v>
      </c>
      <c r="J63" s="1353">
        <f>IF(C63="",F63,IF(AND(G63="",C63&lt;&gt;""),VLOOKUP($A63,Actions!$F$1:$AQ$70,31,0),0))</f>
        <v>0</v>
      </c>
      <c r="K63" s="1354" t="str">
        <f>IF(OR(Actions!$Y57=K$7,AND(Actions!$Y57&lt;=K$7,Actions!$Z57&gt;=K$7)),Actions!$AA57,"")</f>
        <v/>
      </c>
      <c r="L63" s="1353">
        <f>IF(K63&lt;&gt;"",VLOOKUP($A63,Actions!$F$1:$AQ$70,38,0)/(1+VLOOKUP($A63,Actions!$F$1:$AQ$70,21,0)-VLOOKUP($A63,Actions!$F$1:$AQ$70,20,0)),0)</f>
        <v>0</v>
      </c>
      <c r="M63" s="1353">
        <f>IF(K63&lt;&gt;"",IF(VLOOKUP($A63,Actions!$F$1:$AQ$70,34,0)="Commune",(VLOOKUP($A63,Actions!$F$1:$AQ$70,24,0)-VLOOKUP($A63,Actions!$F$1:$AQ$70,26,0))/(1+VLOOKUP($A63,Actions!$F$1:$AQ$70,21,0)-VLOOKUP($A63,Actions!$F$1:$AQ$70,20,0)),0),0)</f>
        <v>0</v>
      </c>
      <c r="N63" s="1353">
        <f>IF(G63="",J63,IF(AND(K63="",G63&lt;&gt;""),VLOOKUP($A63,Actions!$F$1:$AQ$70,31,0),0))</f>
        <v>0</v>
      </c>
      <c r="O63" s="1354" t="str">
        <f>IF(OR(Actions!$Y57=O$7,AND(Actions!$Y57&lt;=O$7,Actions!$Z57&gt;=O$7)),Actions!$AA57,"")</f>
        <v/>
      </c>
      <c r="P63" s="1353">
        <f>IF(O63&lt;&gt;"",VLOOKUP($A63,Actions!$F$1:$AQ$70,38,0)/(1+VLOOKUP($A63,Actions!$F$1:$AQ$70,21,0)-VLOOKUP($A63,Actions!$F$1:$AQ$70,20,0)),0)</f>
        <v>0</v>
      </c>
      <c r="Q63" s="1353">
        <f>IF(O63&lt;&gt;"",IF(VLOOKUP($A63,Actions!$F$1:$AQ$70,34,0)="Commune",(VLOOKUP($A63,Actions!$F$1:$AQ$70,24,0)-VLOOKUP($A63,Actions!$F$1:$AQ$70,26,0))/(1+VLOOKUP($A63,Actions!$F$1:$AQ$70,21,0)-VLOOKUP($A63,Actions!$F$1:$AQ$70,20,0)),0),0)</f>
        <v>0</v>
      </c>
      <c r="R63" s="1353">
        <f>IF(K63="",N63,IF(AND(O63="",K63&lt;&gt;""),VLOOKUP($A63,Actions!$F$1:$AQ$70,31,0),0))</f>
        <v>0</v>
      </c>
      <c r="S63" s="1354" t="str">
        <f>IF(OR(Actions!$Y57=S$7,AND(Actions!$Y57&lt;=S$7,Actions!$Z57&gt;=S$7)),Actions!$AA57,"")</f>
        <v/>
      </c>
      <c r="T63" s="1353">
        <f>IF(S63&lt;&gt;"",VLOOKUP($A63,Actions!$F$1:$AQ$70,38,0)/(1+VLOOKUP($A63,Actions!$F$1:$AQ$70,21,0)-VLOOKUP($A63,Actions!$F$1:$AQ$70,20,0)),0)</f>
        <v>0</v>
      </c>
      <c r="U63" s="1353">
        <f>IF(S63&lt;&gt;"",IF(VLOOKUP($A63,Actions!$F$1:$AQ$70,34,0)="Commune",(VLOOKUP($A63,Actions!$F$1:$AQ$70,24,0)-VLOOKUP($A63,Actions!$F$1:$AQ$70,26,0))/(1+VLOOKUP($A63,Actions!$F$1:$AQ$70,21,0)-VLOOKUP($A63,Actions!$F$1:$AQ$70,20,0)),0),0)</f>
        <v>0</v>
      </c>
      <c r="V63" s="1353">
        <f>IF(O63="",R63,IF(AND(S63="",O63&lt;&gt;""),VLOOKUP($A63,Actions!$F$1:$AQ$70,31,0),0))</f>
        <v>0</v>
      </c>
      <c r="W63" s="1354" t="str">
        <f>IF(OR(Actions!$Y57=W$7,AND(Actions!$Y57&lt;=W$7,Actions!$Z57&gt;=W$7)),Actions!$AA57,"")</f>
        <v/>
      </c>
      <c r="X63" s="1353">
        <f>IF(W63&lt;&gt;"",VLOOKUP($A63,Actions!$F$1:$AQ$70,38,0)/(1+VLOOKUP($A63,Actions!$F$1:$AQ$70,21,0)-VLOOKUP($A63,Actions!$F$1:$AQ$70,20,0)),0)</f>
        <v>0</v>
      </c>
      <c r="Y63" s="1353">
        <f>IF(W63&lt;&gt;"",IF(VLOOKUP($A63,Actions!$F$1:$AQ$70,34,0)="Commune",(VLOOKUP($A63,Actions!$F$1:$AQ$70,24,0)-VLOOKUP($A63,Actions!$F$1:$AQ$70,26,0))/(1+VLOOKUP($A63,Actions!$F$1:$AQ$70,21,0)-VLOOKUP($A63,Actions!$F$1:$AQ$70,20,0)),0),0)</f>
        <v>0</v>
      </c>
      <c r="Z63" s="1353">
        <f>IF(S63="",V63,IF(AND(W63="",S63&lt;&gt;""),VLOOKUP($A63,Actions!$F$1:$AQ$70,31,0),0))</f>
        <v>0</v>
      </c>
      <c r="AA63" s="1354" t="str">
        <f>IF(OR(Actions!$Y57=AA$7,AND(Actions!$Y57&lt;=AA$7,Actions!$Z57&gt;=AA$7)),Actions!$AA57,"")</f>
        <v/>
      </c>
      <c r="AB63" s="1353">
        <f>IF(AA63&lt;&gt;"",VLOOKUP($A63,Actions!$F$1:$AQ$70,38,0)/(1+VLOOKUP($A63,Actions!$F$1:$AQ$70,21,0)-VLOOKUP($A63,Actions!$F$1:$AQ$70,20,0)),0)</f>
        <v>0</v>
      </c>
      <c r="AC63" s="1353">
        <f>IF(AA63&lt;&gt;"",IF(VLOOKUP($A63,Actions!$F$1:$AQ$70,34,0)="Commune",(VLOOKUP($A63,Actions!$F$1:$AQ$70,24,0)-VLOOKUP($A63,Actions!$F$1:$AQ$70,26,0))/(1+VLOOKUP($A63,Actions!$F$1:$AQ$70,21,0)-VLOOKUP($A63,Actions!$F$1:$AQ$70,20,0)),0),0)</f>
        <v>0</v>
      </c>
      <c r="AD63" s="1353">
        <f>IF(W63="",Z63,IF(AND(AA63="",W63&lt;&gt;""),VLOOKUP($A63,Actions!$F$1:$AQ$70,31,0),0))</f>
        <v>0</v>
      </c>
      <c r="AE63" s="1354" t="str">
        <f>IF(OR(Actions!$Y57=AE$7,AND(Actions!$Y57&lt;=AE$7,Actions!$Z57&gt;=AE$7)),Actions!$AA57,"")</f>
        <v/>
      </c>
      <c r="AF63" s="1353">
        <f>IF(AE63&lt;&gt;"",VLOOKUP($A63,Actions!$F$1:$AQ$70,38,0)/(1+VLOOKUP($A63,Actions!$F$1:$AQ$70,21,0)-VLOOKUP($A63,Actions!$F$1:$AQ$70,20,0)),0)</f>
        <v>0</v>
      </c>
      <c r="AG63" s="1353">
        <f>IF(AE63&lt;&gt;"",IF(VLOOKUP($A63,Actions!$F$1:$AQ$70,34,0)="Commune",(VLOOKUP($A63,Actions!$F$1:$AQ$70,24,0)-VLOOKUP($A63,Actions!$F$1:$AQ$70,26,0))/(1+VLOOKUP($A63,Actions!$F$1:$AQ$70,21,0)-VLOOKUP($A63,Actions!$F$1:$AQ$70,20,0)),0),0)</f>
        <v>0</v>
      </c>
      <c r="AH63" s="1353">
        <f>IF(AA63="",AD63,IF(AND(AE63="",AA63&lt;&gt;""),VLOOKUP($A63,Actions!$F$1:$AQ$70,31,0),0))</f>
        <v>0</v>
      </c>
      <c r="AI63" s="1354" t="str">
        <f>IF(OR(Actions!$Y57=AI$7,AND(Actions!$Y57&lt;=AI$7,Actions!$Z57&gt;=AI$7)),Actions!$AA57,"")</f>
        <v/>
      </c>
      <c r="AJ63" s="1353">
        <f>IF(AI63&lt;&gt;"",VLOOKUP($A63,Actions!$F$1:$AQ$70,38,0)/(1+VLOOKUP($A63,Actions!$F$1:$AQ$70,21,0)-VLOOKUP($A63,Actions!$F$1:$AQ$70,20,0)),0)</f>
        <v>0</v>
      </c>
      <c r="AK63" s="1353">
        <f>IF(AI63&lt;&gt;"",IF(VLOOKUP($A63,Actions!$F$1:$AQ$70,34,0)="Commune",(VLOOKUP($A63,Actions!$F$1:$AQ$70,24,0)-VLOOKUP($A63,Actions!$F$1:$AQ$70,26,0))/(1+VLOOKUP($A63,Actions!$F$1:$AQ$70,21,0)-VLOOKUP($A63,Actions!$F$1:$AQ$70,20,0)),0),0)</f>
        <v>0</v>
      </c>
      <c r="AL63" s="1353">
        <f>IF(AE63="",AH63,IF(AND(AI63="",AE63&lt;&gt;""),VLOOKUP($A63,Actions!$F$1:$AQ$70,31,0),0))</f>
        <v>0</v>
      </c>
      <c r="AM63" s="1354" t="str">
        <f>IF(OR(Actions!$Y57=AM$7,AND(Actions!$Y57&lt;=AM$7,Actions!$Z57&gt;=AM$7)),Actions!$AA57,"")</f>
        <v/>
      </c>
      <c r="AN63" s="1353">
        <f>IF(AM63&lt;&gt;"",VLOOKUP($A63,Actions!$F$1:$AQ$70,38,0)/(1+VLOOKUP($A63,Actions!$F$1:$AQ$70,21,0)-VLOOKUP($A63,Actions!$F$1:$AQ$70,20,0)),0)</f>
        <v>0</v>
      </c>
      <c r="AO63" s="1353">
        <f>IF(AM63&lt;&gt;"",IF(VLOOKUP($A63,Actions!$F$1:$AQ$70,34,0)="Commune",(VLOOKUP($A63,Actions!$F$1:$AQ$70,24,0)-VLOOKUP($A63,Actions!$F$1:$AQ$70,26,0))/(1+VLOOKUP($A63,Actions!$F$1:$AQ$70,21,0)-VLOOKUP($A63,Actions!$F$1:$AQ$70,20,0)),0),0)</f>
        <v>0</v>
      </c>
      <c r="AP63" s="1353">
        <f>IF(AI63="",AL63,IF(AND(AM63="",AI63&lt;&gt;""),VLOOKUP($A63,Actions!$F$1:$AQ$70,31,0),0))</f>
        <v>0</v>
      </c>
      <c r="AQ63" s="1354" t="str">
        <f>IF(OR(Actions!$Y57=AQ$7,AND(Actions!$Y57&lt;=AQ$7,Actions!$Z57&gt;=AQ$7)),Actions!$AA57,"")</f>
        <v/>
      </c>
      <c r="AR63" s="1353">
        <f>IF(AQ63&lt;&gt;"",VLOOKUP($A63,Actions!$F$1:$AQ$70,38,0)/(1+VLOOKUP($A63,Actions!$F$1:$AQ$70,21,0)-VLOOKUP($A63,Actions!$F$1:$AQ$70,20,0)),0)</f>
        <v>0</v>
      </c>
      <c r="AS63" s="1353">
        <f>IF(AQ63&lt;&gt;"",IF(VLOOKUP($A63,Actions!$F$1:$AQ$70,34,0)="Commune",(VLOOKUP($A63,Actions!$F$1:$AQ$70,24,0)-VLOOKUP($A63,Actions!$F$1:$AQ$70,26,0))/(1+VLOOKUP($A63,Actions!$F$1:$AQ$70,21,0)-VLOOKUP($A63,Actions!$F$1:$AQ$70,20,0)),0),0)</f>
        <v>0</v>
      </c>
      <c r="AT63" s="1353">
        <f>IF(AM63="",AP63,IF(AND(AQ63="",AM63&lt;&gt;""),VLOOKUP($A63,Actions!$F$1:$AQ$70,31,0),0))</f>
        <v>0</v>
      </c>
      <c r="AU63" s="1354" t="str">
        <f>IF(OR(Actions!$Y57=AU$7,AND(Actions!$Y57&lt;=AU$7,Actions!$Z57&gt;=AU$7)),Actions!$AA57,"")</f>
        <v/>
      </c>
      <c r="AV63" s="1353">
        <f>IF(AU63&lt;&gt;"",VLOOKUP($A63,Actions!$F$1:$AQ$70,38,0)/(1+VLOOKUP($A63,Actions!$F$1:$AQ$70,21,0)-VLOOKUP($A63,Actions!$F$1:$AQ$70,20,0)),0)</f>
        <v>0</v>
      </c>
      <c r="AW63" s="1353">
        <f>IF(AU63&lt;&gt;"",IF(VLOOKUP($A63,Actions!$F$1:$AQ$70,34,0)="Commune",(VLOOKUP($A63,Actions!$F$1:$AQ$70,24,0)-VLOOKUP($A63,Actions!$F$1:$AQ$70,26,0))/(1+VLOOKUP($A63,Actions!$F$1:$AQ$70,21,0)-VLOOKUP($A63,Actions!$F$1:$AQ$70,20,0)),0),0)</f>
        <v>0</v>
      </c>
      <c r="AX63" s="1353">
        <f>IF(AQ63="",AT63,IF(AND(AU63="",AQ63&lt;&gt;""),VLOOKUP($A63,Actions!$F$1:$AQ$70,31,0),0))</f>
        <v>0</v>
      </c>
      <c r="AY63" s="1354" t="str">
        <f>IF(OR(Actions!$Y57=AY$7,AND(Actions!$Y57&lt;=AY$7,Actions!$Z57&gt;=AY$7)),Actions!$AA57,"")</f>
        <v/>
      </c>
      <c r="AZ63" s="1353">
        <f>IF(AY63&lt;&gt;"",VLOOKUP($A63,Actions!$F$1:$AQ$70,38,0)/(1+VLOOKUP($A63,Actions!$F$1:$AQ$70,21,0)-VLOOKUP($A63,Actions!$F$1:$AQ$70,20,0)),0)</f>
        <v>0</v>
      </c>
      <c r="BA63" s="1353">
        <f>IF(AY63&lt;&gt;"",IF(VLOOKUP($A63,Actions!$F$1:$AQ$70,34,0)="Commune",(VLOOKUP($A63,Actions!$F$1:$AQ$70,24,0)-VLOOKUP($A63,Actions!$F$1:$AQ$70,26,0))/(1+VLOOKUP($A63,Actions!$F$1:$AQ$70,21,0)-VLOOKUP($A63,Actions!$F$1:$AQ$70,20,0)),0),0)</f>
        <v>0</v>
      </c>
      <c r="BB63" s="1353">
        <f>IF(AU63="",AX63,IF(AND(AY63="",AU63&lt;&gt;""),VLOOKUP($A63,Actions!$F$1:$AQ$70,31,0),0))</f>
        <v>0</v>
      </c>
      <c r="BC63" s="1354" t="str">
        <f>IF(OR(Actions!$Y57=BC$7,AND(Actions!$Y57&lt;=BC$7,Actions!$Z57&gt;=BC$7)),Actions!$AA57,"")</f>
        <v/>
      </c>
      <c r="BD63" s="1353">
        <f>IF(BC63&lt;&gt;"",VLOOKUP($A63,Actions!$F$1:$AQ$70,38,0)/(1+VLOOKUP($A63,Actions!$F$1:$AQ$70,21,0)-VLOOKUP($A63,Actions!$F$1:$AQ$70,20,0)),0)</f>
        <v>0</v>
      </c>
      <c r="BE63" s="1353">
        <f>IF(BC63&lt;&gt;"",IF(VLOOKUP($A63,Actions!$F$1:$AQ$70,34,0)="Commune",(VLOOKUP($A63,Actions!$F$1:$AQ$70,24,0)-VLOOKUP($A63,Actions!$F$1:$AQ$70,26,0))/(1+VLOOKUP($A63,Actions!$F$1:$AQ$70,21,0)-VLOOKUP($A63,Actions!$F$1:$AQ$70,20,0)),0),0)</f>
        <v>0</v>
      </c>
      <c r="BF63" s="1353">
        <f>IF(AY63="",BB63,IF(AND(BC63="",AY63&lt;&gt;""),VLOOKUP($A63,Actions!$F$1:$AQ$70,31,0),0))</f>
        <v>0</v>
      </c>
      <c r="BG63" s="1355">
        <f t="shared" si="0"/>
        <v>0</v>
      </c>
      <c r="BJ63" s="233"/>
      <c r="BK63" s="233"/>
      <c r="BL63" s="233"/>
      <c r="BM63" s="233"/>
      <c r="BN63" s="233"/>
      <c r="BO63" s="233"/>
    </row>
    <row r="64" spans="1:67">
      <c r="A64" s="1349">
        <f>Actions!F58</f>
        <v>57</v>
      </c>
      <c r="B64" s="1352">
        <f>Actions!G58</f>
        <v>0</v>
      </c>
      <c r="C64" s="1353" t="str">
        <f>IF(OR(AND(Actions!Y58&gt;0,Actions!Y58&lt;=$C$7,Actions!Z58&gt;=$C$7),AND(Actions!Y58&gt;0,Actions!Y58&lt;=$C$7,Actions!Z58&lt;Actions!Y58),AND(Actions!Y58=0,Actions!Z58&gt;=$C$7)),Actions!$AA58,"")</f>
        <v/>
      </c>
      <c r="D64" s="1353">
        <f>IF(C64&lt;&gt;"",VLOOKUP($A64,Actions!$F$1:$AQ$70,38,0)/(1+VLOOKUP($A64,Actions!$F$1:$AQ$70,21,0)-VLOOKUP($A64,Actions!$F$1:$AQ$70,20,0)),0)</f>
        <v>0</v>
      </c>
      <c r="E64" s="1353">
        <f>IF(C64&lt;&gt;"",IF(VLOOKUP($A64,Actions!$F$1:$AQ$70,34,0)="Commune",(VLOOKUP($A64,Actions!$F$1:$AQ$70,24,0)-VLOOKUP($A64,Actions!$F$1:$AQ$70,26,0))/(1+VLOOKUP($A64,Actions!$F$1:$AQ$70,21,0)-VLOOKUP($A64,Actions!$F$1:$AQ$70,20,0)),0),0)</f>
        <v>0</v>
      </c>
      <c r="F64" s="1353">
        <v>0</v>
      </c>
      <c r="G64" s="1354" t="str">
        <f>IF(OR(Actions!$Y58=G$7,AND(Actions!$Y58&lt;=G$7,Actions!$Z58&gt;=G$7)),Actions!$AA58,"")</f>
        <v/>
      </c>
      <c r="H64" s="1353">
        <f>IF(G64&lt;&gt;"",VLOOKUP($A64,Actions!$F$1:$AQ$70,38,0)/(1+VLOOKUP($A64,Actions!$F$1:$AQ$70,21,0)-VLOOKUP($A64,Actions!$F$1:$AQ$70,20,0)),0)</f>
        <v>0</v>
      </c>
      <c r="I64" s="1353">
        <f>IF(G64&lt;&gt;"",IF(VLOOKUP($A64,Actions!$F$1:$AQ$70,34,0)="Commune",(VLOOKUP($A64,Actions!$F$1:$AQ$70,24,0)-VLOOKUP($A64,Actions!$F$1:$AQ$70,26,0))/(1+VLOOKUP($A64,Actions!$F$1:$AQ$70,21,0)-VLOOKUP($A64,Actions!$F$1:$AQ$70,20,0)),0),0)</f>
        <v>0</v>
      </c>
      <c r="J64" s="1353">
        <f>IF(C64="",F64,IF(AND(G64="",C64&lt;&gt;""),VLOOKUP($A64,Actions!$F$1:$AQ$70,31,0),0))</f>
        <v>0</v>
      </c>
      <c r="K64" s="1354" t="str">
        <f>IF(OR(Actions!$Y58=K$7,AND(Actions!$Y58&lt;=K$7,Actions!$Z58&gt;=K$7)),Actions!$AA58,"")</f>
        <v/>
      </c>
      <c r="L64" s="1353">
        <f>IF(K64&lt;&gt;"",VLOOKUP($A64,Actions!$F$1:$AQ$70,38,0)/(1+VLOOKUP($A64,Actions!$F$1:$AQ$70,21,0)-VLOOKUP($A64,Actions!$F$1:$AQ$70,20,0)),0)</f>
        <v>0</v>
      </c>
      <c r="M64" s="1353">
        <f>IF(K64&lt;&gt;"",IF(VLOOKUP($A64,Actions!$F$1:$AQ$70,34,0)="Commune",(VLOOKUP($A64,Actions!$F$1:$AQ$70,24,0)-VLOOKUP($A64,Actions!$F$1:$AQ$70,26,0))/(1+VLOOKUP($A64,Actions!$F$1:$AQ$70,21,0)-VLOOKUP($A64,Actions!$F$1:$AQ$70,20,0)),0),0)</f>
        <v>0</v>
      </c>
      <c r="N64" s="1353">
        <f>IF(G64="",J64,IF(AND(K64="",G64&lt;&gt;""),VLOOKUP($A64,Actions!$F$1:$AQ$70,31,0),0))</f>
        <v>0</v>
      </c>
      <c r="O64" s="1354" t="str">
        <f>IF(OR(Actions!$Y58=O$7,AND(Actions!$Y58&lt;=O$7,Actions!$Z58&gt;=O$7)),Actions!$AA58,"")</f>
        <v/>
      </c>
      <c r="P64" s="1353">
        <f>IF(O64&lt;&gt;"",VLOOKUP($A64,Actions!$F$1:$AQ$70,38,0)/(1+VLOOKUP($A64,Actions!$F$1:$AQ$70,21,0)-VLOOKUP($A64,Actions!$F$1:$AQ$70,20,0)),0)</f>
        <v>0</v>
      </c>
      <c r="Q64" s="1353">
        <f>IF(O64&lt;&gt;"",IF(VLOOKUP($A64,Actions!$F$1:$AQ$70,34,0)="Commune",(VLOOKUP($A64,Actions!$F$1:$AQ$70,24,0)-VLOOKUP($A64,Actions!$F$1:$AQ$70,26,0))/(1+VLOOKUP($A64,Actions!$F$1:$AQ$70,21,0)-VLOOKUP($A64,Actions!$F$1:$AQ$70,20,0)),0),0)</f>
        <v>0</v>
      </c>
      <c r="R64" s="1353">
        <f>IF(K64="",N64,IF(AND(O64="",K64&lt;&gt;""),VLOOKUP($A64,Actions!$F$1:$AQ$70,31,0),0))</f>
        <v>0</v>
      </c>
      <c r="S64" s="1354" t="str">
        <f>IF(OR(Actions!$Y58=S$7,AND(Actions!$Y58&lt;=S$7,Actions!$Z58&gt;=S$7)),Actions!$AA58,"")</f>
        <v/>
      </c>
      <c r="T64" s="1353">
        <f>IF(S64&lt;&gt;"",VLOOKUP($A64,Actions!$F$1:$AQ$70,38,0)/(1+VLOOKUP($A64,Actions!$F$1:$AQ$70,21,0)-VLOOKUP($A64,Actions!$F$1:$AQ$70,20,0)),0)</f>
        <v>0</v>
      </c>
      <c r="U64" s="1353">
        <f>IF(S64&lt;&gt;"",IF(VLOOKUP($A64,Actions!$F$1:$AQ$70,34,0)="Commune",(VLOOKUP($A64,Actions!$F$1:$AQ$70,24,0)-VLOOKUP($A64,Actions!$F$1:$AQ$70,26,0))/(1+VLOOKUP($A64,Actions!$F$1:$AQ$70,21,0)-VLOOKUP($A64,Actions!$F$1:$AQ$70,20,0)),0),0)</f>
        <v>0</v>
      </c>
      <c r="V64" s="1353">
        <f>IF(O64="",R64,IF(AND(S64="",O64&lt;&gt;""),VLOOKUP($A64,Actions!$F$1:$AQ$70,31,0),0))</f>
        <v>0</v>
      </c>
      <c r="W64" s="1354" t="str">
        <f>IF(OR(Actions!$Y58=W$7,AND(Actions!$Y58&lt;=W$7,Actions!$Z58&gt;=W$7)),Actions!$AA58,"")</f>
        <v/>
      </c>
      <c r="X64" s="1353">
        <f>IF(W64&lt;&gt;"",VLOOKUP($A64,Actions!$F$1:$AQ$70,38,0)/(1+VLOOKUP($A64,Actions!$F$1:$AQ$70,21,0)-VLOOKUP($A64,Actions!$F$1:$AQ$70,20,0)),0)</f>
        <v>0</v>
      </c>
      <c r="Y64" s="1353">
        <f>IF(W64&lt;&gt;"",IF(VLOOKUP($A64,Actions!$F$1:$AQ$70,34,0)="Commune",(VLOOKUP($A64,Actions!$F$1:$AQ$70,24,0)-VLOOKUP($A64,Actions!$F$1:$AQ$70,26,0))/(1+VLOOKUP($A64,Actions!$F$1:$AQ$70,21,0)-VLOOKUP($A64,Actions!$F$1:$AQ$70,20,0)),0),0)</f>
        <v>0</v>
      </c>
      <c r="Z64" s="1353">
        <f>IF(S64="",V64,IF(AND(W64="",S64&lt;&gt;""),VLOOKUP($A64,Actions!$F$1:$AQ$70,31,0),0))</f>
        <v>0</v>
      </c>
      <c r="AA64" s="1354" t="str">
        <f>IF(OR(Actions!$Y58=AA$7,AND(Actions!$Y58&lt;=AA$7,Actions!$Z58&gt;=AA$7)),Actions!$AA58,"")</f>
        <v/>
      </c>
      <c r="AB64" s="1353">
        <f>IF(AA64&lt;&gt;"",VLOOKUP($A64,Actions!$F$1:$AQ$70,38,0)/(1+VLOOKUP($A64,Actions!$F$1:$AQ$70,21,0)-VLOOKUP($A64,Actions!$F$1:$AQ$70,20,0)),0)</f>
        <v>0</v>
      </c>
      <c r="AC64" s="1353">
        <f>IF(AA64&lt;&gt;"",IF(VLOOKUP($A64,Actions!$F$1:$AQ$70,34,0)="Commune",(VLOOKUP($A64,Actions!$F$1:$AQ$70,24,0)-VLOOKUP($A64,Actions!$F$1:$AQ$70,26,0))/(1+VLOOKUP($A64,Actions!$F$1:$AQ$70,21,0)-VLOOKUP($A64,Actions!$F$1:$AQ$70,20,0)),0),0)</f>
        <v>0</v>
      </c>
      <c r="AD64" s="1353">
        <f>IF(W64="",Z64,IF(AND(AA64="",W64&lt;&gt;""),VLOOKUP($A64,Actions!$F$1:$AQ$70,31,0),0))</f>
        <v>0</v>
      </c>
      <c r="AE64" s="1354" t="str">
        <f>IF(OR(Actions!$Y58=AE$7,AND(Actions!$Y58&lt;=AE$7,Actions!$Z58&gt;=AE$7)),Actions!$AA58,"")</f>
        <v/>
      </c>
      <c r="AF64" s="1353">
        <f>IF(AE64&lt;&gt;"",VLOOKUP($A64,Actions!$F$1:$AQ$70,38,0)/(1+VLOOKUP($A64,Actions!$F$1:$AQ$70,21,0)-VLOOKUP($A64,Actions!$F$1:$AQ$70,20,0)),0)</f>
        <v>0</v>
      </c>
      <c r="AG64" s="1353">
        <f>IF(AE64&lt;&gt;"",IF(VLOOKUP($A64,Actions!$F$1:$AQ$70,34,0)="Commune",(VLOOKUP($A64,Actions!$F$1:$AQ$70,24,0)-VLOOKUP($A64,Actions!$F$1:$AQ$70,26,0))/(1+VLOOKUP($A64,Actions!$F$1:$AQ$70,21,0)-VLOOKUP($A64,Actions!$F$1:$AQ$70,20,0)),0),0)</f>
        <v>0</v>
      </c>
      <c r="AH64" s="1353">
        <f>IF(AA64="",AD64,IF(AND(AE64="",AA64&lt;&gt;""),VLOOKUP($A64,Actions!$F$1:$AQ$70,31,0),0))</f>
        <v>0</v>
      </c>
      <c r="AI64" s="1354" t="str">
        <f>IF(OR(Actions!$Y58=AI$7,AND(Actions!$Y58&lt;=AI$7,Actions!$Z58&gt;=AI$7)),Actions!$AA58,"")</f>
        <v/>
      </c>
      <c r="AJ64" s="1353">
        <f>IF(AI64&lt;&gt;"",VLOOKUP($A64,Actions!$F$1:$AQ$70,38,0)/(1+VLOOKUP($A64,Actions!$F$1:$AQ$70,21,0)-VLOOKUP($A64,Actions!$F$1:$AQ$70,20,0)),0)</f>
        <v>0</v>
      </c>
      <c r="AK64" s="1353">
        <f>IF(AI64&lt;&gt;"",IF(VLOOKUP($A64,Actions!$F$1:$AQ$70,34,0)="Commune",(VLOOKUP($A64,Actions!$F$1:$AQ$70,24,0)-VLOOKUP($A64,Actions!$F$1:$AQ$70,26,0))/(1+VLOOKUP($A64,Actions!$F$1:$AQ$70,21,0)-VLOOKUP($A64,Actions!$F$1:$AQ$70,20,0)),0),0)</f>
        <v>0</v>
      </c>
      <c r="AL64" s="1353">
        <f>IF(AE64="",AH64,IF(AND(AI64="",AE64&lt;&gt;""),VLOOKUP($A64,Actions!$F$1:$AQ$70,31,0),0))</f>
        <v>0</v>
      </c>
      <c r="AM64" s="1354" t="str">
        <f>IF(OR(Actions!$Y58=AM$7,AND(Actions!$Y58&lt;=AM$7,Actions!$Z58&gt;=AM$7)),Actions!$AA58,"")</f>
        <v/>
      </c>
      <c r="AN64" s="1353">
        <f>IF(AM64&lt;&gt;"",VLOOKUP($A64,Actions!$F$1:$AQ$70,38,0)/(1+VLOOKUP($A64,Actions!$F$1:$AQ$70,21,0)-VLOOKUP($A64,Actions!$F$1:$AQ$70,20,0)),0)</f>
        <v>0</v>
      </c>
      <c r="AO64" s="1353">
        <f>IF(AM64&lt;&gt;"",IF(VLOOKUP($A64,Actions!$F$1:$AQ$70,34,0)="Commune",(VLOOKUP($A64,Actions!$F$1:$AQ$70,24,0)-VLOOKUP($A64,Actions!$F$1:$AQ$70,26,0))/(1+VLOOKUP($A64,Actions!$F$1:$AQ$70,21,0)-VLOOKUP($A64,Actions!$F$1:$AQ$70,20,0)),0),0)</f>
        <v>0</v>
      </c>
      <c r="AP64" s="1353">
        <f>IF(AI64="",AL64,IF(AND(AM64="",AI64&lt;&gt;""),VLOOKUP($A64,Actions!$F$1:$AQ$70,31,0),0))</f>
        <v>0</v>
      </c>
      <c r="AQ64" s="1354" t="str">
        <f>IF(OR(Actions!$Y58=AQ$7,AND(Actions!$Y58&lt;=AQ$7,Actions!$Z58&gt;=AQ$7)),Actions!$AA58,"")</f>
        <v/>
      </c>
      <c r="AR64" s="1353">
        <f>IF(AQ64&lt;&gt;"",VLOOKUP($A64,Actions!$F$1:$AQ$70,38,0)/(1+VLOOKUP($A64,Actions!$F$1:$AQ$70,21,0)-VLOOKUP($A64,Actions!$F$1:$AQ$70,20,0)),0)</f>
        <v>0</v>
      </c>
      <c r="AS64" s="1353">
        <f>IF(AQ64&lt;&gt;"",IF(VLOOKUP($A64,Actions!$F$1:$AQ$70,34,0)="Commune",(VLOOKUP($A64,Actions!$F$1:$AQ$70,24,0)-VLOOKUP($A64,Actions!$F$1:$AQ$70,26,0))/(1+VLOOKUP($A64,Actions!$F$1:$AQ$70,21,0)-VLOOKUP($A64,Actions!$F$1:$AQ$70,20,0)),0),0)</f>
        <v>0</v>
      </c>
      <c r="AT64" s="1353">
        <f>IF(AM64="",AP64,IF(AND(AQ64="",AM64&lt;&gt;""),VLOOKUP($A64,Actions!$F$1:$AQ$70,31,0),0))</f>
        <v>0</v>
      </c>
      <c r="AU64" s="1354" t="str">
        <f>IF(OR(Actions!$Y58=AU$7,AND(Actions!$Y58&lt;=AU$7,Actions!$Z58&gt;=AU$7)),Actions!$AA58,"")</f>
        <v/>
      </c>
      <c r="AV64" s="1353">
        <f>IF(AU64&lt;&gt;"",VLOOKUP($A64,Actions!$F$1:$AQ$70,38,0)/(1+VLOOKUP($A64,Actions!$F$1:$AQ$70,21,0)-VLOOKUP($A64,Actions!$F$1:$AQ$70,20,0)),0)</f>
        <v>0</v>
      </c>
      <c r="AW64" s="1353">
        <f>IF(AU64&lt;&gt;"",IF(VLOOKUP($A64,Actions!$F$1:$AQ$70,34,0)="Commune",(VLOOKUP($A64,Actions!$F$1:$AQ$70,24,0)-VLOOKUP($A64,Actions!$F$1:$AQ$70,26,0))/(1+VLOOKUP($A64,Actions!$F$1:$AQ$70,21,0)-VLOOKUP($A64,Actions!$F$1:$AQ$70,20,0)),0),0)</f>
        <v>0</v>
      </c>
      <c r="AX64" s="1353">
        <f>IF(AQ64="",AT64,IF(AND(AU64="",AQ64&lt;&gt;""),VLOOKUP($A64,Actions!$F$1:$AQ$70,31,0),0))</f>
        <v>0</v>
      </c>
      <c r="AY64" s="1354" t="str">
        <f>IF(OR(Actions!$Y58=AY$7,AND(Actions!$Y58&lt;=AY$7,Actions!$Z58&gt;=AY$7)),Actions!$AA58,"")</f>
        <v/>
      </c>
      <c r="AZ64" s="1353">
        <f>IF(AY64&lt;&gt;"",VLOOKUP($A64,Actions!$F$1:$AQ$70,38,0)/(1+VLOOKUP($A64,Actions!$F$1:$AQ$70,21,0)-VLOOKUP($A64,Actions!$F$1:$AQ$70,20,0)),0)</f>
        <v>0</v>
      </c>
      <c r="BA64" s="1353">
        <f>IF(AY64&lt;&gt;"",IF(VLOOKUP($A64,Actions!$F$1:$AQ$70,34,0)="Commune",(VLOOKUP($A64,Actions!$F$1:$AQ$70,24,0)-VLOOKUP($A64,Actions!$F$1:$AQ$70,26,0))/(1+VLOOKUP($A64,Actions!$F$1:$AQ$70,21,0)-VLOOKUP($A64,Actions!$F$1:$AQ$70,20,0)),0),0)</f>
        <v>0</v>
      </c>
      <c r="BB64" s="1353">
        <f>IF(AU64="",AX64,IF(AND(AY64="",AU64&lt;&gt;""),VLOOKUP($A64,Actions!$F$1:$AQ$70,31,0),0))</f>
        <v>0</v>
      </c>
      <c r="BC64" s="1354" t="str">
        <f>IF(OR(Actions!$Y58=BC$7,AND(Actions!$Y58&lt;=BC$7,Actions!$Z58&gt;=BC$7)),Actions!$AA58,"")</f>
        <v/>
      </c>
      <c r="BD64" s="1353">
        <f>IF(BC64&lt;&gt;"",VLOOKUP($A64,Actions!$F$1:$AQ$70,38,0)/(1+VLOOKUP($A64,Actions!$F$1:$AQ$70,21,0)-VLOOKUP($A64,Actions!$F$1:$AQ$70,20,0)),0)</f>
        <v>0</v>
      </c>
      <c r="BE64" s="1353">
        <f>IF(BC64&lt;&gt;"",IF(VLOOKUP($A64,Actions!$F$1:$AQ$70,34,0)="Commune",(VLOOKUP($A64,Actions!$F$1:$AQ$70,24,0)-VLOOKUP($A64,Actions!$F$1:$AQ$70,26,0))/(1+VLOOKUP($A64,Actions!$F$1:$AQ$70,21,0)-VLOOKUP($A64,Actions!$F$1:$AQ$70,20,0)),0),0)</f>
        <v>0</v>
      </c>
      <c r="BF64" s="1353">
        <f>IF(AY64="",BB64,IF(AND(BC64="",AY64&lt;&gt;""),VLOOKUP($A64,Actions!$F$1:$AQ$70,31,0),0))</f>
        <v>0</v>
      </c>
      <c r="BG64" s="1355">
        <f t="shared" si="0"/>
        <v>0</v>
      </c>
      <c r="BJ64" s="233"/>
      <c r="BK64" s="233"/>
      <c r="BL64" s="233"/>
      <c r="BM64" s="233"/>
      <c r="BN64" s="233"/>
      <c r="BO64" s="233"/>
    </row>
    <row r="65" spans="1:67">
      <c r="A65" s="1349">
        <f>Actions!F59</f>
        <v>58</v>
      </c>
      <c r="B65" s="1352">
        <f>Actions!G59</f>
        <v>0</v>
      </c>
      <c r="C65" s="1353" t="str">
        <f>IF(OR(AND(Actions!Y59&gt;0,Actions!Y59&lt;=$C$7,Actions!Z59&gt;=$C$7),AND(Actions!Y59&gt;0,Actions!Y59&lt;=$C$7,Actions!Z59&lt;Actions!Y59),AND(Actions!Y59=0,Actions!Z59&gt;=$C$7)),Actions!$AA59,"")</f>
        <v/>
      </c>
      <c r="D65" s="1353">
        <f>IF(C65&lt;&gt;"",VLOOKUP($A65,Actions!$F$1:$AQ$70,38,0)/(1+VLOOKUP($A65,Actions!$F$1:$AQ$70,21,0)-VLOOKUP($A65,Actions!$F$1:$AQ$70,20,0)),0)</f>
        <v>0</v>
      </c>
      <c r="E65" s="1353">
        <f>IF(C65&lt;&gt;"",IF(VLOOKUP($A65,Actions!$F$1:$AQ$70,34,0)="Commune",(VLOOKUP($A65,Actions!$F$1:$AQ$70,24,0)-VLOOKUP($A65,Actions!$F$1:$AQ$70,26,0))/(1+VLOOKUP($A65,Actions!$F$1:$AQ$70,21,0)-VLOOKUP($A65,Actions!$F$1:$AQ$70,20,0)),0),0)</f>
        <v>0</v>
      </c>
      <c r="F65" s="1353">
        <v>0</v>
      </c>
      <c r="G65" s="1354" t="str">
        <f>IF(OR(Actions!$Y59=G$7,AND(Actions!$Y59&lt;=G$7,Actions!$Z59&gt;=G$7)),Actions!$AA59,"")</f>
        <v/>
      </c>
      <c r="H65" s="1353">
        <f>IF(G65&lt;&gt;"",VLOOKUP($A65,Actions!$F$1:$AQ$70,38,0)/(1+VLOOKUP($A65,Actions!$F$1:$AQ$70,21,0)-VLOOKUP($A65,Actions!$F$1:$AQ$70,20,0)),0)</f>
        <v>0</v>
      </c>
      <c r="I65" s="1353">
        <f>IF(G65&lt;&gt;"",IF(VLOOKUP($A65,Actions!$F$1:$AQ$70,34,0)="Commune",(VLOOKUP($A65,Actions!$F$1:$AQ$70,24,0)-VLOOKUP($A65,Actions!$F$1:$AQ$70,26,0))/(1+VLOOKUP($A65,Actions!$F$1:$AQ$70,21,0)-VLOOKUP($A65,Actions!$F$1:$AQ$70,20,0)),0),0)</f>
        <v>0</v>
      </c>
      <c r="J65" s="1353">
        <f>IF(C65="",F65,IF(AND(G65="",C65&lt;&gt;""),VLOOKUP($A65,Actions!$F$1:$AQ$70,31,0),0))</f>
        <v>0</v>
      </c>
      <c r="K65" s="1354" t="str">
        <f>IF(OR(Actions!$Y59=K$7,AND(Actions!$Y59&lt;=K$7,Actions!$Z59&gt;=K$7)),Actions!$AA59,"")</f>
        <v/>
      </c>
      <c r="L65" s="1353">
        <f>IF(K65&lt;&gt;"",VLOOKUP($A65,Actions!$F$1:$AQ$70,38,0)/(1+VLOOKUP($A65,Actions!$F$1:$AQ$70,21,0)-VLOOKUP($A65,Actions!$F$1:$AQ$70,20,0)),0)</f>
        <v>0</v>
      </c>
      <c r="M65" s="1353">
        <f>IF(K65&lt;&gt;"",IF(VLOOKUP($A65,Actions!$F$1:$AQ$70,34,0)="Commune",(VLOOKUP($A65,Actions!$F$1:$AQ$70,24,0)-VLOOKUP($A65,Actions!$F$1:$AQ$70,26,0))/(1+VLOOKUP($A65,Actions!$F$1:$AQ$70,21,0)-VLOOKUP($A65,Actions!$F$1:$AQ$70,20,0)),0),0)</f>
        <v>0</v>
      </c>
      <c r="N65" s="1353">
        <f>IF(G65="",J65,IF(AND(K65="",G65&lt;&gt;""),VLOOKUP($A65,Actions!$F$1:$AQ$70,31,0),0))</f>
        <v>0</v>
      </c>
      <c r="O65" s="1354" t="str">
        <f>IF(OR(Actions!$Y59=O$7,AND(Actions!$Y59&lt;=O$7,Actions!$Z59&gt;=O$7)),Actions!$AA59,"")</f>
        <v/>
      </c>
      <c r="P65" s="1353">
        <f>IF(O65&lt;&gt;"",VLOOKUP($A65,Actions!$F$1:$AQ$70,38,0)/(1+VLOOKUP($A65,Actions!$F$1:$AQ$70,21,0)-VLOOKUP($A65,Actions!$F$1:$AQ$70,20,0)),0)</f>
        <v>0</v>
      </c>
      <c r="Q65" s="1353">
        <f>IF(O65&lt;&gt;"",IF(VLOOKUP($A65,Actions!$F$1:$AQ$70,34,0)="Commune",(VLOOKUP($A65,Actions!$F$1:$AQ$70,24,0)-VLOOKUP($A65,Actions!$F$1:$AQ$70,26,0))/(1+VLOOKUP($A65,Actions!$F$1:$AQ$70,21,0)-VLOOKUP($A65,Actions!$F$1:$AQ$70,20,0)),0),0)</f>
        <v>0</v>
      </c>
      <c r="R65" s="1353">
        <f>IF(K65="",N65,IF(AND(O65="",K65&lt;&gt;""),VLOOKUP($A65,Actions!$F$1:$AQ$70,31,0),0))</f>
        <v>0</v>
      </c>
      <c r="S65" s="1354" t="str">
        <f>IF(OR(Actions!$Y59=S$7,AND(Actions!$Y59&lt;=S$7,Actions!$Z59&gt;=S$7)),Actions!$AA59,"")</f>
        <v/>
      </c>
      <c r="T65" s="1353">
        <f>IF(S65&lt;&gt;"",VLOOKUP($A65,Actions!$F$1:$AQ$70,38,0)/(1+VLOOKUP($A65,Actions!$F$1:$AQ$70,21,0)-VLOOKUP($A65,Actions!$F$1:$AQ$70,20,0)),0)</f>
        <v>0</v>
      </c>
      <c r="U65" s="1353">
        <f>IF(S65&lt;&gt;"",IF(VLOOKUP($A65,Actions!$F$1:$AQ$70,34,0)="Commune",(VLOOKUP($A65,Actions!$F$1:$AQ$70,24,0)-VLOOKUP($A65,Actions!$F$1:$AQ$70,26,0))/(1+VLOOKUP($A65,Actions!$F$1:$AQ$70,21,0)-VLOOKUP($A65,Actions!$F$1:$AQ$70,20,0)),0),0)</f>
        <v>0</v>
      </c>
      <c r="V65" s="1353">
        <f>IF(O65="",R65,IF(AND(S65="",O65&lt;&gt;""),VLOOKUP($A65,Actions!$F$1:$AQ$70,31,0),0))</f>
        <v>0</v>
      </c>
      <c r="W65" s="1354" t="str">
        <f>IF(OR(Actions!$Y59=W$7,AND(Actions!$Y59&lt;=W$7,Actions!$Z59&gt;=W$7)),Actions!$AA59,"")</f>
        <v/>
      </c>
      <c r="X65" s="1353">
        <f>IF(W65&lt;&gt;"",VLOOKUP($A65,Actions!$F$1:$AQ$70,38,0)/(1+VLOOKUP($A65,Actions!$F$1:$AQ$70,21,0)-VLOOKUP($A65,Actions!$F$1:$AQ$70,20,0)),0)</f>
        <v>0</v>
      </c>
      <c r="Y65" s="1353">
        <f>IF(W65&lt;&gt;"",IF(VLOOKUP($A65,Actions!$F$1:$AQ$70,34,0)="Commune",(VLOOKUP($A65,Actions!$F$1:$AQ$70,24,0)-VLOOKUP($A65,Actions!$F$1:$AQ$70,26,0))/(1+VLOOKUP($A65,Actions!$F$1:$AQ$70,21,0)-VLOOKUP($A65,Actions!$F$1:$AQ$70,20,0)),0),0)</f>
        <v>0</v>
      </c>
      <c r="Z65" s="1353">
        <f>IF(S65="",V65,IF(AND(W65="",S65&lt;&gt;""),VLOOKUP($A65,Actions!$F$1:$AQ$70,31,0),0))</f>
        <v>0</v>
      </c>
      <c r="AA65" s="1354" t="str">
        <f>IF(OR(Actions!$Y59=AA$7,AND(Actions!$Y59&lt;=AA$7,Actions!$Z59&gt;=AA$7)),Actions!$AA59,"")</f>
        <v/>
      </c>
      <c r="AB65" s="1353">
        <f>IF(AA65&lt;&gt;"",VLOOKUP($A65,Actions!$F$1:$AQ$70,38,0)/(1+VLOOKUP($A65,Actions!$F$1:$AQ$70,21,0)-VLOOKUP($A65,Actions!$F$1:$AQ$70,20,0)),0)</f>
        <v>0</v>
      </c>
      <c r="AC65" s="1353">
        <f>IF(AA65&lt;&gt;"",IF(VLOOKUP($A65,Actions!$F$1:$AQ$70,34,0)="Commune",(VLOOKUP($A65,Actions!$F$1:$AQ$70,24,0)-VLOOKUP($A65,Actions!$F$1:$AQ$70,26,0))/(1+VLOOKUP($A65,Actions!$F$1:$AQ$70,21,0)-VLOOKUP($A65,Actions!$F$1:$AQ$70,20,0)),0),0)</f>
        <v>0</v>
      </c>
      <c r="AD65" s="1353">
        <f>IF(W65="",Z65,IF(AND(AA65="",W65&lt;&gt;""),VLOOKUP($A65,Actions!$F$1:$AQ$70,31,0),0))</f>
        <v>0</v>
      </c>
      <c r="AE65" s="1354" t="str">
        <f>IF(OR(Actions!$Y59=AE$7,AND(Actions!$Y59&lt;=AE$7,Actions!$Z59&gt;=AE$7)),Actions!$AA59,"")</f>
        <v/>
      </c>
      <c r="AF65" s="1353">
        <f>IF(AE65&lt;&gt;"",VLOOKUP($A65,Actions!$F$1:$AQ$70,38,0)/(1+VLOOKUP($A65,Actions!$F$1:$AQ$70,21,0)-VLOOKUP($A65,Actions!$F$1:$AQ$70,20,0)),0)</f>
        <v>0</v>
      </c>
      <c r="AG65" s="1353">
        <f>IF(AE65&lt;&gt;"",IF(VLOOKUP($A65,Actions!$F$1:$AQ$70,34,0)="Commune",(VLOOKUP($A65,Actions!$F$1:$AQ$70,24,0)-VLOOKUP($A65,Actions!$F$1:$AQ$70,26,0))/(1+VLOOKUP($A65,Actions!$F$1:$AQ$70,21,0)-VLOOKUP($A65,Actions!$F$1:$AQ$70,20,0)),0),0)</f>
        <v>0</v>
      </c>
      <c r="AH65" s="1353">
        <f>IF(AA65="",AD65,IF(AND(AE65="",AA65&lt;&gt;""),VLOOKUP($A65,Actions!$F$1:$AQ$70,31,0),0))</f>
        <v>0</v>
      </c>
      <c r="AI65" s="1354" t="str">
        <f>IF(OR(Actions!$Y59=AI$7,AND(Actions!$Y59&lt;=AI$7,Actions!$Z59&gt;=AI$7)),Actions!$AA59,"")</f>
        <v/>
      </c>
      <c r="AJ65" s="1353">
        <f>IF(AI65&lt;&gt;"",VLOOKUP($A65,Actions!$F$1:$AQ$70,38,0)/(1+VLOOKUP($A65,Actions!$F$1:$AQ$70,21,0)-VLOOKUP($A65,Actions!$F$1:$AQ$70,20,0)),0)</f>
        <v>0</v>
      </c>
      <c r="AK65" s="1353">
        <f>IF(AI65&lt;&gt;"",IF(VLOOKUP($A65,Actions!$F$1:$AQ$70,34,0)="Commune",(VLOOKUP($A65,Actions!$F$1:$AQ$70,24,0)-VLOOKUP($A65,Actions!$F$1:$AQ$70,26,0))/(1+VLOOKUP($A65,Actions!$F$1:$AQ$70,21,0)-VLOOKUP($A65,Actions!$F$1:$AQ$70,20,0)),0),0)</f>
        <v>0</v>
      </c>
      <c r="AL65" s="1353">
        <f>IF(AE65="",AH65,IF(AND(AI65="",AE65&lt;&gt;""),VLOOKUP($A65,Actions!$F$1:$AQ$70,31,0),0))</f>
        <v>0</v>
      </c>
      <c r="AM65" s="1354" t="str">
        <f>IF(OR(Actions!$Y59=AM$7,AND(Actions!$Y59&lt;=AM$7,Actions!$Z59&gt;=AM$7)),Actions!$AA59,"")</f>
        <v/>
      </c>
      <c r="AN65" s="1353">
        <f>IF(AM65&lt;&gt;"",VLOOKUP($A65,Actions!$F$1:$AQ$70,38,0)/(1+VLOOKUP($A65,Actions!$F$1:$AQ$70,21,0)-VLOOKUP($A65,Actions!$F$1:$AQ$70,20,0)),0)</f>
        <v>0</v>
      </c>
      <c r="AO65" s="1353">
        <f>IF(AM65&lt;&gt;"",IF(VLOOKUP($A65,Actions!$F$1:$AQ$70,34,0)="Commune",(VLOOKUP($A65,Actions!$F$1:$AQ$70,24,0)-VLOOKUP($A65,Actions!$F$1:$AQ$70,26,0))/(1+VLOOKUP($A65,Actions!$F$1:$AQ$70,21,0)-VLOOKUP($A65,Actions!$F$1:$AQ$70,20,0)),0),0)</f>
        <v>0</v>
      </c>
      <c r="AP65" s="1353">
        <f>IF(AI65="",AL65,IF(AND(AM65="",AI65&lt;&gt;""),VLOOKUP($A65,Actions!$F$1:$AQ$70,31,0),0))</f>
        <v>0</v>
      </c>
      <c r="AQ65" s="1354" t="str">
        <f>IF(OR(Actions!$Y59=AQ$7,AND(Actions!$Y59&lt;=AQ$7,Actions!$Z59&gt;=AQ$7)),Actions!$AA59,"")</f>
        <v/>
      </c>
      <c r="AR65" s="1353">
        <f>IF(AQ65&lt;&gt;"",VLOOKUP($A65,Actions!$F$1:$AQ$70,38,0)/(1+VLOOKUP($A65,Actions!$F$1:$AQ$70,21,0)-VLOOKUP($A65,Actions!$F$1:$AQ$70,20,0)),0)</f>
        <v>0</v>
      </c>
      <c r="AS65" s="1353">
        <f>IF(AQ65&lt;&gt;"",IF(VLOOKUP($A65,Actions!$F$1:$AQ$70,34,0)="Commune",(VLOOKUP($A65,Actions!$F$1:$AQ$70,24,0)-VLOOKUP($A65,Actions!$F$1:$AQ$70,26,0))/(1+VLOOKUP($A65,Actions!$F$1:$AQ$70,21,0)-VLOOKUP($A65,Actions!$F$1:$AQ$70,20,0)),0),0)</f>
        <v>0</v>
      </c>
      <c r="AT65" s="1353">
        <f>IF(AM65="",AP65,IF(AND(AQ65="",AM65&lt;&gt;""),VLOOKUP($A65,Actions!$F$1:$AQ$70,31,0),0))</f>
        <v>0</v>
      </c>
      <c r="AU65" s="1354" t="str">
        <f>IF(OR(Actions!$Y59=AU$7,AND(Actions!$Y59&lt;=AU$7,Actions!$Z59&gt;=AU$7)),Actions!$AA59,"")</f>
        <v/>
      </c>
      <c r="AV65" s="1353">
        <f>IF(AU65&lt;&gt;"",VLOOKUP($A65,Actions!$F$1:$AQ$70,38,0)/(1+VLOOKUP($A65,Actions!$F$1:$AQ$70,21,0)-VLOOKUP($A65,Actions!$F$1:$AQ$70,20,0)),0)</f>
        <v>0</v>
      </c>
      <c r="AW65" s="1353">
        <f>IF(AU65&lt;&gt;"",IF(VLOOKUP($A65,Actions!$F$1:$AQ$70,34,0)="Commune",(VLOOKUP($A65,Actions!$F$1:$AQ$70,24,0)-VLOOKUP($A65,Actions!$F$1:$AQ$70,26,0))/(1+VLOOKUP($A65,Actions!$F$1:$AQ$70,21,0)-VLOOKUP($A65,Actions!$F$1:$AQ$70,20,0)),0),0)</f>
        <v>0</v>
      </c>
      <c r="AX65" s="1353">
        <f>IF(AQ65="",AT65,IF(AND(AU65="",AQ65&lt;&gt;""),VLOOKUP($A65,Actions!$F$1:$AQ$70,31,0),0))</f>
        <v>0</v>
      </c>
      <c r="AY65" s="1354" t="str">
        <f>IF(OR(Actions!$Y59=AY$7,AND(Actions!$Y59&lt;=AY$7,Actions!$Z59&gt;=AY$7)),Actions!$AA59,"")</f>
        <v/>
      </c>
      <c r="AZ65" s="1353">
        <f>IF(AY65&lt;&gt;"",VLOOKUP($A65,Actions!$F$1:$AQ$70,38,0)/(1+VLOOKUP($A65,Actions!$F$1:$AQ$70,21,0)-VLOOKUP($A65,Actions!$F$1:$AQ$70,20,0)),0)</f>
        <v>0</v>
      </c>
      <c r="BA65" s="1353">
        <f>IF(AY65&lt;&gt;"",IF(VLOOKUP($A65,Actions!$F$1:$AQ$70,34,0)="Commune",(VLOOKUP($A65,Actions!$F$1:$AQ$70,24,0)-VLOOKUP($A65,Actions!$F$1:$AQ$70,26,0))/(1+VLOOKUP($A65,Actions!$F$1:$AQ$70,21,0)-VLOOKUP($A65,Actions!$F$1:$AQ$70,20,0)),0),0)</f>
        <v>0</v>
      </c>
      <c r="BB65" s="1353">
        <f>IF(AU65="",AX65,IF(AND(AY65="",AU65&lt;&gt;""),VLOOKUP($A65,Actions!$F$1:$AQ$70,31,0),0))</f>
        <v>0</v>
      </c>
      <c r="BC65" s="1354" t="str">
        <f>IF(OR(Actions!$Y59=BC$7,AND(Actions!$Y59&lt;=BC$7,Actions!$Z59&gt;=BC$7)),Actions!$AA59,"")</f>
        <v/>
      </c>
      <c r="BD65" s="1353">
        <f>IF(BC65&lt;&gt;"",VLOOKUP($A65,Actions!$F$1:$AQ$70,38,0)/(1+VLOOKUP($A65,Actions!$F$1:$AQ$70,21,0)-VLOOKUP($A65,Actions!$F$1:$AQ$70,20,0)),0)</f>
        <v>0</v>
      </c>
      <c r="BE65" s="1353">
        <f>IF(BC65&lt;&gt;"",IF(VLOOKUP($A65,Actions!$F$1:$AQ$70,34,0)="Commune",(VLOOKUP($A65,Actions!$F$1:$AQ$70,24,0)-VLOOKUP($A65,Actions!$F$1:$AQ$70,26,0))/(1+VLOOKUP($A65,Actions!$F$1:$AQ$70,21,0)-VLOOKUP($A65,Actions!$F$1:$AQ$70,20,0)),0),0)</f>
        <v>0</v>
      </c>
      <c r="BF65" s="1353">
        <f>IF(AY65="",BB65,IF(AND(BC65="",AY65&lt;&gt;""),VLOOKUP($A65,Actions!$F$1:$AQ$70,31,0),0))</f>
        <v>0</v>
      </c>
      <c r="BG65" s="1355">
        <f t="shared" si="0"/>
        <v>0</v>
      </c>
      <c r="BJ65" s="233"/>
      <c r="BK65" s="233"/>
      <c r="BL65" s="233"/>
      <c r="BM65" s="233"/>
      <c r="BN65" s="233"/>
      <c r="BO65" s="233"/>
    </row>
    <row r="66" spans="1:67">
      <c r="A66" s="1349">
        <f>Actions!F60</f>
        <v>59</v>
      </c>
      <c r="B66" s="1352">
        <f>Actions!G60</f>
        <v>0</v>
      </c>
      <c r="C66" s="1353" t="str">
        <f>IF(OR(AND(Actions!Y60&gt;0,Actions!Y60&lt;=$C$7,Actions!Z60&gt;=$C$7),AND(Actions!Y60&gt;0,Actions!Y60&lt;=$C$7,Actions!Z60&lt;Actions!Y60),AND(Actions!Y60=0,Actions!Z60&gt;=$C$7)),Actions!$AA60,"")</f>
        <v/>
      </c>
      <c r="D66" s="1353">
        <f>IF(C66&lt;&gt;"",VLOOKUP($A66,Actions!$F$1:$AQ$70,38,0)/(1+VLOOKUP($A66,Actions!$F$1:$AQ$70,21,0)-VLOOKUP($A66,Actions!$F$1:$AQ$70,20,0)),0)</f>
        <v>0</v>
      </c>
      <c r="E66" s="1353">
        <f>IF(C66&lt;&gt;"",IF(VLOOKUP($A66,Actions!$F$1:$AQ$70,34,0)="Commune",(VLOOKUP($A66,Actions!$F$1:$AQ$70,24,0)-VLOOKUP($A66,Actions!$F$1:$AQ$70,26,0))/(1+VLOOKUP($A66,Actions!$F$1:$AQ$70,21,0)-VLOOKUP($A66,Actions!$F$1:$AQ$70,20,0)),0),0)</f>
        <v>0</v>
      </c>
      <c r="F66" s="1353">
        <v>0</v>
      </c>
      <c r="G66" s="1354" t="str">
        <f>IF(OR(Actions!$Y60=G$7,AND(Actions!$Y60&lt;=G$7,Actions!$Z60&gt;=G$7)),Actions!$AA60,"")</f>
        <v/>
      </c>
      <c r="H66" s="1353">
        <f>IF(G66&lt;&gt;"",VLOOKUP($A66,Actions!$F$1:$AQ$70,38,0)/(1+VLOOKUP($A66,Actions!$F$1:$AQ$70,21,0)-VLOOKUP($A66,Actions!$F$1:$AQ$70,20,0)),0)</f>
        <v>0</v>
      </c>
      <c r="I66" s="1353">
        <f>IF(G66&lt;&gt;"",IF(VLOOKUP($A66,Actions!$F$1:$AQ$70,34,0)="Commune",(VLOOKUP($A66,Actions!$F$1:$AQ$70,24,0)-VLOOKUP($A66,Actions!$F$1:$AQ$70,26,0))/(1+VLOOKUP($A66,Actions!$F$1:$AQ$70,21,0)-VLOOKUP($A66,Actions!$F$1:$AQ$70,20,0)),0),0)</f>
        <v>0</v>
      </c>
      <c r="J66" s="1353">
        <f>IF(C66="",F66,IF(AND(G66="",C66&lt;&gt;""),VLOOKUP($A66,Actions!$F$1:$AQ$70,31,0),0))</f>
        <v>0</v>
      </c>
      <c r="K66" s="1354" t="str">
        <f>IF(OR(Actions!$Y60=K$7,AND(Actions!$Y60&lt;=K$7,Actions!$Z60&gt;=K$7)),Actions!$AA60,"")</f>
        <v/>
      </c>
      <c r="L66" s="1353">
        <f>IF(K66&lt;&gt;"",VLOOKUP($A66,Actions!$F$1:$AQ$70,38,0)/(1+VLOOKUP($A66,Actions!$F$1:$AQ$70,21,0)-VLOOKUP($A66,Actions!$F$1:$AQ$70,20,0)),0)</f>
        <v>0</v>
      </c>
      <c r="M66" s="1353">
        <f>IF(K66&lt;&gt;"",IF(VLOOKUP($A66,Actions!$F$1:$AQ$70,34,0)="Commune",(VLOOKUP($A66,Actions!$F$1:$AQ$70,24,0)-VLOOKUP($A66,Actions!$F$1:$AQ$70,26,0))/(1+VLOOKUP($A66,Actions!$F$1:$AQ$70,21,0)-VLOOKUP($A66,Actions!$F$1:$AQ$70,20,0)),0),0)</f>
        <v>0</v>
      </c>
      <c r="N66" s="1353">
        <f>IF(G66="",J66,IF(AND(K66="",G66&lt;&gt;""),VLOOKUP($A66,Actions!$F$1:$AQ$70,31,0),0))</f>
        <v>0</v>
      </c>
      <c r="O66" s="1354" t="str">
        <f>IF(OR(Actions!$Y60=O$7,AND(Actions!$Y60&lt;=O$7,Actions!$Z60&gt;=O$7)),Actions!$AA60,"")</f>
        <v/>
      </c>
      <c r="P66" s="1353">
        <f>IF(O66&lt;&gt;"",VLOOKUP($A66,Actions!$F$1:$AQ$70,38,0)/(1+VLOOKUP($A66,Actions!$F$1:$AQ$70,21,0)-VLOOKUP($A66,Actions!$F$1:$AQ$70,20,0)),0)</f>
        <v>0</v>
      </c>
      <c r="Q66" s="1353">
        <f>IF(O66&lt;&gt;"",IF(VLOOKUP($A66,Actions!$F$1:$AQ$70,34,0)="Commune",(VLOOKUP($A66,Actions!$F$1:$AQ$70,24,0)-VLOOKUP($A66,Actions!$F$1:$AQ$70,26,0))/(1+VLOOKUP($A66,Actions!$F$1:$AQ$70,21,0)-VLOOKUP($A66,Actions!$F$1:$AQ$70,20,0)),0),0)</f>
        <v>0</v>
      </c>
      <c r="R66" s="1353">
        <f>IF(K66="",N66,IF(AND(O66="",K66&lt;&gt;""),VLOOKUP($A66,Actions!$F$1:$AQ$70,31,0),0))</f>
        <v>0</v>
      </c>
      <c r="S66" s="1354" t="str">
        <f>IF(OR(Actions!$Y60=S$7,AND(Actions!$Y60&lt;=S$7,Actions!$Z60&gt;=S$7)),Actions!$AA60,"")</f>
        <v/>
      </c>
      <c r="T66" s="1353">
        <f>IF(S66&lt;&gt;"",VLOOKUP($A66,Actions!$F$1:$AQ$70,38,0)/(1+VLOOKUP($A66,Actions!$F$1:$AQ$70,21,0)-VLOOKUP($A66,Actions!$F$1:$AQ$70,20,0)),0)</f>
        <v>0</v>
      </c>
      <c r="U66" s="1353">
        <f>IF(S66&lt;&gt;"",IF(VLOOKUP($A66,Actions!$F$1:$AQ$70,34,0)="Commune",(VLOOKUP($A66,Actions!$F$1:$AQ$70,24,0)-VLOOKUP($A66,Actions!$F$1:$AQ$70,26,0))/(1+VLOOKUP($A66,Actions!$F$1:$AQ$70,21,0)-VLOOKUP($A66,Actions!$F$1:$AQ$70,20,0)),0),0)</f>
        <v>0</v>
      </c>
      <c r="V66" s="1353">
        <f>IF(O66="",R66,IF(AND(S66="",O66&lt;&gt;""),VLOOKUP($A66,Actions!$F$1:$AQ$70,31,0),0))</f>
        <v>0</v>
      </c>
      <c r="W66" s="1354" t="str">
        <f>IF(OR(Actions!$Y60=W$7,AND(Actions!$Y60&lt;=W$7,Actions!$Z60&gt;=W$7)),Actions!$AA60,"")</f>
        <v/>
      </c>
      <c r="X66" s="1353">
        <f>IF(W66&lt;&gt;"",VLOOKUP($A66,Actions!$F$1:$AQ$70,38,0)/(1+VLOOKUP($A66,Actions!$F$1:$AQ$70,21,0)-VLOOKUP($A66,Actions!$F$1:$AQ$70,20,0)),0)</f>
        <v>0</v>
      </c>
      <c r="Y66" s="1353">
        <f>IF(W66&lt;&gt;"",IF(VLOOKUP($A66,Actions!$F$1:$AQ$70,34,0)="Commune",(VLOOKUP($A66,Actions!$F$1:$AQ$70,24,0)-VLOOKUP($A66,Actions!$F$1:$AQ$70,26,0))/(1+VLOOKUP($A66,Actions!$F$1:$AQ$70,21,0)-VLOOKUP($A66,Actions!$F$1:$AQ$70,20,0)),0),0)</f>
        <v>0</v>
      </c>
      <c r="Z66" s="1353">
        <f>IF(S66="",V66,IF(AND(W66="",S66&lt;&gt;""),VLOOKUP($A66,Actions!$F$1:$AQ$70,31,0),0))</f>
        <v>0</v>
      </c>
      <c r="AA66" s="1354" t="str">
        <f>IF(OR(Actions!$Y60=AA$7,AND(Actions!$Y60&lt;=AA$7,Actions!$Z60&gt;=AA$7)),Actions!$AA60,"")</f>
        <v/>
      </c>
      <c r="AB66" s="1353">
        <f>IF(AA66&lt;&gt;"",VLOOKUP($A66,Actions!$F$1:$AQ$70,38,0)/(1+VLOOKUP($A66,Actions!$F$1:$AQ$70,21,0)-VLOOKUP($A66,Actions!$F$1:$AQ$70,20,0)),0)</f>
        <v>0</v>
      </c>
      <c r="AC66" s="1353">
        <f>IF(AA66&lt;&gt;"",IF(VLOOKUP($A66,Actions!$F$1:$AQ$70,34,0)="Commune",(VLOOKUP($A66,Actions!$F$1:$AQ$70,24,0)-VLOOKUP($A66,Actions!$F$1:$AQ$70,26,0))/(1+VLOOKUP($A66,Actions!$F$1:$AQ$70,21,0)-VLOOKUP($A66,Actions!$F$1:$AQ$70,20,0)),0),0)</f>
        <v>0</v>
      </c>
      <c r="AD66" s="1353">
        <f>IF(W66="",Z66,IF(AND(AA66="",W66&lt;&gt;""),VLOOKUP($A66,Actions!$F$1:$AQ$70,31,0),0))</f>
        <v>0</v>
      </c>
      <c r="AE66" s="1354" t="str">
        <f>IF(OR(Actions!$Y60=AE$7,AND(Actions!$Y60&lt;=AE$7,Actions!$Z60&gt;=AE$7)),Actions!$AA60,"")</f>
        <v/>
      </c>
      <c r="AF66" s="1353">
        <f>IF(AE66&lt;&gt;"",VLOOKUP($A66,Actions!$F$1:$AQ$70,38,0)/(1+VLOOKUP($A66,Actions!$F$1:$AQ$70,21,0)-VLOOKUP($A66,Actions!$F$1:$AQ$70,20,0)),0)</f>
        <v>0</v>
      </c>
      <c r="AG66" s="1353">
        <f>IF(AE66&lt;&gt;"",IF(VLOOKUP($A66,Actions!$F$1:$AQ$70,34,0)="Commune",(VLOOKUP($A66,Actions!$F$1:$AQ$70,24,0)-VLOOKUP($A66,Actions!$F$1:$AQ$70,26,0))/(1+VLOOKUP($A66,Actions!$F$1:$AQ$70,21,0)-VLOOKUP($A66,Actions!$F$1:$AQ$70,20,0)),0),0)</f>
        <v>0</v>
      </c>
      <c r="AH66" s="1353">
        <f>IF(AA66="",AD66,IF(AND(AE66="",AA66&lt;&gt;""),VLOOKUP($A66,Actions!$F$1:$AQ$70,31,0),0))</f>
        <v>0</v>
      </c>
      <c r="AI66" s="1354" t="str">
        <f>IF(OR(Actions!$Y60=AI$7,AND(Actions!$Y60&lt;=AI$7,Actions!$Z60&gt;=AI$7)),Actions!$AA60,"")</f>
        <v/>
      </c>
      <c r="AJ66" s="1353">
        <f>IF(AI66&lt;&gt;"",VLOOKUP($A66,Actions!$F$1:$AQ$70,38,0)/(1+VLOOKUP($A66,Actions!$F$1:$AQ$70,21,0)-VLOOKUP($A66,Actions!$F$1:$AQ$70,20,0)),0)</f>
        <v>0</v>
      </c>
      <c r="AK66" s="1353">
        <f>IF(AI66&lt;&gt;"",IF(VLOOKUP($A66,Actions!$F$1:$AQ$70,34,0)="Commune",(VLOOKUP($A66,Actions!$F$1:$AQ$70,24,0)-VLOOKUP($A66,Actions!$F$1:$AQ$70,26,0))/(1+VLOOKUP($A66,Actions!$F$1:$AQ$70,21,0)-VLOOKUP($A66,Actions!$F$1:$AQ$70,20,0)),0),0)</f>
        <v>0</v>
      </c>
      <c r="AL66" s="1353">
        <f>IF(AE66="",AH66,IF(AND(AI66="",AE66&lt;&gt;""),VLOOKUP($A66,Actions!$F$1:$AQ$70,31,0),0))</f>
        <v>0</v>
      </c>
      <c r="AM66" s="1354" t="str">
        <f>IF(OR(Actions!$Y60=AM$7,AND(Actions!$Y60&lt;=AM$7,Actions!$Z60&gt;=AM$7)),Actions!$AA60,"")</f>
        <v/>
      </c>
      <c r="AN66" s="1353">
        <f>IF(AM66&lt;&gt;"",VLOOKUP($A66,Actions!$F$1:$AQ$70,38,0)/(1+VLOOKUP($A66,Actions!$F$1:$AQ$70,21,0)-VLOOKUP($A66,Actions!$F$1:$AQ$70,20,0)),0)</f>
        <v>0</v>
      </c>
      <c r="AO66" s="1353">
        <f>IF(AM66&lt;&gt;"",IF(VLOOKUP($A66,Actions!$F$1:$AQ$70,34,0)="Commune",(VLOOKUP($A66,Actions!$F$1:$AQ$70,24,0)-VLOOKUP($A66,Actions!$F$1:$AQ$70,26,0))/(1+VLOOKUP($A66,Actions!$F$1:$AQ$70,21,0)-VLOOKUP($A66,Actions!$F$1:$AQ$70,20,0)),0),0)</f>
        <v>0</v>
      </c>
      <c r="AP66" s="1353">
        <f>IF(AI66="",AL66,IF(AND(AM66="",AI66&lt;&gt;""),VLOOKUP($A66,Actions!$F$1:$AQ$70,31,0),0))</f>
        <v>0</v>
      </c>
      <c r="AQ66" s="1354" t="str">
        <f>IF(OR(Actions!$Y60=AQ$7,AND(Actions!$Y60&lt;=AQ$7,Actions!$Z60&gt;=AQ$7)),Actions!$AA60,"")</f>
        <v/>
      </c>
      <c r="AR66" s="1353">
        <f>IF(AQ66&lt;&gt;"",VLOOKUP($A66,Actions!$F$1:$AQ$70,38,0)/(1+VLOOKUP($A66,Actions!$F$1:$AQ$70,21,0)-VLOOKUP($A66,Actions!$F$1:$AQ$70,20,0)),0)</f>
        <v>0</v>
      </c>
      <c r="AS66" s="1353">
        <f>IF(AQ66&lt;&gt;"",IF(VLOOKUP($A66,Actions!$F$1:$AQ$70,34,0)="Commune",(VLOOKUP($A66,Actions!$F$1:$AQ$70,24,0)-VLOOKUP($A66,Actions!$F$1:$AQ$70,26,0))/(1+VLOOKUP($A66,Actions!$F$1:$AQ$70,21,0)-VLOOKUP($A66,Actions!$F$1:$AQ$70,20,0)),0),0)</f>
        <v>0</v>
      </c>
      <c r="AT66" s="1353">
        <f>IF(AM66="",AP66,IF(AND(AQ66="",AM66&lt;&gt;""),VLOOKUP($A66,Actions!$F$1:$AQ$70,31,0),0))</f>
        <v>0</v>
      </c>
      <c r="AU66" s="1354" t="str">
        <f>IF(OR(Actions!$Y60=AU$7,AND(Actions!$Y60&lt;=AU$7,Actions!$Z60&gt;=AU$7)),Actions!$AA60,"")</f>
        <v/>
      </c>
      <c r="AV66" s="1353">
        <f>IF(AU66&lt;&gt;"",VLOOKUP($A66,Actions!$F$1:$AQ$70,38,0)/(1+VLOOKUP($A66,Actions!$F$1:$AQ$70,21,0)-VLOOKUP($A66,Actions!$F$1:$AQ$70,20,0)),0)</f>
        <v>0</v>
      </c>
      <c r="AW66" s="1353">
        <f>IF(AU66&lt;&gt;"",IF(VLOOKUP($A66,Actions!$F$1:$AQ$70,34,0)="Commune",(VLOOKUP($A66,Actions!$F$1:$AQ$70,24,0)-VLOOKUP($A66,Actions!$F$1:$AQ$70,26,0))/(1+VLOOKUP($A66,Actions!$F$1:$AQ$70,21,0)-VLOOKUP($A66,Actions!$F$1:$AQ$70,20,0)),0),0)</f>
        <v>0</v>
      </c>
      <c r="AX66" s="1353">
        <f>IF(AQ66="",AT66,IF(AND(AU66="",AQ66&lt;&gt;""),VLOOKUP($A66,Actions!$F$1:$AQ$70,31,0),0))</f>
        <v>0</v>
      </c>
      <c r="AY66" s="1354" t="str">
        <f>IF(OR(Actions!$Y60=AY$7,AND(Actions!$Y60&lt;=AY$7,Actions!$Z60&gt;=AY$7)),Actions!$AA60,"")</f>
        <v/>
      </c>
      <c r="AZ66" s="1353">
        <f>IF(AY66&lt;&gt;"",VLOOKUP($A66,Actions!$F$1:$AQ$70,38,0)/(1+VLOOKUP($A66,Actions!$F$1:$AQ$70,21,0)-VLOOKUP($A66,Actions!$F$1:$AQ$70,20,0)),0)</f>
        <v>0</v>
      </c>
      <c r="BA66" s="1353">
        <f>IF(AY66&lt;&gt;"",IF(VLOOKUP($A66,Actions!$F$1:$AQ$70,34,0)="Commune",(VLOOKUP($A66,Actions!$F$1:$AQ$70,24,0)-VLOOKUP($A66,Actions!$F$1:$AQ$70,26,0))/(1+VLOOKUP($A66,Actions!$F$1:$AQ$70,21,0)-VLOOKUP($A66,Actions!$F$1:$AQ$70,20,0)),0),0)</f>
        <v>0</v>
      </c>
      <c r="BB66" s="1353">
        <f>IF(AU66="",AX66,IF(AND(AY66="",AU66&lt;&gt;""),VLOOKUP($A66,Actions!$F$1:$AQ$70,31,0),0))</f>
        <v>0</v>
      </c>
      <c r="BC66" s="1354" t="str">
        <f>IF(OR(Actions!$Y60=BC$7,AND(Actions!$Y60&lt;=BC$7,Actions!$Z60&gt;=BC$7)),Actions!$AA60,"")</f>
        <v/>
      </c>
      <c r="BD66" s="1353">
        <f>IF(BC66&lt;&gt;"",VLOOKUP($A66,Actions!$F$1:$AQ$70,38,0)/(1+VLOOKUP($A66,Actions!$F$1:$AQ$70,21,0)-VLOOKUP($A66,Actions!$F$1:$AQ$70,20,0)),0)</f>
        <v>0</v>
      </c>
      <c r="BE66" s="1353">
        <f>IF(BC66&lt;&gt;"",IF(VLOOKUP($A66,Actions!$F$1:$AQ$70,34,0)="Commune",(VLOOKUP($A66,Actions!$F$1:$AQ$70,24,0)-VLOOKUP($A66,Actions!$F$1:$AQ$70,26,0))/(1+VLOOKUP($A66,Actions!$F$1:$AQ$70,21,0)-VLOOKUP($A66,Actions!$F$1:$AQ$70,20,0)),0),0)</f>
        <v>0</v>
      </c>
      <c r="BF66" s="1353">
        <f>IF(AY66="",BB66,IF(AND(BC66="",AY66&lt;&gt;""),VLOOKUP($A66,Actions!$F$1:$AQ$70,31,0),0))</f>
        <v>0</v>
      </c>
      <c r="BG66" s="1355">
        <f t="shared" si="0"/>
        <v>0</v>
      </c>
      <c r="BJ66" s="233"/>
      <c r="BK66" s="233"/>
      <c r="BL66" s="233"/>
      <c r="BM66" s="233"/>
      <c r="BN66" s="233"/>
      <c r="BO66" s="233"/>
    </row>
    <row r="67" spans="1:67">
      <c r="A67" s="1349">
        <f>Actions!F61</f>
        <v>60</v>
      </c>
      <c r="B67" s="1352">
        <f>Actions!G61</f>
        <v>0</v>
      </c>
      <c r="C67" s="1353" t="str">
        <f>IF(OR(AND(Actions!Y61&gt;0,Actions!Y61&lt;=$C$7,Actions!Z61&gt;=$C$7),AND(Actions!Y61&gt;0,Actions!Y61&lt;=$C$7,Actions!Z61&lt;Actions!Y61),AND(Actions!Y61=0,Actions!Z61&gt;=$C$7)),Actions!$AA61,"")</f>
        <v/>
      </c>
      <c r="D67" s="1353">
        <f>IF(C67&lt;&gt;"",VLOOKUP($A67,Actions!$F$1:$AQ$70,38,0)/(1+VLOOKUP($A67,Actions!$F$1:$AQ$70,21,0)-VLOOKUP($A67,Actions!$F$1:$AQ$70,20,0)),0)</f>
        <v>0</v>
      </c>
      <c r="E67" s="1353">
        <f>IF(C67&lt;&gt;"",IF(VLOOKUP($A67,Actions!$F$1:$AQ$70,34,0)="Commune",(VLOOKUP($A67,Actions!$F$1:$AQ$70,24,0)-VLOOKUP($A67,Actions!$F$1:$AQ$70,26,0))/(1+VLOOKUP($A67,Actions!$F$1:$AQ$70,21,0)-VLOOKUP($A67,Actions!$F$1:$AQ$70,20,0)),0),0)</f>
        <v>0</v>
      </c>
      <c r="F67" s="1353">
        <v>0</v>
      </c>
      <c r="G67" s="1354" t="str">
        <f>IF(OR(Actions!$Y61=G$7,AND(Actions!$Y61&lt;=G$7,Actions!$Z61&gt;=G$7)),Actions!$AA61,"")</f>
        <v/>
      </c>
      <c r="H67" s="1353">
        <f>IF(G67&lt;&gt;"",VLOOKUP($A67,Actions!$F$1:$AQ$70,38,0)/(1+VLOOKUP($A67,Actions!$F$1:$AQ$70,21,0)-VLOOKUP($A67,Actions!$F$1:$AQ$70,20,0)),0)</f>
        <v>0</v>
      </c>
      <c r="I67" s="1353">
        <f>IF(G67&lt;&gt;"",IF(VLOOKUP($A67,Actions!$F$1:$AQ$70,34,0)="Commune",(VLOOKUP($A67,Actions!$F$1:$AQ$70,24,0)-VLOOKUP($A67,Actions!$F$1:$AQ$70,26,0))/(1+VLOOKUP($A67,Actions!$F$1:$AQ$70,21,0)-VLOOKUP($A67,Actions!$F$1:$AQ$70,20,0)),0),0)</f>
        <v>0</v>
      </c>
      <c r="J67" s="1353">
        <f>IF(C67="",F67,IF(AND(G67="",C67&lt;&gt;""),VLOOKUP($A67,Actions!$F$1:$AQ$70,31,0),0))</f>
        <v>0</v>
      </c>
      <c r="K67" s="1354" t="str">
        <f>IF(OR(Actions!$Y61=K$7,AND(Actions!$Y61&lt;=K$7,Actions!$Z61&gt;=K$7)),Actions!$AA61,"")</f>
        <v/>
      </c>
      <c r="L67" s="1353">
        <f>IF(K67&lt;&gt;"",VLOOKUP($A67,Actions!$F$1:$AQ$70,38,0)/(1+VLOOKUP($A67,Actions!$F$1:$AQ$70,21,0)-VLOOKUP($A67,Actions!$F$1:$AQ$70,20,0)),0)</f>
        <v>0</v>
      </c>
      <c r="M67" s="1353">
        <f>IF(K67&lt;&gt;"",IF(VLOOKUP($A67,Actions!$F$1:$AQ$70,34,0)="Commune",(VLOOKUP($A67,Actions!$F$1:$AQ$70,24,0)-VLOOKUP($A67,Actions!$F$1:$AQ$70,26,0))/(1+VLOOKUP($A67,Actions!$F$1:$AQ$70,21,0)-VLOOKUP($A67,Actions!$F$1:$AQ$70,20,0)),0),0)</f>
        <v>0</v>
      </c>
      <c r="N67" s="1353">
        <f>IF(G67="",J67,IF(AND(K67="",G67&lt;&gt;""),VLOOKUP($A67,Actions!$F$1:$AQ$70,31,0),0))</f>
        <v>0</v>
      </c>
      <c r="O67" s="1354" t="str">
        <f>IF(OR(Actions!$Y61=O$7,AND(Actions!$Y61&lt;=O$7,Actions!$Z61&gt;=O$7)),Actions!$AA61,"")</f>
        <v/>
      </c>
      <c r="P67" s="1353">
        <f>IF(O67&lt;&gt;"",VLOOKUP($A67,Actions!$F$1:$AQ$70,38,0)/(1+VLOOKUP($A67,Actions!$F$1:$AQ$70,21,0)-VLOOKUP($A67,Actions!$F$1:$AQ$70,20,0)),0)</f>
        <v>0</v>
      </c>
      <c r="Q67" s="1353">
        <f>IF(O67&lt;&gt;"",IF(VLOOKUP($A67,Actions!$F$1:$AQ$70,34,0)="Commune",(VLOOKUP($A67,Actions!$F$1:$AQ$70,24,0)-VLOOKUP($A67,Actions!$F$1:$AQ$70,26,0))/(1+VLOOKUP($A67,Actions!$F$1:$AQ$70,21,0)-VLOOKUP($A67,Actions!$F$1:$AQ$70,20,0)),0),0)</f>
        <v>0</v>
      </c>
      <c r="R67" s="1353">
        <f>IF(K67="",N67,IF(AND(O67="",K67&lt;&gt;""),VLOOKUP($A67,Actions!$F$1:$AQ$70,31,0),0))</f>
        <v>0</v>
      </c>
      <c r="S67" s="1354" t="str">
        <f>IF(OR(Actions!$Y61=S$7,AND(Actions!$Y61&lt;=S$7,Actions!$Z61&gt;=S$7)),Actions!$AA61,"")</f>
        <v/>
      </c>
      <c r="T67" s="1353">
        <f>IF(S67&lt;&gt;"",VLOOKUP($A67,Actions!$F$1:$AQ$70,38,0)/(1+VLOOKUP($A67,Actions!$F$1:$AQ$70,21,0)-VLOOKUP($A67,Actions!$F$1:$AQ$70,20,0)),0)</f>
        <v>0</v>
      </c>
      <c r="U67" s="1353">
        <f>IF(S67&lt;&gt;"",IF(VLOOKUP($A67,Actions!$F$1:$AQ$70,34,0)="Commune",(VLOOKUP($A67,Actions!$F$1:$AQ$70,24,0)-VLOOKUP($A67,Actions!$F$1:$AQ$70,26,0))/(1+VLOOKUP($A67,Actions!$F$1:$AQ$70,21,0)-VLOOKUP($A67,Actions!$F$1:$AQ$70,20,0)),0),0)</f>
        <v>0</v>
      </c>
      <c r="V67" s="1353">
        <f>IF(O67="",R67,IF(AND(S67="",O67&lt;&gt;""),VLOOKUP($A67,Actions!$F$1:$AQ$70,31,0),0))</f>
        <v>0</v>
      </c>
      <c r="W67" s="1354" t="str">
        <f>IF(OR(Actions!$Y61=W$7,AND(Actions!$Y61&lt;=W$7,Actions!$Z61&gt;=W$7)),Actions!$AA61,"")</f>
        <v/>
      </c>
      <c r="X67" s="1353">
        <f>IF(W67&lt;&gt;"",VLOOKUP($A67,Actions!$F$1:$AQ$70,38,0)/(1+VLOOKUP($A67,Actions!$F$1:$AQ$70,21,0)-VLOOKUP($A67,Actions!$F$1:$AQ$70,20,0)),0)</f>
        <v>0</v>
      </c>
      <c r="Y67" s="1353">
        <f>IF(W67&lt;&gt;"",IF(VLOOKUP($A67,Actions!$F$1:$AQ$70,34,0)="Commune",(VLOOKUP($A67,Actions!$F$1:$AQ$70,24,0)-VLOOKUP($A67,Actions!$F$1:$AQ$70,26,0))/(1+VLOOKUP($A67,Actions!$F$1:$AQ$70,21,0)-VLOOKUP($A67,Actions!$F$1:$AQ$70,20,0)),0),0)</f>
        <v>0</v>
      </c>
      <c r="Z67" s="1353">
        <f>IF(S67="",V67,IF(AND(W67="",S67&lt;&gt;""),VLOOKUP($A67,Actions!$F$1:$AQ$70,31,0),0))</f>
        <v>0</v>
      </c>
      <c r="AA67" s="1354" t="str">
        <f>IF(OR(Actions!$Y61=AA$7,AND(Actions!$Y61&lt;=AA$7,Actions!$Z61&gt;=AA$7)),Actions!$AA61,"")</f>
        <v/>
      </c>
      <c r="AB67" s="1353">
        <f>IF(AA67&lt;&gt;"",VLOOKUP($A67,Actions!$F$1:$AQ$70,38,0)/(1+VLOOKUP($A67,Actions!$F$1:$AQ$70,21,0)-VLOOKUP($A67,Actions!$F$1:$AQ$70,20,0)),0)</f>
        <v>0</v>
      </c>
      <c r="AC67" s="1353">
        <f>IF(AA67&lt;&gt;"",IF(VLOOKUP($A67,Actions!$F$1:$AQ$70,34,0)="Commune",(VLOOKUP($A67,Actions!$F$1:$AQ$70,24,0)-VLOOKUP($A67,Actions!$F$1:$AQ$70,26,0))/(1+VLOOKUP($A67,Actions!$F$1:$AQ$70,21,0)-VLOOKUP($A67,Actions!$F$1:$AQ$70,20,0)),0),0)</f>
        <v>0</v>
      </c>
      <c r="AD67" s="1353">
        <f>IF(W67="",Z67,IF(AND(AA67="",W67&lt;&gt;""),VLOOKUP($A67,Actions!$F$1:$AQ$70,31,0),0))</f>
        <v>0</v>
      </c>
      <c r="AE67" s="1354" t="str">
        <f>IF(OR(Actions!$Y61=AE$7,AND(Actions!$Y61&lt;=AE$7,Actions!$Z61&gt;=AE$7)),Actions!$AA61,"")</f>
        <v/>
      </c>
      <c r="AF67" s="1353">
        <f>IF(AE67&lt;&gt;"",VLOOKUP($A67,Actions!$F$1:$AQ$70,38,0)/(1+VLOOKUP($A67,Actions!$F$1:$AQ$70,21,0)-VLOOKUP($A67,Actions!$F$1:$AQ$70,20,0)),0)</f>
        <v>0</v>
      </c>
      <c r="AG67" s="1353">
        <f>IF(AE67&lt;&gt;"",IF(VLOOKUP($A67,Actions!$F$1:$AQ$70,34,0)="Commune",(VLOOKUP($A67,Actions!$F$1:$AQ$70,24,0)-VLOOKUP($A67,Actions!$F$1:$AQ$70,26,0))/(1+VLOOKUP($A67,Actions!$F$1:$AQ$70,21,0)-VLOOKUP($A67,Actions!$F$1:$AQ$70,20,0)),0),0)</f>
        <v>0</v>
      </c>
      <c r="AH67" s="1353">
        <f>IF(AA67="",AD67,IF(AND(AE67="",AA67&lt;&gt;""),VLOOKUP($A67,Actions!$F$1:$AQ$70,31,0),0))</f>
        <v>0</v>
      </c>
      <c r="AI67" s="1354" t="str">
        <f>IF(OR(Actions!$Y61=AI$7,AND(Actions!$Y61&lt;=AI$7,Actions!$Z61&gt;=AI$7)),Actions!$AA61,"")</f>
        <v/>
      </c>
      <c r="AJ67" s="1353">
        <f>IF(AI67&lt;&gt;"",VLOOKUP($A67,Actions!$F$1:$AQ$70,38,0)/(1+VLOOKUP($A67,Actions!$F$1:$AQ$70,21,0)-VLOOKUP($A67,Actions!$F$1:$AQ$70,20,0)),0)</f>
        <v>0</v>
      </c>
      <c r="AK67" s="1353">
        <f>IF(AI67&lt;&gt;"",IF(VLOOKUP($A67,Actions!$F$1:$AQ$70,34,0)="Commune",(VLOOKUP($A67,Actions!$F$1:$AQ$70,24,0)-VLOOKUP($A67,Actions!$F$1:$AQ$70,26,0))/(1+VLOOKUP($A67,Actions!$F$1:$AQ$70,21,0)-VLOOKUP($A67,Actions!$F$1:$AQ$70,20,0)),0),0)</f>
        <v>0</v>
      </c>
      <c r="AL67" s="1353">
        <f>IF(AE67="",AH67,IF(AND(AI67="",AE67&lt;&gt;""),VLOOKUP($A67,Actions!$F$1:$AQ$70,31,0),0))</f>
        <v>0</v>
      </c>
      <c r="AM67" s="1354" t="str">
        <f>IF(OR(Actions!$Y61=AM$7,AND(Actions!$Y61&lt;=AM$7,Actions!$Z61&gt;=AM$7)),Actions!$AA61,"")</f>
        <v/>
      </c>
      <c r="AN67" s="1353">
        <f>IF(AM67&lt;&gt;"",VLOOKUP($A67,Actions!$F$1:$AQ$70,38,0)/(1+VLOOKUP($A67,Actions!$F$1:$AQ$70,21,0)-VLOOKUP($A67,Actions!$F$1:$AQ$70,20,0)),0)</f>
        <v>0</v>
      </c>
      <c r="AO67" s="1353">
        <f>IF(AM67&lt;&gt;"",IF(VLOOKUP($A67,Actions!$F$1:$AQ$70,34,0)="Commune",(VLOOKUP($A67,Actions!$F$1:$AQ$70,24,0)-VLOOKUP($A67,Actions!$F$1:$AQ$70,26,0))/(1+VLOOKUP($A67,Actions!$F$1:$AQ$70,21,0)-VLOOKUP($A67,Actions!$F$1:$AQ$70,20,0)),0),0)</f>
        <v>0</v>
      </c>
      <c r="AP67" s="1353">
        <f>IF(AI67="",AL67,IF(AND(AM67="",AI67&lt;&gt;""),VLOOKUP($A67,Actions!$F$1:$AQ$70,31,0),0))</f>
        <v>0</v>
      </c>
      <c r="AQ67" s="1354" t="str">
        <f>IF(OR(Actions!$Y61=AQ$7,AND(Actions!$Y61&lt;=AQ$7,Actions!$Z61&gt;=AQ$7)),Actions!$AA61,"")</f>
        <v/>
      </c>
      <c r="AR67" s="1353">
        <f>IF(AQ67&lt;&gt;"",VLOOKUP($A67,Actions!$F$1:$AQ$70,38,0)/(1+VLOOKUP($A67,Actions!$F$1:$AQ$70,21,0)-VLOOKUP($A67,Actions!$F$1:$AQ$70,20,0)),0)</f>
        <v>0</v>
      </c>
      <c r="AS67" s="1353">
        <f>IF(AQ67&lt;&gt;"",IF(VLOOKUP($A67,Actions!$F$1:$AQ$70,34,0)="Commune",(VLOOKUP($A67,Actions!$F$1:$AQ$70,24,0)-VLOOKUP($A67,Actions!$F$1:$AQ$70,26,0))/(1+VLOOKUP($A67,Actions!$F$1:$AQ$70,21,0)-VLOOKUP($A67,Actions!$F$1:$AQ$70,20,0)),0),0)</f>
        <v>0</v>
      </c>
      <c r="AT67" s="1353">
        <f>IF(AM67="",AP67,IF(AND(AQ67="",AM67&lt;&gt;""),VLOOKUP($A67,Actions!$F$1:$AQ$70,31,0),0))</f>
        <v>0</v>
      </c>
      <c r="AU67" s="1354" t="str">
        <f>IF(OR(Actions!$Y61=AU$7,AND(Actions!$Y61&lt;=AU$7,Actions!$Z61&gt;=AU$7)),Actions!$AA61,"")</f>
        <v/>
      </c>
      <c r="AV67" s="1353">
        <f>IF(AU67&lt;&gt;"",VLOOKUP($A67,Actions!$F$1:$AQ$70,38,0)/(1+VLOOKUP($A67,Actions!$F$1:$AQ$70,21,0)-VLOOKUP($A67,Actions!$F$1:$AQ$70,20,0)),0)</f>
        <v>0</v>
      </c>
      <c r="AW67" s="1353">
        <f>IF(AU67&lt;&gt;"",IF(VLOOKUP($A67,Actions!$F$1:$AQ$70,34,0)="Commune",(VLOOKUP($A67,Actions!$F$1:$AQ$70,24,0)-VLOOKUP($A67,Actions!$F$1:$AQ$70,26,0))/(1+VLOOKUP($A67,Actions!$F$1:$AQ$70,21,0)-VLOOKUP($A67,Actions!$F$1:$AQ$70,20,0)),0),0)</f>
        <v>0</v>
      </c>
      <c r="AX67" s="1353">
        <f>IF(AQ67="",AT67,IF(AND(AU67="",AQ67&lt;&gt;""),VLOOKUP($A67,Actions!$F$1:$AQ$70,31,0),0))</f>
        <v>0</v>
      </c>
      <c r="AY67" s="1354" t="str">
        <f>IF(OR(Actions!$Y61=AY$7,AND(Actions!$Y61&lt;=AY$7,Actions!$Z61&gt;=AY$7)),Actions!$AA61,"")</f>
        <v/>
      </c>
      <c r="AZ67" s="1353">
        <f>IF(AY67&lt;&gt;"",VLOOKUP($A67,Actions!$F$1:$AQ$70,38,0)/(1+VLOOKUP($A67,Actions!$F$1:$AQ$70,21,0)-VLOOKUP($A67,Actions!$F$1:$AQ$70,20,0)),0)</f>
        <v>0</v>
      </c>
      <c r="BA67" s="1353">
        <f>IF(AY67&lt;&gt;"",IF(VLOOKUP($A67,Actions!$F$1:$AQ$70,34,0)="Commune",(VLOOKUP($A67,Actions!$F$1:$AQ$70,24,0)-VLOOKUP($A67,Actions!$F$1:$AQ$70,26,0))/(1+VLOOKUP($A67,Actions!$F$1:$AQ$70,21,0)-VLOOKUP($A67,Actions!$F$1:$AQ$70,20,0)),0),0)</f>
        <v>0</v>
      </c>
      <c r="BB67" s="1353">
        <f>IF(AU67="",AX67,IF(AND(AY67="",AU67&lt;&gt;""),VLOOKUP($A67,Actions!$F$1:$AQ$70,31,0),0))</f>
        <v>0</v>
      </c>
      <c r="BC67" s="1354" t="str">
        <f>IF(OR(Actions!$Y61=BC$7,AND(Actions!$Y61&lt;=BC$7,Actions!$Z61&gt;=BC$7)),Actions!$AA61,"")</f>
        <v/>
      </c>
      <c r="BD67" s="1353">
        <f>IF(BC67&lt;&gt;"",VLOOKUP($A67,Actions!$F$1:$AQ$70,38,0)/(1+VLOOKUP($A67,Actions!$F$1:$AQ$70,21,0)-VLOOKUP($A67,Actions!$F$1:$AQ$70,20,0)),0)</f>
        <v>0</v>
      </c>
      <c r="BE67" s="1353">
        <f>IF(BC67&lt;&gt;"",IF(VLOOKUP($A67,Actions!$F$1:$AQ$70,34,0)="Commune",(VLOOKUP($A67,Actions!$F$1:$AQ$70,24,0)-VLOOKUP($A67,Actions!$F$1:$AQ$70,26,0))/(1+VLOOKUP($A67,Actions!$F$1:$AQ$70,21,0)-VLOOKUP($A67,Actions!$F$1:$AQ$70,20,0)),0),0)</f>
        <v>0</v>
      </c>
      <c r="BF67" s="1353">
        <f>IF(AY67="",BB67,IF(AND(BC67="",AY67&lt;&gt;""),VLOOKUP($A67,Actions!$F$1:$AQ$70,31,0),0))</f>
        <v>0</v>
      </c>
      <c r="BG67" s="1355">
        <f t="shared" si="0"/>
        <v>0</v>
      </c>
      <c r="BJ67" s="233"/>
      <c r="BK67" s="233"/>
      <c r="BL67" s="233"/>
      <c r="BM67" s="233"/>
      <c r="BN67" s="233"/>
      <c r="BO67" s="233"/>
    </row>
    <row r="68" spans="1:67">
      <c r="A68" s="1349">
        <f>Actions!F62</f>
        <v>61</v>
      </c>
      <c r="B68" s="1352">
        <f>Actions!G62</f>
        <v>0</v>
      </c>
      <c r="C68" s="1353" t="str">
        <f>IF(OR(AND(Actions!Y62&gt;0,Actions!Y62&lt;=$C$7,Actions!Z62&gt;=$C$7),AND(Actions!Y62&gt;0,Actions!Y62&lt;=$C$7,Actions!Z62&lt;Actions!Y62),AND(Actions!Y62=0,Actions!Z62&gt;=$C$7)),Actions!$AA62,"")</f>
        <v/>
      </c>
      <c r="D68" s="1353">
        <f>IF(C68&lt;&gt;"",VLOOKUP($A68,Actions!$F$1:$AQ$70,38,0)/(1+VLOOKUP($A68,Actions!$F$1:$AQ$70,21,0)-VLOOKUP($A68,Actions!$F$1:$AQ$70,20,0)),0)</f>
        <v>0</v>
      </c>
      <c r="E68" s="1353">
        <f>IF(C68&lt;&gt;"",IF(VLOOKUP($A68,Actions!$F$1:$AQ$70,34,0)="Commune",(VLOOKUP($A68,Actions!$F$1:$AQ$70,24,0)-VLOOKUP($A68,Actions!$F$1:$AQ$70,26,0))/(1+VLOOKUP($A68,Actions!$F$1:$AQ$70,21,0)-VLOOKUP($A68,Actions!$F$1:$AQ$70,20,0)),0),0)</f>
        <v>0</v>
      </c>
      <c r="F68" s="1353">
        <v>0</v>
      </c>
      <c r="G68" s="1354" t="str">
        <f>IF(OR(Actions!$Y62=G$7,AND(Actions!$Y62&lt;=G$7,Actions!$Z62&gt;=G$7)),Actions!$AA62,"")</f>
        <v/>
      </c>
      <c r="H68" s="1353">
        <f>IF(G68&lt;&gt;"",VLOOKUP($A68,Actions!$F$1:$AQ$70,38,0)/(1+VLOOKUP($A68,Actions!$F$1:$AQ$70,21,0)-VLOOKUP($A68,Actions!$F$1:$AQ$70,20,0)),0)</f>
        <v>0</v>
      </c>
      <c r="I68" s="1353">
        <f>IF(G68&lt;&gt;"",IF(VLOOKUP($A68,Actions!$F$1:$AQ$70,34,0)="Commune",(VLOOKUP($A68,Actions!$F$1:$AQ$70,24,0)-VLOOKUP($A68,Actions!$F$1:$AQ$70,26,0))/(1+VLOOKUP($A68,Actions!$F$1:$AQ$70,21,0)-VLOOKUP($A68,Actions!$F$1:$AQ$70,20,0)),0),0)</f>
        <v>0</v>
      </c>
      <c r="J68" s="1353">
        <f>IF(C68="",F68,IF(AND(G68="",C68&lt;&gt;""),VLOOKUP($A68,Actions!$F$1:$AQ$70,31,0),0))</f>
        <v>0</v>
      </c>
      <c r="K68" s="1354" t="str">
        <f>IF(OR(Actions!$Y62=K$7,AND(Actions!$Y62&lt;=K$7,Actions!$Z62&gt;=K$7)),Actions!$AA62,"")</f>
        <v/>
      </c>
      <c r="L68" s="1353">
        <f>IF(K68&lt;&gt;"",VLOOKUP($A68,Actions!$F$1:$AQ$70,38,0)/(1+VLOOKUP($A68,Actions!$F$1:$AQ$70,21,0)-VLOOKUP($A68,Actions!$F$1:$AQ$70,20,0)),0)</f>
        <v>0</v>
      </c>
      <c r="M68" s="1353">
        <f>IF(K68&lt;&gt;"",IF(VLOOKUP($A68,Actions!$F$1:$AQ$70,34,0)="Commune",(VLOOKUP($A68,Actions!$F$1:$AQ$70,24,0)-VLOOKUP($A68,Actions!$F$1:$AQ$70,26,0))/(1+VLOOKUP($A68,Actions!$F$1:$AQ$70,21,0)-VLOOKUP($A68,Actions!$F$1:$AQ$70,20,0)),0),0)</f>
        <v>0</v>
      </c>
      <c r="N68" s="1353">
        <f>IF(G68="",J68,IF(AND(K68="",G68&lt;&gt;""),VLOOKUP($A68,Actions!$F$1:$AQ$70,31,0),0))</f>
        <v>0</v>
      </c>
      <c r="O68" s="1354" t="str">
        <f>IF(OR(Actions!$Y62=O$7,AND(Actions!$Y62&lt;=O$7,Actions!$Z62&gt;=O$7)),Actions!$AA62,"")</f>
        <v/>
      </c>
      <c r="P68" s="1353">
        <f>IF(O68&lt;&gt;"",VLOOKUP($A68,Actions!$F$1:$AQ$70,38,0)/(1+VLOOKUP($A68,Actions!$F$1:$AQ$70,21,0)-VLOOKUP($A68,Actions!$F$1:$AQ$70,20,0)),0)</f>
        <v>0</v>
      </c>
      <c r="Q68" s="1353">
        <f>IF(O68&lt;&gt;"",IF(VLOOKUP($A68,Actions!$F$1:$AQ$70,34,0)="Commune",(VLOOKUP($A68,Actions!$F$1:$AQ$70,24,0)-VLOOKUP($A68,Actions!$F$1:$AQ$70,26,0))/(1+VLOOKUP($A68,Actions!$F$1:$AQ$70,21,0)-VLOOKUP($A68,Actions!$F$1:$AQ$70,20,0)),0),0)</f>
        <v>0</v>
      </c>
      <c r="R68" s="1353">
        <f>IF(K68="",N68,IF(AND(O68="",K68&lt;&gt;""),VLOOKUP($A68,Actions!$F$1:$AQ$70,31,0),0))</f>
        <v>0</v>
      </c>
      <c r="S68" s="1354" t="str">
        <f>IF(OR(Actions!$Y62=S$7,AND(Actions!$Y62&lt;=S$7,Actions!$Z62&gt;=S$7)),Actions!$AA62,"")</f>
        <v/>
      </c>
      <c r="T68" s="1353">
        <f>IF(S68&lt;&gt;"",VLOOKUP($A68,Actions!$F$1:$AQ$70,38,0)/(1+VLOOKUP($A68,Actions!$F$1:$AQ$70,21,0)-VLOOKUP($A68,Actions!$F$1:$AQ$70,20,0)),0)</f>
        <v>0</v>
      </c>
      <c r="U68" s="1353">
        <f>IF(S68&lt;&gt;"",IF(VLOOKUP($A68,Actions!$F$1:$AQ$70,34,0)="Commune",(VLOOKUP($A68,Actions!$F$1:$AQ$70,24,0)-VLOOKUP($A68,Actions!$F$1:$AQ$70,26,0))/(1+VLOOKUP($A68,Actions!$F$1:$AQ$70,21,0)-VLOOKUP($A68,Actions!$F$1:$AQ$70,20,0)),0),0)</f>
        <v>0</v>
      </c>
      <c r="V68" s="1353">
        <f>IF(O68="",R68,IF(AND(S68="",O68&lt;&gt;""),VLOOKUP($A68,Actions!$F$1:$AQ$70,31,0),0))</f>
        <v>0</v>
      </c>
      <c r="W68" s="1354" t="str">
        <f>IF(OR(Actions!$Y62=W$7,AND(Actions!$Y62&lt;=W$7,Actions!$Z62&gt;=W$7)),Actions!$AA62,"")</f>
        <v/>
      </c>
      <c r="X68" s="1353">
        <f>IF(W68&lt;&gt;"",VLOOKUP($A68,Actions!$F$1:$AQ$70,38,0)/(1+VLOOKUP($A68,Actions!$F$1:$AQ$70,21,0)-VLOOKUP($A68,Actions!$F$1:$AQ$70,20,0)),0)</f>
        <v>0</v>
      </c>
      <c r="Y68" s="1353">
        <f>IF(W68&lt;&gt;"",IF(VLOOKUP($A68,Actions!$F$1:$AQ$70,34,0)="Commune",(VLOOKUP($A68,Actions!$F$1:$AQ$70,24,0)-VLOOKUP($A68,Actions!$F$1:$AQ$70,26,0))/(1+VLOOKUP($A68,Actions!$F$1:$AQ$70,21,0)-VLOOKUP($A68,Actions!$F$1:$AQ$70,20,0)),0),0)</f>
        <v>0</v>
      </c>
      <c r="Z68" s="1353">
        <f>IF(S68="",V68,IF(AND(W68="",S68&lt;&gt;""),VLOOKUP($A68,Actions!$F$1:$AQ$70,31,0),0))</f>
        <v>0</v>
      </c>
      <c r="AA68" s="1354" t="str">
        <f>IF(OR(Actions!$Y62=AA$7,AND(Actions!$Y62&lt;=AA$7,Actions!$Z62&gt;=AA$7)),Actions!$AA62,"")</f>
        <v/>
      </c>
      <c r="AB68" s="1353">
        <f>IF(AA68&lt;&gt;"",VLOOKUP($A68,Actions!$F$1:$AQ$70,38,0)/(1+VLOOKUP($A68,Actions!$F$1:$AQ$70,21,0)-VLOOKUP($A68,Actions!$F$1:$AQ$70,20,0)),0)</f>
        <v>0</v>
      </c>
      <c r="AC68" s="1353">
        <f>IF(AA68&lt;&gt;"",IF(VLOOKUP($A68,Actions!$F$1:$AQ$70,34,0)="Commune",(VLOOKUP($A68,Actions!$F$1:$AQ$70,24,0)-VLOOKUP($A68,Actions!$F$1:$AQ$70,26,0))/(1+VLOOKUP($A68,Actions!$F$1:$AQ$70,21,0)-VLOOKUP($A68,Actions!$F$1:$AQ$70,20,0)),0),0)</f>
        <v>0</v>
      </c>
      <c r="AD68" s="1353">
        <f>IF(W68="",Z68,IF(AND(AA68="",W68&lt;&gt;""),VLOOKUP($A68,Actions!$F$1:$AQ$70,31,0),0))</f>
        <v>0</v>
      </c>
      <c r="AE68" s="1354" t="str">
        <f>IF(OR(Actions!$Y62=AE$7,AND(Actions!$Y62&lt;=AE$7,Actions!$Z62&gt;=AE$7)),Actions!$AA62,"")</f>
        <v/>
      </c>
      <c r="AF68" s="1353">
        <f>IF(AE68&lt;&gt;"",VLOOKUP($A68,Actions!$F$1:$AQ$70,38,0)/(1+VLOOKUP($A68,Actions!$F$1:$AQ$70,21,0)-VLOOKUP($A68,Actions!$F$1:$AQ$70,20,0)),0)</f>
        <v>0</v>
      </c>
      <c r="AG68" s="1353">
        <f>IF(AE68&lt;&gt;"",IF(VLOOKUP($A68,Actions!$F$1:$AQ$70,34,0)="Commune",(VLOOKUP($A68,Actions!$F$1:$AQ$70,24,0)-VLOOKUP($A68,Actions!$F$1:$AQ$70,26,0))/(1+VLOOKUP($A68,Actions!$F$1:$AQ$70,21,0)-VLOOKUP($A68,Actions!$F$1:$AQ$70,20,0)),0),0)</f>
        <v>0</v>
      </c>
      <c r="AH68" s="1353">
        <f>IF(AA68="",AD68,IF(AND(AE68="",AA68&lt;&gt;""),VLOOKUP($A68,Actions!$F$1:$AQ$70,31,0),0))</f>
        <v>0</v>
      </c>
      <c r="AI68" s="1354" t="str">
        <f>IF(OR(Actions!$Y62=AI$7,AND(Actions!$Y62&lt;=AI$7,Actions!$Z62&gt;=AI$7)),Actions!$AA62,"")</f>
        <v/>
      </c>
      <c r="AJ68" s="1353">
        <f>IF(AI68&lt;&gt;"",VLOOKUP($A68,Actions!$F$1:$AQ$70,38,0)/(1+VLOOKUP($A68,Actions!$F$1:$AQ$70,21,0)-VLOOKUP($A68,Actions!$F$1:$AQ$70,20,0)),0)</f>
        <v>0</v>
      </c>
      <c r="AK68" s="1353">
        <f>IF(AI68&lt;&gt;"",IF(VLOOKUP($A68,Actions!$F$1:$AQ$70,34,0)="Commune",(VLOOKUP($A68,Actions!$F$1:$AQ$70,24,0)-VLOOKUP($A68,Actions!$F$1:$AQ$70,26,0))/(1+VLOOKUP($A68,Actions!$F$1:$AQ$70,21,0)-VLOOKUP($A68,Actions!$F$1:$AQ$70,20,0)),0),0)</f>
        <v>0</v>
      </c>
      <c r="AL68" s="1353">
        <f>IF(AE68="",AH68,IF(AND(AI68="",AE68&lt;&gt;""),VLOOKUP($A68,Actions!$F$1:$AQ$70,31,0),0))</f>
        <v>0</v>
      </c>
      <c r="AM68" s="1354" t="str">
        <f>IF(OR(Actions!$Y62=AM$7,AND(Actions!$Y62&lt;=AM$7,Actions!$Z62&gt;=AM$7)),Actions!$AA62,"")</f>
        <v/>
      </c>
      <c r="AN68" s="1353">
        <f>IF(AM68&lt;&gt;"",VLOOKUP($A68,Actions!$F$1:$AQ$70,38,0)/(1+VLOOKUP($A68,Actions!$F$1:$AQ$70,21,0)-VLOOKUP($A68,Actions!$F$1:$AQ$70,20,0)),0)</f>
        <v>0</v>
      </c>
      <c r="AO68" s="1353">
        <f>IF(AM68&lt;&gt;"",IF(VLOOKUP($A68,Actions!$F$1:$AQ$70,34,0)="Commune",(VLOOKUP($A68,Actions!$F$1:$AQ$70,24,0)-VLOOKUP($A68,Actions!$F$1:$AQ$70,26,0))/(1+VLOOKUP($A68,Actions!$F$1:$AQ$70,21,0)-VLOOKUP($A68,Actions!$F$1:$AQ$70,20,0)),0),0)</f>
        <v>0</v>
      </c>
      <c r="AP68" s="1353">
        <f>IF(AI68="",AL68,IF(AND(AM68="",AI68&lt;&gt;""),VLOOKUP($A68,Actions!$F$1:$AQ$70,31,0),0))</f>
        <v>0</v>
      </c>
      <c r="AQ68" s="1354" t="str">
        <f>IF(OR(Actions!$Y62=AQ$7,AND(Actions!$Y62&lt;=AQ$7,Actions!$Z62&gt;=AQ$7)),Actions!$AA62,"")</f>
        <v/>
      </c>
      <c r="AR68" s="1353">
        <f>IF(AQ68&lt;&gt;"",VLOOKUP($A68,Actions!$F$1:$AQ$70,38,0)/(1+VLOOKUP($A68,Actions!$F$1:$AQ$70,21,0)-VLOOKUP($A68,Actions!$F$1:$AQ$70,20,0)),0)</f>
        <v>0</v>
      </c>
      <c r="AS68" s="1353">
        <f>IF(AQ68&lt;&gt;"",IF(VLOOKUP($A68,Actions!$F$1:$AQ$70,34,0)="Commune",(VLOOKUP($A68,Actions!$F$1:$AQ$70,24,0)-VLOOKUP($A68,Actions!$F$1:$AQ$70,26,0))/(1+VLOOKUP($A68,Actions!$F$1:$AQ$70,21,0)-VLOOKUP($A68,Actions!$F$1:$AQ$70,20,0)),0),0)</f>
        <v>0</v>
      </c>
      <c r="AT68" s="1353">
        <f>IF(AM68="",AP68,IF(AND(AQ68="",AM68&lt;&gt;""),VLOOKUP($A68,Actions!$F$1:$AQ$70,31,0),0))</f>
        <v>0</v>
      </c>
      <c r="AU68" s="1354" t="str">
        <f>IF(OR(Actions!$Y62=AU$7,AND(Actions!$Y62&lt;=AU$7,Actions!$Z62&gt;=AU$7)),Actions!$AA62,"")</f>
        <v/>
      </c>
      <c r="AV68" s="1353">
        <f>IF(AU68&lt;&gt;"",VLOOKUP($A68,Actions!$F$1:$AQ$70,38,0)/(1+VLOOKUP($A68,Actions!$F$1:$AQ$70,21,0)-VLOOKUP($A68,Actions!$F$1:$AQ$70,20,0)),0)</f>
        <v>0</v>
      </c>
      <c r="AW68" s="1353">
        <f>IF(AU68&lt;&gt;"",IF(VLOOKUP($A68,Actions!$F$1:$AQ$70,34,0)="Commune",(VLOOKUP($A68,Actions!$F$1:$AQ$70,24,0)-VLOOKUP($A68,Actions!$F$1:$AQ$70,26,0))/(1+VLOOKUP($A68,Actions!$F$1:$AQ$70,21,0)-VLOOKUP($A68,Actions!$F$1:$AQ$70,20,0)),0),0)</f>
        <v>0</v>
      </c>
      <c r="AX68" s="1353">
        <f>IF(AQ68="",AT68,IF(AND(AU68="",AQ68&lt;&gt;""),VLOOKUP($A68,Actions!$F$1:$AQ$70,31,0),0))</f>
        <v>0</v>
      </c>
      <c r="AY68" s="1354" t="str">
        <f>IF(OR(Actions!$Y62=AY$7,AND(Actions!$Y62&lt;=AY$7,Actions!$Z62&gt;=AY$7)),Actions!$AA62,"")</f>
        <v/>
      </c>
      <c r="AZ68" s="1353">
        <f>IF(AY68&lt;&gt;"",VLOOKUP($A68,Actions!$F$1:$AQ$70,38,0)/(1+VLOOKUP($A68,Actions!$F$1:$AQ$70,21,0)-VLOOKUP($A68,Actions!$F$1:$AQ$70,20,0)),0)</f>
        <v>0</v>
      </c>
      <c r="BA68" s="1353">
        <f>IF(AY68&lt;&gt;"",IF(VLOOKUP($A68,Actions!$F$1:$AQ$70,34,0)="Commune",(VLOOKUP($A68,Actions!$F$1:$AQ$70,24,0)-VLOOKUP($A68,Actions!$F$1:$AQ$70,26,0))/(1+VLOOKUP($A68,Actions!$F$1:$AQ$70,21,0)-VLOOKUP($A68,Actions!$F$1:$AQ$70,20,0)),0),0)</f>
        <v>0</v>
      </c>
      <c r="BB68" s="1353">
        <f>IF(AU68="",AX68,IF(AND(AY68="",AU68&lt;&gt;""),VLOOKUP($A68,Actions!$F$1:$AQ$70,31,0),0))</f>
        <v>0</v>
      </c>
      <c r="BC68" s="1354" t="str">
        <f>IF(OR(Actions!$Y62=BC$7,AND(Actions!$Y62&lt;=BC$7,Actions!$Z62&gt;=BC$7)),Actions!$AA62,"")</f>
        <v/>
      </c>
      <c r="BD68" s="1353">
        <f>IF(BC68&lt;&gt;"",VLOOKUP($A68,Actions!$F$1:$AQ$70,38,0)/(1+VLOOKUP($A68,Actions!$F$1:$AQ$70,21,0)-VLOOKUP($A68,Actions!$F$1:$AQ$70,20,0)),0)</f>
        <v>0</v>
      </c>
      <c r="BE68" s="1353">
        <f>IF(BC68&lt;&gt;"",IF(VLOOKUP($A68,Actions!$F$1:$AQ$70,34,0)="Commune",(VLOOKUP($A68,Actions!$F$1:$AQ$70,24,0)-VLOOKUP($A68,Actions!$F$1:$AQ$70,26,0))/(1+VLOOKUP($A68,Actions!$F$1:$AQ$70,21,0)-VLOOKUP($A68,Actions!$F$1:$AQ$70,20,0)),0),0)</f>
        <v>0</v>
      </c>
      <c r="BF68" s="1353">
        <f>IF(AY68="",BB68,IF(AND(BC68="",AY68&lt;&gt;""),VLOOKUP($A68,Actions!$F$1:$AQ$70,31,0),0))</f>
        <v>0</v>
      </c>
      <c r="BG68" s="1355">
        <f t="shared" si="0"/>
        <v>0</v>
      </c>
      <c r="BJ68" s="233"/>
      <c r="BK68" s="233"/>
      <c r="BL68" s="233"/>
      <c r="BM68" s="233"/>
      <c r="BN68" s="233"/>
      <c r="BO68" s="233"/>
    </row>
    <row r="69" spans="1:67">
      <c r="A69" s="1349">
        <f>Actions!F63</f>
        <v>62</v>
      </c>
      <c r="B69" s="1352">
        <f>Actions!G63</f>
        <v>0</v>
      </c>
      <c r="C69" s="1353" t="str">
        <f>IF(OR(AND(Actions!Y63&gt;0,Actions!Y63&lt;=$C$7,Actions!Z63&gt;=$C$7),AND(Actions!Y63&gt;0,Actions!Y63&lt;=$C$7,Actions!Z63&lt;Actions!Y63),AND(Actions!Y63=0,Actions!Z63&gt;=$C$7)),Actions!$AA63,"")</f>
        <v/>
      </c>
      <c r="D69" s="1353">
        <f>IF(C69&lt;&gt;"",VLOOKUP($A69,Actions!$F$1:$AQ$70,38,0)/(1+VLOOKUP($A69,Actions!$F$1:$AQ$70,21,0)-VLOOKUP($A69,Actions!$F$1:$AQ$70,20,0)),0)</f>
        <v>0</v>
      </c>
      <c r="E69" s="1353">
        <f>IF(C69&lt;&gt;"",IF(VLOOKUP($A69,Actions!$F$1:$AQ$70,34,0)="Commune",(VLOOKUP($A69,Actions!$F$1:$AQ$70,24,0)-VLOOKUP($A69,Actions!$F$1:$AQ$70,26,0))/(1+VLOOKUP($A69,Actions!$F$1:$AQ$70,21,0)-VLOOKUP($A69,Actions!$F$1:$AQ$70,20,0)),0),0)</f>
        <v>0</v>
      </c>
      <c r="F69" s="1353">
        <v>0</v>
      </c>
      <c r="G69" s="1354" t="str">
        <f>IF(OR(Actions!$Y63=G$7,AND(Actions!$Y63&lt;=G$7,Actions!$Z63&gt;=G$7)),Actions!$AA63,"")</f>
        <v/>
      </c>
      <c r="H69" s="1353">
        <f>IF(G69&lt;&gt;"",VLOOKUP($A69,Actions!$F$1:$AQ$70,38,0)/(1+VLOOKUP($A69,Actions!$F$1:$AQ$70,21,0)-VLOOKUP($A69,Actions!$F$1:$AQ$70,20,0)),0)</f>
        <v>0</v>
      </c>
      <c r="I69" s="1353">
        <f>IF(G69&lt;&gt;"",IF(VLOOKUP($A69,Actions!$F$1:$AQ$70,34,0)="Commune",(VLOOKUP($A69,Actions!$F$1:$AQ$70,24,0)-VLOOKUP($A69,Actions!$F$1:$AQ$70,26,0))/(1+VLOOKUP($A69,Actions!$F$1:$AQ$70,21,0)-VLOOKUP($A69,Actions!$F$1:$AQ$70,20,0)),0),0)</f>
        <v>0</v>
      </c>
      <c r="J69" s="1353">
        <f>IF(C69="",F69,IF(AND(G69="",C69&lt;&gt;""),VLOOKUP($A69,Actions!$F$1:$AQ$70,31,0),0))</f>
        <v>0</v>
      </c>
      <c r="K69" s="1354" t="str">
        <f>IF(OR(Actions!$Y63=K$7,AND(Actions!$Y63&lt;=K$7,Actions!$Z63&gt;=K$7)),Actions!$AA63,"")</f>
        <v/>
      </c>
      <c r="L69" s="1353">
        <f>IF(K69&lt;&gt;"",VLOOKUP($A69,Actions!$F$1:$AQ$70,38,0)/(1+VLOOKUP($A69,Actions!$F$1:$AQ$70,21,0)-VLOOKUP($A69,Actions!$F$1:$AQ$70,20,0)),0)</f>
        <v>0</v>
      </c>
      <c r="M69" s="1353">
        <f>IF(K69&lt;&gt;"",IF(VLOOKUP($A69,Actions!$F$1:$AQ$70,34,0)="Commune",(VLOOKUP($A69,Actions!$F$1:$AQ$70,24,0)-VLOOKUP($A69,Actions!$F$1:$AQ$70,26,0))/(1+VLOOKUP($A69,Actions!$F$1:$AQ$70,21,0)-VLOOKUP($A69,Actions!$F$1:$AQ$70,20,0)),0),0)</f>
        <v>0</v>
      </c>
      <c r="N69" s="1353">
        <f>IF(G69="",J69,IF(AND(K69="",G69&lt;&gt;""),VLOOKUP($A69,Actions!$F$1:$AQ$70,31,0),0))</f>
        <v>0</v>
      </c>
      <c r="O69" s="1354" t="str">
        <f>IF(OR(Actions!$Y63=O$7,AND(Actions!$Y63&lt;=O$7,Actions!$Z63&gt;=O$7)),Actions!$AA63,"")</f>
        <v/>
      </c>
      <c r="P69" s="1353">
        <f>IF(O69&lt;&gt;"",VLOOKUP($A69,Actions!$F$1:$AQ$70,38,0)/(1+VLOOKUP($A69,Actions!$F$1:$AQ$70,21,0)-VLOOKUP($A69,Actions!$F$1:$AQ$70,20,0)),0)</f>
        <v>0</v>
      </c>
      <c r="Q69" s="1353">
        <f>IF(O69&lt;&gt;"",IF(VLOOKUP($A69,Actions!$F$1:$AQ$70,34,0)="Commune",(VLOOKUP($A69,Actions!$F$1:$AQ$70,24,0)-VLOOKUP($A69,Actions!$F$1:$AQ$70,26,0))/(1+VLOOKUP($A69,Actions!$F$1:$AQ$70,21,0)-VLOOKUP($A69,Actions!$F$1:$AQ$70,20,0)),0),0)</f>
        <v>0</v>
      </c>
      <c r="R69" s="1353">
        <f>IF(K69="",N69,IF(AND(O69="",K69&lt;&gt;""),VLOOKUP($A69,Actions!$F$1:$AQ$70,31,0),0))</f>
        <v>0</v>
      </c>
      <c r="S69" s="1354" t="str">
        <f>IF(OR(Actions!$Y63=S$7,AND(Actions!$Y63&lt;=S$7,Actions!$Z63&gt;=S$7)),Actions!$AA63,"")</f>
        <v/>
      </c>
      <c r="T69" s="1353">
        <f>IF(S69&lt;&gt;"",VLOOKUP($A69,Actions!$F$1:$AQ$70,38,0)/(1+VLOOKUP($A69,Actions!$F$1:$AQ$70,21,0)-VLOOKUP($A69,Actions!$F$1:$AQ$70,20,0)),0)</f>
        <v>0</v>
      </c>
      <c r="U69" s="1353">
        <f>IF(S69&lt;&gt;"",IF(VLOOKUP($A69,Actions!$F$1:$AQ$70,34,0)="Commune",(VLOOKUP($A69,Actions!$F$1:$AQ$70,24,0)-VLOOKUP($A69,Actions!$F$1:$AQ$70,26,0))/(1+VLOOKUP($A69,Actions!$F$1:$AQ$70,21,0)-VLOOKUP($A69,Actions!$F$1:$AQ$70,20,0)),0),0)</f>
        <v>0</v>
      </c>
      <c r="V69" s="1353">
        <f>IF(O69="",R69,IF(AND(S69="",O69&lt;&gt;""),VLOOKUP($A69,Actions!$F$1:$AQ$70,31,0),0))</f>
        <v>0</v>
      </c>
      <c r="W69" s="1354" t="str">
        <f>IF(OR(Actions!$Y63=W$7,AND(Actions!$Y63&lt;=W$7,Actions!$Z63&gt;=W$7)),Actions!$AA63,"")</f>
        <v/>
      </c>
      <c r="X69" s="1353">
        <f>IF(W69&lt;&gt;"",VLOOKUP($A69,Actions!$F$1:$AQ$70,38,0)/(1+VLOOKUP($A69,Actions!$F$1:$AQ$70,21,0)-VLOOKUP($A69,Actions!$F$1:$AQ$70,20,0)),0)</f>
        <v>0</v>
      </c>
      <c r="Y69" s="1353">
        <f>IF(W69&lt;&gt;"",IF(VLOOKUP($A69,Actions!$F$1:$AQ$70,34,0)="Commune",(VLOOKUP($A69,Actions!$F$1:$AQ$70,24,0)-VLOOKUP($A69,Actions!$F$1:$AQ$70,26,0))/(1+VLOOKUP($A69,Actions!$F$1:$AQ$70,21,0)-VLOOKUP($A69,Actions!$F$1:$AQ$70,20,0)),0),0)</f>
        <v>0</v>
      </c>
      <c r="Z69" s="1353">
        <f>IF(S69="",V69,IF(AND(W69="",S69&lt;&gt;""),VLOOKUP($A69,Actions!$F$1:$AQ$70,31,0),0))</f>
        <v>0</v>
      </c>
      <c r="AA69" s="1354" t="str">
        <f>IF(OR(Actions!$Y63=AA$7,AND(Actions!$Y63&lt;=AA$7,Actions!$Z63&gt;=AA$7)),Actions!$AA63,"")</f>
        <v/>
      </c>
      <c r="AB69" s="1353">
        <f>IF(AA69&lt;&gt;"",VLOOKUP($A69,Actions!$F$1:$AQ$70,38,0)/(1+VLOOKUP($A69,Actions!$F$1:$AQ$70,21,0)-VLOOKUP($A69,Actions!$F$1:$AQ$70,20,0)),0)</f>
        <v>0</v>
      </c>
      <c r="AC69" s="1353">
        <f>IF(AA69&lt;&gt;"",IF(VLOOKUP($A69,Actions!$F$1:$AQ$70,34,0)="Commune",(VLOOKUP($A69,Actions!$F$1:$AQ$70,24,0)-VLOOKUP($A69,Actions!$F$1:$AQ$70,26,0))/(1+VLOOKUP($A69,Actions!$F$1:$AQ$70,21,0)-VLOOKUP($A69,Actions!$F$1:$AQ$70,20,0)),0),0)</f>
        <v>0</v>
      </c>
      <c r="AD69" s="1353">
        <f>IF(W69="",Z69,IF(AND(AA69="",W69&lt;&gt;""),VLOOKUP($A69,Actions!$F$1:$AQ$70,31,0),0))</f>
        <v>0</v>
      </c>
      <c r="AE69" s="1354" t="str">
        <f>IF(OR(Actions!$Y63=AE$7,AND(Actions!$Y63&lt;=AE$7,Actions!$Z63&gt;=AE$7)),Actions!$AA63,"")</f>
        <v/>
      </c>
      <c r="AF69" s="1353">
        <f>IF(AE69&lt;&gt;"",VLOOKUP($A69,Actions!$F$1:$AQ$70,38,0)/(1+VLOOKUP($A69,Actions!$F$1:$AQ$70,21,0)-VLOOKUP($A69,Actions!$F$1:$AQ$70,20,0)),0)</f>
        <v>0</v>
      </c>
      <c r="AG69" s="1353">
        <f>IF(AE69&lt;&gt;"",IF(VLOOKUP($A69,Actions!$F$1:$AQ$70,34,0)="Commune",(VLOOKUP($A69,Actions!$F$1:$AQ$70,24,0)-VLOOKUP($A69,Actions!$F$1:$AQ$70,26,0))/(1+VLOOKUP($A69,Actions!$F$1:$AQ$70,21,0)-VLOOKUP($A69,Actions!$F$1:$AQ$70,20,0)),0),0)</f>
        <v>0</v>
      </c>
      <c r="AH69" s="1353">
        <f>IF(AA69="",AD69,IF(AND(AE69="",AA69&lt;&gt;""),VLOOKUP($A69,Actions!$F$1:$AQ$70,31,0),0))</f>
        <v>0</v>
      </c>
      <c r="AI69" s="1354" t="str">
        <f>IF(OR(Actions!$Y63=AI$7,AND(Actions!$Y63&lt;=AI$7,Actions!$Z63&gt;=AI$7)),Actions!$AA63,"")</f>
        <v/>
      </c>
      <c r="AJ69" s="1353">
        <f>IF(AI69&lt;&gt;"",VLOOKUP($A69,Actions!$F$1:$AQ$70,38,0)/(1+VLOOKUP($A69,Actions!$F$1:$AQ$70,21,0)-VLOOKUP($A69,Actions!$F$1:$AQ$70,20,0)),0)</f>
        <v>0</v>
      </c>
      <c r="AK69" s="1353">
        <f>IF(AI69&lt;&gt;"",IF(VLOOKUP($A69,Actions!$F$1:$AQ$70,34,0)="Commune",(VLOOKUP($A69,Actions!$F$1:$AQ$70,24,0)-VLOOKUP($A69,Actions!$F$1:$AQ$70,26,0))/(1+VLOOKUP($A69,Actions!$F$1:$AQ$70,21,0)-VLOOKUP($A69,Actions!$F$1:$AQ$70,20,0)),0),0)</f>
        <v>0</v>
      </c>
      <c r="AL69" s="1353">
        <f>IF(AE69="",AH69,IF(AND(AI69="",AE69&lt;&gt;""),VLOOKUP($A69,Actions!$F$1:$AQ$70,31,0),0))</f>
        <v>0</v>
      </c>
      <c r="AM69" s="1354" t="str">
        <f>IF(OR(Actions!$Y63=AM$7,AND(Actions!$Y63&lt;=AM$7,Actions!$Z63&gt;=AM$7)),Actions!$AA63,"")</f>
        <v/>
      </c>
      <c r="AN69" s="1353">
        <f>IF(AM69&lt;&gt;"",VLOOKUP($A69,Actions!$F$1:$AQ$70,38,0)/(1+VLOOKUP($A69,Actions!$F$1:$AQ$70,21,0)-VLOOKUP($A69,Actions!$F$1:$AQ$70,20,0)),0)</f>
        <v>0</v>
      </c>
      <c r="AO69" s="1353">
        <f>IF(AM69&lt;&gt;"",IF(VLOOKUP($A69,Actions!$F$1:$AQ$70,34,0)="Commune",(VLOOKUP($A69,Actions!$F$1:$AQ$70,24,0)-VLOOKUP($A69,Actions!$F$1:$AQ$70,26,0))/(1+VLOOKUP($A69,Actions!$F$1:$AQ$70,21,0)-VLOOKUP($A69,Actions!$F$1:$AQ$70,20,0)),0),0)</f>
        <v>0</v>
      </c>
      <c r="AP69" s="1353">
        <f>IF(AI69="",AL69,IF(AND(AM69="",AI69&lt;&gt;""),VLOOKUP($A69,Actions!$F$1:$AQ$70,31,0),0))</f>
        <v>0</v>
      </c>
      <c r="AQ69" s="1354" t="str">
        <f>IF(OR(Actions!$Y63=AQ$7,AND(Actions!$Y63&lt;=AQ$7,Actions!$Z63&gt;=AQ$7)),Actions!$AA63,"")</f>
        <v/>
      </c>
      <c r="AR69" s="1353">
        <f>IF(AQ69&lt;&gt;"",VLOOKUP($A69,Actions!$F$1:$AQ$70,38,0)/(1+VLOOKUP($A69,Actions!$F$1:$AQ$70,21,0)-VLOOKUP($A69,Actions!$F$1:$AQ$70,20,0)),0)</f>
        <v>0</v>
      </c>
      <c r="AS69" s="1353">
        <f>IF(AQ69&lt;&gt;"",IF(VLOOKUP($A69,Actions!$F$1:$AQ$70,34,0)="Commune",(VLOOKUP($A69,Actions!$F$1:$AQ$70,24,0)-VLOOKUP($A69,Actions!$F$1:$AQ$70,26,0))/(1+VLOOKUP($A69,Actions!$F$1:$AQ$70,21,0)-VLOOKUP($A69,Actions!$F$1:$AQ$70,20,0)),0),0)</f>
        <v>0</v>
      </c>
      <c r="AT69" s="1353">
        <f>IF(AM69="",AP69,IF(AND(AQ69="",AM69&lt;&gt;""),VLOOKUP($A69,Actions!$F$1:$AQ$70,31,0),0))</f>
        <v>0</v>
      </c>
      <c r="AU69" s="1354" t="str">
        <f>IF(OR(Actions!$Y63=AU$7,AND(Actions!$Y63&lt;=AU$7,Actions!$Z63&gt;=AU$7)),Actions!$AA63,"")</f>
        <v/>
      </c>
      <c r="AV69" s="1353">
        <f>IF(AU69&lt;&gt;"",VLOOKUP($A69,Actions!$F$1:$AQ$70,38,0)/(1+VLOOKUP($A69,Actions!$F$1:$AQ$70,21,0)-VLOOKUP($A69,Actions!$F$1:$AQ$70,20,0)),0)</f>
        <v>0</v>
      </c>
      <c r="AW69" s="1353">
        <f>IF(AU69&lt;&gt;"",IF(VLOOKUP($A69,Actions!$F$1:$AQ$70,34,0)="Commune",(VLOOKUP($A69,Actions!$F$1:$AQ$70,24,0)-VLOOKUP($A69,Actions!$F$1:$AQ$70,26,0))/(1+VLOOKUP($A69,Actions!$F$1:$AQ$70,21,0)-VLOOKUP($A69,Actions!$F$1:$AQ$70,20,0)),0),0)</f>
        <v>0</v>
      </c>
      <c r="AX69" s="1353">
        <f>IF(AQ69="",AT69,IF(AND(AU69="",AQ69&lt;&gt;""),VLOOKUP($A69,Actions!$F$1:$AQ$70,31,0),0))</f>
        <v>0</v>
      </c>
      <c r="AY69" s="1354" t="str">
        <f>IF(OR(Actions!$Y63=AY$7,AND(Actions!$Y63&lt;=AY$7,Actions!$Z63&gt;=AY$7)),Actions!$AA63,"")</f>
        <v/>
      </c>
      <c r="AZ69" s="1353">
        <f>IF(AY69&lt;&gt;"",VLOOKUP($A69,Actions!$F$1:$AQ$70,38,0)/(1+VLOOKUP($A69,Actions!$F$1:$AQ$70,21,0)-VLOOKUP($A69,Actions!$F$1:$AQ$70,20,0)),0)</f>
        <v>0</v>
      </c>
      <c r="BA69" s="1353">
        <f>IF(AY69&lt;&gt;"",IF(VLOOKUP($A69,Actions!$F$1:$AQ$70,34,0)="Commune",(VLOOKUP($A69,Actions!$F$1:$AQ$70,24,0)-VLOOKUP($A69,Actions!$F$1:$AQ$70,26,0))/(1+VLOOKUP($A69,Actions!$F$1:$AQ$70,21,0)-VLOOKUP($A69,Actions!$F$1:$AQ$70,20,0)),0),0)</f>
        <v>0</v>
      </c>
      <c r="BB69" s="1353">
        <f>IF(AU69="",AX69,IF(AND(AY69="",AU69&lt;&gt;""),VLOOKUP($A69,Actions!$F$1:$AQ$70,31,0),0))</f>
        <v>0</v>
      </c>
      <c r="BC69" s="1354" t="str">
        <f>IF(OR(Actions!$Y63=BC$7,AND(Actions!$Y63&lt;=BC$7,Actions!$Z63&gt;=BC$7)),Actions!$AA63,"")</f>
        <v/>
      </c>
      <c r="BD69" s="1353">
        <f>IF(BC69&lt;&gt;"",VLOOKUP($A69,Actions!$F$1:$AQ$70,38,0)/(1+VLOOKUP($A69,Actions!$F$1:$AQ$70,21,0)-VLOOKUP($A69,Actions!$F$1:$AQ$70,20,0)),0)</f>
        <v>0</v>
      </c>
      <c r="BE69" s="1353">
        <f>IF(BC69&lt;&gt;"",IF(VLOOKUP($A69,Actions!$F$1:$AQ$70,34,0)="Commune",(VLOOKUP($A69,Actions!$F$1:$AQ$70,24,0)-VLOOKUP($A69,Actions!$F$1:$AQ$70,26,0))/(1+VLOOKUP($A69,Actions!$F$1:$AQ$70,21,0)-VLOOKUP($A69,Actions!$F$1:$AQ$70,20,0)),0),0)</f>
        <v>0</v>
      </c>
      <c r="BF69" s="1353">
        <f>IF(AY69="",BB69,IF(AND(BC69="",AY69&lt;&gt;""),VLOOKUP($A69,Actions!$F$1:$AQ$70,31,0),0))</f>
        <v>0</v>
      </c>
      <c r="BG69" s="1355">
        <f t="shared" si="0"/>
        <v>0</v>
      </c>
      <c r="BJ69" s="233"/>
      <c r="BK69" s="233"/>
      <c r="BL69" s="233"/>
      <c r="BM69" s="233"/>
      <c r="BN69" s="233"/>
      <c r="BO69" s="233"/>
    </row>
    <row r="70" spans="1:67">
      <c r="A70" s="1349">
        <f>Actions!F64</f>
        <v>63</v>
      </c>
      <c r="B70" s="1352">
        <f>Actions!G64</f>
        <v>0</v>
      </c>
      <c r="C70" s="1353" t="str">
        <f>IF(OR(AND(Actions!Y64&gt;0,Actions!Y64&lt;=$C$7,Actions!Z64&gt;=$C$7),AND(Actions!Y64&gt;0,Actions!Y64&lt;=$C$7,Actions!Z64&lt;Actions!Y64),AND(Actions!Y64=0,Actions!Z64&gt;=$C$7)),Actions!$AA64,"")</f>
        <v/>
      </c>
      <c r="D70" s="1353">
        <f>IF(C70&lt;&gt;"",VLOOKUP($A70,Actions!$F$1:$AQ$70,38,0)/(1+VLOOKUP($A70,Actions!$F$1:$AQ$70,21,0)-VLOOKUP($A70,Actions!$F$1:$AQ$70,20,0)),0)</f>
        <v>0</v>
      </c>
      <c r="E70" s="1353">
        <f>IF(C70&lt;&gt;"",IF(VLOOKUP($A70,Actions!$F$1:$AQ$70,34,0)="Commune",(VLOOKUP($A70,Actions!$F$1:$AQ$70,24,0)-VLOOKUP($A70,Actions!$F$1:$AQ$70,26,0))/(1+VLOOKUP($A70,Actions!$F$1:$AQ$70,21,0)-VLOOKUP($A70,Actions!$F$1:$AQ$70,20,0)),0),0)</f>
        <v>0</v>
      </c>
      <c r="F70" s="1353">
        <v>0</v>
      </c>
      <c r="G70" s="1354" t="str">
        <f>IF(OR(Actions!$Y64=G$7,AND(Actions!$Y64&lt;=G$7,Actions!$Z64&gt;=G$7)),Actions!$AA64,"")</f>
        <v/>
      </c>
      <c r="H70" s="1353">
        <f>IF(G70&lt;&gt;"",VLOOKUP($A70,Actions!$F$1:$AQ$70,38,0)/(1+VLOOKUP($A70,Actions!$F$1:$AQ$70,21,0)-VLOOKUP($A70,Actions!$F$1:$AQ$70,20,0)),0)</f>
        <v>0</v>
      </c>
      <c r="I70" s="1353">
        <f>IF(G70&lt;&gt;"",IF(VLOOKUP($A70,Actions!$F$1:$AQ$70,34,0)="Commune",(VLOOKUP($A70,Actions!$F$1:$AQ$70,24,0)-VLOOKUP($A70,Actions!$F$1:$AQ$70,26,0))/(1+VLOOKUP($A70,Actions!$F$1:$AQ$70,21,0)-VLOOKUP($A70,Actions!$F$1:$AQ$70,20,0)),0),0)</f>
        <v>0</v>
      </c>
      <c r="J70" s="1353">
        <f>IF(C70="",F70,IF(AND(G70="",C70&lt;&gt;""),VLOOKUP($A70,Actions!$F$1:$AQ$70,31,0),0))</f>
        <v>0</v>
      </c>
      <c r="K70" s="1354" t="str">
        <f>IF(OR(Actions!$Y64=K$7,AND(Actions!$Y64&lt;=K$7,Actions!$Z64&gt;=K$7)),Actions!$AA64,"")</f>
        <v/>
      </c>
      <c r="L70" s="1353">
        <f>IF(K70&lt;&gt;"",VLOOKUP($A70,Actions!$F$1:$AQ$70,38,0)/(1+VLOOKUP($A70,Actions!$F$1:$AQ$70,21,0)-VLOOKUP($A70,Actions!$F$1:$AQ$70,20,0)),0)</f>
        <v>0</v>
      </c>
      <c r="M70" s="1353">
        <f>IF(K70&lt;&gt;"",IF(VLOOKUP($A70,Actions!$F$1:$AQ$70,34,0)="Commune",(VLOOKUP($A70,Actions!$F$1:$AQ$70,24,0)-VLOOKUP($A70,Actions!$F$1:$AQ$70,26,0))/(1+VLOOKUP($A70,Actions!$F$1:$AQ$70,21,0)-VLOOKUP($A70,Actions!$F$1:$AQ$70,20,0)),0),0)</f>
        <v>0</v>
      </c>
      <c r="N70" s="1353">
        <f>IF(G70="",J70,IF(AND(K70="",G70&lt;&gt;""),VLOOKUP($A70,Actions!$F$1:$AQ$70,31,0),0))</f>
        <v>0</v>
      </c>
      <c r="O70" s="1354" t="str">
        <f>IF(OR(Actions!$Y64=O$7,AND(Actions!$Y64&lt;=O$7,Actions!$Z64&gt;=O$7)),Actions!$AA64,"")</f>
        <v/>
      </c>
      <c r="P70" s="1353">
        <f>IF(O70&lt;&gt;"",VLOOKUP($A70,Actions!$F$1:$AQ$70,38,0)/(1+VLOOKUP($A70,Actions!$F$1:$AQ$70,21,0)-VLOOKUP($A70,Actions!$F$1:$AQ$70,20,0)),0)</f>
        <v>0</v>
      </c>
      <c r="Q70" s="1353">
        <f>IF(O70&lt;&gt;"",IF(VLOOKUP($A70,Actions!$F$1:$AQ$70,34,0)="Commune",(VLOOKUP($A70,Actions!$F$1:$AQ$70,24,0)-VLOOKUP($A70,Actions!$F$1:$AQ$70,26,0))/(1+VLOOKUP($A70,Actions!$F$1:$AQ$70,21,0)-VLOOKUP($A70,Actions!$F$1:$AQ$70,20,0)),0),0)</f>
        <v>0</v>
      </c>
      <c r="R70" s="1353">
        <f>IF(K70="",N70,IF(AND(O70="",K70&lt;&gt;""),VLOOKUP($A70,Actions!$F$1:$AQ$70,31,0),0))</f>
        <v>0</v>
      </c>
      <c r="S70" s="1354" t="str">
        <f>IF(OR(Actions!$Y64=S$7,AND(Actions!$Y64&lt;=S$7,Actions!$Z64&gt;=S$7)),Actions!$AA64,"")</f>
        <v/>
      </c>
      <c r="T70" s="1353">
        <f>IF(S70&lt;&gt;"",VLOOKUP($A70,Actions!$F$1:$AQ$70,38,0)/(1+VLOOKUP($A70,Actions!$F$1:$AQ$70,21,0)-VLOOKUP($A70,Actions!$F$1:$AQ$70,20,0)),0)</f>
        <v>0</v>
      </c>
      <c r="U70" s="1353">
        <f>IF(S70&lt;&gt;"",IF(VLOOKUP($A70,Actions!$F$1:$AQ$70,34,0)="Commune",(VLOOKUP($A70,Actions!$F$1:$AQ$70,24,0)-VLOOKUP($A70,Actions!$F$1:$AQ$70,26,0))/(1+VLOOKUP($A70,Actions!$F$1:$AQ$70,21,0)-VLOOKUP($A70,Actions!$F$1:$AQ$70,20,0)),0),0)</f>
        <v>0</v>
      </c>
      <c r="V70" s="1353">
        <f>IF(O70="",R70,IF(AND(S70="",O70&lt;&gt;""),VLOOKUP($A70,Actions!$F$1:$AQ$70,31,0),0))</f>
        <v>0</v>
      </c>
      <c r="W70" s="1354" t="str">
        <f>IF(OR(Actions!$Y64=W$7,AND(Actions!$Y64&lt;=W$7,Actions!$Z64&gt;=W$7)),Actions!$AA64,"")</f>
        <v/>
      </c>
      <c r="X70" s="1353">
        <f>IF(W70&lt;&gt;"",VLOOKUP($A70,Actions!$F$1:$AQ$70,38,0)/(1+VLOOKUP($A70,Actions!$F$1:$AQ$70,21,0)-VLOOKUP($A70,Actions!$F$1:$AQ$70,20,0)),0)</f>
        <v>0</v>
      </c>
      <c r="Y70" s="1353">
        <f>IF(W70&lt;&gt;"",IF(VLOOKUP($A70,Actions!$F$1:$AQ$70,34,0)="Commune",(VLOOKUP($A70,Actions!$F$1:$AQ$70,24,0)-VLOOKUP($A70,Actions!$F$1:$AQ$70,26,0))/(1+VLOOKUP($A70,Actions!$F$1:$AQ$70,21,0)-VLOOKUP($A70,Actions!$F$1:$AQ$70,20,0)),0),0)</f>
        <v>0</v>
      </c>
      <c r="Z70" s="1353">
        <f>IF(S70="",V70,IF(AND(W70="",S70&lt;&gt;""),VLOOKUP($A70,Actions!$F$1:$AQ$70,31,0),0))</f>
        <v>0</v>
      </c>
      <c r="AA70" s="1354" t="str">
        <f>IF(OR(Actions!$Y64=AA$7,AND(Actions!$Y64&lt;=AA$7,Actions!$Z64&gt;=AA$7)),Actions!$AA64,"")</f>
        <v/>
      </c>
      <c r="AB70" s="1353">
        <f>IF(AA70&lt;&gt;"",VLOOKUP($A70,Actions!$F$1:$AQ$70,38,0)/(1+VLOOKUP($A70,Actions!$F$1:$AQ$70,21,0)-VLOOKUP($A70,Actions!$F$1:$AQ$70,20,0)),0)</f>
        <v>0</v>
      </c>
      <c r="AC70" s="1353">
        <f>IF(AA70&lt;&gt;"",IF(VLOOKUP($A70,Actions!$F$1:$AQ$70,34,0)="Commune",(VLOOKUP($A70,Actions!$F$1:$AQ$70,24,0)-VLOOKUP($A70,Actions!$F$1:$AQ$70,26,0))/(1+VLOOKUP($A70,Actions!$F$1:$AQ$70,21,0)-VLOOKUP($A70,Actions!$F$1:$AQ$70,20,0)),0),0)</f>
        <v>0</v>
      </c>
      <c r="AD70" s="1353">
        <f>IF(W70="",Z70,IF(AND(AA70="",W70&lt;&gt;""),VLOOKUP($A70,Actions!$F$1:$AQ$70,31,0),0))</f>
        <v>0</v>
      </c>
      <c r="AE70" s="1354" t="str">
        <f>IF(OR(Actions!$Y64=AE$7,AND(Actions!$Y64&lt;=AE$7,Actions!$Z64&gt;=AE$7)),Actions!$AA64,"")</f>
        <v/>
      </c>
      <c r="AF70" s="1353">
        <f>IF(AE70&lt;&gt;"",VLOOKUP($A70,Actions!$F$1:$AQ$70,38,0)/(1+VLOOKUP($A70,Actions!$F$1:$AQ$70,21,0)-VLOOKUP($A70,Actions!$F$1:$AQ$70,20,0)),0)</f>
        <v>0</v>
      </c>
      <c r="AG70" s="1353">
        <f>IF(AE70&lt;&gt;"",IF(VLOOKUP($A70,Actions!$F$1:$AQ$70,34,0)="Commune",(VLOOKUP($A70,Actions!$F$1:$AQ$70,24,0)-VLOOKUP($A70,Actions!$F$1:$AQ$70,26,0))/(1+VLOOKUP($A70,Actions!$F$1:$AQ$70,21,0)-VLOOKUP($A70,Actions!$F$1:$AQ$70,20,0)),0),0)</f>
        <v>0</v>
      </c>
      <c r="AH70" s="1353">
        <f>IF(AA70="",AD70,IF(AND(AE70="",AA70&lt;&gt;""),VLOOKUP($A70,Actions!$F$1:$AQ$70,31,0),0))</f>
        <v>0</v>
      </c>
      <c r="AI70" s="1354" t="str">
        <f>IF(OR(Actions!$Y64=AI$7,AND(Actions!$Y64&lt;=AI$7,Actions!$Z64&gt;=AI$7)),Actions!$AA64,"")</f>
        <v/>
      </c>
      <c r="AJ70" s="1353">
        <f>IF(AI70&lt;&gt;"",VLOOKUP($A70,Actions!$F$1:$AQ$70,38,0)/(1+VLOOKUP($A70,Actions!$F$1:$AQ$70,21,0)-VLOOKUP($A70,Actions!$F$1:$AQ$70,20,0)),0)</f>
        <v>0</v>
      </c>
      <c r="AK70" s="1353">
        <f>IF(AI70&lt;&gt;"",IF(VLOOKUP($A70,Actions!$F$1:$AQ$70,34,0)="Commune",(VLOOKUP($A70,Actions!$F$1:$AQ$70,24,0)-VLOOKUP($A70,Actions!$F$1:$AQ$70,26,0))/(1+VLOOKUP($A70,Actions!$F$1:$AQ$70,21,0)-VLOOKUP($A70,Actions!$F$1:$AQ$70,20,0)),0),0)</f>
        <v>0</v>
      </c>
      <c r="AL70" s="1353">
        <f>IF(AE70="",AH70,IF(AND(AI70="",AE70&lt;&gt;""),VLOOKUP($A70,Actions!$F$1:$AQ$70,31,0),0))</f>
        <v>0</v>
      </c>
      <c r="AM70" s="1354" t="str">
        <f>IF(OR(Actions!$Y64=AM$7,AND(Actions!$Y64&lt;=AM$7,Actions!$Z64&gt;=AM$7)),Actions!$AA64,"")</f>
        <v/>
      </c>
      <c r="AN70" s="1353">
        <f>IF(AM70&lt;&gt;"",VLOOKUP($A70,Actions!$F$1:$AQ$70,38,0)/(1+VLOOKUP($A70,Actions!$F$1:$AQ$70,21,0)-VLOOKUP($A70,Actions!$F$1:$AQ$70,20,0)),0)</f>
        <v>0</v>
      </c>
      <c r="AO70" s="1353">
        <f>IF(AM70&lt;&gt;"",IF(VLOOKUP($A70,Actions!$F$1:$AQ$70,34,0)="Commune",(VLOOKUP($A70,Actions!$F$1:$AQ$70,24,0)-VLOOKUP($A70,Actions!$F$1:$AQ$70,26,0))/(1+VLOOKUP($A70,Actions!$F$1:$AQ$70,21,0)-VLOOKUP($A70,Actions!$F$1:$AQ$70,20,0)),0),0)</f>
        <v>0</v>
      </c>
      <c r="AP70" s="1353">
        <f>IF(AI70="",AL70,IF(AND(AM70="",AI70&lt;&gt;""),VLOOKUP($A70,Actions!$F$1:$AQ$70,31,0),0))</f>
        <v>0</v>
      </c>
      <c r="AQ70" s="1354" t="str">
        <f>IF(OR(Actions!$Y64=AQ$7,AND(Actions!$Y64&lt;=AQ$7,Actions!$Z64&gt;=AQ$7)),Actions!$AA64,"")</f>
        <v/>
      </c>
      <c r="AR70" s="1353">
        <f>IF(AQ70&lt;&gt;"",VLOOKUP($A70,Actions!$F$1:$AQ$70,38,0)/(1+VLOOKUP($A70,Actions!$F$1:$AQ$70,21,0)-VLOOKUP($A70,Actions!$F$1:$AQ$70,20,0)),0)</f>
        <v>0</v>
      </c>
      <c r="AS70" s="1353">
        <f>IF(AQ70&lt;&gt;"",IF(VLOOKUP($A70,Actions!$F$1:$AQ$70,34,0)="Commune",(VLOOKUP($A70,Actions!$F$1:$AQ$70,24,0)-VLOOKUP($A70,Actions!$F$1:$AQ$70,26,0))/(1+VLOOKUP($A70,Actions!$F$1:$AQ$70,21,0)-VLOOKUP($A70,Actions!$F$1:$AQ$70,20,0)),0),0)</f>
        <v>0</v>
      </c>
      <c r="AT70" s="1353">
        <f>IF(AM70="",AP70,IF(AND(AQ70="",AM70&lt;&gt;""),VLOOKUP($A70,Actions!$F$1:$AQ$70,31,0),0))</f>
        <v>0</v>
      </c>
      <c r="AU70" s="1354" t="str">
        <f>IF(OR(Actions!$Y64=AU$7,AND(Actions!$Y64&lt;=AU$7,Actions!$Z64&gt;=AU$7)),Actions!$AA64,"")</f>
        <v/>
      </c>
      <c r="AV70" s="1353">
        <f>IF(AU70&lt;&gt;"",VLOOKUP($A70,Actions!$F$1:$AQ$70,38,0)/(1+VLOOKUP($A70,Actions!$F$1:$AQ$70,21,0)-VLOOKUP($A70,Actions!$F$1:$AQ$70,20,0)),0)</f>
        <v>0</v>
      </c>
      <c r="AW70" s="1353">
        <f>IF(AU70&lt;&gt;"",IF(VLOOKUP($A70,Actions!$F$1:$AQ$70,34,0)="Commune",(VLOOKUP($A70,Actions!$F$1:$AQ$70,24,0)-VLOOKUP($A70,Actions!$F$1:$AQ$70,26,0))/(1+VLOOKUP($A70,Actions!$F$1:$AQ$70,21,0)-VLOOKUP($A70,Actions!$F$1:$AQ$70,20,0)),0),0)</f>
        <v>0</v>
      </c>
      <c r="AX70" s="1353">
        <f>IF(AQ70="",AT70,IF(AND(AU70="",AQ70&lt;&gt;""),VLOOKUP($A70,Actions!$F$1:$AQ$70,31,0),0))</f>
        <v>0</v>
      </c>
      <c r="AY70" s="1354" t="str">
        <f>IF(OR(Actions!$Y64=AY$7,AND(Actions!$Y64&lt;=AY$7,Actions!$Z64&gt;=AY$7)),Actions!$AA64,"")</f>
        <v/>
      </c>
      <c r="AZ70" s="1353">
        <f>IF(AY70&lt;&gt;"",VLOOKUP($A70,Actions!$F$1:$AQ$70,38,0)/(1+VLOOKUP($A70,Actions!$F$1:$AQ$70,21,0)-VLOOKUP($A70,Actions!$F$1:$AQ$70,20,0)),0)</f>
        <v>0</v>
      </c>
      <c r="BA70" s="1353">
        <f>IF(AY70&lt;&gt;"",IF(VLOOKUP($A70,Actions!$F$1:$AQ$70,34,0)="Commune",(VLOOKUP($A70,Actions!$F$1:$AQ$70,24,0)-VLOOKUP($A70,Actions!$F$1:$AQ$70,26,0))/(1+VLOOKUP($A70,Actions!$F$1:$AQ$70,21,0)-VLOOKUP($A70,Actions!$F$1:$AQ$70,20,0)),0),0)</f>
        <v>0</v>
      </c>
      <c r="BB70" s="1353">
        <f>IF(AU70="",AX70,IF(AND(AY70="",AU70&lt;&gt;""),VLOOKUP($A70,Actions!$F$1:$AQ$70,31,0),0))</f>
        <v>0</v>
      </c>
      <c r="BC70" s="1354" t="str">
        <f>IF(OR(Actions!$Y64=BC$7,AND(Actions!$Y64&lt;=BC$7,Actions!$Z64&gt;=BC$7)),Actions!$AA64,"")</f>
        <v/>
      </c>
      <c r="BD70" s="1353">
        <f>IF(BC70&lt;&gt;"",VLOOKUP($A70,Actions!$F$1:$AQ$70,38,0)/(1+VLOOKUP($A70,Actions!$F$1:$AQ$70,21,0)-VLOOKUP($A70,Actions!$F$1:$AQ$70,20,0)),0)</f>
        <v>0</v>
      </c>
      <c r="BE70" s="1353">
        <f>IF(BC70&lt;&gt;"",IF(VLOOKUP($A70,Actions!$F$1:$AQ$70,34,0)="Commune",(VLOOKUP($A70,Actions!$F$1:$AQ$70,24,0)-VLOOKUP($A70,Actions!$F$1:$AQ$70,26,0))/(1+VLOOKUP($A70,Actions!$F$1:$AQ$70,21,0)-VLOOKUP($A70,Actions!$F$1:$AQ$70,20,0)),0),0)</f>
        <v>0</v>
      </c>
      <c r="BF70" s="1353">
        <f>IF(AY70="",BB70,IF(AND(BC70="",AY70&lt;&gt;""),VLOOKUP($A70,Actions!$F$1:$AQ$70,31,0),0))</f>
        <v>0</v>
      </c>
      <c r="BG70" s="1355">
        <f t="shared" si="0"/>
        <v>0</v>
      </c>
      <c r="BJ70" s="233"/>
      <c r="BK70" s="233"/>
      <c r="BL70" s="233"/>
      <c r="BM70" s="233"/>
      <c r="BN70" s="233"/>
      <c r="BO70" s="233"/>
    </row>
    <row r="71" spans="1:67">
      <c r="A71" s="1349">
        <f>Actions!F65</f>
        <v>64</v>
      </c>
      <c r="B71" s="1352">
        <f>Actions!G65</f>
        <v>0</v>
      </c>
      <c r="C71" s="1353" t="str">
        <f>IF(OR(AND(Actions!Y65&gt;0,Actions!Y65&lt;=$C$7,Actions!Z65&gt;=$C$7),AND(Actions!Y65&gt;0,Actions!Y65&lt;=$C$7,Actions!Z65&lt;Actions!Y65),AND(Actions!Y65=0,Actions!Z65&gt;=$C$7)),Actions!$AA65,"")</f>
        <v/>
      </c>
      <c r="D71" s="1353">
        <f>IF(C71&lt;&gt;"",VLOOKUP($A71,Actions!$F$1:$AQ$70,38,0)/(1+VLOOKUP($A71,Actions!$F$1:$AQ$70,21,0)-VLOOKUP($A71,Actions!$F$1:$AQ$70,20,0)),0)</f>
        <v>0</v>
      </c>
      <c r="E71" s="1353">
        <f>IF(C71&lt;&gt;"",IF(VLOOKUP($A71,Actions!$F$1:$AQ$70,34,0)="Commune",(VLOOKUP($A71,Actions!$F$1:$AQ$70,24,0)-VLOOKUP($A71,Actions!$F$1:$AQ$70,26,0))/(1+VLOOKUP($A71,Actions!$F$1:$AQ$70,21,0)-VLOOKUP($A71,Actions!$F$1:$AQ$70,20,0)),0),0)</f>
        <v>0</v>
      </c>
      <c r="F71" s="1353">
        <v>0</v>
      </c>
      <c r="G71" s="1354" t="str">
        <f>IF(OR(Actions!$Y65=G$7,AND(Actions!$Y65&lt;=G$7,Actions!$Z65&gt;=G$7)),Actions!$AA65,"")</f>
        <v/>
      </c>
      <c r="H71" s="1353">
        <f>IF(G71&lt;&gt;"",VLOOKUP($A71,Actions!$F$1:$AQ$70,38,0)/(1+VLOOKUP($A71,Actions!$F$1:$AQ$70,21,0)-VLOOKUP($A71,Actions!$F$1:$AQ$70,20,0)),0)</f>
        <v>0</v>
      </c>
      <c r="I71" s="1353">
        <f>IF(G71&lt;&gt;"",IF(VLOOKUP($A71,Actions!$F$1:$AQ$70,34,0)="Commune",(VLOOKUP($A71,Actions!$F$1:$AQ$70,24,0)-VLOOKUP($A71,Actions!$F$1:$AQ$70,26,0))/(1+VLOOKUP($A71,Actions!$F$1:$AQ$70,21,0)-VLOOKUP($A71,Actions!$F$1:$AQ$70,20,0)),0),0)</f>
        <v>0</v>
      </c>
      <c r="J71" s="1353">
        <f>IF(C71="",F71,IF(AND(G71="",C71&lt;&gt;""),VLOOKUP($A71,Actions!$F$1:$AQ$70,31,0),0))</f>
        <v>0</v>
      </c>
      <c r="K71" s="1354" t="str">
        <f>IF(OR(Actions!$Y65=K$7,AND(Actions!$Y65&lt;=K$7,Actions!$Z65&gt;=K$7)),Actions!$AA65,"")</f>
        <v/>
      </c>
      <c r="L71" s="1353">
        <f>IF(K71&lt;&gt;"",VLOOKUP($A71,Actions!$F$1:$AQ$70,38,0)/(1+VLOOKUP($A71,Actions!$F$1:$AQ$70,21,0)-VLOOKUP($A71,Actions!$F$1:$AQ$70,20,0)),0)</f>
        <v>0</v>
      </c>
      <c r="M71" s="1353">
        <f>IF(K71&lt;&gt;"",IF(VLOOKUP($A71,Actions!$F$1:$AQ$70,34,0)="Commune",(VLOOKUP($A71,Actions!$F$1:$AQ$70,24,0)-VLOOKUP($A71,Actions!$F$1:$AQ$70,26,0))/(1+VLOOKUP($A71,Actions!$F$1:$AQ$70,21,0)-VLOOKUP($A71,Actions!$F$1:$AQ$70,20,0)),0),0)</f>
        <v>0</v>
      </c>
      <c r="N71" s="1353">
        <f>IF(G71="",J71,IF(AND(K71="",G71&lt;&gt;""),VLOOKUP($A71,Actions!$F$1:$AQ$70,31,0),0))</f>
        <v>0</v>
      </c>
      <c r="O71" s="1354" t="str">
        <f>IF(OR(Actions!$Y65=O$7,AND(Actions!$Y65&lt;=O$7,Actions!$Z65&gt;=O$7)),Actions!$AA65,"")</f>
        <v/>
      </c>
      <c r="P71" s="1353">
        <f>IF(O71&lt;&gt;"",VLOOKUP($A71,Actions!$F$1:$AQ$70,38,0)/(1+VLOOKUP($A71,Actions!$F$1:$AQ$70,21,0)-VLOOKUP($A71,Actions!$F$1:$AQ$70,20,0)),0)</f>
        <v>0</v>
      </c>
      <c r="Q71" s="1353">
        <f>IF(O71&lt;&gt;"",IF(VLOOKUP($A71,Actions!$F$1:$AQ$70,34,0)="Commune",(VLOOKUP($A71,Actions!$F$1:$AQ$70,24,0)-VLOOKUP($A71,Actions!$F$1:$AQ$70,26,0))/(1+VLOOKUP($A71,Actions!$F$1:$AQ$70,21,0)-VLOOKUP($A71,Actions!$F$1:$AQ$70,20,0)),0),0)</f>
        <v>0</v>
      </c>
      <c r="R71" s="1353">
        <f>IF(K71="",N71,IF(AND(O71="",K71&lt;&gt;""),VLOOKUP($A71,Actions!$F$1:$AQ$70,31,0),0))</f>
        <v>0</v>
      </c>
      <c r="S71" s="1354" t="str">
        <f>IF(OR(Actions!$Y65=S$7,AND(Actions!$Y65&lt;=S$7,Actions!$Z65&gt;=S$7)),Actions!$AA65,"")</f>
        <v/>
      </c>
      <c r="T71" s="1353">
        <f>IF(S71&lt;&gt;"",VLOOKUP($A71,Actions!$F$1:$AQ$70,38,0)/(1+VLOOKUP($A71,Actions!$F$1:$AQ$70,21,0)-VLOOKUP($A71,Actions!$F$1:$AQ$70,20,0)),0)</f>
        <v>0</v>
      </c>
      <c r="U71" s="1353">
        <f>IF(S71&lt;&gt;"",IF(VLOOKUP($A71,Actions!$F$1:$AQ$70,34,0)="Commune",(VLOOKUP($A71,Actions!$F$1:$AQ$70,24,0)-VLOOKUP($A71,Actions!$F$1:$AQ$70,26,0))/(1+VLOOKUP($A71,Actions!$F$1:$AQ$70,21,0)-VLOOKUP($A71,Actions!$F$1:$AQ$70,20,0)),0),0)</f>
        <v>0</v>
      </c>
      <c r="V71" s="1353">
        <f>IF(O71="",R71,IF(AND(S71="",O71&lt;&gt;""),VLOOKUP($A71,Actions!$F$1:$AQ$70,31,0),0))</f>
        <v>0</v>
      </c>
      <c r="W71" s="1354" t="str">
        <f>IF(OR(Actions!$Y65=W$7,AND(Actions!$Y65&lt;=W$7,Actions!$Z65&gt;=W$7)),Actions!$AA65,"")</f>
        <v/>
      </c>
      <c r="X71" s="1353">
        <f>IF(W71&lt;&gt;"",VLOOKUP($A71,Actions!$F$1:$AQ$70,38,0)/(1+VLOOKUP($A71,Actions!$F$1:$AQ$70,21,0)-VLOOKUP($A71,Actions!$F$1:$AQ$70,20,0)),0)</f>
        <v>0</v>
      </c>
      <c r="Y71" s="1353">
        <f>IF(W71&lt;&gt;"",IF(VLOOKUP($A71,Actions!$F$1:$AQ$70,34,0)="Commune",(VLOOKUP($A71,Actions!$F$1:$AQ$70,24,0)-VLOOKUP($A71,Actions!$F$1:$AQ$70,26,0))/(1+VLOOKUP($A71,Actions!$F$1:$AQ$70,21,0)-VLOOKUP($A71,Actions!$F$1:$AQ$70,20,0)),0),0)</f>
        <v>0</v>
      </c>
      <c r="Z71" s="1353">
        <f>IF(S71="",V71,IF(AND(W71="",S71&lt;&gt;""),VLOOKUP($A71,Actions!$F$1:$AQ$70,31,0),0))</f>
        <v>0</v>
      </c>
      <c r="AA71" s="1354" t="str">
        <f>IF(OR(Actions!$Y65=AA$7,AND(Actions!$Y65&lt;=AA$7,Actions!$Z65&gt;=AA$7)),Actions!$AA65,"")</f>
        <v/>
      </c>
      <c r="AB71" s="1353">
        <f>IF(AA71&lt;&gt;"",VLOOKUP($A71,Actions!$F$1:$AQ$70,38,0)/(1+VLOOKUP($A71,Actions!$F$1:$AQ$70,21,0)-VLOOKUP($A71,Actions!$F$1:$AQ$70,20,0)),0)</f>
        <v>0</v>
      </c>
      <c r="AC71" s="1353">
        <f>IF(AA71&lt;&gt;"",IF(VLOOKUP($A71,Actions!$F$1:$AQ$70,34,0)="Commune",(VLOOKUP($A71,Actions!$F$1:$AQ$70,24,0)-VLOOKUP($A71,Actions!$F$1:$AQ$70,26,0))/(1+VLOOKUP($A71,Actions!$F$1:$AQ$70,21,0)-VLOOKUP($A71,Actions!$F$1:$AQ$70,20,0)),0),0)</f>
        <v>0</v>
      </c>
      <c r="AD71" s="1353">
        <f>IF(W71="",Z71,IF(AND(AA71="",W71&lt;&gt;""),VLOOKUP($A71,Actions!$F$1:$AQ$70,31,0),0))</f>
        <v>0</v>
      </c>
      <c r="AE71" s="1354" t="str">
        <f>IF(OR(Actions!$Y65=AE$7,AND(Actions!$Y65&lt;=AE$7,Actions!$Z65&gt;=AE$7)),Actions!$AA65,"")</f>
        <v/>
      </c>
      <c r="AF71" s="1353">
        <f>IF(AE71&lt;&gt;"",VLOOKUP($A71,Actions!$F$1:$AQ$70,38,0)/(1+VLOOKUP($A71,Actions!$F$1:$AQ$70,21,0)-VLOOKUP($A71,Actions!$F$1:$AQ$70,20,0)),0)</f>
        <v>0</v>
      </c>
      <c r="AG71" s="1353">
        <f>IF(AE71&lt;&gt;"",IF(VLOOKUP($A71,Actions!$F$1:$AQ$70,34,0)="Commune",(VLOOKUP($A71,Actions!$F$1:$AQ$70,24,0)-VLOOKUP($A71,Actions!$F$1:$AQ$70,26,0))/(1+VLOOKUP($A71,Actions!$F$1:$AQ$70,21,0)-VLOOKUP($A71,Actions!$F$1:$AQ$70,20,0)),0),0)</f>
        <v>0</v>
      </c>
      <c r="AH71" s="1353">
        <f>IF(AA71="",AD71,IF(AND(AE71="",AA71&lt;&gt;""),VLOOKUP($A71,Actions!$F$1:$AQ$70,31,0),0))</f>
        <v>0</v>
      </c>
      <c r="AI71" s="1354" t="str">
        <f>IF(OR(Actions!$Y65=AI$7,AND(Actions!$Y65&lt;=AI$7,Actions!$Z65&gt;=AI$7)),Actions!$AA65,"")</f>
        <v/>
      </c>
      <c r="AJ71" s="1353">
        <f>IF(AI71&lt;&gt;"",VLOOKUP($A71,Actions!$F$1:$AQ$70,38,0)/(1+VLOOKUP($A71,Actions!$F$1:$AQ$70,21,0)-VLOOKUP($A71,Actions!$F$1:$AQ$70,20,0)),0)</f>
        <v>0</v>
      </c>
      <c r="AK71" s="1353">
        <f>IF(AI71&lt;&gt;"",IF(VLOOKUP($A71,Actions!$F$1:$AQ$70,34,0)="Commune",(VLOOKUP($A71,Actions!$F$1:$AQ$70,24,0)-VLOOKUP($A71,Actions!$F$1:$AQ$70,26,0))/(1+VLOOKUP($A71,Actions!$F$1:$AQ$70,21,0)-VLOOKUP($A71,Actions!$F$1:$AQ$70,20,0)),0),0)</f>
        <v>0</v>
      </c>
      <c r="AL71" s="1353">
        <f>IF(AE71="",AH71,IF(AND(AI71="",AE71&lt;&gt;""),VLOOKUP($A71,Actions!$F$1:$AQ$70,31,0),0))</f>
        <v>0</v>
      </c>
      <c r="AM71" s="1354" t="str">
        <f>IF(OR(Actions!$Y65=AM$7,AND(Actions!$Y65&lt;=AM$7,Actions!$Z65&gt;=AM$7)),Actions!$AA65,"")</f>
        <v/>
      </c>
      <c r="AN71" s="1353">
        <f>IF(AM71&lt;&gt;"",VLOOKUP($A71,Actions!$F$1:$AQ$70,38,0)/(1+VLOOKUP($A71,Actions!$F$1:$AQ$70,21,0)-VLOOKUP($A71,Actions!$F$1:$AQ$70,20,0)),0)</f>
        <v>0</v>
      </c>
      <c r="AO71" s="1353">
        <f>IF(AM71&lt;&gt;"",IF(VLOOKUP($A71,Actions!$F$1:$AQ$70,34,0)="Commune",(VLOOKUP($A71,Actions!$F$1:$AQ$70,24,0)-VLOOKUP($A71,Actions!$F$1:$AQ$70,26,0))/(1+VLOOKUP($A71,Actions!$F$1:$AQ$70,21,0)-VLOOKUP($A71,Actions!$F$1:$AQ$70,20,0)),0),0)</f>
        <v>0</v>
      </c>
      <c r="AP71" s="1353">
        <f>IF(AI71="",AL71,IF(AND(AM71="",AI71&lt;&gt;""),VLOOKUP($A71,Actions!$F$1:$AQ$70,31,0),0))</f>
        <v>0</v>
      </c>
      <c r="AQ71" s="1354" t="str">
        <f>IF(OR(Actions!$Y65=AQ$7,AND(Actions!$Y65&lt;=AQ$7,Actions!$Z65&gt;=AQ$7)),Actions!$AA65,"")</f>
        <v/>
      </c>
      <c r="AR71" s="1353">
        <f>IF(AQ71&lt;&gt;"",VLOOKUP($A71,Actions!$F$1:$AQ$70,38,0)/(1+VLOOKUP($A71,Actions!$F$1:$AQ$70,21,0)-VLOOKUP($A71,Actions!$F$1:$AQ$70,20,0)),0)</f>
        <v>0</v>
      </c>
      <c r="AS71" s="1353">
        <f>IF(AQ71&lt;&gt;"",IF(VLOOKUP($A71,Actions!$F$1:$AQ$70,34,0)="Commune",(VLOOKUP($A71,Actions!$F$1:$AQ$70,24,0)-VLOOKUP($A71,Actions!$F$1:$AQ$70,26,0))/(1+VLOOKUP($A71,Actions!$F$1:$AQ$70,21,0)-VLOOKUP($A71,Actions!$F$1:$AQ$70,20,0)),0),0)</f>
        <v>0</v>
      </c>
      <c r="AT71" s="1353">
        <f>IF(AM71="",AP71,IF(AND(AQ71="",AM71&lt;&gt;""),VLOOKUP($A71,Actions!$F$1:$AQ$70,31,0),0))</f>
        <v>0</v>
      </c>
      <c r="AU71" s="1354" t="str">
        <f>IF(OR(Actions!$Y65=AU$7,AND(Actions!$Y65&lt;=AU$7,Actions!$Z65&gt;=AU$7)),Actions!$AA65,"")</f>
        <v/>
      </c>
      <c r="AV71" s="1353">
        <f>IF(AU71&lt;&gt;"",VLOOKUP($A71,Actions!$F$1:$AQ$70,38,0)/(1+VLOOKUP($A71,Actions!$F$1:$AQ$70,21,0)-VLOOKUP($A71,Actions!$F$1:$AQ$70,20,0)),0)</f>
        <v>0</v>
      </c>
      <c r="AW71" s="1353">
        <f>IF(AU71&lt;&gt;"",IF(VLOOKUP($A71,Actions!$F$1:$AQ$70,34,0)="Commune",(VLOOKUP($A71,Actions!$F$1:$AQ$70,24,0)-VLOOKUP($A71,Actions!$F$1:$AQ$70,26,0))/(1+VLOOKUP($A71,Actions!$F$1:$AQ$70,21,0)-VLOOKUP($A71,Actions!$F$1:$AQ$70,20,0)),0),0)</f>
        <v>0</v>
      </c>
      <c r="AX71" s="1353">
        <f>IF(AQ71="",AT71,IF(AND(AU71="",AQ71&lt;&gt;""),VLOOKUP($A71,Actions!$F$1:$AQ$70,31,0),0))</f>
        <v>0</v>
      </c>
      <c r="AY71" s="1354" t="str">
        <f>IF(OR(Actions!$Y65=AY$7,AND(Actions!$Y65&lt;=AY$7,Actions!$Z65&gt;=AY$7)),Actions!$AA65,"")</f>
        <v/>
      </c>
      <c r="AZ71" s="1353">
        <f>IF(AY71&lt;&gt;"",VLOOKUP($A71,Actions!$F$1:$AQ$70,38,0)/(1+VLOOKUP($A71,Actions!$F$1:$AQ$70,21,0)-VLOOKUP($A71,Actions!$F$1:$AQ$70,20,0)),0)</f>
        <v>0</v>
      </c>
      <c r="BA71" s="1353">
        <f>IF(AY71&lt;&gt;"",IF(VLOOKUP($A71,Actions!$F$1:$AQ$70,34,0)="Commune",(VLOOKUP($A71,Actions!$F$1:$AQ$70,24,0)-VLOOKUP($A71,Actions!$F$1:$AQ$70,26,0))/(1+VLOOKUP($A71,Actions!$F$1:$AQ$70,21,0)-VLOOKUP($A71,Actions!$F$1:$AQ$70,20,0)),0),0)</f>
        <v>0</v>
      </c>
      <c r="BB71" s="1353">
        <f>IF(AU71="",AX71,IF(AND(AY71="",AU71&lt;&gt;""),VLOOKUP($A71,Actions!$F$1:$AQ$70,31,0),0))</f>
        <v>0</v>
      </c>
      <c r="BC71" s="1354" t="str">
        <f>IF(OR(Actions!$Y65=BC$7,AND(Actions!$Y65&lt;=BC$7,Actions!$Z65&gt;=BC$7)),Actions!$AA65,"")</f>
        <v/>
      </c>
      <c r="BD71" s="1353">
        <f>IF(BC71&lt;&gt;"",VLOOKUP($A71,Actions!$F$1:$AQ$70,38,0)/(1+VLOOKUP($A71,Actions!$F$1:$AQ$70,21,0)-VLOOKUP($A71,Actions!$F$1:$AQ$70,20,0)),0)</f>
        <v>0</v>
      </c>
      <c r="BE71" s="1353">
        <f>IF(BC71&lt;&gt;"",IF(VLOOKUP($A71,Actions!$F$1:$AQ$70,34,0)="Commune",(VLOOKUP($A71,Actions!$F$1:$AQ$70,24,0)-VLOOKUP($A71,Actions!$F$1:$AQ$70,26,0))/(1+VLOOKUP($A71,Actions!$F$1:$AQ$70,21,0)-VLOOKUP($A71,Actions!$F$1:$AQ$70,20,0)),0),0)</f>
        <v>0</v>
      </c>
      <c r="BF71" s="1353">
        <f>IF(AY71="",BB71,IF(AND(BC71="",AY71&lt;&gt;""),VLOOKUP($A71,Actions!$F$1:$AQ$70,31,0),0))</f>
        <v>0</v>
      </c>
      <c r="BG71" s="1355">
        <f t="shared" si="0"/>
        <v>0</v>
      </c>
      <c r="BJ71" s="233"/>
      <c r="BK71" s="233"/>
      <c r="BL71" s="233"/>
      <c r="BM71" s="233"/>
      <c r="BN71" s="233"/>
      <c r="BO71" s="233"/>
    </row>
    <row r="72" spans="1:67">
      <c r="A72" s="1349">
        <f>Actions!F66</f>
        <v>65</v>
      </c>
      <c r="B72" s="1352">
        <f>Actions!G66</f>
        <v>0</v>
      </c>
      <c r="C72" s="1353" t="str">
        <f>IF(OR(AND(Actions!Y66&gt;0,Actions!Y66&lt;=$C$7,Actions!Z66&gt;=$C$7),AND(Actions!Y66&gt;0,Actions!Y66&lt;=$C$7,Actions!Z66&lt;Actions!Y66),AND(Actions!Y66=0,Actions!Z66&gt;=$C$7)),Actions!$AA66,"")</f>
        <v/>
      </c>
      <c r="D72" s="1353">
        <f>IF(C72&lt;&gt;"",VLOOKUP($A72,Actions!$F$1:$AQ$70,38,0)/(1+VLOOKUP($A72,Actions!$F$1:$AQ$70,21,0)-VLOOKUP($A72,Actions!$F$1:$AQ$70,20,0)),0)</f>
        <v>0</v>
      </c>
      <c r="E72" s="1353">
        <f>IF(C72&lt;&gt;"",IF(VLOOKUP($A72,Actions!$F$1:$AQ$70,34,0)="Commune",(VLOOKUP($A72,Actions!$F$1:$AQ$70,24,0)-VLOOKUP($A72,Actions!$F$1:$AQ$70,26,0))/(1+VLOOKUP($A72,Actions!$F$1:$AQ$70,21,0)-VLOOKUP($A72,Actions!$F$1:$AQ$70,20,0)),0),0)</f>
        <v>0</v>
      </c>
      <c r="F72" s="1353">
        <v>0</v>
      </c>
      <c r="G72" s="1354" t="str">
        <f>IF(OR(Actions!$Y66=G$7,AND(Actions!$Y66&lt;=G$7,Actions!$Z66&gt;=G$7)),Actions!$AA66,"")</f>
        <v/>
      </c>
      <c r="H72" s="1353">
        <f>IF(G72&lt;&gt;"",VLOOKUP($A72,Actions!$F$1:$AQ$70,38,0)/(1+VLOOKUP($A72,Actions!$F$1:$AQ$70,21,0)-VLOOKUP($A72,Actions!$F$1:$AQ$70,20,0)),0)</f>
        <v>0</v>
      </c>
      <c r="I72" s="1353">
        <f>IF(G72&lt;&gt;"",IF(VLOOKUP($A72,Actions!$F$1:$AQ$70,34,0)="Commune",(VLOOKUP($A72,Actions!$F$1:$AQ$70,24,0)-VLOOKUP($A72,Actions!$F$1:$AQ$70,26,0))/(1+VLOOKUP($A72,Actions!$F$1:$AQ$70,21,0)-VLOOKUP($A72,Actions!$F$1:$AQ$70,20,0)),0),0)</f>
        <v>0</v>
      </c>
      <c r="J72" s="1353">
        <f>IF(C72="",F72,IF(AND(G72="",C72&lt;&gt;""),VLOOKUP($A72,Actions!$F$1:$AQ$70,31,0),0))</f>
        <v>0</v>
      </c>
      <c r="K72" s="1354" t="str">
        <f>IF(OR(Actions!$Y66=K$7,AND(Actions!$Y66&lt;=K$7,Actions!$Z66&gt;=K$7)),Actions!$AA66,"")</f>
        <v/>
      </c>
      <c r="L72" s="1353">
        <f>IF(K72&lt;&gt;"",VLOOKUP($A72,Actions!$F$1:$AQ$70,38,0)/(1+VLOOKUP($A72,Actions!$F$1:$AQ$70,21,0)-VLOOKUP($A72,Actions!$F$1:$AQ$70,20,0)),0)</f>
        <v>0</v>
      </c>
      <c r="M72" s="1353">
        <f>IF(K72&lt;&gt;"",IF(VLOOKUP($A72,Actions!$F$1:$AQ$70,34,0)="Commune",(VLOOKUP($A72,Actions!$F$1:$AQ$70,24,0)-VLOOKUP($A72,Actions!$F$1:$AQ$70,26,0))/(1+VLOOKUP($A72,Actions!$F$1:$AQ$70,21,0)-VLOOKUP($A72,Actions!$F$1:$AQ$70,20,0)),0),0)</f>
        <v>0</v>
      </c>
      <c r="N72" s="1353">
        <f>IF(G72="",J72,IF(AND(K72="",G72&lt;&gt;""),VLOOKUP($A72,Actions!$F$1:$AQ$70,31,0),0))</f>
        <v>0</v>
      </c>
      <c r="O72" s="1354" t="str">
        <f>IF(OR(Actions!$Y66=O$7,AND(Actions!$Y66&lt;=O$7,Actions!$Z66&gt;=O$7)),Actions!$AA66,"")</f>
        <v/>
      </c>
      <c r="P72" s="1353">
        <f>IF(O72&lt;&gt;"",VLOOKUP($A72,Actions!$F$1:$AQ$70,38,0)/(1+VLOOKUP($A72,Actions!$F$1:$AQ$70,21,0)-VLOOKUP($A72,Actions!$F$1:$AQ$70,20,0)),0)</f>
        <v>0</v>
      </c>
      <c r="Q72" s="1353">
        <f>IF(O72&lt;&gt;"",IF(VLOOKUP($A72,Actions!$F$1:$AQ$70,34,0)="Commune",(VLOOKUP($A72,Actions!$F$1:$AQ$70,24,0)-VLOOKUP($A72,Actions!$F$1:$AQ$70,26,0))/(1+VLOOKUP($A72,Actions!$F$1:$AQ$70,21,0)-VLOOKUP($A72,Actions!$F$1:$AQ$70,20,0)),0),0)</f>
        <v>0</v>
      </c>
      <c r="R72" s="1353">
        <f>IF(K72="",N72,IF(AND(O72="",K72&lt;&gt;""),VLOOKUP($A72,Actions!$F$1:$AQ$70,31,0),0))</f>
        <v>0</v>
      </c>
      <c r="S72" s="1354" t="str">
        <f>IF(OR(Actions!$Y66=S$7,AND(Actions!$Y66&lt;=S$7,Actions!$Z66&gt;=S$7)),Actions!$AA66,"")</f>
        <v/>
      </c>
      <c r="T72" s="1353">
        <f>IF(S72&lt;&gt;"",VLOOKUP($A72,Actions!$F$1:$AQ$70,38,0)/(1+VLOOKUP($A72,Actions!$F$1:$AQ$70,21,0)-VLOOKUP($A72,Actions!$F$1:$AQ$70,20,0)),0)</f>
        <v>0</v>
      </c>
      <c r="U72" s="1353">
        <f>IF(S72&lt;&gt;"",IF(VLOOKUP($A72,Actions!$F$1:$AQ$70,34,0)="Commune",(VLOOKUP($A72,Actions!$F$1:$AQ$70,24,0)-VLOOKUP($A72,Actions!$F$1:$AQ$70,26,0))/(1+VLOOKUP($A72,Actions!$F$1:$AQ$70,21,0)-VLOOKUP($A72,Actions!$F$1:$AQ$70,20,0)),0),0)</f>
        <v>0</v>
      </c>
      <c r="V72" s="1353">
        <f>IF(O72="",R72,IF(AND(S72="",O72&lt;&gt;""),VLOOKUP($A72,Actions!$F$1:$AQ$70,31,0),0))</f>
        <v>0</v>
      </c>
      <c r="W72" s="1354" t="str">
        <f>IF(OR(Actions!$Y66=W$7,AND(Actions!$Y66&lt;=W$7,Actions!$Z66&gt;=W$7)),Actions!$AA66,"")</f>
        <v/>
      </c>
      <c r="X72" s="1353">
        <f>IF(W72&lt;&gt;"",VLOOKUP($A72,Actions!$F$1:$AQ$70,38,0)/(1+VLOOKUP($A72,Actions!$F$1:$AQ$70,21,0)-VLOOKUP($A72,Actions!$F$1:$AQ$70,20,0)),0)</f>
        <v>0</v>
      </c>
      <c r="Y72" s="1353">
        <f>IF(W72&lt;&gt;"",IF(VLOOKUP($A72,Actions!$F$1:$AQ$70,34,0)="Commune",(VLOOKUP($A72,Actions!$F$1:$AQ$70,24,0)-VLOOKUP($A72,Actions!$F$1:$AQ$70,26,0))/(1+VLOOKUP($A72,Actions!$F$1:$AQ$70,21,0)-VLOOKUP($A72,Actions!$F$1:$AQ$70,20,0)),0),0)</f>
        <v>0</v>
      </c>
      <c r="Z72" s="1353">
        <f>IF(S72="",V72,IF(AND(W72="",S72&lt;&gt;""),VLOOKUP($A72,Actions!$F$1:$AQ$70,31,0),0))</f>
        <v>0</v>
      </c>
      <c r="AA72" s="1354" t="str">
        <f>IF(OR(Actions!$Y66=AA$7,AND(Actions!$Y66&lt;=AA$7,Actions!$Z66&gt;=AA$7)),Actions!$AA66,"")</f>
        <v/>
      </c>
      <c r="AB72" s="1353">
        <f>IF(AA72&lt;&gt;"",VLOOKUP($A72,Actions!$F$1:$AQ$70,38,0)/(1+VLOOKUP($A72,Actions!$F$1:$AQ$70,21,0)-VLOOKUP($A72,Actions!$F$1:$AQ$70,20,0)),0)</f>
        <v>0</v>
      </c>
      <c r="AC72" s="1353">
        <f>IF(AA72&lt;&gt;"",IF(VLOOKUP($A72,Actions!$F$1:$AQ$70,34,0)="Commune",(VLOOKUP($A72,Actions!$F$1:$AQ$70,24,0)-VLOOKUP($A72,Actions!$F$1:$AQ$70,26,0))/(1+VLOOKUP($A72,Actions!$F$1:$AQ$70,21,0)-VLOOKUP($A72,Actions!$F$1:$AQ$70,20,0)),0),0)</f>
        <v>0</v>
      </c>
      <c r="AD72" s="1353">
        <f>IF(W72="",Z72,IF(AND(AA72="",W72&lt;&gt;""),VLOOKUP($A72,Actions!$F$1:$AQ$70,31,0),0))</f>
        <v>0</v>
      </c>
      <c r="AE72" s="1354" t="str">
        <f>IF(OR(Actions!$Y66=AE$7,AND(Actions!$Y66&lt;=AE$7,Actions!$Z66&gt;=AE$7)),Actions!$AA66,"")</f>
        <v/>
      </c>
      <c r="AF72" s="1353">
        <f>IF(AE72&lt;&gt;"",VLOOKUP($A72,Actions!$F$1:$AQ$70,38,0)/(1+VLOOKUP($A72,Actions!$F$1:$AQ$70,21,0)-VLOOKUP($A72,Actions!$F$1:$AQ$70,20,0)),0)</f>
        <v>0</v>
      </c>
      <c r="AG72" s="1353">
        <f>IF(AE72&lt;&gt;"",IF(VLOOKUP($A72,Actions!$F$1:$AQ$70,34,0)="Commune",(VLOOKUP($A72,Actions!$F$1:$AQ$70,24,0)-VLOOKUP($A72,Actions!$F$1:$AQ$70,26,0))/(1+VLOOKUP($A72,Actions!$F$1:$AQ$70,21,0)-VLOOKUP($A72,Actions!$F$1:$AQ$70,20,0)),0),0)</f>
        <v>0</v>
      </c>
      <c r="AH72" s="1353">
        <f>IF(AA72="",AD72,IF(AND(AE72="",AA72&lt;&gt;""),VLOOKUP($A72,Actions!$F$1:$AQ$70,31,0),0))</f>
        <v>0</v>
      </c>
      <c r="AI72" s="1354" t="str">
        <f>IF(OR(Actions!$Y66=AI$7,AND(Actions!$Y66&lt;=AI$7,Actions!$Z66&gt;=AI$7)),Actions!$AA66,"")</f>
        <v/>
      </c>
      <c r="AJ72" s="1353">
        <f>IF(AI72&lt;&gt;"",VLOOKUP($A72,Actions!$F$1:$AQ$70,38,0)/(1+VLOOKUP($A72,Actions!$F$1:$AQ$70,21,0)-VLOOKUP($A72,Actions!$F$1:$AQ$70,20,0)),0)</f>
        <v>0</v>
      </c>
      <c r="AK72" s="1353">
        <f>IF(AI72&lt;&gt;"",IF(VLOOKUP($A72,Actions!$F$1:$AQ$70,34,0)="Commune",(VLOOKUP($A72,Actions!$F$1:$AQ$70,24,0)-VLOOKUP($A72,Actions!$F$1:$AQ$70,26,0))/(1+VLOOKUP($A72,Actions!$F$1:$AQ$70,21,0)-VLOOKUP($A72,Actions!$F$1:$AQ$70,20,0)),0),0)</f>
        <v>0</v>
      </c>
      <c r="AL72" s="1353">
        <f>IF(AE72="",AH72,IF(AND(AI72="",AE72&lt;&gt;""),VLOOKUP($A72,Actions!$F$1:$AQ$70,31,0),0))</f>
        <v>0</v>
      </c>
      <c r="AM72" s="1354" t="str">
        <f>IF(OR(Actions!$Y66=AM$7,AND(Actions!$Y66&lt;=AM$7,Actions!$Z66&gt;=AM$7)),Actions!$AA66,"")</f>
        <v/>
      </c>
      <c r="AN72" s="1353">
        <f>IF(AM72&lt;&gt;"",VLOOKUP($A72,Actions!$F$1:$AQ$70,38,0)/(1+VLOOKUP($A72,Actions!$F$1:$AQ$70,21,0)-VLOOKUP($A72,Actions!$F$1:$AQ$70,20,0)),0)</f>
        <v>0</v>
      </c>
      <c r="AO72" s="1353">
        <f>IF(AM72&lt;&gt;"",IF(VLOOKUP($A72,Actions!$F$1:$AQ$70,34,0)="Commune",(VLOOKUP($A72,Actions!$F$1:$AQ$70,24,0)-VLOOKUP($A72,Actions!$F$1:$AQ$70,26,0))/(1+VLOOKUP($A72,Actions!$F$1:$AQ$70,21,0)-VLOOKUP($A72,Actions!$F$1:$AQ$70,20,0)),0),0)</f>
        <v>0</v>
      </c>
      <c r="AP72" s="1353">
        <f>IF(AI72="",AL72,IF(AND(AM72="",AI72&lt;&gt;""),VLOOKUP($A72,Actions!$F$1:$AQ$70,31,0),0))</f>
        <v>0</v>
      </c>
      <c r="AQ72" s="1354" t="str">
        <f>IF(OR(Actions!$Y66=AQ$7,AND(Actions!$Y66&lt;=AQ$7,Actions!$Z66&gt;=AQ$7)),Actions!$AA66,"")</f>
        <v/>
      </c>
      <c r="AR72" s="1353">
        <f>IF(AQ72&lt;&gt;"",VLOOKUP($A72,Actions!$F$1:$AQ$70,38,0)/(1+VLOOKUP($A72,Actions!$F$1:$AQ$70,21,0)-VLOOKUP($A72,Actions!$F$1:$AQ$70,20,0)),0)</f>
        <v>0</v>
      </c>
      <c r="AS72" s="1353">
        <f>IF(AQ72&lt;&gt;"",IF(VLOOKUP($A72,Actions!$F$1:$AQ$70,34,0)="Commune",(VLOOKUP($A72,Actions!$F$1:$AQ$70,24,0)-VLOOKUP($A72,Actions!$F$1:$AQ$70,26,0))/(1+VLOOKUP($A72,Actions!$F$1:$AQ$70,21,0)-VLOOKUP($A72,Actions!$F$1:$AQ$70,20,0)),0),0)</f>
        <v>0</v>
      </c>
      <c r="AT72" s="1353">
        <f>IF(AM72="",AP72,IF(AND(AQ72="",AM72&lt;&gt;""),VLOOKUP($A72,Actions!$F$1:$AQ$70,31,0),0))</f>
        <v>0</v>
      </c>
      <c r="AU72" s="1354" t="str">
        <f>IF(OR(Actions!$Y66=AU$7,AND(Actions!$Y66&lt;=AU$7,Actions!$Z66&gt;=AU$7)),Actions!$AA66,"")</f>
        <v/>
      </c>
      <c r="AV72" s="1353">
        <f>IF(AU72&lt;&gt;"",VLOOKUP($A72,Actions!$F$1:$AQ$70,38,0)/(1+VLOOKUP($A72,Actions!$F$1:$AQ$70,21,0)-VLOOKUP($A72,Actions!$F$1:$AQ$70,20,0)),0)</f>
        <v>0</v>
      </c>
      <c r="AW72" s="1353">
        <f>IF(AU72&lt;&gt;"",IF(VLOOKUP($A72,Actions!$F$1:$AQ$70,34,0)="Commune",(VLOOKUP($A72,Actions!$F$1:$AQ$70,24,0)-VLOOKUP($A72,Actions!$F$1:$AQ$70,26,0))/(1+VLOOKUP($A72,Actions!$F$1:$AQ$70,21,0)-VLOOKUP($A72,Actions!$F$1:$AQ$70,20,0)),0),0)</f>
        <v>0</v>
      </c>
      <c r="AX72" s="1353">
        <f>IF(AQ72="",AT72,IF(AND(AU72="",AQ72&lt;&gt;""),VLOOKUP($A72,Actions!$F$1:$AQ$70,31,0),0))</f>
        <v>0</v>
      </c>
      <c r="AY72" s="1354" t="str">
        <f>IF(OR(Actions!$Y66=AY$7,AND(Actions!$Y66&lt;=AY$7,Actions!$Z66&gt;=AY$7)),Actions!$AA66,"")</f>
        <v/>
      </c>
      <c r="AZ72" s="1353">
        <f>IF(AY72&lt;&gt;"",VLOOKUP($A72,Actions!$F$1:$AQ$70,38,0)/(1+VLOOKUP($A72,Actions!$F$1:$AQ$70,21,0)-VLOOKUP($A72,Actions!$F$1:$AQ$70,20,0)),0)</f>
        <v>0</v>
      </c>
      <c r="BA72" s="1353">
        <f>IF(AY72&lt;&gt;"",IF(VLOOKUP($A72,Actions!$F$1:$AQ$70,34,0)="Commune",(VLOOKUP($A72,Actions!$F$1:$AQ$70,24,0)-VLOOKUP($A72,Actions!$F$1:$AQ$70,26,0))/(1+VLOOKUP($A72,Actions!$F$1:$AQ$70,21,0)-VLOOKUP($A72,Actions!$F$1:$AQ$70,20,0)),0),0)</f>
        <v>0</v>
      </c>
      <c r="BB72" s="1353">
        <f>IF(AU72="",AX72,IF(AND(AY72="",AU72&lt;&gt;""),VLOOKUP($A72,Actions!$F$1:$AQ$70,31,0),0))</f>
        <v>0</v>
      </c>
      <c r="BC72" s="1354" t="str">
        <f>IF(OR(Actions!$Y66=BC$7,AND(Actions!$Y66&lt;=BC$7,Actions!$Z66&gt;=BC$7)),Actions!$AA66,"")</f>
        <v/>
      </c>
      <c r="BD72" s="1353">
        <f>IF(BC72&lt;&gt;"",VLOOKUP($A72,Actions!$F$1:$AQ$70,38,0)/(1+VLOOKUP($A72,Actions!$F$1:$AQ$70,21,0)-VLOOKUP($A72,Actions!$F$1:$AQ$70,20,0)),0)</f>
        <v>0</v>
      </c>
      <c r="BE72" s="1353">
        <f>IF(BC72&lt;&gt;"",IF(VLOOKUP($A72,Actions!$F$1:$AQ$70,34,0)="Commune",(VLOOKUP($A72,Actions!$F$1:$AQ$70,24,0)-VLOOKUP($A72,Actions!$F$1:$AQ$70,26,0))/(1+VLOOKUP($A72,Actions!$F$1:$AQ$70,21,0)-VLOOKUP($A72,Actions!$F$1:$AQ$70,20,0)),0),0)</f>
        <v>0</v>
      </c>
      <c r="BF72" s="1353">
        <f>IF(AY72="",BB72,IF(AND(BC72="",AY72&lt;&gt;""),VLOOKUP($A72,Actions!$F$1:$AQ$70,31,0),0))</f>
        <v>0</v>
      </c>
      <c r="BG72" s="1355">
        <f t="shared" si="0"/>
        <v>0</v>
      </c>
      <c r="BJ72" s="233"/>
      <c r="BK72" s="233"/>
      <c r="BL72" s="233"/>
      <c r="BM72" s="233"/>
      <c r="BN72" s="233"/>
      <c r="BO72" s="233"/>
    </row>
    <row r="73" spans="1:67">
      <c r="A73" s="1349">
        <f>Actions!F67</f>
        <v>66</v>
      </c>
      <c r="B73" s="1352">
        <f>Actions!G67</f>
        <v>0</v>
      </c>
      <c r="C73" s="1353" t="str">
        <f>IF(OR(AND(Actions!Y67&gt;0,Actions!Y67&lt;=$C$7,Actions!Z67&gt;=$C$7),AND(Actions!Y67&gt;0,Actions!Y67&lt;=$C$7,Actions!Z67&lt;Actions!Y67),AND(Actions!Y67=0,Actions!Z67&gt;=$C$7)),Actions!$AA67,"")</f>
        <v/>
      </c>
      <c r="D73" s="1353">
        <f>IF(C73&lt;&gt;"",VLOOKUP($A73,Actions!$F$1:$AQ$70,38,0)/(1+VLOOKUP($A73,Actions!$F$1:$AQ$70,21,0)-VLOOKUP($A73,Actions!$F$1:$AQ$70,20,0)),0)</f>
        <v>0</v>
      </c>
      <c r="E73" s="1353">
        <f>IF(C73&lt;&gt;"",IF(VLOOKUP($A73,Actions!$F$1:$AQ$70,34,0)="Commune",(VLOOKUP($A73,Actions!$F$1:$AQ$70,24,0)-VLOOKUP($A73,Actions!$F$1:$AQ$70,26,0))/(1+VLOOKUP($A73,Actions!$F$1:$AQ$70,21,0)-VLOOKUP($A73,Actions!$F$1:$AQ$70,20,0)),0),0)</f>
        <v>0</v>
      </c>
      <c r="F73" s="1353">
        <v>0</v>
      </c>
      <c r="G73" s="1354" t="str">
        <f>IF(OR(Actions!$Y67=G$7,AND(Actions!$Y67&lt;=G$7,Actions!$Z67&gt;=G$7)),Actions!$AA67,"")</f>
        <v/>
      </c>
      <c r="H73" s="1353">
        <f>IF(G73&lt;&gt;"",VLOOKUP($A73,Actions!$F$1:$AQ$70,38,0)/(1+VLOOKUP($A73,Actions!$F$1:$AQ$70,21,0)-VLOOKUP($A73,Actions!$F$1:$AQ$70,20,0)),0)</f>
        <v>0</v>
      </c>
      <c r="I73" s="1353">
        <f>IF(G73&lt;&gt;"",IF(VLOOKUP($A73,Actions!$F$1:$AQ$70,34,0)="Commune",(VLOOKUP($A73,Actions!$F$1:$AQ$70,24,0)-VLOOKUP($A73,Actions!$F$1:$AQ$70,26,0))/(1+VLOOKUP($A73,Actions!$F$1:$AQ$70,21,0)-VLOOKUP($A73,Actions!$F$1:$AQ$70,20,0)),0),0)</f>
        <v>0</v>
      </c>
      <c r="J73" s="1353">
        <f>IF(C73="",F73,IF(AND(G73="",C73&lt;&gt;""),VLOOKUP($A73,Actions!$F$1:$AQ$70,31,0),0))</f>
        <v>0</v>
      </c>
      <c r="K73" s="1354" t="str">
        <f>IF(OR(Actions!$Y67=K$7,AND(Actions!$Y67&lt;=K$7,Actions!$Z67&gt;=K$7)),Actions!$AA67,"")</f>
        <v/>
      </c>
      <c r="L73" s="1353">
        <f>IF(K73&lt;&gt;"",VLOOKUP($A73,Actions!$F$1:$AQ$70,38,0)/(1+VLOOKUP($A73,Actions!$F$1:$AQ$70,21,0)-VLOOKUP($A73,Actions!$F$1:$AQ$70,20,0)),0)</f>
        <v>0</v>
      </c>
      <c r="M73" s="1353">
        <f>IF(K73&lt;&gt;"",IF(VLOOKUP($A73,Actions!$F$1:$AQ$70,34,0)="Commune",(VLOOKUP($A73,Actions!$F$1:$AQ$70,24,0)-VLOOKUP($A73,Actions!$F$1:$AQ$70,26,0))/(1+VLOOKUP($A73,Actions!$F$1:$AQ$70,21,0)-VLOOKUP($A73,Actions!$F$1:$AQ$70,20,0)),0),0)</f>
        <v>0</v>
      </c>
      <c r="N73" s="1353">
        <f>IF(G73="",J73,IF(AND(K73="",G73&lt;&gt;""),VLOOKUP($A73,Actions!$F$1:$AQ$70,31,0),0))</f>
        <v>0</v>
      </c>
      <c r="O73" s="1354" t="str">
        <f>IF(OR(Actions!$Y67=O$7,AND(Actions!$Y67&lt;=O$7,Actions!$Z67&gt;=O$7)),Actions!$AA67,"")</f>
        <v/>
      </c>
      <c r="P73" s="1353">
        <f>IF(O73&lt;&gt;"",VLOOKUP($A73,Actions!$F$1:$AQ$70,38,0)/(1+VLOOKUP($A73,Actions!$F$1:$AQ$70,21,0)-VLOOKUP($A73,Actions!$F$1:$AQ$70,20,0)),0)</f>
        <v>0</v>
      </c>
      <c r="Q73" s="1353">
        <f>IF(O73&lt;&gt;"",IF(VLOOKUP($A73,Actions!$F$1:$AQ$70,34,0)="Commune",(VLOOKUP($A73,Actions!$F$1:$AQ$70,24,0)-VLOOKUP($A73,Actions!$F$1:$AQ$70,26,0))/(1+VLOOKUP($A73,Actions!$F$1:$AQ$70,21,0)-VLOOKUP($A73,Actions!$F$1:$AQ$70,20,0)),0),0)</f>
        <v>0</v>
      </c>
      <c r="R73" s="1353">
        <f>IF(K73="",N73,IF(AND(O73="",K73&lt;&gt;""),VLOOKUP($A73,Actions!$F$1:$AQ$70,31,0),0))</f>
        <v>0</v>
      </c>
      <c r="S73" s="1354" t="str">
        <f>IF(OR(Actions!$Y67=S$7,AND(Actions!$Y67&lt;=S$7,Actions!$Z67&gt;=S$7)),Actions!$AA67,"")</f>
        <v/>
      </c>
      <c r="T73" s="1353">
        <f>IF(S73&lt;&gt;"",VLOOKUP($A73,Actions!$F$1:$AQ$70,38,0)/(1+VLOOKUP($A73,Actions!$F$1:$AQ$70,21,0)-VLOOKUP($A73,Actions!$F$1:$AQ$70,20,0)),0)</f>
        <v>0</v>
      </c>
      <c r="U73" s="1353">
        <f>IF(S73&lt;&gt;"",IF(VLOOKUP($A73,Actions!$F$1:$AQ$70,34,0)="Commune",(VLOOKUP($A73,Actions!$F$1:$AQ$70,24,0)-VLOOKUP($A73,Actions!$F$1:$AQ$70,26,0))/(1+VLOOKUP($A73,Actions!$F$1:$AQ$70,21,0)-VLOOKUP($A73,Actions!$F$1:$AQ$70,20,0)),0),0)</f>
        <v>0</v>
      </c>
      <c r="V73" s="1353">
        <f>IF(O73="",R73,IF(AND(S73="",O73&lt;&gt;""),VLOOKUP($A73,Actions!$F$1:$AQ$70,31,0),0))</f>
        <v>0</v>
      </c>
      <c r="W73" s="1354" t="str">
        <f>IF(OR(Actions!$Y67=W$7,AND(Actions!$Y67&lt;=W$7,Actions!$Z67&gt;=W$7)),Actions!$AA67,"")</f>
        <v/>
      </c>
      <c r="X73" s="1353">
        <f>IF(W73&lt;&gt;"",VLOOKUP($A73,Actions!$F$1:$AQ$70,38,0)/(1+VLOOKUP($A73,Actions!$F$1:$AQ$70,21,0)-VLOOKUP($A73,Actions!$F$1:$AQ$70,20,0)),0)</f>
        <v>0</v>
      </c>
      <c r="Y73" s="1353">
        <f>IF(W73&lt;&gt;"",IF(VLOOKUP($A73,Actions!$F$1:$AQ$70,34,0)="Commune",(VLOOKUP($A73,Actions!$F$1:$AQ$70,24,0)-VLOOKUP($A73,Actions!$F$1:$AQ$70,26,0))/(1+VLOOKUP($A73,Actions!$F$1:$AQ$70,21,0)-VLOOKUP($A73,Actions!$F$1:$AQ$70,20,0)),0),0)</f>
        <v>0</v>
      </c>
      <c r="Z73" s="1353">
        <f>IF(S73="",V73,IF(AND(W73="",S73&lt;&gt;""),VLOOKUP($A73,Actions!$F$1:$AQ$70,31,0),0))</f>
        <v>0</v>
      </c>
      <c r="AA73" s="1354" t="str">
        <f>IF(OR(Actions!$Y67=AA$7,AND(Actions!$Y67&lt;=AA$7,Actions!$Z67&gt;=AA$7)),Actions!$AA67,"")</f>
        <v/>
      </c>
      <c r="AB73" s="1353">
        <f>IF(AA73&lt;&gt;"",VLOOKUP($A73,Actions!$F$1:$AQ$70,38,0)/(1+VLOOKUP($A73,Actions!$F$1:$AQ$70,21,0)-VLOOKUP($A73,Actions!$F$1:$AQ$70,20,0)),0)</f>
        <v>0</v>
      </c>
      <c r="AC73" s="1353">
        <f>IF(AA73&lt;&gt;"",IF(VLOOKUP($A73,Actions!$F$1:$AQ$70,34,0)="Commune",(VLOOKUP($A73,Actions!$F$1:$AQ$70,24,0)-VLOOKUP($A73,Actions!$F$1:$AQ$70,26,0))/(1+VLOOKUP($A73,Actions!$F$1:$AQ$70,21,0)-VLOOKUP($A73,Actions!$F$1:$AQ$70,20,0)),0),0)</f>
        <v>0</v>
      </c>
      <c r="AD73" s="1353">
        <f>IF(W73="",Z73,IF(AND(AA73="",W73&lt;&gt;""),VLOOKUP($A73,Actions!$F$1:$AQ$70,31,0),0))</f>
        <v>0</v>
      </c>
      <c r="AE73" s="1354" t="str">
        <f>IF(OR(Actions!$Y67=AE$7,AND(Actions!$Y67&lt;=AE$7,Actions!$Z67&gt;=AE$7)),Actions!$AA67,"")</f>
        <v/>
      </c>
      <c r="AF73" s="1353">
        <f>IF(AE73&lt;&gt;"",VLOOKUP($A73,Actions!$F$1:$AQ$70,38,0)/(1+VLOOKUP($A73,Actions!$F$1:$AQ$70,21,0)-VLOOKUP($A73,Actions!$F$1:$AQ$70,20,0)),0)</f>
        <v>0</v>
      </c>
      <c r="AG73" s="1353">
        <f>IF(AE73&lt;&gt;"",IF(VLOOKUP($A73,Actions!$F$1:$AQ$70,34,0)="Commune",(VLOOKUP($A73,Actions!$F$1:$AQ$70,24,0)-VLOOKUP($A73,Actions!$F$1:$AQ$70,26,0))/(1+VLOOKUP($A73,Actions!$F$1:$AQ$70,21,0)-VLOOKUP($A73,Actions!$F$1:$AQ$70,20,0)),0),0)</f>
        <v>0</v>
      </c>
      <c r="AH73" s="1353">
        <f>IF(AA73="",AD73,IF(AND(AE73="",AA73&lt;&gt;""),VLOOKUP($A73,Actions!$F$1:$AQ$70,31,0),0))</f>
        <v>0</v>
      </c>
      <c r="AI73" s="1354" t="str">
        <f>IF(OR(Actions!$Y67=AI$7,AND(Actions!$Y67&lt;=AI$7,Actions!$Z67&gt;=AI$7)),Actions!$AA67,"")</f>
        <v/>
      </c>
      <c r="AJ73" s="1353">
        <f>IF(AI73&lt;&gt;"",VLOOKUP($A73,Actions!$F$1:$AQ$70,38,0)/(1+VLOOKUP($A73,Actions!$F$1:$AQ$70,21,0)-VLOOKUP($A73,Actions!$F$1:$AQ$70,20,0)),0)</f>
        <v>0</v>
      </c>
      <c r="AK73" s="1353">
        <f>IF(AI73&lt;&gt;"",IF(VLOOKUP($A73,Actions!$F$1:$AQ$70,34,0)="Commune",(VLOOKUP($A73,Actions!$F$1:$AQ$70,24,0)-VLOOKUP($A73,Actions!$F$1:$AQ$70,26,0))/(1+VLOOKUP($A73,Actions!$F$1:$AQ$70,21,0)-VLOOKUP($A73,Actions!$F$1:$AQ$70,20,0)),0),0)</f>
        <v>0</v>
      </c>
      <c r="AL73" s="1353">
        <f>IF(AE73="",AH73,IF(AND(AI73="",AE73&lt;&gt;""),VLOOKUP($A73,Actions!$F$1:$AQ$70,31,0),0))</f>
        <v>0</v>
      </c>
      <c r="AM73" s="1354" t="str">
        <f>IF(OR(Actions!$Y67=AM$7,AND(Actions!$Y67&lt;=AM$7,Actions!$Z67&gt;=AM$7)),Actions!$AA67,"")</f>
        <v/>
      </c>
      <c r="AN73" s="1353">
        <f>IF(AM73&lt;&gt;"",VLOOKUP($A73,Actions!$F$1:$AQ$70,38,0)/(1+VLOOKUP($A73,Actions!$F$1:$AQ$70,21,0)-VLOOKUP($A73,Actions!$F$1:$AQ$70,20,0)),0)</f>
        <v>0</v>
      </c>
      <c r="AO73" s="1353">
        <f>IF(AM73&lt;&gt;"",IF(VLOOKUP($A73,Actions!$F$1:$AQ$70,34,0)="Commune",(VLOOKUP($A73,Actions!$F$1:$AQ$70,24,0)-VLOOKUP($A73,Actions!$F$1:$AQ$70,26,0))/(1+VLOOKUP($A73,Actions!$F$1:$AQ$70,21,0)-VLOOKUP($A73,Actions!$F$1:$AQ$70,20,0)),0),0)</f>
        <v>0</v>
      </c>
      <c r="AP73" s="1353">
        <f>IF(AI73="",AL73,IF(AND(AM73="",AI73&lt;&gt;""),VLOOKUP($A73,Actions!$F$1:$AQ$70,31,0),0))</f>
        <v>0</v>
      </c>
      <c r="AQ73" s="1354" t="str">
        <f>IF(OR(Actions!$Y67=AQ$7,AND(Actions!$Y67&lt;=AQ$7,Actions!$Z67&gt;=AQ$7)),Actions!$AA67,"")</f>
        <v/>
      </c>
      <c r="AR73" s="1353">
        <f>IF(AQ73&lt;&gt;"",VLOOKUP($A73,Actions!$F$1:$AQ$70,38,0)/(1+VLOOKUP($A73,Actions!$F$1:$AQ$70,21,0)-VLOOKUP($A73,Actions!$F$1:$AQ$70,20,0)),0)</f>
        <v>0</v>
      </c>
      <c r="AS73" s="1353">
        <f>IF(AQ73&lt;&gt;"",IF(VLOOKUP($A73,Actions!$F$1:$AQ$70,34,0)="Commune",(VLOOKUP($A73,Actions!$F$1:$AQ$70,24,0)-VLOOKUP($A73,Actions!$F$1:$AQ$70,26,0))/(1+VLOOKUP($A73,Actions!$F$1:$AQ$70,21,0)-VLOOKUP($A73,Actions!$F$1:$AQ$70,20,0)),0),0)</f>
        <v>0</v>
      </c>
      <c r="AT73" s="1353">
        <f>IF(AM73="",AP73,IF(AND(AQ73="",AM73&lt;&gt;""),VLOOKUP($A73,Actions!$F$1:$AQ$70,31,0),0))</f>
        <v>0</v>
      </c>
      <c r="AU73" s="1354" t="str">
        <f>IF(OR(Actions!$Y67=AU$7,AND(Actions!$Y67&lt;=AU$7,Actions!$Z67&gt;=AU$7)),Actions!$AA67,"")</f>
        <v/>
      </c>
      <c r="AV73" s="1353">
        <f>IF(AU73&lt;&gt;"",VLOOKUP($A73,Actions!$F$1:$AQ$70,38,0)/(1+VLOOKUP($A73,Actions!$F$1:$AQ$70,21,0)-VLOOKUP($A73,Actions!$F$1:$AQ$70,20,0)),0)</f>
        <v>0</v>
      </c>
      <c r="AW73" s="1353">
        <f>IF(AU73&lt;&gt;"",IF(VLOOKUP($A73,Actions!$F$1:$AQ$70,34,0)="Commune",(VLOOKUP($A73,Actions!$F$1:$AQ$70,24,0)-VLOOKUP($A73,Actions!$F$1:$AQ$70,26,0))/(1+VLOOKUP($A73,Actions!$F$1:$AQ$70,21,0)-VLOOKUP($A73,Actions!$F$1:$AQ$70,20,0)),0),0)</f>
        <v>0</v>
      </c>
      <c r="AX73" s="1353">
        <f>IF(AQ73="",AT73,IF(AND(AU73="",AQ73&lt;&gt;""),VLOOKUP($A73,Actions!$F$1:$AQ$70,31,0),0))</f>
        <v>0</v>
      </c>
      <c r="AY73" s="1354" t="str">
        <f>IF(OR(Actions!$Y67=AY$7,AND(Actions!$Y67&lt;=AY$7,Actions!$Z67&gt;=AY$7)),Actions!$AA67,"")</f>
        <v/>
      </c>
      <c r="AZ73" s="1353">
        <f>IF(AY73&lt;&gt;"",VLOOKUP($A73,Actions!$F$1:$AQ$70,38,0)/(1+VLOOKUP($A73,Actions!$F$1:$AQ$70,21,0)-VLOOKUP($A73,Actions!$F$1:$AQ$70,20,0)),0)</f>
        <v>0</v>
      </c>
      <c r="BA73" s="1353">
        <f>IF(AY73&lt;&gt;"",IF(VLOOKUP($A73,Actions!$F$1:$AQ$70,34,0)="Commune",(VLOOKUP($A73,Actions!$F$1:$AQ$70,24,0)-VLOOKUP($A73,Actions!$F$1:$AQ$70,26,0))/(1+VLOOKUP($A73,Actions!$F$1:$AQ$70,21,0)-VLOOKUP($A73,Actions!$F$1:$AQ$70,20,0)),0),0)</f>
        <v>0</v>
      </c>
      <c r="BB73" s="1353">
        <f>IF(AU73="",AX73,IF(AND(AY73="",AU73&lt;&gt;""),VLOOKUP($A73,Actions!$F$1:$AQ$70,31,0),0))</f>
        <v>0</v>
      </c>
      <c r="BC73" s="1354" t="str">
        <f>IF(OR(Actions!$Y67=BC$7,AND(Actions!$Y67&lt;=BC$7,Actions!$Z67&gt;=BC$7)),Actions!$AA67,"")</f>
        <v/>
      </c>
      <c r="BD73" s="1353">
        <f>IF(BC73&lt;&gt;"",VLOOKUP($A73,Actions!$F$1:$AQ$70,38,0)/(1+VLOOKUP($A73,Actions!$F$1:$AQ$70,21,0)-VLOOKUP($A73,Actions!$F$1:$AQ$70,20,0)),0)</f>
        <v>0</v>
      </c>
      <c r="BE73" s="1353">
        <f>IF(BC73&lt;&gt;"",IF(VLOOKUP($A73,Actions!$F$1:$AQ$70,34,0)="Commune",(VLOOKUP($A73,Actions!$F$1:$AQ$70,24,0)-VLOOKUP($A73,Actions!$F$1:$AQ$70,26,0))/(1+VLOOKUP($A73,Actions!$F$1:$AQ$70,21,0)-VLOOKUP($A73,Actions!$F$1:$AQ$70,20,0)),0),0)</f>
        <v>0</v>
      </c>
      <c r="BF73" s="1353">
        <f>IF(AY73="",BB73,IF(AND(BC73="",AY73&lt;&gt;""),VLOOKUP($A73,Actions!$F$1:$AQ$70,31,0),0))</f>
        <v>0</v>
      </c>
      <c r="BG73" s="1355">
        <f>SUM(M73,Q73,U73,Y73,AC73,AG73,AK73,AO73,AS73,AW73,BA73,BE73)</f>
        <v>0</v>
      </c>
      <c r="BJ73" s="233"/>
      <c r="BK73" s="233"/>
      <c r="BL73" s="233"/>
      <c r="BM73" s="233"/>
      <c r="BN73" s="233"/>
      <c r="BO73" s="233"/>
    </row>
    <row r="74" spans="1:67">
      <c r="A74" s="1349">
        <f>Actions!F68</f>
        <v>67</v>
      </c>
      <c r="B74" s="1352">
        <f>Actions!G68</f>
        <v>0</v>
      </c>
      <c r="C74" s="1353" t="str">
        <f>IF(OR(AND(Actions!Y68&gt;0,Actions!Y68&lt;=$C$7,Actions!Z68&gt;=$C$7),AND(Actions!Y68&gt;0,Actions!Y68&lt;=$C$7,Actions!Z68&lt;Actions!Y68),AND(Actions!Y68=0,Actions!Z68&gt;=$C$7)),Actions!$AA68,"")</f>
        <v/>
      </c>
      <c r="D74" s="1353">
        <f>IF(C74&lt;&gt;"",VLOOKUP($A74,Actions!$F$1:$AQ$70,38,0)/(1+VLOOKUP($A74,Actions!$F$1:$AQ$70,21,0)-VLOOKUP($A74,Actions!$F$1:$AQ$70,20,0)),0)</f>
        <v>0</v>
      </c>
      <c r="E74" s="1353">
        <f>IF(C74&lt;&gt;"",IF(VLOOKUP($A74,Actions!$F$1:$AQ$70,34,0)="Commune",(VLOOKUP($A74,Actions!$F$1:$AQ$70,24,0)-VLOOKUP($A74,Actions!$F$1:$AQ$70,26,0))/(1+VLOOKUP($A74,Actions!$F$1:$AQ$70,21,0)-VLOOKUP($A74,Actions!$F$1:$AQ$70,20,0)),0),0)</f>
        <v>0</v>
      </c>
      <c r="F74" s="1353">
        <v>0</v>
      </c>
      <c r="G74" s="1354" t="str">
        <f>IF(OR(Actions!$Y68=G$7,AND(Actions!$Y68&lt;=G$7,Actions!$Z68&gt;=G$7)),Actions!$AA68,"")</f>
        <v/>
      </c>
      <c r="H74" s="1353">
        <f>IF(G74&lt;&gt;"",VLOOKUP($A74,Actions!$F$1:$AQ$70,38,0)/(1+VLOOKUP($A74,Actions!$F$1:$AQ$70,21,0)-VLOOKUP($A74,Actions!$F$1:$AQ$70,20,0)),0)</f>
        <v>0</v>
      </c>
      <c r="I74" s="1353">
        <f>IF(G74&lt;&gt;"",IF(VLOOKUP($A74,Actions!$F$1:$AQ$70,34,0)="Commune",(VLOOKUP($A74,Actions!$F$1:$AQ$70,24,0)-VLOOKUP($A74,Actions!$F$1:$AQ$70,26,0))/(1+VLOOKUP($A74,Actions!$F$1:$AQ$70,21,0)-VLOOKUP($A74,Actions!$F$1:$AQ$70,20,0)),0),0)</f>
        <v>0</v>
      </c>
      <c r="J74" s="1353">
        <f>IF(C74="",F74,IF(AND(G74="",C74&lt;&gt;""),VLOOKUP($A74,Actions!$F$1:$AQ$70,31,0),0))</f>
        <v>0</v>
      </c>
      <c r="K74" s="1354" t="str">
        <f>IF(OR(Actions!$Y68=K$7,AND(Actions!$Y68&lt;=K$7,Actions!$Z68&gt;=K$7)),Actions!$AA68,"")</f>
        <v/>
      </c>
      <c r="L74" s="1353">
        <f>IF(K74&lt;&gt;"",VLOOKUP($A74,Actions!$F$1:$AQ$70,38,0)/(1+VLOOKUP($A74,Actions!$F$1:$AQ$70,21,0)-VLOOKUP($A74,Actions!$F$1:$AQ$70,20,0)),0)</f>
        <v>0</v>
      </c>
      <c r="M74" s="1353">
        <f>IF(K74&lt;&gt;"",IF(VLOOKUP($A74,Actions!$F$1:$AQ$70,34,0)="Commune",(VLOOKUP($A74,Actions!$F$1:$AQ$70,24,0)-VLOOKUP($A74,Actions!$F$1:$AQ$70,26,0))/(1+VLOOKUP($A74,Actions!$F$1:$AQ$70,21,0)-VLOOKUP($A74,Actions!$F$1:$AQ$70,20,0)),0),0)</f>
        <v>0</v>
      </c>
      <c r="N74" s="1353">
        <f>IF(G74="",J74,IF(AND(K74="",G74&lt;&gt;""),VLOOKUP($A74,Actions!$F$1:$AQ$70,31,0),0))</f>
        <v>0</v>
      </c>
      <c r="O74" s="1354" t="str">
        <f>IF(OR(Actions!$Y68=O$7,AND(Actions!$Y68&lt;=O$7,Actions!$Z68&gt;=O$7)),Actions!$AA68,"")</f>
        <v/>
      </c>
      <c r="P74" s="1353">
        <f>IF(O74&lt;&gt;"",VLOOKUP($A74,Actions!$F$1:$AQ$70,38,0)/(1+VLOOKUP($A74,Actions!$F$1:$AQ$70,21,0)-VLOOKUP($A74,Actions!$F$1:$AQ$70,20,0)),0)</f>
        <v>0</v>
      </c>
      <c r="Q74" s="1353">
        <f>IF(O74&lt;&gt;"",IF(VLOOKUP($A74,Actions!$F$1:$AQ$70,34,0)="Commune",(VLOOKUP($A74,Actions!$F$1:$AQ$70,24,0)-VLOOKUP($A74,Actions!$F$1:$AQ$70,26,0))/(1+VLOOKUP($A74,Actions!$F$1:$AQ$70,21,0)-VLOOKUP($A74,Actions!$F$1:$AQ$70,20,0)),0),0)</f>
        <v>0</v>
      </c>
      <c r="R74" s="1353">
        <f>IF(K74="",N74,IF(AND(O74="",K74&lt;&gt;""),VLOOKUP($A74,Actions!$F$1:$AQ$70,31,0),0))</f>
        <v>0</v>
      </c>
      <c r="S74" s="1354" t="str">
        <f>IF(OR(Actions!$Y68=S$7,AND(Actions!$Y68&lt;=S$7,Actions!$Z68&gt;=S$7)),Actions!$AA68,"")</f>
        <v/>
      </c>
      <c r="T74" s="1353">
        <f>IF(S74&lt;&gt;"",VLOOKUP($A74,Actions!$F$1:$AQ$70,38,0)/(1+VLOOKUP($A74,Actions!$F$1:$AQ$70,21,0)-VLOOKUP($A74,Actions!$F$1:$AQ$70,20,0)),0)</f>
        <v>0</v>
      </c>
      <c r="U74" s="1353">
        <f>IF(S74&lt;&gt;"",IF(VLOOKUP($A74,Actions!$F$1:$AQ$70,34,0)="Commune",(VLOOKUP($A74,Actions!$F$1:$AQ$70,24,0)-VLOOKUP($A74,Actions!$F$1:$AQ$70,26,0))/(1+VLOOKUP($A74,Actions!$F$1:$AQ$70,21,0)-VLOOKUP($A74,Actions!$F$1:$AQ$70,20,0)),0),0)</f>
        <v>0</v>
      </c>
      <c r="V74" s="1353">
        <f>IF(O74="",R74,IF(AND(S74="",O74&lt;&gt;""),VLOOKUP($A74,Actions!$F$1:$AQ$70,31,0),0))</f>
        <v>0</v>
      </c>
      <c r="W74" s="1354" t="str">
        <f>IF(OR(Actions!$Y68=W$7,AND(Actions!$Y68&lt;=W$7,Actions!$Z68&gt;=W$7)),Actions!$AA68,"")</f>
        <v/>
      </c>
      <c r="X74" s="1353">
        <f>IF(W74&lt;&gt;"",VLOOKUP($A74,Actions!$F$1:$AQ$70,38,0)/(1+VLOOKUP($A74,Actions!$F$1:$AQ$70,21,0)-VLOOKUP($A74,Actions!$F$1:$AQ$70,20,0)),0)</f>
        <v>0</v>
      </c>
      <c r="Y74" s="1353">
        <f>IF(W74&lt;&gt;"",IF(VLOOKUP($A74,Actions!$F$1:$AQ$70,34,0)="Commune",(VLOOKUP($A74,Actions!$F$1:$AQ$70,24,0)-VLOOKUP($A74,Actions!$F$1:$AQ$70,26,0))/(1+VLOOKUP($A74,Actions!$F$1:$AQ$70,21,0)-VLOOKUP($A74,Actions!$F$1:$AQ$70,20,0)),0),0)</f>
        <v>0</v>
      </c>
      <c r="Z74" s="1353">
        <f>IF(S74="",V74,IF(AND(W74="",S74&lt;&gt;""),VLOOKUP($A74,Actions!$F$1:$AQ$70,31,0),0))</f>
        <v>0</v>
      </c>
      <c r="AA74" s="1354" t="str">
        <f>IF(OR(Actions!$Y68=AA$7,AND(Actions!$Y68&lt;=AA$7,Actions!$Z68&gt;=AA$7)),Actions!$AA68,"")</f>
        <v/>
      </c>
      <c r="AB74" s="1353">
        <f>IF(AA74&lt;&gt;"",VLOOKUP($A74,Actions!$F$1:$AQ$70,38,0)/(1+VLOOKUP($A74,Actions!$F$1:$AQ$70,21,0)-VLOOKUP($A74,Actions!$F$1:$AQ$70,20,0)),0)</f>
        <v>0</v>
      </c>
      <c r="AC74" s="1353">
        <f>IF(AA74&lt;&gt;"",IF(VLOOKUP($A74,Actions!$F$1:$AQ$70,34,0)="Commune",(VLOOKUP($A74,Actions!$F$1:$AQ$70,24,0)-VLOOKUP($A74,Actions!$F$1:$AQ$70,26,0))/(1+VLOOKUP($A74,Actions!$F$1:$AQ$70,21,0)-VLOOKUP($A74,Actions!$F$1:$AQ$70,20,0)),0),0)</f>
        <v>0</v>
      </c>
      <c r="AD74" s="1353">
        <f>IF(W74="",Z74,IF(AND(AA74="",W74&lt;&gt;""),VLOOKUP($A74,Actions!$F$1:$AQ$70,31,0),0))</f>
        <v>0</v>
      </c>
      <c r="AE74" s="1354" t="str">
        <f>IF(OR(Actions!$Y68=AE$7,AND(Actions!$Y68&lt;=AE$7,Actions!$Z68&gt;=AE$7)),Actions!$AA68,"")</f>
        <v/>
      </c>
      <c r="AF74" s="1353">
        <f>IF(AE74&lt;&gt;"",VLOOKUP($A74,Actions!$F$1:$AQ$70,38,0)/(1+VLOOKUP($A74,Actions!$F$1:$AQ$70,21,0)-VLOOKUP($A74,Actions!$F$1:$AQ$70,20,0)),0)</f>
        <v>0</v>
      </c>
      <c r="AG74" s="1353">
        <f>IF(AE74&lt;&gt;"",IF(VLOOKUP($A74,Actions!$F$1:$AQ$70,34,0)="Commune",(VLOOKUP($A74,Actions!$F$1:$AQ$70,24,0)-VLOOKUP($A74,Actions!$F$1:$AQ$70,26,0))/(1+VLOOKUP($A74,Actions!$F$1:$AQ$70,21,0)-VLOOKUP($A74,Actions!$F$1:$AQ$70,20,0)),0),0)</f>
        <v>0</v>
      </c>
      <c r="AH74" s="1353">
        <f>IF(AA74="",AD74,IF(AND(AE74="",AA74&lt;&gt;""),VLOOKUP($A74,Actions!$F$1:$AQ$70,31,0),0))</f>
        <v>0</v>
      </c>
      <c r="AI74" s="1354" t="str">
        <f>IF(OR(Actions!$Y68=AI$7,AND(Actions!$Y68&lt;=AI$7,Actions!$Z68&gt;=AI$7)),Actions!$AA68,"")</f>
        <v/>
      </c>
      <c r="AJ74" s="1353">
        <f>IF(AI74&lt;&gt;"",VLOOKUP($A74,Actions!$F$1:$AQ$70,38,0)/(1+VLOOKUP($A74,Actions!$F$1:$AQ$70,21,0)-VLOOKUP($A74,Actions!$F$1:$AQ$70,20,0)),0)</f>
        <v>0</v>
      </c>
      <c r="AK74" s="1353">
        <f>IF(AI74&lt;&gt;"",IF(VLOOKUP($A74,Actions!$F$1:$AQ$70,34,0)="Commune",(VLOOKUP($A74,Actions!$F$1:$AQ$70,24,0)-VLOOKUP($A74,Actions!$F$1:$AQ$70,26,0))/(1+VLOOKUP($A74,Actions!$F$1:$AQ$70,21,0)-VLOOKUP($A74,Actions!$F$1:$AQ$70,20,0)),0),0)</f>
        <v>0</v>
      </c>
      <c r="AL74" s="1353">
        <f>IF(AE74="",AH74,IF(AND(AI74="",AE74&lt;&gt;""),VLOOKUP($A74,Actions!$F$1:$AQ$70,31,0),0))</f>
        <v>0</v>
      </c>
      <c r="AM74" s="1354" t="str">
        <f>IF(OR(Actions!$Y68=AM$7,AND(Actions!$Y68&lt;=AM$7,Actions!$Z68&gt;=AM$7)),Actions!$AA68,"")</f>
        <v/>
      </c>
      <c r="AN74" s="1353">
        <f>IF(AM74&lt;&gt;"",VLOOKUP($A74,Actions!$F$1:$AQ$70,38,0)/(1+VLOOKUP($A74,Actions!$F$1:$AQ$70,21,0)-VLOOKUP($A74,Actions!$F$1:$AQ$70,20,0)),0)</f>
        <v>0</v>
      </c>
      <c r="AO74" s="1353">
        <f>IF(AM74&lt;&gt;"",IF(VLOOKUP($A74,Actions!$F$1:$AQ$70,34,0)="Commune",(VLOOKUP($A74,Actions!$F$1:$AQ$70,24,0)-VLOOKUP($A74,Actions!$F$1:$AQ$70,26,0))/(1+VLOOKUP($A74,Actions!$F$1:$AQ$70,21,0)-VLOOKUP($A74,Actions!$F$1:$AQ$70,20,0)),0),0)</f>
        <v>0</v>
      </c>
      <c r="AP74" s="1353">
        <f>IF(AI74="",AL74,IF(AND(AM74="",AI74&lt;&gt;""),VLOOKUP($A74,Actions!$F$1:$AQ$70,31,0),0))</f>
        <v>0</v>
      </c>
      <c r="AQ74" s="1354" t="str">
        <f>IF(OR(Actions!$Y68=AQ$7,AND(Actions!$Y68&lt;=AQ$7,Actions!$Z68&gt;=AQ$7)),Actions!$AA68,"")</f>
        <v/>
      </c>
      <c r="AR74" s="1353">
        <f>IF(AQ74&lt;&gt;"",VLOOKUP($A74,Actions!$F$1:$AQ$70,38,0)/(1+VLOOKUP($A74,Actions!$F$1:$AQ$70,21,0)-VLOOKUP($A74,Actions!$F$1:$AQ$70,20,0)),0)</f>
        <v>0</v>
      </c>
      <c r="AS74" s="1353">
        <f>IF(AQ74&lt;&gt;"",IF(VLOOKUP($A74,Actions!$F$1:$AQ$70,34,0)="Commune",(VLOOKUP($A74,Actions!$F$1:$AQ$70,24,0)-VLOOKUP($A74,Actions!$F$1:$AQ$70,26,0))/(1+VLOOKUP($A74,Actions!$F$1:$AQ$70,21,0)-VLOOKUP($A74,Actions!$F$1:$AQ$70,20,0)),0),0)</f>
        <v>0</v>
      </c>
      <c r="AT74" s="1353">
        <f>IF(AM74="",AP74,IF(AND(AQ74="",AM74&lt;&gt;""),VLOOKUP($A74,Actions!$F$1:$AQ$70,31,0),0))</f>
        <v>0</v>
      </c>
      <c r="AU74" s="1354" t="str">
        <f>IF(OR(Actions!$Y68=AU$7,AND(Actions!$Y68&lt;=AU$7,Actions!$Z68&gt;=AU$7)),Actions!$AA68,"")</f>
        <v/>
      </c>
      <c r="AV74" s="1353">
        <f>IF(AU74&lt;&gt;"",VLOOKUP($A74,Actions!$F$1:$AQ$70,38,0)/(1+VLOOKUP($A74,Actions!$F$1:$AQ$70,21,0)-VLOOKUP($A74,Actions!$F$1:$AQ$70,20,0)),0)</f>
        <v>0</v>
      </c>
      <c r="AW74" s="1353">
        <f>IF(AU74&lt;&gt;"",IF(VLOOKUP($A74,Actions!$F$1:$AQ$70,34,0)="Commune",(VLOOKUP($A74,Actions!$F$1:$AQ$70,24,0)-VLOOKUP($A74,Actions!$F$1:$AQ$70,26,0))/(1+VLOOKUP($A74,Actions!$F$1:$AQ$70,21,0)-VLOOKUP($A74,Actions!$F$1:$AQ$70,20,0)),0),0)</f>
        <v>0</v>
      </c>
      <c r="AX74" s="1353">
        <f>IF(AQ74="",AT74,IF(AND(AU74="",AQ74&lt;&gt;""),VLOOKUP($A74,Actions!$F$1:$AQ$70,31,0),0))</f>
        <v>0</v>
      </c>
      <c r="AY74" s="1354" t="str">
        <f>IF(OR(Actions!$Y68=AY$7,AND(Actions!$Y68&lt;=AY$7,Actions!$Z68&gt;=AY$7)),Actions!$AA68,"")</f>
        <v/>
      </c>
      <c r="AZ74" s="1353">
        <f>IF(AY74&lt;&gt;"",VLOOKUP($A74,Actions!$F$1:$AQ$70,38,0)/(1+VLOOKUP($A74,Actions!$F$1:$AQ$70,21,0)-VLOOKUP($A74,Actions!$F$1:$AQ$70,20,0)),0)</f>
        <v>0</v>
      </c>
      <c r="BA74" s="1353">
        <f>IF(AY74&lt;&gt;"",IF(VLOOKUP($A74,Actions!$F$1:$AQ$70,34,0)="Commune",(VLOOKUP($A74,Actions!$F$1:$AQ$70,24,0)-VLOOKUP($A74,Actions!$F$1:$AQ$70,26,0))/(1+VLOOKUP($A74,Actions!$F$1:$AQ$70,21,0)-VLOOKUP($A74,Actions!$F$1:$AQ$70,20,0)),0),0)</f>
        <v>0</v>
      </c>
      <c r="BB74" s="1353">
        <f>IF(AU74="",AX74,IF(AND(AY74="",AU74&lt;&gt;""),VLOOKUP($A74,Actions!$F$1:$AQ$70,31,0),0))</f>
        <v>0</v>
      </c>
      <c r="BC74" s="1354" t="str">
        <f>IF(OR(Actions!$Y68=BC$7,AND(Actions!$Y68&lt;=BC$7,Actions!$Z68&gt;=BC$7)),Actions!$AA68,"")</f>
        <v/>
      </c>
      <c r="BD74" s="1353">
        <f>IF(BC74&lt;&gt;"",VLOOKUP($A74,Actions!$F$1:$AQ$70,38,0)/(1+VLOOKUP($A74,Actions!$F$1:$AQ$70,21,0)-VLOOKUP($A74,Actions!$F$1:$AQ$70,20,0)),0)</f>
        <v>0</v>
      </c>
      <c r="BE74" s="1353">
        <f>IF(BC74&lt;&gt;"",IF(VLOOKUP($A74,Actions!$F$1:$AQ$70,34,0)="Commune",(VLOOKUP($A74,Actions!$F$1:$AQ$70,24,0)-VLOOKUP($A74,Actions!$F$1:$AQ$70,26,0))/(1+VLOOKUP($A74,Actions!$F$1:$AQ$70,21,0)-VLOOKUP($A74,Actions!$F$1:$AQ$70,20,0)),0),0)</f>
        <v>0</v>
      </c>
      <c r="BF74" s="1353">
        <f>IF(AY74="",BB74,IF(AND(BC74="",AY74&lt;&gt;""),VLOOKUP($A74,Actions!$F$1:$AQ$70,31,0),0))</f>
        <v>0</v>
      </c>
      <c r="BG74" s="1355">
        <f>SUM(M74,Q74,U74,Y74,AC74,AG74,AK74,AO74,AS74,AW74,BA74,BE74)</f>
        <v>0</v>
      </c>
      <c r="BJ74" s="233"/>
      <c r="BK74" s="233"/>
      <c r="BL74" s="233"/>
      <c r="BM74" s="233"/>
      <c r="BN74" s="233"/>
      <c r="BO74" s="233"/>
    </row>
    <row r="75" spans="1:67">
      <c r="A75" s="1349">
        <f>Actions!F69</f>
        <v>68</v>
      </c>
      <c r="B75" s="1352">
        <f>Actions!G69</f>
        <v>0</v>
      </c>
      <c r="C75" s="1353" t="str">
        <f>IF(OR(AND(Actions!Y69&gt;0,Actions!Y69&lt;=$C$7,Actions!Z69&gt;=$C$7),AND(Actions!Y69&gt;0,Actions!Y69&lt;=$C$7,Actions!Z69&lt;Actions!Y69),AND(Actions!Y69=0,Actions!Z69&gt;=$C$7)),Actions!$AA69,"")</f>
        <v/>
      </c>
      <c r="D75" s="1353">
        <f>IF(C75&lt;&gt;"",VLOOKUP($A75,Actions!$F$1:$AQ$70,38,0)/(1+VLOOKUP($A75,Actions!$F$1:$AQ$70,21,0)-VLOOKUP($A75,Actions!$F$1:$AQ$70,20,0)),0)</f>
        <v>0</v>
      </c>
      <c r="E75" s="1353">
        <f>IF(C75&lt;&gt;"",IF(VLOOKUP($A75,Actions!$F$1:$AQ$70,34,0)="Commune",(VLOOKUP($A75,Actions!$F$1:$AQ$70,24,0)-VLOOKUP($A75,Actions!$F$1:$AQ$70,26,0))/(1+VLOOKUP($A75,Actions!$F$1:$AQ$70,21,0)-VLOOKUP($A75,Actions!$F$1:$AQ$70,20,0)),0),0)</f>
        <v>0</v>
      </c>
      <c r="F75" s="1353">
        <v>0</v>
      </c>
      <c r="G75" s="1354" t="str">
        <f>IF(OR(Actions!$Y69=G$7,AND(Actions!$Y69&lt;=G$7,Actions!$Z69&gt;=G$7)),Actions!$AA69,"")</f>
        <v/>
      </c>
      <c r="H75" s="1353">
        <f>IF(G75&lt;&gt;"",VLOOKUP($A75,Actions!$F$1:$AQ$70,38,0)/(1+VLOOKUP($A75,Actions!$F$1:$AQ$70,21,0)-VLOOKUP($A75,Actions!$F$1:$AQ$70,20,0)),0)</f>
        <v>0</v>
      </c>
      <c r="I75" s="1353">
        <f>IF(G75&lt;&gt;"",IF(VLOOKUP($A75,Actions!$F$1:$AQ$70,34,0)="Commune",(VLOOKUP($A75,Actions!$F$1:$AQ$70,24,0)-VLOOKUP($A75,Actions!$F$1:$AQ$70,26,0))/(1+VLOOKUP($A75,Actions!$F$1:$AQ$70,21,0)-VLOOKUP($A75,Actions!$F$1:$AQ$70,20,0)),0),0)</f>
        <v>0</v>
      </c>
      <c r="J75" s="1353">
        <f>IF(C75="",F75,IF(AND(G75="",C75&lt;&gt;""),VLOOKUP($A75,Actions!$F$1:$AQ$70,31,0),0))</f>
        <v>0</v>
      </c>
      <c r="K75" s="1354" t="str">
        <f>IF(OR(Actions!$Y69=K$7,AND(Actions!$Y69&lt;=K$7,Actions!$Z69&gt;=K$7)),Actions!$AA69,"")</f>
        <v/>
      </c>
      <c r="L75" s="1353">
        <f>IF(K75&lt;&gt;"",VLOOKUP($A75,Actions!$F$1:$AQ$70,38,0)/(1+VLOOKUP($A75,Actions!$F$1:$AQ$70,21,0)-VLOOKUP($A75,Actions!$F$1:$AQ$70,20,0)),0)</f>
        <v>0</v>
      </c>
      <c r="M75" s="1353">
        <f>IF(K75&lt;&gt;"",IF(VLOOKUP($A75,Actions!$F$1:$AQ$70,34,0)="Commune",(VLOOKUP($A75,Actions!$F$1:$AQ$70,24,0)-VLOOKUP($A75,Actions!$F$1:$AQ$70,26,0))/(1+VLOOKUP($A75,Actions!$F$1:$AQ$70,21,0)-VLOOKUP($A75,Actions!$F$1:$AQ$70,20,0)),0),0)</f>
        <v>0</v>
      </c>
      <c r="N75" s="1353">
        <f>IF(G75="",J75,IF(AND(K75="",G75&lt;&gt;""),VLOOKUP($A75,Actions!$F$1:$AQ$70,31,0),0))</f>
        <v>0</v>
      </c>
      <c r="O75" s="1354" t="str">
        <f>IF(OR(Actions!$Y69=O$7,AND(Actions!$Y69&lt;=O$7,Actions!$Z69&gt;=O$7)),Actions!$AA69,"")</f>
        <v/>
      </c>
      <c r="P75" s="1353">
        <f>IF(O75&lt;&gt;"",VLOOKUP($A75,Actions!$F$1:$AQ$70,38,0)/(1+VLOOKUP($A75,Actions!$F$1:$AQ$70,21,0)-VLOOKUP($A75,Actions!$F$1:$AQ$70,20,0)),0)</f>
        <v>0</v>
      </c>
      <c r="Q75" s="1353">
        <f>IF(O75&lt;&gt;"",IF(VLOOKUP($A75,Actions!$F$1:$AQ$70,34,0)="Commune",(VLOOKUP($A75,Actions!$F$1:$AQ$70,24,0)-VLOOKUP($A75,Actions!$F$1:$AQ$70,26,0))/(1+VLOOKUP($A75,Actions!$F$1:$AQ$70,21,0)-VLOOKUP($A75,Actions!$F$1:$AQ$70,20,0)),0),0)</f>
        <v>0</v>
      </c>
      <c r="R75" s="1353">
        <f>IF(K75="",N75,IF(AND(O75="",K75&lt;&gt;""),VLOOKUP($A75,Actions!$F$1:$AQ$70,31,0),0))</f>
        <v>0</v>
      </c>
      <c r="S75" s="1354" t="str">
        <f>IF(OR(Actions!$Y69=S$7,AND(Actions!$Y69&lt;=S$7,Actions!$Z69&gt;=S$7)),Actions!$AA69,"")</f>
        <v/>
      </c>
      <c r="T75" s="1353">
        <f>IF(S75&lt;&gt;"",VLOOKUP($A75,Actions!$F$1:$AQ$70,38,0)/(1+VLOOKUP($A75,Actions!$F$1:$AQ$70,21,0)-VLOOKUP($A75,Actions!$F$1:$AQ$70,20,0)),0)</f>
        <v>0</v>
      </c>
      <c r="U75" s="1353">
        <f>IF(S75&lt;&gt;"",IF(VLOOKUP($A75,Actions!$F$1:$AQ$70,34,0)="Commune",(VLOOKUP($A75,Actions!$F$1:$AQ$70,24,0)-VLOOKUP($A75,Actions!$F$1:$AQ$70,26,0))/(1+VLOOKUP($A75,Actions!$F$1:$AQ$70,21,0)-VLOOKUP($A75,Actions!$F$1:$AQ$70,20,0)),0),0)</f>
        <v>0</v>
      </c>
      <c r="V75" s="1353">
        <f>IF(O75="",R75,IF(AND(S75="",O75&lt;&gt;""),VLOOKUP($A75,Actions!$F$1:$AQ$70,31,0),0))</f>
        <v>0</v>
      </c>
      <c r="W75" s="1354" t="str">
        <f>IF(OR(Actions!$Y69=W$7,AND(Actions!$Y69&lt;=W$7,Actions!$Z69&gt;=W$7)),Actions!$AA69,"")</f>
        <v/>
      </c>
      <c r="X75" s="1353">
        <f>IF(W75&lt;&gt;"",VLOOKUP($A75,Actions!$F$1:$AQ$70,38,0)/(1+VLOOKUP($A75,Actions!$F$1:$AQ$70,21,0)-VLOOKUP($A75,Actions!$F$1:$AQ$70,20,0)),0)</f>
        <v>0</v>
      </c>
      <c r="Y75" s="1353">
        <f>IF(W75&lt;&gt;"",IF(VLOOKUP($A75,Actions!$F$1:$AQ$70,34,0)="Commune",(VLOOKUP($A75,Actions!$F$1:$AQ$70,24,0)-VLOOKUP($A75,Actions!$F$1:$AQ$70,26,0))/(1+VLOOKUP($A75,Actions!$F$1:$AQ$70,21,0)-VLOOKUP($A75,Actions!$F$1:$AQ$70,20,0)),0),0)</f>
        <v>0</v>
      </c>
      <c r="Z75" s="1353">
        <f>IF(S75="",V75,IF(AND(W75="",S75&lt;&gt;""),VLOOKUP($A75,Actions!$F$1:$AQ$70,31,0),0))</f>
        <v>0</v>
      </c>
      <c r="AA75" s="1354" t="str">
        <f>IF(OR(Actions!$Y69=AA$7,AND(Actions!$Y69&lt;=AA$7,Actions!$Z69&gt;=AA$7)),Actions!$AA69,"")</f>
        <v/>
      </c>
      <c r="AB75" s="1353">
        <f>IF(AA75&lt;&gt;"",VLOOKUP($A75,Actions!$F$1:$AQ$70,38,0)/(1+VLOOKUP($A75,Actions!$F$1:$AQ$70,21,0)-VLOOKUP($A75,Actions!$F$1:$AQ$70,20,0)),0)</f>
        <v>0</v>
      </c>
      <c r="AC75" s="1353">
        <f>IF(AA75&lt;&gt;"",IF(VLOOKUP($A75,Actions!$F$1:$AQ$70,34,0)="Commune",(VLOOKUP($A75,Actions!$F$1:$AQ$70,24,0)-VLOOKUP($A75,Actions!$F$1:$AQ$70,26,0))/(1+VLOOKUP($A75,Actions!$F$1:$AQ$70,21,0)-VLOOKUP($A75,Actions!$F$1:$AQ$70,20,0)),0),0)</f>
        <v>0</v>
      </c>
      <c r="AD75" s="1353">
        <f>IF(W75="",Z75,IF(AND(AA75="",W75&lt;&gt;""),VLOOKUP($A75,Actions!$F$1:$AQ$70,31,0),0))</f>
        <v>0</v>
      </c>
      <c r="AE75" s="1354" t="str">
        <f>IF(OR(Actions!$Y69=AE$7,AND(Actions!$Y69&lt;=AE$7,Actions!$Z69&gt;=AE$7)),Actions!$AA69,"")</f>
        <v/>
      </c>
      <c r="AF75" s="1353">
        <f>IF(AE75&lt;&gt;"",VLOOKUP($A75,Actions!$F$1:$AQ$70,38,0)/(1+VLOOKUP($A75,Actions!$F$1:$AQ$70,21,0)-VLOOKUP($A75,Actions!$F$1:$AQ$70,20,0)),0)</f>
        <v>0</v>
      </c>
      <c r="AG75" s="1353">
        <f>IF(AE75&lt;&gt;"",IF(VLOOKUP($A75,Actions!$F$1:$AQ$70,34,0)="Commune",(VLOOKUP($A75,Actions!$F$1:$AQ$70,24,0)-VLOOKUP($A75,Actions!$F$1:$AQ$70,26,0))/(1+VLOOKUP($A75,Actions!$F$1:$AQ$70,21,0)-VLOOKUP($A75,Actions!$F$1:$AQ$70,20,0)),0),0)</f>
        <v>0</v>
      </c>
      <c r="AH75" s="1353">
        <f>IF(AA75="",AD75,IF(AND(AE75="",AA75&lt;&gt;""),VLOOKUP($A75,Actions!$F$1:$AQ$70,31,0),0))</f>
        <v>0</v>
      </c>
      <c r="AI75" s="1354" t="str">
        <f>IF(OR(Actions!$Y69=AI$7,AND(Actions!$Y69&lt;=AI$7,Actions!$Z69&gt;=AI$7)),Actions!$AA69,"")</f>
        <v/>
      </c>
      <c r="AJ75" s="1353">
        <f>IF(AI75&lt;&gt;"",VLOOKUP($A75,Actions!$F$1:$AQ$70,38,0)/(1+VLOOKUP($A75,Actions!$F$1:$AQ$70,21,0)-VLOOKUP($A75,Actions!$F$1:$AQ$70,20,0)),0)</f>
        <v>0</v>
      </c>
      <c r="AK75" s="1353">
        <f>IF(AI75&lt;&gt;"",IF(VLOOKUP($A75,Actions!$F$1:$AQ$70,34,0)="Commune",(VLOOKUP($A75,Actions!$F$1:$AQ$70,24,0)-VLOOKUP($A75,Actions!$F$1:$AQ$70,26,0))/(1+VLOOKUP($A75,Actions!$F$1:$AQ$70,21,0)-VLOOKUP($A75,Actions!$F$1:$AQ$70,20,0)),0),0)</f>
        <v>0</v>
      </c>
      <c r="AL75" s="1353">
        <f>IF(AE75="",AH75,IF(AND(AI75="",AE75&lt;&gt;""),VLOOKUP($A75,Actions!$F$1:$AQ$70,31,0),0))</f>
        <v>0</v>
      </c>
      <c r="AM75" s="1354" t="str">
        <f>IF(OR(Actions!$Y69=AM$7,AND(Actions!$Y69&lt;=AM$7,Actions!$Z69&gt;=AM$7)),Actions!$AA69,"")</f>
        <v/>
      </c>
      <c r="AN75" s="1353">
        <f>IF(AM75&lt;&gt;"",VLOOKUP($A75,Actions!$F$1:$AQ$70,38,0)/(1+VLOOKUP($A75,Actions!$F$1:$AQ$70,21,0)-VLOOKUP($A75,Actions!$F$1:$AQ$70,20,0)),0)</f>
        <v>0</v>
      </c>
      <c r="AO75" s="1353">
        <f>IF(AM75&lt;&gt;"",IF(VLOOKUP($A75,Actions!$F$1:$AQ$70,34,0)="Commune",(VLOOKUP($A75,Actions!$F$1:$AQ$70,24,0)-VLOOKUP($A75,Actions!$F$1:$AQ$70,26,0))/(1+VLOOKUP($A75,Actions!$F$1:$AQ$70,21,0)-VLOOKUP($A75,Actions!$F$1:$AQ$70,20,0)),0),0)</f>
        <v>0</v>
      </c>
      <c r="AP75" s="1353">
        <f>IF(AI75="",AL75,IF(AND(AM75="",AI75&lt;&gt;""),VLOOKUP($A75,Actions!$F$1:$AQ$70,31,0),0))</f>
        <v>0</v>
      </c>
      <c r="AQ75" s="1354" t="str">
        <f>IF(OR(Actions!$Y69=AQ$7,AND(Actions!$Y69&lt;=AQ$7,Actions!$Z69&gt;=AQ$7)),Actions!$AA69,"")</f>
        <v/>
      </c>
      <c r="AR75" s="1353">
        <f>IF(AQ75&lt;&gt;"",VLOOKUP($A75,Actions!$F$1:$AQ$70,38,0)/(1+VLOOKUP($A75,Actions!$F$1:$AQ$70,21,0)-VLOOKUP($A75,Actions!$F$1:$AQ$70,20,0)),0)</f>
        <v>0</v>
      </c>
      <c r="AS75" s="1353">
        <f>IF(AQ75&lt;&gt;"",IF(VLOOKUP($A75,Actions!$F$1:$AQ$70,34,0)="Commune",(VLOOKUP($A75,Actions!$F$1:$AQ$70,24,0)-VLOOKUP($A75,Actions!$F$1:$AQ$70,26,0))/(1+VLOOKUP($A75,Actions!$F$1:$AQ$70,21,0)-VLOOKUP($A75,Actions!$F$1:$AQ$70,20,0)),0),0)</f>
        <v>0</v>
      </c>
      <c r="AT75" s="1353">
        <f>IF(AM75="",AP75,IF(AND(AQ75="",AM75&lt;&gt;""),VLOOKUP($A75,Actions!$F$1:$AQ$70,31,0),0))</f>
        <v>0</v>
      </c>
      <c r="AU75" s="1354" t="str">
        <f>IF(OR(Actions!$Y69=AU$7,AND(Actions!$Y69&lt;=AU$7,Actions!$Z69&gt;=AU$7)),Actions!$AA69,"")</f>
        <v/>
      </c>
      <c r="AV75" s="1353">
        <f>IF(AU75&lt;&gt;"",VLOOKUP($A75,Actions!$F$1:$AQ$70,38,0)/(1+VLOOKUP($A75,Actions!$F$1:$AQ$70,21,0)-VLOOKUP($A75,Actions!$F$1:$AQ$70,20,0)),0)</f>
        <v>0</v>
      </c>
      <c r="AW75" s="1353">
        <f>IF(AU75&lt;&gt;"",IF(VLOOKUP($A75,Actions!$F$1:$AQ$70,34,0)="Commune",(VLOOKUP($A75,Actions!$F$1:$AQ$70,24,0)-VLOOKUP($A75,Actions!$F$1:$AQ$70,26,0))/(1+VLOOKUP($A75,Actions!$F$1:$AQ$70,21,0)-VLOOKUP($A75,Actions!$F$1:$AQ$70,20,0)),0),0)</f>
        <v>0</v>
      </c>
      <c r="AX75" s="1353">
        <f>IF(AQ75="",AT75,IF(AND(AU75="",AQ75&lt;&gt;""),VLOOKUP($A75,Actions!$F$1:$AQ$70,31,0),0))</f>
        <v>0</v>
      </c>
      <c r="AY75" s="1354" t="str">
        <f>IF(OR(Actions!$Y69=AY$7,AND(Actions!$Y69&lt;=AY$7,Actions!$Z69&gt;=AY$7)),Actions!$AA69,"")</f>
        <v/>
      </c>
      <c r="AZ75" s="1353">
        <f>IF(AY75&lt;&gt;"",VLOOKUP($A75,Actions!$F$1:$AQ$70,38,0)/(1+VLOOKUP($A75,Actions!$F$1:$AQ$70,21,0)-VLOOKUP($A75,Actions!$F$1:$AQ$70,20,0)),0)</f>
        <v>0</v>
      </c>
      <c r="BA75" s="1353">
        <f>IF(AY75&lt;&gt;"",IF(VLOOKUP($A75,Actions!$F$1:$AQ$70,34,0)="Commune",(VLOOKUP($A75,Actions!$F$1:$AQ$70,24,0)-VLOOKUP($A75,Actions!$F$1:$AQ$70,26,0))/(1+VLOOKUP($A75,Actions!$F$1:$AQ$70,21,0)-VLOOKUP($A75,Actions!$F$1:$AQ$70,20,0)),0),0)</f>
        <v>0</v>
      </c>
      <c r="BB75" s="1353">
        <f>IF(AU75="",AX75,IF(AND(AY75="",AU75&lt;&gt;""),VLOOKUP($A75,Actions!$F$1:$AQ$70,31,0),0))</f>
        <v>0</v>
      </c>
      <c r="BC75" s="1354" t="str">
        <f>IF(OR(Actions!$Y69=BC$7,AND(Actions!$Y69&lt;=BC$7,Actions!$Z69&gt;=BC$7)),Actions!$AA69,"")</f>
        <v/>
      </c>
      <c r="BD75" s="1353">
        <f>IF(BC75&lt;&gt;"",VLOOKUP($A75,Actions!$F$1:$AQ$70,38,0)/(1+VLOOKUP($A75,Actions!$F$1:$AQ$70,21,0)-VLOOKUP($A75,Actions!$F$1:$AQ$70,20,0)),0)</f>
        <v>0</v>
      </c>
      <c r="BE75" s="1353">
        <f>IF(BC75&lt;&gt;"",IF(VLOOKUP($A75,Actions!$F$1:$AQ$70,34,0)="Commune",(VLOOKUP($A75,Actions!$F$1:$AQ$70,24,0)-VLOOKUP($A75,Actions!$F$1:$AQ$70,26,0))/(1+VLOOKUP($A75,Actions!$F$1:$AQ$70,21,0)-VLOOKUP($A75,Actions!$F$1:$AQ$70,20,0)),0),0)</f>
        <v>0</v>
      </c>
      <c r="BF75" s="1353">
        <f>IF(AY75="",BB75,IF(AND(BC75="",AY75&lt;&gt;""),VLOOKUP($A75,Actions!$F$1:$AQ$70,31,0),0))</f>
        <v>0</v>
      </c>
      <c r="BG75" s="1355">
        <f>SUM(M75,Q75,U75,Y75,AC75,AG75,AK75,AO75,AS75,AW75,BA75,BE75)</f>
        <v>0</v>
      </c>
      <c r="BJ75" s="233"/>
      <c r="BK75" s="233"/>
      <c r="BL75" s="233"/>
      <c r="BM75" s="233"/>
      <c r="BN75" s="233"/>
      <c r="BO75" s="233"/>
    </row>
    <row r="76" spans="1:67">
      <c r="A76" s="1349">
        <f>Actions!F70</f>
        <v>69</v>
      </c>
      <c r="B76" s="1352">
        <f>Actions!G70</f>
        <v>0</v>
      </c>
      <c r="C76" s="1353" t="str">
        <f>IF(OR(AND(Actions!Y70&gt;0,Actions!Y70&lt;=$C$7,Actions!Z70&gt;=$C$7),AND(Actions!Y70&gt;0,Actions!Y70&lt;=$C$7,Actions!Z70&lt;Actions!Y70),AND(Actions!Y70=0,Actions!Z70&gt;=$C$7)),Actions!$AA70,"")</f>
        <v/>
      </c>
      <c r="D76" s="1353">
        <f>IF(C76&lt;&gt;"",VLOOKUP($A76,Actions!$F$1:$AQ$70,38,0)/(1+VLOOKUP($A76,Actions!$F$1:$AQ$70,21,0)-VLOOKUP($A76,Actions!$F$1:$AQ$70,20,0)),0)</f>
        <v>0</v>
      </c>
      <c r="E76" s="1353">
        <f>IF(C76&lt;&gt;"",IF(VLOOKUP($A76,Actions!$F$1:$AQ$70,34,0)="Commune",(VLOOKUP($A76,Actions!$F$1:$AQ$70,24,0)-VLOOKUP($A76,Actions!$F$1:$AQ$70,26,0))/(1+VLOOKUP($A76,Actions!$F$1:$AQ$70,21,0)-VLOOKUP($A76,Actions!$F$1:$AQ$70,20,0)),0),0)</f>
        <v>0</v>
      </c>
      <c r="F76" s="1353">
        <v>0</v>
      </c>
      <c r="G76" s="1354" t="str">
        <f>IF(OR(Actions!$Y70=G$7,AND(Actions!$Y70&lt;=G$7,Actions!$Z70&gt;=G$7)),Actions!$AA70,"")</f>
        <v/>
      </c>
      <c r="H76" s="1353">
        <f>IF(G76&lt;&gt;"",VLOOKUP($A76,Actions!$F$1:$AQ$70,38,0)/(1+VLOOKUP($A76,Actions!$F$1:$AQ$70,21,0)-VLOOKUP($A76,Actions!$F$1:$AQ$70,20,0)),0)</f>
        <v>0</v>
      </c>
      <c r="I76" s="1353">
        <f>IF(G76&lt;&gt;"",IF(VLOOKUP($A76,Actions!$F$1:$AQ$70,34,0)="Commune",(VLOOKUP($A76,Actions!$F$1:$AQ$70,24,0)-VLOOKUP($A76,Actions!$F$1:$AQ$70,26,0))/(1+VLOOKUP($A76,Actions!$F$1:$AQ$70,21,0)-VLOOKUP($A76,Actions!$F$1:$AQ$70,20,0)),0),0)</f>
        <v>0</v>
      </c>
      <c r="J76" s="1353">
        <f>IF(C76="",F76,IF(AND(G76="",C76&lt;&gt;""),VLOOKUP($A76,Actions!$F$1:$AQ$70,31,0),0))</f>
        <v>0</v>
      </c>
      <c r="K76" s="1354" t="str">
        <f>IF(OR(Actions!$Y70=K$7,AND(Actions!$Y70&lt;=K$7,Actions!$Z70&gt;=K$7)),Actions!$AA70,"")</f>
        <v/>
      </c>
      <c r="L76" s="1353">
        <f>IF(K76&lt;&gt;"",VLOOKUP($A76,Actions!$F$1:$AQ$70,38,0)/(1+VLOOKUP($A76,Actions!$F$1:$AQ$70,21,0)-VLOOKUP($A76,Actions!$F$1:$AQ$70,20,0)),0)</f>
        <v>0</v>
      </c>
      <c r="M76" s="1353">
        <f>IF(K76&lt;&gt;"",IF(VLOOKUP($A76,Actions!$F$1:$AQ$70,34,0)="Commune",(VLOOKUP($A76,Actions!$F$1:$AQ$70,24,0)-VLOOKUP($A76,Actions!$F$1:$AQ$70,26,0))/(1+VLOOKUP($A76,Actions!$F$1:$AQ$70,21,0)-VLOOKUP($A76,Actions!$F$1:$AQ$70,20,0)),0),0)</f>
        <v>0</v>
      </c>
      <c r="N76" s="1353">
        <f>IF(G76="",J76,IF(AND(K76="",G76&lt;&gt;""),VLOOKUP($A76,Actions!$F$1:$AQ$70,31,0),0))</f>
        <v>0</v>
      </c>
      <c r="O76" s="1354" t="str">
        <f>IF(OR(Actions!$Y70=O$7,AND(Actions!$Y70&lt;=O$7,Actions!$Z70&gt;=O$7)),Actions!$AA70,"")</f>
        <v/>
      </c>
      <c r="P76" s="1353">
        <f>IF(O76&lt;&gt;"",VLOOKUP($A76,Actions!$F$1:$AQ$70,38,0)/(1+VLOOKUP($A76,Actions!$F$1:$AQ$70,21,0)-VLOOKUP($A76,Actions!$F$1:$AQ$70,20,0)),0)</f>
        <v>0</v>
      </c>
      <c r="Q76" s="1353">
        <f>IF(O76&lt;&gt;"",IF(VLOOKUP($A76,Actions!$F$1:$AQ$70,34,0)="Commune",(VLOOKUP($A76,Actions!$F$1:$AQ$70,24,0)-VLOOKUP($A76,Actions!$F$1:$AQ$70,26,0))/(1+VLOOKUP($A76,Actions!$F$1:$AQ$70,21,0)-VLOOKUP($A76,Actions!$F$1:$AQ$70,20,0)),0),0)</f>
        <v>0</v>
      </c>
      <c r="R76" s="1353">
        <f>IF(K76="",N76,IF(AND(O76="",K76&lt;&gt;""),VLOOKUP($A76,Actions!$F$1:$AQ$70,31,0),0))</f>
        <v>0</v>
      </c>
      <c r="S76" s="1354" t="str">
        <f>IF(OR(Actions!$Y70=S$7,AND(Actions!$Y70&lt;=S$7,Actions!$Z70&gt;=S$7)),Actions!$AA70,"")</f>
        <v/>
      </c>
      <c r="T76" s="1353">
        <f>IF(S76&lt;&gt;"",VLOOKUP($A76,Actions!$F$1:$AQ$70,38,0)/(1+VLOOKUP($A76,Actions!$F$1:$AQ$70,21,0)-VLOOKUP($A76,Actions!$F$1:$AQ$70,20,0)),0)</f>
        <v>0</v>
      </c>
      <c r="U76" s="1353">
        <f>IF(S76&lt;&gt;"",IF(VLOOKUP($A76,Actions!$F$1:$AQ$70,34,0)="Commune",(VLOOKUP($A76,Actions!$F$1:$AQ$70,24,0)-VLOOKUP($A76,Actions!$F$1:$AQ$70,26,0))/(1+VLOOKUP($A76,Actions!$F$1:$AQ$70,21,0)-VLOOKUP($A76,Actions!$F$1:$AQ$70,20,0)),0),0)</f>
        <v>0</v>
      </c>
      <c r="V76" s="1353">
        <f>IF(O76="",R76,IF(AND(S76="",O76&lt;&gt;""),VLOOKUP($A76,Actions!$F$1:$AQ$70,31,0),0))</f>
        <v>0</v>
      </c>
      <c r="W76" s="1354" t="str">
        <f>IF(OR(Actions!$Y70=W$7,AND(Actions!$Y70&lt;=W$7,Actions!$Z70&gt;=W$7)),Actions!$AA70,"")</f>
        <v/>
      </c>
      <c r="X76" s="1353">
        <f>IF(W76&lt;&gt;"",VLOOKUP($A76,Actions!$F$1:$AQ$70,38,0)/(1+VLOOKUP($A76,Actions!$F$1:$AQ$70,21,0)-VLOOKUP($A76,Actions!$F$1:$AQ$70,20,0)),0)</f>
        <v>0</v>
      </c>
      <c r="Y76" s="1353">
        <f>IF(W76&lt;&gt;"",IF(VLOOKUP($A76,Actions!$F$1:$AQ$70,34,0)="Commune",(VLOOKUP($A76,Actions!$F$1:$AQ$70,24,0)-VLOOKUP($A76,Actions!$F$1:$AQ$70,26,0))/(1+VLOOKUP($A76,Actions!$F$1:$AQ$70,21,0)-VLOOKUP($A76,Actions!$F$1:$AQ$70,20,0)),0),0)</f>
        <v>0</v>
      </c>
      <c r="Z76" s="1353">
        <f>IF(S76="",V76,IF(AND(W76="",S76&lt;&gt;""),VLOOKUP($A76,Actions!$F$1:$AQ$70,31,0),0))</f>
        <v>0</v>
      </c>
      <c r="AA76" s="1354" t="str">
        <f>IF(OR(Actions!$Y70=AA$7,AND(Actions!$Y70&lt;=AA$7,Actions!$Z70&gt;=AA$7)),Actions!$AA70,"")</f>
        <v/>
      </c>
      <c r="AB76" s="1353">
        <f>IF(AA76&lt;&gt;"",VLOOKUP($A76,Actions!$F$1:$AQ$70,38,0)/(1+VLOOKUP($A76,Actions!$F$1:$AQ$70,21,0)-VLOOKUP($A76,Actions!$F$1:$AQ$70,20,0)),0)</f>
        <v>0</v>
      </c>
      <c r="AC76" s="1353">
        <f>IF(AA76&lt;&gt;"",IF(VLOOKUP($A76,Actions!$F$1:$AQ$70,34,0)="Commune",(VLOOKUP($A76,Actions!$F$1:$AQ$70,24,0)-VLOOKUP($A76,Actions!$F$1:$AQ$70,26,0))/(1+VLOOKUP($A76,Actions!$F$1:$AQ$70,21,0)-VLOOKUP($A76,Actions!$F$1:$AQ$70,20,0)),0),0)</f>
        <v>0</v>
      </c>
      <c r="AD76" s="1353">
        <f>IF(W76="",Z76,IF(AND(AA76="",W76&lt;&gt;""),VLOOKUP($A76,Actions!$F$1:$AQ$70,31,0),0))</f>
        <v>0</v>
      </c>
      <c r="AE76" s="1354" t="str">
        <f>IF(OR(Actions!$Y70=AE$7,AND(Actions!$Y70&lt;=AE$7,Actions!$Z70&gt;=AE$7)),Actions!$AA70,"")</f>
        <v/>
      </c>
      <c r="AF76" s="1353">
        <f>IF(AE76&lt;&gt;"",VLOOKUP($A76,Actions!$F$1:$AQ$70,38,0)/(1+VLOOKUP($A76,Actions!$F$1:$AQ$70,21,0)-VLOOKUP($A76,Actions!$F$1:$AQ$70,20,0)),0)</f>
        <v>0</v>
      </c>
      <c r="AG76" s="1353">
        <f>IF(AE76&lt;&gt;"",IF(VLOOKUP($A76,Actions!$F$1:$AQ$70,34,0)="Commune",(VLOOKUP($A76,Actions!$F$1:$AQ$70,24,0)-VLOOKUP($A76,Actions!$F$1:$AQ$70,26,0))/(1+VLOOKUP($A76,Actions!$F$1:$AQ$70,21,0)-VLOOKUP($A76,Actions!$F$1:$AQ$70,20,0)),0),0)</f>
        <v>0</v>
      </c>
      <c r="AH76" s="1353">
        <f>IF(AA76="",AD76,IF(AND(AE76="",AA76&lt;&gt;""),VLOOKUP($A76,Actions!$F$1:$AQ$70,31,0),0))</f>
        <v>0</v>
      </c>
      <c r="AI76" s="1354" t="str">
        <f>IF(OR(Actions!$Y70=AI$7,AND(Actions!$Y70&lt;=AI$7,Actions!$Z70&gt;=AI$7)),Actions!$AA70,"")</f>
        <v/>
      </c>
      <c r="AJ76" s="1353">
        <f>IF(AI76&lt;&gt;"",VLOOKUP($A76,Actions!$F$1:$AQ$70,38,0)/(1+VLOOKUP($A76,Actions!$F$1:$AQ$70,21,0)-VLOOKUP($A76,Actions!$F$1:$AQ$70,20,0)),0)</f>
        <v>0</v>
      </c>
      <c r="AK76" s="1353">
        <f>IF(AI76&lt;&gt;"",IF(VLOOKUP($A76,Actions!$F$1:$AQ$70,34,0)="Commune",(VLOOKUP($A76,Actions!$F$1:$AQ$70,24,0)-VLOOKUP($A76,Actions!$F$1:$AQ$70,26,0))/(1+VLOOKUP($A76,Actions!$F$1:$AQ$70,21,0)-VLOOKUP($A76,Actions!$F$1:$AQ$70,20,0)),0),0)</f>
        <v>0</v>
      </c>
      <c r="AL76" s="1353">
        <f>IF(AE76="",AH76,IF(AND(AI76="",AE76&lt;&gt;""),VLOOKUP($A76,Actions!$F$1:$AQ$70,31,0),0))</f>
        <v>0</v>
      </c>
      <c r="AM76" s="1354" t="str">
        <f>IF(OR(Actions!$Y70=AM$7,AND(Actions!$Y70&lt;=AM$7,Actions!$Z70&gt;=AM$7)),Actions!$AA70,"")</f>
        <v/>
      </c>
      <c r="AN76" s="1353">
        <f>IF(AM76&lt;&gt;"",VLOOKUP($A76,Actions!$F$1:$AQ$70,38,0)/(1+VLOOKUP($A76,Actions!$F$1:$AQ$70,21,0)-VLOOKUP($A76,Actions!$F$1:$AQ$70,20,0)),0)</f>
        <v>0</v>
      </c>
      <c r="AO76" s="1353">
        <f>IF(AM76&lt;&gt;"",IF(VLOOKUP($A76,Actions!$F$1:$AQ$70,34,0)="Commune",(VLOOKUP($A76,Actions!$F$1:$AQ$70,24,0)-VLOOKUP($A76,Actions!$F$1:$AQ$70,26,0))/(1+VLOOKUP($A76,Actions!$F$1:$AQ$70,21,0)-VLOOKUP($A76,Actions!$F$1:$AQ$70,20,0)),0),0)</f>
        <v>0</v>
      </c>
      <c r="AP76" s="1353">
        <f>IF(AI76="",AL76,IF(AND(AM76="",AI76&lt;&gt;""),VLOOKUP($A76,Actions!$F$1:$AQ$70,31,0),0))</f>
        <v>0</v>
      </c>
      <c r="AQ76" s="1354" t="str">
        <f>IF(OR(Actions!$Y70=AQ$7,AND(Actions!$Y70&lt;=AQ$7,Actions!$Z70&gt;=AQ$7)),Actions!$AA70,"")</f>
        <v/>
      </c>
      <c r="AR76" s="1353">
        <f>IF(AQ76&lt;&gt;"",VLOOKUP($A76,Actions!$F$1:$AQ$70,38,0)/(1+VLOOKUP($A76,Actions!$F$1:$AQ$70,21,0)-VLOOKUP($A76,Actions!$F$1:$AQ$70,20,0)),0)</f>
        <v>0</v>
      </c>
      <c r="AS76" s="1353">
        <f>IF(AQ76&lt;&gt;"",IF(VLOOKUP($A76,Actions!$F$1:$AQ$70,34,0)="Commune",(VLOOKUP($A76,Actions!$F$1:$AQ$70,24,0)-VLOOKUP($A76,Actions!$F$1:$AQ$70,26,0))/(1+VLOOKUP($A76,Actions!$F$1:$AQ$70,21,0)-VLOOKUP($A76,Actions!$F$1:$AQ$70,20,0)),0),0)</f>
        <v>0</v>
      </c>
      <c r="AT76" s="1353">
        <f>IF(AM76="",AP76,IF(AND(AQ76="",AM76&lt;&gt;""),VLOOKUP($A76,Actions!$F$1:$AQ$70,31,0),0))</f>
        <v>0</v>
      </c>
      <c r="AU76" s="1354" t="str">
        <f>IF(OR(Actions!$Y70=AU$7,AND(Actions!$Y70&lt;=AU$7,Actions!$Z70&gt;=AU$7)),Actions!$AA70,"")</f>
        <v/>
      </c>
      <c r="AV76" s="1353">
        <f>IF(AU76&lt;&gt;"",VLOOKUP($A76,Actions!$F$1:$AQ$70,38,0)/(1+VLOOKUP($A76,Actions!$F$1:$AQ$70,21,0)-VLOOKUP($A76,Actions!$F$1:$AQ$70,20,0)),0)</f>
        <v>0</v>
      </c>
      <c r="AW76" s="1353">
        <f>IF(AU76&lt;&gt;"",IF(VLOOKUP($A76,Actions!$F$1:$AQ$70,34,0)="Commune",(VLOOKUP($A76,Actions!$F$1:$AQ$70,24,0)-VLOOKUP($A76,Actions!$F$1:$AQ$70,26,0))/(1+VLOOKUP($A76,Actions!$F$1:$AQ$70,21,0)-VLOOKUP($A76,Actions!$F$1:$AQ$70,20,0)),0),0)</f>
        <v>0</v>
      </c>
      <c r="AX76" s="1353">
        <f>IF(AQ76="",AT76,IF(AND(AU76="",AQ76&lt;&gt;""),VLOOKUP($A76,Actions!$F$1:$AQ$70,31,0),0))</f>
        <v>0</v>
      </c>
      <c r="AY76" s="1354" t="str">
        <f>IF(OR(Actions!$Y70=AY$7,AND(Actions!$Y70&lt;=AY$7,Actions!$Z70&gt;=AY$7)),Actions!$AA70,"")</f>
        <v/>
      </c>
      <c r="AZ76" s="1353">
        <f>IF(AY76&lt;&gt;"",VLOOKUP($A76,Actions!$F$1:$AQ$70,38,0)/(1+VLOOKUP($A76,Actions!$F$1:$AQ$70,21,0)-VLOOKUP($A76,Actions!$F$1:$AQ$70,20,0)),0)</f>
        <v>0</v>
      </c>
      <c r="BA76" s="1353">
        <f>IF(AY76&lt;&gt;"",IF(VLOOKUP($A76,Actions!$F$1:$AQ$70,34,0)="Commune",(VLOOKUP($A76,Actions!$F$1:$AQ$70,24,0)-VLOOKUP($A76,Actions!$F$1:$AQ$70,26,0))/(1+VLOOKUP($A76,Actions!$F$1:$AQ$70,21,0)-VLOOKUP($A76,Actions!$F$1:$AQ$70,20,0)),0),0)</f>
        <v>0</v>
      </c>
      <c r="BB76" s="1353">
        <f>IF(AU76="",AX76,IF(AND(AY76="",AU76&lt;&gt;""),VLOOKUP($A76,Actions!$F$1:$AQ$70,31,0),0))</f>
        <v>0</v>
      </c>
      <c r="BC76" s="1354" t="str">
        <f>IF(OR(Actions!$Y70=BC$7,AND(Actions!$Y70&lt;=BC$7,Actions!$Z70&gt;=BC$7)),Actions!$AA70,"")</f>
        <v/>
      </c>
      <c r="BD76" s="1353">
        <f>IF(BC76&lt;&gt;"",VLOOKUP($A76,Actions!$F$1:$AQ$70,38,0)/(1+VLOOKUP($A76,Actions!$F$1:$AQ$70,21,0)-VLOOKUP($A76,Actions!$F$1:$AQ$70,20,0)),0)</f>
        <v>0</v>
      </c>
      <c r="BE76" s="1353">
        <f>IF(BC76&lt;&gt;"",IF(VLOOKUP($A76,Actions!$F$1:$AQ$70,34,0)="Commune",(VLOOKUP($A76,Actions!$F$1:$AQ$70,24,0)-VLOOKUP($A76,Actions!$F$1:$AQ$70,26,0))/(1+VLOOKUP($A76,Actions!$F$1:$AQ$70,21,0)-VLOOKUP($A76,Actions!$F$1:$AQ$70,20,0)),0),0)</f>
        <v>0</v>
      </c>
      <c r="BF76" s="1353">
        <f>IF(AY76="",BB76,IF(AND(BC76="",AY76&lt;&gt;""),VLOOKUP($A76,Actions!$F$1:$AQ$70,31,0),0))</f>
        <v>0</v>
      </c>
      <c r="BG76" s="1355">
        <f>SUM(M76,Q76,U76,Y76,AC76,AG76,AK76,AO76,AS76,AW76,BA76,BE76)</f>
        <v>0</v>
      </c>
      <c r="BJ76" s="233"/>
      <c r="BK76" s="233"/>
      <c r="BL76" s="233"/>
      <c r="BM76" s="233"/>
      <c r="BN76" s="233"/>
      <c r="BO76" s="233"/>
    </row>
    <row r="77" spans="1:67" ht="18" customHeight="1">
      <c r="A77" s="1288"/>
      <c r="B77" s="1289"/>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c r="BI77" s="233"/>
      <c r="BJ77" s="233"/>
      <c r="BK77" s="233"/>
      <c r="BL77" s="233"/>
      <c r="BM77" s="233"/>
      <c r="BN77" s="233"/>
      <c r="BO77" s="233"/>
    </row>
    <row r="78" spans="1:67" ht="28.5" customHeight="1">
      <c r="A78" s="202" t="s">
        <v>1247</v>
      </c>
      <c r="B78" s="1289"/>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c r="BI78" s="233"/>
      <c r="BJ78" s="233"/>
      <c r="BK78" s="233"/>
      <c r="BL78" s="233"/>
      <c r="BM78" s="233"/>
      <c r="BN78" s="233"/>
      <c r="BO78" s="233"/>
    </row>
    <row r="79" spans="1:67" ht="29.25" customHeight="1">
      <c r="A79" s="2133" t="s">
        <v>1248</v>
      </c>
      <c r="B79" s="2133"/>
      <c r="C79" s="1356">
        <f ca="1">SUM(D8:D76)</f>
        <v>0</v>
      </c>
      <c r="D79" s="320"/>
      <c r="E79" s="321"/>
      <c r="F79" s="322"/>
      <c r="G79" s="1356">
        <f ca="1">SUM(H8:H76)</f>
        <v>0</v>
      </c>
      <c r="H79" s="320"/>
      <c r="I79" s="321"/>
      <c r="J79" s="322"/>
      <c r="K79" s="1356">
        <f ca="1">SUM(L8:L76)</f>
        <v>0</v>
      </c>
      <c r="L79" s="320"/>
      <c r="M79" s="321"/>
      <c r="N79" s="322"/>
      <c r="O79" s="1356">
        <f ca="1">SUM(P8:P76)</f>
        <v>0</v>
      </c>
      <c r="P79" s="320"/>
      <c r="Q79" s="321"/>
      <c r="R79" s="322"/>
      <c r="S79" s="1356">
        <f ca="1">SUM(T8:T76)</f>
        <v>0</v>
      </c>
      <c r="T79" s="320"/>
      <c r="U79" s="321"/>
      <c r="V79" s="322"/>
      <c r="W79" s="1356">
        <f ca="1">SUM(X8:X76)</f>
        <v>0</v>
      </c>
      <c r="X79" s="320"/>
      <c r="Y79" s="321"/>
      <c r="Z79" s="322"/>
      <c r="AA79" s="1356">
        <f ca="1">SUM(AB8:AB76)</f>
        <v>0</v>
      </c>
      <c r="AB79" s="320"/>
      <c r="AC79" s="321"/>
      <c r="AD79" s="322"/>
      <c r="AE79" s="1356">
        <f ca="1">SUM(AF8:AF76)</f>
        <v>0</v>
      </c>
      <c r="AF79" s="320"/>
      <c r="AG79" s="321"/>
      <c r="AH79" s="322"/>
      <c r="AI79" s="1356">
        <f ca="1">SUM(AJ8:AJ76)</f>
        <v>0</v>
      </c>
      <c r="AJ79" s="320"/>
      <c r="AK79" s="321"/>
      <c r="AL79" s="322"/>
      <c r="AM79" s="1356">
        <f ca="1">SUM(AN8:AN76)</f>
        <v>0</v>
      </c>
      <c r="AN79" s="320"/>
      <c r="AO79" s="321"/>
      <c r="AP79" s="322"/>
      <c r="AQ79" s="1356">
        <f ca="1">SUM(AR8:AR76)</f>
        <v>0</v>
      </c>
      <c r="AR79" s="320"/>
      <c r="AS79" s="321"/>
      <c r="AT79" s="322"/>
      <c r="AU79" s="1356">
        <f ca="1">SUM(AV8:AV76)</f>
        <v>0</v>
      </c>
      <c r="AV79" s="320"/>
      <c r="AW79" s="321"/>
      <c r="AX79" s="322"/>
      <c r="AY79" s="1356">
        <f ca="1">SUM(AZ8:AZ76)</f>
        <v>0</v>
      </c>
      <c r="AZ79" s="320"/>
      <c r="BA79" s="321"/>
      <c r="BB79" s="322"/>
      <c r="BC79" s="1356">
        <f ca="1">SUM(BD8:BD76)</f>
        <v>0</v>
      </c>
      <c r="BD79" s="260"/>
      <c r="BE79" s="260"/>
      <c r="BF79" s="260"/>
      <c r="BG79" s="259"/>
      <c r="BI79" s="233"/>
      <c r="BJ79" s="233"/>
      <c r="BK79" s="233"/>
      <c r="BL79" s="233"/>
      <c r="BM79" s="233"/>
      <c r="BN79" s="233"/>
      <c r="BO79" s="233"/>
    </row>
    <row r="80" spans="1:67" ht="33.75" customHeight="1">
      <c r="A80" s="2133" t="s">
        <v>1249</v>
      </c>
      <c r="B80" s="2133"/>
      <c r="C80" s="1357">
        <f ca="1">SUM(E8:E76)+C79*$C$5</f>
        <v>0</v>
      </c>
      <c r="D80" s="1357">
        <f t="shared" ref="D80:BC80" si="1">SUM(F8:F76)+D79*$C$5</f>
        <v>0</v>
      </c>
      <c r="E80" s="1357">
        <f t="shared" ca="1" si="1"/>
        <v>0</v>
      </c>
      <c r="F80" s="1357">
        <f t="shared" ca="1" si="1"/>
        <v>0</v>
      </c>
      <c r="G80" s="1357">
        <f t="shared" ca="1" si="1"/>
        <v>0</v>
      </c>
      <c r="H80" s="1357">
        <f t="shared" ca="1" si="1"/>
        <v>0</v>
      </c>
      <c r="I80" s="1357">
        <f t="shared" ca="1" si="1"/>
        <v>0</v>
      </c>
      <c r="J80" s="1357">
        <f t="shared" ca="1" si="1"/>
        <v>0</v>
      </c>
      <c r="K80" s="1357">
        <f t="shared" ca="1" si="1"/>
        <v>0</v>
      </c>
      <c r="L80" s="1357">
        <f t="shared" ca="1" si="1"/>
        <v>0</v>
      </c>
      <c r="M80" s="1357">
        <f t="shared" ca="1" si="1"/>
        <v>0</v>
      </c>
      <c r="N80" s="1357">
        <f t="shared" ca="1" si="1"/>
        <v>0</v>
      </c>
      <c r="O80" s="1357">
        <f t="shared" ca="1" si="1"/>
        <v>0</v>
      </c>
      <c r="P80" s="1357">
        <f t="shared" ca="1" si="1"/>
        <v>0</v>
      </c>
      <c r="Q80" s="1357">
        <f t="shared" ca="1" si="1"/>
        <v>0</v>
      </c>
      <c r="R80" s="1357">
        <f t="shared" ca="1" si="1"/>
        <v>0</v>
      </c>
      <c r="S80" s="1357">
        <f t="shared" ca="1" si="1"/>
        <v>0</v>
      </c>
      <c r="T80" s="1357">
        <f t="shared" ca="1" si="1"/>
        <v>0</v>
      </c>
      <c r="U80" s="1357">
        <f t="shared" ca="1" si="1"/>
        <v>0</v>
      </c>
      <c r="V80" s="1357">
        <f t="shared" ca="1" si="1"/>
        <v>0</v>
      </c>
      <c r="W80" s="1357">
        <f t="shared" ca="1" si="1"/>
        <v>0</v>
      </c>
      <c r="X80" s="1357">
        <f t="shared" ca="1" si="1"/>
        <v>0</v>
      </c>
      <c r="Y80" s="1357">
        <f t="shared" ca="1" si="1"/>
        <v>0</v>
      </c>
      <c r="Z80" s="1357">
        <f t="shared" ca="1" si="1"/>
        <v>0</v>
      </c>
      <c r="AA80" s="1357">
        <f t="shared" ca="1" si="1"/>
        <v>0</v>
      </c>
      <c r="AB80" s="1357">
        <f t="shared" ca="1" si="1"/>
        <v>0</v>
      </c>
      <c r="AC80" s="1357">
        <f t="shared" ca="1" si="1"/>
        <v>0</v>
      </c>
      <c r="AD80" s="1357">
        <f t="shared" ca="1" si="1"/>
        <v>0</v>
      </c>
      <c r="AE80" s="1357">
        <f t="shared" ca="1" si="1"/>
        <v>0</v>
      </c>
      <c r="AF80" s="1357">
        <f t="shared" ca="1" si="1"/>
        <v>0</v>
      </c>
      <c r="AG80" s="1357">
        <f t="shared" ca="1" si="1"/>
        <v>0</v>
      </c>
      <c r="AH80" s="1357">
        <f t="shared" ca="1" si="1"/>
        <v>0</v>
      </c>
      <c r="AI80" s="1357">
        <f t="shared" ca="1" si="1"/>
        <v>0</v>
      </c>
      <c r="AJ80" s="1357">
        <f t="shared" ca="1" si="1"/>
        <v>0</v>
      </c>
      <c r="AK80" s="1357">
        <f t="shared" ca="1" si="1"/>
        <v>0</v>
      </c>
      <c r="AL80" s="1357">
        <f t="shared" ca="1" si="1"/>
        <v>0</v>
      </c>
      <c r="AM80" s="1357">
        <f t="shared" ca="1" si="1"/>
        <v>0</v>
      </c>
      <c r="AN80" s="1357">
        <f t="shared" ca="1" si="1"/>
        <v>0</v>
      </c>
      <c r="AO80" s="1357">
        <f t="shared" ca="1" si="1"/>
        <v>0</v>
      </c>
      <c r="AP80" s="1357">
        <f t="shared" ca="1" si="1"/>
        <v>0</v>
      </c>
      <c r="AQ80" s="1357">
        <f t="shared" ca="1" si="1"/>
        <v>0</v>
      </c>
      <c r="AR80" s="1357">
        <f t="shared" ca="1" si="1"/>
        <v>0</v>
      </c>
      <c r="AS80" s="1357">
        <f t="shared" ca="1" si="1"/>
        <v>0</v>
      </c>
      <c r="AT80" s="1357">
        <f t="shared" ca="1" si="1"/>
        <v>0</v>
      </c>
      <c r="AU80" s="1357">
        <f t="shared" ca="1" si="1"/>
        <v>0</v>
      </c>
      <c r="AV80" s="1357">
        <f t="shared" ca="1" si="1"/>
        <v>0</v>
      </c>
      <c r="AW80" s="1357">
        <f t="shared" ca="1" si="1"/>
        <v>0</v>
      </c>
      <c r="AX80" s="1357">
        <f t="shared" ca="1" si="1"/>
        <v>0</v>
      </c>
      <c r="AY80" s="1357">
        <f t="shared" ca="1" si="1"/>
        <v>0</v>
      </c>
      <c r="AZ80" s="1357">
        <f t="shared" ca="1" si="1"/>
        <v>0</v>
      </c>
      <c r="BA80" s="1357">
        <f t="shared" ca="1" si="1"/>
        <v>0</v>
      </c>
      <c r="BB80" s="1357">
        <f t="shared" ca="1" si="1"/>
        <v>0</v>
      </c>
      <c r="BC80" s="1357">
        <f t="shared" ca="1" si="1"/>
        <v>0</v>
      </c>
      <c r="BD80" s="1357">
        <f ca="1">SUM(BF8:BF76)+BD79*BD5</f>
        <v>0</v>
      </c>
      <c r="BE80" s="1357">
        <f ca="1">SUM(BG8:BG76)+BE79*BE5</f>
        <v>0</v>
      </c>
      <c r="BF80" s="1357">
        <f ca="1">SUM(BH8:BH76)+BF79*BF5</f>
        <v>0</v>
      </c>
      <c r="BG80" s="259"/>
      <c r="BI80" s="233"/>
      <c r="BJ80" s="233"/>
      <c r="BK80" s="233"/>
      <c r="BL80" s="233"/>
      <c r="BM80" s="233"/>
      <c r="BN80" s="233"/>
      <c r="BO80" s="233"/>
    </row>
    <row r="81" spans="1:67">
      <c r="A81" s="2131" t="s">
        <v>1250</v>
      </c>
      <c r="B81" s="2131"/>
      <c r="C81" s="1357">
        <f>SUM(F8:F76)</f>
        <v>0</v>
      </c>
      <c r="D81" s="323"/>
      <c r="E81" s="324"/>
      <c r="F81" s="325"/>
      <c r="G81" s="1357">
        <f ca="1">SUM(J8:J76)</f>
        <v>0</v>
      </c>
      <c r="H81" s="323"/>
      <c r="I81" s="324"/>
      <c r="J81" s="325"/>
      <c r="K81" s="1357">
        <f ca="1">SUM(N8:N76)</f>
        <v>0</v>
      </c>
      <c r="L81" s="323"/>
      <c r="M81" s="324"/>
      <c r="N81" s="325"/>
      <c r="O81" s="1357">
        <f ca="1">SUM(R8:R76)</f>
        <v>0</v>
      </c>
      <c r="P81" s="323"/>
      <c r="Q81" s="324"/>
      <c r="R81" s="325"/>
      <c r="S81" s="1357">
        <f ca="1">SUM(V8:V76)</f>
        <v>0</v>
      </c>
      <c r="T81" s="323"/>
      <c r="U81" s="324"/>
      <c r="V81" s="325"/>
      <c r="W81" s="1357">
        <f ca="1">SUM(Z8:Z76)</f>
        <v>0</v>
      </c>
      <c r="X81" s="323"/>
      <c r="Y81" s="324"/>
      <c r="Z81" s="325"/>
      <c r="AA81" s="1357">
        <f ca="1">SUM(AD8:AD76)</f>
        <v>0</v>
      </c>
      <c r="AB81" s="323"/>
      <c r="AC81" s="324"/>
      <c r="AD81" s="325"/>
      <c r="AE81" s="1357">
        <f ca="1">SUM(AH8:AH76)</f>
        <v>0</v>
      </c>
      <c r="AF81" s="323"/>
      <c r="AG81" s="324"/>
      <c r="AH81" s="325"/>
      <c r="AI81" s="1357">
        <f ca="1">SUM(AL8:AL76)</f>
        <v>0</v>
      </c>
      <c r="AJ81" s="323"/>
      <c r="AK81" s="324"/>
      <c r="AL81" s="325"/>
      <c r="AM81" s="1357">
        <f ca="1">SUM(AP8:AP76)</f>
        <v>0</v>
      </c>
      <c r="AN81" s="323"/>
      <c r="AO81" s="324"/>
      <c r="AP81" s="325"/>
      <c r="AQ81" s="1357">
        <f ca="1">SUM(AT8:AT76)</f>
        <v>0</v>
      </c>
      <c r="AR81" s="323"/>
      <c r="AS81" s="324"/>
      <c r="AT81" s="325"/>
      <c r="AU81" s="1357">
        <f ca="1">SUM(AX8:AX76)</f>
        <v>0</v>
      </c>
      <c r="AV81" s="323"/>
      <c r="AW81" s="324"/>
      <c r="AX81" s="325"/>
      <c r="AY81" s="1357">
        <f ca="1">SUM(BB8:BB76)</f>
        <v>0</v>
      </c>
      <c r="AZ81" s="323"/>
      <c r="BA81" s="324"/>
      <c r="BB81" s="325"/>
      <c r="BC81" s="1357">
        <f ca="1">SUM(BF8:BF76)</f>
        <v>0</v>
      </c>
      <c r="BD81" s="260"/>
      <c r="BE81" s="260"/>
      <c r="BF81" s="260"/>
      <c r="BG81" s="259"/>
      <c r="BI81" s="233"/>
      <c r="BJ81" s="233"/>
      <c r="BK81" s="233"/>
      <c r="BL81" s="233"/>
      <c r="BM81" s="233"/>
      <c r="BN81" s="233"/>
      <c r="BO81" s="233"/>
    </row>
    <row r="82" spans="1:67">
      <c r="A82" s="1290"/>
      <c r="B82" s="1291"/>
      <c r="C82" s="1292"/>
      <c r="D82" s="1292">
        <f t="shared" ref="D82:BB82" si="2">-D80</f>
        <v>0</v>
      </c>
      <c r="E82" s="1292">
        <f t="shared" ca="1" si="2"/>
        <v>0</v>
      </c>
      <c r="F82" s="1292">
        <f t="shared" ca="1" si="2"/>
        <v>0</v>
      </c>
      <c r="G82" s="1292"/>
      <c r="H82" s="1292">
        <f t="shared" ca="1" si="2"/>
        <v>0</v>
      </c>
      <c r="I82" s="1292">
        <f t="shared" ca="1" si="2"/>
        <v>0</v>
      </c>
      <c r="J82" s="1292">
        <f t="shared" ca="1" si="2"/>
        <v>0</v>
      </c>
      <c r="K82" s="1292"/>
      <c r="L82" s="1292">
        <f t="shared" ca="1" si="2"/>
        <v>0</v>
      </c>
      <c r="M82" s="1292">
        <f t="shared" ca="1" si="2"/>
        <v>0</v>
      </c>
      <c r="N82" s="1292">
        <f t="shared" ca="1" si="2"/>
        <v>0</v>
      </c>
      <c r="O82" s="1292"/>
      <c r="P82" s="1292">
        <f t="shared" ca="1" si="2"/>
        <v>0</v>
      </c>
      <c r="Q82" s="1292">
        <f t="shared" ca="1" si="2"/>
        <v>0</v>
      </c>
      <c r="R82" s="1292">
        <f t="shared" ca="1" si="2"/>
        <v>0</v>
      </c>
      <c r="S82" s="1292"/>
      <c r="T82" s="1292">
        <f t="shared" ca="1" si="2"/>
        <v>0</v>
      </c>
      <c r="U82" s="1292">
        <f t="shared" ca="1" si="2"/>
        <v>0</v>
      </c>
      <c r="V82" s="1292">
        <f t="shared" ca="1" si="2"/>
        <v>0</v>
      </c>
      <c r="W82" s="1292"/>
      <c r="X82" s="1292">
        <f t="shared" ca="1" si="2"/>
        <v>0</v>
      </c>
      <c r="Y82" s="1292">
        <f t="shared" ca="1" si="2"/>
        <v>0</v>
      </c>
      <c r="Z82" s="1292">
        <f t="shared" ca="1" si="2"/>
        <v>0</v>
      </c>
      <c r="AA82" s="1292"/>
      <c r="AB82" s="1292">
        <f t="shared" ca="1" si="2"/>
        <v>0</v>
      </c>
      <c r="AC82" s="1292">
        <f t="shared" ca="1" si="2"/>
        <v>0</v>
      </c>
      <c r="AD82" s="1292">
        <f t="shared" ca="1" si="2"/>
        <v>0</v>
      </c>
      <c r="AE82" s="1292"/>
      <c r="AF82" s="1292">
        <f t="shared" ca="1" si="2"/>
        <v>0</v>
      </c>
      <c r="AG82" s="1292">
        <f t="shared" ca="1" si="2"/>
        <v>0</v>
      </c>
      <c r="AH82" s="1292">
        <f t="shared" ca="1" si="2"/>
        <v>0</v>
      </c>
      <c r="AI82" s="1292"/>
      <c r="AJ82" s="1292">
        <f t="shared" ca="1" si="2"/>
        <v>0</v>
      </c>
      <c r="AK82" s="1292">
        <f t="shared" ca="1" si="2"/>
        <v>0</v>
      </c>
      <c r="AL82" s="1292">
        <f t="shared" ca="1" si="2"/>
        <v>0</v>
      </c>
      <c r="AM82" s="1292"/>
      <c r="AN82" s="1292">
        <f t="shared" ca="1" si="2"/>
        <v>0</v>
      </c>
      <c r="AO82" s="1292">
        <f t="shared" ca="1" si="2"/>
        <v>0</v>
      </c>
      <c r="AP82" s="1292">
        <f t="shared" ca="1" si="2"/>
        <v>0</v>
      </c>
      <c r="AQ82" s="1292"/>
      <c r="AR82" s="1292">
        <f t="shared" ca="1" si="2"/>
        <v>0</v>
      </c>
      <c r="AS82" s="1292">
        <f t="shared" ca="1" si="2"/>
        <v>0</v>
      </c>
      <c r="AT82" s="1292">
        <f t="shared" ca="1" si="2"/>
        <v>0</v>
      </c>
      <c r="AU82" s="1292"/>
      <c r="AV82" s="1292">
        <f t="shared" ca="1" si="2"/>
        <v>0</v>
      </c>
      <c r="AW82" s="1292">
        <f t="shared" ca="1" si="2"/>
        <v>0</v>
      </c>
      <c r="AX82" s="1292">
        <f t="shared" ca="1" si="2"/>
        <v>0</v>
      </c>
      <c r="AY82" s="1292"/>
      <c r="AZ82" s="1292">
        <f t="shared" ca="1" si="2"/>
        <v>0</v>
      </c>
      <c r="BA82" s="1292">
        <f t="shared" ca="1" si="2"/>
        <v>0</v>
      </c>
      <c r="BB82" s="1292">
        <f t="shared" ca="1" si="2"/>
        <v>0</v>
      </c>
      <c r="BC82" s="1292"/>
      <c r="BG82" s="259"/>
      <c r="BI82" s="233"/>
      <c r="BJ82" s="233"/>
      <c r="BK82" s="233"/>
      <c r="BL82" s="233"/>
      <c r="BM82" s="233"/>
      <c r="BN82" s="233"/>
      <c r="BO82" s="233"/>
    </row>
    <row r="83" spans="1:67">
      <c r="A83" s="2131" t="s">
        <v>1251</v>
      </c>
      <c r="B83" s="2131"/>
      <c r="C83" s="1357">
        <f ca="1">C80</f>
        <v>0</v>
      </c>
      <c r="D83" s="326"/>
      <c r="E83" s="327"/>
      <c r="F83" s="328"/>
      <c r="G83" s="1357">
        <f ca="1">C83+G80</f>
        <v>0</v>
      </c>
      <c r="H83" s="326">
        <f t="shared" ref="H83:BF83" ca="1" si="3">D83+H80</f>
        <v>0</v>
      </c>
      <c r="I83" s="327">
        <f t="shared" ca="1" si="3"/>
        <v>0</v>
      </c>
      <c r="J83" s="328">
        <f t="shared" ca="1" si="3"/>
        <v>0</v>
      </c>
      <c r="K83" s="1357">
        <f t="shared" ca="1" si="3"/>
        <v>0</v>
      </c>
      <c r="L83" s="326">
        <f t="shared" ca="1" si="3"/>
        <v>0</v>
      </c>
      <c r="M83" s="327">
        <f t="shared" ca="1" si="3"/>
        <v>0</v>
      </c>
      <c r="N83" s="328">
        <f t="shared" ca="1" si="3"/>
        <v>0</v>
      </c>
      <c r="O83" s="1357">
        <f t="shared" ca="1" si="3"/>
        <v>0</v>
      </c>
      <c r="P83" s="326">
        <f t="shared" ca="1" si="3"/>
        <v>0</v>
      </c>
      <c r="Q83" s="327">
        <f t="shared" ca="1" si="3"/>
        <v>0</v>
      </c>
      <c r="R83" s="328">
        <f t="shared" ca="1" si="3"/>
        <v>0</v>
      </c>
      <c r="S83" s="1357">
        <f t="shared" ca="1" si="3"/>
        <v>0</v>
      </c>
      <c r="T83" s="326">
        <f t="shared" ca="1" si="3"/>
        <v>0</v>
      </c>
      <c r="U83" s="327">
        <f t="shared" ca="1" si="3"/>
        <v>0</v>
      </c>
      <c r="V83" s="328">
        <f t="shared" ca="1" si="3"/>
        <v>0</v>
      </c>
      <c r="W83" s="1357">
        <f t="shared" ca="1" si="3"/>
        <v>0</v>
      </c>
      <c r="X83" s="326">
        <f t="shared" ca="1" si="3"/>
        <v>0</v>
      </c>
      <c r="Y83" s="327">
        <f t="shared" ca="1" si="3"/>
        <v>0</v>
      </c>
      <c r="Z83" s="328">
        <f t="shared" ca="1" si="3"/>
        <v>0</v>
      </c>
      <c r="AA83" s="1357">
        <f t="shared" ca="1" si="3"/>
        <v>0</v>
      </c>
      <c r="AB83" s="326">
        <f t="shared" ca="1" si="3"/>
        <v>0</v>
      </c>
      <c r="AC83" s="327">
        <f t="shared" ca="1" si="3"/>
        <v>0</v>
      </c>
      <c r="AD83" s="328">
        <f t="shared" ca="1" si="3"/>
        <v>0</v>
      </c>
      <c r="AE83" s="1357">
        <f t="shared" ca="1" si="3"/>
        <v>0</v>
      </c>
      <c r="AF83" s="326">
        <f t="shared" ca="1" si="3"/>
        <v>0</v>
      </c>
      <c r="AG83" s="327">
        <f t="shared" ca="1" si="3"/>
        <v>0</v>
      </c>
      <c r="AH83" s="328">
        <f t="shared" ca="1" si="3"/>
        <v>0</v>
      </c>
      <c r="AI83" s="1357">
        <f t="shared" ca="1" si="3"/>
        <v>0</v>
      </c>
      <c r="AJ83" s="326">
        <f t="shared" ca="1" si="3"/>
        <v>0</v>
      </c>
      <c r="AK83" s="327">
        <f t="shared" ca="1" si="3"/>
        <v>0</v>
      </c>
      <c r="AL83" s="328">
        <f t="shared" ca="1" si="3"/>
        <v>0</v>
      </c>
      <c r="AM83" s="1357">
        <f t="shared" ca="1" si="3"/>
        <v>0</v>
      </c>
      <c r="AN83" s="326">
        <f t="shared" ca="1" si="3"/>
        <v>0</v>
      </c>
      <c r="AO83" s="327">
        <f t="shared" ca="1" si="3"/>
        <v>0</v>
      </c>
      <c r="AP83" s="328">
        <f t="shared" ca="1" si="3"/>
        <v>0</v>
      </c>
      <c r="AQ83" s="1357">
        <f t="shared" ca="1" si="3"/>
        <v>0</v>
      </c>
      <c r="AR83" s="326">
        <f t="shared" ca="1" si="3"/>
        <v>0</v>
      </c>
      <c r="AS83" s="327">
        <f t="shared" ca="1" si="3"/>
        <v>0</v>
      </c>
      <c r="AT83" s="328">
        <f t="shared" ca="1" si="3"/>
        <v>0</v>
      </c>
      <c r="AU83" s="1357">
        <f t="shared" ca="1" si="3"/>
        <v>0</v>
      </c>
      <c r="AV83" s="326">
        <f t="shared" ca="1" si="3"/>
        <v>0</v>
      </c>
      <c r="AW83" s="327">
        <f t="shared" ca="1" si="3"/>
        <v>0</v>
      </c>
      <c r="AX83" s="328">
        <f t="shared" ca="1" si="3"/>
        <v>0</v>
      </c>
      <c r="AY83" s="1357">
        <f t="shared" ca="1" si="3"/>
        <v>0</v>
      </c>
      <c r="AZ83" s="326">
        <f t="shared" ca="1" si="3"/>
        <v>0</v>
      </c>
      <c r="BA83" s="327">
        <f t="shared" ca="1" si="3"/>
        <v>0</v>
      </c>
      <c r="BB83" s="328">
        <f t="shared" ca="1" si="3"/>
        <v>0</v>
      </c>
      <c r="BC83" s="1357">
        <f t="shared" ca="1" si="3"/>
        <v>0</v>
      </c>
      <c r="BD83" s="326">
        <f t="shared" ca="1" si="3"/>
        <v>0</v>
      </c>
      <c r="BE83" s="327">
        <f t="shared" ca="1" si="3"/>
        <v>0</v>
      </c>
      <c r="BF83" s="327">
        <f t="shared" ca="1" si="3"/>
        <v>0</v>
      </c>
      <c r="BG83" s="259"/>
      <c r="BI83" s="233"/>
      <c r="BJ83" s="233"/>
      <c r="BK83" s="233"/>
      <c r="BL83" s="233"/>
      <c r="BM83" s="233"/>
      <c r="BN83" s="233"/>
      <c r="BO83" s="233"/>
    </row>
    <row r="84" spans="1:67">
      <c r="A84" s="2131" t="s">
        <v>1252</v>
      </c>
      <c r="B84" s="2131"/>
      <c r="C84" s="1357">
        <v>0</v>
      </c>
      <c r="D84" s="323"/>
      <c r="E84" s="324"/>
      <c r="F84" s="325"/>
      <c r="G84" s="1357">
        <f ca="1">C84+G81</f>
        <v>0</v>
      </c>
      <c r="H84" s="326">
        <f t="shared" ref="H84:BC84" si="4">D84+H81</f>
        <v>0</v>
      </c>
      <c r="I84" s="327">
        <f t="shared" si="4"/>
        <v>0</v>
      </c>
      <c r="J84" s="328">
        <f t="shared" si="4"/>
        <v>0</v>
      </c>
      <c r="K84" s="1357">
        <f t="shared" ca="1" si="4"/>
        <v>0</v>
      </c>
      <c r="L84" s="326">
        <f t="shared" si="4"/>
        <v>0</v>
      </c>
      <c r="M84" s="327">
        <f t="shared" si="4"/>
        <v>0</v>
      </c>
      <c r="N84" s="328">
        <f t="shared" si="4"/>
        <v>0</v>
      </c>
      <c r="O84" s="1357">
        <f t="shared" ca="1" si="4"/>
        <v>0</v>
      </c>
      <c r="P84" s="326">
        <f t="shared" si="4"/>
        <v>0</v>
      </c>
      <c r="Q84" s="327">
        <f t="shared" si="4"/>
        <v>0</v>
      </c>
      <c r="R84" s="328">
        <f t="shared" si="4"/>
        <v>0</v>
      </c>
      <c r="S84" s="1357">
        <f t="shared" ca="1" si="4"/>
        <v>0</v>
      </c>
      <c r="T84" s="326">
        <f t="shared" si="4"/>
        <v>0</v>
      </c>
      <c r="U84" s="327">
        <f t="shared" si="4"/>
        <v>0</v>
      </c>
      <c r="V84" s="328">
        <f t="shared" si="4"/>
        <v>0</v>
      </c>
      <c r="W84" s="1357">
        <f t="shared" ca="1" si="4"/>
        <v>0</v>
      </c>
      <c r="X84" s="326">
        <f t="shared" si="4"/>
        <v>0</v>
      </c>
      <c r="Y84" s="327">
        <f t="shared" si="4"/>
        <v>0</v>
      </c>
      <c r="Z84" s="328">
        <f t="shared" si="4"/>
        <v>0</v>
      </c>
      <c r="AA84" s="1357">
        <f t="shared" ca="1" si="4"/>
        <v>0</v>
      </c>
      <c r="AB84" s="326">
        <f t="shared" si="4"/>
        <v>0</v>
      </c>
      <c r="AC84" s="327">
        <f t="shared" si="4"/>
        <v>0</v>
      </c>
      <c r="AD84" s="328">
        <f t="shared" si="4"/>
        <v>0</v>
      </c>
      <c r="AE84" s="1357">
        <f t="shared" ca="1" si="4"/>
        <v>0</v>
      </c>
      <c r="AF84" s="326">
        <f t="shared" si="4"/>
        <v>0</v>
      </c>
      <c r="AG84" s="327">
        <f t="shared" si="4"/>
        <v>0</v>
      </c>
      <c r="AH84" s="328">
        <f t="shared" si="4"/>
        <v>0</v>
      </c>
      <c r="AI84" s="1357">
        <f t="shared" ca="1" si="4"/>
        <v>0</v>
      </c>
      <c r="AJ84" s="326">
        <f t="shared" si="4"/>
        <v>0</v>
      </c>
      <c r="AK84" s="327">
        <f t="shared" si="4"/>
        <v>0</v>
      </c>
      <c r="AL84" s="328">
        <f t="shared" si="4"/>
        <v>0</v>
      </c>
      <c r="AM84" s="1357">
        <f t="shared" ca="1" si="4"/>
        <v>0</v>
      </c>
      <c r="AN84" s="326">
        <f t="shared" si="4"/>
        <v>0</v>
      </c>
      <c r="AO84" s="327">
        <f t="shared" si="4"/>
        <v>0</v>
      </c>
      <c r="AP84" s="328">
        <f t="shared" si="4"/>
        <v>0</v>
      </c>
      <c r="AQ84" s="1357">
        <f t="shared" ca="1" si="4"/>
        <v>0</v>
      </c>
      <c r="AR84" s="326">
        <f t="shared" si="4"/>
        <v>0</v>
      </c>
      <c r="AS84" s="327">
        <f t="shared" si="4"/>
        <v>0</v>
      </c>
      <c r="AT84" s="328">
        <f t="shared" si="4"/>
        <v>0</v>
      </c>
      <c r="AU84" s="1357">
        <f t="shared" ca="1" si="4"/>
        <v>0</v>
      </c>
      <c r="AV84" s="326">
        <f t="shared" si="4"/>
        <v>0</v>
      </c>
      <c r="AW84" s="327">
        <f t="shared" si="4"/>
        <v>0</v>
      </c>
      <c r="AX84" s="328">
        <f t="shared" si="4"/>
        <v>0</v>
      </c>
      <c r="AY84" s="1357">
        <f t="shared" ca="1" si="4"/>
        <v>0</v>
      </c>
      <c r="AZ84" s="326">
        <f t="shared" si="4"/>
        <v>0</v>
      </c>
      <c r="BA84" s="327">
        <f t="shared" si="4"/>
        <v>0</v>
      </c>
      <c r="BB84" s="328">
        <f t="shared" si="4"/>
        <v>0</v>
      </c>
      <c r="BC84" s="1357">
        <f t="shared" ca="1" si="4"/>
        <v>0</v>
      </c>
      <c r="BG84" s="259"/>
      <c r="BI84" s="233"/>
      <c r="BJ84" s="233"/>
      <c r="BK84" s="233"/>
      <c r="BL84" s="233"/>
      <c r="BM84" s="233"/>
      <c r="BN84" s="233"/>
      <c r="BO84" s="233"/>
    </row>
    <row r="85" spans="1:67">
      <c r="A85" s="1287"/>
      <c r="B85" s="1293"/>
      <c r="C85" s="260"/>
      <c r="F85" s="148"/>
      <c r="G85" s="260"/>
      <c r="K85" s="260"/>
      <c r="O85" s="260"/>
      <c r="S85" s="260"/>
      <c r="W85" s="260"/>
      <c r="AA85" s="260"/>
      <c r="AE85" s="260"/>
      <c r="AI85" s="260"/>
      <c r="AM85" s="260"/>
      <c r="AQ85" s="260"/>
      <c r="AU85" s="260"/>
      <c r="AY85" s="260"/>
      <c r="BC85" s="260"/>
      <c r="BG85" s="259"/>
      <c r="BI85" s="233"/>
      <c r="BJ85" s="233"/>
      <c r="BK85" s="233"/>
      <c r="BL85" s="233"/>
      <c r="BM85" s="233"/>
      <c r="BN85" s="233"/>
      <c r="BO85" s="233"/>
    </row>
    <row r="86" spans="1:67">
      <c r="A86" s="1287"/>
      <c r="B86" s="1293"/>
      <c r="C86" s="260"/>
      <c r="G86" s="260"/>
      <c r="K86" s="260"/>
      <c r="O86" s="260"/>
      <c r="S86" s="260"/>
      <c r="W86" s="260"/>
      <c r="AA86" s="260"/>
      <c r="AE86" s="260"/>
      <c r="AI86" s="260"/>
      <c r="AM86" s="260"/>
      <c r="AQ86" s="260"/>
      <c r="AU86" s="260"/>
      <c r="AY86" s="260"/>
      <c r="BC86" s="260"/>
      <c r="BG86" s="259"/>
      <c r="BI86" s="233"/>
      <c r="BJ86" s="233"/>
      <c r="BK86" s="233"/>
      <c r="BL86" s="233"/>
      <c r="BM86" s="233"/>
      <c r="BN86" s="233"/>
      <c r="BO86" s="233"/>
    </row>
    <row r="87" spans="1:67">
      <c r="A87" s="1287"/>
      <c r="B87" s="1293"/>
      <c r="C87" s="260"/>
      <c r="G87" s="260"/>
      <c r="K87" s="260"/>
      <c r="O87" s="260"/>
      <c r="S87" s="260"/>
      <c r="W87" s="260"/>
      <c r="AA87" s="260"/>
      <c r="AE87" s="260"/>
      <c r="AI87" s="260"/>
      <c r="AM87" s="260"/>
      <c r="AQ87" s="260"/>
      <c r="AU87" s="260"/>
      <c r="AY87" s="260"/>
      <c r="BC87" s="260"/>
      <c r="BG87" s="259"/>
      <c r="BI87" s="233"/>
      <c r="BJ87" s="233"/>
      <c r="BK87" s="233"/>
      <c r="BL87" s="233"/>
      <c r="BM87" s="233"/>
      <c r="BN87" s="233"/>
      <c r="BO87" s="233"/>
    </row>
    <row r="88" spans="1:67">
      <c r="A88" s="1287"/>
      <c r="B88" s="1293"/>
      <c r="C88" s="260"/>
      <c r="G88" s="260"/>
      <c r="K88" s="260"/>
      <c r="O88" s="260"/>
      <c r="S88" s="260"/>
      <c r="W88" s="260"/>
      <c r="AA88" s="260"/>
      <c r="AE88" s="260"/>
      <c r="AI88" s="260"/>
      <c r="AM88" s="260"/>
      <c r="AQ88" s="260"/>
      <c r="AU88" s="260"/>
      <c r="AY88" s="260"/>
      <c r="BC88" s="260"/>
      <c r="BG88" s="259"/>
      <c r="BI88" s="233"/>
      <c r="BJ88" s="233"/>
      <c r="BK88" s="233"/>
      <c r="BL88" s="233"/>
      <c r="BM88" s="233"/>
      <c r="BN88" s="233"/>
      <c r="BO88" s="233"/>
    </row>
    <row r="89" spans="1:67">
      <c r="A89" s="1287"/>
      <c r="B89" s="1293"/>
      <c r="C89" s="260"/>
      <c r="G89" s="260"/>
      <c r="K89" s="260"/>
      <c r="O89" s="260"/>
      <c r="S89" s="260"/>
      <c r="W89" s="260"/>
      <c r="AA89" s="260"/>
      <c r="AE89" s="260"/>
      <c r="AI89" s="260"/>
      <c r="AM89" s="260"/>
      <c r="AQ89" s="260"/>
      <c r="AU89" s="260"/>
      <c r="AY89" s="260"/>
      <c r="BC89" s="260"/>
      <c r="BG89" s="259"/>
      <c r="BI89" s="233"/>
      <c r="BJ89" s="233"/>
      <c r="BK89" s="233"/>
      <c r="BL89" s="233"/>
      <c r="BM89" s="233"/>
      <c r="BN89" s="233"/>
      <c r="BO89" s="233"/>
    </row>
    <row r="90" spans="1:67">
      <c r="A90" s="1287"/>
      <c r="B90" s="1293"/>
      <c r="C90" s="260"/>
      <c r="G90" s="260"/>
      <c r="K90" s="260"/>
      <c r="O90" s="260"/>
      <c r="S90" s="260"/>
      <c r="W90" s="260"/>
      <c r="AA90" s="260"/>
      <c r="AE90" s="260"/>
      <c r="AI90" s="260"/>
      <c r="AM90" s="260"/>
      <c r="AQ90" s="260"/>
      <c r="AU90" s="260"/>
      <c r="AY90" s="260"/>
      <c r="BC90" s="260"/>
      <c r="BG90" s="259"/>
      <c r="BI90" s="233"/>
      <c r="BJ90" s="233"/>
      <c r="BK90" s="233"/>
      <c r="BL90" s="233"/>
      <c r="BM90" s="233"/>
      <c r="BN90" s="233"/>
      <c r="BO90" s="233"/>
    </row>
    <row r="91" spans="1:67">
      <c r="A91" s="1287"/>
      <c r="B91" s="1293"/>
      <c r="C91" s="260"/>
      <c r="G91" s="260"/>
      <c r="K91" s="260"/>
      <c r="O91" s="260"/>
      <c r="S91" s="260"/>
      <c r="W91" s="260"/>
      <c r="AA91" s="260"/>
      <c r="AE91" s="260"/>
      <c r="AI91" s="260"/>
      <c r="AM91" s="260"/>
      <c r="AQ91" s="260"/>
      <c r="AU91" s="260"/>
      <c r="AY91" s="260"/>
      <c r="BC91" s="260"/>
      <c r="BG91" s="259"/>
      <c r="BI91" s="233"/>
      <c r="BJ91" s="233"/>
      <c r="BK91" s="233"/>
      <c r="BL91" s="233"/>
      <c r="BM91" s="233"/>
      <c r="BN91" s="233"/>
      <c r="BO91" s="233"/>
    </row>
    <row r="92" spans="1:67">
      <c r="A92" s="1287"/>
      <c r="B92" s="1293"/>
      <c r="C92" s="260"/>
      <c r="G92" s="260"/>
      <c r="K92" s="260"/>
      <c r="O92" s="260"/>
      <c r="S92" s="260"/>
      <c r="W92" s="260"/>
      <c r="AA92" s="260"/>
      <c r="AE92" s="260"/>
      <c r="AI92" s="260"/>
      <c r="AM92" s="260"/>
      <c r="AQ92" s="260"/>
      <c r="AU92" s="260"/>
      <c r="AY92" s="260"/>
      <c r="BC92" s="260"/>
      <c r="BG92" s="259"/>
      <c r="BI92" s="233"/>
      <c r="BJ92" s="233"/>
      <c r="BK92" s="233"/>
      <c r="BL92" s="233"/>
      <c r="BM92" s="233"/>
      <c r="BN92" s="233"/>
      <c r="BO92" s="233"/>
    </row>
    <row r="93" spans="1:67">
      <c r="A93" s="1287"/>
      <c r="B93" s="1293"/>
      <c r="C93" s="260"/>
      <c r="G93" s="260"/>
      <c r="K93" s="260"/>
      <c r="O93" s="260"/>
      <c r="S93" s="260"/>
      <c r="W93" s="260"/>
      <c r="AA93" s="260"/>
      <c r="AE93" s="260"/>
      <c r="AI93" s="260"/>
      <c r="AM93" s="260"/>
      <c r="AQ93" s="260"/>
      <c r="AU93" s="260"/>
      <c r="AY93" s="260"/>
      <c r="BC93" s="260"/>
      <c r="BG93" s="259"/>
      <c r="BI93" s="233"/>
      <c r="BJ93" s="233"/>
      <c r="BK93" s="233"/>
      <c r="BL93" s="233"/>
      <c r="BM93" s="233"/>
      <c r="BN93" s="233"/>
      <c r="BO93" s="233"/>
    </row>
    <row r="94" spans="1:67">
      <c r="A94" s="1287"/>
      <c r="B94" s="1293"/>
      <c r="C94" s="260"/>
      <c r="G94" s="260"/>
      <c r="K94" s="260"/>
      <c r="O94" s="260"/>
      <c r="S94" s="260"/>
      <c r="W94" s="260"/>
      <c r="AA94" s="260"/>
      <c r="AE94" s="260"/>
      <c r="AI94" s="260"/>
      <c r="AM94" s="260"/>
      <c r="AQ94" s="260"/>
      <c r="AU94" s="260"/>
      <c r="AY94" s="260"/>
      <c r="BC94" s="260"/>
      <c r="BG94" s="259"/>
      <c r="BI94" s="233"/>
      <c r="BJ94" s="233"/>
      <c r="BK94" s="233"/>
      <c r="BL94" s="233"/>
      <c r="BM94" s="233"/>
      <c r="BN94" s="233"/>
      <c r="BO94" s="233"/>
    </row>
    <row r="95" spans="1:67">
      <c r="A95" s="1287"/>
      <c r="B95" s="1293"/>
      <c r="C95" s="260"/>
      <c r="G95" s="260"/>
      <c r="K95" s="260"/>
      <c r="O95" s="260"/>
      <c r="S95" s="260"/>
      <c r="W95" s="260"/>
      <c r="AA95" s="260"/>
      <c r="AE95" s="260"/>
      <c r="AI95" s="260"/>
      <c r="AM95" s="260"/>
      <c r="AQ95" s="260"/>
      <c r="AU95" s="260"/>
      <c r="AY95" s="260"/>
      <c r="BC95" s="260"/>
      <c r="BG95" s="259"/>
      <c r="BI95" s="233"/>
      <c r="BJ95" s="233"/>
      <c r="BK95" s="233"/>
      <c r="BL95" s="233"/>
      <c r="BM95" s="233"/>
      <c r="BN95" s="233"/>
      <c r="BO95" s="233"/>
    </row>
    <row r="96" spans="1:67">
      <c r="A96" s="1287"/>
      <c r="B96" s="1293"/>
      <c r="C96" s="260"/>
      <c r="G96" s="260"/>
      <c r="K96" s="260"/>
      <c r="O96" s="260"/>
      <c r="S96" s="260"/>
      <c r="W96" s="260"/>
      <c r="AA96" s="260"/>
      <c r="AE96" s="260"/>
      <c r="AI96" s="260"/>
      <c r="AM96" s="260"/>
      <c r="AQ96" s="260"/>
      <c r="AU96" s="260"/>
      <c r="AY96" s="260"/>
      <c r="BC96" s="260"/>
      <c r="BG96" s="259"/>
      <c r="BI96" s="233"/>
      <c r="BJ96" s="233"/>
      <c r="BK96" s="233"/>
      <c r="BL96" s="233"/>
      <c r="BM96" s="233"/>
      <c r="BN96" s="233"/>
      <c r="BO96" s="233"/>
    </row>
    <row r="97" spans="1:67">
      <c r="A97" s="1287"/>
      <c r="B97" s="1293"/>
      <c r="C97" s="260"/>
      <c r="G97" s="260"/>
      <c r="K97" s="260"/>
      <c r="O97" s="260"/>
      <c r="S97" s="260"/>
      <c r="W97" s="260"/>
      <c r="AA97" s="260"/>
      <c r="AE97" s="260"/>
      <c r="AI97" s="260"/>
      <c r="AM97" s="260"/>
      <c r="AQ97" s="260"/>
      <c r="AU97" s="260"/>
      <c r="AY97" s="260"/>
      <c r="BC97" s="260"/>
      <c r="BG97" s="259"/>
      <c r="BI97" s="233"/>
      <c r="BJ97" s="233"/>
      <c r="BK97" s="233"/>
      <c r="BL97" s="233"/>
      <c r="BM97" s="233"/>
      <c r="BN97" s="233"/>
      <c r="BO97" s="233"/>
    </row>
    <row r="98" spans="1:67">
      <c r="A98" s="1287"/>
      <c r="B98" s="1293"/>
      <c r="C98" s="260"/>
      <c r="G98" s="260"/>
      <c r="K98" s="260"/>
      <c r="O98" s="260"/>
      <c r="S98" s="260"/>
      <c r="W98" s="260"/>
      <c r="AA98" s="260"/>
      <c r="AE98" s="260"/>
      <c r="AI98" s="260"/>
      <c r="AM98" s="260"/>
      <c r="AQ98" s="260"/>
      <c r="AU98" s="260"/>
      <c r="AY98" s="260"/>
      <c r="BC98" s="260"/>
      <c r="BG98" s="259"/>
      <c r="BI98" s="233"/>
      <c r="BJ98" s="233"/>
      <c r="BK98" s="233"/>
      <c r="BL98" s="233"/>
      <c r="BM98" s="233"/>
      <c r="BN98" s="233"/>
      <c r="BO98" s="233"/>
    </row>
    <row r="99" spans="1:67">
      <c r="A99" s="1287"/>
      <c r="B99" s="1293"/>
      <c r="C99" s="260"/>
      <c r="G99" s="260"/>
      <c r="K99" s="260"/>
      <c r="O99" s="260"/>
      <c r="S99" s="260"/>
      <c r="W99" s="260"/>
      <c r="AA99" s="260"/>
      <c r="AE99" s="260"/>
      <c r="AI99" s="260"/>
      <c r="AM99" s="260"/>
      <c r="AQ99" s="260"/>
      <c r="AU99" s="260"/>
      <c r="AY99" s="260"/>
      <c r="BC99" s="260"/>
      <c r="BG99" s="259"/>
      <c r="BI99" s="233"/>
      <c r="BJ99" s="233"/>
      <c r="BK99" s="233"/>
      <c r="BL99" s="233"/>
      <c r="BM99" s="233"/>
      <c r="BN99" s="233"/>
      <c r="BO99" s="233"/>
    </row>
    <row r="100" spans="1:67">
      <c r="A100" s="1287"/>
      <c r="B100" s="1293"/>
      <c r="C100" s="260"/>
      <c r="G100" s="260"/>
      <c r="K100" s="260"/>
      <c r="O100" s="260"/>
      <c r="S100" s="260"/>
      <c r="W100" s="260"/>
      <c r="AA100" s="260"/>
      <c r="AE100" s="260"/>
      <c r="AI100" s="260"/>
      <c r="AM100" s="260"/>
      <c r="AQ100" s="260"/>
      <c r="AU100" s="260"/>
      <c r="AY100" s="260"/>
      <c r="BC100" s="260"/>
      <c r="BG100" s="259"/>
      <c r="BI100" s="233"/>
      <c r="BJ100" s="233"/>
      <c r="BK100" s="233"/>
      <c r="BL100" s="233"/>
      <c r="BM100" s="233"/>
      <c r="BN100" s="233"/>
      <c r="BO100" s="233"/>
    </row>
    <row r="101" spans="1:67">
      <c r="A101" s="1287"/>
      <c r="B101" s="1293"/>
      <c r="C101" s="260"/>
      <c r="G101" s="260"/>
      <c r="K101" s="260"/>
      <c r="O101" s="260"/>
      <c r="S101" s="260"/>
      <c r="W101" s="260"/>
      <c r="AA101" s="260"/>
      <c r="AE101" s="260"/>
      <c r="AI101" s="260"/>
      <c r="AM101" s="260"/>
      <c r="AQ101" s="260"/>
      <c r="AU101" s="260"/>
      <c r="AY101" s="260"/>
      <c r="BC101" s="260"/>
      <c r="BG101" s="259"/>
      <c r="BI101" s="233"/>
      <c r="BJ101" s="233"/>
      <c r="BK101" s="233"/>
      <c r="BL101" s="233"/>
      <c r="BM101" s="233"/>
      <c r="BN101" s="233"/>
      <c r="BO101" s="233"/>
    </row>
    <row r="102" spans="1:67">
      <c r="A102" s="1287"/>
      <c r="B102" s="1293"/>
      <c r="C102" s="260"/>
      <c r="G102" s="260"/>
      <c r="K102" s="260"/>
      <c r="O102" s="260"/>
      <c r="S102" s="260"/>
      <c r="W102" s="260"/>
      <c r="AA102" s="260"/>
      <c r="AE102" s="260"/>
      <c r="AI102" s="260"/>
      <c r="AM102" s="260"/>
      <c r="AQ102" s="260"/>
      <c r="AU102" s="260"/>
      <c r="AY102" s="260"/>
      <c r="BC102" s="260"/>
      <c r="BG102" s="259"/>
      <c r="BI102" s="233"/>
      <c r="BJ102" s="233"/>
      <c r="BK102" s="233"/>
      <c r="BL102" s="233"/>
      <c r="BM102" s="233"/>
      <c r="BN102" s="233"/>
      <c r="BO102" s="233"/>
    </row>
    <row r="103" spans="1:67">
      <c r="A103" s="1287"/>
      <c r="B103" s="1293"/>
      <c r="C103" s="260"/>
      <c r="G103" s="260"/>
      <c r="K103" s="260"/>
      <c r="O103" s="260"/>
      <c r="S103" s="260"/>
      <c r="W103" s="260"/>
      <c r="AA103" s="260"/>
      <c r="AE103" s="260"/>
      <c r="AI103" s="260"/>
      <c r="AM103" s="260"/>
      <c r="AQ103" s="260"/>
      <c r="AU103" s="260"/>
      <c r="AY103" s="260"/>
      <c r="BC103" s="260"/>
      <c r="BG103" s="259"/>
      <c r="BI103" s="233"/>
      <c r="BJ103" s="233"/>
      <c r="BK103" s="233"/>
      <c r="BL103" s="233"/>
      <c r="BM103" s="233"/>
      <c r="BN103" s="233"/>
      <c r="BO103" s="233"/>
    </row>
    <row r="104" spans="1:67">
      <c r="A104" s="1287"/>
      <c r="B104" s="1293"/>
      <c r="C104" s="260"/>
      <c r="G104" s="260"/>
      <c r="K104" s="260"/>
      <c r="O104" s="260"/>
      <c r="S104" s="260"/>
      <c r="W104" s="260"/>
      <c r="AA104" s="260"/>
      <c r="AE104" s="260"/>
      <c r="AI104" s="260"/>
      <c r="AM104" s="260"/>
      <c r="AQ104" s="260"/>
      <c r="AU104" s="260"/>
      <c r="AY104" s="260"/>
      <c r="BC104" s="260"/>
      <c r="BG104" s="259"/>
      <c r="BI104" s="233"/>
      <c r="BJ104" s="233"/>
      <c r="BK104" s="233"/>
      <c r="BL104" s="233"/>
      <c r="BM104" s="233"/>
      <c r="BN104" s="233"/>
      <c r="BO104" s="233"/>
    </row>
    <row r="105" spans="1:67">
      <c r="A105" s="1287"/>
      <c r="B105" s="1293"/>
      <c r="C105" s="260"/>
      <c r="G105" s="260"/>
      <c r="K105" s="260"/>
      <c r="O105" s="260"/>
      <c r="S105" s="260"/>
      <c r="W105" s="260"/>
      <c r="AA105" s="260"/>
      <c r="AE105" s="260"/>
      <c r="AI105" s="260"/>
      <c r="AM105" s="260"/>
      <c r="AQ105" s="260"/>
      <c r="AU105" s="260"/>
      <c r="AY105" s="260"/>
      <c r="BC105" s="260"/>
      <c r="BG105" s="259"/>
      <c r="BI105" s="233"/>
      <c r="BJ105" s="233"/>
      <c r="BK105" s="233"/>
      <c r="BL105" s="233"/>
      <c r="BM105" s="233"/>
      <c r="BN105" s="233"/>
      <c r="BO105" s="233"/>
    </row>
    <row r="106" spans="1:67">
      <c r="A106" s="1287"/>
      <c r="B106" s="1293"/>
      <c r="C106" s="260"/>
      <c r="G106" s="260"/>
      <c r="K106" s="260"/>
      <c r="O106" s="260"/>
      <c r="S106" s="260"/>
      <c r="W106" s="260"/>
      <c r="AA106" s="260"/>
      <c r="AE106" s="260"/>
      <c r="AI106" s="260"/>
      <c r="AM106" s="260"/>
      <c r="AQ106" s="260"/>
      <c r="AU106" s="260"/>
      <c r="AY106" s="260"/>
      <c r="BC106" s="260"/>
      <c r="BG106" s="259"/>
      <c r="BI106" s="233"/>
      <c r="BJ106" s="233"/>
      <c r="BK106" s="233"/>
      <c r="BL106" s="233"/>
      <c r="BM106" s="233"/>
      <c r="BN106" s="233"/>
      <c r="BO106" s="233"/>
    </row>
    <row r="107" spans="1:67">
      <c r="A107" s="1287"/>
      <c r="B107" s="1293"/>
      <c r="C107" s="260"/>
      <c r="G107" s="260"/>
      <c r="K107" s="260"/>
      <c r="O107" s="260"/>
      <c r="S107" s="260"/>
      <c r="W107" s="260"/>
      <c r="AA107" s="260"/>
      <c r="AE107" s="260"/>
      <c r="AI107" s="260"/>
      <c r="AM107" s="260"/>
      <c r="AQ107" s="260"/>
      <c r="AU107" s="260"/>
      <c r="AY107" s="260"/>
      <c r="BC107" s="260"/>
      <c r="BG107" s="259"/>
      <c r="BI107" s="233"/>
      <c r="BJ107" s="233"/>
      <c r="BK107" s="233"/>
      <c r="BL107" s="233"/>
      <c r="BM107" s="233"/>
      <c r="BN107" s="233"/>
      <c r="BO107" s="233"/>
    </row>
    <row r="108" spans="1:67">
      <c r="A108" s="1287"/>
      <c r="B108" s="1293"/>
      <c r="C108" s="260"/>
      <c r="G108" s="260"/>
      <c r="K108" s="260"/>
      <c r="O108" s="260"/>
      <c r="S108" s="260"/>
      <c r="W108" s="260"/>
      <c r="AA108" s="260"/>
      <c r="AE108" s="260"/>
      <c r="AI108" s="260"/>
      <c r="AM108" s="260"/>
      <c r="AQ108" s="260"/>
      <c r="AU108" s="260"/>
      <c r="AY108" s="260"/>
      <c r="BC108" s="260"/>
      <c r="BG108" s="259"/>
      <c r="BI108" s="233"/>
      <c r="BJ108" s="233"/>
      <c r="BK108" s="233"/>
      <c r="BL108" s="233"/>
      <c r="BM108" s="233"/>
      <c r="BN108" s="233"/>
      <c r="BO108" s="233"/>
    </row>
    <row r="109" spans="1:67">
      <c r="A109" s="1287"/>
      <c r="B109" s="1293"/>
      <c r="C109" s="260"/>
      <c r="G109" s="260"/>
      <c r="K109" s="260"/>
      <c r="O109" s="260"/>
      <c r="S109" s="260"/>
      <c r="W109" s="260"/>
      <c r="AA109" s="260"/>
      <c r="AE109" s="260"/>
      <c r="AI109" s="260"/>
      <c r="AM109" s="260"/>
      <c r="AQ109" s="260"/>
      <c r="AU109" s="260"/>
      <c r="AY109" s="260"/>
      <c r="BC109" s="260"/>
      <c r="BG109" s="259"/>
      <c r="BI109" s="233"/>
      <c r="BJ109" s="233"/>
      <c r="BK109" s="233"/>
      <c r="BL109" s="233"/>
      <c r="BM109" s="233"/>
      <c r="BN109" s="233"/>
      <c r="BO109" s="233"/>
    </row>
    <row r="110" spans="1:67">
      <c r="A110" s="1287"/>
      <c r="B110" s="1293"/>
      <c r="C110" s="260"/>
      <c r="G110" s="260"/>
      <c r="K110" s="260"/>
      <c r="O110" s="260"/>
      <c r="S110" s="260"/>
      <c r="W110" s="260"/>
      <c r="AA110" s="260"/>
      <c r="AE110" s="260"/>
      <c r="AI110" s="260"/>
      <c r="AM110" s="260"/>
      <c r="AQ110" s="260"/>
      <c r="AU110" s="260"/>
      <c r="AY110" s="260"/>
      <c r="BC110" s="260"/>
      <c r="BG110" s="259"/>
      <c r="BI110" s="233"/>
      <c r="BJ110" s="233"/>
      <c r="BK110" s="233"/>
      <c r="BL110" s="233"/>
      <c r="BM110" s="233"/>
      <c r="BN110" s="233"/>
      <c r="BO110" s="233"/>
    </row>
    <row r="111" spans="1:67">
      <c r="A111" s="1287"/>
      <c r="B111" s="1293"/>
      <c r="C111" s="260"/>
      <c r="G111" s="260"/>
      <c r="K111" s="260"/>
      <c r="O111" s="260"/>
      <c r="S111" s="260"/>
      <c r="W111" s="260"/>
      <c r="AA111" s="260"/>
      <c r="AE111" s="260"/>
      <c r="AI111" s="260"/>
      <c r="AM111" s="260"/>
      <c r="AQ111" s="260"/>
      <c r="AU111" s="260"/>
      <c r="AY111" s="260"/>
      <c r="BC111" s="260"/>
      <c r="BG111" s="259"/>
      <c r="BI111" s="233"/>
      <c r="BJ111" s="233"/>
      <c r="BK111" s="233"/>
      <c r="BL111" s="233"/>
      <c r="BM111" s="233"/>
      <c r="BN111" s="233"/>
      <c r="BO111" s="233"/>
    </row>
    <row r="112" spans="1:67">
      <c r="A112" s="1287"/>
      <c r="B112" s="1293"/>
      <c r="C112" s="260"/>
      <c r="G112" s="260"/>
      <c r="K112" s="260"/>
      <c r="O112" s="260"/>
      <c r="S112" s="260"/>
      <c r="W112" s="260"/>
      <c r="AA112" s="260"/>
      <c r="AE112" s="260"/>
      <c r="AI112" s="260"/>
      <c r="AM112" s="260"/>
      <c r="AQ112" s="260"/>
      <c r="AU112" s="260"/>
      <c r="AY112" s="260"/>
      <c r="BC112" s="260"/>
      <c r="BG112" s="259"/>
      <c r="BI112" s="233"/>
      <c r="BJ112" s="233"/>
      <c r="BK112" s="233"/>
      <c r="BL112" s="233"/>
      <c r="BM112" s="233"/>
      <c r="BN112" s="233"/>
      <c r="BO112" s="233"/>
    </row>
    <row r="113" spans="1:67">
      <c r="A113" s="1287"/>
      <c r="B113" s="1293"/>
      <c r="C113" s="260"/>
      <c r="G113" s="260"/>
      <c r="K113" s="260"/>
      <c r="O113" s="260"/>
      <c r="S113" s="260"/>
      <c r="W113" s="260"/>
      <c r="AA113" s="260"/>
      <c r="AE113" s="260"/>
      <c r="AI113" s="260"/>
      <c r="AM113" s="260"/>
      <c r="AQ113" s="260"/>
      <c r="AU113" s="260"/>
      <c r="AY113" s="260"/>
      <c r="BC113" s="260"/>
      <c r="BG113" s="259"/>
      <c r="BI113" s="233"/>
      <c r="BJ113" s="233"/>
      <c r="BK113" s="233"/>
      <c r="BL113" s="233"/>
      <c r="BM113" s="233"/>
      <c r="BN113" s="233"/>
      <c r="BO113" s="233"/>
    </row>
    <row r="114" spans="1:67">
      <c r="A114" s="1287"/>
      <c r="B114" s="1293"/>
      <c r="C114" s="260"/>
      <c r="G114" s="260"/>
      <c r="K114" s="260"/>
      <c r="O114" s="260"/>
      <c r="S114" s="260"/>
      <c r="W114" s="260"/>
      <c r="AA114" s="260"/>
      <c r="AE114" s="260"/>
      <c r="AI114" s="260"/>
      <c r="AM114" s="260"/>
      <c r="AQ114" s="260"/>
      <c r="AU114" s="260"/>
      <c r="AY114" s="260"/>
      <c r="BC114" s="260"/>
      <c r="BG114" s="259"/>
      <c r="BI114" s="233"/>
      <c r="BJ114" s="233"/>
      <c r="BK114" s="233"/>
      <c r="BL114" s="233"/>
      <c r="BM114" s="233"/>
      <c r="BN114" s="233"/>
      <c r="BO114" s="233"/>
    </row>
    <row r="115" spans="1:67">
      <c r="A115" s="1287"/>
      <c r="B115" s="1293"/>
      <c r="C115" s="260"/>
      <c r="G115" s="260"/>
      <c r="K115" s="260"/>
      <c r="O115" s="260"/>
      <c r="S115" s="260"/>
      <c r="W115" s="260"/>
      <c r="AA115" s="260"/>
      <c r="AE115" s="260"/>
      <c r="AI115" s="260"/>
      <c r="AM115" s="260"/>
      <c r="AQ115" s="260"/>
      <c r="AU115" s="260"/>
      <c r="AY115" s="260"/>
      <c r="BC115" s="260"/>
      <c r="BG115" s="259"/>
      <c r="BI115" s="233"/>
      <c r="BJ115" s="233"/>
      <c r="BK115" s="233"/>
      <c r="BL115" s="233"/>
      <c r="BM115" s="233"/>
      <c r="BN115" s="233"/>
      <c r="BO115" s="233"/>
    </row>
    <row r="116" spans="1:67">
      <c r="A116" s="1287"/>
      <c r="B116" s="1293"/>
      <c r="C116" s="260"/>
      <c r="G116" s="260"/>
      <c r="K116" s="260"/>
      <c r="O116" s="260"/>
      <c r="S116" s="260"/>
      <c r="W116" s="260"/>
      <c r="AA116" s="260"/>
      <c r="AE116" s="260"/>
      <c r="AI116" s="260"/>
      <c r="AM116" s="260"/>
      <c r="AQ116" s="260"/>
      <c r="AU116" s="260"/>
      <c r="AY116" s="260"/>
      <c r="BC116" s="260"/>
      <c r="BG116" s="259"/>
      <c r="BI116" s="233"/>
      <c r="BJ116" s="233"/>
      <c r="BK116" s="233"/>
      <c r="BL116" s="233"/>
      <c r="BM116" s="233"/>
      <c r="BN116" s="233"/>
      <c r="BO116" s="233"/>
    </row>
    <row r="117" spans="1:67">
      <c r="A117" s="1287"/>
      <c r="B117" s="1293"/>
      <c r="C117" s="260"/>
      <c r="G117" s="260"/>
      <c r="K117" s="260"/>
      <c r="O117" s="260"/>
      <c r="S117" s="260"/>
      <c r="W117" s="260"/>
      <c r="AA117" s="260"/>
      <c r="AE117" s="260"/>
      <c r="AI117" s="260"/>
      <c r="AM117" s="260"/>
      <c r="AQ117" s="260"/>
      <c r="AU117" s="260"/>
      <c r="AY117" s="260"/>
      <c r="BC117" s="260"/>
      <c r="BG117" s="259"/>
      <c r="BI117" s="233"/>
      <c r="BJ117" s="233"/>
      <c r="BK117" s="233"/>
      <c r="BL117" s="233"/>
      <c r="BM117" s="233"/>
      <c r="BN117" s="233"/>
      <c r="BO117" s="233"/>
    </row>
    <row r="118" spans="1:67">
      <c r="A118" s="1287"/>
      <c r="B118" s="1293"/>
      <c r="C118" s="260"/>
      <c r="G118" s="260"/>
      <c r="K118" s="260"/>
      <c r="O118" s="260"/>
      <c r="S118" s="260"/>
      <c r="W118" s="260"/>
      <c r="AA118" s="260"/>
      <c r="AE118" s="260"/>
      <c r="AI118" s="260"/>
      <c r="AM118" s="260"/>
      <c r="AQ118" s="260"/>
      <c r="AU118" s="260"/>
      <c r="AY118" s="260"/>
      <c r="BC118" s="260"/>
      <c r="BG118" s="259"/>
      <c r="BI118" s="233"/>
      <c r="BJ118" s="233"/>
      <c r="BK118" s="233"/>
      <c r="BL118" s="233"/>
      <c r="BM118" s="233"/>
      <c r="BN118" s="233"/>
      <c r="BO118" s="233"/>
    </row>
    <row r="119" spans="1:67">
      <c r="A119" s="1287"/>
      <c r="B119" s="1293"/>
      <c r="C119" s="260"/>
      <c r="G119" s="260"/>
      <c r="K119" s="260"/>
      <c r="O119" s="260"/>
      <c r="S119" s="260"/>
      <c r="W119" s="260"/>
      <c r="AA119" s="260"/>
      <c r="AE119" s="260"/>
      <c r="AI119" s="260"/>
      <c r="AM119" s="260"/>
      <c r="AQ119" s="260"/>
      <c r="AU119" s="260"/>
      <c r="AY119" s="260"/>
      <c r="BC119" s="260"/>
      <c r="BG119" s="259"/>
      <c r="BI119" s="233"/>
      <c r="BJ119" s="233"/>
      <c r="BK119" s="233"/>
      <c r="BL119" s="233"/>
      <c r="BM119" s="233"/>
      <c r="BN119" s="233"/>
      <c r="BO119" s="233"/>
    </row>
    <row r="120" spans="1:67">
      <c r="A120" s="1287"/>
      <c r="B120" s="1293"/>
      <c r="C120" s="260"/>
      <c r="G120" s="260"/>
      <c r="K120" s="260"/>
      <c r="O120" s="260"/>
      <c r="S120" s="260"/>
      <c r="W120" s="260"/>
      <c r="AA120" s="260"/>
      <c r="AE120" s="260"/>
      <c r="AI120" s="260"/>
      <c r="AM120" s="260"/>
      <c r="AQ120" s="260"/>
      <c r="AU120" s="260"/>
      <c r="AY120" s="260"/>
      <c r="BC120" s="260"/>
      <c r="BG120" s="259"/>
      <c r="BI120" s="233"/>
      <c r="BJ120" s="233"/>
      <c r="BK120" s="233"/>
      <c r="BL120" s="233"/>
      <c r="BM120" s="233"/>
      <c r="BN120" s="233"/>
      <c r="BO120" s="233"/>
    </row>
    <row r="121" spans="1:67">
      <c r="A121" s="1287"/>
      <c r="B121" s="1293"/>
      <c r="C121" s="260"/>
      <c r="G121" s="260"/>
      <c r="K121" s="260"/>
      <c r="O121" s="260"/>
      <c r="S121" s="260"/>
      <c r="W121" s="260"/>
      <c r="AA121" s="260"/>
      <c r="AE121" s="260"/>
      <c r="AI121" s="260"/>
      <c r="AM121" s="260"/>
      <c r="AQ121" s="260"/>
      <c r="AU121" s="260"/>
      <c r="AY121" s="260"/>
      <c r="BC121" s="260"/>
      <c r="BG121" s="259"/>
      <c r="BI121" s="233"/>
      <c r="BJ121" s="233"/>
      <c r="BK121" s="233"/>
      <c r="BL121" s="233"/>
      <c r="BM121" s="233"/>
      <c r="BN121" s="233"/>
      <c r="BO121" s="233"/>
    </row>
    <row r="122" spans="1:67">
      <c r="A122" s="1287"/>
      <c r="B122" s="1293"/>
      <c r="C122" s="260"/>
      <c r="G122" s="260"/>
      <c r="K122" s="260"/>
      <c r="O122" s="260"/>
      <c r="S122" s="260"/>
      <c r="W122" s="260"/>
      <c r="AA122" s="260"/>
      <c r="AE122" s="260"/>
      <c r="AI122" s="260"/>
      <c r="AM122" s="260"/>
      <c r="AQ122" s="260"/>
      <c r="AU122" s="260"/>
      <c r="AY122" s="260"/>
      <c r="BC122" s="260"/>
      <c r="BG122" s="259"/>
      <c r="BI122" s="233"/>
      <c r="BJ122" s="233"/>
      <c r="BK122" s="233"/>
      <c r="BL122" s="233"/>
      <c r="BM122" s="233"/>
      <c r="BN122" s="233"/>
      <c r="BO122" s="233"/>
    </row>
    <row r="123" spans="1:67">
      <c r="A123" s="1287"/>
      <c r="B123" s="1293"/>
      <c r="C123" s="260"/>
      <c r="G123" s="260"/>
      <c r="K123" s="260"/>
      <c r="O123" s="260"/>
      <c r="S123" s="260"/>
      <c r="W123" s="260"/>
      <c r="AA123" s="260"/>
      <c r="AE123" s="260"/>
      <c r="AI123" s="260"/>
      <c r="AM123" s="260"/>
      <c r="AQ123" s="260"/>
      <c r="AU123" s="260"/>
      <c r="AY123" s="260"/>
      <c r="BC123" s="260"/>
      <c r="BG123" s="259"/>
      <c r="BI123" s="233"/>
      <c r="BJ123" s="233"/>
      <c r="BK123" s="233"/>
      <c r="BL123" s="233"/>
      <c r="BM123" s="233"/>
      <c r="BN123" s="233"/>
      <c r="BO123" s="233"/>
    </row>
    <row r="124" spans="1:67">
      <c r="A124" s="1287"/>
      <c r="B124" s="1293"/>
      <c r="C124" s="260"/>
      <c r="G124" s="260"/>
      <c r="K124" s="260"/>
      <c r="O124" s="260"/>
      <c r="S124" s="260"/>
      <c r="W124" s="260"/>
      <c r="AA124" s="260"/>
      <c r="AE124" s="260"/>
      <c r="AI124" s="260"/>
      <c r="AM124" s="260"/>
      <c r="AQ124" s="260"/>
      <c r="AU124" s="260"/>
      <c r="AY124" s="260"/>
      <c r="BC124" s="260"/>
      <c r="BG124" s="259"/>
      <c r="BI124" s="233"/>
      <c r="BJ124" s="233"/>
      <c r="BK124" s="233"/>
      <c r="BL124" s="233"/>
      <c r="BM124" s="233"/>
      <c r="BN124" s="233"/>
      <c r="BO124" s="233"/>
    </row>
    <row r="125" spans="1:67">
      <c r="A125" s="1287"/>
      <c r="B125" s="1293"/>
      <c r="C125" s="260"/>
      <c r="G125" s="260"/>
      <c r="K125" s="260"/>
      <c r="O125" s="260"/>
      <c r="S125" s="260"/>
      <c r="W125" s="260"/>
      <c r="AA125" s="260"/>
      <c r="AE125" s="260"/>
      <c r="AI125" s="260"/>
      <c r="AM125" s="260"/>
      <c r="AQ125" s="260"/>
      <c r="AU125" s="260"/>
      <c r="AY125" s="260"/>
      <c r="BC125" s="260"/>
      <c r="BG125" s="259"/>
      <c r="BI125" s="233"/>
      <c r="BJ125" s="233"/>
      <c r="BK125" s="233"/>
      <c r="BL125" s="233"/>
      <c r="BM125" s="233"/>
      <c r="BN125" s="233"/>
      <c r="BO125" s="233"/>
    </row>
    <row r="126" spans="1:67">
      <c r="A126" s="1287"/>
      <c r="B126" s="1293"/>
      <c r="C126" s="260"/>
      <c r="G126" s="260"/>
      <c r="K126" s="260"/>
      <c r="O126" s="260"/>
      <c r="S126" s="260"/>
      <c r="W126" s="260"/>
      <c r="AA126" s="260"/>
      <c r="AE126" s="260"/>
      <c r="AI126" s="260"/>
      <c r="AM126" s="260"/>
      <c r="AQ126" s="260"/>
      <c r="AU126" s="260"/>
      <c r="AY126" s="260"/>
      <c r="BC126" s="260"/>
      <c r="BG126" s="259"/>
      <c r="BI126" s="233"/>
      <c r="BJ126" s="233"/>
      <c r="BK126" s="233"/>
      <c r="BL126" s="233"/>
      <c r="BM126" s="233"/>
      <c r="BN126" s="233"/>
      <c r="BO126" s="233"/>
    </row>
    <row r="127" spans="1:67">
      <c r="A127" s="1287"/>
      <c r="B127" s="1293"/>
      <c r="C127" s="260"/>
      <c r="G127" s="260"/>
      <c r="K127" s="260"/>
      <c r="O127" s="260"/>
      <c r="S127" s="260"/>
      <c r="W127" s="260"/>
      <c r="AA127" s="260"/>
      <c r="AE127" s="260"/>
      <c r="AI127" s="260"/>
      <c r="AM127" s="260"/>
      <c r="AQ127" s="260"/>
      <c r="AU127" s="260"/>
      <c r="AY127" s="260"/>
      <c r="BC127" s="260"/>
      <c r="BG127" s="259"/>
      <c r="BI127" s="233"/>
      <c r="BJ127" s="233"/>
      <c r="BK127" s="233"/>
      <c r="BL127" s="233"/>
      <c r="BM127" s="233"/>
      <c r="BN127" s="233"/>
      <c r="BO127" s="233"/>
    </row>
    <row r="128" spans="1:67">
      <c r="A128" s="1287"/>
      <c r="B128" s="1293"/>
      <c r="C128" s="260"/>
      <c r="G128" s="260"/>
      <c r="K128" s="260"/>
      <c r="O128" s="260"/>
      <c r="S128" s="260"/>
      <c r="W128" s="260"/>
      <c r="AA128" s="260"/>
      <c r="AE128" s="260"/>
      <c r="AI128" s="260"/>
      <c r="AM128" s="260"/>
      <c r="AQ128" s="260"/>
      <c r="AU128" s="260"/>
      <c r="AY128" s="260"/>
      <c r="BC128" s="260"/>
      <c r="BG128" s="259"/>
      <c r="BI128" s="233"/>
      <c r="BJ128" s="233"/>
      <c r="BK128" s="233"/>
      <c r="BL128" s="233"/>
      <c r="BM128" s="233"/>
      <c r="BN128" s="233"/>
      <c r="BO128" s="233"/>
    </row>
    <row r="129" spans="1:67">
      <c r="A129" s="1287"/>
      <c r="B129" s="1293"/>
      <c r="C129" s="260"/>
      <c r="G129" s="260"/>
      <c r="K129" s="260"/>
      <c r="O129" s="260"/>
      <c r="S129" s="260"/>
      <c r="W129" s="260"/>
      <c r="AA129" s="260"/>
      <c r="AE129" s="260"/>
      <c r="AI129" s="260"/>
      <c r="AM129" s="260"/>
      <c r="AQ129" s="260"/>
      <c r="AU129" s="260"/>
      <c r="AY129" s="260"/>
      <c r="BC129" s="260"/>
      <c r="BG129" s="259"/>
      <c r="BI129" s="233"/>
      <c r="BJ129" s="233"/>
      <c r="BK129" s="233"/>
      <c r="BL129" s="233"/>
      <c r="BM129" s="233"/>
      <c r="BN129" s="233"/>
      <c r="BO129" s="233"/>
    </row>
    <row r="130" spans="1:67">
      <c r="A130" s="1287"/>
      <c r="B130" s="1293"/>
      <c r="C130" s="260"/>
      <c r="G130" s="260"/>
      <c r="K130" s="260"/>
      <c r="O130" s="260"/>
      <c r="S130" s="260"/>
      <c r="W130" s="260"/>
      <c r="AA130" s="260"/>
      <c r="AE130" s="260"/>
      <c r="AI130" s="260"/>
      <c r="AM130" s="260"/>
      <c r="AQ130" s="260"/>
      <c r="AU130" s="260"/>
      <c r="AY130" s="260"/>
      <c r="BC130" s="260"/>
      <c r="BG130" s="259"/>
      <c r="BI130" s="233"/>
      <c r="BJ130" s="233"/>
      <c r="BK130" s="233"/>
      <c r="BL130" s="233"/>
      <c r="BM130" s="233"/>
      <c r="BN130" s="233"/>
      <c r="BO130" s="233"/>
    </row>
    <row r="131" spans="1:67">
      <c r="A131" s="1287"/>
      <c r="B131" s="1293"/>
      <c r="C131" s="260"/>
      <c r="G131" s="260"/>
      <c r="K131" s="260"/>
      <c r="O131" s="260"/>
      <c r="S131" s="260"/>
      <c r="W131" s="260"/>
      <c r="AA131" s="260"/>
      <c r="AE131" s="260"/>
      <c r="AI131" s="260"/>
      <c r="AM131" s="260"/>
      <c r="AQ131" s="260"/>
      <c r="AU131" s="260"/>
      <c r="AY131" s="260"/>
      <c r="BC131" s="260"/>
      <c r="BG131" s="259"/>
      <c r="BI131" s="233"/>
      <c r="BJ131" s="233"/>
      <c r="BK131" s="233"/>
      <c r="BL131" s="233"/>
      <c r="BM131" s="233"/>
      <c r="BN131" s="233"/>
      <c r="BO131" s="233"/>
    </row>
    <row r="132" spans="1:67">
      <c r="A132" s="1287"/>
      <c r="B132" s="1293"/>
      <c r="C132" s="260"/>
      <c r="G132" s="260"/>
      <c r="K132" s="260"/>
      <c r="O132" s="260"/>
      <c r="S132" s="260"/>
      <c r="W132" s="260"/>
      <c r="AA132" s="260"/>
      <c r="AE132" s="260"/>
      <c r="AI132" s="260"/>
      <c r="AM132" s="260"/>
      <c r="AQ132" s="260"/>
      <c r="AU132" s="260"/>
      <c r="AY132" s="260"/>
      <c r="BC132" s="260"/>
      <c r="BG132" s="259"/>
      <c r="BI132" s="233"/>
      <c r="BJ132" s="233"/>
      <c r="BK132" s="233"/>
      <c r="BL132" s="233"/>
      <c r="BM132" s="233"/>
      <c r="BN132" s="233"/>
      <c r="BO132" s="233"/>
    </row>
    <row r="133" spans="1:67">
      <c r="A133" s="1287"/>
      <c r="B133" s="1293"/>
      <c r="C133" s="260"/>
      <c r="G133" s="260"/>
      <c r="K133" s="260"/>
      <c r="O133" s="260"/>
      <c r="S133" s="260"/>
      <c r="W133" s="260"/>
      <c r="AA133" s="260"/>
      <c r="AE133" s="260"/>
      <c r="AI133" s="260"/>
      <c r="AM133" s="260"/>
      <c r="AQ133" s="260"/>
      <c r="AU133" s="260"/>
      <c r="AY133" s="260"/>
      <c r="BC133" s="260"/>
      <c r="BG133" s="259"/>
      <c r="BI133" s="233"/>
      <c r="BJ133" s="233"/>
      <c r="BK133" s="233"/>
      <c r="BL133" s="233"/>
      <c r="BM133" s="233"/>
      <c r="BN133" s="233"/>
      <c r="BO133" s="233"/>
    </row>
    <row r="134" spans="1:67">
      <c r="A134" s="1287"/>
      <c r="B134" s="1293"/>
      <c r="C134" s="260"/>
      <c r="G134" s="260"/>
      <c r="K134" s="260"/>
      <c r="O134" s="260"/>
      <c r="S134" s="260"/>
      <c r="W134" s="260"/>
      <c r="AA134" s="260"/>
      <c r="AE134" s="260"/>
      <c r="AI134" s="260"/>
      <c r="AM134" s="260"/>
      <c r="AQ134" s="260"/>
      <c r="AU134" s="260"/>
      <c r="AY134" s="260"/>
      <c r="BC134" s="260"/>
      <c r="BG134" s="259"/>
      <c r="BI134" s="233"/>
      <c r="BJ134" s="233"/>
      <c r="BK134" s="233"/>
      <c r="BL134" s="233"/>
      <c r="BM134" s="233"/>
      <c r="BN134" s="233"/>
      <c r="BO134" s="233"/>
    </row>
    <row r="135" spans="1:67">
      <c r="A135" s="1287"/>
      <c r="B135" s="1293"/>
      <c r="C135" s="260"/>
      <c r="G135" s="260"/>
      <c r="K135" s="260"/>
      <c r="O135" s="260"/>
      <c r="S135" s="260"/>
      <c r="W135" s="260"/>
      <c r="AA135" s="260"/>
      <c r="AE135" s="260"/>
      <c r="AI135" s="260"/>
      <c r="AM135" s="260"/>
      <c r="AQ135" s="260"/>
      <c r="AU135" s="260"/>
      <c r="AY135" s="260"/>
      <c r="BC135" s="260"/>
      <c r="BG135" s="259"/>
      <c r="BI135" s="233"/>
      <c r="BJ135" s="233"/>
      <c r="BK135" s="233"/>
      <c r="BL135" s="233"/>
      <c r="BM135" s="233"/>
      <c r="BN135" s="233"/>
      <c r="BO135" s="233"/>
    </row>
    <row r="136" spans="1:67">
      <c r="A136" s="1287"/>
      <c r="B136" s="1293"/>
      <c r="C136" s="260"/>
      <c r="G136" s="260"/>
      <c r="K136" s="260"/>
      <c r="O136" s="260"/>
      <c r="S136" s="260"/>
      <c r="W136" s="260"/>
      <c r="AA136" s="260"/>
      <c r="AE136" s="260"/>
      <c r="AI136" s="260"/>
      <c r="AM136" s="260"/>
      <c r="AQ136" s="260"/>
      <c r="AU136" s="260"/>
      <c r="AY136" s="260"/>
      <c r="BC136" s="260"/>
      <c r="BG136" s="259"/>
      <c r="BI136" s="233"/>
      <c r="BJ136" s="233"/>
      <c r="BK136" s="233"/>
      <c r="BL136" s="233"/>
      <c r="BM136" s="233"/>
      <c r="BN136" s="233"/>
      <c r="BO136" s="233"/>
    </row>
    <row r="137" spans="1:67">
      <c r="A137" s="1287"/>
      <c r="B137" s="1293"/>
      <c r="C137" s="260"/>
      <c r="G137" s="260"/>
      <c r="K137" s="260"/>
      <c r="O137" s="260"/>
      <c r="S137" s="260"/>
      <c r="W137" s="260"/>
      <c r="AA137" s="260"/>
      <c r="AE137" s="260"/>
      <c r="AI137" s="260"/>
      <c r="AM137" s="260"/>
      <c r="AQ137" s="260"/>
      <c r="AU137" s="260"/>
      <c r="AY137" s="260"/>
      <c r="BC137" s="260"/>
      <c r="BG137" s="259"/>
      <c r="BI137" s="233"/>
      <c r="BJ137" s="233"/>
      <c r="BK137" s="233"/>
      <c r="BL137" s="233"/>
      <c r="BM137" s="233"/>
      <c r="BN137" s="233"/>
      <c r="BO137" s="233"/>
    </row>
    <row r="138" spans="1:67">
      <c r="A138" s="1287"/>
      <c r="B138" s="1293"/>
      <c r="C138" s="260"/>
      <c r="G138" s="260"/>
      <c r="K138" s="260"/>
      <c r="O138" s="260"/>
      <c r="S138" s="260"/>
      <c r="W138" s="260"/>
      <c r="AA138" s="260"/>
      <c r="AE138" s="260"/>
      <c r="AI138" s="260"/>
      <c r="AM138" s="260"/>
      <c r="AQ138" s="260"/>
      <c r="AU138" s="260"/>
      <c r="AY138" s="260"/>
      <c r="BC138" s="260"/>
      <c r="BG138" s="259"/>
      <c r="BI138" s="233"/>
      <c r="BJ138" s="233"/>
      <c r="BK138" s="233"/>
      <c r="BL138" s="233"/>
      <c r="BM138" s="233"/>
      <c r="BN138" s="233"/>
      <c r="BO138" s="233"/>
    </row>
    <row r="139" spans="1:67">
      <c r="A139" s="1287"/>
      <c r="B139" s="1293"/>
      <c r="C139" s="260"/>
      <c r="G139" s="260"/>
      <c r="K139" s="260"/>
      <c r="O139" s="260"/>
      <c r="S139" s="260"/>
      <c r="W139" s="260"/>
      <c r="AA139" s="260"/>
      <c r="AE139" s="260"/>
      <c r="AI139" s="260"/>
      <c r="AM139" s="260"/>
      <c r="AQ139" s="260"/>
      <c r="AU139" s="260"/>
      <c r="AY139" s="260"/>
      <c r="BC139" s="260"/>
      <c r="BG139" s="259"/>
      <c r="BI139" s="233"/>
      <c r="BJ139" s="233"/>
      <c r="BK139" s="233"/>
      <c r="BL139" s="233"/>
      <c r="BM139" s="233"/>
      <c r="BN139" s="233"/>
      <c r="BO139" s="233"/>
    </row>
    <row r="140" spans="1:67">
      <c r="A140" s="1287"/>
      <c r="B140" s="1293"/>
      <c r="C140" s="260"/>
      <c r="G140" s="260"/>
      <c r="K140" s="260"/>
      <c r="O140" s="260"/>
      <c r="S140" s="260"/>
      <c r="W140" s="260"/>
      <c r="AA140" s="260"/>
      <c r="AE140" s="260"/>
      <c r="AI140" s="260"/>
      <c r="AM140" s="260"/>
      <c r="AQ140" s="260"/>
      <c r="AU140" s="260"/>
      <c r="AY140" s="260"/>
      <c r="BC140" s="260"/>
      <c r="BG140" s="259"/>
      <c r="BI140" s="233"/>
      <c r="BJ140" s="233"/>
      <c r="BK140" s="233"/>
      <c r="BL140" s="233"/>
      <c r="BM140" s="233"/>
      <c r="BN140" s="233"/>
      <c r="BO140" s="233"/>
    </row>
    <row r="141" spans="1:67">
      <c r="A141" s="1287"/>
      <c r="B141" s="1293"/>
      <c r="C141" s="260"/>
      <c r="G141" s="260"/>
      <c r="K141" s="260"/>
      <c r="O141" s="260"/>
      <c r="S141" s="260"/>
      <c r="W141" s="260"/>
      <c r="AA141" s="260"/>
      <c r="AE141" s="260"/>
      <c r="AI141" s="260"/>
      <c r="AM141" s="260"/>
      <c r="AQ141" s="260"/>
      <c r="AU141" s="260"/>
      <c r="AY141" s="260"/>
      <c r="BC141" s="260"/>
      <c r="BG141" s="259"/>
      <c r="BI141" s="233"/>
      <c r="BJ141" s="233"/>
      <c r="BK141" s="233"/>
      <c r="BL141" s="233"/>
      <c r="BM141" s="233"/>
      <c r="BN141" s="233"/>
      <c r="BO141" s="233"/>
    </row>
    <row r="142" spans="1:67">
      <c r="A142" s="1287"/>
      <c r="B142" s="1293"/>
      <c r="C142" s="260"/>
      <c r="G142" s="260"/>
      <c r="K142" s="260"/>
      <c r="O142" s="260"/>
      <c r="S142" s="260"/>
      <c r="W142" s="260"/>
      <c r="AA142" s="260"/>
      <c r="AE142" s="260"/>
      <c r="AI142" s="260"/>
      <c r="AM142" s="260"/>
      <c r="AQ142" s="260"/>
      <c r="AU142" s="260"/>
      <c r="AY142" s="260"/>
      <c r="BC142" s="260"/>
      <c r="BG142" s="259"/>
      <c r="BI142" s="233"/>
      <c r="BJ142" s="233"/>
      <c r="BK142" s="233"/>
      <c r="BL142" s="233"/>
      <c r="BM142" s="233"/>
      <c r="BN142" s="233"/>
      <c r="BO142" s="233"/>
    </row>
    <row r="143" spans="1:67">
      <c r="A143" s="1287"/>
      <c r="B143" s="1293"/>
      <c r="C143" s="260"/>
      <c r="G143" s="260"/>
      <c r="K143" s="260"/>
      <c r="O143" s="260"/>
      <c r="S143" s="260"/>
      <c r="W143" s="260"/>
      <c r="AA143" s="260"/>
      <c r="AE143" s="260"/>
      <c r="AI143" s="260"/>
      <c r="AM143" s="260"/>
      <c r="AQ143" s="260"/>
      <c r="AU143" s="260"/>
      <c r="AY143" s="260"/>
      <c r="BC143" s="260"/>
      <c r="BG143" s="259"/>
      <c r="BI143" s="233"/>
      <c r="BJ143" s="233"/>
      <c r="BK143" s="233"/>
      <c r="BL143" s="233"/>
      <c r="BM143" s="233"/>
      <c r="BN143" s="233"/>
      <c r="BO143" s="233"/>
    </row>
    <row r="144" spans="1:67">
      <c r="A144" s="1287"/>
      <c r="B144" s="1293"/>
      <c r="C144" s="260"/>
      <c r="G144" s="260"/>
      <c r="K144" s="260"/>
      <c r="O144" s="260"/>
      <c r="S144" s="260"/>
      <c r="W144" s="260"/>
      <c r="AA144" s="260"/>
      <c r="AE144" s="260"/>
      <c r="AI144" s="260"/>
      <c r="AM144" s="260"/>
      <c r="AQ144" s="260"/>
      <c r="AU144" s="260"/>
      <c r="AY144" s="260"/>
      <c r="BC144" s="260"/>
      <c r="BG144" s="259"/>
      <c r="BI144" s="233"/>
      <c r="BJ144" s="233"/>
      <c r="BK144" s="233"/>
      <c r="BL144" s="233"/>
      <c r="BM144" s="233"/>
      <c r="BN144" s="233"/>
      <c r="BO144" s="233"/>
    </row>
    <row r="145" spans="1:67">
      <c r="A145" s="1287"/>
      <c r="B145" s="1293"/>
      <c r="C145" s="260"/>
      <c r="G145" s="260"/>
      <c r="K145" s="260"/>
      <c r="O145" s="260"/>
      <c r="S145" s="260"/>
      <c r="W145" s="260"/>
      <c r="AA145" s="260"/>
      <c r="AE145" s="260"/>
      <c r="AI145" s="260"/>
      <c r="AM145" s="260"/>
      <c r="AQ145" s="260"/>
      <c r="AU145" s="260"/>
      <c r="AY145" s="260"/>
      <c r="BC145" s="260"/>
      <c r="BG145" s="259"/>
      <c r="BI145" s="233"/>
      <c r="BJ145" s="233"/>
      <c r="BK145" s="233"/>
      <c r="BL145" s="233"/>
      <c r="BM145" s="233"/>
      <c r="BN145" s="233"/>
      <c r="BO145" s="233"/>
    </row>
    <row r="146" spans="1:67">
      <c r="A146" s="1287"/>
      <c r="B146" s="1293"/>
      <c r="C146" s="260"/>
      <c r="G146" s="260"/>
      <c r="K146" s="260"/>
      <c r="O146" s="260"/>
      <c r="S146" s="260"/>
      <c r="W146" s="260"/>
      <c r="AA146" s="260"/>
      <c r="AE146" s="260"/>
      <c r="AI146" s="260"/>
      <c r="AM146" s="260"/>
      <c r="AQ146" s="260"/>
      <c r="AU146" s="260"/>
      <c r="AY146" s="260"/>
      <c r="BC146" s="260"/>
      <c r="BG146" s="259"/>
      <c r="BI146" s="233"/>
      <c r="BJ146" s="233"/>
      <c r="BK146" s="233"/>
      <c r="BL146" s="233"/>
      <c r="BM146" s="233"/>
      <c r="BN146" s="233"/>
      <c r="BO146" s="233"/>
    </row>
    <row r="147" spans="1:67">
      <c r="A147" s="1287"/>
      <c r="B147" s="1293"/>
      <c r="C147" s="260"/>
      <c r="G147" s="260"/>
      <c r="K147" s="260"/>
      <c r="O147" s="260"/>
      <c r="S147" s="260"/>
      <c r="W147" s="260"/>
      <c r="AA147" s="260"/>
      <c r="AE147" s="260"/>
      <c r="AI147" s="260"/>
      <c r="AM147" s="260"/>
      <c r="AQ147" s="260"/>
      <c r="AU147" s="260"/>
      <c r="AY147" s="260"/>
      <c r="BC147" s="260"/>
      <c r="BG147" s="259"/>
      <c r="BI147" s="233"/>
      <c r="BJ147" s="233"/>
      <c r="BK147" s="233"/>
      <c r="BL147" s="233"/>
      <c r="BM147" s="233"/>
      <c r="BN147" s="233"/>
      <c r="BO147" s="233"/>
    </row>
    <row r="148" spans="1:67">
      <c r="A148" s="1287"/>
      <c r="B148" s="1293"/>
      <c r="C148" s="260"/>
      <c r="G148" s="260"/>
      <c r="K148" s="260"/>
      <c r="O148" s="260"/>
      <c r="S148" s="260"/>
      <c r="W148" s="260"/>
      <c r="AA148" s="260"/>
      <c r="AE148" s="260"/>
      <c r="AI148" s="260"/>
      <c r="AM148" s="260"/>
      <c r="AQ148" s="260"/>
      <c r="AU148" s="260"/>
      <c r="AY148" s="260"/>
      <c r="BC148" s="260"/>
      <c r="BG148" s="259"/>
      <c r="BI148" s="233"/>
      <c r="BJ148" s="233"/>
      <c r="BK148" s="233"/>
      <c r="BL148" s="233"/>
      <c r="BM148" s="233"/>
      <c r="BN148" s="233"/>
      <c r="BO148" s="233"/>
    </row>
    <row r="149" spans="1:67">
      <c r="A149" s="1287"/>
      <c r="B149" s="1293"/>
      <c r="C149" s="260"/>
      <c r="G149" s="260"/>
      <c r="K149" s="260"/>
      <c r="O149" s="260"/>
      <c r="S149" s="260"/>
      <c r="W149" s="260"/>
      <c r="AA149" s="260"/>
      <c r="AE149" s="260"/>
      <c r="AI149" s="260"/>
      <c r="AM149" s="260"/>
      <c r="AQ149" s="260"/>
      <c r="AU149" s="260"/>
      <c r="AY149" s="260"/>
      <c r="BC149" s="260"/>
      <c r="BG149" s="259"/>
      <c r="BI149" s="233"/>
      <c r="BJ149" s="233"/>
      <c r="BK149" s="233"/>
      <c r="BL149" s="233"/>
      <c r="BM149" s="233"/>
      <c r="BN149" s="233"/>
      <c r="BO149" s="233"/>
    </row>
    <row r="150" spans="1:67">
      <c r="A150" s="1287"/>
      <c r="B150" s="1293"/>
      <c r="C150" s="260"/>
      <c r="G150" s="260"/>
      <c r="K150" s="260"/>
      <c r="O150" s="260"/>
      <c r="S150" s="260"/>
      <c r="W150" s="260"/>
      <c r="AA150" s="260"/>
      <c r="AE150" s="260"/>
      <c r="AI150" s="260"/>
      <c r="AM150" s="260"/>
      <c r="AQ150" s="260"/>
      <c r="AU150" s="260"/>
      <c r="AY150" s="260"/>
      <c r="BC150" s="260"/>
      <c r="BG150" s="259"/>
      <c r="BI150" s="233"/>
      <c r="BJ150" s="233"/>
      <c r="BK150" s="233"/>
      <c r="BL150" s="233"/>
      <c r="BM150" s="233"/>
      <c r="BN150" s="233"/>
      <c r="BO150" s="233"/>
    </row>
    <row r="151" spans="1:67">
      <c r="A151" s="1287"/>
      <c r="B151" s="1293"/>
      <c r="C151" s="260"/>
      <c r="G151" s="260"/>
      <c r="K151" s="260"/>
      <c r="O151" s="260"/>
      <c r="S151" s="260"/>
      <c r="W151" s="260"/>
      <c r="AA151" s="260"/>
      <c r="AE151" s="260"/>
      <c r="AI151" s="260"/>
      <c r="AM151" s="260"/>
      <c r="AQ151" s="260"/>
      <c r="AU151" s="260"/>
      <c r="AY151" s="260"/>
      <c r="BC151" s="260"/>
      <c r="BG151" s="259"/>
      <c r="BI151" s="233"/>
      <c r="BJ151" s="233"/>
      <c r="BK151" s="233"/>
      <c r="BL151" s="233"/>
      <c r="BM151" s="233"/>
      <c r="BN151" s="233"/>
      <c r="BO151" s="233"/>
    </row>
    <row r="152" spans="1:67">
      <c r="A152" s="1287"/>
      <c r="B152" s="1293"/>
      <c r="C152" s="260"/>
      <c r="G152" s="260"/>
      <c r="K152" s="260"/>
      <c r="O152" s="260"/>
      <c r="S152" s="260"/>
      <c r="W152" s="260"/>
      <c r="AA152" s="260"/>
      <c r="AE152" s="260"/>
      <c r="AI152" s="260"/>
      <c r="AM152" s="260"/>
      <c r="AQ152" s="260"/>
      <c r="AU152" s="260"/>
      <c r="AY152" s="260"/>
      <c r="BC152" s="260"/>
      <c r="BG152" s="259"/>
      <c r="BI152" s="233"/>
      <c r="BJ152" s="233"/>
      <c r="BK152" s="233"/>
      <c r="BL152" s="233"/>
      <c r="BM152" s="233"/>
      <c r="BN152" s="233"/>
      <c r="BO152" s="233"/>
    </row>
    <row r="153" spans="1:67">
      <c r="A153" s="1287"/>
      <c r="B153" s="1293"/>
      <c r="C153" s="260"/>
      <c r="G153" s="260"/>
      <c r="K153" s="260"/>
      <c r="O153" s="260"/>
      <c r="S153" s="260"/>
      <c r="W153" s="260"/>
      <c r="AA153" s="260"/>
      <c r="AE153" s="260"/>
      <c r="AI153" s="260"/>
      <c r="AM153" s="260"/>
      <c r="AQ153" s="260"/>
      <c r="AU153" s="260"/>
      <c r="AY153" s="260"/>
      <c r="BC153" s="260"/>
      <c r="BG153" s="259"/>
      <c r="BI153" s="233"/>
      <c r="BJ153" s="233"/>
      <c r="BK153" s="233"/>
      <c r="BL153" s="233"/>
      <c r="BM153" s="233"/>
      <c r="BN153" s="233"/>
      <c r="BO153" s="233"/>
    </row>
    <row r="154" spans="1:67">
      <c r="A154" s="1287"/>
      <c r="B154" s="1293"/>
      <c r="C154" s="260"/>
      <c r="G154" s="260"/>
      <c r="K154" s="260"/>
      <c r="O154" s="260"/>
      <c r="S154" s="260"/>
      <c r="W154" s="260"/>
      <c r="AA154" s="260"/>
      <c r="AE154" s="260"/>
      <c r="AI154" s="260"/>
      <c r="AM154" s="260"/>
      <c r="AQ154" s="260"/>
      <c r="AU154" s="260"/>
      <c r="AY154" s="260"/>
      <c r="BC154" s="260"/>
      <c r="BG154" s="259"/>
      <c r="BI154" s="233"/>
      <c r="BJ154" s="233"/>
      <c r="BK154" s="233"/>
      <c r="BL154" s="233"/>
      <c r="BM154" s="233"/>
      <c r="BN154" s="233"/>
      <c r="BO154" s="233"/>
    </row>
    <row r="155" spans="1:67">
      <c r="A155" s="1287"/>
      <c r="B155" s="1293"/>
      <c r="C155" s="260"/>
      <c r="G155" s="260"/>
      <c r="K155" s="260"/>
      <c r="O155" s="260"/>
      <c r="S155" s="260"/>
      <c r="W155" s="260"/>
      <c r="AA155" s="260"/>
      <c r="AE155" s="260"/>
      <c r="AI155" s="260"/>
      <c r="AM155" s="260"/>
      <c r="AQ155" s="260"/>
      <c r="AU155" s="260"/>
      <c r="AY155" s="260"/>
      <c r="BC155" s="260"/>
      <c r="BG155" s="259"/>
      <c r="BI155" s="233"/>
      <c r="BJ155" s="233"/>
      <c r="BK155" s="233"/>
      <c r="BL155" s="233"/>
      <c r="BM155" s="233"/>
      <c r="BN155" s="233"/>
      <c r="BO155" s="233"/>
    </row>
    <row r="156" spans="1:67">
      <c r="A156" s="1287"/>
      <c r="B156" s="1293"/>
      <c r="C156" s="260"/>
      <c r="G156" s="260"/>
      <c r="K156" s="260"/>
      <c r="O156" s="260"/>
      <c r="S156" s="260"/>
      <c r="W156" s="260"/>
      <c r="AA156" s="260"/>
      <c r="AE156" s="260"/>
      <c r="AI156" s="260"/>
      <c r="AM156" s="260"/>
      <c r="AQ156" s="260"/>
      <c r="AU156" s="260"/>
      <c r="AY156" s="260"/>
      <c r="BC156" s="260"/>
      <c r="BG156" s="259"/>
      <c r="BI156" s="233"/>
      <c r="BJ156" s="233"/>
      <c r="BK156" s="233"/>
      <c r="BL156" s="233"/>
      <c r="BM156" s="233"/>
      <c r="BN156" s="233"/>
      <c r="BO156" s="233"/>
    </row>
    <row r="157" spans="1:67">
      <c r="A157" s="1287"/>
      <c r="B157" s="1293"/>
      <c r="C157" s="260"/>
      <c r="G157" s="260"/>
      <c r="K157" s="260"/>
      <c r="O157" s="260"/>
      <c r="S157" s="260"/>
      <c r="W157" s="260"/>
      <c r="AA157" s="260"/>
      <c r="AE157" s="260"/>
      <c r="AI157" s="260"/>
      <c r="AM157" s="260"/>
      <c r="AQ157" s="260"/>
      <c r="AU157" s="260"/>
      <c r="AY157" s="260"/>
      <c r="BC157" s="260"/>
      <c r="BG157" s="259"/>
      <c r="BI157" s="233"/>
      <c r="BJ157" s="233"/>
      <c r="BK157" s="233"/>
      <c r="BL157" s="233"/>
      <c r="BM157" s="233"/>
      <c r="BN157" s="233"/>
      <c r="BO157" s="233"/>
    </row>
    <row r="158" spans="1:67">
      <c r="A158" s="1287"/>
      <c r="B158" s="1293"/>
      <c r="C158" s="260"/>
      <c r="G158" s="260"/>
      <c r="K158" s="260"/>
      <c r="O158" s="260"/>
      <c r="S158" s="260"/>
      <c r="W158" s="260"/>
      <c r="AA158" s="260"/>
      <c r="AE158" s="260"/>
      <c r="AI158" s="260"/>
      <c r="AM158" s="260"/>
      <c r="AQ158" s="260"/>
      <c r="AU158" s="260"/>
      <c r="AY158" s="260"/>
      <c r="BC158" s="260"/>
      <c r="BG158" s="259"/>
      <c r="BI158" s="233"/>
      <c r="BJ158" s="233"/>
      <c r="BK158" s="233"/>
      <c r="BL158" s="233"/>
      <c r="BM158" s="233"/>
      <c r="BN158" s="233"/>
      <c r="BO158" s="233"/>
    </row>
    <row r="159" spans="1:67">
      <c r="A159" s="1287"/>
      <c r="B159" s="1293"/>
      <c r="C159" s="260"/>
      <c r="G159" s="260"/>
      <c r="K159" s="260"/>
      <c r="O159" s="260"/>
      <c r="S159" s="260"/>
      <c r="W159" s="260"/>
      <c r="AA159" s="260"/>
      <c r="AE159" s="260"/>
      <c r="AI159" s="260"/>
      <c r="AM159" s="260"/>
      <c r="AQ159" s="260"/>
      <c r="AU159" s="260"/>
      <c r="AY159" s="260"/>
      <c r="BC159" s="260"/>
      <c r="BG159" s="259"/>
      <c r="BI159" s="233"/>
      <c r="BJ159" s="233"/>
      <c r="BK159" s="233"/>
      <c r="BL159" s="233"/>
      <c r="BM159" s="233"/>
      <c r="BN159" s="233"/>
      <c r="BO159" s="233"/>
    </row>
    <row r="160" spans="1:67">
      <c r="A160" s="1287"/>
      <c r="B160" s="1293"/>
      <c r="C160" s="260"/>
      <c r="G160" s="260"/>
      <c r="K160" s="260"/>
      <c r="O160" s="260"/>
      <c r="S160" s="260"/>
      <c r="W160" s="260"/>
      <c r="AA160" s="260"/>
      <c r="AE160" s="260"/>
      <c r="AI160" s="260"/>
      <c r="AM160" s="260"/>
      <c r="AQ160" s="260"/>
      <c r="AU160" s="260"/>
      <c r="AY160" s="260"/>
      <c r="BC160" s="260"/>
      <c r="BG160" s="259"/>
      <c r="BI160" s="233"/>
      <c r="BJ160" s="233"/>
      <c r="BK160" s="233"/>
      <c r="BL160" s="233"/>
      <c r="BM160" s="233"/>
      <c r="BN160" s="233"/>
      <c r="BO160" s="233"/>
    </row>
    <row r="161" spans="1:67">
      <c r="A161" s="1287"/>
      <c r="B161" s="1293"/>
      <c r="C161" s="260"/>
      <c r="G161" s="260"/>
      <c r="K161" s="260"/>
      <c r="O161" s="260"/>
      <c r="S161" s="260"/>
      <c r="W161" s="260"/>
      <c r="AA161" s="260"/>
      <c r="AE161" s="260"/>
      <c r="AI161" s="260"/>
      <c r="AM161" s="260"/>
      <c r="AQ161" s="260"/>
      <c r="AU161" s="260"/>
      <c r="AY161" s="260"/>
      <c r="BC161" s="260"/>
      <c r="BG161" s="259"/>
      <c r="BI161" s="233"/>
      <c r="BJ161" s="233"/>
      <c r="BK161" s="233"/>
      <c r="BL161" s="233"/>
      <c r="BM161" s="233"/>
      <c r="BN161" s="233"/>
      <c r="BO161" s="233"/>
    </row>
    <row r="162" spans="1:67">
      <c r="A162" s="1287"/>
      <c r="B162" s="1293"/>
      <c r="C162" s="260"/>
      <c r="G162" s="260"/>
      <c r="K162" s="260"/>
      <c r="O162" s="260"/>
      <c r="S162" s="260"/>
      <c r="W162" s="260"/>
      <c r="AA162" s="260"/>
      <c r="AE162" s="260"/>
      <c r="AI162" s="260"/>
      <c r="AM162" s="260"/>
      <c r="AQ162" s="260"/>
      <c r="AU162" s="260"/>
      <c r="AY162" s="260"/>
      <c r="BC162" s="260"/>
      <c r="BG162" s="259"/>
      <c r="BI162" s="233"/>
      <c r="BJ162" s="233"/>
      <c r="BK162" s="233"/>
      <c r="BL162" s="233"/>
      <c r="BM162" s="233"/>
      <c r="BN162" s="233"/>
      <c r="BO162" s="233"/>
    </row>
    <row r="163" spans="1:67">
      <c r="A163" s="1287"/>
      <c r="B163" s="1293"/>
      <c r="C163" s="260"/>
      <c r="G163" s="260"/>
      <c r="K163" s="260"/>
      <c r="O163" s="260"/>
      <c r="S163" s="260"/>
      <c r="W163" s="260"/>
      <c r="AA163" s="260"/>
      <c r="AE163" s="260"/>
      <c r="AI163" s="260"/>
      <c r="AM163" s="260"/>
      <c r="AQ163" s="260"/>
      <c r="AU163" s="260"/>
      <c r="AY163" s="260"/>
      <c r="BC163" s="260"/>
      <c r="BG163" s="259"/>
      <c r="BI163" s="233"/>
      <c r="BJ163" s="233"/>
      <c r="BK163" s="233"/>
      <c r="BL163" s="233"/>
      <c r="BM163" s="233"/>
      <c r="BN163" s="233"/>
      <c r="BO163" s="233"/>
    </row>
    <row r="164" spans="1:67">
      <c r="A164" s="1287"/>
      <c r="B164" s="1293"/>
      <c r="C164" s="260"/>
      <c r="G164" s="260"/>
      <c r="K164" s="260"/>
      <c r="O164" s="260"/>
      <c r="S164" s="260"/>
      <c r="W164" s="260"/>
      <c r="AA164" s="260"/>
      <c r="AE164" s="260"/>
      <c r="AI164" s="260"/>
      <c r="AM164" s="260"/>
      <c r="AQ164" s="260"/>
      <c r="AU164" s="260"/>
      <c r="AY164" s="260"/>
      <c r="BC164" s="260"/>
      <c r="BG164" s="259"/>
      <c r="BI164" s="233"/>
      <c r="BJ164" s="233"/>
      <c r="BK164" s="233"/>
      <c r="BL164" s="233"/>
      <c r="BM164" s="233"/>
      <c r="BN164" s="233"/>
      <c r="BO164" s="233"/>
    </row>
    <row r="165" spans="1:67">
      <c r="A165" s="1287"/>
      <c r="B165" s="1293"/>
      <c r="C165" s="260"/>
      <c r="G165" s="260"/>
      <c r="K165" s="260"/>
      <c r="O165" s="260"/>
      <c r="S165" s="260"/>
      <c r="W165" s="260"/>
      <c r="AA165" s="260"/>
      <c r="AE165" s="260"/>
      <c r="AI165" s="260"/>
      <c r="AM165" s="260"/>
      <c r="AQ165" s="260"/>
      <c r="AU165" s="260"/>
      <c r="AY165" s="260"/>
      <c r="BC165" s="260"/>
      <c r="BG165" s="259"/>
      <c r="BI165" s="233"/>
      <c r="BJ165" s="233"/>
      <c r="BK165" s="233"/>
      <c r="BL165" s="233"/>
      <c r="BM165" s="233"/>
      <c r="BN165" s="233"/>
      <c r="BO165" s="233"/>
    </row>
    <row r="166" spans="1:67">
      <c r="A166" s="1287"/>
      <c r="B166" s="1293"/>
      <c r="C166" s="260"/>
      <c r="G166" s="260"/>
      <c r="K166" s="260"/>
      <c r="O166" s="260"/>
      <c r="S166" s="260"/>
      <c r="W166" s="260"/>
      <c r="AA166" s="260"/>
      <c r="AE166" s="260"/>
      <c r="AI166" s="260"/>
      <c r="AM166" s="260"/>
      <c r="AQ166" s="260"/>
      <c r="AU166" s="260"/>
      <c r="AY166" s="260"/>
      <c r="BC166" s="260"/>
      <c r="BG166" s="259"/>
      <c r="BI166" s="233"/>
      <c r="BJ166" s="233"/>
      <c r="BK166" s="233"/>
      <c r="BL166" s="233"/>
      <c r="BM166" s="233"/>
      <c r="BN166" s="233"/>
      <c r="BO166" s="233"/>
    </row>
    <row r="167" spans="1:67">
      <c r="A167" s="1287"/>
      <c r="B167" s="1293"/>
      <c r="C167" s="260"/>
      <c r="G167" s="260"/>
      <c r="K167" s="260"/>
      <c r="O167" s="260"/>
      <c r="S167" s="260"/>
      <c r="W167" s="260"/>
      <c r="AA167" s="260"/>
      <c r="AE167" s="260"/>
      <c r="AI167" s="260"/>
      <c r="AM167" s="260"/>
      <c r="AQ167" s="260"/>
      <c r="AU167" s="260"/>
      <c r="AY167" s="260"/>
      <c r="BC167" s="260"/>
      <c r="BG167" s="259"/>
      <c r="BI167" s="233"/>
      <c r="BJ167" s="233"/>
      <c r="BK167" s="233"/>
      <c r="BL167" s="233"/>
      <c r="BM167" s="233"/>
      <c r="BN167" s="233"/>
      <c r="BO167" s="233"/>
    </row>
    <row r="168" spans="1:67">
      <c r="A168" s="1287"/>
      <c r="B168" s="1293"/>
      <c r="C168" s="260"/>
      <c r="G168" s="260"/>
      <c r="K168" s="260"/>
      <c r="O168" s="260"/>
      <c r="S168" s="260"/>
      <c r="W168" s="260"/>
      <c r="AA168" s="260"/>
      <c r="AE168" s="260"/>
      <c r="AI168" s="260"/>
      <c r="AM168" s="260"/>
      <c r="AQ168" s="260"/>
      <c r="AU168" s="260"/>
      <c r="AY168" s="260"/>
      <c r="BC168" s="260"/>
      <c r="BG168" s="259"/>
      <c r="BI168" s="233"/>
      <c r="BJ168" s="233"/>
      <c r="BK168" s="233"/>
      <c r="BL168" s="233"/>
      <c r="BM168" s="233"/>
      <c r="BN168" s="233"/>
      <c r="BO168" s="233"/>
    </row>
    <row r="169" spans="1:67">
      <c r="A169" s="1287"/>
      <c r="B169" s="1293"/>
      <c r="C169" s="260"/>
      <c r="G169" s="260"/>
      <c r="K169" s="260"/>
      <c r="O169" s="260"/>
      <c r="S169" s="260"/>
      <c r="W169" s="260"/>
      <c r="AA169" s="260"/>
      <c r="AE169" s="260"/>
      <c r="AI169" s="260"/>
      <c r="AM169" s="260"/>
      <c r="AQ169" s="260"/>
      <c r="AU169" s="260"/>
      <c r="AY169" s="260"/>
      <c r="BC169" s="260"/>
      <c r="BG169" s="259"/>
      <c r="BI169" s="233"/>
      <c r="BJ169" s="233"/>
      <c r="BK169" s="233"/>
      <c r="BL169" s="233"/>
      <c r="BM169" s="233"/>
      <c r="BN169" s="233"/>
      <c r="BO169" s="233"/>
    </row>
    <row r="170" spans="1:67">
      <c r="A170" s="1287"/>
      <c r="B170" s="1293"/>
      <c r="C170" s="260"/>
      <c r="G170" s="260"/>
      <c r="K170" s="260"/>
      <c r="O170" s="260"/>
      <c r="S170" s="260"/>
      <c r="W170" s="260"/>
      <c r="AA170" s="260"/>
      <c r="AE170" s="260"/>
      <c r="AI170" s="260"/>
      <c r="AM170" s="260"/>
      <c r="AQ170" s="260"/>
      <c r="AU170" s="260"/>
      <c r="AY170" s="260"/>
      <c r="BC170" s="260"/>
      <c r="BG170" s="259"/>
      <c r="BI170" s="233"/>
      <c r="BJ170" s="233"/>
      <c r="BK170" s="233"/>
      <c r="BL170" s="233"/>
      <c r="BM170" s="233"/>
      <c r="BN170" s="233"/>
      <c r="BO170" s="233"/>
    </row>
    <row r="171" spans="1:67">
      <c r="A171" s="1287"/>
      <c r="B171" s="1293"/>
      <c r="C171" s="260"/>
      <c r="G171" s="260"/>
      <c r="K171" s="260"/>
      <c r="O171" s="260"/>
      <c r="S171" s="260"/>
      <c r="W171" s="260"/>
      <c r="AA171" s="260"/>
      <c r="AE171" s="260"/>
      <c r="AI171" s="260"/>
      <c r="AM171" s="260"/>
      <c r="AQ171" s="260"/>
      <c r="AU171" s="260"/>
      <c r="AY171" s="260"/>
      <c r="BC171" s="260"/>
      <c r="BG171" s="259"/>
      <c r="BI171" s="233"/>
      <c r="BJ171" s="233"/>
      <c r="BK171" s="233"/>
      <c r="BL171" s="233"/>
      <c r="BM171" s="233"/>
      <c r="BN171" s="233"/>
      <c r="BO171" s="233"/>
    </row>
    <row r="172" spans="1:67">
      <c r="A172" s="1287"/>
      <c r="B172" s="1293"/>
      <c r="C172" s="260"/>
      <c r="G172" s="260"/>
      <c r="K172" s="260"/>
      <c r="O172" s="260"/>
      <c r="S172" s="260"/>
      <c r="W172" s="260"/>
      <c r="AA172" s="260"/>
      <c r="AE172" s="260"/>
      <c r="AI172" s="260"/>
      <c r="AM172" s="260"/>
      <c r="AQ172" s="260"/>
      <c r="AU172" s="260"/>
      <c r="AY172" s="260"/>
      <c r="BC172" s="260"/>
      <c r="BG172" s="259"/>
      <c r="BI172" s="233"/>
      <c r="BJ172" s="233"/>
      <c r="BK172" s="233"/>
      <c r="BL172" s="233"/>
      <c r="BM172" s="233"/>
      <c r="BN172" s="233"/>
      <c r="BO172" s="233"/>
    </row>
    <row r="173" spans="1:67">
      <c r="A173" s="1287"/>
      <c r="B173" s="1293"/>
      <c r="C173" s="260"/>
      <c r="G173" s="260"/>
      <c r="K173" s="260"/>
      <c r="O173" s="260"/>
      <c r="S173" s="260"/>
      <c r="W173" s="260"/>
      <c r="AA173" s="260"/>
      <c r="AE173" s="260"/>
      <c r="AI173" s="260"/>
      <c r="AM173" s="260"/>
      <c r="AQ173" s="260"/>
      <c r="AU173" s="260"/>
      <c r="AY173" s="260"/>
      <c r="BC173" s="260"/>
      <c r="BG173" s="259"/>
      <c r="BI173" s="233"/>
      <c r="BJ173" s="233"/>
      <c r="BK173" s="233"/>
      <c r="BL173" s="233"/>
      <c r="BM173" s="233"/>
      <c r="BN173" s="233"/>
      <c r="BO173" s="233"/>
    </row>
    <row r="174" spans="1:67">
      <c r="A174" s="1287"/>
      <c r="B174" s="1293"/>
      <c r="C174" s="260"/>
      <c r="G174" s="260"/>
      <c r="K174" s="260"/>
      <c r="O174" s="260"/>
      <c r="S174" s="260"/>
      <c r="W174" s="260"/>
      <c r="AA174" s="260"/>
      <c r="AE174" s="260"/>
      <c r="AI174" s="260"/>
      <c r="AM174" s="260"/>
      <c r="AQ174" s="260"/>
      <c r="AU174" s="260"/>
      <c r="AY174" s="260"/>
      <c r="BC174" s="260"/>
      <c r="BG174" s="259"/>
      <c r="BI174" s="233"/>
      <c r="BJ174" s="233"/>
      <c r="BK174" s="233"/>
      <c r="BL174" s="233"/>
      <c r="BM174" s="233"/>
      <c r="BN174" s="233"/>
      <c r="BO174" s="233"/>
    </row>
    <row r="175" spans="1:67">
      <c r="A175" s="1287"/>
      <c r="B175" s="1293"/>
      <c r="C175" s="260"/>
      <c r="G175" s="260"/>
      <c r="K175" s="260"/>
      <c r="O175" s="260"/>
      <c r="S175" s="260"/>
      <c r="W175" s="260"/>
      <c r="AA175" s="260"/>
      <c r="AE175" s="260"/>
      <c r="AI175" s="260"/>
      <c r="AM175" s="260"/>
      <c r="AQ175" s="260"/>
      <c r="AU175" s="260"/>
      <c r="AY175" s="260"/>
      <c r="BC175" s="260"/>
      <c r="BG175" s="259"/>
      <c r="BI175" s="233"/>
      <c r="BJ175" s="233"/>
      <c r="BK175" s="233"/>
      <c r="BL175" s="233"/>
      <c r="BM175" s="233"/>
      <c r="BN175" s="233"/>
      <c r="BO175" s="233"/>
    </row>
    <row r="176" spans="1:67">
      <c r="A176" s="1287"/>
      <c r="B176" s="1293"/>
      <c r="C176" s="260"/>
      <c r="G176" s="260"/>
      <c r="K176" s="260"/>
      <c r="O176" s="260"/>
      <c r="S176" s="260"/>
      <c r="W176" s="260"/>
      <c r="AA176" s="260"/>
      <c r="AE176" s="260"/>
      <c r="AI176" s="260"/>
      <c r="AM176" s="260"/>
      <c r="AQ176" s="260"/>
      <c r="AU176" s="260"/>
      <c r="AY176" s="260"/>
      <c r="BC176" s="260"/>
      <c r="BG176" s="259"/>
      <c r="BI176" s="233"/>
      <c r="BJ176" s="233"/>
      <c r="BK176" s="233"/>
      <c r="BL176" s="233"/>
      <c r="BM176" s="233"/>
      <c r="BN176" s="233"/>
      <c r="BO176" s="233"/>
    </row>
    <row r="177" spans="1:67">
      <c r="A177" s="1287"/>
      <c r="B177" s="1293"/>
      <c r="C177" s="260"/>
      <c r="G177" s="260"/>
      <c r="K177" s="260"/>
      <c r="O177" s="260"/>
      <c r="S177" s="260"/>
      <c r="W177" s="260"/>
      <c r="AA177" s="260"/>
      <c r="AE177" s="260"/>
      <c r="AI177" s="260"/>
      <c r="AM177" s="260"/>
      <c r="AQ177" s="260"/>
      <c r="AU177" s="260"/>
      <c r="AY177" s="260"/>
      <c r="BC177" s="260"/>
      <c r="BG177" s="259"/>
      <c r="BI177" s="233"/>
      <c r="BJ177" s="233"/>
      <c r="BK177" s="233"/>
      <c r="BL177" s="233"/>
      <c r="BM177" s="233"/>
      <c r="BN177" s="233"/>
      <c r="BO177" s="233"/>
    </row>
    <row r="178" spans="1:67">
      <c r="A178" s="1287"/>
      <c r="B178" s="1293"/>
      <c r="C178" s="260"/>
      <c r="G178" s="260"/>
      <c r="K178" s="260"/>
      <c r="O178" s="260"/>
      <c r="S178" s="260"/>
      <c r="W178" s="260"/>
      <c r="AA178" s="260"/>
      <c r="AE178" s="260"/>
      <c r="AI178" s="260"/>
      <c r="AM178" s="260"/>
      <c r="AQ178" s="260"/>
      <c r="AU178" s="260"/>
      <c r="AY178" s="260"/>
      <c r="BC178" s="260"/>
      <c r="BG178" s="259"/>
      <c r="BI178" s="233"/>
      <c r="BJ178" s="233"/>
      <c r="BK178" s="233"/>
      <c r="BL178" s="233"/>
      <c r="BM178" s="233"/>
      <c r="BN178" s="233"/>
      <c r="BO178" s="233"/>
    </row>
    <row r="179" spans="1:67">
      <c r="A179" s="1287"/>
      <c r="B179" s="1293"/>
      <c r="C179" s="260"/>
      <c r="G179" s="260"/>
      <c r="K179" s="260"/>
      <c r="O179" s="260"/>
      <c r="S179" s="260"/>
      <c r="W179" s="260"/>
      <c r="AA179" s="260"/>
      <c r="AE179" s="260"/>
      <c r="AI179" s="260"/>
      <c r="AM179" s="260"/>
      <c r="AQ179" s="260"/>
      <c r="AU179" s="260"/>
      <c r="AY179" s="260"/>
      <c r="BC179" s="260"/>
      <c r="BG179" s="259"/>
      <c r="BI179" s="233"/>
      <c r="BJ179" s="233"/>
      <c r="BK179" s="233"/>
      <c r="BL179" s="233"/>
      <c r="BM179" s="233"/>
      <c r="BN179" s="233"/>
      <c r="BO179" s="233"/>
    </row>
    <row r="180" spans="1:67">
      <c r="A180" s="1287"/>
      <c r="B180" s="1293"/>
      <c r="C180" s="260"/>
      <c r="G180" s="260"/>
      <c r="K180" s="260"/>
      <c r="O180" s="260"/>
      <c r="S180" s="260"/>
      <c r="W180" s="260"/>
      <c r="AA180" s="260"/>
      <c r="AE180" s="260"/>
      <c r="AI180" s="260"/>
      <c r="AM180" s="260"/>
      <c r="AQ180" s="260"/>
      <c r="AU180" s="260"/>
      <c r="AY180" s="260"/>
      <c r="BC180" s="260"/>
      <c r="BG180" s="259"/>
      <c r="BI180" s="233"/>
      <c r="BJ180" s="233"/>
      <c r="BK180" s="233"/>
      <c r="BL180" s="233"/>
      <c r="BM180" s="233"/>
      <c r="BN180" s="233"/>
      <c r="BO180" s="233"/>
    </row>
    <row r="181" spans="1:67">
      <c r="A181" s="1287"/>
      <c r="B181" s="1293"/>
      <c r="C181" s="260"/>
      <c r="G181" s="260"/>
      <c r="K181" s="260"/>
      <c r="O181" s="260"/>
      <c r="S181" s="260"/>
      <c r="W181" s="260"/>
      <c r="AA181" s="260"/>
      <c r="AE181" s="260"/>
      <c r="AI181" s="260"/>
      <c r="AM181" s="260"/>
      <c r="AQ181" s="260"/>
      <c r="AU181" s="260"/>
      <c r="AY181" s="260"/>
      <c r="BC181" s="260"/>
      <c r="BG181" s="259"/>
      <c r="BI181" s="233"/>
      <c r="BJ181" s="233"/>
      <c r="BK181" s="233"/>
      <c r="BL181" s="233"/>
      <c r="BM181" s="233"/>
      <c r="BN181" s="233"/>
      <c r="BO181" s="233"/>
    </row>
    <row r="182" spans="1:67">
      <c r="A182" s="1287"/>
      <c r="B182" s="1293"/>
      <c r="C182" s="260"/>
      <c r="G182" s="260"/>
      <c r="K182" s="260"/>
      <c r="O182" s="260"/>
      <c r="S182" s="260"/>
      <c r="W182" s="260"/>
      <c r="AA182" s="260"/>
      <c r="AE182" s="260"/>
      <c r="AI182" s="260"/>
      <c r="AM182" s="260"/>
      <c r="AQ182" s="260"/>
      <c r="AU182" s="260"/>
      <c r="AY182" s="260"/>
      <c r="BC182" s="260"/>
      <c r="BG182" s="259"/>
      <c r="BI182" s="233"/>
      <c r="BJ182" s="233"/>
      <c r="BK182" s="233"/>
      <c r="BL182" s="233"/>
      <c r="BM182" s="233"/>
      <c r="BN182" s="233"/>
      <c r="BO182" s="233"/>
    </row>
    <row r="183" spans="1:67">
      <c r="A183" s="1287"/>
      <c r="B183" s="1293"/>
      <c r="C183" s="260"/>
      <c r="G183" s="260"/>
      <c r="K183" s="260"/>
      <c r="O183" s="260"/>
      <c r="S183" s="260"/>
      <c r="W183" s="260"/>
      <c r="AA183" s="260"/>
      <c r="AE183" s="260"/>
      <c r="AI183" s="260"/>
      <c r="AM183" s="260"/>
      <c r="AQ183" s="260"/>
      <c r="AU183" s="260"/>
      <c r="AY183" s="260"/>
      <c r="BC183" s="260"/>
      <c r="BG183" s="259"/>
      <c r="BI183" s="233"/>
      <c r="BJ183" s="233"/>
      <c r="BK183" s="233"/>
      <c r="BL183" s="233"/>
      <c r="BM183" s="233"/>
      <c r="BN183" s="233"/>
      <c r="BO183" s="233"/>
    </row>
    <row r="184" spans="1:67">
      <c r="A184" s="1287"/>
      <c r="B184" s="1293"/>
      <c r="C184" s="260"/>
      <c r="G184" s="260"/>
      <c r="K184" s="260"/>
      <c r="O184" s="260"/>
      <c r="S184" s="260"/>
      <c r="W184" s="260"/>
      <c r="AA184" s="260"/>
      <c r="AE184" s="260"/>
      <c r="AI184" s="260"/>
      <c r="AM184" s="260"/>
      <c r="AQ184" s="260"/>
      <c r="AU184" s="260"/>
      <c r="AY184" s="260"/>
      <c r="BC184" s="260"/>
      <c r="BG184" s="259"/>
      <c r="BI184" s="233"/>
      <c r="BJ184" s="233"/>
      <c r="BK184" s="233"/>
      <c r="BL184" s="233"/>
      <c r="BM184" s="233"/>
      <c r="BN184" s="233"/>
      <c r="BO184" s="233"/>
    </row>
    <row r="185" spans="1:67">
      <c r="A185" s="1287"/>
      <c r="B185" s="1293"/>
      <c r="C185" s="260"/>
      <c r="G185" s="260"/>
      <c r="K185" s="260"/>
      <c r="O185" s="260"/>
      <c r="S185" s="260"/>
      <c r="W185" s="260"/>
      <c r="AA185" s="260"/>
      <c r="AE185" s="260"/>
      <c r="AI185" s="260"/>
      <c r="AM185" s="260"/>
      <c r="AQ185" s="260"/>
      <c r="AU185" s="260"/>
      <c r="AY185" s="260"/>
      <c r="BC185" s="260"/>
      <c r="BG185" s="259"/>
      <c r="BI185" s="233"/>
      <c r="BJ185" s="233"/>
      <c r="BK185" s="233"/>
      <c r="BL185" s="233"/>
      <c r="BM185" s="233"/>
      <c r="BN185" s="233"/>
      <c r="BO185" s="233"/>
    </row>
    <row r="186" spans="1:67">
      <c r="A186" s="1287"/>
      <c r="B186" s="1293"/>
      <c r="C186" s="260"/>
      <c r="G186" s="260"/>
      <c r="K186" s="260"/>
      <c r="O186" s="260"/>
      <c r="S186" s="260"/>
      <c r="W186" s="260"/>
      <c r="AA186" s="260"/>
      <c r="AE186" s="260"/>
      <c r="AI186" s="260"/>
      <c r="AM186" s="260"/>
      <c r="AQ186" s="260"/>
      <c r="AU186" s="260"/>
      <c r="AY186" s="260"/>
      <c r="BC186" s="260"/>
      <c r="BG186" s="259"/>
      <c r="BI186" s="233"/>
      <c r="BJ186" s="233"/>
      <c r="BK186" s="233"/>
      <c r="BL186" s="233"/>
      <c r="BM186" s="233"/>
      <c r="BN186" s="233"/>
      <c r="BO186" s="233"/>
    </row>
    <row r="187" spans="1:67">
      <c r="A187" s="1287"/>
      <c r="B187" s="1293"/>
      <c r="C187" s="260"/>
      <c r="G187" s="260"/>
      <c r="K187" s="260"/>
      <c r="O187" s="260"/>
      <c r="S187" s="260"/>
      <c r="W187" s="260"/>
      <c r="AA187" s="260"/>
      <c r="AE187" s="260"/>
      <c r="AI187" s="260"/>
      <c r="AM187" s="260"/>
      <c r="AQ187" s="260"/>
      <c r="AU187" s="260"/>
      <c r="AY187" s="260"/>
      <c r="BC187" s="260"/>
      <c r="BG187" s="259"/>
      <c r="BI187" s="233"/>
      <c r="BJ187" s="233"/>
      <c r="BK187" s="233"/>
      <c r="BL187" s="233"/>
      <c r="BM187" s="233"/>
      <c r="BN187" s="233"/>
      <c r="BO187" s="233"/>
    </row>
    <row r="188" spans="1:67">
      <c r="A188" s="1287"/>
      <c r="B188" s="1293"/>
      <c r="C188" s="260"/>
      <c r="G188" s="260"/>
      <c r="K188" s="260"/>
      <c r="O188" s="260"/>
      <c r="S188" s="260"/>
      <c r="W188" s="260"/>
      <c r="AA188" s="260"/>
      <c r="AE188" s="260"/>
      <c r="AI188" s="260"/>
      <c r="AM188" s="260"/>
      <c r="AQ188" s="260"/>
      <c r="AU188" s="260"/>
      <c r="AY188" s="260"/>
      <c r="BC188" s="260"/>
      <c r="BG188" s="259"/>
      <c r="BI188" s="233"/>
      <c r="BJ188" s="233"/>
      <c r="BK188" s="233"/>
      <c r="BL188" s="233"/>
      <c r="BM188" s="233"/>
      <c r="BN188" s="233"/>
      <c r="BO188" s="233"/>
    </row>
    <row r="189" spans="1:67">
      <c r="A189" s="1287"/>
      <c r="B189" s="1293"/>
      <c r="C189" s="260"/>
      <c r="G189" s="260"/>
      <c r="K189" s="260"/>
      <c r="O189" s="260"/>
      <c r="S189" s="260"/>
      <c r="W189" s="260"/>
      <c r="AA189" s="260"/>
      <c r="AE189" s="260"/>
      <c r="AI189" s="260"/>
      <c r="AM189" s="260"/>
      <c r="AQ189" s="260"/>
      <c r="AU189" s="260"/>
      <c r="AY189" s="260"/>
      <c r="BC189" s="260"/>
      <c r="BG189" s="259"/>
      <c r="BI189" s="233"/>
      <c r="BJ189" s="233"/>
      <c r="BK189" s="233"/>
      <c r="BL189" s="233"/>
      <c r="BM189" s="233"/>
      <c r="BN189" s="233"/>
      <c r="BO189" s="233"/>
    </row>
    <row r="190" spans="1:67">
      <c r="A190" s="1287"/>
      <c r="B190" s="1293"/>
      <c r="C190" s="260"/>
      <c r="G190" s="260"/>
      <c r="K190" s="260"/>
      <c r="O190" s="260"/>
      <c r="S190" s="260"/>
      <c r="W190" s="260"/>
      <c r="AA190" s="260"/>
      <c r="AE190" s="260"/>
      <c r="AI190" s="260"/>
      <c r="AM190" s="260"/>
      <c r="AQ190" s="260"/>
      <c r="AU190" s="260"/>
      <c r="AY190" s="260"/>
      <c r="BC190" s="260"/>
      <c r="BG190" s="259"/>
      <c r="BI190" s="233"/>
      <c r="BJ190" s="233"/>
      <c r="BK190" s="233"/>
      <c r="BL190" s="233"/>
      <c r="BM190" s="233"/>
      <c r="BN190" s="233"/>
      <c r="BO190" s="233"/>
    </row>
    <row r="191" spans="1:67">
      <c r="A191" s="1287"/>
      <c r="B191" s="1293"/>
      <c r="C191" s="260"/>
      <c r="G191" s="260"/>
      <c r="K191" s="260"/>
      <c r="O191" s="260"/>
      <c r="S191" s="260"/>
      <c r="W191" s="260"/>
      <c r="AA191" s="260"/>
      <c r="AE191" s="260"/>
      <c r="AI191" s="260"/>
      <c r="AM191" s="260"/>
      <c r="AQ191" s="260"/>
      <c r="AU191" s="260"/>
      <c r="AY191" s="260"/>
      <c r="BC191" s="260"/>
      <c r="BG191" s="259"/>
      <c r="BI191" s="233"/>
      <c r="BJ191" s="233"/>
      <c r="BK191" s="233"/>
      <c r="BL191" s="233"/>
      <c r="BM191" s="233"/>
      <c r="BN191" s="233"/>
      <c r="BO191" s="233"/>
    </row>
    <row r="192" spans="1:67">
      <c r="A192" s="1287"/>
      <c r="B192" s="1293"/>
      <c r="C192" s="260"/>
      <c r="G192" s="260"/>
      <c r="K192" s="260"/>
      <c r="O192" s="260"/>
      <c r="S192" s="260"/>
      <c r="W192" s="260"/>
      <c r="AA192" s="260"/>
      <c r="AE192" s="260"/>
      <c r="AI192" s="260"/>
      <c r="AM192" s="260"/>
      <c r="AQ192" s="260"/>
      <c r="AU192" s="260"/>
      <c r="AY192" s="260"/>
      <c r="BC192" s="260"/>
      <c r="BG192" s="259"/>
      <c r="BI192" s="233"/>
      <c r="BJ192" s="233"/>
      <c r="BK192" s="233"/>
      <c r="BL192" s="233"/>
      <c r="BM192" s="233"/>
      <c r="BN192" s="233"/>
      <c r="BO192" s="233"/>
    </row>
    <row r="193" spans="1:67">
      <c r="A193" s="1287"/>
      <c r="B193" s="1293"/>
      <c r="C193" s="260"/>
      <c r="G193" s="260"/>
      <c r="K193" s="260"/>
      <c r="O193" s="260"/>
      <c r="S193" s="260"/>
      <c r="W193" s="260"/>
      <c r="AA193" s="260"/>
      <c r="AE193" s="260"/>
      <c r="AI193" s="260"/>
      <c r="AM193" s="260"/>
      <c r="AQ193" s="260"/>
      <c r="AU193" s="260"/>
      <c r="AY193" s="260"/>
      <c r="BC193" s="260"/>
      <c r="BG193" s="259"/>
      <c r="BI193" s="233"/>
      <c r="BJ193" s="233"/>
      <c r="BK193" s="233"/>
      <c r="BL193" s="233"/>
      <c r="BM193" s="233"/>
      <c r="BN193" s="233"/>
      <c r="BO193" s="233"/>
    </row>
    <row r="194" spans="1:67">
      <c r="A194" s="1287"/>
      <c r="B194" s="1293"/>
      <c r="C194" s="260"/>
      <c r="G194" s="260"/>
      <c r="K194" s="260"/>
      <c r="O194" s="260"/>
      <c r="S194" s="260"/>
      <c r="W194" s="260"/>
      <c r="AA194" s="260"/>
      <c r="AE194" s="260"/>
      <c r="AI194" s="260"/>
      <c r="AM194" s="260"/>
      <c r="AQ194" s="260"/>
      <c r="AU194" s="260"/>
      <c r="AY194" s="260"/>
      <c r="BC194" s="260"/>
      <c r="BG194" s="259"/>
      <c r="BI194" s="233"/>
      <c r="BJ194" s="233"/>
      <c r="BK194" s="233"/>
      <c r="BL194" s="233"/>
      <c r="BM194" s="233"/>
      <c r="BN194" s="233"/>
      <c r="BO194" s="233"/>
    </row>
    <row r="195" spans="1:67">
      <c r="A195" s="1287"/>
      <c r="B195" s="1293"/>
      <c r="C195" s="260"/>
      <c r="G195" s="260"/>
      <c r="K195" s="260"/>
      <c r="O195" s="260"/>
      <c r="S195" s="260"/>
      <c r="W195" s="260"/>
      <c r="AA195" s="260"/>
      <c r="AE195" s="260"/>
      <c r="AI195" s="260"/>
      <c r="AM195" s="260"/>
      <c r="AQ195" s="260"/>
      <c r="AU195" s="260"/>
      <c r="AY195" s="260"/>
      <c r="BC195" s="260"/>
      <c r="BG195" s="259"/>
      <c r="BI195" s="233"/>
      <c r="BJ195" s="233"/>
      <c r="BK195" s="233"/>
      <c r="BL195" s="233"/>
      <c r="BM195" s="233"/>
      <c r="BN195" s="233"/>
      <c r="BO195" s="233"/>
    </row>
    <row r="196" spans="1:67">
      <c r="A196" s="1287"/>
      <c r="B196" s="1293"/>
      <c r="C196" s="260"/>
      <c r="G196" s="260"/>
      <c r="K196" s="260"/>
      <c r="O196" s="260"/>
      <c r="S196" s="260"/>
      <c r="W196" s="260"/>
      <c r="AA196" s="260"/>
      <c r="AE196" s="260"/>
      <c r="AI196" s="260"/>
      <c r="AM196" s="260"/>
      <c r="AQ196" s="260"/>
      <c r="AU196" s="260"/>
      <c r="AY196" s="260"/>
      <c r="BC196" s="260"/>
      <c r="BG196" s="259"/>
      <c r="BI196" s="233"/>
      <c r="BJ196" s="233"/>
      <c r="BK196" s="233"/>
      <c r="BL196" s="233"/>
      <c r="BM196" s="233"/>
      <c r="BN196" s="233"/>
      <c r="BO196" s="233"/>
    </row>
    <row r="197" spans="1:67">
      <c r="A197" s="1287"/>
      <c r="B197" s="1293"/>
      <c r="C197" s="260"/>
      <c r="G197" s="260"/>
      <c r="K197" s="260"/>
      <c r="O197" s="260"/>
      <c r="S197" s="260"/>
      <c r="W197" s="260"/>
      <c r="AA197" s="260"/>
      <c r="AE197" s="260"/>
      <c r="AI197" s="260"/>
      <c r="AM197" s="260"/>
      <c r="AQ197" s="260"/>
      <c r="AU197" s="260"/>
      <c r="AY197" s="260"/>
      <c r="BC197" s="260"/>
      <c r="BG197" s="259"/>
      <c r="BI197" s="233"/>
      <c r="BJ197" s="233"/>
      <c r="BK197" s="233"/>
      <c r="BL197" s="233"/>
      <c r="BM197" s="233"/>
      <c r="BN197" s="233"/>
      <c r="BO197" s="233"/>
    </row>
    <row r="198" spans="1:67">
      <c r="A198" s="1287"/>
      <c r="B198" s="1293"/>
      <c r="C198" s="260"/>
      <c r="G198" s="260"/>
      <c r="K198" s="260"/>
      <c r="O198" s="260"/>
      <c r="S198" s="260"/>
      <c r="W198" s="260"/>
      <c r="AA198" s="260"/>
      <c r="AE198" s="260"/>
      <c r="AI198" s="260"/>
      <c r="AM198" s="260"/>
      <c r="AQ198" s="260"/>
      <c r="AU198" s="260"/>
      <c r="AY198" s="260"/>
      <c r="BC198" s="260"/>
      <c r="BG198" s="259"/>
      <c r="BI198" s="233"/>
      <c r="BJ198" s="233"/>
      <c r="BK198" s="233"/>
      <c r="BL198" s="233"/>
      <c r="BM198" s="233"/>
      <c r="BN198" s="233"/>
      <c r="BO198" s="233"/>
    </row>
    <row r="199" spans="1:67">
      <c r="A199" s="1287"/>
      <c r="B199" s="1293"/>
      <c r="C199" s="260"/>
      <c r="G199" s="260"/>
      <c r="K199" s="260"/>
      <c r="O199" s="260"/>
      <c r="S199" s="260"/>
      <c r="W199" s="260"/>
      <c r="AA199" s="260"/>
      <c r="AE199" s="260"/>
      <c r="AI199" s="260"/>
      <c r="AM199" s="260"/>
      <c r="AQ199" s="260"/>
      <c r="AU199" s="260"/>
      <c r="AY199" s="260"/>
      <c r="BC199" s="260"/>
      <c r="BG199" s="259"/>
      <c r="BI199" s="233"/>
      <c r="BJ199" s="233"/>
      <c r="BK199" s="233"/>
      <c r="BL199" s="233"/>
      <c r="BM199" s="233"/>
      <c r="BN199" s="233"/>
      <c r="BO199" s="233"/>
    </row>
    <row r="200" spans="1:67">
      <c r="A200" s="1287"/>
      <c r="B200" s="1293"/>
      <c r="C200" s="260"/>
      <c r="G200" s="260"/>
      <c r="K200" s="260"/>
      <c r="O200" s="260"/>
      <c r="S200" s="260"/>
      <c r="W200" s="260"/>
      <c r="AA200" s="260"/>
      <c r="AE200" s="260"/>
      <c r="AI200" s="260"/>
      <c r="AM200" s="260"/>
      <c r="AQ200" s="260"/>
      <c r="AU200" s="260"/>
      <c r="AY200" s="260"/>
      <c r="BC200" s="260"/>
      <c r="BG200" s="259"/>
      <c r="BI200" s="233"/>
      <c r="BJ200" s="233"/>
      <c r="BK200" s="233"/>
      <c r="BL200" s="233"/>
      <c r="BM200" s="233"/>
      <c r="BN200" s="233"/>
      <c r="BO200" s="233"/>
    </row>
    <row r="201" spans="1:67">
      <c r="A201" s="1287"/>
      <c r="B201" s="1293"/>
      <c r="C201" s="260"/>
      <c r="G201" s="260"/>
      <c r="K201" s="260"/>
      <c r="O201" s="260"/>
      <c r="S201" s="260"/>
      <c r="W201" s="260"/>
      <c r="AA201" s="260"/>
      <c r="AE201" s="260"/>
      <c r="AI201" s="260"/>
      <c r="AM201" s="260"/>
      <c r="AQ201" s="260"/>
      <c r="AU201" s="260"/>
      <c r="AY201" s="260"/>
      <c r="BC201" s="260"/>
      <c r="BG201" s="259"/>
      <c r="BI201" s="233"/>
      <c r="BJ201" s="233"/>
      <c r="BK201" s="233"/>
      <c r="BL201" s="233"/>
      <c r="BM201" s="233"/>
      <c r="BN201" s="233"/>
      <c r="BO201" s="233"/>
    </row>
    <row r="202" spans="1:67">
      <c r="A202" s="1287"/>
      <c r="B202" s="1293"/>
      <c r="C202" s="260"/>
      <c r="G202" s="260"/>
      <c r="K202" s="260"/>
      <c r="O202" s="260"/>
      <c r="S202" s="260"/>
      <c r="W202" s="260"/>
      <c r="AA202" s="260"/>
      <c r="AE202" s="260"/>
      <c r="AI202" s="260"/>
      <c r="AM202" s="260"/>
      <c r="AQ202" s="260"/>
      <c r="AU202" s="260"/>
      <c r="AY202" s="260"/>
      <c r="BC202" s="260"/>
      <c r="BG202" s="259"/>
      <c r="BI202" s="233"/>
      <c r="BJ202" s="233"/>
      <c r="BK202" s="233"/>
      <c r="BL202" s="233"/>
      <c r="BM202" s="233"/>
      <c r="BN202" s="233"/>
      <c r="BO202" s="233"/>
    </row>
    <row r="203" spans="1:67">
      <c r="A203" s="1287"/>
      <c r="B203" s="1293"/>
      <c r="C203" s="260"/>
      <c r="G203" s="260"/>
      <c r="K203" s="260"/>
      <c r="O203" s="260"/>
      <c r="S203" s="260"/>
      <c r="W203" s="260"/>
      <c r="AA203" s="260"/>
      <c r="AE203" s="260"/>
      <c r="AI203" s="260"/>
      <c r="AM203" s="260"/>
      <c r="AQ203" s="260"/>
      <c r="AU203" s="260"/>
      <c r="AY203" s="260"/>
      <c r="BC203" s="260"/>
      <c r="BG203" s="259"/>
      <c r="BI203" s="233"/>
      <c r="BJ203" s="233"/>
      <c r="BK203" s="233"/>
      <c r="BL203" s="233"/>
      <c r="BM203" s="233"/>
      <c r="BN203" s="233"/>
      <c r="BO203" s="233"/>
    </row>
    <row r="204" spans="1:67">
      <c r="A204" s="1287"/>
      <c r="B204" s="1293"/>
      <c r="C204" s="260"/>
      <c r="G204" s="260"/>
      <c r="K204" s="260"/>
      <c r="O204" s="260"/>
      <c r="S204" s="260"/>
      <c r="W204" s="260"/>
      <c r="AA204" s="260"/>
      <c r="AE204" s="260"/>
      <c r="AI204" s="260"/>
      <c r="AM204" s="260"/>
      <c r="AQ204" s="260"/>
      <c r="AU204" s="260"/>
      <c r="AY204" s="260"/>
      <c r="BC204" s="260"/>
      <c r="BG204" s="259"/>
      <c r="BI204" s="233"/>
      <c r="BJ204" s="233"/>
      <c r="BK204" s="233"/>
      <c r="BL204" s="233"/>
      <c r="BM204" s="233"/>
      <c r="BN204" s="233"/>
      <c r="BO204" s="233"/>
    </row>
    <row r="205" spans="1:67">
      <c r="A205" s="1287"/>
      <c r="B205" s="1293"/>
      <c r="C205" s="260"/>
      <c r="G205" s="260"/>
      <c r="K205" s="260"/>
      <c r="O205" s="260"/>
      <c r="S205" s="260"/>
      <c r="W205" s="260"/>
      <c r="AA205" s="260"/>
      <c r="AE205" s="260"/>
      <c r="AI205" s="260"/>
      <c r="AM205" s="260"/>
      <c r="AQ205" s="260"/>
      <c r="AU205" s="260"/>
      <c r="AY205" s="260"/>
      <c r="BC205" s="260"/>
      <c r="BG205" s="259"/>
      <c r="BI205" s="233"/>
      <c r="BJ205" s="233"/>
      <c r="BK205" s="233"/>
      <c r="BL205" s="233"/>
      <c r="BM205" s="233"/>
      <c r="BN205" s="233"/>
      <c r="BO205" s="233"/>
    </row>
    <row r="206" spans="1:67">
      <c r="A206" s="1287"/>
      <c r="B206" s="1293"/>
      <c r="C206" s="260"/>
      <c r="G206" s="260"/>
      <c r="K206" s="260"/>
      <c r="O206" s="260"/>
      <c r="S206" s="260"/>
      <c r="W206" s="260"/>
      <c r="AA206" s="260"/>
      <c r="AE206" s="260"/>
      <c r="AI206" s="260"/>
      <c r="AM206" s="260"/>
      <c r="AQ206" s="260"/>
      <c r="AU206" s="260"/>
      <c r="AY206" s="260"/>
      <c r="BC206" s="260"/>
      <c r="BG206" s="259"/>
      <c r="BI206" s="233"/>
      <c r="BJ206" s="233"/>
      <c r="BK206" s="233"/>
      <c r="BL206" s="233"/>
      <c r="BM206" s="233"/>
      <c r="BN206" s="233"/>
      <c r="BO206" s="233"/>
    </row>
    <row r="207" spans="1:67">
      <c r="A207" s="1287"/>
      <c r="B207" s="1293"/>
      <c r="C207" s="260"/>
      <c r="G207" s="260"/>
      <c r="K207" s="260"/>
      <c r="O207" s="260"/>
      <c r="S207" s="260"/>
      <c r="W207" s="260"/>
      <c r="AA207" s="260"/>
      <c r="AE207" s="260"/>
      <c r="AI207" s="260"/>
      <c r="AM207" s="260"/>
      <c r="AQ207" s="260"/>
      <c r="AU207" s="260"/>
      <c r="AY207" s="260"/>
      <c r="BC207" s="260"/>
      <c r="BG207" s="259"/>
      <c r="BI207" s="233"/>
      <c r="BJ207" s="233"/>
      <c r="BK207" s="233"/>
      <c r="BL207" s="233"/>
      <c r="BM207" s="233"/>
      <c r="BN207" s="233"/>
      <c r="BO207" s="233"/>
    </row>
    <row r="208" spans="1:67">
      <c r="A208" s="1287"/>
      <c r="B208" s="1293"/>
      <c r="C208" s="260"/>
      <c r="G208" s="260"/>
      <c r="K208" s="260"/>
      <c r="O208" s="260"/>
      <c r="S208" s="260"/>
      <c r="W208" s="260"/>
      <c r="AA208" s="260"/>
      <c r="AE208" s="260"/>
      <c r="AI208" s="260"/>
      <c r="AM208" s="260"/>
      <c r="AQ208" s="260"/>
      <c r="AU208" s="260"/>
      <c r="AY208" s="260"/>
      <c r="BC208" s="260"/>
      <c r="BG208" s="259"/>
      <c r="BI208" s="233"/>
      <c r="BJ208" s="233"/>
      <c r="BK208" s="233"/>
      <c r="BL208" s="233"/>
      <c r="BM208" s="233"/>
      <c r="BN208" s="233"/>
      <c r="BO208" s="233"/>
    </row>
    <row r="209" spans="1:67">
      <c r="A209" s="1287"/>
      <c r="B209" s="1293"/>
      <c r="C209" s="260"/>
      <c r="G209" s="260"/>
      <c r="K209" s="260"/>
      <c r="O209" s="260"/>
      <c r="S209" s="260"/>
      <c r="W209" s="260"/>
      <c r="AA209" s="260"/>
      <c r="AE209" s="260"/>
      <c r="AI209" s="260"/>
      <c r="AM209" s="260"/>
      <c r="AQ209" s="260"/>
      <c r="AU209" s="260"/>
      <c r="AY209" s="260"/>
      <c r="BC209" s="260"/>
      <c r="BG209" s="259"/>
      <c r="BI209" s="233"/>
      <c r="BJ209" s="233"/>
      <c r="BK209" s="233"/>
      <c r="BL209" s="233"/>
      <c r="BM209" s="233"/>
      <c r="BN209" s="233"/>
      <c r="BO209" s="233"/>
    </row>
    <row r="210" spans="1:67">
      <c r="A210" s="1287"/>
      <c r="B210" s="1293"/>
      <c r="C210" s="260"/>
      <c r="G210" s="260"/>
      <c r="K210" s="260"/>
      <c r="O210" s="260"/>
      <c r="S210" s="260"/>
      <c r="W210" s="260"/>
      <c r="AA210" s="260"/>
      <c r="AE210" s="260"/>
      <c r="AI210" s="260"/>
      <c r="AM210" s="260"/>
      <c r="AQ210" s="260"/>
      <c r="AU210" s="260"/>
      <c r="AY210" s="260"/>
      <c r="BC210" s="260"/>
      <c r="BG210" s="259"/>
      <c r="BI210" s="233"/>
      <c r="BJ210" s="233"/>
      <c r="BK210" s="233"/>
      <c r="BL210" s="233"/>
      <c r="BM210" s="233"/>
      <c r="BN210" s="233"/>
      <c r="BO210" s="233"/>
    </row>
    <row r="211" spans="1:67">
      <c r="A211" s="1287"/>
      <c r="B211" s="1293"/>
      <c r="C211" s="260"/>
      <c r="G211" s="260"/>
      <c r="K211" s="260"/>
      <c r="O211" s="260"/>
      <c r="S211" s="260"/>
      <c r="W211" s="260"/>
      <c r="AA211" s="260"/>
      <c r="AE211" s="260"/>
      <c r="AI211" s="260"/>
      <c r="AM211" s="260"/>
      <c r="AQ211" s="260"/>
      <c r="AU211" s="260"/>
      <c r="AY211" s="260"/>
      <c r="BC211" s="260"/>
      <c r="BG211" s="259"/>
      <c r="BI211" s="233"/>
      <c r="BJ211" s="233"/>
      <c r="BK211" s="233"/>
      <c r="BL211" s="233"/>
      <c r="BM211" s="233"/>
      <c r="BN211" s="233"/>
      <c r="BO211" s="233"/>
    </row>
    <row r="212" spans="1:67">
      <c r="A212" s="1287"/>
      <c r="B212" s="1293"/>
      <c r="C212" s="260"/>
      <c r="G212" s="260"/>
      <c r="K212" s="260"/>
      <c r="O212" s="260"/>
      <c r="S212" s="260"/>
      <c r="W212" s="260"/>
      <c r="AA212" s="260"/>
      <c r="AE212" s="260"/>
      <c r="AI212" s="260"/>
      <c r="AM212" s="260"/>
      <c r="AQ212" s="260"/>
      <c r="AU212" s="260"/>
      <c r="AY212" s="260"/>
      <c r="BC212" s="260"/>
      <c r="BG212" s="259"/>
      <c r="BI212" s="233"/>
      <c r="BJ212" s="233"/>
      <c r="BK212" s="233"/>
      <c r="BL212" s="233"/>
      <c r="BM212" s="233"/>
      <c r="BN212" s="233"/>
      <c r="BO212" s="233"/>
    </row>
    <row r="213" spans="1:67">
      <c r="A213" s="1287"/>
      <c r="B213" s="1293"/>
      <c r="C213" s="260"/>
      <c r="G213" s="260"/>
      <c r="K213" s="260"/>
      <c r="O213" s="260"/>
      <c r="S213" s="260"/>
      <c r="W213" s="260"/>
      <c r="AA213" s="260"/>
      <c r="AE213" s="260"/>
      <c r="AI213" s="260"/>
      <c r="AM213" s="260"/>
      <c r="AQ213" s="260"/>
      <c r="AU213" s="260"/>
      <c r="AY213" s="260"/>
      <c r="BC213" s="260"/>
      <c r="BG213" s="259"/>
      <c r="BI213" s="233"/>
      <c r="BJ213" s="233"/>
      <c r="BK213" s="233"/>
      <c r="BL213" s="233"/>
      <c r="BM213" s="233"/>
      <c r="BN213" s="233"/>
      <c r="BO213" s="233"/>
    </row>
    <row r="214" spans="1:67">
      <c r="A214" s="1287"/>
      <c r="B214" s="1293"/>
      <c r="C214" s="260"/>
      <c r="G214" s="260"/>
      <c r="K214" s="260"/>
      <c r="O214" s="260"/>
      <c r="S214" s="260"/>
      <c r="W214" s="260"/>
      <c r="AA214" s="260"/>
      <c r="AE214" s="260"/>
      <c r="AI214" s="260"/>
      <c r="AM214" s="260"/>
      <c r="AQ214" s="260"/>
      <c r="AU214" s="260"/>
      <c r="AY214" s="260"/>
      <c r="BC214" s="260"/>
      <c r="BG214" s="259"/>
      <c r="BI214" s="233"/>
      <c r="BJ214" s="233"/>
      <c r="BK214" s="233"/>
      <c r="BL214" s="233"/>
      <c r="BM214" s="233"/>
      <c r="BN214" s="233"/>
      <c r="BO214" s="233"/>
    </row>
    <row r="215" spans="1:67">
      <c r="A215" s="1287"/>
      <c r="B215" s="1293"/>
      <c r="C215" s="260"/>
      <c r="G215" s="260"/>
      <c r="K215" s="260"/>
      <c r="O215" s="260"/>
      <c r="S215" s="260"/>
      <c r="W215" s="260"/>
      <c r="AA215" s="260"/>
      <c r="AE215" s="260"/>
      <c r="AI215" s="260"/>
      <c r="AM215" s="260"/>
      <c r="AQ215" s="260"/>
      <c r="AU215" s="260"/>
      <c r="AY215" s="260"/>
      <c r="BC215" s="260"/>
      <c r="BG215" s="259"/>
      <c r="BI215" s="233"/>
      <c r="BJ215" s="233"/>
      <c r="BK215" s="233"/>
      <c r="BL215" s="233"/>
      <c r="BM215" s="233"/>
      <c r="BN215" s="233"/>
      <c r="BO215" s="233"/>
    </row>
    <row r="216" spans="1:67">
      <c r="A216" s="1287"/>
      <c r="B216" s="1293"/>
      <c r="C216" s="260"/>
      <c r="G216" s="260"/>
      <c r="K216" s="260"/>
      <c r="O216" s="260"/>
      <c r="S216" s="260"/>
      <c r="W216" s="260"/>
      <c r="AA216" s="260"/>
      <c r="AE216" s="260"/>
      <c r="AI216" s="260"/>
      <c r="AM216" s="260"/>
      <c r="AQ216" s="260"/>
      <c r="AU216" s="260"/>
      <c r="AY216" s="260"/>
      <c r="BC216" s="260"/>
      <c r="BG216" s="259"/>
      <c r="BI216" s="233"/>
      <c r="BJ216" s="233"/>
      <c r="BK216" s="233"/>
      <c r="BL216" s="233"/>
      <c r="BM216" s="233"/>
      <c r="BN216" s="233"/>
      <c r="BO216" s="233"/>
    </row>
    <row r="217" spans="1:67">
      <c r="A217" s="1287"/>
      <c r="B217" s="1293"/>
      <c r="C217" s="260"/>
      <c r="G217" s="260"/>
      <c r="K217" s="260"/>
      <c r="O217" s="260"/>
      <c r="S217" s="260"/>
      <c r="W217" s="260"/>
      <c r="AA217" s="260"/>
      <c r="AE217" s="260"/>
      <c r="AI217" s="260"/>
      <c r="AM217" s="260"/>
      <c r="AQ217" s="260"/>
      <c r="AU217" s="260"/>
      <c r="AY217" s="260"/>
      <c r="BC217" s="260"/>
      <c r="BG217" s="259"/>
      <c r="BI217" s="233"/>
      <c r="BJ217" s="233"/>
      <c r="BK217" s="233"/>
      <c r="BL217" s="233"/>
      <c r="BM217" s="233"/>
      <c r="BN217" s="233"/>
      <c r="BO217" s="233"/>
    </row>
    <row r="218" spans="1:67">
      <c r="A218" s="1287"/>
      <c r="B218" s="1293"/>
      <c r="C218" s="260"/>
      <c r="G218" s="260"/>
      <c r="K218" s="260"/>
      <c r="O218" s="260"/>
      <c r="S218" s="260"/>
      <c r="W218" s="260"/>
      <c r="AA218" s="260"/>
      <c r="AE218" s="260"/>
      <c r="AI218" s="260"/>
      <c r="AM218" s="260"/>
      <c r="AQ218" s="260"/>
      <c r="AU218" s="260"/>
      <c r="AY218" s="260"/>
      <c r="BC218" s="260"/>
      <c r="BG218" s="259"/>
      <c r="BI218" s="233"/>
      <c r="BJ218" s="233"/>
      <c r="BK218" s="233"/>
      <c r="BL218" s="233"/>
      <c r="BM218" s="233"/>
      <c r="BN218" s="233"/>
      <c r="BO218" s="233"/>
    </row>
    <row r="219" spans="1:67">
      <c r="A219" s="1287"/>
      <c r="B219" s="1293"/>
      <c r="C219" s="260"/>
      <c r="G219" s="260"/>
      <c r="K219" s="260"/>
      <c r="O219" s="260"/>
      <c r="S219" s="260"/>
      <c r="W219" s="260"/>
      <c r="AA219" s="260"/>
      <c r="AE219" s="260"/>
      <c r="AI219" s="260"/>
      <c r="AM219" s="260"/>
      <c r="AQ219" s="260"/>
      <c r="AU219" s="260"/>
      <c r="AY219" s="260"/>
      <c r="BC219" s="260"/>
      <c r="BG219" s="259"/>
      <c r="BI219" s="233"/>
      <c r="BJ219" s="233"/>
      <c r="BK219" s="233"/>
      <c r="BL219" s="233"/>
      <c r="BM219" s="233"/>
      <c r="BN219" s="233"/>
      <c r="BO219" s="233"/>
    </row>
    <row r="220" spans="1:67">
      <c r="A220" s="1287"/>
      <c r="B220" s="1293"/>
      <c r="C220" s="260"/>
      <c r="G220" s="260"/>
      <c r="K220" s="260"/>
      <c r="O220" s="260"/>
      <c r="S220" s="260"/>
      <c r="W220" s="260"/>
      <c r="AA220" s="260"/>
      <c r="AE220" s="260"/>
      <c r="AI220" s="260"/>
      <c r="AM220" s="260"/>
      <c r="AQ220" s="260"/>
      <c r="AU220" s="260"/>
      <c r="AY220" s="260"/>
      <c r="BC220" s="260"/>
      <c r="BG220" s="259"/>
      <c r="BI220" s="233"/>
      <c r="BJ220" s="233"/>
      <c r="BK220" s="233"/>
      <c r="BL220" s="233"/>
      <c r="BM220" s="233"/>
      <c r="BN220" s="233"/>
      <c r="BO220" s="233"/>
    </row>
    <row r="221" spans="1:67">
      <c r="A221" s="1287"/>
      <c r="B221" s="1293"/>
      <c r="C221" s="260"/>
      <c r="G221" s="260"/>
      <c r="K221" s="260"/>
      <c r="O221" s="260"/>
      <c r="S221" s="260"/>
      <c r="W221" s="260"/>
      <c r="AA221" s="260"/>
      <c r="AE221" s="260"/>
      <c r="AI221" s="260"/>
      <c r="AM221" s="260"/>
      <c r="AQ221" s="260"/>
      <c r="AU221" s="260"/>
      <c r="AY221" s="260"/>
      <c r="BC221" s="260"/>
      <c r="BG221" s="259"/>
      <c r="BI221" s="233"/>
      <c r="BJ221" s="233"/>
      <c r="BK221" s="233"/>
      <c r="BL221" s="233"/>
      <c r="BM221" s="233"/>
      <c r="BN221" s="233"/>
      <c r="BO221" s="233"/>
    </row>
    <row r="222" spans="1:67">
      <c r="A222" s="1287"/>
      <c r="B222" s="1293"/>
      <c r="C222" s="260"/>
      <c r="G222" s="260"/>
      <c r="K222" s="260"/>
      <c r="O222" s="260"/>
      <c r="S222" s="260"/>
      <c r="W222" s="260"/>
      <c r="AA222" s="260"/>
      <c r="AE222" s="260"/>
      <c r="AI222" s="260"/>
      <c r="AM222" s="260"/>
      <c r="AQ222" s="260"/>
      <c r="AU222" s="260"/>
      <c r="AY222" s="260"/>
      <c r="BC222" s="260"/>
      <c r="BG222" s="259"/>
      <c r="BI222" s="233"/>
      <c r="BJ222" s="233"/>
      <c r="BK222" s="233"/>
      <c r="BL222" s="233"/>
      <c r="BM222" s="233"/>
      <c r="BN222" s="233"/>
      <c r="BO222" s="233"/>
    </row>
    <row r="223" spans="1:67">
      <c r="A223" s="1287"/>
      <c r="B223" s="1293"/>
      <c r="C223" s="260"/>
      <c r="G223" s="260"/>
      <c r="K223" s="260"/>
      <c r="O223" s="260"/>
      <c r="S223" s="260"/>
      <c r="W223" s="260"/>
      <c r="AA223" s="260"/>
      <c r="AE223" s="260"/>
      <c r="AI223" s="260"/>
      <c r="AM223" s="260"/>
      <c r="AQ223" s="260"/>
      <c r="AU223" s="260"/>
      <c r="AY223" s="260"/>
      <c r="BC223" s="260"/>
      <c r="BG223" s="259"/>
      <c r="BI223" s="233"/>
      <c r="BJ223" s="233"/>
      <c r="BK223" s="233"/>
      <c r="BL223" s="233"/>
      <c r="BM223" s="233"/>
      <c r="BN223" s="233"/>
      <c r="BO223" s="233"/>
    </row>
    <row r="224" spans="1:67">
      <c r="A224" s="1287"/>
      <c r="B224" s="1293"/>
      <c r="C224" s="260"/>
      <c r="G224" s="260"/>
      <c r="K224" s="260"/>
      <c r="O224" s="260"/>
      <c r="S224" s="260"/>
      <c r="W224" s="260"/>
      <c r="AA224" s="260"/>
      <c r="AE224" s="260"/>
      <c r="AI224" s="260"/>
      <c r="AM224" s="260"/>
      <c r="AQ224" s="260"/>
      <c r="AU224" s="260"/>
      <c r="AY224" s="260"/>
      <c r="BC224" s="260"/>
      <c r="BG224" s="259"/>
      <c r="BI224" s="233"/>
      <c r="BJ224" s="233"/>
      <c r="BK224" s="233"/>
      <c r="BL224" s="233"/>
      <c r="BM224" s="233"/>
      <c r="BN224" s="233"/>
      <c r="BO224" s="233"/>
    </row>
    <row r="225" spans="1:67">
      <c r="A225" s="1287"/>
      <c r="B225" s="1293"/>
      <c r="C225" s="260"/>
      <c r="G225" s="260"/>
      <c r="K225" s="260"/>
      <c r="O225" s="260"/>
      <c r="S225" s="260"/>
      <c r="W225" s="260"/>
      <c r="AA225" s="260"/>
      <c r="AE225" s="260"/>
      <c r="AI225" s="260"/>
      <c r="AM225" s="260"/>
      <c r="AQ225" s="260"/>
      <c r="AU225" s="260"/>
      <c r="AY225" s="260"/>
      <c r="BC225" s="260"/>
      <c r="BG225" s="259"/>
      <c r="BI225" s="233"/>
      <c r="BJ225" s="233"/>
      <c r="BK225" s="233"/>
      <c r="BL225" s="233"/>
      <c r="BM225" s="233"/>
      <c r="BN225" s="233"/>
      <c r="BO225" s="233"/>
    </row>
    <row r="226" spans="1:67">
      <c r="A226" s="1287"/>
      <c r="B226" s="1293"/>
      <c r="C226" s="260"/>
      <c r="G226" s="260"/>
      <c r="K226" s="260"/>
      <c r="O226" s="260"/>
      <c r="S226" s="260"/>
      <c r="W226" s="260"/>
      <c r="AA226" s="260"/>
      <c r="AE226" s="260"/>
      <c r="AI226" s="260"/>
      <c r="AM226" s="260"/>
      <c r="AQ226" s="260"/>
      <c r="AU226" s="260"/>
      <c r="AY226" s="260"/>
      <c r="BC226" s="260"/>
      <c r="BG226" s="259"/>
      <c r="BI226" s="233"/>
      <c r="BJ226" s="233"/>
      <c r="BK226" s="233"/>
      <c r="BL226" s="233"/>
      <c r="BM226" s="233"/>
      <c r="BN226" s="233"/>
      <c r="BO226" s="233"/>
    </row>
    <row r="227" spans="1:67">
      <c r="A227" s="1287"/>
      <c r="B227" s="1293"/>
      <c r="C227" s="260"/>
      <c r="G227" s="260"/>
      <c r="K227" s="260"/>
      <c r="O227" s="260"/>
      <c r="S227" s="260"/>
      <c r="W227" s="260"/>
      <c r="AA227" s="260"/>
      <c r="AE227" s="260"/>
      <c r="AI227" s="260"/>
      <c r="AM227" s="260"/>
      <c r="AQ227" s="260"/>
      <c r="AU227" s="260"/>
      <c r="AY227" s="260"/>
      <c r="BC227" s="260"/>
      <c r="BG227" s="259"/>
      <c r="BI227" s="233"/>
      <c r="BJ227" s="233"/>
      <c r="BK227" s="233"/>
      <c r="BL227" s="233"/>
      <c r="BM227" s="233"/>
      <c r="BN227" s="233"/>
      <c r="BO227" s="233"/>
    </row>
    <row r="228" spans="1:67">
      <c r="A228" s="1287"/>
      <c r="B228" s="1293"/>
      <c r="C228" s="260"/>
      <c r="G228" s="260"/>
      <c r="K228" s="260"/>
      <c r="O228" s="260"/>
      <c r="S228" s="260"/>
      <c r="W228" s="260"/>
      <c r="AA228" s="260"/>
      <c r="AE228" s="260"/>
      <c r="AI228" s="260"/>
      <c r="AM228" s="260"/>
      <c r="AQ228" s="260"/>
      <c r="AU228" s="260"/>
      <c r="AY228" s="260"/>
      <c r="BC228" s="260"/>
      <c r="BG228" s="259"/>
      <c r="BI228" s="233"/>
      <c r="BJ228" s="233"/>
      <c r="BK228" s="233"/>
      <c r="BL228" s="233"/>
      <c r="BM228" s="233"/>
      <c r="BN228" s="233"/>
      <c r="BO228" s="233"/>
    </row>
    <row r="229" spans="1:67">
      <c r="A229" s="1287"/>
      <c r="B229" s="1293"/>
      <c r="C229" s="260"/>
      <c r="G229" s="260"/>
      <c r="K229" s="260"/>
      <c r="O229" s="260"/>
      <c r="S229" s="260"/>
      <c r="W229" s="260"/>
      <c r="AA229" s="260"/>
      <c r="AE229" s="260"/>
      <c r="AI229" s="260"/>
      <c r="AM229" s="260"/>
      <c r="AQ229" s="260"/>
      <c r="AU229" s="260"/>
      <c r="AY229" s="260"/>
      <c r="BC229" s="260"/>
      <c r="BG229" s="259"/>
      <c r="BI229" s="233"/>
      <c r="BJ229" s="233"/>
      <c r="BK229" s="233"/>
      <c r="BL229" s="233"/>
      <c r="BM229" s="233"/>
      <c r="BN229" s="233"/>
      <c r="BO229" s="233"/>
    </row>
    <row r="230" spans="1:67">
      <c r="A230" s="1287"/>
      <c r="B230" s="1293"/>
      <c r="C230" s="260"/>
      <c r="G230" s="260"/>
      <c r="K230" s="260"/>
      <c r="O230" s="260"/>
      <c r="S230" s="260"/>
      <c r="W230" s="260"/>
      <c r="AA230" s="260"/>
      <c r="AE230" s="260"/>
      <c r="AI230" s="260"/>
      <c r="AM230" s="260"/>
      <c r="AQ230" s="260"/>
      <c r="AU230" s="260"/>
      <c r="AY230" s="260"/>
      <c r="BC230" s="260"/>
      <c r="BG230" s="259"/>
      <c r="BI230" s="233"/>
      <c r="BJ230" s="233"/>
      <c r="BK230" s="233"/>
      <c r="BL230" s="233"/>
      <c r="BM230" s="233"/>
      <c r="BN230" s="233"/>
      <c r="BO230" s="233"/>
    </row>
    <row r="231" spans="1:67">
      <c r="A231" s="1287"/>
      <c r="B231" s="1293"/>
      <c r="C231" s="260"/>
      <c r="G231" s="260"/>
      <c r="K231" s="260"/>
      <c r="O231" s="260"/>
      <c r="S231" s="260"/>
      <c r="W231" s="260"/>
      <c r="AA231" s="260"/>
      <c r="AE231" s="260"/>
      <c r="AI231" s="260"/>
      <c r="AM231" s="260"/>
      <c r="AQ231" s="260"/>
      <c r="AU231" s="260"/>
      <c r="AY231" s="260"/>
      <c r="BC231" s="260"/>
      <c r="BG231" s="259"/>
      <c r="BI231" s="233"/>
      <c r="BJ231" s="233"/>
      <c r="BK231" s="233"/>
      <c r="BL231" s="233"/>
      <c r="BM231" s="233"/>
      <c r="BN231" s="233"/>
      <c r="BO231" s="233"/>
    </row>
    <row r="232" spans="1:67">
      <c r="A232" s="1287"/>
      <c r="B232" s="1293"/>
      <c r="C232" s="260"/>
      <c r="G232" s="260"/>
      <c r="K232" s="260"/>
      <c r="O232" s="260"/>
      <c r="S232" s="260"/>
      <c r="W232" s="260"/>
      <c r="AA232" s="260"/>
      <c r="AE232" s="260"/>
      <c r="AI232" s="260"/>
      <c r="AM232" s="260"/>
      <c r="AQ232" s="260"/>
      <c r="AU232" s="260"/>
      <c r="AY232" s="260"/>
      <c r="BC232" s="260"/>
      <c r="BG232" s="259"/>
      <c r="BI232" s="233"/>
      <c r="BJ232" s="233"/>
      <c r="BK232" s="233"/>
      <c r="BL232" s="233"/>
      <c r="BM232" s="233"/>
      <c r="BN232" s="233"/>
      <c r="BO232" s="233"/>
    </row>
    <row r="233" spans="1:67">
      <c r="A233" s="1287"/>
      <c r="B233" s="1293"/>
      <c r="C233" s="260"/>
      <c r="G233" s="260"/>
      <c r="K233" s="260"/>
      <c r="O233" s="260"/>
      <c r="S233" s="260"/>
      <c r="W233" s="260"/>
      <c r="AA233" s="260"/>
      <c r="AE233" s="260"/>
      <c r="AI233" s="260"/>
      <c r="AM233" s="260"/>
      <c r="AQ233" s="260"/>
      <c r="AU233" s="260"/>
      <c r="AY233" s="260"/>
      <c r="BC233" s="260"/>
      <c r="BG233" s="259"/>
      <c r="BI233" s="233"/>
      <c r="BJ233" s="233"/>
      <c r="BK233" s="233"/>
      <c r="BL233" s="233"/>
      <c r="BM233" s="233"/>
      <c r="BN233" s="233"/>
      <c r="BO233" s="233"/>
    </row>
    <row r="234" spans="1:67">
      <c r="A234" s="1287"/>
      <c r="B234" s="1293"/>
      <c r="C234" s="260"/>
      <c r="G234" s="260"/>
      <c r="K234" s="260"/>
      <c r="O234" s="260"/>
      <c r="S234" s="260"/>
      <c r="W234" s="260"/>
      <c r="AA234" s="260"/>
      <c r="AE234" s="260"/>
      <c r="AI234" s="260"/>
      <c r="AM234" s="260"/>
      <c r="AQ234" s="260"/>
      <c r="AU234" s="260"/>
      <c r="AY234" s="260"/>
      <c r="BC234" s="260"/>
      <c r="BG234" s="259"/>
      <c r="BI234" s="233"/>
      <c r="BJ234" s="233"/>
      <c r="BK234" s="233"/>
      <c r="BL234" s="233"/>
      <c r="BM234" s="233"/>
      <c r="BN234" s="233"/>
      <c r="BO234" s="233"/>
    </row>
    <row r="235" spans="1:67">
      <c r="A235" s="1287"/>
      <c r="B235" s="1293"/>
      <c r="C235" s="260"/>
      <c r="G235" s="260"/>
      <c r="K235" s="260"/>
      <c r="O235" s="260"/>
      <c r="S235" s="260"/>
      <c r="W235" s="260"/>
      <c r="AA235" s="260"/>
      <c r="AE235" s="260"/>
      <c r="AI235" s="260"/>
      <c r="AM235" s="260"/>
      <c r="AQ235" s="260"/>
      <c r="AU235" s="260"/>
      <c r="AY235" s="260"/>
      <c r="BC235" s="260"/>
      <c r="BG235" s="259"/>
      <c r="BI235" s="233"/>
      <c r="BJ235" s="233"/>
      <c r="BK235" s="233"/>
      <c r="BL235" s="233"/>
      <c r="BM235" s="233"/>
      <c r="BN235" s="233"/>
      <c r="BO235" s="233"/>
    </row>
    <row r="236" spans="1:67">
      <c r="A236" s="1287"/>
      <c r="B236" s="1293"/>
      <c r="C236" s="260"/>
      <c r="G236" s="260"/>
      <c r="K236" s="260"/>
      <c r="O236" s="260"/>
      <c r="S236" s="260"/>
      <c r="W236" s="260"/>
      <c r="AA236" s="260"/>
      <c r="AE236" s="260"/>
      <c r="AI236" s="260"/>
      <c r="AM236" s="260"/>
      <c r="AQ236" s="260"/>
      <c r="AU236" s="260"/>
      <c r="AY236" s="260"/>
      <c r="BC236" s="260"/>
      <c r="BG236" s="259"/>
      <c r="BI236" s="233"/>
      <c r="BJ236" s="233"/>
      <c r="BK236" s="233"/>
      <c r="BL236" s="233"/>
      <c r="BM236" s="233"/>
      <c r="BN236" s="233"/>
      <c r="BO236" s="233"/>
    </row>
    <row r="237" spans="1:67">
      <c r="A237" s="1287"/>
      <c r="B237" s="1293"/>
      <c r="C237" s="260"/>
      <c r="G237" s="260"/>
      <c r="K237" s="260"/>
      <c r="O237" s="260"/>
      <c r="S237" s="260"/>
      <c r="W237" s="260"/>
      <c r="AA237" s="260"/>
      <c r="AE237" s="260"/>
      <c r="AI237" s="260"/>
      <c r="AM237" s="260"/>
      <c r="AQ237" s="260"/>
      <c r="AU237" s="260"/>
      <c r="AY237" s="260"/>
      <c r="BC237" s="260"/>
      <c r="BG237" s="259"/>
      <c r="BI237" s="233"/>
      <c r="BJ237" s="233"/>
      <c r="BK237" s="233"/>
      <c r="BL237" s="233"/>
      <c r="BM237" s="233"/>
      <c r="BN237" s="233"/>
      <c r="BO237" s="233"/>
    </row>
    <row r="238" spans="1:67">
      <c r="A238" s="1287"/>
      <c r="B238" s="1293"/>
      <c r="C238" s="260"/>
      <c r="G238" s="260"/>
      <c r="K238" s="260"/>
      <c r="O238" s="260"/>
      <c r="S238" s="260"/>
      <c r="W238" s="260"/>
      <c r="AA238" s="260"/>
      <c r="AE238" s="260"/>
      <c r="AI238" s="260"/>
      <c r="AM238" s="260"/>
      <c r="AQ238" s="260"/>
      <c r="AU238" s="260"/>
      <c r="AY238" s="260"/>
      <c r="BC238" s="260"/>
      <c r="BG238" s="259"/>
      <c r="BI238" s="233"/>
      <c r="BJ238" s="233"/>
      <c r="BK238" s="233"/>
      <c r="BL238" s="233"/>
      <c r="BM238" s="233"/>
      <c r="BN238" s="233"/>
      <c r="BO238" s="233"/>
    </row>
    <row r="239" spans="1:67">
      <c r="A239" s="1287"/>
      <c r="B239" s="1293"/>
      <c r="C239" s="260"/>
      <c r="G239" s="260"/>
      <c r="K239" s="260"/>
      <c r="O239" s="260"/>
      <c r="S239" s="260"/>
      <c r="W239" s="260"/>
      <c r="AA239" s="260"/>
      <c r="AE239" s="260"/>
      <c r="AI239" s="260"/>
      <c r="AM239" s="260"/>
      <c r="AQ239" s="260"/>
      <c r="AU239" s="260"/>
      <c r="AY239" s="260"/>
      <c r="BC239" s="260"/>
      <c r="BG239" s="259"/>
      <c r="BI239" s="233"/>
      <c r="BJ239" s="233"/>
      <c r="BK239" s="233"/>
      <c r="BL239" s="233"/>
      <c r="BM239" s="233"/>
      <c r="BN239" s="233"/>
      <c r="BO239" s="233"/>
    </row>
    <row r="240" spans="1:67">
      <c r="A240" s="1287"/>
      <c r="B240" s="1293"/>
      <c r="C240" s="260"/>
      <c r="G240" s="260"/>
      <c r="K240" s="260"/>
      <c r="O240" s="260"/>
      <c r="S240" s="260"/>
      <c r="W240" s="260"/>
      <c r="AA240" s="260"/>
      <c r="AE240" s="260"/>
      <c r="AI240" s="260"/>
      <c r="AM240" s="260"/>
      <c r="AQ240" s="260"/>
      <c r="AU240" s="260"/>
      <c r="AY240" s="260"/>
      <c r="BC240" s="260"/>
      <c r="BG240" s="259"/>
      <c r="BI240" s="233"/>
      <c r="BJ240" s="233"/>
      <c r="BK240" s="233"/>
      <c r="BL240" s="233"/>
      <c r="BM240" s="233"/>
      <c r="BN240" s="233"/>
      <c r="BO240" s="233"/>
    </row>
    <row r="241" spans="1:67">
      <c r="A241" s="1287"/>
      <c r="B241" s="1293"/>
      <c r="C241" s="260"/>
      <c r="G241" s="260"/>
      <c r="K241" s="260"/>
      <c r="O241" s="260"/>
      <c r="S241" s="260"/>
      <c r="W241" s="260"/>
      <c r="AA241" s="260"/>
      <c r="AE241" s="260"/>
      <c r="AI241" s="260"/>
      <c r="AM241" s="260"/>
      <c r="AQ241" s="260"/>
      <c r="AU241" s="260"/>
      <c r="AY241" s="260"/>
      <c r="BC241" s="260"/>
      <c r="BG241" s="259"/>
      <c r="BI241" s="233"/>
      <c r="BJ241" s="233"/>
      <c r="BK241" s="233"/>
      <c r="BL241" s="233"/>
      <c r="BM241" s="233"/>
      <c r="BN241" s="233"/>
      <c r="BO241" s="233"/>
    </row>
    <row r="242" spans="1:67">
      <c r="A242" s="1287"/>
      <c r="B242" s="1293"/>
      <c r="C242" s="260"/>
      <c r="G242" s="260"/>
      <c r="K242" s="260"/>
      <c r="O242" s="260"/>
      <c r="S242" s="260"/>
      <c r="W242" s="260"/>
      <c r="AA242" s="260"/>
      <c r="AE242" s="260"/>
      <c r="AI242" s="260"/>
      <c r="AM242" s="260"/>
      <c r="AQ242" s="260"/>
      <c r="AU242" s="260"/>
      <c r="AY242" s="260"/>
      <c r="BC242" s="260"/>
      <c r="BG242" s="259"/>
      <c r="BI242" s="233"/>
      <c r="BJ242" s="233"/>
      <c r="BK242" s="233"/>
      <c r="BL242" s="233"/>
      <c r="BM242" s="233"/>
      <c r="BN242" s="233"/>
      <c r="BO242" s="233"/>
    </row>
    <row r="243" spans="1:67">
      <c r="A243" s="1287"/>
      <c r="B243" s="1293"/>
      <c r="C243" s="260"/>
      <c r="G243" s="260"/>
      <c r="K243" s="260"/>
      <c r="O243" s="260"/>
      <c r="S243" s="260"/>
      <c r="W243" s="260"/>
      <c r="AA243" s="260"/>
      <c r="AE243" s="260"/>
      <c r="AI243" s="260"/>
      <c r="AM243" s="260"/>
      <c r="AQ243" s="260"/>
      <c r="AU243" s="260"/>
      <c r="AY243" s="260"/>
      <c r="BC243" s="260"/>
      <c r="BG243" s="259"/>
      <c r="BI243" s="233"/>
      <c r="BJ243" s="233"/>
      <c r="BK243" s="233"/>
      <c r="BL243" s="233"/>
      <c r="BM243" s="233"/>
      <c r="BN243" s="233"/>
      <c r="BO243" s="233"/>
    </row>
    <row r="244" spans="1:67">
      <c r="A244" s="1287"/>
      <c r="B244" s="1293"/>
      <c r="C244" s="260"/>
      <c r="G244" s="260"/>
      <c r="K244" s="260"/>
      <c r="O244" s="260"/>
      <c r="S244" s="260"/>
      <c r="W244" s="260"/>
      <c r="AA244" s="260"/>
      <c r="AE244" s="260"/>
      <c r="AI244" s="260"/>
      <c r="AM244" s="260"/>
      <c r="AQ244" s="260"/>
      <c r="AU244" s="260"/>
      <c r="AY244" s="260"/>
      <c r="BC244" s="260"/>
      <c r="BG244" s="259"/>
      <c r="BI244" s="233"/>
      <c r="BJ244" s="233"/>
      <c r="BK244" s="233"/>
      <c r="BL244" s="233"/>
      <c r="BM244" s="233"/>
      <c r="BN244" s="233"/>
      <c r="BO244" s="233"/>
    </row>
    <row r="245" spans="1:67">
      <c r="A245" s="1287"/>
      <c r="B245" s="1293"/>
      <c r="C245" s="260"/>
      <c r="G245" s="260"/>
      <c r="K245" s="260"/>
      <c r="O245" s="260"/>
      <c r="S245" s="260"/>
      <c r="W245" s="260"/>
      <c r="AA245" s="260"/>
      <c r="AE245" s="260"/>
      <c r="AI245" s="260"/>
      <c r="AM245" s="260"/>
      <c r="AQ245" s="260"/>
      <c r="AU245" s="260"/>
      <c r="AY245" s="260"/>
      <c r="BC245" s="260"/>
      <c r="BG245" s="259"/>
      <c r="BI245" s="233"/>
      <c r="BJ245" s="233"/>
      <c r="BK245" s="233"/>
      <c r="BL245" s="233"/>
      <c r="BM245" s="233"/>
      <c r="BN245" s="233"/>
      <c r="BO245" s="233"/>
    </row>
    <row r="246" spans="1:67">
      <c r="A246" s="1287"/>
      <c r="B246" s="1293"/>
      <c r="C246" s="260"/>
      <c r="G246" s="260"/>
      <c r="K246" s="260"/>
      <c r="O246" s="260"/>
      <c r="S246" s="260"/>
      <c r="W246" s="260"/>
      <c r="AA246" s="260"/>
      <c r="AE246" s="260"/>
      <c r="AI246" s="260"/>
      <c r="AM246" s="260"/>
      <c r="AQ246" s="260"/>
      <c r="AU246" s="260"/>
      <c r="AY246" s="260"/>
      <c r="BC246" s="260"/>
      <c r="BG246" s="259"/>
      <c r="BI246" s="233"/>
      <c r="BJ246" s="233"/>
      <c r="BK246" s="233"/>
      <c r="BL246" s="233"/>
      <c r="BM246" s="233"/>
      <c r="BN246" s="233"/>
      <c r="BO246" s="233"/>
    </row>
    <row r="247" spans="1:67">
      <c r="A247" s="1287"/>
      <c r="B247" s="1293"/>
      <c r="C247" s="260"/>
      <c r="G247" s="260"/>
      <c r="K247" s="260"/>
      <c r="O247" s="260"/>
      <c r="S247" s="260"/>
      <c r="W247" s="260"/>
      <c r="AA247" s="260"/>
      <c r="AE247" s="260"/>
      <c r="AI247" s="260"/>
      <c r="AM247" s="260"/>
      <c r="AQ247" s="260"/>
      <c r="AU247" s="260"/>
      <c r="AY247" s="260"/>
      <c r="BC247" s="260"/>
      <c r="BG247" s="259"/>
      <c r="BI247" s="233"/>
      <c r="BJ247" s="233"/>
      <c r="BK247" s="233"/>
      <c r="BL247" s="233"/>
      <c r="BM247" s="233"/>
      <c r="BN247" s="233"/>
      <c r="BO247" s="233"/>
    </row>
    <row r="248" spans="1:67">
      <c r="A248" s="1287"/>
      <c r="B248" s="1293"/>
      <c r="C248" s="260"/>
      <c r="G248" s="260"/>
      <c r="K248" s="260"/>
      <c r="O248" s="260"/>
      <c r="S248" s="260"/>
      <c r="W248" s="260"/>
      <c r="AA248" s="260"/>
      <c r="AE248" s="260"/>
      <c r="AI248" s="260"/>
      <c r="AM248" s="260"/>
      <c r="AQ248" s="260"/>
      <c r="AU248" s="260"/>
      <c r="AY248" s="260"/>
      <c r="BC248" s="260"/>
      <c r="BG248" s="259"/>
      <c r="BI248" s="233"/>
      <c r="BJ248" s="233"/>
      <c r="BK248" s="233"/>
      <c r="BL248" s="233"/>
      <c r="BM248" s="233"/>
      <c r="BN248" s="233"/>
      <c r="BO248" s="233"/>
    </row>
    <row r="249" spans="1:67">
      <c r="A249" s="1287"/>
      <c r="B249" s="1293"/>
      <c r="C249" s="260"/>
      <c r="G249" s="260"/>
      <c r="K249" s="260"/>
      <c r="O249" s="260"/>
      <c r="S249" s="260"/>
      <c r="W249" s="260"/>
      <c r="AA249" s="260"/>
      <c r="AE249" s="260"/>
      <c r="AI249" s="260"/>
      <c r="AM249" s="260"/>
      <c r="AQ249" s="260"/>
      <c r="AU249" s="260"/>
      <c r="AY249" s="260"/>
      <c r="BC249" s="260"/>
      <c r="BG249" s="259"/>
      <c r="BI249" s="233"/>
      <c r="BJ249" s="233"/>
      <c r="BK249" s="233"/>
      <c r="BL249" s="233"/>
      <c r="BM249" s="233"/>
      <c r="BN249" s="233"/>
      <c r="BO249" s="233"/>
    </row>
    <row r="250" spans="1:67">
      <c r="A250" s="1287"/>
      <c r="B250" s="1293"/>
      <c r="C250" s="260"/>
      <c r="G250" s="260"/>
      <c r="K250" s="260"/>
      <c r="O250" s="260"/>
      <c r="S250" s="260"/>
      <c r="W250" s="260"/>
      <c r="AA250" s="260"/>
      <c r="AE250" s="260"/>
      <c r="AI250" s="260"/>
      <c r="AM250" s="260"/>
      <c r="AQ250" s="260"/>
      <c r="AU250" s="260"/>
      <c r="AY250" s="260"/>
      <c r="BC250" s="260"/>
      <c r="BG250" s="259"/>
      <c r="BI250" s="233"/>
      <c r="BJ250" s="233"/>
      <c r="BK250" s="233"/>
      <c r="BL250" s="233"/>
      <c r="BM250" s="233"/>
      <c r="BN250" s="233"/>
      <c r="BO250" s="233"/>
    </row>
    <row r="251" spans="1:67">
      <c r="A251" s="1287"/>
      <c r="B251" s="1293"/>
      <c r="C251" s="260"/>
      <c r="G251" s="260"/>
      <c r="K251" s="260"/>
      <c r="O251" s="260"/>
      <c r="S251" s="260"/>
      <c r="W251" s="260"/>
      <c r="AA251" s="260"/>
      <c r="AE251" s="260"/>
      <c r="AI251" s="260"/>
      <c r="AM251" s="260"/>
      <c r="AQ251" s="260"/>
      <c r="AU251" s="260"/>
      <c r="AY251" s="260"/>
      <c r="BC251" s="260"/>
      <c r="BG251" s="259"/>
      <c r="BI251" s="233"/>
      <c r="BJ251" s="233"/>
      <c r="BK251" s="233"/>
      <c r="BL251" s="233"/>
      <c r="BM251" s="233"/>
      <c r="BN251" s="233"/>
      <c r="BO251" s="233"/>
    </row>
    <row r="252" spans="1:67">
      <c r="A252" s="1287"/>
      <c r="B252" s="1293"/>
      <c r="C252" s="260"/>
      <c r="G252" s="260"/>
      <c r="K252" s="260"/>
      <c r="O252" s="260"/>
      <c r="S252" s="260"/>
      <c r="W252" s="260"/>
      <c r="AA252" s="260"/>
      <c r="AE252" s="260"/>
      <c r="AI252" s="260"/>
      <c r="AM252" s="260"/>
      <c r="AQ252" s="260"/>
      <c r="AU252" s="260"/>
      <c r="AY252" s="260"/>
      <c r="BC252" s="260"/>
      <c r="BG252" s="259"/>
      <c r="BI252" s="233"/>
      <c r="BJ252" s="233"/>
      <c r="BK252" s="233"/>
      <c r="BL252" s="233"/>
      <c r="BM252" s="233"/>
      <c r="BN252" s="233"/>
      <c r="BO252" s="233"/>
    </row>
    <row r="253" spans="1:67">
      <c r="A253" s="1287"/>
      <c r="B253" s="1293"/>
      <c r="C253" s="260"/>
      <c r="G253" s="260"/>
      <c r="K253" s="260"/>
      <c r="O253" s="260"/>
      <c r="S253" s="260"/>
      <c r="W253" s="260"/>
      <c r="AA253" s="260"/>
      <c r="AE253" s="260"/>
      <c r="AI253" s="260"/>
      <c r="AM253" s="260"/>
      <c r="AQ253" s="260"/>
      <c r="AU253" s="260"/>
      <c r="AY253" s="260"/>
      <c r="BC253" s="260"/>
      <c r="BG253" s="259"/>
      <c r="BI253" s="233"/>
      <c r="BJ253" s="233"/>
      <c r="BK253" s="233"/>
      <c r="BL253" s="233"/>
      <c r="BM253" s="233"/>
      <c r="BN253" s="233"/>
      <c r="BO253" s="233"/>
    </row>
    <row r="254" spans="1:67">
      <c r="A254" s="1287"/>
      <c r="B254" s="1293"/>
      <c r="C254" s="260"/>
      <c r="G254" s="260"/>
      <c r="K254" s="260"/>
      <c r="O254" s="260"/>
      <c r="S254" s="260"/>
      <c r="W254" s="260"/>
      <c r="AA254" s="260"/>
      <c r="AE254" s="260"/>
      <c r="AI254" s="260"/>
      <c r="AM254" s="260"/>
      <c r="AQ254" s="260"/>
      <c r="AU254" s="260"/>
      <c r="AY254" s="260"/>
      <c r="BC254" s="260"/>
      <c r="BG254" s="259"/>
      <c r="BI254" s="233"/>
      <c r="BJ254" s="233"/>
      <c r="BK254" s="233"/>
      <c r="BL254" s="233"/>
      <c r="BM254" s="233"/>
      <c r="BN254" s="233"/>
      <c r="BO254" s="233"/>
    </row>
    <row r="255" spans="1:67">
      <c r="A255" s="1287"/>
      <c r="B255" s="1293"/>
      <c r="C255" s="260"/>
      <c r="G255" s="260"/>
      <c r="K255" s="260"/>
      <c r="O255" s="260"/>
      <c r="S255" s="260"/>
      <c r="W255" s="260"/>
      <c r="AA255" s="260"/>
      <c r="AE255" s="260"/>
      <c r="AI255" s="260"/>
      <c r="AM255" s="260"/>
      <c r="AQ255" s="260"/>
      <c r="AU255" s="260"/>
      <c r="AY255" s="260"/>
      <c r="BC255" s="260"/>
      <c r="BG255" s="259"/>
      <c r="BI255" s="233"/>
      <c r="BJ255" s="233"/>
      <c r="BK255" s="233"/>
      <c r="BL255" s="233"/>
      <c r="BM255" s="233"/>
      <c r="BN255" s="233"/>
      <c r="BO255" s="233"/>
    </row>
    <row r="256" spans="1:67">
      <c r="A256" s="1287"/>
      <c r="B256" s="1293"/>
      <c r="C256" s="260"/>
      <c r="G256" s="260"/>
      <c r="K256" s="260"/>
      <c r="O256" s="260"/>
      <c r="S256" s="260"/>
      <c r="W256" s="260"/>
      <c r="AA256" s="260"/>
      <c r="AE256" s="260"/>
      <c r="AI256" s="260"/>
      <c r="AM256" s="260"/>
      <c r="AQ256" s="260"/>
      <c r="AU256" s="260"/>
      <c r="AY256" s="260"/>
      <c r="BC256" s="260"/>
      <c r="BG256" s="259"/>
      <c r="BI256" s="233"/>
      <c r="BJ256" s="233"/>
      <c r="BK256" s="233"/>
      <c r="BL256" s="233"/>
      <c r="BM256" s="233"/>
      <c r="BN256" s="233"/>
      <c r="BO256" s="233"/>
    </row>
    <row r="257" spans="1:67">
      <c r="A257" s="1287"/>
      <c r="B257" s="1293"/>
      <c r="C257" s="260"/>
      <c r="G257" s="260"/>
      <c r="K257" s="260"/>
      <c r="O257" s="260"/>
      <c r="S257" s="260"/>
      <c r="W257" s="260"/>
      <c r="AA257" s="260"/>
      <c r="AE257" s="260"/>
      <c r="AI257" s="260"/>
      <c r="AM257" s="260"/>
      <c r="AQ257" s="260"/>
      <c r="AU257" s="260"/>
      <c r="AY257" s="260"/>
      <c r="BC257" s="260"/>
      <c r="BG257" s="259"/>
      <c r="BI257" s="233"/>
      <c r="BJ257" s="233"/>
      <c r="BK257" s="233"/>
      <c r="BL257" s="233"/>
      <c r="BM257" s="233"/>
      <c r="BN257" s="233"/>
      <c r="BO257" s="233"/>
    </row>
    <row r="258" spans="1:67">
      <c r="A258" s="1287"/>
      <c r="B258" s="1293"/>
      <c r="C258" s="260"/>
      <c r="G258" s="260"/>
      <c r="K258" s="260"/>
      <c r="O258" s="260"/>
      <c r="S258" s="260"/>
      <c r="W258" s="260"/>
      <c r="AA258" s="260"/>
      <c r="AE258" s="260"/>
      <c r="AI258" s="260"/>
      <c r="AM258" s="260"/>
      <c r="AQ258" s="260"/>
      <c r="AU258" s="260"/>
      <c r="AY258" s="260"/>
      <c r="BC258" s="260"/>
      <c r="BG258" s="259"/>
      <c r="BI258" s="233"/>
      <c r="BJ258" s="233"/>
      <c r="BK258" s="233"/>
      <c r="BL258" s="233"/>
      <c r="BM258" s="233"/>
      <c r="BN258" s="233"/>
      <c r="BO258" s="233"/>
    </row>
    <row r="259" spans="1:67">
      <c r="A259" s="1287"/>
      <c r="B259" s="1293"/>
      <c r="C259" s="260"/>
      <c r="G259" s="260"/>
      <c r="K259" s="260"/>
      <c r="O259" s="260"/>
      <c r="S259" s="260"/>
      <c r="W259" s="260"/>
      <c r="AA259" s="260"/>
      <c r="AE259" s="260"/>
      <c r="AI259" s="260"/>
      <c r="AM259" s="260"/>
      <c r="AQ259" s="260"/>
      <c r="AU259" s="260"/>
      <c r="AY259" s="260"/>
      <c r="BC259" s="260"/>
      <c r="BG259" s="259"/>
      <c r="BI259" s="233"/>
      <c r="BJ259" s="233"/>
      <c r="BK259" s="233"/>
      <c r="BL259" s="233"/>
      <c r="BM259" s="233"/>
      <c r="BN259" s="233"/>
      <c r="BO259" s="233"/>
    </row>
    <row r="260" spans="1:67">
      <c r="A260" s="1287"/>
      <c r="B260" s="1293"/>
      <c r="C260" s="260"/>
      <c r="G260" s="260"/>
      <c r="K260" s="260"/>
      <c r="O260" s="260"/>
      <c r="S260" s="260"/>
      <c r="W260" s="260"/>
      <c r="AA260" s="260"/>
      <c r="AE260" s="260"/>
      <c r="AI260" s="260"/>
      <c r="AM260" s="260"/>
      <c r="AQ260" s="260"/>
      <c r="AU260" s="260"/>
      <c r="AY260" s="260"/>
      <c r="BC260" s="260"/>
      <c r="BG260" s="259"/>
      <c r="BI260" s="233"/>
      <c r="BJ260" s="233"/>
      <c r="BK260" s="233"/>
      <c r="BL260" s="233"/>
      <c r="BM260" s="233"/>
      <c r="BN260" s="233"/>
      <c r="BO260" s="233"/>
    </row>
    <row r="261" spans="1:67">
      <c r="A261" s="1287"/>
      <c r="B261" s="1293"/>
      <c r="C261" s="260"/>
      <c r="G261" s="260"/>
      <c r="K261" s="260"/>
      <c r="O261" s="260"/>
      <c r="S261" s="260"/>
      <c r="W261" s="260"/>
      <c r="AA261" s="260"/>
      <c r="AE261" s="260"/>
      <c r="AI261" s="260"/>
      <c r="AM261" s="260"/>
      <c r="AQ261" s="260"/>
      <c r="AU261" s="260"/>
      <c r="AY261" s="260"/>
      <c r="BC261" s="260"/>
      <c r="BG261" s="259"/>
      <c r="BI261" s="233"/>
      <c r="BJ261" s="233"/>
      <c r="BK261" s="233"/>
      <c r="BL261" s="233"/>
      <c r="BM261" s="233"/>
      <c r="BN261" s="233"/>
      <c r="BO261" s="233"/>
    </row>
    <row r="262" spans="1:67">
      <c r="A262" s="1287"/>
      <c r="B262" s="1293"/>
      <c r="C262" s="260"/>
      <c r="G262" s="260"/>
      <c r="K262" s="260"/>
      <c r="O262" s="260"/>
      <c r="S262" s="260"/>
      <c r="W262" s="260"/>
      <c r="AA262" s="260"/>
      <c r="AE262" s="260"/>
      <c r="AI262" s="260"/>
      <c r="AM262" s="260"/>
      <c r="AQ262" s="260"/>
      <c r="AU262" s="260"/>
      <c r="AY262" s="260"/>
      <c r="BC262" s="260"/>
      <c r="BG262" s="259"/>
      <c r="BI262" s="233"/>
      <c r="BJ262" s="233"/>
      <c r="BK262" s="233"/>
      <c r="BL262" s="233"/>
      <c r="BM262" s="233"/>
      <c r="BN262" s="233"/>
      <c r="BO262" s="233"/>
    </row>
    <row r="263" spans="1:67">
      <c r="A263" s="1287"/>
      <c r="B263" s="1293"/>
      <c r="C263" s="260"/>
      <c r="G263" s="260"/>
      <c r="K263" s="260"/>
      <c r="O263" s="260"/>
      <c r="S263" s="260"/>
      <c r="W263" s="260"/>
      <c r="AA263" s="260"/>
      <c r="AE263" s="260"/>
      <c r="AI263" s="260"/>
      <c r="AM263" s="260"/>
      <c r="AQ263" s="260"/>
      <c r="AU263" s="260"/>
      <c r="AY263" s="260"/>
      <c r="BC263" s="260"/>
      <c r="BG263" s="259"/>
      <c r="BI263" s="233"/>
      <c r="BJ263" s="233"/>
      <c r="BK263" s="233"/>
      <c r="BL263" s="233"/>
      <c r="BM263" s="233"/>
      <c r="BN263" s="233"/>
      <c r="BO263" s="233"/>
    </row>
    <row r="264" spans="1:67">
      <c r="A264" s="1287"/>
      <c r="B264" s="1293"/>
      <c r="C264" s="260"/>
      <c r="G264" s="260"/>
      <c r="K264" s="260"/>
      <c r="O264" s="260"/>
      <c r="S264" s="260"/>
      <c r="W264" s="260"/>
      <c r="AA264" s="260"/>
      <c r="AE264" s="260"/>
      <c r="AI264" s="260"/>
      <c r="AM264" s="260"/>
      <c r="AQ264" s="260"/>
      <c r="AU264" s="260"/>
      <c r="AY264" s="260"/>
      <c r="BC264" s="260"/>
      <c r="BG264" s="259"/>
      <c r="BI264" s="233"/>
      <c r="BJ264" s="233"/>
      <c r="BK264" s="233"/>
      <c r="BL264" s="233"/>
      <c r="BM264" s="233"/>
      <c r="BN264" s="233"/>
      <c r="BO264" s="233"/>
    </row>
    <row r="265" spans="1:67">
      <c r="A265" s="1287"/>
      <c r="B265" s="1293"/>
      <c r="C265" s="260"/>
      <c r="G265" s="260"/>
      <c r="K265" s="260"/>
      <c r="O265" s="260"/>
      <c r="S265" s="260"/>
      <c r="W265" s="260"/>
      <c r="AA265" s="260"/>
      <c r="AE265" s="260"/>
      <c r="AI265" s="260"/>
      <c r="AM265" s="260"/>
      <c r="AQ265" s="260"/>
      <c r="AU265" s="260"/>
      <c r="AY265" s="260"/>
      <c r="BC265" s="260"/>
      <c r="BG265" s="259"/>
      <c r="BI265" s="233"/>
      <c r="BJ265" s="233"/>
      <c r="BK265" s="233"/>
      <c r="BL265" s="233"/>
      <c r="BM265" s="233"/>
      <c r="BN265" s="233"/>
      <c r="BO265" s="233"/>
    </row>
    <row r="266" spans="1:67">
      <c r="A266" s="1287"/>
      <c r="B266" s="1293"/>
      <c r="C266" s="260"/>
      <c r="G266" s="260"/>
      <c r="K266" s="260"/>
      <c r="O266" s="260"/>
      <c r="S266" s="260"/>
      <c r="W266" s="260"/>
      <c r="AA266" s="260"/>
      <c r="AE266" s="260"/>
      <c r="AI266" s="260"/>
      <c r="AM266" s="260"/>
      <c r="AQ266" s="260"/>
      <c r="AU266" s="260"/>
      <c r="AY266" s="260"/>
      <c r="BC266" s="260"/>
      <c r="BG266" s="259"/>
      <c r="BI266" s="233"/>
      <c r="BJ266" s="233"/>
      <c r="BK266" s="233"/>
      <c r="BL266" s="233"/>
      <c r="BM266" s="233"/>
      <c r="BN266" s="233"/>
      <c r="BO266" s="233"/>
    </row>
    <row r="267" spans="1:67">
      <c r="A267" s="1287"/>
      <c r="B267" s="1293"/>
      <c r="C267" s="260"/>
      <c r="G267" s="260"/>
      <c r="K267" s="260"/>
      <c r="O267" s="260"/>
      <c r="S267" s="260"/>
      <c r="W267" s="260"/>
      <c r="AA267" s="260"/>
      <c r="AE267" s="260"/>
      <c r="AI267" s="260"/>
      <c r="AM267" s="260"/>
      <c r="AQ267" s="260"/>
      <c r="AU267" s="260"/>
      <c r="AY267" s="260"/>
      <c r="BC267" s="260"/>
      <c r="BG267" s="259"/>
      <c r="BI267" s="233"/>
      <c r="BJ267" s="233"/>
      <c r="BK267" s="233"/>
      <c r="BL267" s="233"/>
      <c r="BM267" s="233"/>
      <c r="BN267" s="233"/>
      <c r="BO267" s="233"/>
    </row>
    <row r="268" spans="1:67">
      <c r="A268" s="1287"/>
      <c r="B268" s="1293"/>
      <c r="C268" s="260"/>
      <c r="G268" s="260"/>
      <c r="K268" s="260"/>
      <c r="O268" s="260"/>
      <c r="S268" s="260"/>
      <c r="W268" s="260"/>
      <c r="AA268" s="260"/>
      <c r="AE268" s="260"/>
      <c r="AI268" s="260"/>
      <c r="AM268" s="260"/>
      <c r="AQ268" s="260"/>
      <c r="AU268" s="260"/>
      <c r="AY268" s="260"/>
      <c r="BC268" s="260"/>
      <c r="BG268" s="259"/>
      <c r="BI268" s="233"/>
      <c r="BJ268" s="233"/>
      <c r="BK268" s="233"/>
      <c r="BL268" s="233"/>
      <c r="BM268" s="233"/>
      <c r="BN268" s="233"/>
      <c r="BO268" s="233"/>
    </row>
    <row r="269" spans="1:67">
      <c r="A269" s="1287"/>
      <c r="B269" s="1293"/>
      <c r="C269" s="260"/>
      <c r="G269" s="260"/>
      <c r="K269" s="260"/>
      <c r="O269" s="260"/>
      <c r="S269" s="260"/>
      <c r="W269" s="260"/>
      <c r="AA269" s="260"/>
      <c r="AE269" s="260"/>
      <c r="AI269" s="260"/>
      <c r="AM269" s="260"/>
      <c r="AQ269" s="260"/>
      <c r="AU269" s="260"/>
      <c r="AY269" s="260"/>
      <c r="BC269" s="260"/>
      <c r="BG269" s="259"/>
      <c r="BI269" s="233"/>
      <c r="BJ269" s="233"/>
      <c r="BK269" s="233"/>
      <c r="BL269" s="233"/>
      <c r="BM269" s="233"/>
      <c r="BN269" s="233"/>
      <c r="BO269" s="233"/>
    </row>
    <row r="270" spans="1:67">
      <c r="A270" s="1287"/>
      <c r="B270" s="1293"/>
      <c r="C270" s="260"/>
      <c r="G270" s="260"/>
      <c r="K270" s="260"/>
      <c r="O270" s="260"/>
      <c r="S270" s="260"/>
      <c r="W270" s="260"/>
      <c r="AA270" s="260"/>
      <c r="AE270" s="260"/>
      <c r="AI270" s="260"/>
      <c r="AM270" s="260"/>
      <c r="AQ270" s="260"/>
      <c r="AU270" s="260"/>
      <c r="AY270" s="260"/>
      <c r="BC270" s="260"/>
      <c r="BG270" s="259"/>
      <c r="BI270" s="233"/>
      <c r="BJ270" s="233"/>
      <c r="BK270" s="233"/>
      <c r="BL270" s="233"/>
      <c r="BM270" s="233"/>
      <c r="BN270" s="233"/>
      <c r="BO270" s="233"/>
    </row>
    <row r="271" spans="1:67">
      <c r="A271" s="1287"/>
      <c r="B271" s="1293"/>
      <c r="C271" s="260"/>
      <c r="G271" s="260"/>
      <c r="K271" s="260"/>
      <c r="O271" s="260"/>
      <c r="S271" s="260"/>
      <c r="W271" s="260"/>
      <c r="AA271" s="260"/>
      <c r="AE271" s="260"/>
      <c r="AI271" s="260"/>
      <c r="AM271" s="260"/>
      <c r="AQ271" s="260"/>
      <c r="AU271" s="260"/>
      <c r="AY271" s="260"/>
      <c r="BC271" s="260"/>
      <c r="BG271" s="259"/>
      <c r="BI271" s="233"/>
      <c r="BJ271" s="233"/>
      <c r="BK271" s="233"/>
      <c r="BL271" s="233"/>
      <c r="BM271" s="233"/>
      <c r="BN271" s="233"/>
      <c r="BO271" s="233"/>
    </row>
    <row r="272" spans="1:67">
      <c r="A272" s="1287"/>
      <c r="B272" s="1293"/>
      <c r="C272" s="260"/>
      <c r="G272" s="260"/>
      <c r="K272" s="260"/>
      <c r="O272" s="260"/>
      <c r="S272" s="260"/>
      <c r="W272" s="260"/>
      <c r="AA272" s="260"/>
      <c r="AE272" s="260"/>
      <c r="AI272" s="260"/>
      <c r="AM272" s="260"/>
      <c r="AQ272" s="260"/>
      <c r="AU272" s="260"/>
      <c r="AY272" s="260"/>
      <c r="BC272" s="260"/>
      <c r="BG272" s="259"/>
      <c r="BI272" s="233"/>
      <c r="BJ272" s="233"/>
      <c r="BK272" s="233"/>
      <c r="BL272" s="233"/>
      <c r="BM272" s="233"/>
      <c r="BN272" s="233"/>
      <c r="BO272" s="233"/>
    </row>
    <row r="273" spans="1:67">
      <c r="A273" s="1287"/>
      <c r="B273" s="1293"/>
      <c r="C273" s="260"/>
      <c r="G273" s="260"/>
      <c r="K273" s="260"/>
      <c r="O273" s="260"/>
      <c r="S273" s="260"/>
      <c r="W273" s="260"/>
      <c r="AA273" s="260"/>
      <c r="AE273" s="260"/>
      <c r="AI273" s="260"/>
      <c r="AM273" s="260"/>
      <c r="AQ273" s="260"/>
      <c r="AU273" s="260"/>
      <c r="AY273" s="260"/>
      <c r="BC273" s="260"/>
      <c r="BG273" s="259"/>
      <c r="BI273" s="233"/>
      <c r="BJ273" s="233"/>
      <c r="BK273" s="233"/>
      <c r="BL273" s="233"/>
      <c r="BM273" s="233"/>
      <c r="BN273" s="233"/>
      <c r="BO273" s="233"/>
    </row>
    <row r="274" spans="1:67">
      <c r="A274" s="1287"/>
      <c r="B274" s="1293"/>
      <c r="C274" s="260"/>
      <c r="G274" s="260"/>
      <c r="K274" s="260"/>
      <c r="O274" s="260"/>
      <c r="S274" s="260"/>
      <c r="W274" s="260"/>
      <c r="AA274" s="260"/>
      <c r="AE274" s="260"/>
      <c r="AI274" s="260"/>
      <c r="AM274" s="260"/>
      <c r="AQ274" s="260"/>
      <c r="AU274" s="260"/>
      <c r="AY274" s="260"/>
      <c r="BC274" s="260"/>
      <c r="BG274" s="259"/>
      <c r="BI274" s="233"/>
      <c r="BJ274" s="233"/>
      <c r="BK274" s="233"/>
      <c r="BL274" s="233"/>
      <c r="BM274" s="233"/>
      <c r="BN274" s="233"/>
      <c r="BO274" s="233"/>
    </row>
    <row r="275" spans="1:67">
      <c r="A275" s="1287"/>
      <c r="B275" s="1293"/>
      <c r="C275" s="260"/>
      <c r="G275" s="260"/>
      <c r="K275" s="260"/>
      <c r="O275" s="260"/>
      <c r="S275" s="260"/>
      <c r="W275" s="260"/>
      <c r="AA275" s="260"/>
      <c r="AE275" s="260"/>
      <c r="AI275" s="260"/>
      <c r="AM275" s="260"/>
      <c r="AQ275" s="260"/>
      <c r="AU275" s="260"/>
      <c r="AY275" s="260"/>
      <c r="BC275" s="260"/>
      <c r="BG275" s="259"/>
      <c r="BI275" s="233"/>
      <c r="BJ275" s="233"/>
      <c r="BK275" s="233"/>
      <c r="BL275" s="233"/>
      <c r="BM275" s="233"/>
      <c r="BN275" s="233"/>
      <c r="BO275" s="233"/>
    </row>
    <row r="276" spans="1:67">
      <c r="A276" s="1287"/>
      <c r="B276" s="1293"/>
      <c r="C276" s="260"/>
      <c r="G276" s="260"/>
      <c r="K276" s="260"/>
      <c r="O276" s="260"/>
      <c r="S276" s="260"/>
      <c r="W276" s="260"/>
      <c r="AA276" s="260"/>
      <c r="AE276" s="260"/>
      <c r="AI276" s="260"/>
      <c r="AM276" s="260"/>
      <c r="AQ276" s="260"/>
      <c r="AU276" s="260"/>
      <c r="AY276" s="260"/>
      <c r="BC276" s="260"/>
      <c r="BG276" s="259"/>
      <c r="BI276" s="233"/>
      <c r="BJ276" s="233"/>
      <c r="BK276" s="233"/>
      <c r="BL276" s="233"/>
      <c r="BM276" s="233"/>
      <c r="BN276" s="233"/>
      <c r="BO276" s="233"/>
    </row>
    <row r="277" spans="1:67">
      <c r="A277" s="1287"/>
      <c r="B277" s="1293"/>
      <c r="C277" s="260"/>
      <c r="G277" s="260"/>
      <c r="K277" s="260"/>
      <c r="O277" s="260"/>
      <c r="S277" s="260"/>
      <c r="W277" s="260"/>
      <c r="AA277" s="260"/>
      <c r="AE277" s="260"/>
      <c r="AI277" s="260"/>
      <c r="AM277" s="260"/>
      <c r="AQ277" s="260"/>
      <c r="AU277" s="260"/>
      <c r="AY277" s="260"/>
      <c r="BC277" s="260"/>
      <c r="BG277" s="259"/>
      <c r="BI277" s="233"/>
      <c r="BJ277" s="233"/>
      <c r="BK277" s="233"/>
      <c r="BL277" s="233"/>
      <c r="BM277" s="233"/>
      <c r="BN277" s="233"/>
      <c r="BO277" s="233"/>
    </row>
    <row r="278" spans="1:67">
      <c r="A278" s="1287"/>
      <c r="B278" s="1293"/>
      <c r="C278" s="260"/>
      <c r="G278" s="260"/>
      <c r="K278" s="260"/>
      <c r="O278" s="260"/>
      <c r="S278" s="260"/>
      <c r="W278" s="260"/>
      <c r="AA278" s="260"/>
      <c r="AE278" s="260"/>
      <c r="AI278" s="260"/>
      <c r="AM278" s="260"/>
      <c r="AQ278" s="260"/>
      <c r="AU278" s="260"/>
      <c r="AY278" s="260"/>
      <c r="BC278" s="260"/>
      <c r="BG278" s="259"/>
      <c r="BI278" s="233"/>
      <c r="BJ278" s="233"/>
      <c r="BK278" s="233"/>
      <c r="BL278" s="233"/>
      <c r="BM278" s="233"/>
      <c r="BN278" s="233"/>
      <c r="BO278" s="233"/>
    </row>
    <row r="279" spans="1:67">
      <c r="A279" s="1287"/>
      <c r="B279" s="1293"/>
      <c r="C279" s="260"/>
      <c r="G279" s="260"/>
      <c r="K279" s="260"/>
      <c r="O279" s="260"/>
      <c r="S279" s="260"/>
      <c r="W279" s="260"/>
      <c r="AA279" s="260"/>
      <c r="AE279" s="260"/>
      <c r="AI279" s="260"/>
      <c r="AM279" s="260"/>
      <c r="AQ279" s="260"/>
      <c r="AU279" s="260"/>
      <c r="AY279" s="260"/>
      <c r="BC279" s="260"/>
      <c r="BG279" s="259"/>
      <c r="BI279" s="233"/>
      <c r="BJ279" s="233"/>
      <c r="BK279" s="233"/>
      <c r="BL279" s="233"/>
      <c r="BM279" s="233"/>
      <c r="BN279" s="233"/>
      <c r="BO279" s="233"/>
    </row>
    <row r="280" spans="1:67">
      <c r="A280" s="1287"/>
      <c r="B280" s="1293"/>
      <c r="C280" s="260"/>
      <c r="G280" s="260"/>
      <c r="K280" s="260"/>
      <c r="O280" s="260"/>
      <c r="S280" s="260"/>
      <c r="W280" s="260"/>
      <c r="AA280" s="260"/>
      <c r="AE280" s="260"/>
      <c r="AI280" s="260"/>
      <c r="AM280" s="260"/>
      <c r="AQ280" s="260"/>
      <c r="AU280" s="260"/>
      <c r="AY280" s="260"/>
      <c r="BC280" s="260"/>
      <c r="BG280" s="259"/>
      <c r="BI280" s="233"/>
      <c r="BJ280" s="233"/>
      <c r="BK280" s="233"/>
      <c r="BL280" s="233"/>
      <c r="BM280" s="233"/>
      <c r="BN280" s="233"/>
      <c r="BO280" s="233"/>
    </row>
    <row r="281" spans="1:67">
      <c r="A281" s="1287"/>
      <c r="B281" s="1293"/>
      <c r="C281" s="260"/>
      <c r="G281" s="260"/>
      <c r="K281" s="260"/>
      <c r="O281" s="260"/>
      <c r="S281" s="260"/>
      <c r="W281" s="260"/>
      <c r="AA281" s="260"/>
      <c r="AE281" s="260"/>
      <c r="AI281" s="260"/>
      <c r="AM281" s="260"/>
      <c r="AQ281" s="260"/>
      <c r="AU281" s="260"/>
      <c r="AY281" s="260"/>
      <c r="BC281" s="260"/>
      <c r="BG281" s="259"/>
      <c r="BI281" s="233"/>
      <c r="BJ281" s="233"/>
      <c r="BK281" s="233"/>
      <c r="BL281" s="233"/>
      <c r="BM281" s="233"/>
      <c r="BN281" s="233"/>
      <c r="BO281" s="233"/>
    </row>
    <row r="282" spans="1:67">
      <c r="A282" s="1287"/>
      <c r="B282" s="1293"/>
      <c r="C282" s="260"/>
      <c r="G282" s="260"/>
      <c r="K282" s="260"/>
      <c r="O282" s="260"/>
      <c r="S282" s="260"/>
      <c r="W282" s="260"/>
      <c r="AA282" s="260"/>
      <c r="AE282" s="260"/>
      <c r="AI282" s="260"/>
      <c r="AM282" s="260"/>
      <c r="AQ282" s="260"/>
      <c r="AU282" s="260"/>
      <c r="AY282" s="260"/>
      <c r="BC282" s="260"/>
      <c r="BG282" s="259"/>
      <c r="BI282" s="233"/>
      <c r="BJ282" s="233"/>
      <c r="BK282" s="233"/>
      <c r="BL282" s="233"/>
      <c r="BM282" s="233"/>
      <c r="BN282" s="233"/>
      <c r="BO282" s="233"/>
    </row>
    <row r="283" spans="1:67">
      <c r="A283" s="1287"/>
      <c r="B283" s="1293"/>
      <c r="C283" s="260"/>
      <c r="G283" s="260"/>
      <c r="K283" s="260"/>
      <c r="O283" s="260"/>
      <c r="S283" s="260"/>
      <c r="W283" s="260"/>
      <c r="AA283" s="260"/>
      <c r="AE283" s="260"/>
      <c r="AI283" s="260"/>
      <c r="AM283" s="260"/>
      <c r="AQ283" s="260"/>
      <c r="AU283" s="260"/>
      <c r="AY283" s="260"/>
      <c r="BC283" s="260"/>
      <c r="BG283" s="259"/>
      <c r="BI283" s="233"/>
      <c r="BJ283" s="233"/>
      <c r="BK283" s="233"/>
      <c r="BL283" s="233"/>
      <c r="BM283" s="233"/>
      <c r="BN283" s="233"/>
      <c r="BO283" s="233"/>
    </row>
    <row r="284" spans="1:67">
      <c r="A284" s="1287"/>
      <c r="B284" s="1293"/>
      <c r="C284" s="260"/>
      <c r="G284" s="260"/>
      <c r="K284" s="260"/>
      <c r="O284" s="260"/>
      <c r="S284" s="260"/>
      <c r="W284" s="260"/>
      <c r="AA284" s="260"/>
      <c r="AE284" s="260"/>
      <c r="AI284" s="260"/>
      <c r="AM284" s="260"/>
      <c r="AQ284" s="260"/>
      <c r="AU284" s="260"/>
      <c r="AY284" s="260"/>
      <c r="BC284" s="260"/>
      <c r="BG284" s="259"/>
      <c r="BI284" s="233"/>
      <c r="BJ284" s="233"/>
      <c r="BK284" s="233"/>
      <c r="BL284" s="233"/>
      <c r="BM284" s="233"/>
      <c r="BN284" s="233"/>
      <c r="BO284" s="233"/>
    </row>
    <row r="285" spans="1:67">
      <c r="A285" s="1287"/>
      <c r="B285" s="1293"/>
      <c r="C285" s="260"/>
      <c r="G285" s="260"/>
      <c r="K285" s="260"/>
      <c r="O285" s="260"/>
      <c r="S285" s="260"/>
      <c r="W285" s="260"/>
      <c r="AA285" s="260"/>
      <c r="AE285" s="260"/>
      <c r="AI285" s="260"/>
      <c r="AM285" s="260"/>
      <c r="AQ285" s="260"/>
      <c r="AU285" s="260"/>
      <c r="AY285" s="260"/>
      <c r="BC285" s="260"/>
      <c r="BG285" s="259"/>
      <c r="BI285" s="233"/>
      <c r="BJ285" s="233"/>
      <c r="BK285" s="233"/>
      <c r="BL285" s="233"/>
      <c r="BM285" s="233"/>
      <c r="BN285" s="233"/>
      <c r="BO285" s="233"/>
    </row>
    <row r="286" spans="1:67">
      <c r="A286" s="1287"/>
      <c r="B286" s="1293"/>
      <c r="C286" s="260"/>
      <c r="G286" s="260"/>
      <c r="K286" s="260"/>
      <c r="O286" s="260"/>
      <c r="S286" s="260"/>
      <c r="W286" s="260"/>
      <c r="AA286" s="260"/>
      <c r="AE286" s="260"/>
      <c r="AI286" s="260"/>
      <c r="AM286" s="260"/>
      <c r="AQ286" s="260"/>
      <c r="AU286" s="260"/>
      <c r="AY286" s="260"/>
      <c r="BC286" s="260"/>
      <c r="BG286" s="259"/>
      <c r="BI286" s="233"/>
      <c r="BJ286" s="233"/>
      <c r="BK286" s="233"/>
      <c r="BL286" s="233"/>
      <c r="BM286" s="233"/>
      <c r="BN286" s="233"/>
      <c r="BO286" s="233"/>
    </row>
    <row r="287" spans="1:67">
      <c r="A287" s="1287"/>
      <c r="B287" s="1293"/>
      <c r="C287" s="260"/>
      <c r="G287" s="260"/>
      <c r="K287" s="260"/>
      <c r="O287" s="260"/>
      <c r="S287" s="260"/>
      <c r="W287" s="260"/>
      <c r="AA287" s="260"/>
      <c r="AE287" s="260"/>
      <c r="AI287" s="260"/>
      <c r="AM287" s="260"/>
      <c r="AQ287" s="260"/>
      <c r="AU287" s="260"/>
      <c r="AY287" s="260"/>
      <c r="BC287" s="260"/>
      <c r="BG287" s="259"/>
      <c r="BI287" s="233"/>
      <c r="BJ287" s="233"/>
      <c r="BK287" s="233"/>
      <c r="BL287" s="233"/>
      <c r="BM287" s="233"/>
      <c r="BN287" s="233"/>
      <c r="BO287" s="233"/>
    </row>
    <row r="288" spans="1:67">
      <c r="A288" s="1287"/>
      <c r="B288" s="1293"/>
      <c r="C288" s="260"/>
      <c r="G288" s="260"/>
      <c r="K288" s="260"/>
      <c r="O288" s="260"/>
      <c r="S288" s="260"/>
      <c r="W288" s="260"/>
      <c r="AA288" s="260"/>
      <c r="AE288" s="260"/>
      <c r="AI288" s="260"/>
      <c r="AM288" s="260"/>
      <c r="AQ288" s="260"/>
      <c r="AU288" s="260"/>
      <c r="AY288" s="260"/>
      <c r="BC288" s="260"/>
      <c r="BG288" s="259"/>
      <c r="BI288" s="233"/>
      <c r="BJ288" s="233"/>
      <c r="BK288" s="233"/>
      <c r="BL288" s="233"/>
      <c r="BM288" s="233"/>
      <c r="BN288" s="233"/>
      <c r="BO288" s="233"/>
    </row>
    <row r="289" spans="1:67">
      <c r="A289" s="1287"/>
      <c r="B289" s="1293"/>
      <c r="C289" s="260"/>
      <c r="G289" s="260"/>
      <c r="K289" s="260"/>
      <c r="O289" s="260"/>
      <c r="S289" s="260"/>
      <c r="W289" s="260"/>
      <c r="AA289" s="260"/>
      <c r="AE289" s="260"/>
      <c r="AI289" s="260"/>
      <c r="AM289" s="260"/>
      <c r="AQ289" s="260"/>
      <c r="AU289" s="260"/>
      <c r="AY289" s="260"/>
      <c r="BC289" s="260"/>
      <c r="BG289" s="259"/>
      <c r="BI289" s="233"/>
      <c r="BJ289" s="233"/>
      <c r="BK289" s="233"/>
      <c r="BL289" s="233"/>
      <c r="BM289" s="233"/>
      <c r="BN289" s="233"/>
      <c r="BO289" s="233"/>
    </row>
    <row r="290" spans="1:67">
      <c r="A290" s="1287"/>
      <c r="B290" s="1293"/>
      <c r="C290" s="260"/>
      <c r="G290" s="260"/>
      <c r="K290" s="260"/>
      <c r="O290" s="260"/>
      <c r="S290" s="260"/>
      <c r="W290" s="260"/>
      <c r="AA290" s="260"/>
      <c r="AE290" s="260"/>
      <c r="AI290" s="260"/>
      <c r="AM290" s="260"/>
      <c r="AQ290" s="260"/>
      <c r="AU290" s="260"/>
      <c r="AY290" s="260"/>
      <c r="BC290" s="260"/>
      <c r="BG290" s="259"/>
      <c r="BI290" s="233"/>
      <c r="BJ290" s="233"/>
      <c r="BK290" s="233"/>
      <c r="BL290" s="233"/>
      <c r="BM290" s="233"/>
      <c r="BN290" s="233"/>
      <c r="BO290" s="233"/>
    </row>
    <row r="291" spans="1:67">
      <c r="A291" s="1287"/>
      <c r="B291" s="1293"/>
      <c r="C291" s="260"/>
      <c r="G291" s="260"/>
      <c r="K291" s="260"/>
      <c r="O291" s="260"/>
      <c r="S291" s="260"/>
      <c r="W291" s="260"/>
      <c r="AA291" s="260"/>
      <c r="AE291" s="260"/>
      <c r="AI291" s="260"/>
      <c r="AM291" s="260"/>
      <c r="AQ291" s="260"/>
      <c r="AU291" s="260"/>
      <c r="AY291" s="260"/>
      <c r="BC291" s="260"/>
      <c r="BG291" s="259"/>
      <c r="BI291" s="233"/>
      <c r="BJ291" s="233"/>
      <c r="BK291" s="233"/>
      <c r="BL291" s="233"/>
      <c r="BM291" s="233"/>
      <c r="BN291" s="233"/>
      <c r="BO291" s="233"/>
    </row>
    <row r="292" spans="1:67">
      <c r="A292" s="1287"/>
      <c r="B292" s="1293"/>
      <c r="C292" s="260"/>
      <c r="G292" s="260"/>
      <c r="K292" s="260"/>
      <c r="O292" s="260"/>
      <c r="S292" s="260"/>
      <c r="W292" s="260"/>
      <c r="AA292" s="260"/>
      <c r="AE292" s="260"/>
      <c r="AI292" s="260"/>
      <c r="AM292" s="260"/>
      <c r="AQ292" s="260"/>
      <c r="AU292" s="260"/>
      <c r="AY292" s="260"/>
      <c r="BC292" s="260"/>
      <c r="BG292" s="259"/>
      <c r="BI292" s="233"/>
      <c r="BJ292" s="233"/>
      <c r="BK292" s="233"/>
      <c r="BL292" s="233"/>
      <c r="BM292" s="233"/>
      <c r="BN292" s="233"/>
      <c r="BO292" s="233"/>
    </row>
    <row r="293" spans="1:67">
      <c r="A293" s="1287"/>
      <c r="B293" s="1293"/>
      <c r="C293" s="260"/>
      <c r="G293" s="260"/>
      <c r="K293" s="260"/>
      <c r="O293" s="260"/>
      <c r="S293" s="260"/>
      <c r="W293" s="260"/>
      <c r="AA293" s="260"/>
      <c r="AE293" s="260"/>
      <c r="AI293" s="260"/>
      <c r="AM293" s="260"/>
      <c r="AQ293" s="260"/>
      <c r="AU293" s="260"/>
      <c r="AY293" s="260"/>
      <c r="BC293" s="260"/>
      <c r="BG293" s="259"/>
      <c r="BI293" s="233"/>
      <c r="BJ293" s="233"/>
      <c r="BK293" s="233"/>
      <c r="BL293" s="233"/>
      <c r="BM293" s="233"/>
      <c r="BN293" s="233"/>
      <c r="BO293" s="233"/>
    </row>
    <row r="294" spans="1:67">
      <c r="A294" s="1287"/>
      <c r="B294" s="1293"/>
      <c r="C294" s="260"/>
      <c r="G294" s="260"/>
      <c r="K294" s="260"/>
      <c r="O294" s="260"/>
      <c r="S294" s="260"/>
      <c r="W294" s="260"/>
      <c r="AA294" s="260"/>
      <c r="AE294" s="260"/>
      <c r="AI294" s="260"/>
      <c r="AM294" s="260"/>
      <c r="AQ294" s="260"/>
      <c r="AU294" s="260"/>
      <c r="AY294" s="260"/>
      <c r="BC294" s="260"/>
      <c r="BG294" s="259"/>
      <c r="BI294" s="233"/>
      <c r="BJ294" s="233"/>
      <c r="BK294" s="233"/>
      <c r="BL294" s="233"/>
      <c r="BM294" s="233"/>
      <c r="BN294" s="233"/>
      <c r="BO294" s="233"/>
    </row>
    <row r="295" spans="1:67">
      <c r="A295" s="1287"/>
      <c r="B295" s="1293"/>
      <c r="C295" s="260"/>
      <c r="G295" s="260"/>
      <c r="K295" s="260"/>
      <c r="O295" s="260"/>
      <c r="S295" s="260"/>
      <c r="W295" s="260"/>
      <c r="AA295" s="260"/>
      <c r="AE295" s="260"/>
      <c r="AI295" s="260"/>
      <c r="AM295" s="260"/>
      <c r="AQ295" s="260"/>
      <c r="AU295" s="260"/>
      <c r="AY295" s="260"/>
      <c r="BC295" s="260"/>
      <c r="BG295" s="259"/>
      <c r="BI295" s="233"/>
      <c r="BJ295" s="233"/>
      <c r="BK295" s="233"/>
      <c r="BL295" s="233"/>
      <c r="BM295" s="233"/>
      <c r="BN295" s="233"/>
      <c r="BO295" s="233"/>
    </row>
    <row r="296" spans="1:67">
      <c r="A296" s="1287"/>
      <c r="B296" s="1293"/>
      <c r="C296" s="260"/>
      <c r="G296" s="260"/>
      <c r="K296" s="260"/>
      <c r="O296" s="260"/>
      <c r="S296" s="260"/>
      <c r="W296" s="260"/>
      <c r="AA296" s="260"/>
      <c r="AE296" s="260"/>
      <c r="AI296" s="260"/>
      <c r="AM296" s="260"/>
      <c r="AQ296" s="260"/>
      <c r="AU296" s="260"/>
      <c r="AY296" s="260"/>
      <c r="BC296" s="260"/>
      <c r="BG296" s="259"/>
      <c r="BI296" s="233"/>
      <c r="BJ296" s="233"/>
      <c r="BK296" s="233"/>
      <c r="BL296" s="233"/>
      <c r="BM296" s="233"/>
      <c r="BN296" s="233"/>
      <c r="BO296" s="233"/>
    </row>
    <row r="297" spans="1:67">
      <c r="A297" s="1287"/>
      <c r="B297" s="1293"/>
      <c r="C297" s="260"/>
      <c r="G297" s="260"/>
      <c r="K297" s="260"/>
      <c r="O297" s="260"/>
      <c r="S297" s="260"/>
      <c r="W297" s="260"/>
      <c r="AA297" s="260"/>
      <c r="AE297" s="260"/>
      <c r="AI297" s="260"/>
      <c r="AM297" s="260"/>
      <c r="AQ297" s="260"/>
      <c r="AU297" s="260"/>
      <c r="AY297" s="260"/>
      <c r="BC297" s="260"/>
      <c r="BG297" s="259"/>
      <c r="BI297" s="233"/>
      <c r="BJ297" s="233"/>
      <c r="BK297" s="233"/>
      <c r="BL297" s="233"/>
      <c r="BM297" s="233"/>
      <c r="BN297" s="233"/>
      <c r="BO297" s="233"/>
    </row>
    <row r="298" spans="1:67">
      <c r="A298" s="1287"/>
      <c r="B298" s="1293"/>
      <c r="C298" s="260"/>
      <c r="G298" s="260"/>
      <c r="K298" s="260"/>
      <c r="O298" s="260"/>
      <c r="S298" s="260"/>
      <c r="W298" s="260"/>
      <c r="AA298" s="260"/>
      <c r="AE298" s="260"/>
      <c r="AI298" s="260"/>
      <c r="AM298" s="260"/>
      <c r="AQ298" s="260"/>
      <c r="AU298" s="260"/>
      <c r="AY298" s="260"/>
      <c r="BC298" s="260"/>
      <c r="BG298" s="259"/>
      <c r="BI298" s="233"/>
      <c r="BJ298" s="233"/>
      <c r="BK298" s="233"/>
      <c r="BL298" s="233"/>
      <c r="BM298" s="233"/>
      <c r="BN298" s="233"/>
      <c r="BO298" s="233"/>
    </row>
    <row r="299" spans="1:67">
      <c r="A299" s="1287"/>
      <c r="B299" s="1293"/>
      <c r="C299" s="260"/>
      <c r="G299" s="260"/>
      <c r="K299" s="260"/>
      <c r="O299" s="260"/>
      <c r="S299" s="260"/>
      <c r="W299" s="260"/>
      <c r="AA299" s="260"/>
      <c r="AE299" s="260"/>
      <c r="AI299" s="260"/>
      <c r="AM299" s="260"/>
      <c r="AQ299" s="260"/>
      <c r="AU299" s="260"/>
      <c r="AY299" s="260"/>
      <c r="BC299" s="260"/>
      <c r="BG299" s="259"/>
      <c r="BI299" s="233"/>
      <c r="BJ299" s="233"/>
      <c r="BK299" s="233"/>
      <c r="BL299" s="233"/>
      <c r="BM299" s="233"/>
      <c r="BN299" s="233"/>
      <c r="BO299" s="233"/>
    </row>
    <row r="300" spans="1:67">
      <c r="A300" s="1287"/>
      <c r="B300" s="1293"/>
      <c r="C300" s="260"/>
      <c r="G300" s="260"/>
      <c r="K300" s="260"/>
      <c r="O300" s="260"/>
      <c r="S300" s="260"/>
      <c r="W300" s="260"/>
      <c r="AA300" s="260"/>
      <c r="AE300" s="260"/>
      <c r="AI300" s="260"/>
      <c r="AM300" s="260"/>
      <c r="AQ300" s="260"/>
      <c r="AU300" s="260"/>
      <c r="AY300" s="260"/>
      <c r="BC300" s="260"/>
      <c r="BG300" s="259"/>
      <c r="BI300" s="233"/>
      <c r="BJ300" s="233"/>
      <c r="BK300" s="233"/>
      <c r="BL300" s="233"/>
      <c r="BM300" s="233"/>
      <c r="BN300" s="233"/>
      <c r="BO300" s="233"/>
    </row>
    <row r="301" spans="1:67">
      <c r="A301" s="1287"/>
      <c r="B301" s="1293"/>
      <c r="C301" s="260"/>
      <c r="G301" s="260"/>
      <c r="K301" s="260"/>
      <c r="O301" s="260"/>
      <c r="S301" s="260"/>
      <c r="W301" s="260"/>
      <c r="AA301" s="260"/>
      <c r="AE301" s="260"/>
      <c r="AI301" s="260"/>
      <c r="AM301" s="260"/>
      <c r="AQ301" s="260"/>
      <c r="AU301" s="260"/>
      <c r="AY301" s="260"/>
      <c r="BC301" s="260"/>
      <c r="BG301" s="259"/>
      <c r="BI301" s="233"/>
      <c r="BJ301" s="233"/>
      <c r="BK301" s="233"/>
      <c r="BL301" s="233"/>
      <c r="BM301" s="233"/>
      <c r="BN301" s="233"/>
      <c r="BO301" s="233"/>
    </row>
    <row r="302" spans="1:67">
      <c r="A302" s="1287"/>
      <c r="B302" s="1293"/>
      <c r="C302" s="260"/>
      <c r="G302" s="260"/>
      <c r="K302" s="260"/>
      <c r="O302" s="260"/>
      <c r="S302" s="260"/>
      <c r="W302" s="260"/>
      <c r="AA302" s="260"/>
      <c r="AE302" s="260"/>
      <c r="AI302" s="260"/>
      <c r="AM302" s="260"/>
      <c r="AQ302" s="260"/>
      <c r="AU302" s="260"/>
      <c r="AY302" s="260"/>
      <c r="BC302" s="260"/>
      <c r="BG302" s="259"/>
      <c r="BI302" s="233"/>
      <c r="BJ302" s="233"/>
      <c r="BK302" s="233"/>
      <c r="BL302" s="233"/>
      <c r="BM302" s="233"/>
      <c r="BN302" s="233"/>
      <c r="BO302" s="233"/>
    </row>
    <row r="303" spans="1:67">
      <c r="A303" s="1287"/>
      <c r="B303" s="1293"/>
      <c r="C303" s="260"/>
      <c r="G303" s="260"/>
      <c r="K303" s="260"/>
      <c r="O303" s="260"/>
      <c r="S303" s="260"/>
      <c r="W303" s="260"/>
      <c r="AA303" s="260"/>
      <c r="AE303" s="260"/>
      <c r="AI303" s="260"/>
      <c r="AM303" s="260"/>
      <c r="AQ303" s="260"/>
      <c r="AU303" s="260"/>
      <c r="AY303" s="260"/>
      <c r="BC303" s="260"/>
      <c r="BG303" s="259"/>
      <c r="BI303" s="233"/>
      <c r="BJ303" s="233"/>
      <c r="BK303" s="233"/>
      <c r="BL303" s="233"/>
      <c r="BM303" s="233"/>
      <c r="BN303" s="233"/>
      <c r="BO303" s="233"/>
    </row>
    <row r="304" spans="1:67">
      <c r="A304" s="1287"/>
      <c r="B304" s="1293"/>
      <c r="C304" s="260"/>
      <c r="G304" s="260"/>
      <c r="K304" s="260"/>
      <c r="O304" s="260"/>
      <c r="S304" s="260"/>
      <c r="W304" s="260"/>
      <c r="AA304" s="260"/>
      <c r="AE304" s="260"/>
      <c r="AI304" s="260"/>
      <c r="AM304" s="260"/>
      <c r="AQ304" s="260"/>
      <c r="AU304" s="260"/>
      <c r="AY304" s="260"/>
      <c r="BC304" s="260"/>
      <c r="BG304" s="259"/>
      <c r="BI304" s="233"/>
      <c r="BJ304" s="233"/>
      <c r="BK304" s="233"/>
      <c r="BL304" s="233"/>
      <c r="BM304" s="233"/>
      <c r="BN304" s="233"/>
      <c r="BO304" s="233"/>
    </row>
    <row r="305" spans="1:67">
      <c r="A305" s="1287"/>
      <c r="B305" s="1293"/>
      <c r="C305" s="260"/>
      <c r="G305" s="260"/>
      <c r="K305" s="260"/>
      <c r="O305" s="260"/>
      <c r="S305" s="260"/>
      <c r="W305" s="260"/>
      <c r="AA305" s="260"/>
      <c r="AE305" s="260"/>
      <c r="AI305" s="260"/>
      <c r="AM305" s="260"/>
      <c r="AQ305" s="260"/>
      <c r="AU305" s="260"/>
      <c r="AY305" s="260"/>
      <c r="BC305" s="260"/>
      <c r="BG305" s="259"/>
      <c r="BI305" s="233"/>
      <c r="BJ305" s="233"/>
      <c r="BK305" s="233"/>
      <c r="BL305" s="233"/>
      <c r="BM305" s="233"/>
      <c r="BN305" s="233"/>
      <c r="BO305" s="233"/>
    </row>
    <row r="306" spans="1:67">
      <c r="A306" s="1287"/>
      <c r="B306" s="1293"/>
      <c r="C306" s="260"/>
      <c r="G306" s="260"/>
      <c r="K306" s="260"/>
      <c r="O306" s="260"/>
      <c r="S306" s="260"/>
      <c r="W306" s="260"/>
      <c r="AA306" s="260"/>
      <c r="AE306" s="260"/>
      <c r="AI306" s="260"/>
      <c r="AM306" s="260"/>
      <c r="AQ306" s="260"/>
      <c r="AU306" s="260"/>
      <c r="AY306" s="260"/>
      <c r="BC306" s="260"/>
      <c r="BG306" s="259"/>
      <c r="BI306" s="233"/>
      <c r="BJ306" s="233"/>
      <c r="BK306" s="233"/>
      <c r="BL306" s="233"/>
      <c r="BM306" s="233"/>
      <c r="BN306" s="233"/>
      <c r="BO306" s="233"/>
    </row>
    <row r="307" spans="1:67">
      <c r="A307" s="1287"/>
      <c r="B307" s="1293"/>
      <c r="C307" s="260"/>
      <c r="G307" s="260"/>
      <c r="K307" s="260"/>
      <c r="O307" s="260"/>
      <c r="S307" s="260"/>
      <c r="W307" s="260"/>
      <c r="AA307" s="260"/>
      <c r="AE307" s="260"/>
      <c r="AI307" s="260"/>
      <c r="AM307" s="260"/>
      <c r="AQ307" s="260"/>
      <c r="AU307" s="260"/>
      <c r="AY307" s="260"/>
      <c r="BC307" s="260"/>
      <c r="BG307" s="259"/>
      <c r="BI307" s="233"/>
      <c r="BJ307" s="233"/>
      <c r="BK307" s="233"/>
      <c r="BL307" s="233"/>
      <c r="BM307" s="233"/>
      <c r="BN307" s="233"/>
      <c r="BO307" s="233"/>
    </row>
    <row r="308" spans="1:67">
      <c r="A308" s="1287"/>
      <c r="B308" s="1293"/>
      <c r="C308" s="260"/>
      <c r="G308" s="260"/>
      <c r="K308" s="260"/>
      <c r="O308" s="260"/>
      <c r="S308" s="260"/>
      <c r="W308" s="260"/>
      <c r="AA308" s="260"/>
      <c r="AE308" s="260"/>
      <c r="AI308" s="260"/>
      <c r="AM308" s="260"/>
      <c r="AQ308" s="260"/>
      <c r="AU308" s="260"/>
      <c r="AY308" s="260"/>
      <c r="BC308" s="260"/>
      <c r="BG308" s="259"/>
      <c r="BI308" s="233"/>
      <c r="BJ308" s="233"/>
      <c r="BK308" s="233"/>
      <c r="BL308" s="233"/>
      <c r="BM308" s="233"/>
      <c r="BN308" s="233"/>
      <c r="BO308" s="233"/>
    </row>
    <row r="309" spans="1:67">
      <c r="A309" s="1287"/>
      <c r="B309" s="1293"/>
      <c r="C309" s="260"/>
      <c r="G309" s="260"/>
      <c r="K309" s="260"/>
      <c r="O309" s="260"/>
      <c r="S309" s="260"/>
      <c r="W309" s="260"/>
      <c r="AA309" s="260"/>
      <c r="AE309" s="260"/>
      <c r="AI309" s="260"/>
      <c r="AM309" s="260"/>
      <c r="AQ309" s="260"/>
      <c r="AU309" s="260"/>
      <c r="AY309" s="260"/>
      <c r="BC309" s="260"/>
      <c r="BG309" s="259"/>
      <c r="BI309" s="233"/>
      <c r="BJ309" s="233"/>
      <c r="BK309" s="233"/>
      <c r="BL309" s="233"/>
      <c r="BM309" s="233"/>
      <c r="BN309" s="233"/>
      <c r="BO309" s="233"/>
    </row>
    <row r="310" spans="1:67">
      <c r="A310" s="1287"/>
      <c r="B310" s="1293"/>
      <c r="C310" s="260"/>
      <c r="G310" s="260"/>
      <c r="K310" s="260"/>
      <c r="O310" s="260"/>
      <c r="S310" s="260"/>
      <c r="W310" s="260"/>
      <c r="AA310" s="260"/>
      <c r="AE310" s="260"/>
      <c r="AI310" s="260"/>
      <c r="AM310" s="260"/>
      <c r="AQ310" s="260"/>
      <c r="AU310" s="260"/>
      <c r="AY310" s="260"/>
      <c r="BC310" s="260"/>
      <c r="BG310" s="259"/>
      <c r="BI310" s="233"/>
      <c r="BJ310" s="233"/>
      <c r="BK310" s="233"/>
      <c r="BL310" s="233"/>
      <c r="BM310" s="233"/>
      <c r="BN310" s="233"/>
      <c r="BO310" s="233"/>
    </row>
    <row r="311" spans="1:67">
      <c r="A311" s="1287"/>
      <c r="B311" s="1293"/>
      <c r="C311" s="260"/>
      <c r="G311" s="260"/>
      <c r="K311" s="260"/>
      <c r="O311" s="260"/>
      <c r="S311" s="260"/>
      <c r="W311" s="260"/>
      <c r="AA311" s="260"/>
      <c r="AE311" s="260"/>
      <c r="AI311" s="260"/>
      <c r="AM311" s="260"/>
      <c r="AQ311" s="260"/>
      <c r="AU311" s="260"/>
      <c r="AY311" s="260"/>
      <c r="BC311" s="260"/>
      <c r="BG311" s="259"/>
      <c r="BI311" s="233"/>
      <c r="BJ311" s="233"/>
      <c r="BK311" s="233"/>
      <c r="BL311" s="233"/>
      <c r="BM311" s="233"/>
      <c r="BN311" s="233"/>
      <c r="BO311" s="233"/>
    </row>
    <row r="312" spans="1:67">
      <c r="A312" s="1287"/>
      <c r="B312" s="1293"/>
      <c r="C312" s="260"/>
      <c r="G312" s="260"/>
      <c r="K312" s="260"/>
      <c r="O312" s="260"/>
      <c r="S312" s="260"/>
      <c r="W312" s="260"/>
      <c r="AA312" s="260"/>
      <c r="AE312" s="260"/>
      <c r="AI312" s="260"/>
      <c r="AM312" s="260"/>
      <c r="AQ312" s="260"/>
      <c r="AU312" s="260"/>
      <c r="AY312" s="260"/>
      <c r="BC312" s="260"/>
      <c r="BG312" s="259"/>
      <c r="BI312" s="233"/>
      <c r="BJ312" s="233"/>
      <c r="BK312" s="233"/>
      <c r="BL312" s="233"/>
      <c r="BM312" s="233"/>
      <c r="BN312" s="233"/>
      <c r="BO312" s="233"/>
    </row>
    <row r="313" spans="1:67">
      <c r="A313" s="1287"/>
      <c r="B313" s="1293"/>
      <c r="C313" s="260"/>
      <c r="G313" s="260"/>
      <c r="K313" s="260"/>
      <c r="O313" s="260"/>
      <c r="S313" s="260"/>
      <c r="W313" s="260"/>
      <c r="AA313" s="260"/>
      <c r="AE313" s="260"/>
      <c r="AI313" s="260"/>
      <c r="AM313" s="260"/>
      <c r="AQ313" s="260"/>
      <c r="AU313" s="260"/>
      <c r="AY313" s="260"/>
      <c r="BC313" s="260"/>
      <c r="BG313" s="259"/>
      <c r="BI313" s="233"/>
      <c r="BJ313" s="233"/>
      <c r="BK313" s="233"/>
      <c r="BL313" s="233"/>
      <c r="BM313" s="233"/>
      <c r="BN313" s="233"/>
      <c r="BO313" s="233"/>
    </row>
    <row r="314" spans="1:67">
      <c r="A314" s="1287"/>
      <c r="B314" s="1293"/>
      <c r="C314" s="260"/>
      <c r="G314" s="260"/>
      <c r="K314" s="260"/>
      <c r="O314" s="260"/>
      <c r="S314" s="260"/>
      <c r="W314" s="260"/>
      <c r="AA314" s="260"/>
      <c r="AE314" s="260"/>
      <c r="AI314" s="260"/>
      <c r="AM314" s="260"/>
      <c r="AQ314" s="260"/>
      <c r="AU314" s="260"/>
      <c r="AY314" s="260"/>
      <c r="BC314" s="260"/>
      <c r="BG314" s="259"/>
      <c r="BI314" s="233"/>
      <c r="BJ314" s="233"/>
      <c r="BK314" s="233"/>
      <c r="BL314" s="233"/>
      <c r="BM314" s="233"/>
      <c r="BN314" s="233"/>
      <c r="BO314" s="233"/>
    </row>
    <row r="315" spans="1:67">
      <c r="A315" s="1287"/>
      <c r="B315" s="1293"/>
      <c r="C315" s="260"/>
      <c r="G315" s="260"/>
      <c r="K315" s="260"/>
      <c r="O315" s="260"/>
      <c r="S315" s="260"/>
      <c r="W315" s="260"/>
      <c r="AA315" s="260"/>
      <c r="AE315" s="260"/>
      <c r="AI315" s="260"/>
      <c r="AM315" s="260"/>
      <c r="AQ315" s="260"/>
      <c r="AU315" s="260"/>
      <c r="AY315" s="260"/>
      <c r="BC315" s="260"/>
      <c r="BG315" s="259"/>
      <c r="BI315" s="233"/>
      <c r="BJ315" s="233"/>
      <c r="BK315" s="233"/>
      <c r="BL315" s="233"/>
      <c r="BM315" s="233"/>
      <c r="BN315" s="233"/>
      <c r="BO315" s="233"/>
    </row>
    <row r="316" spans="1:67">
      <c r="A316" s="1287"/>
      <c r="B316" s="1293"/>
      <c r="C316" s="260"/>
      <c r="G316" s="260"/>
      <c r="K316" s="260"/>
      <c r="O316" s="260"/>
      <c r="S316" s="260"/>
      <c r="W316" s="260"/>
      <c r="AA316" s="260"/>
      <c r="AE316" s="260"/>
      <c r="AI316" s="260"/>
      <c r="AM316" s="260"/>
      <c r="AQ316" s="260"/>
      <c r="AU316" s="260"/>
      <c r="AY316" s="260"/>
      <c r="BC316" s="260"/>
      <c r="BG316" s="259"/>
      <c r="BI316" s="233"/>
      <c r="BJ316" s="233"/>
      <c r="BK316" s="233"/>
      <c r="BL316" s="233"/>
      <c r="BM316" s="233"/>
      <c r="BN316" s="233"/>
      <c r="BO316" s="233"/>
    </row>
    <row r="317" spans="1:67">
      <c r="A317" s="1287"/>
      <c r="B317" s="1293"/>
      <c r="C317" s="260"/>
      <c r="G317" s="260"/>
      <c r="K317" s="260"/>
      <c r="O317" s="260"/>
      <c r="S317" s="260"/>
      <c r="W317" s="260"/>
      <c r="AA317" s="260"/>
      <c r="AE317" s="260"/>
      <c r="AI317" s="260"/>
      <c r="AM317" s="260"/>
      <c r="AQ317" s="260"/>
      <c r="AU317" s="260"/>
      <c r="AY317" s="260"/>
      <c r="BC317" s="260"/>
      <c r="BG317" s="259"/>
      <c r="BI317" s="233"/>
      <c r="BJ317" s="233"/>
      <c r="BK317" s="233"/>
      <c r="BL317" s="233"/>
      <c r="BM317" s="233"/>
      <c r="BN317" s="233"/>
      <c r="BO317" s="233"/>
    </row>
    <row r="318" spans="1:67">
      <c r="A318" s="1287"/>
      <c r="B318" s="1293"/>
      <c r="C318" s="260"/>
      <c r="G318" s="260"/>
      <c r="K318" s="260"/>
      <c r="O318" s="260"/>
      <c r="S318" s="260"/>
      <c r="W318" s="260"/>
      <c r="AA318" s="260"/>
      <c r="AE318" s="260"/>
      <c r="AI318" s="260"/>
      <c r="AM318" s="260"/>
      <c r="AQ318" s="260"/>
      <c r="AU318" s="260"/>
      <c r="AY318" s="260"/>
      <c r="BC318" s="260"/>
      <c r="BG318" s="259"/>
      <c r="BI318" s="233"/>
      <c r="BJ318" s="233"/>
      <c r="BK318" s="233"/>
      <c r="BL318" s="233"/>
      <c r="BM318" s="233"/>
      <c r="BN318" s="233"/>
      <c r="BO318" s="233"/>
    </row>
    <row r="319" spans="1:67">
      <c r="A319" s="1287"/>
      <c r="B319" s="1293"/>
      <c r="C319" s="260"/>
      <c r="G319" s="260"/>
      <c r="K319" s="260"/>
      <c r="O319" s="260"/>
      <c r="S319" s="260"/>
      <c r="W319" s="260"/>
      <c r="AA319" s="260"/>
      <c r="AE319" s="260"/>
      <c r="AI319" s="260"/>
      <c r="AM319" s="260"/>
      <c r="AQ319" s="260"/>
      <c r="AU319" s="260"/>
      <c r="AY319" s="260"/>
      <c r="BC319" s="260"/>
      <c r="BG319" s="259"/>
      <c r="BI319" s="233"/>
      <c r="BJ319" s="233"/>
      <c r="BK319" s="233"/>
      <c r="BL319" s="233"/>
      <c r="BM319" s="233"/>
      <c r="BN319" s="233"/>
      <c r="BO319" s="233"/>
    </row>
    <row r="320" spans="1:67">
      <c r="A320" s="1287"/>
      <c r="B320" s="1293"/>
      <c r="C320" s="260"/>
      <c r="G320" s="260"/>
      <c r="K320" s="260"/>
      <c r="O320" s="260"/>
      <c r="S320" s="260"/>
      <c r="W320" s="260"/>
      <c r="AA320" s="260"/>
      <c r="AE320" s="260"/>
      <c r="AI320" s="260"/>
      <c r="AM320" s="260"/>
      <c r="AQ320" s="260"/>
      <c r="AU320" s="260"/>
      <c r="AY320" s="260"/>
      <c r="BC320" s="260"/>
      <c r="BG320" s="259"/>
      <c r="BI320" s="233"/>
      <c r="BJ320" s="233"/>
      <c r="BK320" s="233"/>
      <c r="BL320" s="233"/>
      <c r="BM320" s="233"/>
      <c r="BN320" s="233"/>
      <c r="BO320" s="233"/>
    </row>
    <row r="321" spans="1:67">
      <c r="A321" s="1287"/>
      <c r="B321" s="1293"/>
      <c r="C321" s="260"/>
      <c r="G321" s="260"/>
      <c r="K321" s="260"/>
      <c r="O321" s="260"/>
      <c r="S321" s="260"/>
      <c r="W321" s="260"/>
      <c r="AA321" s="260"/>
      <c r="AE321" s="260"/>
      <c r="AI321" s="260"/>
      <c r="AM321" s="260"/>
      <c r="AQ321" s="260"/>
      <c r="AU321" s="260"/>
      <c r="AY321" s="260"/>
      <c r="BC321" s="260"/>
      <c r="BG321" s="259"/>
      <c r="BI321" s="233"/>
      <c r="BJ321" s="233"/>
      <c r="BK321" s="233"/>
      <c r="BL321" s="233"/>
      <c r="BM321" s="233"/>
      <c r="BN321" s="233"/>
      <c r="BO321" s="233"/>
    </row>
    <row r="322" spans="1:67">
      <c r="A322" s="1287"/>
      <c r="B322" s="1293"/>
      <c r="C322" s="260"/>
      <c r="G322" s="260"/>
      <c r="K322" s="260"/>
      <c r="O322" s="260"/>
      <c r="S322" s="260"/>
      <c r="W322" s="260"/>
      <c r="AA322" s="260"/>
      <c r="AE322" s="260"/>
      <c r="AI322" s="260"/>
      <c r="AM322" s="260"/>
      <c r="AQ322" s="260"/>
      <c r="AU322" s="260"/>
      <c r="AY322" s="260"/>
      <c r="BC322" s="260"/>
      <c r="BG322" s="259"/>
      <c r="BI322" s="233"/>
      <c r="BJ322" s="233"/>
      <c r="BK322" s="233"/>
      <c r="BL322" s="233"/>
      <c r="BM322" s="233"/>
      <c r="BN322" s="233"/>
      <c r="BO322" s="233"/>
    </row>
    <row r="323" spans="1:67">
      <c r="A323" s="1287"/>
      <c r="B323" s="1293"/>
      <c r="C323" s="260"/>
      <c r="G323" s="260"/>
      <c r="K323" s="260"/>
      <c r="O323" s="260"/>
      <c r="S323" s="260"/>
      <c r="W323" s="260"/>
      <c r="AA323" s="260"/>
      <c r="AE323" s="260"/>
      <c r="AI323" s="260"/>
      <c r="AM323" s="260"/>
      <c r="AQ323" s="260"/>
      <c r="AU323" s="260"/>
      <c r="AY323" s="260"/>
      <c r="BC323" s="260"/>
      <c r="BG323" s="259"/>
      <c r="BI323" s="233"/>
      <c r="BJ323" s="233"/>
      <c r="BK323" s="233"/>
      <c r="BL323" s="233"/>
      <c r="BM323" s="233"/>
      <c r="BN323" s="233"/>
      <c r="BO323" s="233"/>
    </row>
    <row r="324" spans="1:67">
      <c r="A324" s="1287"/>
      <c r="B324" s="1293"/>
      <c r="C324" s="260"/>
      <c r="G324" s="260"/>
      <c r="K324" s="260"/>
      <c r="O324" s="260"/>
      <c r="S324" s="260"/>
      <c r="W324" s="260"/>
      <c r="AA324" s="260"/>
      <c r="AE324" s="260"/>
      <c r="AI324" s="260"/>
      <c r="AM324" s="260"/>
      <c r="AQ324" s="260"/>
      <c r="AU324" s="260"/>
      <c r="AY324" s="260"/>
      <c r="BC324" s="260"/>
      <c r="BG324" s="259"/>
      <c r="BI324" s="233"/>
      <c r="BJ324" s="233"/>
      <c r="BK324" s="233"/>
      <c r="BL324" s="233"/>
      <c r="BM324" s="233"/>
      <c r="BN324" s="233"/>
      <c r="BO324" s="233"/>
    </row>
    <row r="325" spans="1:67">
      <c r="A325" s="1287"/>
      <c r="B325" s="1293"/>
      <c r="C325" s="260"/>
      <c r="G325" s="260"/>
      <c r="K325" s="260"/>
      <c r="O325" s="260"/>
      <c r="S325" s="260"/>
      <c r="W325" s="260"/>
      <c r="AA325" s="260"/>
      <c r="AE325" s="260"/>
      <c r="AI325" s="260"/>
      <c r="AM325" s="260"/>
      <c r="AQ325" s="260"/>
      <c r="AU325" s="260"/>
      <c r="AY325" s="260"/>
      <c r="BC325" s="260"/>
      <c r="BG325" s="259"/>
      <c r="BI325" s="233"/>
      <c r="BJ325" s="233"/>
      <c r="BK325" s="233"/>
      <c r="BL325" s="233"/>
      <c r="BM325" s="233"/>
      <c r="BN325" s="233"/>
      <c r="BO325" s="233"/>
    </row>
    <row r="326" spans="1:67">
      <c r="A326" s="1287"/>
      <c r="B326" s="1293"/>
      <c r="C326" s="260"/>
      <c r="G326" s="260"/>
      <c r="K326" s="260"/>
      <c r="O326" s="260"/>
      <c r="S326" s="260"/>
      <c r="W326" s="260"/>
      <c r="AA326" s="260"/>
      <c r="AE326" s="260"/>
      <c r="AI326" s="260"/>
      <c r="AM326" s="260"/>
      <c r="AQ326" s="260"/>
      <c r="AU326" s="260"/>
      <c r="AY326" s="260"/>
      <c r="BC326" s="260"/>
      <c r="BG326" s="259"/>
      <c r="BI326" s="233"/>
      <c r="BJ326" s="233"/>
      <c r="BK326" s="233"/>
      <c r="BL326" s="233"/>
      <c r="BM326" s="233"/>
      <c r="BN326" s="233"/>
      <c r="BO326" s="233"/>
    </row>
    <row r="327" spans="1:67">
      <c r="A327" s="1287"/>
      <c r="B327" s="1293"/>
      <c r="C327" s="260"/>
      <c r="G327" s="260"/>
      <c r="K327" s="260"/>
      <c r="O327" s="260"/>
      <c r="S327" s="260"/>
      <c r="W327" s="260"/>
      <c r="AA327" s="260"/>
      <c r="AE327" s="260"/>
      <c r="AI327" s="260"/>
      <c r="AM327" s="260"/>
      <c r="AQ327" s="260"/>
      <c r="AU327" s="260"/>
      <c r="AY327" s="260"/>
      <c r="BC327" s="260"/>
      <c r="BG327" s="259"/>
      <c r="BI327" s="233"/>
      <c r="BJ327" s="233"/>
      <c r="BK327" s="233"/>
      <c r="BL327" s="233"/>
      <c r="BM327" s="233"/>
      <c r="BN327" s="233"/>
      <c r="BO327" s="233"/>
    </row>
    <row r="328" spans="1:67">
      <c r="A328" s="1287"/>
      <c r="B328" s="1293"/>
      <c r="C328" s="260"/>
      <c r="G328" s="260"/>
      <c r="K328" s="260"/>
      <c r="O328" s="260"/>
      <c r="S328" s="260"/>
      <c r="W328" s="260"/>
      <c r="AA328" s="260"/>
      <c r="AE328" s="260"/>
      <c r="AI328" s="260"/>
      <c r="AM328" s="260"/>
      <c r="AQ328" s="260"/>
      <c r="AU328" s="260"/>
      <c r="AY328" s="260"/>
      <c r="BC328" s="260"/>
      <c r="BG328" s="259"/>
      <c r="BI328" s="233"/>
      <c r="BJ328" s="233"/>
      <c r="BK328" s="233"/>
      <c r="BL328" s="233"/>
      <c r="BM328" s="233"/>
      <c r="BN328" s="233"/>
      <c r="BO328" s="233"/>
    </row>
    <row r="329" spans="1:67">
      <c r="A329" s="1287"/>
      <c r="B329" s="1293"/>
      <c r="C329" s="260"/>
      <c r="G329" s="260"/>
      <c r="K329" s="260"/>
      <c r="O329" s="260"/>
      <c r="S329" s="260"/>
      <c r="W329" s="260"/>
      <c r="AA329" s="260"/>
      <c r="AE329" s="260"/>
      <c r="AI329" s="260"/>
      <c r="AM329" s="260"/>
      <c r="AQ329" s="260"/>
      <c r="AU329" s="260"/>
      <c r="AY329" s="260"/>
      <c r="BC329" s="260"/>
      <c r="BG329" s="259"/>
      <c r="BI329" s="233"/>
      <c r="BJ329" s="233"/>
      <c r="BK329" s="233"/>
      <c r="BL329" s="233"/>
      <c r="BM329" s="233"/>
      <c r="BN329" s="233"/>
      <c r="BO329" s="233"/>
    </row>
    <row r="330" spans="1:67">
      <c r="A330" s="1287"/>
      <c r="B330" s="1293"/>
      <c r="C330" s="260"/>
      <c r="G330" s="260"/>
      <c r="K330" s="260"/>
      <c r="O330" s="260"/>
      <c r="S330" s="260"/>
      <c r="W330" s="260"/>
      <c r="AA330" s="260"/>
      <c r="AE330" s="260"/>
      <c r="AI330" s="260"/>
      <c r="AM330" s="260"/>
      <c r="AQ330" s="260"/>
      <c r="AU330" s="260"/>
      <c r="AY330" s="260"/>
      <c r="BC330" s="260"/>
      <c r="BG330" s="259"/>
      <c r="BI330" s="233"/>
      <c r="BJ330" s="233"/>
      <c r="BK330" s="233"/>
      <c r="BL330" s="233"/>
      <c r="BM330" s="233"/>
      <c r="BN330" s="233"/>
      <c r="BO330" s="233"/>
    </row>
    <row r="331" spans="1:67">
      <c r="A331" s="1287"/>
      <c r="B331" s="1293"/>
      <c r="C331" s="260"/>
      <c r="G331" s="260"/>
      <c r="K331" s="260"/>
      <c r="O331" s="260"/>
      <c r="S331" s="260"/>
      <c r="W331" s="260"/>
      <c r="AA331" s="260"/>
      <c r="AE331" s="260"/>
      <c r="AI331" s="260"/>
      <c r="AM331" s="260"/>
      <c r="AQ331" s="260"/>
      <c r="AU331" s="260"/>
      <c r="AY331" s="260"/>
      <c r="BC331" s="260"/>
      <c r="BG331" s="259"/>
      <c r="BI331" s="233"/>
      <c r="BJ331" s="233"/>
      <c r="BK331" s="233"/>
      <c r="BL331" s="233"/>
      <c r="BM331" s="233"/>
      <c r="BN331" s="233"/>
      <c r="BO331" s="233"/>
    </row>
    <row r="332" spans="1:67">
      <c r="A332" s="1287"/>
      <c r="B332" s="1293"/>
      <c r="C332" s="260"/>
      <c r="G332" s="260"/>
      <c r="K332" s="260"/>
      <c r="O332" s="260"/>
      <c r="S332" s="260"/>
      <c r="W332" s="260"/>
      <c r="AA332" s="260"/>
      <c r="AE332" s="260"/>
      <c r="AI332" s="260"/>
      <c r="AM332" s="260"/>
      <c r="AQ332" s="260"/>
      <c r="AU332" s="260"/>
      <c r="AY332" s="260"/>
      <c r="BC332" s="260"/>
      <c r="BG332" s="259"/>
      <c r="BI332" s="233"/>
      <c r="BJ332" s="233"/>
      <c r="BK332" s="233"/>
      <c r="BL332" s="233"/>
      <c r="BM332" s="233"/>
      <c r="BN332" s="233"/>
      <c r="BO332" s="233"/>
    </row>
    <row r="333" spans="1:67">
      <c r="A333" s="1287"/>
      <c r="B333" s="1293"/>
      <c r="C333" s="260"/>
      <c r="G333" s="260"/>
      <c r="K333" s="260"/>
      <c r="O333" s="260"/>
      <c r="S333" s="260"/>
      <c r="W333" s="260"/>
      <c r="AA333" s="260"/>
      <c r="AE333" s="260"/>
      <c r="AI333" s="260"/>
      <c r="AM333" s="260"/>
      <c r="AQ333" s="260"/>
      <c r="AU333" s="260"/>
      <c r="AY333" s="260"/>
      <c r="BC333" s="260"/>
      <c r="BG333" s="259"/>
      <c r="BI333" s="233"/>
      <c r="BJ333" s="233"/>
      <c r="BK333" s="233"/>
      <c r="BL333" s="233"/>
      <c r="BM333" s="233"/>
      <c r="BN333" s="233"/>
      <c r="BO333" s="233"/>
    </row>
    <row r="334" spans="1:67">
      <c r="A334" s="1287"/>
      <c r="B334" s="1293"/>
      <c r="C334" s="260"/>
      <c r="G334" s="260"/>
      <c r="K334" s="260"/>
      <c r="O334" s="260"/>
      <c r="S334" s="260"/>
      <c r="W334" s="260"/>
      <c r="AA334" s="260"/>
      <c r="AE334" s="260"/>
      <c r="AI334" s="260"/>
      <c r="AM334" s="260"/>
      <c r="AQ334" s="260"/>
      <c r="AU334" s="260"/>
      <c r="AY334" s="260"/>
      <c r="BC334" s="260"/>
      <c r="BG334" s="259"/>
      <c r="BI334" s="233"/>
      <c r="BJ334" s="233"/>
      <c r="BK334" s="233"/>
      <c r="BL334" s="233"/>
      <c r="BM334" s="233"/>
      <c r="BN334" s="233"/>
      <c r="BO334" s="233"/>
    </row>
    <row r="335" spans="1:67">
      <c r="A335" s="1287"/>
      <c r="B335" s="1293"/>
      <c r="C335" s="260"/>
      <c r="G335" s="260"/>
      <c r="K335" s="260"/>
      <c r="O335" s="260"/>
      <c r="S335" s="260"/>
      <c r="W335" s="260"/>
      <c r="AA335" s="260"/>
      <c r="AE335" s="260"/>
      <c r="AI335" s="260"/>
      <c r="AM335" s="260"/>
      <c r="AQ335" s="260"/>
      <c r="AU335" s="260"/>
      <c r="AY335" s="260"/>
      <c r="BC335" s="260"/>
      <c r="BG335" s="259"/>
      <c r="BI335" s="233"/>
      <c r="BJ335" s="233"/>
      <c r="BK335" s="233"/>
      <c r="BL335" s="233"/>
      <c r="BM335" s="233"/>
      <c r="BN335" s="233"/>
      <c r="BO335" s="233"/>
    </row>
    <row r="336" spans="1:67">
      <c r="A336" s="1287"/>
      <c r="B336" s="1293"/>
      <c r="C336" s="260"/>
      <c r="G336" s="260"/>
      <c r="K336" s="260"/>
      <c r="O336" s="260"/>
      <c r="S336" s="260"/>
      <c r="W336" s="260"/>
      <c r="AA336" s="260"/>
      <c r="AE336" s="260"/>
      <c r="AI336" s="260"/>
      <c r="AM336" s="260"/>
      <c r="AQ336" s="260"/>
      <c r="AU336" s="260"/>
      <c r="AY336" s="260"/>
      <c r="BC336" s="260"/>
      <c r="BG336" s="259"/>
      <c r="BI336" s="233"/>
      <c r="BJ336" s="233"/>
      <c r="BK336" s="233"/>
      <c r="BL336" s="233"/>
      <c r="BM336" s="233"/>
      <c r="BN336" s="233"/>
      <c r="BO336" s="233"/>
    </row>
    <row r="337" spans="1:67">
      <c r="A337" s="1287"/>
      <c r="B337" s="1293"/>
      <c r="C337" s="260"/>
      <c r="G337" s="260"/>
      <c r="K337" s="260"/>
      <c r="O337" s="260"/>
      <c r="S337" s="260"/>
      <c r="W337" s="260"/>
      <c r="AA337" s="260"/>
      <c r="AE337" s="260"/>
      <c r="AI337" s="260"/>
      <c r="AM337" s="260"/>
      <c r="AQ337" s="260"/>
      <c r="AU337" s="260"/>
      <c r="AY337" s="260"/>
      <c r="BC337" s="260"/>
      <c r="BG337" s="259"/>
      <c r="BI337" s="233"/>
      <c r="BJ337" s="233"/>
      <c r="BK337" s="233"/>
      <c r="BL337" s="233"/>
      <c r="BM337" s="233"/>
      <c r="BN337" s="233"/>
      <c r="BO337" s="233"/>
    </row>
    <row r="338" spans="1:67">
      <c r="A338" s="1287"/>
      <c r="B338" s="1293"/>
      <c r="C338" s="260"/>
      <c r="G338" s="260"/>
      <c r="K338" s="260"/>
      <c r="O338" s="260"/>
      <c r="S338" s="260"/>
      <c r="W338" s="260"/>
      <c r="AA338" s="260"/>
      <c r="AE338" s="260"/>
      <c r="AI338" s="260"/>
      <c r="AM338" s="260"/>
      <c r="AQ338" s="260"/>
      <c r="AU338" s="260"/>
      <c r="AY338" s="260"/>
      <c r="BC338" s="260"/>
      <c r="BG338" s="259"/>
      <c r="BI338" s="233"/>
      <c r="BJ338" s="233"/>
      <c r="BK338" s="233"/>
      <c r="BL338" s="233"/>
      <c r="BM338" s="233"/>
      <c r="BN338" s="233"/>
      <c r="BO338" s="233"/>
    </row>
    <row r="339" spans="1:67">
      <c r="A339" s="1287"/>
      <c r="B339" s="1293"/>
      <c r="C339" s="260"/>
      <c r="G339" s="260"/>
      <c r="K339" s="260"/>
      <c r="O339" s="260"/>
      <c r="S339" s="260"/>
      <c r="W339" s="260"/>
      <c r="AA339" s="260"/>
      <c r="AE339" s="260"/>
      <c r="AI339" s="260"/>
      <c r="AM339" s="260"/>
      <c r="AQ339" s="260"/>
      <c r="AU339" s="260"/>
      <c r="AY339" s="260"/>
      <c r="BC339" s="260"/>
      <c r="BG339" s="259"/>
      <c r="BI339" s="233"/>
      <c r="BJ339" s="233"/>
      <c r="BK339" s="233"/>
      <c r="BL339" s="233"/>
      <c r="BM339" s="233"/>
      <c r="BN339" s="233"/>
      <c r="BO339" s="233"/>
    </row>
    <row r="340" spans="1:67">
      <c r="A340" s="1287"/>
      <c r="B340" s="1293"/>
      <c r="C340" s="260"/>
      <c r="G340" s="260"/>
      <c r="K340" s="260"/>
      <c r="O340" s="260"/>
      <c r="S340" s="260"/>
      <c r="W340" s="260"/>
      <c r="AA340" s="260"/>
      <c r="AE340" s="260"/>
      <c r="AI340" s="260"/>
      <c r="AM340" s="260"/>
      <c r="AQ340" s="260"/>
      <c r="AU340" s="260"/>
      <c r="AY340" s="260"/>
      <c r="BC340" s="260"/>
      <c r="BG340" s="259"/>
      <c r="BI340" s="233"/>
      <c r="BJ340" s="233"/>
      <c r="BK340" s="233"/>
      <c r="BL340" s="233"/>
      <c r="BM340" s="233"/>
      <c r="BN340" s="233"/>
      <c r="BO340" s="233"/>
    </row>
    <row r="341" spans="1:67">
      <c r="A341" s="1287"/>
      <c r="B341" s="1293"/>
      <c r="C341" s="260"/>
      <c r="G341" s="260"/>
      <c r="K341" s="260"/>
      <c r="O341" s="260"/>
      <c r="S341" s="260"/>
      <c r="W341" s="260"/>
      <c r="AA341" s="260"/>
      <c r="AE341" s="260"/>
      <c r="AI341" s="260"/>
      <c r="AM341" s="260"/>
      <c r="AQ341" s="260"/>
      <c r="AU341" s="260"/>
      <c r="AY341" s="260"/>
      <c r="BC341" s="260"/>
      <c r="BG341" s="259"/>
      <c r="BI341" s="233"/>
      <c r="BJ341" s="233"/>
      <c r="BK341" s="233"/>
      <c r="BL341" s="233"/>
      <c r="BM341" s="233"/>
      <c r="BN341" s="233"/>
      <c r="BO341" s="233"/>
    </row>
    <row r="342" spans="1:67">
      <c r="A342" s="1287"/>
      <c r="B342" s="1293"/>
      <c r="C342" s="260"/>
      <c r="G342" s="260"/>
      <c r="K342" s="260"/>
      <c r="O342" s="260"/>
      <c r="S342" s="260"/>
      <c r="W342" s="260"/>
      <c r="AA342" s="260"/>
      <c r="AE342" s="260"/>
      <c r="AI342" s="260"/>
      <c r="AM342" s="260"/>
      <c r="AQ342" s="260"/>
      <c r="AU342" s="260"/>
      <c r="AY342" s="260"/>
      <c r="BC342" s="260"/>
      <c r="BG342" s="259"/>
      <c r="BI342" s="233"/>
      <c r="BJ342" s="233"/>
      <c r="BK342" s="233"/>
      <c r="BL342" s="233"/>
      <c r="BM342" s="233"/>
      <c r="BN342" s="233"/>
      <c r="BO342" s="233"/>
    </row>
    <row r="343" spans="1:67">
      <c r="A343" s="1287"/>
      <c r="B343" s="1293"/>
      <c r="C343" s="260"/>
      <c r="G343" s="260"/>
      <c r="K343" s="260"/>
      <c r="O343" s="260"/>
      <c r="S343" s="260"/>
      <c r="W343" s="260"/>
      <c r="AA343" s="260"/>
      <c r="AE343" s="260"/>
      <c r="AI343" s="260"/>
      <c r="AM343" s="260"/>
      <c r="AQ343" s="260"/>
      <c r="AU343" s="260"/>
      <c r="AY343" s="260"/>
      <c r="BC343" s="260"/>
      <c r="BG343" s="259"/>
      <c r="BI343" s="233"/>
      <c r="BJ343" s="233"/>
      <c r="BK343" s="233"/>
      <c r="BL343" s="233"/>
      <c r="BM343" s="233"/>
      <c r="BN343" s="233"/>
      <c r="BO343" s="233"/>
    </row>
    <row r="344" spans="1:67">
      <c r="A344" s="1287"/>
      <c r="B344" s="1293"/>
      <c r="C344" s="260"/>
      <c r="G344" s="260"/>
      <c r="K344" s="260"/>
      <c r="O344" s="260"/>
      <c r="S344" s="260"/>
      <c r="W344" s="260"/>
      <c r="AA344" s="260"/>
      <c r="AE344" s="260"/>
      <c r="AI344" s="260"/>
      <c r="AM344" s="260"/>
      <c r="AQ344" s="260"/>
      <c r="AU344" s="260"/>
      <c r="AY344" s="260"/>
      <c r="BC344" s="260"/>
      <c r="BG344" s="259"/>
      <c r="BI344" s="233"/>
      <c r="BJ344" s="233"/>
      <c r="BK344" s="233"/>
      <c r="BL344" s="233"/>
      <c r="BM344" s="233"/>
      <c r="BN344" s="233"/>
      <c r="BO344" s="233"/>
    </row>
    <row r="345" spans="1:67">
      <c r="A345" s="1287"/>
      <c r="B345" s="1293"/>
      <c r="C345" s="260"/>
      <c r="G345" s="260"/>
      <c r="K345" s="260"/>
      <c r="O345" s="260"/>
      <c r="S345" s="260"/>
      <c r="W345" s="260"/>
      <c r="AA345" s="260"/>
      <c r="AE345" s="260"/>
      <c r="AI345" s="260"/>
      <c r="AM345" s="260"/>
      <c r="AQ345" s="260"/>
      <c r="AU345" s="260"/>
      <c r="AY345" s="260"/>
      <c r="BC345" s="260"/>
      <c r="BG345" s="259"/>
      <c r="BI345" s="233"/>
      <c r="BJ345" s="233"/>
      <c r="BK345" s="233"/>
      <c r="BL345" s="233"/>
      <c r="BM345" s="233"/>
      <c r="BN345" s="233"/>
      <c r="BO345" s="233"/>
    </row>
    <row r="346" spans="1:67">
      <c r="A346" s="1287"/>
      <c r="B346" s="1293"/>
      <c r="C346" s="260"/>
      <c r="G346" s="260"/>
      <c r="K346" s="260"/>
      <c r="O346" s="260"/>
      <c r="S346" s="260"/>
      <c r="W346" s="260"/>
      <c r="AA346" s="260"/>
      <c r="AE346" s="260"/>
      <c r="AI346" s="260"/>
      <c r="AM346" s="260"/>
      <c r="AQ346" s="260"/>
      <c r="AU346" s="260"/>
      <c r="AY346" s="260"/>
      <c r="BC346" s="260"/>
      <c r="BG346" s="259"/>
      <c r="BI346" s="233"/>
      <c r="BJ346" s="233"/>
      <c r="BK346" s="233"/>
      <c r="BL346" s="233"/>
      <c r="BM346" s="233"/>
      <c r="BN346" s="233"/>
      <c r="BO346" s="233"/>
    </row>
    <row r="347" spans="1:67">
      <c r="A347" s="1287"/>
      <c r="B347" s="1293"/>
      <c r="C347" s="260"/>
      <c r="G347" s="260"/>
      <c r="K347" s="260"/>
      <c r="O347" s="260"/>
      <c r="S347" s="260"/>
      <c r="W347" s="260"/>
      <c r="AA347" s="260"/>
      <c r="AE347" s="260"/>
      <c r="AI347" s="260"/>
      <c r="AM347" s="260"/>
      <c r="AQ347" s="260"/>
      <c r="AU347" s="260"/>
      <c r="AY347" s="260"/>
      <c r="BC347" s="260"/>
      <c r="BG347" s="259"/>
      <c r="BI347" s="233"/>
      <c r="BJ347" s="233"/>
      <c r="BK347" s="233"/>
      <c r="BL347" s="233"/>
      <c r="BM347" s="233"/>
      <c r="BN347" s="233"/>
      <c r="BO347" s="233"/>
    </row>
    <row r="348" spans="1:67">
      <c r="A348" s="1287"/>
      <c r="B348" s="1293"/>
      <c r="C348" s="260"/>
      <c r="G348" s="260"/>
      <c r="K348" s="260"/>
      <c r="O348" s="260"/>
      <c r="S348" s="260"/>
      <c r="W348" s="260"/>
      <c r="AA348" s="260"/>
      <c r="AE348" s="260"/>
      <c r="AI348" s="260"/>
      <c r="AM348" s="260"/>
      <c r="AQ348" s="260"/>
      <c r="AU348" s="260"/>
      <c r="AY348" s="260"/>
      <c r="BC348" s="260"/>
      <c r="BG348" s="259"/>
      <c r="BI348" s="233"/>
      <c r="BJ348" s="233"/>
      <c r="BK348" s="233"/>
      <c r="BL348" s="233"/>
      <c r="BM348" s="233"/>
      <c r="BN348" s="233"/>
      <c r="BO348" s="233"/>
    </row>
    <row r="349" spans="1:67">
      <c r="A349" s="1287"/>
      <c r="B349" s="1293"/>
      <c r="C349" s="260"/>
      <c r="G349" s="260"/>
      <c r="K349" s="260"/>
      <c r="O349" s="260"/>
      <c r="S349" s="260"/>
      <c r="W349" s="260"/>
      <c r="AA349" s="260"/>
      <c r="AE349" s="260"/>
      <c r="AI349" s="260"/>
      <c r="AM349" s="260"/>
      <c r="AQ349" s="260"/>
      <c r="AU349" s="260"/>
      <c r="AY349" s="260"/>
      <c r="BC349" s="260"/>
      <c r="BG349" s="259"/>
      <c r="BI349" s="233"/>
      <c r="BJ349" s="233"/>
      <c r="BK349" s="233"/>
      <c r="BL349" s="233"/>
      <c r="BM349" s="233"/>
      <c r="BN349" s="233"/>
      <c r="BO349" s="233"/>
    </row>
    <row r="350" spans="1:67">
      <c r="A350" s="1287"/>
      <c r="B350" s="1293"/>
      <c r="C350" s="260"/>
      <c r="G350" s="260"/>
      <c r="K350" s="260"/>
      <c r="O350" s="260"/>
      <c r="S350" s="260"/>
      <c r="W350" s="260"/>
      <c r="AA350" s="260"/>
      <c r="AE350" s="260"/>
      <c r="AI350" s="260"/>
      <c r="AM350" s="260"/>
      <c r="AQ350" s="260"/>
      <c r="AU350" s="260"/>
      <c r="AY350" s="260"/>
      <c r="BC350" s="260"/>
      <c r="BG350" s="259"/>
      <c r="BI350" s="233"/>
      <c r="BJ350" s="233"/>
      <c r="BK350" s="233"/>
      <c r="BL350" s="233"/>
      <c r="BM350" s="233"/>
      <c r="BN350" s="233"/>
      <c r="BO350" s="233"/>
    </row>
    <row r="351" spans="1:67">
      <c r="A351" s="1287"/>
      <c r="B351" s="1293"/>
      <c r="C351" s="260"/>
      <c r="G351" s="260"/>
      <c r="K351" s="260"/>
      <c r="O351" s="260"/>
      <c r="S351" s="260"/>
      <c r="W351" s="260"/>
      <c r="AA351" s="260"/>
      <c r="AE351" s="260"/>
      <c r="AI351" s="260"/>
      <c r="AM351" s="260"/>
      <c r="AQ351" s="260"/>
      <c r="AU351" s="260"/>
      <c r="AY351" s="260"/>
      <c r="BC351" s="260"/>
      <c r="BG351" s="259"/>
      <c r="BI351" s="233"/>
      <c r="BJ351" s="233"/>
      <c r="BK351" s="233"/>
      <c r="BL351" s="233"/>
      <c r="BM351" s="233"/>
      <c r="BN351" s="233"/>
      <c r="BO351" s="233"/>
    </row>
    <row r="352" spans="1:67">
      <c r="A352" s="1287"/>
      <c r="B352" s="1293"/>
      <c r="C352" s="260"/>
      <c r="G352" s="260"/>
      <c r="K352" s="260"/>
      <c r="O352" s="260"/>
      <c r="S352" s="260"/>
      <c r="W352" s="260"/>
      <c r="AA352" s="260"/>
      <c r="AE352" s="260"/>
      <c r="AI352" s="260"/>
      <c r="AM352" s="260"/>
      <c r="AQ352" s="260"/>
      <c r="AU352" s="260"/>
      <c r="AY352" s="260"/>
      <c r="BC352" s="260"/>
      <c r="BG352" s="259"/>
      <c r="BI352" s="233"/>
      <c r="BJ352" s="233"/>
      <c r="BK352" s="233"/>
      <c r="BL352" s="233"/>
      <c r="BM352" s="233"/>
      <c r="BN352" s="233"/>
      <c r="BO352" s="233"/>
    </row>
    <row r="353" spans="1:67">
      <c r="A353" s="1287"/>
      <c r="B353" s="1293"/>
      <c r="C353" s="260"/>
      <c r="G353" s="260"/>
      <c r="K353" s="260"/>
      <c r="O353" s="260"/>
      <c r="S353" s="260"/>
      <c r="W353" s="260"/>
      <c r="AA353" s="260"/>
      <c r="AE353" s="260"/>
      <c r="AI353" s="260"/>
      <c r="AM353" s="260"/>
      <c r="AQ353" s="260"/>
      <c r="AU353" s="260"/>
      <c r="AY353" s="260"/>
      <c r="BC353" s="260"/>
      <c r="BG353" s="259"/>
      <c r="BI353" s="233"/>
      <c r="BJ353" s="233"/>
      <c r="BK353" s="233"/>
      <c r="BL353" s="233"/>
      <c r="BM353" s="233"/>
      <c r="BN353" s="233"/>
      <c r="BO353" s="233"/>
    </row>
    <row r="354" spans="1:67">
      <c r="A354" s="1287"/>
      <c r="B354" s="1293"/>
      <c r="C354" s="260"/>
      <c r="G354" s="260"/>
      <c r="K354" s="260"/>
      <c r="O354" s="260"/>
      <c r="S354" s="260"/>
      <c r="W354" s="260"/>
      <c r="AA354" s="260"/>
      <c r="AE354" s="260"/>
      <c r="AI354" s="260"/>
      <c r="AM354" s="260"/>
      <c r="AQ354" s="260"/>
      <c r="AU354" s="260"/>
      <c r="AY354" s="260"/>
      <c r="BC354" s="260"/>
      <c r="BG354" s="259"/>
      <c r="BI354" s="233"/>
      <c r="BJ354" s="233"/>
      <c r="BK354" s="233"/>
      <c r="BL354" s="233"/>
      <c r="BM354" s="233"/>
      <c r="BN354" s="233"/>
      <c r="BO354" s="233"/>
    </row>
    <row r="355" spans="1:67">
      <c r="A355" s="1287"/>
      <c r="B355" s="1293"/>
      <c r="C355" s="260"/>
      <c r="G355" s="260"/>
      <c r="K355" s="260"/>
      <c r="O355" s="260"/>
      <c r="S355" s="260"/>
      <c r="W355" s="260"/>
      <c r="AA355" s="260"/>
      <c r="AE355" s="260"/>
      <c r="AI355" s="260"/>
      <c r="AM355" s="260"/>
      <c r="AQ355" s="260"/>
      <c r="AU355" s="260"/>
      <c r="AY355" s="260"/>
      <c r="BC355" s="260"/>
      <c r="BG355" s="259"/>
      <c r="BI355" s="233"/>
      <c r="BJ355" s="233"/>
      <c r="BK355" s="233"/>
      <c r="BL355" s="233"/>
      <c r="BM355" s="233"/>
      <c r="BN355" s="233"/>
      <c r="BO355" s="233"/>
    </row>
    <row r="356" spans="1:67">
      <c r="A356" s="1287"/>
      <c r="B356" s="1293"/>
      <c r="C356" s="260"/>
      <c r="G356" s="260"/>
      <c r="K356" s="260"/>
      <c r="O356" s="260"/>
      <c r="S356" s="260"/>
      <c r="W356" s="260"/>
      <c r="AA356" s="260"/>
      <c r="AE356" s="260"/>
      <c r="AI356" s="260"/>
      <c r="AM356" s="260"/>
      <c r="AQ356" s="260"/>
      <c r="AU356" s="260"/>
      <c r="AY356" s="260"/>
      <c r="BC356" s="260"/>
      <c r="BG356" s="259"/>
      <c r="BI356" s="233"/>
      <c r="BJ356" s="233"/>
      <c r="BK356" s="233"/>
      <c r="BL356" s="233"/>
      <c r="BM356" s="233"/>
      <c r="BN356" s="233"/>
      <c r="BO356" s="233"/>
    </row>
    <row r="357" spans="1:67">
      <c r="A357" s="1287"/>
      <c r="B357" s="1293"/>
      <c r="C357" s="260"/>
      <c r="G357" s="260"/>
      <c r="K357" s="260"/>
      <c r="O357" s="260"/>
      <c r="S357" s="260"/>
      <c r="W357" s="260"/>
      <c r="AA357" s="260"/>
      <c r="AE357" s="260"/>
      <c r="AI357" s="260"/>
      <c r="AM357" s="260"/>
      <c r="AQ357" s="260"/>
      <c r="AU357" s="260"/>
      <c r="AY357" s="260"/>
      <c r="BC357" s="260"/>
      <c r="BG357" s="259"/>
      <c r="BI357" s="233"/>
      <c r="BJ357" s="233"/>
      <c r="BK357" s="233"/>
      <c r="BL357" s="233"/>
      <c r="BM357" s="233"/>
      <c r="BN357" s="233"/>
      <c r="BO357" s="233"/>
    </row>
    <row r="358" spans="1:67">
      <c r="A358" s="1287"/>
      <c r="B358" s="1293"/>
      <c r="C358" s="260"/>
      <c r="G358" s="260"/>
      <c r="K358" s="260"/>
      <c r="O358" s="260"/>
      <c r="S358" s="260"/>
      <c r="W358" s="260"/>
      <c r="AA358" s="260"/>
      <c r="AE358" s="260"/>
      <c r="AI358" s="260"/>
      <c r="AM358" s="260"/>
      <c r="AQ358" s="260"/>
      <c r="AU358" s="260"/>
      <c r="AY358" s="260"/>
      <c r="BC358" s="260"/>
      <c r="BG358" s="259"/>
      <c r="BI358" s="233"/>
      <c r="BJ358" s="233"/>
      <c r="BK358" s="233"/>
      <c r="BL358" s="233"/>
      <c r="BM358" s="233"/>
      <c r="BN358" s="233"/>
      <c r="BO358" s="233"/>
    </row>
    <row r="359" spans="1:67">
      <c r="A359" s="1287"/>
      <c r="B359" s="1293"/>
      <c r="C359" s="260"/>
      <c r="G359" s="260"/>
      <c r="K359" s="260"/>
      <c r="O359" s="260"/>
      <c r="S359" s="260"/>
      <c r="W359" s="260"/>
      <c r="AA359" s="260"/>
      <c r="AE359" s="260"/>
      <c r="AI359" s="260"/>
      <c r="AM359" s="260"/>
      <c r="AQ359" s="260"/>
      <c r="AU359" s="260"/>
      <c r="AY359" s="260"/>
      <c r="BC359" s="260"/>
      <c r="BG359" s="259"/>
      <c r="BI359" s="233"/>
      <c r="BJ359" s="233"/>
      <c r="BK359" s="233"/>
      <c r="BL359" s="233"/>
      <c r="BM359" s="233"/>
      <c r="BN359" s="233"/>
      <c r="BO359" s="233"/>
    </row>
    <row r="360" spans="1:67">
      <c r="A360" s="1287"/>
      <c r="B360" s="1293"/>
      <c r="C360" s="260"/>
      <c r="G360" s="260"/>
      <c r="K360" s="260"/>
      <c r="O360" s="260"/>
      <c r="S360" s="260"/>
      <c r="W360" s="260"/>
      <c r="AA360" s="260"/>
      <c r="AE360" s="260"/>
      <c r="AI360" s="260"/>
      <c r="AM360" s="260"/>
      <c r="AQ360" s="260"/>
      <c r="AU360" s="260"/>
      <c r="AY360" s="260"/>
      <c r="BC360" s="260"/>
      <c r="BG360" s="259"/>
      <c r="BI360" s="233"/>
      <c r="BJ360" s="233"/>
      <c r="BK360" s="233"/>
      <c r="BL360" s="233"/>
      <c r="BM360" s="233"/>
      <c r="BN360" s="233"/>
      <c r="BO360" s="233"/>
    </row>
    <row r="361" spans="1:67">
      <c r="A361" s="1287"/>
      <c r="B361" s="1293"/>
      <c r="C361" s="260"/>
      <c r="G361" s="260"/>
      <c r="K361" s="260"/>
      <c r="O361" s="260"/>
      <c r="S361" s="260"/>
      <c r="W361" s="260"/>
      <c r="AA361" s="260"/>
      <c r="AE361" s="260"/>
      <c r="AI361" s="260"/>
      <c r="AM361" s="260"/>
      <c r="AQ361" s="260"/>
      <c r="AU361" s="260"/>
      <c r="AY361" s="260"/>
      <c r="BC361" s="260"/>
      <c r="BG361" s="259"/>
      <c r="BI361" s="233"/>
      <c r="BJ361" s="233"/>
      <c r="BK361" s="233"/>
      <c r="BL361" s="233"/>
      <c r="BM361" s="233"/>
      <c r="BN361" s="233"/>
      <c r="BO361" s="233"/>
    </row>
    <row r="362" spans="1:67">
      <c r="A362" s="1287"/>
      <c r="B362" s="1293"/>
      <c r="C362" s="260"/>
      <c r="G362" s="260"/>
      <c r="K362" s="260"/>
      <c r="O362" s="260"/>
      <c r="S362" s="260"/>
      <c r="W362" s="260"/>
      <c r="AA362" s="260"/>
      <c r="AE362" s="260"/>
      <c r="AI362" s="260"/>
      <c r="AM362" s="260"/>
      <c r="AQ362" s="260"/>
      <c r="AU362" s="260"/>
      <c r="AY362" s="260"/>
      <c r="BC362" s="260"/>
      <c r="BG362" s="259"/>
      <c r="BI362" s="233"/>
      <c r="BJ362" s="233"/>
      <c r="BK362" s="233"/>
      <c r="BL362" s="233"/>
      <c r="BM362" s="233"/>
      <c r="BN362" s="233"/>
      <c r="BO362" s="233"/>
    </row>
    <row r="363" spans="1:67">
      <c r="A363" s="1287"/>
      <c r="B363" s="1293"/>
      <c r="C363" s="260"/>
      <c r="G363" s="260"/>
      <c r="K363" s="260"/>
      <c r="O363" s="260"/>
      <c r="S363" s="260"/>
      <c r="W363" s="260"/>
      <c r="AA363" s="260"/>
      <c r="AE363" s="260"/>
      <c r="AI363" s="260"/>
      <c r="AM363" s="260"/>
      <c r="AQ363" s="260"/>
      <c r="AU363" s="260"/>
      <c r="AY363" s="260"/>
      <c r="BC363" s="260"/>
      <c r="BG363" s="259"/>
      <c r="BI363" s="233"/>
      <c r="BJ363" s="233"/>
      <c r="BK363" s="233"/>
      <c r="BL363" s="233"/>
      <c r="BM363" s="233"/>
      <c r="BN363" s="233"/>
      <c r="BO363" s="233"/>
    </row>
    <row r="364" spans="1:67">
      <c r="A364" s="1287"/>
      <c r="B364" s="1293"/>
      <c r="C364" s="260"/>
      <c r="G364" s="260"/>
      <c r="K364" s="260"/>
      <c r="O364" s="260"/>
      <c r="S364" s="260"/>
      <c r="W364" s="260"/>
      <c r="AA364" s="260"/>
      <c r="AE364" s="260"/>
      <c r="AI364" s="260"/>
      <c r="AM364" s="260"/>
      <c r="AQ364" s="260"/>
      <c r="AU364" s="260"/>
      <c r="AY364" s="260"/>
      <c r="BC364" s="260"/>
      <c r="BG364" s="259"/>
      <c r="BI364" s="233"/>
      <c r="BJ364" s="233"/>
      <c r="BK364" s="233"/>
      <c r="BL364" s="233"/>
      <c r="BM364" s="233"/>
      <c r="BN364" s="233"/>
      <c r="BO364" s="233"/>
    </row>
    <row r="365" spans="1:67">
      <c r="A365" s="1287"/>
      <c r="B365" s="1293"/>
      <c r="C365" s="260"/>
      <c r="G365" s="260"/>
      <c r="K365" s="260"/>
      <c r="O365" s="260"/>
      <c r="S365" s="260"/>
      <c r="W365" s="260"/>
      <c r="AA365" s="260"/>
      <c r="AE365" s="260"/>
      <c r="AI365" s="260"/>
      <c r="AM365" s="260"/>
      <c r="AQ365" s="260"/>
      <c r="AU365" s="260"/>
      <c r="AY365" s="260"/>
      <c r="BC365" s="260"/>
      <c r="BG365" s="259"/>
      <c r="BI365" s="233"/>
      <c r="BJ365" s="233"/>
      <c r="BK365" s="233"/>
      <c r="BL365" s="233"/>
      <c r="BM365" s="233"/>
      <c r="BN365" s="233"/>
      <c r="BO365" s="233"/>
    </row>
    <row r="366" spans="1:67">
      <c r="A366" s="1287"/>
      <c r="B366" s="1293"/>
      <c r="C366" s="260"/>
      <c r="G366" s="260"/>
      <c r="K366" s="260"/>
      <c r="O366" s="260"/>
      <c r="S366" s="260"/>
      <c r="W366" s="260"/>
      <c r="AA366" s="260"/>
      <c r="AE366" s="260"/>
      <c r="AI366" s="260"/>
      <c r="AM366" s="260"/>
      <c r="AQ366" s="260"/>
      <c r="AU366" s="260"/>
      <c r="AY366" s="260"/>
      <c r="BC366" s="260"/>
      <c r="BG366" s="259"/>
      <c r="BI366" s="233"/>
      <c r="BJ366" s="233"/>
      <c r="BK366" s="233"/>
      <c r="BL366" s="233"/>
      <c r="BM366" s="233"/>
      <c r="BN366" s="233"/>
      <c r="BO366" s="233"/>
    </row>
    <row r="367" spans="1:67">
      <c r="A367" s="1287"/>
      <c r="B367" s="1293"/>
      <c r="C367" s="260"/>
      <c r="G367" s="260"/>
      <c r="K367" s="260"/>
      <c r="O367" s="260"/>
      <c r="S367" s="260"/>
      <c r="W367" s="260"/>
      <c r="AA367" s="260"/>
      <c r="AE367" s="260"/>
      <c r="AI367" s="260"/>
      <c r="AM367" s="260"/>
      <c r="AQ367" s="260"/>
      <c r="AU367" s="260"/>
      <c r="AY367" s="260"/>
      <c r="BC367" s="260"/>
      <c r="BG367" s="259"/>
      <c r="BI367" s="233"/>
      <c r="BJ367" s="233"/>
      <c r="BK367" s="233"/>
      <c r="BL367" s="233"/>
      <c r="BM367" s="233"/>
      <c r="BN367" s="233"/>
      <c r="BO367" s="233"/>
    </row>
    <row r="368" spans="1:67">
      <c r="A368" s="1287"/>
      <c r="B368" s="1293"/>
      <c r="C368" s="260"/>
      <c r="G368" s="260"/>
      <c r="K368" s="260"/>
      <c r="O368" s="260"/>
      <c r="S368" s="260"/>
      <c r="W368" s="260"/>
      <c r="AA368" s="260"/>
      <c r="AE368" s="260"/>
      <c r="AI368" s="260"/>
      <c r="AM368" s="260"/>
      <c r="AQ368" s="260"/>
      <c r="AU368" s="260"/>
      <c r="AY368" s="260"/>
      <c r="BC368" s="260"/>
      <c r="BG368" s="259"/>
      <c r="BI368" s="233"/>
      <c r="BJ368" s="233"/>
      <c r="BK368" s="233"/>
      <c r="BL368" s="233"/>
      <c r="BM368" s="233"/>
      <c r="BN368" s="233"/>
      <c r="BO368" s="233"/>
    </row>
    <row r="369" spans="1:67">
      <c r="A369" s="1287"/>
      <c r="B369" s="1293"/>
      <c r="C369" s="260"/>
      <c r="G369" s="260"/>
      <c r="K369" s="260"/>
      <c r="O369" s="260"/>
      <c r="S369" s="260"/>
      <c r="W369" s="260"/>
      <c r="AA369" s="260"/>
      <c r="AE369" s="260"/>
      <c r="AI369" s="260"/>
      <c r="AM369" s="260"/>
      <c r="AQ369" s="260"/>
      <c r="AU369" s="260"/>
      <c r="AY369" s="260"/>
      <c r="BC369" s="260"/>
      <c r="BG369" s="259"/>
      <c r="BI369" s="233"/>
      <c r="BJ369" s="233"/>
      <c r="BK369" s="233"/>
      <c r="BL369" s="233"/>
      <c r="BM369" s="233"/>
      <c r="BN369" s="233"/>
      <c r="BO369" s="233"/>
    </row>
    <row r="370" spans="1:67">
      <c r="A370" s="1287"/>
      <c r="B370" s="1293"/>
      <c r="C370" s="260"/>
      <c r="G370" s="260"/>
      <c r="K370" s="260"/>
      <c r="O370" s="260"/>
      <c r="S370" s="260"/>
      <c r="W370" s="260"/>
      <c r="AA370" s="260"/>
      <c r="AE370" s="260"/>
      <c r="AI370" s="260"/>
      <c r="AM370" s="260"/>
      <c r="AQ370" s="260"/>
      <c r="AU370" s="260"/>
      <c r="AY370" s="260"/>
      <c r="BC370" s="260"/>
      <c r="BG370" s="259"/>
      <c r="BI370" s="233"/>
      <c r="BJ370" s="233"/>
      <c r="BK370" s="233"/>
      <c r="BL370" s="233"/>
      <c r="BM370" s="233"/>
      <c r="BN370" s="233"/>
      <c r="BO370" s="233"/>
    </row>
    <row r="371" spans="1:67">
      <c r="A371" s="1287"/>
      <c r="B371" s="1293"/>
      <c r="C371" s="260"/>
      <c r="G371" s="260"/>
      <c r="K371" s="260"/>
      <c r="O371" s="260"/>
      <c r="S371" s="260"/>
      <c r="W371" s="260"/>
      <c r="AA371" s="260"/>
      <c r="AE371" s="260"/>
      <c r="AI371" s="260"/>
      <c r="AM371" s="260"/>
      <c r="AQ371" s="260"/>
      <c r="AU371" s="260"/>
      <c r="AY371" s="260"/>
      <c r="BC371" s="260"/>
      <c r="BG371" s="259"/>
      <c r="BI371" s="233"/>
      <c r="BJ371" s="233"/>
      <c r="BK371" s="233"/>
      <c r="BL371" s="233"/>
      <c r="BM371" s="233"/>
      <c r="BN371" s="233"/>
      <c r="BO371" s="233"/>
    </row>
    <row r="372" spans="1:67">
      <c r="A372" s="1287"/>
      <c r="B372" s="1293"/>
      <c r="C372" s="260"/>
      <c r="G372" s="260"/>
      <c r="K372" s="260"/>
      <c r="O372" s="260"/>
      <c r="S372" s="260"/>
      <c r="W372" s="260"/>
      <c r="AA372" s="260"/>
      <c r="AE372" s="260"/>
      <c r="AI372" s="260"/>
      <c r="AM372" s="260"/>
      <c r="AQ372" s="260"/>
      <c r="AU372" s="260"/>
      <c r="AY372" s="260"/>
      <c r="BC372" s="260"/>
      <c r="BG372" s="259"/>
      <c r="BI372" s="233"/>
      <c r="BJ372" s="233"/>
      <c r="BK372" s="233"/>
      <c r="BL372" s="233"/>
      <c r="BM372" s="233"/>
      <c r="BN372" s="233"/>
      <c r="BO372" s="233"/>
    </row>
  </sheetData>
  <sheetProtection algorithmName="SHA-512" hashValue="mmxalPjblRzuBjZb2+J6+tZ+8dKYIO1rgX+vnDTAGd/yrL9qmsGKNXGcKwCiQmO9CbICaHrT8F5QJBmgRSijIQ==" saltValue="4/mCSpk1KKi/HahSlTJuTA==" spinCount="100000" sheet="1" objects="1" scenarios="1" autoFilter="0"/>
  <autoFilter ref="A7:P76" xr:uid="{00000000-0009-0000-0000-00000F000000}">
    <filterColumn colId="1">
      <customFilters>
        <customFilter operator="notEqual" val="0"/>
      </customFilters>
    </filterColumn>
  </autoFilter>
  <mergeCells count="6">
    <mergeCell ref="A84:B84"/>
    <mergeCell ref="A3:B4"/>
    <mergeCell ref="A79:B79"/>
    <mergeCell ref="A80:B80"/>
    <mergeCell ref="A83:B83"/>
    <mergeCell ref="A81:B81"/>
  </mergeCells>
  <conditionalFormatting sqref="C8:BF76">
    <cfRule type="containsText" dxfId="250" priority="12" stopIfTrue="1" operator="containsText" text="A faire">
      <formula>NOT(ISERROR(SEARCH("A faire",C8)))</formula>
    </cfRule>
    <cfRule type="containsText" dxfId="249" priority="13" stopIfTrue="1" operator="containsText" text="En cours">
      <formula>NOT(ISERROR(SEARCH("En cours",C8)))</formula>
    </cfRule>
    <cfRule type="containsText" dxfId="248" priority="14" stopIfTrue="1" operator="containsText" text="Finalisée">
      <formula>NOT(ISERROR(SEARCH("Finalisée",C8)))</formula>
    </cfRule>
  </conditionalFormatting>
  <conditionalFormatting sqref="BG5:BG6 AY3:BB5">
    <cfRule type="containsText" dxfId="247" priority="8" stopIfTrue="1" operator="containsText" text="A faire">
      <formula>NOT(ISERROR(SEARCH("A faire",AY3)))</formula>
    </cfRule>
    <cfRule type="containsText" dxfId="246" priority="9" stopIfTrue="1" operator="containsText" text="En cours">
      <formula>NOT(ISERROR(SEARCH("En cours",AY3)))</formula>
    </cfRule>
    <cfRule type="containsText" dxfId="245" priority="10" stopIfTrue="1" operator="containsText" text="Finalisée">
      <formula>NOT(ISERROR(SEARCH("Finalisée",AY3)))</formula>
    </cfRule>
  </conditionalFormatting>
  <conditionalFormatting sqref="C7:BF7">
    <cfRule type="cellIs" dxfId="244" priority="6" stopIfTrue="1" operator="equal">
      <formula>$A$6</formula>
    </cfRule>
  </conditionalFormatting>
  <conditionalFormatting sqref="BG8:BG76">
    <cfRule type="containsText" dxfId="243" priority="2" stopIfTrue="1" operator="containsText" text="A faire">
      <formula>NOT(ISERROR(SEARCH("A faire",BG8)))</formula>
    </cfRule>
    <cfRule type="containsText" dxfId="242" priority="3" stopIfTrue="1" operator="containsText" text="En cours">
      <formula>NOT(ISERROR(SEARCH("En cours",BG8)))</formula>
    </cfRule>
    <cfRule type="containsText" dxfId="241" priority="4" stopIfTrue="1" operator="containsText" text="Finalisée">
      <formula>NOT(ISERROR(SEARCH("Finalisée",BG8)))</formula>
    </cfRule>
  </conditionalFormatting>
  <conditionalFormatting sqref="BG7">
    <cfRule type="cellIs" dxfId="240" priority="1" stopIfTrue="1" operator="equal">
      <formula>$A$6</formula>
    </cfRule>
  </conditionalFormatting>
  <printOptions horizontalCentered="1"/>
  <pageMargins left="0.7" right="0.7" top="0.75" bottom="0.75" header="0.3" footer="0.3"/>
  <pageSetup paperSize="9" scale="5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508049" r:id="rId4" name="Button 17">
              <controlPr defaultSize="0" print="0" autoFill="0" autoPict="0" macro="[0]!Imprimer_planning">
                <anchor moveWithCells="1">
                  <from>
                    <xdr:col>18</xdr:col>
                    <xdr:colOff>487680</xdr:colOff>
                    <xdr:row>2</xdr:row>
                    <xdr:rowOff>68580</xdr:rowOff>
                  </from>
                  <to>
                    <xdr:col>30</xdr:col>
                    <xdr:colOff>335280</xdr:colOff>
                    <xdr:row>4</xdr:row>
                    <xdr:rowOff>30480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7">
    <tabColor theme="8" tint="0.39997558519241921"/>
  </sheetPr>
  <dimension ref="A1:AC32"/>
  <sheetViews>
    <sheetView showGridLines="0" zoomScale="90" zoomScaleNormal="90" workbookViewId="0">
      <pane ySplit="1" topLeftCell="A3" activePane="bottomLeft" state="frozen"/>
      <selection activeCell="D90" sqref="D90"/>
      <selection pane="bottomLeft" activeCell="D90" sqref="D90"/>
    </sheetView>
  </sheetViews>
  <sheetFormatPr baseColWidth="10" defaultColWidth="9.109375" defaultRowHeight="14.4"/>
  <cols>
    <col min="1" max="1" width="26.44140625" style="1" bestFit="1" customWidth="1"/>
    <col min="2" max="2" width="52.44140625" style="1" hidden="1" customWidth="1"/>
    <col min="3" max="3" width="15.5546875" style="1" bestFit="1" customWidth="1"/>
    <col min="4" max="4" width="19.109375" style="1" bestFit="1" customWidth="1"/>
    <col min="5" max="5" width="24.88671875" style="1" bestFit="1" customWidth="1"/>
    <col min="6" max="6" width="19.109375" style="1" customWidth="1"/>
    <col min="7" max="7" width="14.109375" style="1" bestFit="1" customWidth="1"/>
    <col min="8" max="8" width="37.109375" style="1" customWidth="1"/>
    <col min="9" max="9" width="73.5546875" style="1" customWidth="1"/>
    <col min="10" max="10" width="33.44140625" style="1" hidden="1" customWidth="1"/>
    <col min="11" max="13" width="19.109375" style="1" hidden="1" customWidth="1"/>
    <col min="14" max="15" width="12.5546875" style="1" hidden="1" customWidth="1"/>
    <col min="16" max="16" width="11.44140625" style="1" hidden="1" customWidth="1"/>
    <col min="17" max="18" width="19.5546875" style="1" hidden="1" customWidth="1"/>
    <col min="19" max="19" width="18" style="1" hidden="1" customWidth="1"/>
    <col min="20" max="20" width="21.109375" style="19" hidden="1" customWidth="1"/>
    <col min="21" max="21" width="12.5546875" style="19" hidden="1" customWidth="1"/>
    <col min="22" max="22" width="17.5546875" style="19" hidden="1" customWidth="1"/>
    <col min="23" max="24" width="12.5546875" style="19" hidden="1" customWidth="1"/>
    <col min="25" max="27" width="49.44140625" style="19" hidden="1" customWidth="1"/>
    <col min="28" max="28" width="49.44140625" style="1" hidden="1" customWidth="1"/>
    <col min="29" max="29" width="12.5546875" style="1" hidden="1" customWidth="1"/>
    <col min="30" max="30" width="23" style="1" customWidth="1"/>
    <col min="31" max="31" width="20.109375" style="1" customWidth="1"/>
    <col min="32" max="43" width="11.44140625" style="1" customWidth="1"/>
    <col min="44" max="16384" width="9.109375" style="1"/>
  </cols>
  <sheetData>
    <row r="1" spans="1:29" ht="61.5" customHeight="1">
      <c r="A1"/>
      <c r="B1"/>
      <c r="C1"/>
      <c r="D1"/>
      <c r="E1"/>
      <c r="F1"/>
      <c r="G1"/>
      <c r="H1"/>
      <c r="I1"/>
      <c r="T1" s="203"/>
      <c r="U1" s="203"/>
      <c r="V1" s="203"/>
      <c r="W1" s="203"/>
      <c r="X1" s="203"/>
      <c r="Y1" s="203"/>
      <c r="Z1" s="203"/>
      <c r="AA1" s="203"/>
    </row>
    <row r="2" spans="1:29">
      <c r="A2"/>
      <c r="B2"/>
      <c r="C2"/>
      <c r="D2"/>
      <c r="E2"/>
      <c r="F2"/>
      <c r="G2"/>
      <c r="H2"/>
      <c r="I2"/>
      <c r="T2" s="203"/>
      <c r="U2" s="203"/>
      <c r="V2" s="203"/>
      <c r="W2" s="203"/>
      <c r="X2" s="203"/>
      <c r="Y2" s="203"/>
      <c r="Z2" s="203"/>
      <c r="AA2" s="203"/>
    </row>
    <row r="3" spans="1:29" ht="21">
      <c r="A3" s="329" t="s">
        <v>1253</v>
      </c>
      <c r="B3" s="329"/>
      <c r="C3" s="259"/>
      <c r="D3" s="259"/>
      <c r="E3" s="259"/>
      <c r="F3" s="259"/>
      <c r="G3" s="259"/>
      <c r="H3" s="259"/>
      <c r="I3" s="259"/>
      <c r="T3" s="203"/>
      <c r="U3" s="203"/>
      <c r="V3" s="203"/>
      <c r="W3" s="203"/>
      <c r="X3" s="203"/>
      <c r="Y3" s="203"/>
      <c r="Z3" s="203"/>
      <c r="AA3" s="330"/>
    </row>
    <row r="4" spans="1:29">
      <c r="A4" s="331" t="s">
        <v>103</v>
      </c>
      <c r="B4" s="331"/>
      <c r="C4" s="331" t="s">
        <v>1098</v>
      </c>
      <c r="D4" s="331" t="s">
        <v>1254</v>
      </c>
      <c r="E4" s="331" t="s">
        <v>1255</v>
      </c>
      <c r="F4" s="331" t="s">
        <v>739</v>
      </c>
      <c r="G4" s="331" t="s">
        <v>107</v>
      </c>
      <c r="H4" s="1294"/>
      <c r="I4"/>
      <c r="T4" s="203"/>
      <c r="U4" s="203"/>
      <c r="V4" s="203"/>
      <c r="W4" s="203"/>
      <c r="X4" s="203"/>
      <c r="Y4" s="203"/>
      <c r="Z4" s="203"/>
      <c r="AA4" s="330"/>
    </row>
    <row r="5" spans="1:29">
      <c r="A5" s="332" t="s">
        <v>198</v>
      </c>
      <c r="B5" s="332" t="s">
        <v>807</v>
      </c>
      <c r="C5" s="333">
        <f ca="1">SUMPRODUCT((Actions!$H$2:$H$70=$A5)*(Actions!$AD$2:$AD$70=C$4)*(Actions!$AC$2:$AC$70))</f>
        <v>0</v>
      </c>
      <c r="D5" s="333">
        <f ca="1">SUMPRODUCT((Actions!$H$2:$H$70=$A5)*(Actions!$AD$2:$AD$70=D$4)*(Actions!$AC$2:$AC$70))</f>
        <v>0</v>
      </c>
      <c r="E5" s="333">
        <f ca="1">SUM(C5:D5)</f>
        <v>0</v>
      </c>
      <c r="F5" s="333">
        <f ca="1">SUMPRODUCT((Actions!$H$2:$H$70=$A5)*(Actions!$AE$2:$AE$70))</f>
        <v>0</v>
      </c>
      <c r="G5" s="333">
        <f ca="1">E5-F5</f>
        <v>0</v>
      </c>
      <c r="H5" s="204"/>
      <c r="I5"/>
      <c r="S5" s="1401"/>
      <c r="T5" s="1401"/>
      <c r="U5" s="1402"/>
      <c r="V5" s="1403"/>
      <c r="W5" s="203"/>
      <c r="X5" s="203"/>
      <c r="Y5" s="203"/>
      <c r="Z5" s="203"/>
      <c r="AA5" s="330"/>
      <c r="AC5" s="205"/>
    </row>
    <row r="6" spans="1:29">
      <c r="A6" s="332" t="s">
        <v>199</v>
      </c>
      <c r="B6" s="332"/>
      <c r="C6" s="333">
        <f ca="1">SUM(C7:C9)</f>
        <v>0</v>
      </c>
      <c r="D6" s="333">
        <f ca="1">SUM(D7:D9)</f>
        <v>0</v>
      </c>
      <c r="E6" s="333">
        <f t="shared" ref="E6:E17" ca="1" si="0">SUM(C6:D6)</f>
        <v>0</v>
      </c>
      <c r="F6" s="333">
        <f ca="1">SUM(F7:F9)</f>
        <v>0</v>
      </c>
      <c r="G6" s="333">
        <f t="shared" ref="G6:G17" ca="1" si="1">E6-F6</f>
        <v>0</v>
      </c>
      <c r="H6" s="204"/>
      <c r="I6"/>
      <c r="S6" s="1401"/>
      <c r="T6" s="1401"/>
      <c r="U6" s="1404"/>
      <c r="V6" s="1405"/>
      <c r="W6" s="203"/>
      <c r="X6" s="203"/>
      <c r="Y6" s="203"/>
      <c r="Z6" s="203"/>
      <c r="AA6" s="330"/>
      <c r="AC6" s="205"/>
    </row>
    <row r="7" spans="1:29">
      <c r="A7" s="334" t="s">
        <v>200</v>
      </c>
      <c r="B7" s="334" t="s">
        <v>1256</v>
      </c>
      <c r="C7" s="335">
        <f ca="1">SUMPRODUCT((Actions!$H$2:$H$70=$A7)*(Actions!$AD$2:$AD$70=C$4)*(Actions!$AC$2:$AC$70))</f>
        <v>0</v>
      </c>
      <c r="D7" s="335">
        <f ca="1">SUMPRODUCT((Actions!$H$2:$H$70=$A7)*(Actions!$AD$2:$AD$70=D$4)*(Actions!$AC$2:$AC$70))</f>
        <v>0</v>
      </c>
      <c r="E7" s="335">
        <f t="shared" ca="1" si="0"/>
        <v>0</v>
      </c>
      <c r="F7" s="335">
        <f ca="1">SUMPRODUCT((Actions!$H$2:$H$70=$A7)*(Actions!$AE$2:$AE$70))</f>
        <v>0</v>
      </c>
      <c r="G7" s="335">
        <f t="shared" ca="1" si="1"/>
        <v>0</v>
      </c>
      <c r="H7" s="206"/>
      <c r="I7"/>
      <c r="J7" s="1" t="e">
        <f>IF(ISNA(VLOOKUP($A7,#REF!,HLOOKUP($C$4,#REF!,2,0),0)),0,VLOOKUP($A7,#REF!,HLOOKUP($C$4,#REF!,2,0),0))</f>
        <v>#REF!</v>
      </c>
      <c r="S7" s="1401"/>
      <c r="T7" s="1401"/>
      <c r="U7" s="1404"/>
      <c r="V7" s="1405"/>
      <c r="W7" s="203"/>
      <c r="X7" s="203"/>
      <c r="Y7" s="203"/>
      <c r="Z7" s="203"/>
      <c r="AA7" s="330"/>
      <c r="AC7" s="205"/>
    </row>
    <row r="8" spans="1:29">
      <c r="A8" s="334" t="s">
        <v>160</v>
      </c>
      <c r="B8" s="334" t="s">
        <v>160</v>
      </c>
      <c r="C8" s="335">
        <f ca="1">SUMPRODUCT((Actions!$H$2:$H$70=$A8)*(Actions!$AD$2:$AD$70=C$4)*(Actions!$AC$2:$AC$70))</f>
        <v>0</v>
      </c>
      <c r="D8" s="335">
        <f ca="1">SUMPRODUCT((Actions!$H$2:$H$70=$A8)*(Actions!$AD$2:$AD$70=D$4)*(Actions!$AC$2:$AC$70))</f>
        <v>0</v>
      </c>
      <c r="E8" s="335">
        <f t="shared" ca="1" si="0"/>
        <v>0</v>
      </c>
      <c r="F8" s="335">
        <f ca="1">SUMPRODUCT((Actions!$H$2:$H$70=$A8)*(Actions!$AE$2:$AE$70))</f>
        <v>0</v>
      </c>
      <c r="G8" s="335">
        <f t="shared" ca="1" si="1"/>
        <v>0</v>
      </c>
      <c r="H8" s="206"/>
      <c r="I8"/>
      <c r="S8" s="207"/>
      <c r="T8" s="207"/>
      <c r="U8" s="1"/>
      <c r="V8" s="208"/>
      <c r="W8" s="203"/>
      <c r="X8" s="203"/>
      <c r="Y8" s="203"/>
      <c r="Z8" s="203"/>
      <c r="AA8" s="330"/>
      <c r="AC8" s="205"/>
    </row>
    <row r="9" spans="1:29">
      <c r="A9" s="334" t="s">
        <v>157</v>
      </c>
      <c r="B9" s="334" t="s">
        <v>1257</v>
      </c>
      <c r="C9" s="335">
        <f ca="1">SUMPRODUCT((Actions!$H$2:$H$70=$A6)*(Actions!$AD$2:$AD$70=C$4)*(Actions!$AC$2:$AC$70))</f>
        <v>0</v>
      </c>
      <c r="D9" s="335">
        <f ca="1">SUMPRODUCT((Actions!$H$2:$H$70=$A6)*(Actions!$AD$2:$AD$70=D$4)*(Actions!$AC$2:$AC$70))</f>
        <v>0</v>
      </c>
      <c r="E9" s="335">
        <f t="shared" ca="1" si="0"/>
        <v>0</v>
      </c>
      <c r="F9" s="335">
        <f ca="1">SUMPRODUCT((Actions!$H$2:$H$70=$A6)*(Actions!$AE$2:$AE$70))</f>
        <v>0</v>
      </c>
      <c r="G9" s="335">
        <f t="shared" ca="1" si="1"/>
        <v>0</v>
      </c>
      <c r="H9" s="206"/>
      <c r="I9"/>
      <c r="S9" s="207"/>
      <c r="T9" s="207"/>
      <c r="U9" s="1"/>
      <c r="V9" s="208"/>
      <c r="W9" s="203"/>
      <c r="X9" s="203"/>
      <c r="Y9" s="203"/>
      <c r="Z9" s="203"/>
      <c r="AA9" s="330"/>
      <c r="AC9" s="205"/>
    </row>
    <row r="10" spans="1:29">
      <c r="A10" s="332" t="s">
        <v>201</v>
      </c>
      <c r="B10" s="332" t="s">
        <v>201</v>
      </c>
      <c r="C10" s="333">
        <f ca="1">SUMPRODUCT((Actions!$H$2:$H$70=$A10)*(Actions!$AD$2:$AD$70=C$4)*(Actions!$AC$2:$AC$70))</f>
        <v>0</v>
      </c>
      <c r="D10" s="333">
        <f ca="1">SUMPRODUCT((Actions!$H$2:$H$70=$A10)*(Actions!$AD$2:$AD$70=D$4)*(Actions!$AC$2:$AC$70))</f>
        <v>0</v>
      </c>
      <c r="E10" s="333">
        <f t="shared" ca="1" si="0"/>
        <v>0</v>
      </c>
      <c r="F10" s="333">
        <f ca="1">SUMPRODUCT((Actions!$H$2:$H$70=$A10)*(Actions!$AE$2:$AE$70))</f>
        <v>0</v>
      </c>
      <c r="G10" s="333">
        <f t="shared" ca="1" si="1"/>
        <v>0</v>
      </c>
      <c r="H10" s="204"/>
      <c r="I10"/>
      <c r="S10" s="207"/>
      <c r="T10" s="207"/>
      <c r="U10" s="1"/>
      <c r="V10" s="208"/>
      <c r="W10" s="203"/>
      <c r="X10" s="203"/>
      <c r="Y10" s="203"/>
      <c r="Z10" s="203"/>
      <c r="AA10" s="330"/>
      <c r="AC10" s="205"/>
    </row>
    <row r="11" spans="1:29">
      <c r="A11" s="332" t="s">
        <v>202</v>
      </c>
      <c r="B11" s="332" t="s">
        <v>202</v>
      </c>
      <c r="C11" s="333">
        <f ca="1">SUMPRODUCT((Actions!$H$2:$H$70=$A11)*(Actions!$AD$2:$AD$70=C$4)*(Actions!$AC$2:$AC$70))</f>
        <v>0</v>
      </c>
      <c r="D11" s="333">
        <f ca="1">SUMPRODUCT((Actions!$H$2:$H$70=$A11)*(Actions!$AD$2:$AD$70=D$4)*(Actions!$AC$2:$AC$70))</f>
        <v>0</v>
      </c>
      <c r="E11" s="333">
        <f t="shared" ca="1" si="0"/>
        <v>0</v>
      </c>
      <c r="F11" s="333">
        <f ca="1">SUMPRODUCT((Actions!$H$2:$H$70=$A11)*(Actions!$AE$2:$AE$70))</f>
        <v>0</v>
      </c>
      <c r="G11" s="333">
        <f t="shared" ca="1" si="1"/>
        <v>0</v>
      </c>
      <c r="H11" s="204"/>
      <c r="I11"/>
      <c r="S11" s="207"/>
      <c r="T11" s="207"/>
      <c r="U11" s="1"/>
      <c r="V11" s="208"/>
      <c r="W11" s="203"/>
      <c r="X11" s="203"/>
      <c r="Y11" s="203"/>
      <c r="Z11" s="203"/>
      <c r="AA11" s="330"/>
      <c r="AC11" s="205"/>
    </row>
    <row r="12" spans="1:29">
      <c r="A12" s="332" t="s">
        <v>203</v>
      </c>
      <c r="B12" s="332"/>
      <c r="C12" s="333">
        <f ca="1">SUM(C13:C14)</f>
        <v>0</v>
      </c>
      <c r="D12" s="333">
        <f ca="1">SUM(D13:D14)</f>
        <v>0</v>
      </c>
      <c r="E12" s="333">
        <f t="shared" ca="1" si="0"/>
        <v>0</v>
      </c>
      <c r="F12" s="333">
        <f ca="1">SUM(F13:F14)</f>
        <v>0</v>
      </c>
      <c r="G12" s="333">
        <f t="shared" ca="1" si="1"/>
        <v>0</v>
      </c>
      <c r="H12" s="204"/>
      <c r="I12"/>
      <c r="S12" s="207"/>
      <c r="T12" s="207"/>
      <c r="U12" s="1"/>
      <c r="V12" s="208"/>
      <c r="W12" s="203"/>
      <c r="X12" s="203"/>
      <c r="Y12" s="203"/>
      <c r="Z12" s="203"/>
      <c r="AA12" s="330"/>
      <c r="AC12" s="205"/>
    </row>
    <row r="13" spans="1:29">
      <c r="A13" s="334" t="s">
        <v>297</v>
      </c>
      <c r="B13" s="334" t="s">
        <v>297</v>
      </c>
      <c r="C13" s="335">
        <f ca="1">SUMPRODUCT((Actions!$H$2:$H$70=$A13)*(Actions!$AD$2:$AD$70=C$4)*(Actions!$AC$2:$AC$70))</f>
        <v>0</v>
      </c>
      <c r="D13" s="335">
        <f ca="1">SUMPRODUCT((Actions!$H$2:$H$70=$A13)*(Actions!$AD$2:$AD$70=D$4)*(Actions!$AC$2:$AC$70))</f>
        <v>0</v>
      </c>
      <c r="E13" s="335">
        <f t="shared" ca="1" si="0"/>
        <v>0</v>
      </c>
      <c r="F13" s="335">
        <f ca="1">SUMPRODUCT((Actions!$H$2:$H$70=$A13)*(Actions!$AE$2:$AE$70))</f>
        <v>0</v>
      </c>
      <c r="G13" s="335">
        <f t="shared" ca="1" si="1"/>
        <v>0</v>
      </c>
      <c r="H13" s="206"/>
      <c r="I13"/>
      <c r="S13" s="207"/>
      <c r="T13" s="207"/>
      <c r="U13" s="1"/>
      <c r="V13" s="208"/>
      <c r="W13" s="203"/>
      <c r="X13" s="203"/>
      <c r="Y13" s="203"/>
      <c r="Z13" s="203"/>
      <c r="AA13" s="330"/>
    </row>
    <row r="14" spans="1:29">
      <c r="A14" s="334" t="s">
        <v>157</v>
      </c>
      <c r="B14" s="334" t="s">
        <v>1258</v>
      </c>
      <c r="C14" s="335">
        <f ca="1">SUMPRODUCT((Actions!$H$2:$H$70=$A12)*(Actions!$AD$2:$AD$70=C$4)*(Actions!$AC$2:$AC$70))</f>
        <v>0</v>
      </c>
      <c r="D14" s="335">
        <f ca="1">SUMPRODUCT((Actions!$H$2:$H$70=$A12)*(Actions!$AD$2:$AD$70=D$4)*(Actions!$AC$2:$AC$70))</f>
        <v>0</v>
      </c>
      <c r="E14" s="335">
        <f t="shared" ca="1" si="0"/>
        <v>0</v>
      </c>
      <c r="F14" s="335">
        <f ca="1">SUMPRODUCT((Actions!$H$2:$H$70=$A12)*(Actions!$AE$2:$AE$70))</f>
        <v>0</v>
      </c>
      <c r="G14" s="335">
        <f t="shared" ca="1" si="1"/>
        <v>0</v>
      </c>
      <c r="H14" s="206"/>
      <c r="I14"/>
      <c r="S14" s="207"/>
      <c r="T14" s="207"/>
      <c r="U14" s="1"/>
      <c r="V14" s="208"/>
      <c r="W14" s="203"/>
      <c r="X14" s="203"/>
      <c r="Y14" s="203"/>
      <c r="Z14" s="203"/>
      <c r="AA14" s="330"/>
    </row>
    <row r="15" spans="1:29">
      <c r="A15" s="332" t="s">
        <v>209</v>
      </c>
      <c r="B15" s="332" t="str">
        <f>A15</f>
        <v>Production renouvelable</v>
      </c>
      <c r="C15" s="333">
        <f ca="1">SUMPRODUCT((Actions!$H$2:$H$70="Production d'électricité")*(Actions!$AD$2:$AD$70=C$4)*(Actions!$AC$2:$AC$70))+SUMPRODUCT((Actions!$H$2:$H$70="Production de chaleur")*(Actions!$AD$2:$AD$70=C$4)*(Actions!$AC$2:$AC$70))+SUMPRODUCT((Actions!$H$2:$H$70="Cogénération")*(Actions!$AD$2:$AD$70=C$4)*(Actions!$AC$2:$AC$70))</f>
        <v>0</v>
      </c>
      <c r="D15" s="333">
        <f ca="1">SUMPRODUCT((Actions!$H$2:$H$70="Production d'électricité")*(Actions!$AD$2:$AD$70=D$4)*(Actions!$AC$2:$AC$70))+SUMPRODUCT((Actions!$H$2:$H$70="Production de chaleur")*(Actions!$AD$2:$AD$70=D$4)*(Actions!$AC$2:$AC$70))+SUMPRODUCT((Actions!$H$2:$H$70="Cogénération")*(Actions!$AD$2:$AD$70=D$4)*(Actions!$AC$2:$AC$70))</f>
        <v>0</v>
      </c>
      <c r="E15" s="333">
        <f t="shared" ca="1" si="0"/>
        <v>0</v>
      </c>
      <c r="F15" s="333">
        <f ca="1">SUMPRODUCT((Actions!$H$2:$H$70="Production d'électricité")*(Actions!$AE$2:$AE$70))+SUMPRODUCT((Actions!$H$2:$H$70="Production de chaleur")*(Actions!$AE$2:$AE$70))+SUMPRODUCT((Actions!$H$2:$H$70="Cogénération")*(Actions!$AE$2:$AE$70))</f>
        <v>0</v>
      </c>
      <c r="G15" s="333">
        <f t="shared" ca="1" si="1"/>
        <v>0</v>
      </c>
      <c r="H15" s="204"/>
      <c r="I15"/>
      <c r="S15" s="207"/>
      <c r="T15" s="207"/>
      <c r="U15" s="1"/>
      <c r="V15" s="208"/>
      <c r="W15" s="203"/>
      <c r="X15" s="203"/>
      <c r="Y15" s="203"/>
      <c r="Z15" s="203"/>
      <c r="AA15" s="330"/>
    </row>
    <row r="16" spans="1:29">
      <c r="A16" s="332" t="s">
        <v>1259</v>
      </c>
      <c r="B16" s="332" t="str">
        <f>A16</f>
        <v>Non-énergétique</v>
      </c>
      <c r="C16" s="333" cm="1">
        <f t="array" aca="1" ref="C16" ca="1">SUMPRODUCT((Actions!$H$2:$H$70='Données territoriales'!F6)*(Actions!$AD$2:$AD$70=C$4)*(Actions!$AC$2:$AC$70))+SUMPRODUCT((Actions!$H$2:$H$70='Données territoriales'!F7)*(Actions!$AD$2:$AD$70=C$4)*(Actions!$AC$2:$AC$70))+SUMPRODUCT((Actions!$H$2:$H$70='Données territoriales'!F8)*(Actions!$AD$2:$AD$70=C$4)*(Actions!$AC$2:$AC$70))</f>
        <v>0</v>
      </c>
      <c r="D16" s="333" cm="1">
        <f t="array" aca="1" ref="D16" ca="1">SUMPRODUCT((Actions!$H$2:$H$70='Données territoriales'!F6)*(Actions!$AD$2:$AD$70=D$4)*(Actions!$AC$2:$AC$70))+SUMPRODUCT((Actions!$H$2:$H$70='Données territoriales'!F7)*(Actions!$AD$2:$AD$70=D$4)*(Actions!$AC$2:$AC$70))+SUMPRODUCT((Actions!$H$2:$H$70='Données territoriales'!F8)*(Actions!$AD$2:$AD$70=D$4)*(Actions!$AC$2:$AC$70))</f>
        <v>0</v>
      </c>
      <c r="E16" s="333">
        <f t="shared" ca="1" si="0"/>
        <v>0</v>
      </c>
      <c r="F16" s="333">
        <f ca="1">SUMPRODUCT((Actions!$H$2:$H$70=Categories!Z16)*(Actions!$AE$2:$AE$70))+SUMPRODUCT((Actions!$H$2:$H$70=Categories!Z17)*(Actions!$AE$2:$AE$70))+SUMPRODUCT((Actions!$H$2:$H$70=Categories!Z18)*(Actions!$AE$2:$AE$70))</f>
        <v>0</v>
      </c>
      <c r="G16" s="333">
        <f t="shared" ca="1" si="1"/>
        <v>0</v>
      </c>
      <c r="H16" s="204"/>
      <c r="I16"/>
      <c r="S16" s="207"/>
      <c r="T16" s="207"/>
      <c r="U16" s="1"/>
      <c r="V16" s="208"/>
      <c r="W16" s="203"/>
      <c r="X16" s="203"/>
      <c r="Y16" s="203"/>
      <c r="Z16" s="203"/>
      <c r="AA16" s="330"/>
    </row>
    <row r="17" spans="1:27">
      <c r="A17" s="332" t="s">
        <v>327</v>
      </c>
      <c r="B17" s="332"/>
      <c r="C17" s="333" cm="1">
        <f t="array" aca="1" ref="C17" ca="1">SUMPRODUCT((Actions!$D$2:$D$70=$A17)*(Actions!$AD$2:$AD$70=C$4)*(Actions!$AC$2:$AC$70))</f>
        <v>0</v>
      </c>
      <c r="D17" s="333" cm="1">
        <f t="array" aca="1" ref="D17" ca="1">SUMPRODUCT((Actions!$D$2:$D$70=$A17)*(Actions!$AD$2:$AD$70=D$4)*(Actions!$AC$2:$AC$70))</f>
        <v>0</v>
      </c>
      <c r="E17" s="333">
        <f t="shared" ca="1" si="0"/>
        <v>0</v>
      </c>
      <c r="F17" s="333" cm="1">
        <f t="array" aca="1" ref="F17" ca="1">SUMPRODUCT((Actions!$D$2:$D$70=$A17)*(Actions!$AE$2:$AE$70))</f>
        <v>0</v>
      </c>
      <c r="G17" s="333">
        <f t="shared" ca="1" si="1"/>
        <v>0</v>
      </c>
      <c r="H17" s="204"/>
      <c r="I17"/>
      <c r="S17" s="207"/>
      <c r="T17" s="207"/>
      <c r="U17" s="1"/>
      <c r="V17" s="208"/>
      <c r="W17" s="203"/>
      <c r="X17" s="203"/>
      <c r="Y17" s="203"/>
      <c r="Z17" s="203"/>
      <c r="AA17" s="330"/>
    </row>
    <row r="18" spans="1:27">
      <c r="A18" s="332" t="s">
        <v>1260</v>
      </c>
      <c r="B18" s="332" t="str">
        <f>A18</f>
        <v>Frais de personnel</v>
      </c>
      <c r="C18" s="333"/>
      <c r="D18" s="333">
        <f ca="1">E18</f>
        <v>0</v>
      </c>
      <c r="E18" s="333">
        <f ca="1">G18</f>
        <v>0</v>
      </c>
      <c r="F18" s="333"/>
      <c r="G18" s="333">
        <f ca="1">SUM(Planning!K79:BC79)*Planning!C5</f>
        <v>0</v>
      </c>
      <c r="H18" s="204"/>
      <c r="I18"/>
      <c r="S18" s="207"/>
      <c r="T18" s="207"/>
      <c r="U18" s="1"/>
      <c r="V18" s="208"/>
      <c r="W18" s="203"/>
      <c r="X18" s="203"/>
      <c r="Y18" s="203"/>
      <c r="Z18" s="203"/>
      <c r="AA18" s="330"/>
    </row>
    <row r="19" spans="1:27">
      <c r="A19" s="332" t="s">
        <v>107</v>
      </c>
      <c r="B19" s="332"/>
      <c r="C19" s="1295">
        <f ca="1">SUM(C5:C6,C10,C11,C12,C15,C17,C16,C18)</f>
        <v>0</v>
      </c>
      <c r="D19" s="1295">
        <f t="shared" ref="D19:G19" ca="1" si="2">SUM(D5:D6,D10,D11,D12,D15,D17,D16,D18)</f>
        <v>0</v>
      </c>
      <c r="E19" s="1295">
        <f t="shared" ca="1" si="2"/>
        <v>0</v>
      </c>
      <c r="F19" s="1295">
        <f t="shared" ca="1" si="2"/>
        <v>0</v>
      </c>
      <c r="G19" s="1295">
        <f t="shared" ca="1" si="2"/>
        <v>0</v>
      </c>
      <c r="H19" s="1296"/>
      <c r="I19"/>
      <c r="S19" s="207"/>
      <c r="T19" s="207"/>
      <c r="U19" s="1"/>
      <c r="V19" s="208"/>
      <c r="W19" s="203"/>
      <c r="X19" s="203"/>
      <c r="Y19" s="203"/>
      <c r="Z19" s="203"/>
      <c r="AA19" s="330"/>
    </row>
    <row r="20" spans="1:27">
      <c r="A20"/>
      <c r="B20"/>
      <c r="C20"/>
      <c r="D20"/>
      <c r="E20"/>
      <c r="F20"/>
      <c r="G20"/>
      <c r="H20"/>
      <c r="I20"/>
      <c r="T20" s="203"/>
      <c r="U20" s="203"/>
      <c r="V20" s="203"/>
      <c r="W20" s="203"/>
      <c r="X20" s="203"/>
      <c r="Y20" s="203"/>
      <c r="Z20" s="203"/>
      <c r="AA20" s="203"/>
    </row>
    <row r="21" spans="1:27">
      <c r="A21"/>
      <c r="B21"/>
      <c r="C21"/>
      <c r="D21"/>
      <c r="E21"/>
      <c r="F21"/>
      <c r="G21"/>
      <c r="H21"/>
      <c r="I21"/>
      <c r="T21" s="203"/>
      <c r="U21" s="203"/>
      <c r="V21" s="203"/>
      <c r="W21" s="203"/>
      <c r="X21" s="203"/>
      <c r="Y21" s="203"/>
      <c r="Z21" s="203"/>
      <c r="AA21" s="203"/>
    </row>
    <row r="22" spans="1:27" ht="21">
      <c r="A22" s="329" t="s">
        <v>1261</v>
      </c>
      <c r="B22"/>
      <c r="C22"/>
      <c r="D22"/>
      <c r="E22"/>
      <c r="F22"/>
      <c r="G22"/>
      <c r="H22"/>
      <c r="I22"/>
      <c r="T22" s="203"/>
      <c r="U22" s="203"/>
      <c r="V22" s="203"/>
      <c r="W22" s="203"/>
      <c r="X22" s="203"/>
      <c r="Y22" s="203"/>
      <c r="Z22" s="203"/>
      <c r="AA22" s="203"/>
    </row>
    <row r="23" spans="1:27">
      <c r="A23"/>
      <c r="B23"/>
      <c r="C23" s="1406" t="s">
        <v>1262</v>
      </c>
      <c r="D23" s="1406" t="s">
        <v>1263</v>
      </c>
      <c r="E23"/>
      <c r="F23"/>
      <c r="G23"/>
      <c r="H23"/>
      <c r="I23"/>
      <c r="T23" s="203"/>
      <c r="U23" s="203"/>
      <c r="V23" s="203"/>
      <c r="W23" s="203"/>
      <c r="X23" s="203"/>
      <c r="Y23" s="203"/>
      <c r="Z23" s="203"/>
      <c r="AA23" s="203"/>
    </row>
    <row r="24" spans="1:27">
      <c r="A24" s="209" t="s">
        <v>1264</v>
      </c>
      <c r="B24" s="59"/>
      <c r="C24" s="386">
        <f ca="1">IF(SUMIF(Actions!AD2:AD70,Budget!C4,Actions!AJ2:AJ70)=0,0,C19/SUMIF(Actions!AD2:AD70,Budget!C4,Actions!AJ2:AJ70))</f>
        <v>0</v>
      </c>
      <c r="D24" s="386">
        <f ca="1">IF(SUM(Actions!AJ2:AJ70)=0,0,E19/SUM(Actions!AJ2:AJ70))</f>
        <v>0</v>
      </c>
      <c r="E24"/>
      <c r="F24"/>
      <c r="G24"/>
      <c r="H24"/>
      <c r="I24"/>
      <c r="T24" s="203"/>
      <c r="U24" s="203"/>
      <c r="V24" s="203"/>
      <c r="W24" s="203"/>
      <c r="X24" s="203"/>
      <c r="Y24" s="203"/>
      <c r="Z24" s="203"/>
      <c r="AA24" s="203"/>
    </row>
    <row r="25" spans="1:27">
      <c r="A25" s="209" t="s">
        <v>1265</v>
      </c>
      <c r="B25" s="59"/>
      <c r="C25" s="386">
        <f ca="1">IF(SUMIF(Actions!AD2:AD70,Budget!C4,Actions!AJ2:AJ70)=0,0,(C19-SUMIF(Actions!AD2:AD70,Budget!C4,Actions!AE2:AE70))/SUMIF(Actions!AD2:AD70,Budget!C4,Actions!AJ2:AJ70))</f>
        <v>0</v>
      </c>
      <c r="D25" s="386">
        <f ca="1">IF(SUM(Actions!AJ2:AJ70)=0,0,(E19-F19)/SUM(Actions!AJ2:AJ70))</f>
        <v>0</v>
      </c>
      <c r="E25"/>
      <c r="F25"/>
      <c r="G25"/>
      <c r="H25"/>
      <c r="I25"/>
      <c r="T25" s="203"/>
      <c r="U25" s="203"/>
      <c r="V25" s="203"/>
      <c r="W25" s="203"/>
      <c r="X25" s="203"/>
      <c r="Y25" s="203"/>
      <c r="Z25" s="203"/>
      <c r="AA25" s="203"/>
    </row>
    <row r="26" spans="1:27">
      <c r="A26"/>
      <c r="B26"/>
      <c r="C26"/>
      <c r="D26"/>
      <c r="E26"/>
      <c r="F26"/>
      <c r="G26"/>
      <c r="H26"/>
      <c r="I26"/>
      <c r="T26" s="203"/>
      <c r="U26" s="203"/>
      <c r="V26" s="203"/>
      <c r="W26" s="203"/>
      <c r="X26" s="203"/>
      <c r="Y26" s="203"/>
      <c r="Z26" s="203"/>
      <c r="AA26" s="203"/>
    </row>
    <row r="27" spans="1:27">
      <c r="A27"/>
      <c r="B27"/>
      <c r="C27"/>
      <c r="D27"/>
      <c r="E27"/>
      <c r="F27"/>
      <c r="G27"/>
      <c r="H27"/>
      <c r="I27"/>
      <c r="T27" s="203"/>
      <c r="U27" s="203"/>
      <c r="V27" s="203"/>
      <c r="W27" s="203"/>
      <c r="X27" s="203"/>
      <c r="Y27" s="203"/>
      <c r="Z27" s="203"/>
      <c r="AA27" s="203"/>
    </row>
    <row r="28" spans="1:27">
      <c r="A28"/>
      <c r="B28"/>
      <c r="C28"/>
      <c r="D28"/>
      <c r="E28"/>
      <c r="F28"/>
      <c r="G28"/>
      <c r="H28"/>
      <c r="I28"/>
      <c r="T28" s="203"/>
      <c r="U28" s="203"/>
      <c r="V28" s="203"/>
      <c r="W28" s="203"/>
      <c r="X28" s="203"/>
      <c r="Y28" s="203"/>
      <c r="Z28" s="203"/>
      <c r="AA28" s="203"/>
    </row>
    <row r="29" spans="1:27">
      <c r="A29"/>
      <c r="B29"/>
      <c r="C29"/>
      <c r="D29"/>
      <c r="E29"/>
      <c r="F29"/>
      <c r="G29"/>
      <c r="H29"/>
      <c r="I29"/>
      <c r="T29" s="203"/>
      <c r="U29" s="203"/>
      <c r="V29" s="203"/>
      <c r="W29" s="203"/>
      <c r="X29" s="203"/>
      <c r="Y29" s="203"/>
      <c r="Z29" s="203"/>
      <c r="AA29" s="203"/>
    </row>
    <row r="30" spans="1:27">
      <c r="A30"/>
      <c r="B30"/>
      <c r="C30"/>
      <c r="D30"/>
      <c r="E30"/>
      <c r="F30"/>
      <c r="G30"/>
      <c r="H30"/>
      <c r="I30"/>
      <c r="T30" s="203"/>
      <c r="U30" s="203"/>
      <c r="V30" s="203"/>
      <c r="W30" s="203"/>
      <c r="X30" s="203"/>
      <c r="Y30" s="203"/>
      <c r="Z30" s="203"/>
      <c r="AA30" s="203"/>
    </row>
    <row r="31" spans="1:27">
      <c r="A31"/>
      <c r="B31"/>
      <c r="C31"/>
      <c r="D31"/>
      <c r="E31"/>
      <c r="F31"/>
      <c r="G31"/>
      <c r="H31"/>
      <c r="I31"/>
      <c r="T31" s="203"/>
      <c r="U31" s="203"/>
      <c r="V31" s="203"/>
      <c r="W31" s="203"/>
      <c r="X31" s="203"/>
      <c r="Y31" s="203"/>
      <c r="Z31" s="203"/>
      <c r="AA31" s="203"/>
    </row>
    <row r="32" spans="1:27">
      <c r="A32"/>
      <c r="B32"/>
      <c r="C32"/>
      <c r="D32"/>
      <c r="E32"/>
      <c r="F32"/>
      <c r="G32"/>
      <c r="H32"/>
      <c r="I32"/>
      <c r="T32" s="203"/>
      <c r="U32" s="203"/>
      <c r="V32" s="203"/>
      <c r="W32" s="203"/>
      <c r="X32" s="203"/>
      <c r="Y32" s="203"/>
      <c r="Z32" s="203"/>
      <c r="AA32" s="203"/>
    </row>
  </sheetData>
  <sheetProtection algorithmName="SHA-512" hashValue="jNOvTJduI6QIlDbChmsULLxnXZcDWApfSrUzSTtbR7PQXFuN1GuPo+GmeT3E+jaE8lrqGELIK3YjG0yMljjhpQ==" saltValue="EI5rxYYnVuIndfFG/DIl+Q==" spinCount="100000" sheet="1" formatRows="0"/>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A9BB-2B0A-49F3-AB53-88587239AEDF}">
  <sheetPr codeName="Feuil60">
    <tabColor theme="8" tint="0.79998168889431442"/>
  </sheetPr>
  <dimension ref="A1:AB164"/>
  <sheetViews>
    <sheetView showGridLines="0" zoomScale="90" zoomScaleNormal="90" workbookViewId="0">
      <pane ySplit="1" topLeftCell="A2" activePane="bottomLeft" state="frozen"/>
      <selection activeCell="D90" sqref="D90"/>
      <selection pane="bottomLeft"/>
    </sheetView>
  </sheetViews>
  <sheetFormatPr baseColWidth="10" defaultColWidth="9.109375" defaultRowHeight="14.4"/>
  <cols>
    <col min="1" max="1" width="25.44140625" customWidth="1"/>
    <col min="2" max="2" width="60.5546875" customWidth="1"/>
    <col min="3" max="3" width="17.5546875" bestFit="1" customWidth="1"/>
    <col min="4" max="4" width="16.88671875" bestFit="1" customWidth="1"/>
    <col min="5" max="5" width="13.5546875" customWidth="1"/>
    <col min="6" max="6" width="14.5546875" customWidth="1"/>
    <col min="7" max="7" width="17.5546875" bestFit="1" customWidth="1"/>
    <col min="8" max="8" width="2" hidden="1" customWidth="1"/>
    <col min="9" max="9" width="11.44140625" customWidth="1"/>
    <col min="10" max="13" width="11.44140625" style="45" customWidth="1"/>
    <col min="14" max="14" width="14.44140625" style="45" customWidth="1"/>
    <col min="15" max="28" width="11.44140625" style="31" customWidth="1"/>
  </cols>
  <sheetData>
    <row r="1" spans="1:28" ht="59.25" customHeight="1">
      <c r="J1" s="233"/>
      <c r="K1" s="233"/>
      <c r="L1" s="233"/>
      <c r="M1" s="233"/>
      <c r="N1" s="233"/>
    </row>
    <row r="2" spans="1:28">
      <c r="J2" s="233"/>
      <c r="K2" s="233"/>
      <c r="L2" s="233"/>
      <c r="M2" s="233"/>
      <c r="N2" s="233"/>
    </row>
    <row r="3" spans="1:28" ht="23.4">
      <c r="A3" s="2135" t="str">
        <f>"Commune de "&amp;Accueil!E27</f>
        <v xml:space="preserve">Commune de </v>
      </c>
      <c r="B3" s="2135"/>
      <c r="C3" s="2135"/>
      <c r="D3" s="2135"/>
      <c r="E3" s="2135"/>
      <c r="F3" s="2135"/>
      <c r="G3" s="2135"/>
      <c r="J3" s="233"/>
      <c r="K3" s="233"/>
      <c r="L3" s="233"/>
      <c r="M3" s="233"/>
      <c r="N3" s="233"/>
    </row>
    <row r="4" spans="1:28" s="958" customFormat="1" ht="23.4">
      <c r="A4" s="2136" t="s">
        <v>2070</v>
      </c>
      <c r="B4" s="2136"/>
      <c r="C4" s="2136"/>
      <c r="D4" s="2136"/>
      <c r="E4" s="2136"/>
      <c r="F4" s="2136"/>
      <c r="G4" s="2136"/>
      <c r="J4" s="959"/>
      <c r="K4" s="959"/>
      <c r="L4" s="959"/>
      <c r="M4" s="959"/>
      <c r="N4" s="959"/>
      <c r="O4" s="960"/>
      <c r="P4" s="960"/>
      <c r="Q4" s="960"/>
      <c r="R4" s="960"/>
      <c r="S4" s="960"/>
      <c r="T4" s="960"/>
      <c r="U4" s="960"/>
      <c r="V4" s="960"/>
      <c r="W4" s="960"/>
      <c r="X4" s="960"/>
      <c r="Y4" s="960"/>
      <c r="Z4" s="960"/>
      <c r="AA4" s="960"/>
      <c r="AB4" s="960"/>
    </row>
    <row r="5" spans="1:28" s="961" customFormat="1">
      <c r="A5" s="2137" t="str">
        <f>"o Année de référence : "&amp;Accueil!E28</f>
        <v>o Année de référence : 2006</v>
      </c>
      <c r="B5" s="2137"/>
      <c r="G5" s="962"/>
      <c r="H5"/>
      <c r="J5" s="963"/>
      <c r="K5" s="963"/>
      <c r="L5" s="963"/>
      <c r="M5" s="963"/>
      <c r="N5" s="963"/>
      <c r="O5" s="964"/>
      <c r="P5" s="964"/>
      <c r="Q5" s="964"/>
      <c r="R5" s="964"/>
      <c r="S5" s="964"/>
      <c r="T5" s="964"/>
      <c r="U5" s="964"/>
      <c r="V5" s="964"/>
      <c r="W5" s="964"/>
      <c r="X5" s="964"/>
      <c r="Y5" s="964"/>
      <c r="Z5" s="964"/>
      <c r="AA5" s="964"/>
      <c r="AB5" s="964"/>
    </row>
    <row r="6" spans="1:28" s="961" customFormat="1">
      <c r="A6" s="2137" t="str">
        <f>"o Année de lancement du PAEDC : "&amp;Accueil!E30</f>
        <v xml:space="preserve">o Année de lancement du PAEDC : </v>
      </c>
      <c r="B6" s="2137"/>
      <c r="G6" s="962"/>
      <c r="H6"/>
      <c r="J6" s="963"/>
      <c r="K6" s="963"/>
      <c r="L6" s="963"/>
      <c r="M6" s="963"/>
      <c r="N6" s="963"/>
      <c r="O6" s="964"/>
      <c r="P6" s="964"/>
      <c r="Q6" s="964"/>
      <c r="R6" s="964"/>
      <c r="S6" s="964"/>
      <c r="T6" s="964"/>
      <c r="U6" s="964"/>
      <c r="V6" s="964"/>
      <c r="W6" s="964"/>
      <c r="X6" s="964"/>
      <c r="Y6" s="964"/>
      <c r="Z6" s="964"/>
      <c r="AA6" s="964"/>
      <c r="AB6" s="964"/>
    </row>
    <row r="7" spans="1:28" s="961" customFormat="1" ht="15" thickBot="1">
      <c r="A7" s="2137" t="str">
        <f>"o Année du suivi : "&amp;Accueil!E31</f>
        <v xml:space="preserve">o Année du suivi : </v>
      </c>
      <c r="B7" s="2137"/>
      <c r="G7" s="962"/>
      <c r="H7"/>
      <c r="J7" s="963"/>
      <c r="K7" s="963"/>
      <c r="L7" s="963"/>
      <c r="M7" s="963"/>
      <c r="N7" s="963"/>
      <c r="O7" s="964"/>
      <c r="P7" s="964"/>
      <c r="Q7" s="964"/>
      <c r="R7" s="964"/>
      <c r="S7" s="964"/>
      <c r="T7" s="964"/>
      <c r="U7" s="964"/>
      <c r="V7" s="964"/>
      <c r="W7" s="964"/>
      <c r="X7" s="964"/>
      <c r="Y7" s="964"/>
      <c r="Z7" s="964"/>
      <c r="AA7" s="964"/>
      <c r="AB7" s="964"/>
    </row>
    <row r="8" spans="1:28" s="246" customFormat="1" ht="61.35" customHeight="1" thickBot="1">
      <c r="A8" s="1006"/>
      <c r="B8" s="1008" t="s">
        <v>281</v>
      </c>
      <c r="C8" s="625" t="str">
        <f>Objectifs!F3</f>
        <v>Objectif 2030 CdM</v>
      </c>
      <c r="D8" s="625" t="str">
        <f>Objectifs!G3</f>
        <v>Objectif 2030 PAEDC</v>
      </c>
      <c r="E8" s="625" t="str">
        <f>Objectifs!H3</f>
        <v xml:space="preserve">Atteint en </v>
      </c>
      <c r="F8" s="625" t="str">
        <f>Objectifs!I3</f>
        <v>Solde à réaliser entre  et 2030</v>
      </c>
      <c r="G8" s="778" t="str">
        <f>Objectifs!J3</f>
        <v>Planifié à travers les fiches actions</v>
      </c>
      <c r="H8"/>
      <c r="J8" s="967"/>
      <c r="K8" s="967"/>
      <c r="L8" s="967"/>
      <c r="M8" s="967"/>
      <c r="N8" s="967"/>
      <c r="O8" s="968"/>
      <c r="P8" s="968"/>
      <c r="Q8" s="968"/>
      <c r="R8" s="968"/>
      <c r="S8" s="968"/>
      <c r="T8" s="968"/>
      <c r="U8" s="968"/>
      <c r="V8" s="968"/>
      <c r="W8" s="968"/>
      <c r="X8" s="968"/>
      <c r="Y8" s="968"/>
      <c r="Z8" s="968"/>
      <c r="AA8" s="968"/>
      <c r="AB8" s="968"/>
    </row>
    <row r="9" spans="1:28" s="246" customFormat="1" ht="18.600000000000001" thickBot="1">
      <c r="A9" s="1007"/>
      <c r="B9" s="2138" t="s">
        <v>286</v>
      </c>
      <c r="C9" s="1005" t="e">
        <f ca="1">Objectifs!F4</f>
        <v>#DIV/0!</v>
      </c>
      <c r="D9" s="630" t="e">
        <f ca="1">Objectifs!G4</f>
        <v>#REF!</v>
      </c>
      <c r="E9" s="630" t="e">
        <f ca="1">Objectifs!H4</f>
        <v>#DIV/0!</v>
      </c>
      <c r="F9" s="630" t="e">
        <f ca="1">Objectifs!I4</f>
        <v>#REF!</v>
      </c>
      <c r="G9" s="630" t="e">
        <f ca="1">Objectifs!J4</f>
        <v>#REF!</v>
      </c>
      <c r="H9"/>
      <c r="J9" s="967"/>
      <c r="K9" s="967"/>
      <c r="L9" s="967"/>
      <c r="M9" s="967"/>
      <c r="N9" s="967"/>
      <c r="O9" s="968"/>
      <c r="P9" s="968"/>
      <c r="Q9" s="968"/>
      <c r="R9" s="968"/>
      <c r="S9" s="968"/>
      <c r="T9" s="968"/>
      <c r="U9" s="968"/>
      <c r="V9" s="968"/>
      <c r="W9" s="968"/>
      <c r="X9" s="968"/>
      <c r="Y9" s="968"/>
      <c r="Z9" s="968"/>
      <c r="AA9" s="968"/>
      <c r="AB9" s="968"/>
    </row>
    <row r="10" spans="1:28" s="246" customFormat="1" ht="18.600000000000001" thickBot="1">
      <c r="A10" s="1007"/>
      <c r="B10" s="2139"/>
      <c r="C10" s="632" t="e">
        <f ca="1">Objectifs!F5</f>
        <v>#DIV/0!</v>
      </c>
      <c r="D10" s="633" t="e">
        <f ca="1">Objectifs!G5</f>
        <v>#REF!</v>
      </c>
      <c r="E10" s="632" t="e">
        <f ca="1">Objectifs!H5</f>
        <v>#DIV/0!</v>
      </c>
      <c r="F10" s="633" t="e">
        <f ca="1">Objectifs!I5</f>
        <v>#REF!</v>
      </c>
      <c r="G10" s="633" t="e">
        <f ca="1">Objectifs!J5</f>
        <v>#REF!</v>
      </c>
      <c r="H10"/>
      <c r="J10" s="967"/>
      <c r="K10" s="967"/>
      <c r="L10" s="967"/>
      <c r="M10" s="967"/>
      <c r="N10" s="967"/>
      <c r="O10" s="968"/>
      <c r="P10" s="968"/>
      <c r="Q10" s="968"/>
      <c r="R10" s="968"/>
      <c r="S10" s="968"/>
      <c r="T10" s="968"/>
      <c r="U10" s="968"/>
      <c r="V10" s="968"/>
      <c r="W10" s="968"/>
      <c r="X10" s="968"/>
      <c r="Y10" s="968"/>
      <c r="Z10" s="968"/>
      <c r="AA10" s="968"/>
      <c r="AB10" s="968"/>
    </row>
    <row r="11" spans="1:28" s="246" customFormat="1" ht="18">
      <c r="A11" s="965"/>
      <c r="G11" s="966"/>
      <c r="H11"/>
      <c r="J11" s="967"/>
      <c r="K11" s="967"/>
      <c r="L11" s="967"/>
      <c r="M11" s="967"/>
      <c r="N11" s="967"/>
      <c r="O11" s="968"/>
      <c r="P11" s="968"/>
      <c r="Q11" s="968"/>
      <c r="R11" s="968"/>
      <c r="S11" s="968"/>
      <c r="T11" s="968"/>
      <c r="U11" s="968"/>
      <c r="V11" s="968"/>
      <c r="W11" s="968"/>
      <c r="X11" s="968"/>
      <c r="Y11" s="968"/>
      <c r="Z11" s="968"/>
      <c r="AA11" s="968"/>
      <c r="AB11" s="968"/>
    </row>
    <row r="12" spans="1:28" s="246" customFormat="1" ht="18">
      <c r="A12" s="965" t="s">
        <v>1266</v>
      </c>
      <c r="G12" s="966"/>
      <c r="H12"/>
      <c r="J12" s="967"/>
      <c r="K12" s="967"/>
      <c r="L12" s="967"/>
      <c r="M12" s="967"/>
      <c r="N12" s="967"/>
      <c r="O12" s="968"/>
      <c r="P12" s="968"/>
      <c r="Q12" s="968"/>
      <c r="R12" s="968"/>
      <c r="S12" s="968"/>
      <c r="T12" s="968"/>
      <c r="U12" s="968"/>
      <c r="V12" s="968"/>
      <c r="W12" s="968"/>
      <c r="X12" s="968"/>
      <c r="Y12" s="968"/>
      <c r="Z12" s="968"/>
      <c r="AA12" s="968"/>
      <c r="AB12" s="968"/>
    </row>
    <row r="13" spans="1:28" ht="18">
      <c r="A13" s="965"/>
      <c r="G13" s="213"/>
      <c r="J13" s="233"/>
      <c r="K13" s="233"/>
      <c r="L13" s="233"/>
      <c r="M13" s="233"/>
      <c r="N13" s="233"/>
    </row>
    <row r="14" spans="1:28" ht="18">
      <c r="A14" s="965"/>
      <c r="G14" s="213"/>
      <c r="J14" s="233"/>
      <c r="K14" s="233"/>
      <c r="L14" s="233"/>
      <c r="M14" s="233"/>
      <c r="N14" s="233"/>
    </row>
    <row r="15" spans="1:28" ht="18">
      <c r="A15" s="965"/>
      <c r="G15" s="213"/>
      <c r="J15" s="233"/>
      <c r="K15" s="233"/>
      <c r="L15" s="233"/>
      <c r="M15" s="233"/>
      <c r="N15" s="233"/>
    </row>
    <row r="16" spans="1:28" ht="18">
      <c r="A16" s="965"/>
      <c r="G16" s="213"/>
      <c r="J16" s="233"/>
      <c r="K16" s="233"/>
      <c r="L16" s="233"/>
      <c r="M16" s="233"/>
      <c r="N16" s="233"/>
    </row>
    <row r="17" spans="1:28" ht="18">
      <c r="A17" s="965"/>
      <c r="G17" s="213"/>
      <c r="J17" s="233"/>
      <c r="K17" s="233"/>
      <c r="L17" s="233"/>
      <c r="M17" s="233"/>
      <c r="N17" s="233"/>
    </row>
    <row r="18" spans="1:28" ht="18">
      <c r="A18" s="965"/>
      <c r="G18" s="213"/>
      <c r="J18" s="233"/>
      <c r="K18" s="233"/>
      <c r="L18" s="233"/>
      <c r="M18" s="233"/>
      <c r="N18" s="233"/>
    </row>
    <row r="19" spans="1:28" ht="18">
      <c r="A19" s="965"/>
      <c r="G19" s="213"/>
      <c r="J19" s="233"/>
      <c r="K19" s="233"/>
      <c r="L19" s="233"/>
      <c r="M19" s="233"/>
      <c r="N19" s="233"/>
    </row>
    <row r="20" spans="1:28" ht="18">
      <c r="A20" s="965"/>
      <c r="G20" s="213"/>
      <c r="J20" s="233"/>
      <c r="K20" s="233"/>
      <c r="L20" s="233"/>
      <c r="M20" s="233"/>
      <c r="N20" s="233"/>
    </row>
    <row r="21" spans="1:28" ht="18">
      <c r="A21" s="965"/>
      <c r="G21" s="213"/>
      <c r="J21" s="233"/>
      <c r="K21" s="233"/>
      <c r="L21" s="233"/>
      <c r="M21" s="233"/>
      <c r="N21" s="233"/>
    </row>
    <row r="22" spans="1:28">
      <c r="G22" s="213"/>
      <c r="J22" s="233"/>
      <c r="K22" s="233"/>
      <c r="L22" s="233"/>
      <c r="M22" s="233"/>
      <c r="N22" s="233"/>
    </row>
    <row r="23" spans="1:28">
      <c r="G23" s="213"/>
      <c r="J23" s="233"/>
      <c r="K23" s="233"/>
      <c r="L23" s="233"/>
      <c r="M23" s="233"/>
      <c r="N23" s="233"/>
    </row>
    <row r="24" spans="1:28">
      <c r="G24" s="213"/>
      <c r="J24" s="233"/>
      <c r="K24" s="233"/>
      <c r="L24" s="233"/>
      <c r="M24" s="233"/>
      <c r="N24" s="233"/>
    </row>
    <row r="25" spans="1:28">
      <c r="G25" s="213"/>
      <c r="J25" s="233"/>
      <c r="K25" s="233"/>
      <c r="L25" s="233"/>
      <c r="M25" s="233"/>
      <c r="N25" s="233"/>
    </row>
    <row r="26" spans="1:28">
      <c r="G26" s="213"/>
      <c r="J26" s="233"/>
      <c r="K26" s="233"/>
      <c r="L26" s="233"/>
      <c r="M26" s="233"/>
      <c r="N26" s="233"/>
    </row>
    <row r="27" spans="1:28">
      <c r="G27" s="213"/>
      <c r="J27" s="233"/>
      <c r="K27" s="233"/>
      <c r="L27" s="233"/>
      <c r="M27" s="233"/>
      <c r="N27" s="233"/>
    </row>
    <row r="28" spans="1:28" s="961" customFormat="1" hidden="1">
      <c r="A28" s="969" t="s">
        <v>1267</v>
      </c>
      <c r="B28" s="969" t="s">
        <v>325</v>
      </c>
      <c r="C28" s="969" t="s">
        <v>717</v>
      </c>
      <c r="G28" s="962"/>
      <c r="H28"/>
      <c r="J28" s="963"/>
      <c r="K28" s="963"/>
      <c r="L28" s="963"/>
      <c r="M28" s="963"/>
      <c r="N28" s="963"/>
      <c r="O28" s="964"/>
      <c r="P28" s="964"/>
      <c r="Q28" s="964"/>
      <c r="R28" s="964"/>
      <c r="S28" s="964"/>
      <c r="T28" s="964"/>
      <c r="U28" s="964"/>
      <c r="V28" s="964"/>
      <c r="W28" s="964"/>
      <c r="X28" s="964"/>
      <c r="Y28" s="964"/>
      <c r="Z28" s="964"/>
      <c r="AA28" s="964"/>
      <c r="AB28" s="964"/>
    </row>
    <row r="29" spans="1:28" s="961" customFormat="1" hidden="1">
      <c r="A29" s="59" t="str">
        <f>'Suivi objectifs'!B2</f>
        <v>Bâtiments et équipements communaux</v>
      </c>
      <c r="B29" s="187" t="str">
        <f>'Suivi objectifs'!C2</f>
        <v>Bâtiments et équipements communaux</v>
      </c>
      <c r="C29" s="970">
        <f ca="1">'Suivi objectifs'!F2</f>
        <v>0</v>
      </c>
      <c r="H29"/>
      <c r="J29" s="963"/>
      <c r="K29" s="963"/>
      <c r="L29" s="963"/>
      <c r="M29" s="963"/>
      <c r="N29" s="963"/>
      <c r="O29" s="964"/>
      <c r="P29" s="964"/>
      <c r="Q29" s="964"/>
      <c r="R29" s="964"/>
      <c r="S29" s="964"/>
      <c r="T29" s="964"/>
      <c r="U29" s="964"/>
      <c r="V29" s="964"/>
      <c r="W29" s="964"/>
      <c r="X29" s="964"/>
      <c r="Y29" s="964"/>
      <c r="Z29" s="964"/>
      <c r="AA29" s="964"/>
      <c r="AB29" s="964"/>
    </row>
    <row r="30" spans="1:28" hidden="1">
      <c r="A30" s="59" t="str">
        <f>'Suivi objectifs'!B3</f>
        <v>Administration communale</v>
      </c>
      <c r="B30" s="187" t="str">
        <f>'Suivi objectifs'!C3</f>
        <v>Bâtiments et équipements communaux</v>
      </c>
      <c r="C30" s="970" t="e">
        <f ca="1">'Suivi objectifs'!F3</f>
        <v>#REF!</v>
      </c>
      <c r="J30" s="233"/>
      <c r="K30" s="233"/>
      <c r="L30" s="233"/>
      <c r="M30" s="233"/>
      <c r="N30" s="233"/>
    </row>
    <row r="31" spans="1:28" s="961" customFormat="1" hidden="1">
      <c r="A31" s="59">
        <f>'Suivi objectifs'!B4</f>
        <v>0</v>
      </c>
      <c r="B31" s="187" t="str">
        <f>'Suivi objectifs'!C4</f>
        <v>Eclairage public</v>
      </c>
      <c r="C31" s="970">
        <f>'Suivi objectifs'!F4</f>
        <v>0</v>
      </c>
      <c r="H31"/>
      <c r="J31" s="963"/>
      <c r="K31" s="963"/>
      <c r="L31" s="963"/>
      <c r="M31" s="963"/>
      <c r="N31" s="963"/>
      <c r="O31" s="964"/>
      <c r="P31" s="964"/>
      <c r="Q31" s="964"/>
      <c r="R31" s="964"/>
      <c r="S31" s="964"/>
      <c r="T31" s="964"/>
      <c r="U31" s="964"/>
      <c r="V31" s="964"/>
      <c r="W31" s="964"/>
      <c r="X31" s="964"/>
      <c r="Y31" s="964"/>
      <c r="Z31" s="964"/>
      <c r="AA31" s="964"/>
      <c r="AB31" s="964"/>
    </row>
    <row r="32" spans="1:28" s="961" customFormat="1" hidden="1">
      <c r="A32" s="59">
        <f>'Suivi objectifs'!B5</f>
        <v>0</v>
      </c>
      <c r="B32" s="187" t="str">
        <f>'Suivi objectifs'!C5</f>
        <v>Véhicules communaux</v>
      </c>
      <c r="C32" s="970">
        <f>'Suivi objectifs'!F5</f>
        <v>0</v>
      </c>
      <c r="H32"/>
      <c r="J32" s="963"/>
      <c r="K32" s="963"/>
      <c r="L32" s="963"/>
      <c r="M32" s="963"/>
      <c r="N32" s="963"/>
      <c r="O32" s="964"/>
      <c r="P32" s="964"/>
      <c r="Q32" s="964"/>
      <c r="R32" s="964"/>
      <c r="S32" s="964"/>
      <c r="T32" s="964"/>
      <c r="U32" s="964"/>
      <c r="V32" s="964"/>
      <c r="W32" s="964"/>
      <c r="X32" s="964"/>
      <c r="Y32" s="964"/>
      <c r="Z32" s="964"/>
      <c r="AA32" s="964"/>
      <c r="AB32" s="964"/>
    </row>
    <row r="33" spans="1:28" s="961" customFormat="1" hidden="1">
      <c r="A33" s="59">
        <f>'Suivi objectifs'!B6</f>
        <v>0</v>
      </c>
      <c r="B33" s="187" t="str">
        <f>'Suivi objectifs'!C6</f>
        <v>Industrie non-ETS</v>
      </c>
      <c r="C33" s="970">
        <f>'Suivi objectifs'!F6</f>
        <v>0</v>
      </c>
      <c r="H33"/>
      <c r="J33" s="963"/>
      <c r="K33" s="963"/>
      <c r="L33" s="963"/>
      <c r="M33" s="963"/>
      <c r="N33" s="963"/>
      <c r="O33" s="964"/>
      <c r="P33" s="964"/>
      <c r="Q33" s="964"/>
      <c r="R33" s="964"/>
      <c r="S33" s="964"/>
      <c r="T33" s="964"/>
      <c r="U33" s="964"/>
      <c r="V33" s="964"/>
      <c r="W33" s="964"/>
      <c r="X33" s="964"/>
      <c r="Y33" s="964"/>
      <c r="Z33" s="964"/>
      <c r="AA33" s="964"/>
      <c r="AB33" s="964"/>
    </row>
    <row r="34" spans="1:28" s="961" customFormat="1" hidden="1">
      <c r="A34" s="59">
        <f>'Suivi objectifs'!B7</f>
        <v>0</v>
      </c>
      <c r="B34" s="187" t="str">
        <f>'Suivi objectifs'!C7</f>
        <v>Tertiaire hors AC</v>
      </c>
      <c r="C34" s="970">
        <f>'Suivi objectifs'!F7</f>
        <v>0</v>
      </c>
      <c r="H34"/>
      <c r="J34" s="963"/>
      <c r="K34" s="963"/>
      <c r="L34" s="963"/>
      <c r="M34" s="963"/>
      <c r="N34" s="963"/>
      <c r="O34" s="964"/>
      <c r="P34" s="964"/>
      <c r="Q34" s="964"/>
      <c r="R34" s="964"/>
      <c r="S34" s="964"/>
      <c r="T34" s="964"/>
      <c r="U34" s="964"/>
      <c r="V34" s="964"/>
      <c r="W34" s="964"/>
      <c r="X34" s="964"/>
      <c r="Y34" s="964"/>
      <c r="Z34" s="964"/>
      <c r="AA34" s="964"/>
      <c r="AB34" s="964"/>
    </row>
    <row r="35" spans="1:28" s="961" customFormat="1" hidden="1">
      <c r="A35" s="59">
        <f>'Suivi objectifs'!B8</f>
        <v>0</v>
      </c>
      <c r="B35" s="187" t="str">
        <f>'Suivi objectifs'!C8</f>
        <v>Logement</v>
      </c>
      <c r="C35" s="970">
        <f>'Suivi objectifs'!F8</f>
        <v>0</v>
      </c>
      <c r="H35"/>
      <c r="J35" s="963"/>
      <c r="K35" s="963"/>
      <c r="L35" s="963"/>
      <c r="M35" s="963"/>
      <c r="N35" s="963"/>
      <c r="O35" s="964"/>
      <c r="P35" s="964"/>
      <c r="Q35" s="964"/>
      <c r="R35" s="964"/>
      <c r="S35" s="964"/>
      <c r="T35" s="964"/>
      <c r="U35" s="964"/>
      <c r="V35" s="964"/>
      <c r="W35" s="964"/>
      <c r="X35" s="964"/>
      <c r="Y35" s="964"/>
      <c r="Z35" s="964"/>
      <c r="AA35" s="964"/>
      <c r="AB35" s="964"/>
    </row>
    <row r="36" spans="1:28" s="961" customFormat="1" hidden="1">
      <c r="A36" s="59">
        <f>'Suivi objectifs'!B9</f>
        <v>0</v>
      </c>
      <c r="B36" s="187" t="str">
        <f>'Suivi objectifs'!C9</f>
        <v>Agriculture</v>
      </c>
      <c r="C36" s="970">
        <f>'Suivi objectifs'!F9</f>
        <v>0</v>
      </c>
      <c r="H36"/>
      <c r="J36" s="963"/>
      <c r="K36" s="963"/>
      <c r="L36" s="963"/>
      <c r="M36" s="963"/>
      <c r="N36" s="963"/>
      <c r="O36" s="964"/>
      <c r="P36" s="964"/>
      <c r="Q36" s="964"/>
      <c r="R36" s="964"/>
      <c r="S36" s="964"/>
      <c r="T36" s="964"/>
      <c r="U36" s="964"/>
      <c r="V36" s="964"/>
      <c r="W36" s="964"/>
      <c r="X36" s="964"/>
      <c r="Y36" s="964"/>
      <c r="Z36" s="964"/>
      <c r="AA36" s="964"/>
      <c r="AB36" s="964"/>
    </row>
    <row r="37" spans="1:28" hidden="1">
      <c r="A37" s="59">
        <f>'Suivi objectifs'!B10</f>
        <v>0</v>
      </c>
      <c r="B37" s="187" t="str">
        <f>'Suivi objectifs'!C10</f>
        <v>Transport hors AC</v>
      </c>
      <c r="C37" s="970">
        <f>'Suivi objectifs'!F10</f>
        <v>0</v>
      </c>
      <c r="J37" s="233"/>
      <c r="K37" s="233"/>
      <c r="L37" s="233"/>
      <c r="M37" s="233"/>
      <c r="N37" s="233"/>
    </row>
    <row r="38" spans="1:28" hidden="1">
      <c r="A38" s="59">
        <f>'Suivi objectifs'!B11</f>
        <v>0</v>
      </c>
      <c r="B38" s="187" t="str">
        <f>'Suivi objectifs'!C11</f>
        <v>Chauffage des bâtiments communaux</v>
      </c>
      <c r="C38" s="970">
        <f>'Suivi objectifs'!F11</f>
        <v>0</v>
      </c>
      <c r="J38" s="233"/>
      <c r="K38" s="233"/>
      <c r="L38" s="233"/>
      <c r="M38" s="233"/>
      <c r="N38" s="233"/>
    </row>
    <row r="39" spans="1:28" hidden="1">
      <c r="A39" s="59">
        <f>'Suivi objectifs'!B12</f>
        <v>0</v>
      </c>
      <c r="B39" s="187" t="str">
        <f>'Suivi objectifs'!C12</f>
        <v>Véhicules communaux</v>
      </c>
      <c r="C39" s="970">
        <f>'Suivi objectifs'!F12</f>
        <v>0</v>
      </c>
      <c r="J39" s="233"/>
      <c r="K39" s="233"/>
      <c r="L39" s="233"/>
      <c r="M39" s="233"/>
      <c r="N39" s="233"/>
    </row>
    <row r="40" spans="1:28" hidden="1">
      <c r="A40" s="59">
        <f>'Suivi objectifs'!B13</f>
        <v>0</v>
      </c>
      <c r="B40" s="187" t="str">
        <f>'Suivi objectifs'!C13</f>
        <v>Processus industriels</v>
      </c>
      <c r="C40" s="970">
        <f>'Suivi objectifs'!F13</f>
        <v>0</v>
      </c>
      <c r="J40" s="233"/>
      <c r="K40" s="233"/>
      <c r="L40" s="233"/>
      <c r="M40" s="233"/>
      <c r="N40" s="233"/>
    </row>
    <row r="41" spans="1:28" hidden="1">
      <c r="A41" s="59">
        <f>'Suivi objectifs'!B14</f>
        <v>0</v>
      </c>
      <c r="B41" s="187" t="str">
        <f>'Suivi objectifs'!C14</f>
        <v>Chauffage des bâtiments du tertiaire</v>
      </c>
      <c r="C41" s="970">
        <f>'Suivi objectifs'!F14</f>
        <v>0</v>
      </c>
      <c r="J41" s="233"/>
      <c r="K41" s="233"/>
      <c r="L41" s="233"/>
      <c r="M41" s="233"/>
      <c r="N41" s="233"/>
    </row>
    <row r="42" spans="1:28" hidden="1">
      <c r="A42" s="59">
        <f>'Suivi objectifs'!B15</f>
        <v>0</v>
      </c>
      <c r="B42" s="187" t="str">
        <f>'Suivi objectifs'!C15</f>
        <v>Chauffage des logements</v>
      </c>
      <c r="C42" s="970">
        <f>'Suivi objectifs'!F15</f>
        <v>0</v>
      </c>
      <c r="J42" s="233"/>
      <c r="K42" s="233"/>
      <c r="L42" s="233"/>
      <c r="M42" s="233"/>
      <c r="N42" s="233"/>
    </row>
    <row r="43" spans="1:28" hidden="1">
      <c r="A43" s="59">
        <f>'Suivi objectifs'!B16</f>
        <v>0</v>
      </c>
      <c r="B43" s="187" t="str">
        <f>'Suivi objectifs'!C16</f>
        <v>Transport hors AC</v>
      </c>
      <c r="C43" s="970">
        <f>'Suivi objectifs'!F16</f>
        <v>0</v>
      </c>
      <c r="J43" s="233"/>
      <c r="K43" s="233"/>
      <c r="L43" s="233"/>
      <c r="M43" s="233"/>
      <c r="N43" s="233"/>
    </row>
    <row r="44" spans="1:28" hidden="1">
      <c r="A44" s="59">
        <f>'Suivi objectifs'!B17</f>
        <v>0</v>
      </c>
      <c r="B44" s="187" t="str">
        <f>'Suivi objectifs'!C17</f>
        <v>Chauffage des bâtiments communaux</v>
      </c>
      <c r="C44" s="970">
        <f>'Suivi objectifs'!F17</f>
        <v>0</v>
      </c>
      <c r="J44" s="233"/>
      <c r="K44" s="233"/>
      <c r="L44" s="233"/>
      <c r="M44" s="233"/>
      <c r="N44" s="233"/>
    </row>
    <row r="45" spans="1:28" hidden="1">
      <c r="A45" s="59">
        <f>'Suivi objectifs'!B18</f>
        <v>0</v>
      </c>
      <c r="B45" s="187" t="str">
        <f>'Suivi objectifs'!C18</f>
        <v>Chauffage des bâtiments du tertiaire</v>
      </c>
      <c r="C45" s="970">
        <f>'Suivi objectifs'!F18</f>
        <v>0</v>
      </c>
      <c r="J45" s="233"/>
      <c r="K45" s="233"/>
      <c r="L45" s="233"/>
      <c r="M45" s="233"/>
      <c r="N45" s="233"/>
    </row>
    <row r="46" spans="1:28" hidden="1">
      <c r="A46" s="59">
        <f>'Suivi objectifs'!B19</f>
        <v>0</v>
      </c>
      <c r="B46" s="187" t="str">
        <f>'Suivi objectifs'!C19</f>
        <v>Chauffage des logements</v>
      </c>
      <c r="C46" s="970">
        <f>'Suivi objectifs'!F19</f>
        <v>0</v>
      </c>
      <c r="J46" s="233"/>
      <c r="K46" s="233"/>
      <c r="L46" s="233"/>
      <c r="M46" s="233"/>
      <c r="N46" s="233"/>
    </row>
    <row r="47" spans="1:28" hidden="1">
      <c r="A47" s="59">
        <f>'Suivi objectifs'!B23</f>
        <v>0</v>
      </c>
      <c r="B47" s="187" t="str">
        <f>'Suivi objectifs'!C23</f>
        <v>Chauffage des bâtiments communaux</v>
      </c>
      <c r="C47" s="970">
        <f>'Suivi objectifs'!F23</f>
        <v>0</v>
      </c>
      <c r="J47" s="233"/>
      <c r="K47" s="233"/>
      <c r="L47" s="233"/>
      <c r="M47" s="233"/>
      <c r="N47" s="233"/>
    </row>
    <row r="48" spans="1:28" hidden="1">
      <c r="A48" s="59">
        <f>'Suivi objectifs'!B24</f>
        <v>0</v>
      </c>
      <c r="B48" s="187" t="str">
        <f>'Suivi objectifs'!C24</f>
        <v>Véhicules communaux</v>
      </c>
      <c r="C48" s="970">
        <f>'Suivi objectifs'!F24</f>
        <v>0</v>
      </c>
      <c r="J48" s="233"/>
      <c r="K48" s="233"/>
      <c r="L48" s="233"/>
      <c r="M48" s="233"/>
      <c r="N48" s="233"/>
    </row>
    <row r="49" spans="1:28" hidden="1">
      <c r="A49" s="59">
        <f>'Suivi objectifs'!B25</f>
        <v>0</v>
      </c>
      <c r="B49" s="187" t="str">
        <f>'Suivi objectifs'!C25</f>
        <v>Processus industriels</v>
      </c>
      <c r="C49" s="970">
        <f>'Suivi objectifs'!F25</f>
        <v>0</v>
      </c>
      <c r="J49" s="233"/>
      <c r="K49" s="233"/>
      <c r="L49" s="233"/>
      <c r="M49" s="233"/>
      <c r="N49" s="233"/>
    </row>
    <row r="50" spans="1:28" s="961" customFormat="1" hidden="1">
      <c r="A50" s="59">
        <f>'Suivi objectifs'!B26</f>
        <v>0</v>
      </c>
      <c r="B50" s="187" t="str">
        <f>'Suivi objectifs'!C26</f>
        <v>Chauffage des bâtiments du tertiaire</v>
      </c>
      <c r="C50" s="970">
        <f>'Suivi objectifs'!F26</f>
        <v>0</v>
      </c>
      <c r="H50"/>
      <c r="J50" s="963"/>
      <c r="K50" s="963"/>
      <c r="L50" s="963"/>
      <c r="M50" s="963"/>
      <c r="N50" s="963"/>
      <c r="O50" s="964"/>
      <c r="P50" s="964"/>
      <c r="Q50" s="964"/>
      <c r="R50" s="964"/>
      <c r="S50" s="964"/>
      <c r="T50" s="964"/>
      <c r="U50" s="964"/>
      <c r="V50" s="964"/>
      <c r="W50" s="964"/>
      <c r="X50" s="964"/>
      <c r="Y50" s="964"/>
      <c r="Z50" s="964"/>
      <c r="AA50" s="964"/>
      <c r="AB50" s="964"/>
    </row>
    <row r="51" spans="1:28" s="961" customFormat="1" hidden="1">
      <c r="A51" s="59">
        <f>'Suivi objectifs'!B27</f>
        <v>0</v>
      </c>
      <c r="B51" s="187" t="str">
        <f>'Suivi objectifs'!C27</f>
        <v>Chauffage des logements</v>
      </c>
      <c r="C51" s="970">
        <f>'Suivi objectifs'!F27</f>
        <v>0</v>
      </c>
      <c r="H51"/>
      <c r="J51" s="963"/>
      <c r="K51" s="963"/>
      <c r="L51" s="963"/>
      <c r="M51" s="963"/>
      <c r="N51" s="963"/>
      <c r="O51" s="964"/>
      <c r="P51" s="964"/>
      <c r="Q51" s="964"/>
      <c r="R51" s="964"/>
      <c r="S51" s="964"/>
      <c r="T51" s="964"/>
      <c r="U51" s="964"/>
      <c r="V51" s="964"/>
      <c r="W51" s="964"/>
      <c r="X51" s="964"/>
      <c r="Y51" s="964"/>
      <c r="Z51" s="964"/>
      <c r="AA51" s="964"/>
      <c r="AB51" s="964"/>
    </row>
    <row r="52" spans="1:28" hidden="1">
      <c r="A52" s="59">
        <f>'Suivi objectifs'!B28</f>
        <v>0</v>
      </c>
      <c r="B52" s="187" t="str">
        <f>'Suivi objectifs'!C28</f>
        <v>Transport hors AC</v>
      </c>
      <c r="C52" s="970">
        <f>'Suivi objectifs'!F28</f>
        <v>0</v>
      </c>
      <c r="J52" s="233"/>
      <c r="K52" s="233"/>
      <c r="L52" s="233"/>
      <c r="M52" s="233"/>
      <c r="N52" s="233"/>
    </row>
    <row r="53" spans="1:28" s="961" customFormat="1" hidden="1">
      <c r="A53" s="59" t="str">
        <f>'Suivi objectifs'!B29</f>
        <v>Production d'électricité</v>
      </c>
      <c r="B53" s="187" t="str">
        <f>'Suivi objectifs'!C29</f>
        <v>Eolien</v>
      </c>
      <c r="C53" s="970">
        <f>'Suivi objectifs'!F29</f>
        <v>0</v>
      </c>
      <c r="H53"/>
      <c r="J53" s="963"/>
      <c r="K53" s="963"/>
      <c r="L53" s="963"/>
      <c r="M53" s="963"/>
      <c r="N53" s="963"/>
      <c r="O53" s="964"/>
      <c r="P53" s="964"/>
      <c r="Q53" s="964"/>
      <c r="R53" s="964"/>
      <c r="S53" s="964"/>
      <c r="T53" s="964"/>
      <c r="U53" s="964"/>
      <c r="V53" s="964"/>
      <c r="W53" s="964"/>
      <c r="X53" s="964"/>
      <c r="Y53" s="964"/>
      <c r="Z53" s="964"/>
      <c r="AA53" s="964"/>
      <c r="AB53" s="964"/>
    </row>
    <row r="54" spans="1:28" hidden="1">
      <c r="A54" s="59" t="str">
        <f>'Suivi objectifs'!B30</f>
        <v>Production d'électricité</v>
      </c>
      <c r="B54" s="187" t="str">
        <f>'Suivi objectifs'!C30</f>
        <v>Solaire PV</v>
      </c>
      <c r="C54" s="970">
        <f>'Suivi objectifs'!F30</f>
        <v>0</v>
      </c>
      <c r="J54" s="233"/>
      <c r="K54" s="233"/>
      <c r="L54" s="233"/>
      <c r="M54" s="233"/>
      <c r="N54" s="233"/>
    </row>
    <row r="55" spans="1:28" s="961" customFormat="1" hidden="1">
      <c r="A55" s="59" t="str">
        <f>'Suivi objectifs'!B31</f>
        <v>Production de chaleur</v>
      </c>
      <c r="B55" s="187" t="str">
        <f>'Suivi objectifs'!C31</f>
        <v>Solaire thermique</v>
      </c>
      <c r="C55" s="970">
        <f>'Suivi objectifs'!F31</f>
        <v>0</v>
      </c>
      <c r="H55"/>
      <c r="J55" s="963"/>
      <c r="K55" s="963"/>
      <c r="L55" s="963"/>
      <c r="M55" s="963"/>
      <c r="N55" s="963"/>
      <c r="O55" s="964"/>
      <c r="P55" s="964"/>
      <c r="Q55" s="964"/>
      <c r="R55" s="964"/>
      <c r="S55" s="964"/>
      <c r="T55" s="964"/>
      <c r="U55" s="964"/>
      <c r="V55" s="964"/>
      <c r="W55" s="964"/>
      <c r="X55" s="964"/>
      <c r="Y55" s="964"/>
      <c r="Z55" s="964"/>
      <c r="AA55" s="964"/>
      <c r="AB55" s="964"/>
    </row>
    <row r="56" spans="1:28" hidden="1">
      <c r="A56" s="59" t="str">
        <f>'Suivi objectifs'!B32</f>
        <v>Cogénération</v>
      </c>
      <c r="B56" s="187" t="str">
        <f>'Suivi objectifs'!C32</f>
        <v>Biométhanisation</v>
      </c>
      <c r="C56" s="970">
        <f>'Suivi objectifs'!F32</f>
        <v>0</v>
      </c>
      <c r="J56" s="233"/>
      <c r="K56" s="233"/>
      <c r="L56" s="233"/>
      <c r="M56" s="233"/>
      <c r="N56" s="233"/>
    </row>
    <row r="57" spans="1:28" hidden="1">
      <c r="A57" s="59" t="str">
        <f>'Suivi objectifs'!B34</f>
        <v>Production de chaleur</v>
      </c>
      <c r="B57" s="187" t="str">
        <f>'Suivi objectifs'!C34</f>
        <v>Bois énergie</v>
      </c>
      <c r="C57" s="970">
        <f>'Suivi objectifs'!F34</f>
        <v>0</v>
      </c>
      <c r="J57" s="233"/>
      <c r="K57" s="233"/>
      <c r="L57" s="233"/>
      <c r="M57" s="233"/>
      <c r="N57" s="233"/>
    </row>
    <row r="58" spans="1:28" hidden="1">
      <c r="A58" s="59" t="str">
        <f>'Suivi objectifs'!B35</f>
        <v>Production d'électricité</v>
      </c>
      <c r="B58" s="187" t="str">
        <f>'Suivi objectifs'!C35</f>
        <v>Hydroénergie</v>
      </c>
      <c r="C58" s="970">
        <f>'Suivi objectifs'!F35</f>
        <v>0</v>
      </c>
      <c r="J58" s="233"/>
      <c r="K58" s="233"/>
      <c r="L58" s="233"/>
      <c r="M58" s="233"/>
      <c r="N58" s="233"/>
    </row>
    <row r="59" spans="1:28" hidden="1">
      <c r="A59" s="59" t="str">
        <f>'Suivi objectifs'!B36</f>
        <v>Gestion des déchets</v>
      </c>
      <c r="B59" s="187" t="str">
        <f>'Suivi objectifs'!C36</f>
        <v>Gestion des déchets</v>
      </c>
      <c r="C59" s="970">
        <f>'Suivi objectifs'!F36</f>
        <v>0</v>
      </c>
      <c r="J59" s="233"/>
      <c r="K59" s="233"/>
      <c r="L59" s="233"/>
      <c r="M59" s="233"/>
      <c r="N59" s="233"/>
    </row>
    <row r="60" spans="1:28" hidden="1">
      <c r="A60" s="59" t="str">
        <f>'Suivi objectifs'!B37</f>
        <v>Traitement des eaux usées</v>
      </c>
      <c r="B60" s="187" t="str">
        <f>'Suivi objectifs'!C37</f>
        <v>Traitement des eaux usées</v>
      </c>
      <c r="C60" s="970">
        <f>'Suivi objectifs'!F37</f>
        <v>0</v>
      </c>
      <c r="J60" s="233"/>
      <c r="K60" s="233"/>
      <c r="L60" s="233"/>
      <c r="M60" s="233"/>
      <c r="N60" s="233"/>
    </row>
    <row r="61" spans="1:28" hidden="1">
      <c r="A61" s="59" t="str">
        <f>'Suivi objectifs'!B38</f>
        <v>Autres non-énergétiques</v>
      </c>
      <c r="B61" s="187" t="str">
        <f>'Suivi objectifs'!C38</f>
        <v>Autres non-énergétiques</v>
      </c>
      <c r="C61" s="970">
        <f>'Suivi objectifs'!F38</f>
        <v>0</v>
      </c>
      <c r="J61" s="233"/>
      <c r="K61" s="233"/>
      <c r="L61" s="233"/>
      <c r="M61" s="233"/>
      <c r="N61" s="233"/>
    </row>
    <row r="62" spans="1:28" hidden="1">
      <c r="A62" s="59">
        <f>'Suivi objectifs'!B39</f>
        <v>0</v>
      </c>
      <c r="B62" s="187">
        <f>'Suivi objectifs'!C39</f>
        <v>0</v>
      </c>
      <c r="C62" s="970">
        <f>'Suivi objectifs'!F39</f>
        <v>0</v>
      </c>
      <c r="J62" s="233"/>
      <c r="K62" s="233"/>
      <c r="L62" s="233"/>
      <c r="M62" s="233"/>
      <c r="N62" s="233"/>
    </row>
    <row r="63" spans="1:28" s="961" customFormat="1" hidden="1">
      <c r="A63" s="59">
        <f>'Suivi objectifs'!B40</f>
        <v>0</v>
      </c>
      <c r="B63" s="187">
        <f>'Suivi objectifs'!C40</f>
        <v>0</v>
      </c>
      <c r="C63" s="970">
        <f>'Suivi objectifs'!F40</f>
        <v>0</v>
      </c>
      <c r="H63"/>
      <c r="J63" s="963"/>
      <c r="K63" s="963"/>
      <c r="L63" s="963"/>
      <c r="M63" s="963"/>
      <c r="N63" s="963"/>
      <c r="O63" s="964"/>
      <c r="P63" s="964"/>
      <c r="Q63" s="964"/>
      <c r="R63" s="964"/>
      <c r="S63" s="964"/>
      <c r="T63" s="964"/>
      <c r="U63" s="964"/>
      <c r="V63" s="964"/>
      <c r="W63" s="964"/>
      <c r="X63" s="964"/>
      <c r="Y63" s="964"/>
      <c r="Z63" s="964"/>
      <c r="AA63" s="964"/>
      <c r="AB63" s="964"/>
    </row>
    <row r="64" spans="1:28" s="961" customFormat="1" hidden="1">
      <c r="A64" s="59">
        <f>'Suivi objectifs'!B41</f>
        <v>0</v>
      </c>
      <c r="B64" s="187">
        <f>'Suivi objectifs'!C41</f>
        <v>0</v>
      </c>
      <c r="C64" s="970">
        <f>'Suivi objectifs'!F41</f>
        <v>0</v>
      </c>
      <c r="H64"/>
      <c r="J64" s="963"/>
      <c r="K64" s="963"/>
      <c r="L64" s="963"/>
      <c r="M64" s="963"/>
      <c r="N64" s="963"/>
      <c r="O64" s="964"/>
      <c r="P64" s="964"/>
      <c r="Q64" s="964"/>
      <c r="R64" s="964"/>
      <c r="S64" s="964"/>
      <c r="T64" s="964"/>
      <c r="U64" s="964"/>
      <c r="V64" s="964"/>
      <c r="W64" s="964"/>
      <c r="X64" s="964"/>
      <c r="Y64" s="964"/>
      <c r="Z64" s="964"/>
      <c r="AA64" s="964"/>
      <c r="AB64" s="964"/>
    </row>
    <row r="65" spans="1:28" s="961" customFormat="1" hidden="1">
      <c r="A65" s="59">
        <f>'Suivi objectifs'!B42</f>
        <v>0</v>
      </c>
      <c r="B65" s="187">
        <f>'Suivi objectifs'!C42</f>
        <v>0</v>
      </c>
      <c r="C65" s="970">
        <f>'Suivi objectifs'!F42</f>
        <v>0</v>
      </c>
      <c r="H65"/>
      <c r="J65" s="963"/>
      <c r="K65" s="963"/>
      <c r="L65" s="963"/>
      <c r="M65" s="963"/>
      <c r="N65" s="963"/>
      <c r="O65" s="964"/>
      <c r="P65" s="964"/>
      <c r="Q65" s="964"/>
      <c r="R65" s="964"/>
      <c r="S65" s="964"/>
      <c r="T65" s="964"/>
      <c r="U65" s="964"/>
      <c r="V65" s="964"/>
      <c r="W65" s="964"/>
      <c r="X65" s="964"/>
      <c r="Y65" s="964"/>
      <c r="Z65" s="964"/>
      <c r="AA65" s="964"/>
      <c r="AB65" s="964"/>
    </row>
    <row r="66" spans="1:28" hidden="1">
      <c r="A66" s="59">
        <f>'Suivi objectifs'!B43</f>
        <v>0</v>
      </c>
      <c r="B66" s="187">
        <f>'Suivi objectifs'!C43</f>
        <v>0</v>
      </c>
      <c r="C66" s="970">
        <f>'Suivi objectifs'!F43</f>
        <v>0</v>
      </c>
      <c r="J66" s="233"/>
      <c r="K66" s="233"/>
      <c r="L66" s="233"/>
      <c r="M66" s="233"/>
      <c r="N66" s="233"/>
    </row>
    <row r="67" spans="1:28" hidden="1">
      <c r="A67" s="1407">
        <f>'Suivi objectifs'!B44</f>
        <v>0</v>
      </c>
      <c r="B67" s="1408">
        <f>'Suivi objectifs'!C44</f>
        <v>0</v>
      </c>
      <c r="C67" s="971">
        <f>'Suivi objectifs'!F44</f>
        <v>0</v>
      </c>
      <c r="J67" s="233"/>
      <c r="K67" s="233"/>
      <c r="L67" s="233"/>
      <c r="M67" s="233"/>
      <c r="N67" s="233"/>
    </row>
    <row r="68" spans="1:28" s="961" customFormat="1">
      <c r="H68"/>
      <c r="J68" s="963"/>
      <c r="K68" s="963"/>
      <c r="L68" s="963"/>
      <c r="M68" s="963"/>
      <c r="N68" s="963"/>
      <c r="O68" s="964"/>
      <c r="P68" s="964"/>
      <c r="Q68" s="964"/>
      <c r="R68" s="964"/>
      <c r="S68" s="964"/>
      <c r="T68" s="964"/>
      <c r="U68" s="964"/>
      <c r="V68" s="964"/>
      <c r="W68" s="964"/>
      <c r="X68" s="964"/>
      <c r="Y68" s="964"/>
      <c r="Z68" s="964"/>
      <c r="AA68" s="964"/>
      <c r="AB68" s="964"/>
    </row>
    <row r="69" spans="1:28" ht="18">
      <c r="A69" s="2134" t="s">
        <v>1268</v>
      </c>
      <c r="B69" s="2134"/>
      <c r="J69" s="233"/>
      <c r="K69" s="233"/>
      <c r="L69" s="233"/>
      <c r="M69" s="233"/>
      <c r="N69" s="233"/>
    </row>
    <row r="70" spans="1:28">
      <c r="J70" s="233"/>
      <c r="K70" s="233"/>
      <c r="L70" s="233"/>
      <c r="M70" s="233"/>
      <c r="N70" s="233"/>
    </row>
    <row r="71" spans="1:28" s="961" customFormat="1">
      <c r="A71" s="972" t="s">
        <v>1269</v>
      </c>
      <c r="B71" s="972" t="s">
        <v>1177</v>
      </c>
      <c r="C71" s="972" t="s">
        <v>1078</v>
      </c>
      <c r="D71" s="972" t="s">
        <v>738</v>
      </c>
      <c r="E71" s="972" t="s">
        <v>1270</v>
      </c>
      <c r="F71" s="972" t="s">
        <v>733</v>
      </c>
      <c r="G71" s="972" t="s">
        <v>717</v>
      </c>
      <c r="H71"/>
      <c r="J71" s="963"/>
      <c r="K71" s="963"/>
      <c r="L71" s="963"/>
      <c r="M71" s="963"/>
      <c r="N71" s="963"/>
      <c r="O71" s="964"/>
      <c r="P71" s="964"/>
      <c r="Q71" s="964"/>
      <c r="R71" s="964"/>
      <c r="S71" s="964"/>
      <c r="T71" s="964"/>
      <c r="U71" s="964"/>
      <c r="V71" s="964"/>
      <c r="W71" s="964"/>
      <c r="X71" s="964"/>
      <c r="Y71" s="964"/>
      <c r="Z71" s="964"/>
      <c r="AA71" s="964"/>
      <c r="AB71" s="964"/>
    </row>
    <row r="72" spans="1:28" s="961" customFormat="1" hidden="1">
      <c r="A72" s="59">
        <f>Actions!F2</f>
        <v>1</v>
      </c>
      <c r="B72" s="187">
        <f ca="1">Actions!G2</f>
        <v>0</v>
      </c>
      <c r="C72" s="973">
        <f ca="1">Actions!AC2</f>
        <v>0</v>
      </c>
      <c r="D72" s="973">
        <f ca="1">Actions!AB2</f>
        <v>0</v>
      </c>
      <c r="E72" s="974">
        <f ca="1">Actions!Y2</f>
        <v>0</v>
      </c>
      <c r="F72" s="59">
        <f ca="1">Actions!Z2</f>
        <v>0</v>
      </c>
      <c r="G72" s="887">
        <f ca="1">Actions!AA2</f>
        <v>0</v>
      </c>
      <c r="H72" t="e">
        <f ca="1">IF(AND(G72&lt;&gt;"Finalisée",#REF!&gt;='Rapport de suivi'!F72),2,IF(AND(G72="A faire",#REF!&gt;='Rapport de suivi'!E72),1,0))</f>
        <v>#REF!</v>
      </c>
      <c r="J72" s="963"/>
      <c r="K72" s="963"/>
      <c r="L72" s="963"/>
      <c r="M72" s="963"/>
      <c r="N72" s="963"/>
      <c r="O72" s="964"/>
      <c r="P72" s="964"/>
      <c r="Q72" s="964"/>
      <c r="R72" s="964"/>
      <c r="S72" s="964"/>
      <c r="T72" s="964"/>
      <c r="U72" s="964"/>
      <c r="V72" s="964"/>
      <c r="W72" s="964"/>
      <c r="X72" s="964"/>
      <c r="Y72" s="964"/>
      <c r="Z72" s="964"/>
      <c r="AA72" s="964"/>
      <c r="AB72" s="964"/>
    </row>
    <row r="73" spans="1:28" hidden="1">
      <c r="A73" s="59">
        <f>Actions!F3</f>
        <v>2</v>
      </c>
      <c r="B73" s="187">
        <f ca="1">Actions!G3</f>
        <v>0</v>
      </c>
      <c r="C73" s="973">
        <f ca="1">Actions!AC3</f>
        <v>0</v>
      </c>
      <c r="D73" s="973">
        <f ca="1">Actions!AB3</f>
        <v>0</v>
      </c>
      <c r="E73" s="974">
        <f ca="1">Actions!Y3</f>
        <v>0</v>
      </c>
      <c r="F73" s="59">
        <f ca="1">Actions!Z3</f>
        <v>0</v>
      </c>
      <c r="G73" s="887">
        <f ca="1">Actions!AA3</f>
        <v>0</v>
      </c>
      <c r="H73" t="e">
        <f ca="1">IF(AND(G73&lt;&gt;"Finalisée",#REF!&gt;='Rapport de suivi'!F73),2,IF(AND(G73="A faire",#REF!&gt;='Rapport de suivi'!E73),1,0))</f>
        <v>#REF!</v>
      </c>
      <c r="J73" s="233"/>
      <c r="K73" s="233"/>
      <c r="L73" s="233"/>
      <c r="M73" s="233"/>
      <c r="N73" s="233"/>
    </row>
    <row r="74" spans="1:28" hidden="1">
      <c r="A74" s="59">
        <f>Actions!F4</f>
        <v>3</v>
      </c>
      <c r="B74" s="187">
        <f ca="1">Actions!G4</f>
        <v>0</v>
      </c>
      <c r="C74" s="973">
        <f ca="1">Actions!AC4</f>
        <v>0</v>
      </c>
      <c r="D74" s="973">
        <f ca="1">Actions!AB4</f>
        <v>0</v>
      </c>
      <c r="E74" s="974">
        <f ca="1">Actions!Y4</f>
        <v>0</v>
      </c>
      <c r="F74" s="59">
        <f ca="1">Actions!Z4</f>
        <v>0</v>
      </c>
      <c r="G74" s="887">
        <f ca="1">Actions!AA4</f>
        <v>0</v>
      </c>
      <c r="H74" t="e">
        <f ca="1">IF(AND(G74&lt;&gt;"Finalisée",#REF!&gt;='Rapport de suivi'!F74),2,IF(AND(G74="A faire",#REF!&gt;='Rapport de suivi'!E74),1,0))</f>
        <v>#REF!</v>
      </c>
      <c r="J74" s="233"/>
      <c r="K74" s="233"/>
      <c r="L74" s="233"/>
      <c r="M74" s="233"/>
      <c r="N74" s="233"/>
    </row>
    <row r="75" spans="1:28" hidden="1">
      <c r="A75" s="59">
        <f>Actions!F5</f>
        <v>4</v>
      </c>
      <c r="B75" s="187">
        <f ca="1">Actions!G5</f>
        <v>0</v>
      </c>
      <c r="C75" s="973">
        <f ca="1">Actions!AC5</f>
        <v>0</v>
      </c>
      <c r="D75" s="973">
        <f ca="1">Actions!AB5</f>
        <v>0</v>
      </c>
      <c r="E75" s="974">
        <f ca="1">Actions!Y5</f>
        <v>0</v>
      </c>
      <c r="F75" s="59">
        <f ca="1">Actions!Z5</f>
        <v>0</v>
      </c>
      <c r="G75" s="887">
        <f ca="1">Actions!AA5</f>
        <v>0</v>
      </c>
      <c r="H75" t="e">
        <f ca="1">IF(AND(G75&lt;&gt;"Finalisée",#REF!&gt;='Rapport de suivi'!F75),2,IF(AND(G75="A faire",#REF!&gt;='Rapport de suivi'!E75),1,0))</f>
        <v>#REF!</v>
      </c>
      <c r="J75" s="233"/>
      <c r="K75" s="233"/>
      <c r="L75" s="233"/>
      <c r="M75" s="233"/>
      <c r="N75" s="233"/>
    </row>
    <row r="76" spans="1:28" hidden="1">
      <c r="A76" s="59">
        <f>Actions!F6</f>
        <v>5</v>
      </c>
      <c r="B76" s="187">
        <f ca="1">Actions!G6</f>
        <v>0</v>
      </c>
      <c r="C76" s="973">
        <f ca="1">Actions!AC6</f>
        <v>0</v>
      </c>
      <c r="D76" s="973">
        <f ca="1">Actions!AB6</f>
        <v>0</v>
      </c>
      <c r="E76" s="974">
        <f ca="1">Actions!Y6</f>
        <v>0</v>
      </c>
      <c r="F76" s="59">
        <f ca="1">Actions!Z6</f>
        <v>0</v>
      </c>
      <c r="G76" s="887">
        <f ca="1">Actions!AA6</f>
        <v>0</v>
      </c>
      <c r="H76" t="e">
        <f ca="1">IF(AND(G76&lt;&gt;"Finalisée",#REF!&gt;='Rapport de suivi'!F76),2,IF(AND(G76="A faire",#REF!&gt;='Rapport de suivi'!E76),1,0))</f>
        <v>#REF!</v>
      </c>
      <c r="J76" s="233"/>
      <c r="K76" s="233"/>
      <c r="L76" s="233"/>
      <c r="M76" s="233"/>
      <c r="N76" s="233"/>
    </row>
    <row r="77" spans="1:28" hidden="1">
      <c r="A77" s="59">
        <f>Actions!F7</f>
        <v>6</v>
      </c>
      <c r="B77" s="187">
        <f ca="1">Actions!G7</f>
        <v>0</v>
      </c>
      <c r="C77" s="973">
        <f ca="1">Actions!AC7</f>
        <v>0</v>
      </c>
      <c r="D77" s="973">
        <f ca="1">Actions!AB7</f>
        <v>0</v>
      </c>
      <c r="E77" s="974">
        <f ca="1">Actions!Y7</f>
        <v>0</v>
      </c>
      <c r="F77" s="59">
        <f ca="1">Actions!Z7</f>
        <v>0</v>
      </c>
      <c r="G77" s="887">
        <f ca="1">Actions!AA7</f>
        <v>0</v>
      </c>
      <c r="H77" t="e">
        <f ca="1">IF(AND(G77&lt;&gt;"Finalisée",#REF!&gt;='Rapport de suivi'!F77),2,IF(AND(G77="A faire",#REF!&gt;='Rapport de suivi'!E77),1,0))</f>
        <v>#REF!</v>
      </c>
      <c r="J77" s="233"/>
      <c r="K77" s="233"/>
      <c r="L77" s="233"/>
      <c r="M77" s="233"/>
      <c r="N77" s="233"/>
    </row>
    <row r="78" spans="1:28" hidden="1">
      <c r="A78" s="59">
        <f>Actions!F8</f>
        <v>7</v>
      </c>
      <c r="B78" s="187">
        <f ca="1">Actions!G8</f>
        <v>0</v>
      </c>
      <c r="C78" s="973">
        <f ca="1">Actions!AC8</f>
        <v>0</v>
      </c>
      <c r="D78" s="973">
        <f ca="1">Actions!AB8</f>
        <v>0</v>
      </c>
      <c r="E78" s="974">
        <f ca="1">Actions!Y8</f>
        <v>0</v>
      </c>
      <c r="F78" s="59">
        <f ca="1">Actions!Z8</f>
        <v>0</v>
      </c>
      <c r="G78" s="887">
        <f ca="1">Actions!AA8</f>
        <v>0</v>
      </c>
      <c r="H78" t="e">
        <f ca="1">IF(AND(G78&lt;&gt;"Finalisée",#REF!&gt;='Rapport de suivi'!F78),2,IF(AND(G78="A faire",#REF!&gt;='Rapport de suivi'!E78),1,0))</f>
        <v>#REF!</v>
      </c>
      <c r="J78" s="233"/>
      <c r="K78" s="233"/>
      <c r="L78" s="233"/>
      <c r="M78" s="233"/>
      <c r="N78" s="233"/>
    </row>
    <row r="79" spans="1:28" hidden="1">
      <c r="A79" s="59">
        <f>Actions!F9</f>
        <v>8</v>
      </c>
      <c r="B79" s="187">
        <f ca="1">Actions!G9</f>
        <v>0</v>
      </c>
      <c r="C79" s="973">
        <f ca="1">Actions!AC9</f>
        <v>0</v>
      </c>
      <c r="D79" s="973">
        <f ca="1">Actions!AB9</f>
        <v>0</v>
      </c>
      <c r="E79" s="974">
        <f ca="1">Actions!Y9</f>
        <v>0</v>
      </c>
      <c r="F79" s="59">
        <f ca="1">Actions!Z9</f>
        <v>0</v>
      </c>
      <c r="G79" s="887">
        <f ca="1">Actions!AA9</f>
        <v>0</v>
      </c>
      <c r="H79" t="e">
        <f ca="1">IF(AND(G79&lt;&gt;"Finalisée",#REF!&gt;='Rapport de suivi'!F79),2,IF(AND(G79="A faire",#REF!&gt;='Rapport de suivi'!E79),1,0))</f>
        <v>#REF!</v>
      </c>
      <c r="J79" s="233"/>
      <c r="K79" s="233"/>
      <c r="L79" s="233"/>
      <c r="M79" s="233"/>
      <c r="N79" s="233"/>
    </row>
    <row r="80" spans="1:28" hidden="1">
      <c r="A80" s="59">
        <f>Actions!F10</f>
        <v>9</v>
      </c>
      <c r="B80" s="187">
        <f ca="1">Actions!G10</f>
        <v>0</v>
      </c>
      <c r="C80" s="973">
        <f ca="1">Actions!AC10</f>
        <v>0</v>
      </c>
      <c r="D80" s="973">
        <f ca="1">Actions!AB10</f>
        <v>0</v>
      </c>
      <c r="E80" s="974">
        <f ca="1">Actions!Y10</f>
        <v>0</v>
      </c>
      <c r="F80" s="59">
        <f ca="1">Actions!Z10</f>
        <v>0</v>
      </c>
      <c r="G80" s="887">
        <f ca="1">Actions!AA10</f>
        <v>0</v>
      </c>
      <c r="H80" t="e">
        <f ca="1">IF(AND(G80&lt;&gt;"Finalisée",#REF!&gt;='Rapport de suivi'!F80),2,IF(AND(G80="A faire",#REF!&gt;='Rapport de suivi'!E80),1,0))</f>
        <v>#REF!</v>
      </c>
      <c r="J80" s="233"/>
      <c r="K80" s="233"/>
      <c r="L80" s="233"/>
      <c r="M80" s="233"/>
      <c r="N80" s="233"/>
    </row>
    <row r="81" spans="1:14" hidden="1">
      <c r="A81" s="59">
        <f>Actions!F11</f>
        <v>10</v>
      </c>
      <c r="B81" s="187">
        <f ca="1">Actions!G11</f>
        <v>0</v>
      </c>
      <c r="C81" s="973">
        <f ca="1">Actions!AC11</f>
        <v>0</v>
      </c>
      <c r="D81" s="973">
        <f ca="1">Actions!AB11</f>
        <v>0</v>
      </c>
      <c r="E81" s="974">
        <f ca="1">Actions!Y11</f>
        <v>0</v>
      </c>
      <c r="F81" s="59">
        <f ca="1">Actions!Z11</f>
        <v>0</v>
      </c>
      <c r="G81" s="887">
        <f ca="1">Actions!AA11</f>
        <v>0</v>
      </c>
      <c r="H81" t="e">
        <f ca="1">IF(AND(G81&lt;&gt;"Finalisée",#REF!&gt;='Rapport de suivi'!F81),2,IF(AND(G81="A faire",#REF!&gt;='Rapport de suivi'!E81),1,0))</f>
        <v>#REF!</v>
      </c>
      <c r="J81" s="233"/>
      <c r="K81" s="233"/>
      <c r="L81" s="233"/>
      <c r="M81" s="233"/>
      <c r="N81" s="233"/>
    </row>
    <row r="82" spans="1:14" hidden="1">
      <c r="A82" s="59">
        <f>Actions!F12</f>
        <v>11</v>
      </c>
      <c r="B82" s="187">
        <f ca="1">Actions!G12</f>
        <v>0</v>
      </c>
      <c r="C82" s="973">
        <f ca="1">Actions!AC12</f>
        <v>0</v>
      </c>
      <c r="D82" s="973">
        <f ca="1">Actions!AB12</f>
        <v>0</v>
      </c>
      <c r="E82" s="974">
        <f ca="1">Actions!Y12</f>
        <v>0</v>
      </c>
      <c r="F82" s="59">
        <f ca="1">Actions!Z12</f>
        <v>0</v>
      </c>
      <c r="G82" s="887">
        <f ca="1">Actions!AA12</f>
        <v>0</v>
      </c>
      <c r="H82" t="e">
        <f ca="1">IF(AND(G82&lt;&gt;"Finalisée",#REF!&gt;='Rapport de suivi'!F82),2,IF(AND(G82="A faire",#REF!&gt;='Rapport de suivi'!E82),1,0))</f>
        <v>#REF!</v>
      </c>
      <c r="J82" s="233"/>
      <c r="K82" s="233"/>
      <c r="L82" s="233"/>
      <c r="M82" s="233"/>
      <c r="N82" s="233"/>
    </row>
    <row r="83" spans="1:14" hidden="1">
      <c r="A83" s="59">
        <f>Actions!F13</f>
        <v>12</v>
      </c>
      <c r="B83" s="187">
        <f ca="1">Actions!G13</f>
        <v>0</v>
      </c>
      <c r="C83" s="973">
        <f ca="1">Actions!AC13</f>
        <v>0</v>
      </c>
      <c r="D83" s="973">
        <f ca="1">Actions!AB13</f>
        <v>0</v>
      </c>
      <c r="E83" s="974">
        <f ca="1">Actions!Y13</f>
        <v>0</v>
      </c>
      <c r="F83" s="59">
        <f ca="1">Actions!Z13</f>
        <v>0</v>
      </c>
      <c r="G83" s="887">
        <f ca="1">Actions!AA13</f>
        <v>0</v>
      </c>
      <c r="H83" t="e">
        <f ca="1">IF(AND(G83&lt;&gt;"Finalisée",#REF!&gt;='Rapport de suivi'!F83),2,IF(AND(G83="A faire",#REF!&gt;='Rapport de suivi'!E83),1,0))</f>
        <v>#REF!</v>
      </c>
      <c r="J83" s="233"/>
      <c r="K83" s="233"/>
      <c r="L83" s="233"/>
      <c r="M83" s="233"/>
      <c r="N83" s="233"/>
    </row>
    <row r="84" spans="1:14" hidden="1">
      <c r="A84" s="59">
        <f>Actions!F14</f>
        <v>13</v>
      </c>
      <c r="B84" s="187">
        <f ca="1">Actions!G14</f>
        <v>0</v>
      </c>
      <c r="C84" s="973">
        <f ca="1">Actions!AC14</f>
        <v>0</v>
      </c>
      <c r="D84" s="973">
        <f ca="1">Actions!AB14</f>
        <v>0</v>
      </c>
      <c r="E84" s="974">
        <f ca="1">Actions!Y14</f>
        <v>0</v>
      </c>
      <c r="F84" s="59">
        <f ca="1">Actions!Z14</f>
        <v>0</v>
      </c>
      <c r="G84" s="887">
        <f ca="1">Actions!AA14</f>
        <v>0</v>
      </c>
      <c r="H84" t="e">
        <f ca="1">IF(AND(G84&lt;&gt;"Finalisée",#REF!&gt;='Rapport de suivi'!F84),2,IF(AND(G84="A faire",#REF!&gt;='Rapport de suivi'!E84),1,0))</f>
        <v>#REF!</v>
      </c>
      <c r="J84" s="233"/>
      <c r="K84" s="233"/>
      <c r="L84" s="233"/>
      <c r="M84" s="233"/>
      <c r="N84" s="233"/>
    </row>
    <row r="85" spans="1:14" hidden="1">
      <c r="A85" s="59">
        <f>Actions!F15</f>
        <v>14</v>
      </c>
      <c r="B85" s="187">
        <f ca="1">Actions!G15</f>
        <v>0</v>
      </c>
      <c r="C85" s="973">
        <f ca="1">Actions!AC15</f>
        <v>0</v>
      </c>
      <c r="D85" s="973">
        <f ca="1">Actions!AB15</f>
        <v>0</v>
      </c>
      <c r="E85" s="974">
        <f ca="1">Actions!Y15</f>
        <v>0</v>
      </c>
      <c r="F85" s="59">
        <f ca="1">Actions!Z15</f>
        <v>0</v>
      </c>
      <c r="G85" s="887">
        <f ca="1">Actions!AA15</f>
        <v>0</v>
      </c>
      <c r="H85" t="e">
        <f ca="1">IF(AND(G85&lt;&gt;"Finalisée",#REF!&gt;='Rapport de suivi'!F85),2,IF(AND(G85="A faire",#REF!&gt;='Rapport de suivi'!E85),1,0))</f>
        <v>#REF!</v>
      </c>
      <c r="J85" s="233"/>
      <c r="K85" s="233"/>
      <c r="L85" s="233"/>
      <c r="M85" s="233"/>
      <c r="N85" s="233"/>
    </row>
    <row r="86" spans="1:14" hidden="1">
      <c r="A86" s="59">
        <f>Actions!F16</f>
        <v>15</v>
      </c>
      <c r="B86" s="187">
        <f ca="1">Actions!G16</f>
        <v>0</v>
      </c>
      <c r="C86" s="973">
        <f ca="1">Actions!AC16</f>
        <v>0</v>
      </c>
      <c r="D86" s="973">
        <f ca="1">Actions!AB16</f>
        <v>0</v>
      </c>
      <c r="E86" s="974">
        <f ca="1">Actions!Y16</f>
        <v>0</v>
      </c>
      <c r="F86" s="59">
        <f ca="1">Actions!Z16</f>
        <v>0</v>
      </c>
      <c r="G86" s="887">
        <f ca="1">Actions!AA16</f>
        <v>0</v>
      </c>
      <c r="H86" t="e">
        <f ca="1">IF(AND(G86&lt;&gt;"Finalisée",#REF!&gt;='Rapport de suivi'!F86),2,IF(AND(G86="A faire",#REF!&gt;='Rapport de suivi'!E86),1,0))</f>
        <v>#REF!</v>
      </c>
      <c r="J86" s="233"/>
      <c r="K86" s="233"/>
      <c r="L86" s="233"/>
      <c r="M86" s="233"/>
      <c r="N86" s="233"/>
    </row>
    <row r="87" spans="1:14" hidden="1">
      <c r="A87" s="59">
        <f>Actions!F17</f>
        <v>16</v>
      </c>
      <c r="B87" s="187">
        <f ca="1">Actions!G17</f>
        <v>0</v>
      </c>
      <c r="C87" s="973">
        <f ca="1">Actions!AC17</f>
        <v>0</v>
      </c>
      <c r="D87" s="973">
        <f ca="1">Actions!AB17</f>
        <v>0</v>
      </c>
      <c r="E87" s="974">
        <f ca="1">Actions!Y17</f>
        <v>0</v>
      </c>
      <c r="F87" s="59">
        <f ca="1">Actions!Z17</f>
        <v>0</v>
      </c>
      <c r="G87" s="887">
        <f ca="1">Actions!AA17</f>
        <v>0</v>
      </c>
      <c r="H87" t="e">
        <f ca="1">IF(AND(G87&lt;&gt;"Finalisée",#REF!&gt;='Rapport de suivi'!F87),2,IF(AND(G87="A faire",#REF!&gt;='Rapport de suivi'!E87),1,0))</f>
        <v>#REF!</v>
      </c>
      <c r="J87" s="233"/>
      <c r="K87" s="233"/>
      <c r="L87" s="233"/>
      <c r="M87" s="233"/>
      <c r="N87" s="233"/>
    </row>
    <row r="88" spans="1:14" hidden="1">
      <c r="A88" s="59">
        <f>Actions!F18</f>
        <v>17</v>
      </c>
      <c r="B88" s="187">
        <f ca="1">Actions!G18</f>
        <v>0</v>
      </c>
      <c r="C88" s="973">
        <f ca="1">Actions!AC18</f>
        <v>0</v>
      </c>
      <c r="D88" s="973">
        <f ca="1">Actions!AB18</f>
        <v>0</v>
      </c>
      <c r="E88" s="974">
        <f ca="1">Actions!Y18</f>
        <v>0</v>
      </c>
      <c r="F88" s="59">
        <f ca="1">Actions!Z18</f>
        <v>0</v>
      </c>
      <c r="G88" s="887">
        <f ca="1">Actions!AA18</f>
        <v>0</v>
      </c>
      <c r="H88" t="e">
        <f ca="1">IF(AND(G88&lt;&gt;"Finalisée",#REF!&gt;='Rapport de suivi'!F88),2,IF(AND(G88="A faire",#REF!&gt;='Rapport de suivi'!E88),1,0))</f>
        <v>#REF!</v>
      </c>
      <c r="J88" s="233"/>
      <c r="K88" s="233"/>
      <c r="L88" s="233"/>
      <c r="M88" s="233"/>
      <c r="N88" s="233"/>
    </row>
    <row r="89" spans="1:14" hidden="1">
      <c r="A89" s="59">
        <f>Actions!F19</f>
        <v>18</v>
      </c>
      <c r="B89" s="187">
        <f ca="1">Actions!G19</f>
        <v>0</v>
      </c>
      <c r="C89" s="973">
        <f ca="1">Actions!AC19</f>
        <v>0</v>
      </c>
      <c r="D89" s="973">
        <f ca="1">Actions!AB19</f>
        <v>0</v>
      </c>
      <c r="E89" s="974">
        <f ca="1">Actions!Y19</f>
        <v>0</v>
      </c>
      <c r="F89" s="59">
        <f ca="1">Actions!Z19</f>
        <v>0</v>
      </c>
      <c r="G89" s="887">
        <f ca="1">Actions!AA19</f>
        <v>0</v>
      </c>
      <c r="H89" t="e">
        <f ca="1">IF(AND(G89&lt;&gt;"Finalisée",#REF!&gt;='Rapport de suivi'!F89),2,IF(AND(G89="A faire",#REF!&gt;='Rapport de suivi'!E89),1,0))</f>
        <v>#REF!</v>
      </c>
      <c r="J89" s="233"/>
      <c r="K89" s="233"/>
      <c r="L89" s="233"/>
      <c r="M89" s="233"/>
      <c r="N89" s="233"/>
    </row>
    <row r="90" spans="1:14" hidden="1">
      <c r="A90" s="59">
        <f>Actions!F20</f>
        <v>19</v>
      </c>
      <c r="B90" s="187">
        <f ca="1">Actions!G20</f>
        <v>0</v>
      </c>
      <c r="C90" s="973">
        <f ca="1">Actions!AC20</f>
        <v>0</v>
      </c>
      <c r="D90" s="973">
        <f ca="1">Actions!AB20</f>
        <v>0</v>
      </c>
      <c r="E90" s="974">
        <f ca="1">Actions!Y20</f>
        <v>0</v>
      </c>
      <c r="F90" s="59">
        <f ca="1">Actions!Z20</f>
        <v>0</v>
      </c>
      <c r="G90" s="887">
        <f ca="1">Actions!AA20</f>
        <v>0</v>
      </c>
      <c r="H90" t="e">
        <f ca="1">IF(AND(G90&lt;&gt;"Finalisée",#REF!&gt;='Rapport de suivi'!F90),2,IF(AND(G90="A faire",#REF!&gt;='Rapport de suivi'!E90),1,0))</f>
        <v>#REF!</v>
      </c>
      <c r="J90" s="233"/>
      <c r="K90" s="233"/>
      <c r="L90" s="233"/>
      <c r="M90" s="233"/>
      <c r="N90" s="233"/>
    </row>
    <row r="91" spans="1:14" hidden="1">
      <c r="A91" s="59">
        <f>Actions!F21</f>
        <v>20</v>
      </c>
      <c r="B91" s="187">
        <f ca="1">Actions!G21</f>
        <v>0</v>
      </c>
      <c r="C91" s="973">
        <f ca="1">Actions!AC21</f>
        <v>0</v>
      </c>
      <c r="D91" s="973">
        <f ca="1">Actions!AB21</f>
        <v>0</v>
      </c>
      <c r="E91" s="974">
        <f ca="1">Actions!Y21</f>
        <v>0</v>
      </c>
      <c r="F91" s="59">
        <f ca="1">Actions!Z21</f>
        <v>0</v>
      </c>
      <c r="G91" s="887">
        <f ca="1">Actions!AA21</f>
        <v>0</v>
      </c>
      <c r="H91" t="e">
        <f ca="1">IF(AND(G91&lt;&gt;"Finalisée",#REF!&gt;='Rapport de suivi'!F91),2,IF(AND(G91="A faire",#REF!&gt;='Rapport de suivi'!E91),1,0))</f>
        <v>#REF!</v>
      </c>
      <c r="J91" s="233"/>
      <c r="K91" s="233"/>
      <c r="L91" s="233"/>
      <c r="M91" s="233"/>
      <c r="N91" s="233"/>
    </row>
    <row r="92" spans="1:14" hidden="1">
      <c r="A92" s="59">
        <f>Actions!F22</f>
        <v>21</v>
      </c>
      <c r="B92" s="187">
        <f ca="1">Actions!G22</f>
        <v>0</v>
      </c>
      <c r="C92" s="973">
        <f ca="1">Actions!AC22</f>
        <v>0</v>
      </c>
      <c r="D92" s="973">
        <f ca="1">Actions!AB22</f>
        <v>0</v>
      </c>
      <c r="E92" s="974">
        <f ca="1">Actions!Y22</f>
        <v>0</v>
      </c>
      <c r="F92" s="59">
        <f ca="1">Actions!Z22</f>
        <v>0</v>
      </c>
      <c r="G92" s="887">
        <f ca="1">Actions!AA22</f>
        <v>0</v>
      </c>
      <c r="H92" t="e">
        <f ca="1">IF(AND(G92&lt;&gt;"Finalisée",#REF!&gt;='Rapport de suivi'!F92),2,IF(AND(G92="A faire",#REF!&gt;='Rapport de suivi'!E92),1,0))</f>
        <v>#REF!</v>
      </c>
      <c r="J92" s="233"/>
      <c r="K92" s="233"/>
      <c r="L92" s="233"/>
      <c r="M92" s="233"/>
      <c r="N92" s="233"/>
    </row>
    <row r="93" spans="1:14" hidden="1">
      <c r="A93" s="59">
        <f>Actions!F23</f>
        <v>22</v>
      </c>
      <c r="B93" s="187">
        <f ca="1">Actions!G23</f>
        <v>0</v>
      </c>
      <c r="C93" s="973">
        <f ca="1">Actions!AC23</f>
        <v>0</v>
      </c>
      <c r="D93" s="973">
        <f ca="1">Actions!AB23</f>
        <v>0</v>
      </c>
      <c r="E93" s="974">
        <f ca="1">Actions!Y23</f>
        <v>0</v>
      </c>
      <c r="F93" s="59">
        <f ca="1">Actions!Z23</f>
        <v>0</v>
      </c>
      <c r="G93" s="887">
        <f ca="1">Actions!AA23</f>
        <v>0</v>
      </c>
      <c r="H93" t="e">
        <f ca="1">IF(AND(G93&lt;&gt;"Finalisée",#REF!&gt;='Rapport de suivi'!F93),2,IF(AND(G93="A faire",#REF!&gt;='Rapport de suivi'!E93),1,0))</f>
        <v>#REF!</v>
      </c>
      <c r="J93" s="233"/>
      <c r="K93" s="233"/>
      <c r="L93" s="233"/>
      <c r="M93" s="233"/>
      <c r="N93" s="233"/>
    </row>
    <row r="94" spans="1:14" hidden="1">
      <c r="A94" s="59">
        <f>Actions!F24</f>
        <v>23</v>
      </c>
      <c r="B94" s="187">
        <f ca="1">Actions!G24</f>
        <v>0</v>
      </c>
      <c r="C94" s="973">
        <f ca="1">Actions!AC24</f>
        <v>0</v>
      </c>
      <c r="D94" s="973">
        <f ca="1">Actions!AB24</f>
        <v>0</v>
      </c>
      <c r="E94" s="974">
        <f ca="1">Actions!Y24</f>
        <v>0</v>
      </c>
      <c r="F94" s="59">
        <f ca="1">Actions!Z24</f>
        <v>0</v>
      </c>
      <c r="G94" s="887">
        <f ca="1">Actions!AA24</f>
        <v>0</v>
      </c>
      <c r="H94" t="e">
        <f ca="1">IF(AND(G94&lt;&gt;"Finalisée",#REF!&gt;='Rapport de suivi'!F94),2,IF(AND(G94="A faire",#REF!&gt;='Rapport de suivi'!E94),1,0))</f>
        <v>#REF!</v>
      </c>
      <c r="J94" s="233"/>
      <c r="K94" s="233"/>
      <c r="L94" s="233"/>
      <c r="M94" s="233"/>
      <c r="N94" s="233"/>
    </row>
    <row r="95" spans="1:14" hidden="1">
      <c r="A95" s="59">
        <f>Actions!F25</f>
        <v>24</v>
      </c>
      <c r="B95" s="187">
        <f ca="1">Actions!G25</f>
        <v>0</v>
      </c>
      <c r="C95" s="973">
        <f ca="1">Actions!AC25</f>
        <v>0</v>
      </c>
      <c r="D95" s="973">
        <f ca="1">Actions!AB25</f>
        <v>0</v>
      </c>
      <c r="E95" s="974">
        <f ca="1">Actions!Y25</f>
        <v>0</v>
      </c>
      <c r="F95" s="59">
        <f ca="1">Actions!Z25</f>
        <v>0</v>
      </c>
      <c r="G95" s="887">
        <f ca="1">Actions!AA25</f>
        <v>0</v>
      </c>
      <c r="H95" t="e">
        <f ca="1">IF(AND(G95&lt;&gt;"Finalisée",#REF!&gt;='Rapport de suivi'!F95),2,IF(AND(G95="A faire",#REF!&gt;='Rapport de suivi'!E95),1,0))</f>
        <v>#REF!</v>
      </c>
      <c r="J95" s="233"/>
      <c r="K95" s="233"/>
      <c r="L95" s="233"/>
      <c r="M95" s="233"/>
      <c r="N95" s="233"/>
    </row>
    <row r="96" spans="1:14" hidden="1">
      <c r="A96" s="59">
        <f>Actions!F26</f>
        <v>25</v>
      </c>
      <c r="B96" s="187">
        <f ca="1">Actions!G26</f>
        <v>0</v>
      </c>
      <c r="C96" s="973">
        <f ca="1">Actions!AC26</f>
        <v>0</v>
      </c>
      <c r="D96" s="973">
        <f ca="1">Actions!AB26</f>
        <v>0</v>
      </c>
      <c r="E96" s="974">
        <f ca="1">Actions!Y26</f>
        <v>0</v>
      </c>
      <c r="F96" s="59">
        <f ca="1">Actions!Z26</f>
        <v>0</v>
      </c>
      <c r="G96" s="887">
        <f ca="1">Actions!AA26</f>
        <v>0</v>
      </c>
      <c r="H96" t="e">
        <f ca="1">IF(AND(G96&lt;&gt;"Finalisée",#REF!&gt;='Rapport de suivi'!F96),2,IF(AND(G96="A faire",#REF!&gt;='Rapport de suivi'!E96),1,0))</f>
        <v>#REF!</v>
      </c>
      <c r="J96" s="233"/>
      <c r="K96" s="233"/>
      <c r="L96" s="233"/>
      <c r="M96" s="233"/>
      <c r="N96" s="233"/>
    </row>
    <row r="97" spans="1:14" hidden="1">
      <c r="A97" s="59">
        <f>Actions!F27</f>
        <v>26</v>
      </c>
      <c r="B97" s="187">
        <f ca="1">Actions!G27</f>
        <v>0</v>
      </c>
      <c r="C97" s="973">
        <f ca="1">Actions!AC27</f>
        <v>0</v>
      </c>
      <c r="D97" s="973">
        <f ca="1">Actions!AB27</f>
        <v>0</v>
      </c>
      <c r="E97" s="974">
        <f ca="1">Actions!Y27</f>
        <v>0</v>
      </c>
      <c r="F97" s="59">
        <f ca="1">Actions!Z27</f>
        <v>0</v>
      </c>
      <c r="G97" s="887">
        <f ca="1">Actions!AA27</f>
        <v>0</v>
      </c>
      <c r="H97" t="e">
        <f ca="1">IF(AND(G97&lt;&gt;"Finalisée",#REF!&gt;='Rapport de suivi'!F97),2,IF(AND(G97="A faire",#REF!&gt;='Rapport de suivi'!E97),1,0))</f>
        <v>#REF!</v>
      </c>
      <c r="J97" s="233"/>
      <c r="K97" s="233"/>
      <c r="L97" s="233"/>
      <c r="M97" s="233"/>
      <c r="N97" s="233"/>
    </row>
    <row r="98" spans="1:14" hidden="1">
      <c r="A98" s="59">
        <f>Actions!F28</f>
        <v>27</v>
      </c>
      <c r="B98" s="187">
        <f ca="1">Actions!G28</f>
        <v>0</v>
      </c>
      <c r="C98" s="973">
        <f ca="1">Actions!AC28</f>
        <v>0</v>
      </c>
      <c r="D98" s="973">
        <f ca="1">Actions!AB28</f>
        <v>0</v>
      </c>
      <c r="E98" s="974">
        <f ca="1">Actions!Y28</f>
        <v>0</v>
      </c>
      <c r="F98" s="59">
        <f ca="1">Actions!Z28</f>
        <v>0</v>
      </c>
      <c r="G98" s="887">
        <f ca="1">Actions!AA28</f>
        <v>0</v>
      </c>
      <c r="H98" t="e">
        <f ca="1">IF(AND(G98&lt;&gt;"Finalisée",#REF!&gt;='Rapport de suivi'!F98),2,IF(AND(G98="A faire",#REF!&gt;='Rapport de suivi'!E98),1,0))</f>
        <v>#REF!</v>
      </c>
      <c r="J98" s="233"/>
      <c r="K98" s="233"/>
      <c r="L98" s="233"/>
      <c r="M98" s="233"/>
      <c r="N98" s="233"/>
    </row>
    <row r="99" spans="1:14" hidden="1">
      <c r="A99" s="59">
        <f>Actions!F29</f>
        <v>28</v>
      </c>
      <c r="B99" s="187">
        <f ca="1">Actions!G29</f>
        <v>0</v>
      </c>
      <c r="C99" s="973">
        <f ca="1">Actions!AC29</f>
        <v>0</v>
      </c>
      <c r="D99" s="973">
        <f ca="1">Actions!AB29</f>
        <v>0</v>
      </c>
      <c r="E99" s="974">
        <f ca="1">Actions!Y29</f>
        <v>0</v>
      </c>
      <c r="F99" s="59">
        <f ca="1">Actions!Z29</f>
        <v>0</v>
      </c>
      <c r="G99" s="887">
        <f ca="1">Actions!AA29</f>
        <v>0</v>
      </c>
      <c r="H99" t="e">
        <f ca="1">IF(AND(G99&lt;&gt;"Finalisée",#REF!&gt;='Rapport de suivi'!F99),2,IF(AND(G99="A faire",#REF!&gt;='Rapport de suivi'!E99),1,0))</f>
        <v>#REF!</v>
      </c>
      <c r="J99" s="233"/>
      <c r="K99" s="233"/>
      <c r="L99" s="233"/>
      <c r="M99" s="233"/>
      <c r="N99" s="233"/>
    </row>
    <row r="100" spans="1:14" hidden="1">
      <c r="A100" s="59">
        <f>Actions!F30</f>
        <v>29</v>
      </c>
      <c r="B100" s="187">
        <f ca="1">Actions!G30</f>
        <v>0</v>
      </c>
      <c r="C100" s="973">
        <f ca="1">Actions!AC30</f>
        <v>0</v>
      </c>
      <c r="D100" s="973">
        <f ca="1">Actions!AB30</f>
        <v>0</v>
      </c>
      <c r="E100" s="974">
        <f ca="1">Actions!Y30</f>
        <v>0</v>
      </c>
      <c r="F100" s="59">
        <f ca="1">Actions!Z30</f>
        <v>0</v>
      </c>
      <c r="G100" s="887">
        <f ca="1">Actions!AA30</f>
        <v>0</v>
      </c>
      <c r="H100" t="e">
        <f ca="1">IF(AND(G100&lt;&gt;"Finalisée",#REF!&gt;='Rapport de suivi'!F100),2,IF(AND(G100="A faire",#REF!&gt;='Rapport de suivi'!E100),1,0))</f>
        <v>#REF!</v>
      </c>
      <c r="J100" s="233"/>
      <c r="K100" s="233"/>
      <c r="L100" s="233"/>
      <c r="M100" s="233"/>
      <c r="N100" s="233"/>
    </row>
    <row r="101" spans="1:14" hidden="1">
      <c r="A101" s="59">
        <f>Actions!F31</f>
        <v>30</v>
      </c>
      <c r="B101" s="187">
        <f ca="1">Actions!G31</f>
        <v>0</v>
      </c>
      <c r="C101" s="973">
        <f ca="1">Actions!AC31</f>
        <v>0</v>
      </c>
      <c r="D101" s="973">
        <f ca="1">Actions!AB31</f>
        <v>0</v>
      </c>
      <c r="E101" s="974">
        <f ca="1">Actions!Y31</f>
        <v>0</v>
      </c>
      <c r="F101" s="59">
        <f ca="1">Actions!Z31</f>
        <v>0</v>
      </c>
      <c r="G101" s="887">
        <f ca="1">Actions!AA31</f>
        <v>0</v>
      </c>
      <c r="H101" t="e">
        <f ca="1">IF(AND(G101&lt;&gt;"Finalisée",#REF!&gt;='Rapport de suivi'!F101),2,IF(AND(G101="A faire",#REF!&gt;='Rapport de suivi'!E101),1,0))</f>
        <v>#REF!</v>
      </c>
      <c r="J101" s="233"/>
      <c r="K101" s="233"/>
      <c r="L101" s="233"/>
      <c r="M101" s="233"/>
      <c r="N101" s="233"/>
    </row>
    <row r="102" spans="1:14" hidden="1">
      <c r="A102" s="59">
        <f>Actions!F32</f>
        <v>31</v>
      </c>
      <c r="B102" s="187">
        <f ca="1">Actions!G32</f>
        <v>0</v>
      </c>
      <c r="C102" s="973">
        <f ca="1">Actions!AC32</f>
        <v>0</v>
      </c>
      <c r="D102" s="973">
        <f ca="1">Actions!AB32</f>
        <v>0</v>
      </c>
      <c r="E102" s="974">
        <f ca="1">Actions!Y32</f>
        <v>0</v>
      </c>
      <c r="F102" s="59">
        <f ca="1">Actions!Z32</f>
        <v>0</v>
      </c>
      <c r="G102" s="887">
        <f ca="1">Actions!AA32</f>
        <v>0</v>
      </c>
      <c r="H102" t="e">
        <f ca="1">IF(AND(G102&lt;&gt;"Finalisée",#REF!&gt;='Rapport de suivi'!F102),2,IF(AND(G102="A faire",#REF!&gt;='Rapport de suivi'!E102),1,0))</f>
        <v>#REF!</v>
      </c>
      <c r="J102" s="233"/>
      <c r="K102" s="233"/>
      <c r="L102" s="233"/>
      <c r="M102" s="233"/>
      <c r="N102" s="233"/>
    </row>
    <row r="103" spans="1:14" hidden="1">
      <c r="A103" s="59">
        <f>Actions!F33</f>
        <v>32</v>
      </c>
      <c r="B103" s="187">
        <f ca="1">Actions!G33</f>
        <v>0</v>
      </c>
      <c r="C103" s="973">
        <f ca="1">Actions!AC33</f>
        <v>0</v>
      </c>
      <c r="D103" s="973">
        <f ca="1">Actions!AB33</f>
        <v>0</v>
      </c>
      <c r="E103" s="974">
        <f ca="1">Actions!Y33</f>
        <v>0</v>
      </c>
      <c r="F103" s="59">
        <f ca="1">Actions!Z33</f>
        <v>0</v>
      </c>
      <c r="G103" s="887">
        <f ca="1">Actions!AA33</f>
        <v>0</v>
      </c>
      <c r="H103" t="e">
        <f ca="1">IF(AND(G103&lt;&gt;"Finalisée",#REF!&gt;='Rapport de suivi'!F103),2,IF(AND(G103="A faire",#REF!&gt;='Rapport de suivi'!E103),1,0))</f>
        <v>#REF!</v>
      </c>
      <c r="J103" s="233"/>
      <c r="K103" s="233"/>
      <c r="L103" s="233"/>
      <c r="M103" s="233"/>
      <c r="N103" s="233"/>
    </row>
    <row r="104" spans="1:14" hidden="1">
      <c r="A104" s="59">
        <f>Actions!F34</f>
        <v>33</v>
      </c>
      <c r="B104" s="187">
        <f ca="1">Actions!G34</f>
        <v>0</v>
      </c>
      <c r="C104" s="973">
        <f ca="1">Actions!AC34</f>
        <v>0</v>
      </c>
      <c r="D104" s="973">
        <f ca="1">Actions!AB34</f>
        <v>0</v>
      </c>
      <c r="E104" s="974">
        <f ca="1">Actions!Y34</f>
        <v>0</v>
      </c>
      <c r="F104" s="59">
        <f ca="1">Actions!Z34</f>
        <v>0</v>
      </c>
      <c r="G104" s="887">
        <f ca="1">Actions!AA34</f>
        <v>0</v>
      </c>
      <c r="H104" t="e">
        <f ca="1">IF(AND(G104&lt;&gt;"Finalisée",#REF!&gt;='Rapport de suivi'!F104),2,IF(AND(G104="A faire",#REF!&gt;='Rapport de suivi'!E104),1,0))</f>
        <v>#REF!</v>
      </c>
      <c r="J104" s="233"/>
      <c r="K104" s="233"/>
      <c r="L104" s="233"/>
      <c r="M104" s="233"/>
      <c r="N104" s="233"/>
    </row>
    <row r="105" spans="1:14" hidden="1">
      <c r="A105" s="59">
        <f>Actions!F35</f>
        <v>34</v>
      </c>
      <c r="B105" s="187">
        <f ca="1">Actions!G35</f>
        <v>0</v>
      </c>
      <c r="C105" s="973">
        <f ca="1">Actions!AC35</f>
        <v>0</v>
      </c>
      <c r="D105" s="973">
        <f ca="1">Actions!AB35</f>
        <v>0</v>
      </c>
      <c r="E105" s="974">
        <f ca="1">Actions!Y35</f>
        <v>0</v>
      </c>
      <c r="F105" s="59">
        <f ca="1">Actions!Z35</f>
        <v>0</v>
      </c>
      <c r="G105" s="887">
        <f ca="1">Actions!AA35</f>
        <v>0</v>
      </c>
      <c r="H105" t="e">
        <f ca="1">IF(AND(G105&lt;&gt;"Finalisée",#REF!&gt;='Rapport de suivi'!F105),2,IF(AND(G105="A faire",#REF!&gt;='Rapport de suivi'!E105),1,0))</f>
        <v>#REF!</v>
      </c>
      <c r="J105" s="233"/>
      <c r="K105" s="233"/>
      <c r="L105" s="233"/>
      <c r="M105" s="233"/>
      <c r="N105" s="233"/>
    </row>
    <row r="106" spans="1:14" hidden="1">
      <c r="A106" s="59">
        <f>Actions!F36</f>
        <v>35</v>
      </c>
      <c r="B106" s="187">
        <f ca="1">Actions!G36</f>
        <v>0</v>
      </c>
      <c r="C106" s="973">
        <f ca="1">Actions!AC36</f>
        <v>0</v>
      </c>
      <c r="D106" s="973">
        <f ca="1">Actions!AB36</f>
        <v>0</v>
      </c>
      <c r="E106" s="974">
        <f ca="1">Actions!Y36</f>
        <v>0</v>
      </c>
      <c r="F106" s="59">
        <f ca="1">Actions!Z36</f>
        <v>0</v>
      </c>
      <c r="G106" s="887">
        <f ca="1">Actions!AA36</f>
        <v>0</v>
      </c>
      <c r="H106" t="e">
        <f ca="1">IF(AND(G106&lt;&gt;"Finalisée",#REF!&gt;='Rapport de suivi'!F106),2,IF(AND(G106="A faire",#REF!&gt;='Rapport de suivi'!E106),1,0))</f>
        <v>#REF!</v>
      </c>
      <c r="J106" s="233"/>
      <c r="K106" s="233"/>
      <c r="L106" s="233"/>
      <c r="M106" s="233"/>
      <c r="N106" s="233"/>
    </row>
    <row r="107" spans="1:14" hidden="1">
      <c r="A107" s="59">
        <f>Actions!F37</f>
        <v>36</v>
      </c>
      <c r="B107" s="187">
        <f ca="1">Actions!G37</f>
        <v>0</v>
      </c>
      <c r="C107" s="973">
        <f ca="1">Actions!AC37</f>
        <v>0</v>
      </c>
      <c r="D107" s="973">
        <f ca="1">Actions!AB37</f>
        <v>0</v>
      </c>
      <c r="E107" s="974">
        <f ca="1">Actions!Y37</f>
        <v>0</v>
      </c>
      <c r="F107" s="59">
        <f ca="1">Actions!Z37</f>
        <v>0</v>
      </c>
      <c r="G107" s="887">
        <f ca="1">Actions!AA37</f>
        <v>0</v>
      </c>
      <c r="H107" t="e">
        <f ca="1">IF(AND(G107&lt;&gt;"Finalisée",#REF!&gt;='Rapport de suivi'!F107),2,IF(AND(G107="A faire",#REF!&gt;='Rapport de suivi'!E107),1,0))</f>
        <v>#REF!</v>
      </c>
      <c r="J107" s="233"/>
      <c r="K107" s="233"/>
      <c r="L107" s="233"/>
      <c r="M107" s="233"/>
      <c r="N107" s="233"/>
    </row>
    <row r="108" spans="1:14" hidden="1">
      <c r="A108" s="59">
        <f>Actions!F38</f>
        <v>37</v>
      </c>
      <c r="B108" s="187">
        <f ca="1">Actions!G38</f>
        <v>0</v>
      </c>
      <c r="C108" s="973">
        <f ca="1">Actions!AC38</f>
        <v>0</v>
      </c>
      <c r="D108" s="973">
        <f ca="1">Actions!AB38</f>
        <v>0</v>
      </c>
      <c r="E108" s="974">
        <f ca="1">Actions!Y38</f>
        <v>0</v>
      </c>
      <c r="F108" s="59">
        <f ca="1">Actions!Z38</f>
        <v>0</v>
      </c>
      <c r="G108" s="887">
        <f ca="1">Actions!AA38</f>
        <v>0</v>
      </c>
      <c r="H108" t="e">
        <f ca="1">IF(AND(G108&lt;&gt;"Finalisée",#REF!&gt;='Rapport de suivi'!F108),2,IF(AND(G108="A faire",#REF!&gt;='Rapport de suivi'!E108),1,0))</f>
        <v>#REF!</v>
      </c>
      <c r="J108" s="233"/>
      <c r="K108" s="233"/>
      <c r="L108" s="233"/>
      <c r="M108" s="233"/>
      <c r="N108" s="233"/>
    </row>
    <row r="109" spans="1:14" hidden="1">
      <c r="A109" s="59">
        <f>Actions!F39</f>
        <v>38</v>
      </c>
      <c r="B109" s="187">
        <f ca="1">Actions!G39</f>
        <v>0</v>
      </c>
      <c r="C109" s="973">
        <f ca="1">Actions!AC39</f>
        <v>0</v>
      </c>
      <c r="D109" s="973">
        <f ca="1">Actions!AB39</f>
        <v>0</v>
      </c>
      <c r="E109" s="974">
        <f ca="1">Actions!Y39</f>
        <v>0</v>
      </c>
      <c r="F109" s="59">
        <f ca="1">Actions!Z39</f>
        <v>0</v>
      </c>
      <c r="G109" s="887">
        <f ca="1">Actions!AA39</f>
        <v>0</v>
      </c>
      <c r="H109" t="e">
        <f ca="1">IF(AND(G109&lt;&gt;"Finalisée",#REF!&gt;='Rapport de suivi'!F109),2,IF(AND(G109="A faire",#REF!&gt;='Rapport de suivi'!E109),1,0))</f>
        <v>#REF!</v>
      </c>
      <c r="J109" s="233"/>
      <c r="K109" s="233"/>
      <c r="L109" s="233"/>
      <c r="M109" s="233"/>
      <c r="N109" s="233"/>
    </row>
    <row r="110" spans="1:14" hidden="1">
      <c r="A110" s="59">
        <f>Actions!F40</f>
        <v>39</v>
      </c>
      <c r="B110" s="187">
        <f ca="1">Actions!G40</f>
        <v>0</v>
      </c>
      <c r="C110" s="973">
        <f ca="1">Actions!AC40</f>
        <v>0</v>
      </c>
      <c r="D110" s="973">
        <f ca="1">Actions!AB40</f>
        <v>0</v>
      </c>
      <c r="E110" s="974">
        <f ca="1">Actions!Y40</f>
        <v>0</v>
      </c>
      <c r="F110" s="59">
        <f ca="1">Actions!Z40</f>
        <v>0</v>
      </c>
      <c r="G110" s="887">
        <f ca="1">Actions!AA40</f>
        <v>0</v>
      </c>
      <c r="H110" t="e">
        <f ca="1">IF(AND(G110&lt;&gt;"Finalisée",#REF!&gt;='Rapport de suivi'!F110),2,IF(AND(G110="A faire",#REF!&gt;='Rapport de suivi'!E110),1,0))</f>
        <v>#REF!</v>
      </c>
      <c r="J110" s="233"/>
      <c r="K110" s="233"/>
      <c r="L110" s="233"/>
      <c r="M110" s="233"/>
      <c r="N110" s="233"/>
    </row>
    <row r="111" spans="1:14" hidden="1">
      <c r="A111" s="59">
        <f>Actions!F41</f>
        <v>40</v>
      </c>
      <c r="B111" s="187">
        <f ca="1">Actions!G41</f>
        <v>0</v>
      </c>
      <c r="C111" s="973">
        <f ca="1">Actions!AC41</f>
        <v>0</v>
      </c>
      <c r="D111" s="973">
        <f ca="1">Actions!AB41</f>
        <v>0</v>
      </c>
      <c r="E111" s="974">
        <f ca="1">Actions!Y41</f>
        <v>0</v>
      </c>
      <c r="F111" s="59">
        <f ca="1">Actions!Z41</f>
        <v>0</v>
      </c>
      <c r="G111" s="887">
        <f ca="1">Actions!AA41</f>
        <v>0</v>
      </c>
      <c r="H111" t="e">
        <f ca="1">IF(AND(G111&lt;&gt;"Finalisée",#REF!&gt;='Rapport de suivi'!F111),2,IF(AND(G111="A faire",#REF!&gt;='Rapport de suivi'!E111),1,0))</f>
        <v>#REF!</v>
      </c>
      <c r="J111" s="233"/>
      <c r="K111" s="233"/>
      <c r="L111" s="233"/>
      <c r="M111" s="233"/>
      <c r="N111" s="233"/>
    </row>
    <row r="112" spans="1:14" hidden="1">
      <c r="A112" s="59">
        <f>Actions!F42</f>
        <v>41</v>
      </c>
      <c r="B112" s="187">
        <f ca="1">Actions!G42</f>
        <v>0</v>
      </c>
      <c r="C112" s="973">
        <f ca="1">Actions!AC42</f>
        <v>0</v>
      </c>
      <c r="D112" s="973">
        <f ca="1">Actions!AB42</f>
        <v>0</v>
      </c>
      <c r="E112" s="974">
        <f ca="1">Actions!Y42</f>
        <v>0</v>
      </c>
      <c r="F112" s="59">
        <f ca="1">Actions!Z42</f>
        <v>0</v>
      </c>
      <c r="G112" s="887">
        <f ca="1">Actions!AA42</f>
        <v>0</v>
      </c>
      <c r="H112" t="e">
        <f ca="1">IF(AND(G112&lt;&gt;"Finalisée",#REF!&gt;='Rapport de suivi'!F112),2,IF(AND(G112="A faire",#REF!&gt;='Rapport de suivi'!E112),1,0))</f>
        <v>#REF!</v>
      </c>
      <c r="J112" s="233"/>
      <c r="K112" s="233"/>
      <c r="L112" s="233"/>
      <c r="M112" s="233"/>
      <c r="N112" s="233"/>
    </row>
    <row r="113" spans="1:28" hidden="1">
      <c r="A113" s="59">
        <f>Actions!F43</f>
        <v>42</v>
      </c>
      <c r="B113" s="187">
        <f ca="1">Actions!G43</f>
        <v>0</v>
      </c>
      <c r="C113" s="973">
        <f ca="1">Actions!AC43</f>
        <v>0</v>
      </c>
      <c r="D113" s="973">
        <f ca="1">Actions!AB43</f>
        <v>0</v>
      </c>
      <c r="E113" s="974">
        <f ca="1">Actions!Y43</f>
        <v>0</v>
      </c>
      <c r="F113" s="59">
        <f ca="1">Actions!Z43</f>
        <v>0</v>
      </c>
      <c r="G113" s="887">
        <f ca="1">Actions!AA43</f>
        <v>0</v>
      </c>
      <c r="H113" t="e">
        <f ca="1">IF(AND(G113&lt;&gt;"Finalisée",#REF!&gt;='Rapport de suivi'!F113),2,IF(AND(G113="A faire",#REF!&gt;='Rapport de suivi'!E113),1,0))</f>
        <v>#REF!</v>
      </c>
      <c r="J113" s="233"/>
      <c r="K113" s="233"/>
      <c r="L113" s="233"/>
      <c r="M113" s="233"/>
      <c r="N113" s="233"/>
    </row>
    <row r="114" spans="1:28" hidden="1">
      <c r="A114" s="59">
        <f>Actions!F44</f>
        <v>43</v>
      </c>
      <c r="B114" s="187">
        <f ca="1">Actions!G44</f>
        <v>0</v>
      </c>
      <c r="C114" s="973">
        <f ca="1">Actions!AC44</f>
        <v>0</v>
      </c>
      <c r="D114" s="973">
        <f ca="1">Actions!AB44</f>
        <v>0</v>
      </c>
      <c r="E114" s="974">
        <f ca="1">Actions!Y44</f>
        <v>0</v>
      </c>
      <c r="F114" s="59">
        <f ca="1">Actions!Z44</f>
        <v>0</v>
      </c>
      <c r="G114" s="887">
        <f ca="1">Actions!AA44</f>
        <v>0</v>
      </c>
      <c r="H114" t="e">
        <f ca="1">IF(AND(G114&lt;&gt;"Finalisée",#REF!&gt;='Rapport de suivi'!F114),2,IF(AND(G114="A faire",#REF!&gt;='Rapport de suivi'!E114),1,0))</f>
        <v>#REF!</v>
      </c>
      <c r="J114" s="233"/>
      <c r="K114" s="233"/>
      <c r="L114" s="233"/>
      <c r="M114" s="233"/>
      <c r="N114" s="233"/>
    </row>
    <row r="115" spans="1:28" hidden="1">
      <c r="A115" s="59">
        <f>Actions!F45</f>
        <v>44</v>
      </c>
      <c r="B115" s="187">
        <f ca="1">Actions!G45</f>
        <v>0</v>
      </c>
      <c r="C115" s="973">
        <f ca="1">Actions!AC45</f>
        <v>0</v>
      </c>
      <c r="D115" s="973">
        <f ca="1">Actions!AB45</f>
        <v>0</v>
      </c>
      <c r="E115" s="974">
        <f ca="1">Actions!Y45</f>
        <v>0</v>
      </c>
      <c r="F115" s="59">
        <f ca="1">Actions!Z45</f>
        <v>0</v>
      </c>
      <c r="G115" s="887">
        <f ca="1">Actions!AA45</f>
        <v>0</v>
      </c>
      <c r="H115" t="e">
        <f ca="1">IF(AND(G115&lt;&gt;"Finalisée",#REF!&gt;='Rapport de suivi'!F115),2,IF(AND(G115="A faire",#REF!&gt;='Rapport de suivi'!E115),1,0))</f>
        <v>#REF!</v>
      </c>
      <c r="J115" s="233"/>
      <c r="K115" s="233"/>
      <c r="L115" s="233"/>
      <c r="M115" s="233"/>
      <c r="N115" s="233"/>
    </row>
    <row r="116" spans="1:28" hidden="1">
      <c r="A116" s="59">
        <f>Actions!F46</f>
        <v>45</v>
      </c>
      <c r="B116" s="187">
        <f ca="1">Actions!G46</f>
        <v>0</v>
      </c>
      <c r="C116" s="973">
        <f ca="1">Actions!AC46</f>
        <v>0</v>
      </c>
      <c r="D116" s="973">
        <f ca="1">Actions!AB46</f>
        <v>0</v>
      </c>
      <c r="E116" s="974">
        <f ca="1">Actions!Y46</f>
        <v>0</v>
      </c>
      <c r="F116" s="59">
        <f ca="1">Actions!Z46</f>
        <v>0</v>
      </c>
      <c r="G116" s="887">
        <f ca="1">Actions!AA46</f>
        <v>0</v>
      </c>
      <c r="H116" t="e">
        <f ca="1">IF(AND(G116&lt;&gt;"Finalisée",#REF!&gt;='Rapport de suivi'!F116),2,IF(AND(G116="A faire",#REF!&gt;='Rapport de suivi'!E116),1,0))</f>
        <v>#REF!</v>
      </c>
      <c r="J116" s="233"/>
      <c r="K116" s="233"/>
      <c r="L116" s="233"/>
      <c r="M116" s="233"/>
      <c r="N116" s="233"/>
    </row>
    <row r="117" spans="1:28" s="961" customFormat="1" hidden="1">
      <c r="A117" s="59">
        <f>Actions!F47</f>
        <v>46</v>
      </c>
      <c r="B117" s="187">
        <f>Actions!G47</f>
        <v>0</v>
      </c>
      <c r="C117" s="973">
        <f>Actions!AC47</f>
        <v>0</v>
      </c>
      <c r="D117" s="973">
        <f>Actions!AB47</f>
        <v>0</v>
      </c>
      <c r="E117" s="974">
        <f>Actions!Y47</f>
        <v>0</v>
      </c>
      <c r="F117" s="59">
        <f>Actions!Z47</f>
        <v>0</v>
      </c>
      <c r="G117" s="887">
        <f>Actions!AA47</f>
        <v>0</v>
      </c>
      <c r="H117" t="e">
        <f>IF(AND(G117&lt;&gt;"Finalisée",#REF!&gt;='Rapport de suivi'!F117),2,IF(AND(G117="A faire",#REF!&gt;='Rapport de suivi'!E117),1,0))</f>
        <v>#REF!</v>
      </c>
      <c r="J117" s="963"/>
      <c r="K117" s="963"/>
      <c r="L117" s="963"/>
      <c r="M117" s="963"/>
      <c r="N117" s="963"/>
      <c r="O117" s="964"/>
      <c r="P117" s="964"/>
      <c r="Q117" s="964"/>
      <c r="R117" s="964"/>
      <c r="S117" s="964"/>
      <c r="T117" s="964"/>
      <c r="U117" s="964"/>
      <c r="V117" s="964"/>
      <c r="W117" s="964"/>
      <c r="X117" s="964"/>
      <c r="Y117" s="964"/>
      <c r="Z117" s="964"/>
      <c r="AA117" s="964"/>
      <c r="AB117" s="964"/>
    </row>
    <row r="118" spans="1:28" s="961" customFormat="1" hidden="1">
      <c r="A118" s="59">
        <f>Actions!F48</f>
        <v>47</v>
      </c>
      <c r="B118" s="187">
        <f>Actions!G48</f>
        <v>0</v>
      </c>
      <c r="C118" s="973">
        <f>Actions!AC48</f>
        <v>0</v>
      </c>
      <c r="D118" s="973">
        <f>Actions!AB48</f>
        <v>0</v>
      </c>
      <c r="E118" s="974">
        <f>Actions!Y48</f>
        <v>0</v>
      </c>
      <c r="F118" s="59">
        <f>Actions!Z48</f>
        <v>0</v>
      </c>
      <c r="G118" s="887">
        <f>Actions!AA48</f>
        <v>0</v>
      </c>
      <c r="H118" t="e">
        <f>IF(AND(G118&lt;&gt;"Finalisée",#REF!&gt;='Rapport de suivi'!F118),2,IF(AND(G118="A faire",#REF!&gt;='Rapport de suivi'!E118),1,0))</f>
        <v>#REF!</v>
      </c>
      <c r="J118" s="963"/>
      <c r="K118" s="963"/>
      <c r="L118" s="963"/>
      <c r="M118" s="963"/>
      <c r="N118" s="963"/>
      <c r="O118" s="964"/>
      <c r="P118" s="964"/>
      <c r="Q118" s="964"/>
      <c r="R118" s="964"/>
      <c r="S118" s="964"/>
      <c r="T118" s="964"/>
      <c r="U118" s="964"/>
      <c r="V118" s="964"/>
      <c r="W118" s="964"/>
      <c r="X118" s="964"/>
      <c r="Y118" s="964"/>
      <c r="Z118" s="964"/>
      <c r="AA118" s="964"/>
      <c r="AB118" s="964"/>
    </row>
    <row r="119" spans="1:28" hidden="1">
      <c r="A119" s="59">
        <f>Actions!F49</f>
        <v>48</v>
      </c>
      <c r="B119" s="187">
        <f>Actions!G49</f>
        <v>0</v>
      </c>
      <c r="C119" s="973">
        <f>Actions!AC49</f>
        <v>0</v>
      </c>
      <c r="D119" s="973">
        <f>Actions!AB49</f>
        <v>0</v>
      </c>
      <c r="E119" s="974">
        <f>Actions!Y49</f>
        <v>0</v>
      </c>
      <c r="F119" s="59">
        <f>Actions!Z49</f>
        <v>0</v>
      </c>
      <c r="G119" s="887">
        <f>Actions!AA49</f>
        <v>0</v>
      </c>
      <c r="H119" t="e">
        <f>IF(AND(G119&lt;&gt;"Finalisée",#REF!&gt;='Rapport de suivi'!F119),2,IF(AND(G119="A faire",#REF!&gt;='Rapport de suivi'!E119),1,0))</f>
        <v>#REF!</v>
      </c>
      <c r="J119" s="233"/>
      <c r="K119" s="233"/>
      <c r="L119" s="233"/>
      <c r="M119" s="233"/>
      <c r="N119" s="233"/>
    </row>
    <row r="120" spans="1:28" hidden="1">
      <c r="A120" s="59">
        <f>Actions!F50</f>
        <v>49</v>
      </c>
      <c r="B120" s="187">
        <f>Actions!G50</f>
        <v>0</v>
      </c>
      <c r="C120" s="973">
        <f>Actions!AC50</f>
        <v>0</v>
      </c>
      <c r="D120" s="973">
        <f>Actions!AB50</f>
        <v>0</v>
      </c>
      <c r="E120" s="974">
        <f>Actions!Y50</f>
        <v>0</v>
      </c>
      <c r="F120" s="59">
        <f>Actions!Z50</f>
        <v>0</v>
      </c>
      <c r="G120" s="887">
        <f>Actions!AA50</f>
        <v>0</v>
      </c>
      <c r="H120" t="e">
        <f>IF(AND(G120&lt;&gt;"Finalisée",#REF!&gt;='Rapport de suivi'!F120),2,IF(AND(G120="A faire",#REF!&gt;='Rapport de suivi'!E120),1,0))</f>
        <v>#REF!</v>
      </c>
      <c r="J120" s="233"/>
      <c r="K120" s="233"/>
      <c r="L120" s="233"/>
      <c r="M120" s="233"/>
      <c r="N120" s="233"/>
    </row>
    <row r="121" spans="1:28" hidden="1">
      <c r="A121" s="59">
        <f>Actions!F51</f>
        <v>50</v>
      </c>
      <c r="B121" s="187">
        <f>Actions!G51</f>
        <v>0</v>
      </c>
      <c r="C121" s="973">
        <f>Actions!AC51</f>
        <v>0</v>
      </c>
      <c r="D121" s="973">
        <f>Actions!AB51</f>
        <v>0</v>
      </c>
      <c r="E121" s="974">
        <f>Actions!Y51</f>
        <v>0</v>
      </c>
      <c r="F121" s="59">
        <f>Actions!Z51</f>
        <v>0</v>
      </c>
      <c r="G121" s="887">
        <f>Actions!AA51</f>
        <v>0</v>
      </c>
      <c r="H121" t="e">
        <f>IF(AND(G121&lt;&gt;"Finalisée",#REF!&gt;='Rapport de suivi'!F121),2,IF(AND(G121="A faire",#REF!&gt;='Rapport de suivi'!E121),1,0))</f>
        <v>#REF!</v>
      </c>
      <c r="J121" s="233"/>
      <c r="K121" s="233"/>
      <c r="L121" s="233"/>
      <c r="M121" s="233"/>
      <c r="N121" s="233"/>
    </row>
    <row r="122" spans="1:28" hidden="1">
      <c r="A122" s="59">
        <f>Actions!F52</f>
        <v>51</v>
      </c>
      <c r="B122" s="187">
        <f>Actions!G52</f>
        <v>0</v>
      </c>
      <c r="C122" s="973">
        <f>Actions!AC52</f>
        <v>0</v>
      </c>
      <c r="D122" s="973">
        <f>Actions!AB52</f>
        <v>0</v>
      </c>
      <c r="E122" s="974">
        <f>Actions!Y52</f>
        <v>0</v>
      </c>
      <c r="F122" s="59">
        <f>Actions!Z52</f>
        <v>0</v>
      </c>
      <c r="G122" s="887">
        <f>Actions!AA52</f>
        <v>0</v>
      </c>
      <c r="H122" t="e">
        <f>IF(AND(G122&lt;&gt;"Finalisée",#REF!&gt;='Rapport de suivi'!F122),2,IF(AND(G122="A faire",#REF!&gt;='Rapport de suivi'!E122),1,0))</f>
        <v>#REF!</v>
      </c>
      <c r="J122" s="233"/>
      <c r="K122" s="233"/>
      <c r="L122" s="233"/>
      <c r="M122" s="233"/>
      <c r="N122" s="233"/>
    </row>
    <row r="123" spans="1:28" hidden="1">
      <c r="A123" s="59">
        <f>Actions!F53</f>
        <v>52</v>
      </c>
      <c r="B123" s="187">
        <f>Actions!G53</f>
        <v>0</v>
      </c>
      <c r="C123" s="973">
        <f>Actions!AC53</f>
        <v>0</v>
      </c>
      <c r="D123" s="973">
        <f>Actions!AB53</f>
        <v>0</v>
      </c>
      <c r="E123" s="974">
        <f>Actions!Y53</f>
        <v>0</v>
      </c>
      <c r="F123" s="59">
        <f>Actions!Z53</f>
        <v>0</v>
      </c>
      <c r="G123" s="887">
        <f>Actions!AA53</f>
        <v>0</v>
      </c>
      <c r="H123" t="e">
        <f>IF(AND(G123&lt;&gt;"Finalisée",#REF!&gt;='Rapport de suivi'!F123),2,IF(AND(G123="A faire",#REF!&gt;='Rapport de suivi'!E123),1,0))</f>
        <v>#REF!</v>
      </c>
      <c r="J123" s="233"/>
      <c r="K123" s="233"/>
      <c r="L123" s="233"/>
      <c r="M123" s="233"/>
      <c r="N123" s="233"/>
    </row>
    <row r="124" spans="1:28" hidden="1">
      <c r="A124" s="59">
        <f>Actions!F54</f>
        <v>53</v>
      </c>
      <c r="B124" s="187">
        <f>Actions!G54</f>
        <v>0</v>
      </c>
      <c r="C124" s="973">
        <f>Actions!AC54</f>
        <v>0</v>
      </c>
      <c r="D124" s="973">
        <f>Actions!AB54</f>
        <v>0</v>
      </c>
      <c r="E124" s="974">
        <f>Actions!Y54</f>
        <v>0</v>
      </c>
      <c r="F124" s="59">
        <f>Actions!Z54</f>
        <v>0</v>
      </c>
      <c r="G124" s="887">
        <f>Actions!AA54</f>
        <v>0</v>
      </c>
      <c r="H124" t="e">
        <f>IF(AND(G124&lt;&gt;"Finalisée",#REF!&gt;='Rapport de suivi'!F124),2,IF(AND(G124="A faire",#REF!&gt;='Rapport de suivi'!E124),1,0))</f>
        <v>#REF!</v>
      </c>
      <c r="J124" s="233"/>
      <c r="K124" s="233"/>
      <c r="L124" s="233"/>
      <c r="M124" s="233"/>
      <c r="N124" s="233"/>
    </row>
    <row r="125" spans="1:28" hidden="1">
      <c r="A125" s="59">
        <f>Actions!F55</f>
        <v>54</v>
      </c>
      <c r="B125" s="187">
        <f>Actions!G55</f>
        <v>0</v>
      </c>
      <c r="C125" s="973">
        <f>Actions!AC55</f>
        <v>0</v>
      </c>
      <c r="D125" s="973">
        <f>Actions!AB55</f>
        <v>0</v>
      </c>
      <c r="E125" s="974">
        <f>Actions!Y55</f>
        <v>0</v>
      </c>
      <c r="F125" s="59">
        <f>Actions!Z55</f>
        <v>0</v>
      </c>
      <c r="G125" s="887">
        <f>Actions!AA55</f>
        <v>0</v>
      </c>
      <c r="H125" t="e">
        <f>IF(AND(G125&lt;&gt;"Finalisée",#REF!&gt;='Rapport de suivi'!F125),2,IF(AND(G125="A faire",#REF!&gt;='Rapport de suivi'!E125),1,0))</f>
        <v>#REF!</v>
      </c>
      <c r="J125" s="233"/>
      <c r="K125" s="233"/>
      <c r="L125" s="233"/>
      <c r="M125" s="233"/>
      <c r="N125" s="233"/>
    </row>
    <row r="126" spans="1:28" hidden="1">
      <c r="A126" s="59">
        <f>Actions!F56</f>
        <v>55</v>
      </c>
      <c r="B126" s="187">
        <f>Actions!G56</f>
        <v>0</v>
      </c>
      <c r="C126" s="973">
        <f>Actions!AC56</f>
        <v>0</v>
      </c>
      <c r="D126" s="973">
        <f>Actions!AB56</f>
        <v>0</v>
      </c>
      <c r="E126" s="974">
        <f>Actions!Y56</f>
        <v>0</v>
      </c>
      <c r="F126" s="59">
        <f>Actions!Z56</f>
        <v>0</v>
      </c>
      <c r="G126" s="887">
        <f>Actions!AA56</f>
        <v>0</v>
      </c>
      <c r="H126" t="e">
        <f>IF(AND(G126&lt;&gt;"Finalisée",#REF!&gt;='Rapport de suivi'!F126),2,IF(AND(G126="A faire",#REF!&gt;='Rapport de suivi'!E126),1,0))</f>
        <v>#REF!</v>
      </c>
      <c r="J126" s="233"/>
      <c r="K126" s="233"/>
      <c r="L126" s="233"/>
      <c r="M126" s="233"/>
      <c r="N126" s="233"/>
    </row>
    <row r="127" spans="1:28" hidden="1">
      <c r="A127" s="59">
        <f>Actions!F57</f>
        <v>56</v>
      </c>
      <c r="B127" s="187">
        <f>Actions!G57</f>
        <v>0</v>
      </c>
      <c r="C127" s="973">
        <f>Actions!AC57</f>
        <v>0</v>
      </c>
      <c r="D127" s="973">
        <f>Actions!AB57</f>
        <v>0</v>
      </c>
      <c r="E127" s="974">
        <f>Actions!Y57</f>
        <v>0</v>
      </c>
      <c r="F127" s="59">
        <f>Actions!Z57</f>
        <v>0</v>
      </c>
      <c r="G127" s="887">
        <f>Actions!AA57</f>
        <v>0</v>
      </c>
      <c r="H127" t="e">
        <f>IF(AND(G127&lt;&gt;"Finalisée",#REF!&gt;='Rapport de suivi'!F127),2,IF(AND(G127="A faire",#REF!&gt;='Rapport de suivi'!E127),1,0))</f>
        <v>#REF!</v>
      </c>
      <c r="J127" s="233"/>
      <c r="K127" s="233"/>
      <c r="L127" s="233"/>
      <c r="M127" s="233"/>
      <c r="N127" s="233"/>
    </row>
    <row r="128" spans="1:28" hidden="1">
      <c r="A128" s="59">
        <f>Actions!F58</f>
        <v>57</v>
      </c>
      <c r="B128" s="187">
        <f>Actions!G58</f>
        <v>0</v>
      </c>
      <c r="C128" s="973">
        <f>Actions!AC58</f>
        <v>0</v>
      </c>
      <c r="D128" s="973">
        <f>Actions!AB58</f>
        <v>0</v>
      </c>
      <c r="E128" s="974">
        <f>Actions!Y58</f>
        <v>0</v>
      </c>
      <c r="F128" s="59">
        <f>Actions!Z58</f>
        <v>0</v>
      </c>
      <c r="G128" s="887">
        <f>Actions!AA58</f>
        <v>0</v>
      </c>
      <c r="H128" t="e">
        <f>IF(AND(G128&lt;&gt;"Finalisée",#REF!&gt;='Rapport de suivi'!F128),2,IF(AND(G128="A faire",#REF!&gt;='Rapport de suivi'!E128),1,0))</f>
        <v>#REF!</v>
      </c>
      <c r="J128" s="233"/>
      <c r="K128" s="233"/>
      <c r="L128" s="233"/>
      <c r="M128" s="233"/>
      <c r="N128" s="233"/>
    </row>
    <row r="129" spans="1:28" hidden="1">
      <c r="A129" s="59">
        <f>Actions!F59</f>
        <v>58</v>
      </c>
      <c r="B129" s="187">
        <f>Actions!G59</f>
        <v>0</v>
      </c>
      <c r="C129" s="973">
        <f>Actions!AC59</f>
        <v>0</v>
      </c>
      <c r="D129" s="973">
        <f>Actions!AB59</f>
        <v>0</v>
      </c>
      <c r="E129" s="974">
        <f>Actions!Y59</f>
        <v>0</v>
      </c>
      <c r="F129" s="59">
        <f>Actions!Z59</f>
        <v>0</v>
      </c>
      <c r="G129" s="887">
        <f>Actions!AA59</f>
        <v>0</v>
      </c>
      <c r="H129" t="e">
        <f>IF(AND(G129&lt;&gt;"Finalisée",#REF!&gt;='Rapport de suivi'!F129),2,IF(AND(G129="A faire",#REF!&gt;='Rapport de suivi'!E129),1,0))</f>
        <v>#REF!</v>
      </c>
      <c r="J129" s="233"/>
      <c r="K129" s="233"/>
      <c r="L129" s="233"/>
      <c r="M129" s="233"/>
      <c r="N129" s="233"/>
    </row>
    <row r="130" spans="1:28" hidden="1">
      <c r="A130" s="59">
        <f>Actions!F60</f>
        <v>59</v>
      </c>
      <c r="B130" s="187">
        <f>Actions!G60</f>
        <v>0</v>
      </c>
      <c r="C130" s="973">
        <f>Actions!AC60</f>
        <v>0</v>
      </c>
      <c r="D130" s="973">
        <f>Actions!AB60</f>
        <v>0</v>
      </c>
      <c r="E130" s="974">
        <f>Actions!Y60</f>
        <v>0</v>
      </c>
      <c r="F130" s="59">
        <f>Actions!Z60</f>
        <v>0</v>
      </c>
      <c r="G130" s="887">
        <f>Actions!AA60</f>
        <v>0</v>
      </c>
      <c r="H130" t="e">
        <f>IF(AND(G130&lt;&gt;"Finalisée",#REF!&gt;='Rapport de suivi'!F130),2,IF(AND(G130="A faire",#REF!&gt;='Rapport de suivi'!E130),1,0))</f>
        <v>#REF!</v>
      </c>
      <c r="J130" s="233"/>
      <c r="K130" s="233"/>
      <c r="L130" s="233"/>
      <c r="M130" s="233"/>
      <c r="N130" s="233"/>
    </row>
    <row r="131" spans="1:28" hidden="1">
      <c r="A131" s="59">
        <f>Actions!F61</f>
        <v>60</v>
      </c>
      <c r="B131" s="187">
        <f>Actions!G61</f>
        <v>0</v>
      </c>
      <c r="C131" s="973">
        <f>Actions!AC61</f>
        <v>0</v>
      </c>
      <c r="D131" s="973">
        <f>Actions!AB61</f>
        <v>0</v>
      </c>
      <c r="E131" s="974">
        <f>Actions!Y61</f>
        <v>0</v>
      </c>
      <c r="F131" s="59">
        <f>Actions!Z61</f>
        <v>0</v>
      </c>
      <c r="G131" s="887">
        <f>Actions!AA61</f>
        <v>0</v>
      </c>
      <c r="H131" t="e">
        <f>IF(AND(G131&lt;&gt;"Finalisée",#REF!&gt;='Rapport de suivi'!F131),2,IF(AND(G131="A faire",#REF!&gt;='Rapport de suivi'!E131),1,0))</f>
        <v>#REF!</v>
      </c>
      <c r="J131" s="233"/>
      <c r="K131" s="233"/>
      <c r="L131" s="233"/>
      <c r="M131" s="233"/>
      <c r="N131" s="233"/>
    </row>
    <row r="132" spans="1:28" hidden="1">
      <c r="A132" s="59">
        <f>Actions!F62</f>
        <v>61</v>
      </c>
      <c r="B132" s="187">
        <f>Actions!G62</f>
        <v>0</v>
      </c>
      <c r="C132" s="973">
        <f>Actions!AC62</f>
        <v>0</v>
      </c>
      <c r="D132" s="973">
        <f>Actions!AB62</f>
        <v>0</v>
      </c>
      <c r="E132" s="974">
        <f>Actions!Y62</f>
        <v>0</v>
      </c>
      <c r="F132" s="59">
        <f>Actions!Z62</f>
        <v>0</v>
      </c>
      <c r="G132" s="887">
        <f>Actions!AA62</f>
        <v>0</v>
      </c>
      <c r="H132" t="e">
        <f>IF(AND(G132&lt;&gt;"Finalisée",#REF!&gt;='Rapport de suivi'!F132),2,IF(AND(G132="A faire",#REF!&gt;='Rapport de suivi'!E132),1,0))</f>
        <v>#REF!</v>
      </c>
      <c r="J132" s="233"/>
      <c r="K132" s="233"/>
      <c r="L132" s="233"/>
      <c r="M132" s="233"/>
      <c r="N132" s="233"/>
    </row>
    <row r="133" spans="1:28" hidden="1">
      <c r="A133" s="59">
        <f>Actions!F63</f>
        <v>62</v>
      </c>
      <c r="B133" s="187">
        <f>Actions!G63</f>
        <v>0</v>
      </c>
      <c r="C133" s="973">
        <f>Actions!AC63</f>
        <v>0</v>
      </c>
      <c r="D133" s="973">
        <f>Actions!AB63</f>
        <v>0</v>
      </c>
      <c r="E133" s="974">
        <f>Actions!Y63</f>
        <v>0</v>
      </c>
      <c r="F133" s="59">
        <f>Actions!Z63</f>
        <v>0</v>
      </c>
      <c r="G133" s="887">
        <f>Actions!AA63</f>
        <v>0</v>
      </c>
      <c r="H133" t="e">
        <f>IF(AND(G133&lt;&gt;"Finalisée",#REF!&gt;='Rapport de suivi'!F133),2,IF(AND(G133="A faire",#REF!&gt;='Rapport de suivi'!E133),1,0))</f>
        <v>#REF!</v>
      </c>
      <c r="J133" s="233"/>
      <c r="K133" s="233"/>
      <c r="L133" s="233"/>
      <c r="M133" s="233"/>
      <c r="N133" s="233"/>
    </row>
    <row r="134" spans="1:28" hidden="1">
      <c r="A134" s="59">
        <f>Actions!F64</f>
        <v>63</v>
      </c>
      <c r="B134" s="187">
        <f>Actions!G64</f>
        <v>0</v>
      </c>
      <c r="C134" s="973">
        <f>Actions!AC64</f>
        <v>0</v>
      </c>
      <c r="D134" s="973">
        <f>Actions!AB64</f>
        <v>0</v>
      </c>
      <c r="E134" s="974">
        <f>Actions!Y64</f>
        <v>0</v>
      </c>
      <c r="F134" s="59">
        <f>Actions!Z64</f>
        <v>0</v>
      </c>
      <c r="G134" s="887">
        <f>Actions!AA64</f>
        <v>0</v>
      </c>
      <c r="H134" t="e">
        <f>IF(AND(G134&lt;&gt;"Finalisée",#REF!&gt;='Rapport de suivi'!F134),2,IF(AND(G134="A faire",#REF!&gt;='Rapport de suivi'!E134),1,0))</f>
        <v>#REF!</v>
      </c>
      <c r="J134" s="233"/>
      <c r="K134" s="233"/>
      <c r="L134" s="233"/>
      <c r="M134" s="233"/>
      <c r="N134" s="233"/>
    </row>
    <row r="135" spans="1:28" hidden="1">
      <c r="A135" s="59">
        <f>Actions!F65</f>
        <v>64</v>
      </c>
      <c r="B135" s="187">
        <f>Actions!G65</f>
        <v>0</v>
      </c>
      <c r="C135" s="973">
        <f>Actions!AC65</f>
        <v>0</v>
      </c>
      <c r="D135" s="973">
        <f>Actions!AB65</f>
        <v>0</v>
      </c>
      <c r="E135" s="974">
        <f>Actions!Y65</f>
        <v>0</v>
      </c>
      <c r="F135" s="59">
        <f>Actions!Z65</f>
        <v>0</v>
      </c>
      <c r="G135" s="887">
        <f>Actions!AA65</f>
        <v>0</v>
      </c>
      <c r="H135" t="e">
        <f>IF(AND(G135&lt;&gt;"Finalisée",#REF!&gt;='Rapport de suivi'!F135),2,IF(AND(G135="A faire",#REF!&gt;='Rapport de suivi'!E135),1,0))</f>
        <v>#REF!</v>
      </c>
      <c r="J135" s="233"/>
      <c r="K135" s="233"/>
      <c r="L135" s="233"/>
      <c r="M135" s="233"/>
      <c r="N135" s="233"/>
    </row>
    <row r="136" spans="1:28" hidden="1">
      <c r="A136" s="59">
        <f>Actions!F66</f>
        <v>65</v>
      </c>
      <c r="B136" s="187">
        <f>Actions!G66</f>
        <v>0</v>
      </c>
      <c r="C136" s="973">
        <f>Actions!AC66</f>
        <v>0</v>
      </c>
      <c r="D136" s="973">
        <f>Actions!AB66</f>
        <v>0</v>
      </c>
      <c r="E136" s="974">
        <f>Actions!Y66</f>
        <v>0</v>
      </c>
      <c r="F136" s="59">
        <f>Actions!Z66</f>
        <v>0</v>
      </c>
      <c r="G136" s="887">
        <f>Actions!AA66</f>
        <v>0</v>
      </c>
      <c r="H136" t="e">
        <f>IF(AND(G136&lt;&gt;"Finalisée",#REF!&gt;='Rapport de suivi'!F136),2,IF(AND(G136="A faire",#REF!&gt;='Rapport de suivi'!E136),1,0))</f>
        <v>#REF!</v>
      </c>
      <c r="J136" s="233"/>
      <c r="K136" s="233"/>
      <c r="L136" s="233"/>
      <c r="M136" s="233"/>
      <c r="N136" s="233"/>
    </row>
    <row r="137" spans="1:28" hidden="1">
      <c r="A137" s="59">
        <f>Actions!F67</f>
        <v>66</v>
      </c>
      <c r="B137" s="187">
        <f>Actions!G67</f>
        <v>0</v>
      </c>
      <c r="C137" s="973">
        <f>Actions!AC67</f>
        <v>0</v>
      </c>
      <c r="D137" s="973">
        <f>Actions!AB67</f>
        <v>0</v>
      </c>
      <c r="E137" s="974">
        <f>Actions!Y67</f>
        <v>0</v>
      </c>
      <c r="F137" s="59">
        <f>Actions!Z67</f>
        <v>0</v>
      </c>
      <c r="G137" s="887">
        <f>Actions!AA67</f>
        <v>0</v>
      </c>
      <c r="H137" t="e">
        <f>IF(AND(G137&lt;&gt;"Finalisée",#REF!&gt;='Rapport de suivi'!F137),2,IF(AND(G137="A faire",#REF!&gt;='Rapport de suivi'!E137),1,0))</f>
        <v>#REF!</v>
      </c>
      <c r="J137" s="233"/>
      <c r="K137" s="233"/>
      <c r="L137" s="233"/>
      <c r="M137" s="233"/>
      <c r="N137" s="233"/>
    </row>
    <row r="138" spans="1:28" hidden="1">
      <c r="A138" s="59">
        <f>Actions!F68</f>
        <v>67</v>
      </c>
      <c r="B138" s="187">
        <f>Actions!G68</f>
        <v>0</v>
      </c>
      <c r="C138" s="973">
        <f>Actions!AC68</f>
        <v>0</v>
      </c>
      <c r="D138" s="973">
        <f>Actions!AB68</f>
        <v>0</v>
      </c>
      <c r="E138" s="974">
        <f>Actions!Y68</f>
        <v>0</v>
      </c>
      <c r="F138" s="59">
        <f>Actions!Z68</f>
        <v>0</v>
      </c>
      <c r="G138" s="887">
        <f>Actions!AA68</f>
        <v>0</v>
      </c>
      <c r="H138" t="e">
        <f>IF(AND(G138&lt;&gt;"Finalisée",#REF!&gt;='Rapport de suivi'!F138),2,IF(AND(G138="A faire",#REF!&gt;='Rapport de suivi'!E138),1,0))</f>
        <v>#REF!</v>
      </c>
      <c r="J138" s="233"/>
      <c r="K138" s="233"/>
      <c r="L138" s="233"/>
      <c r="M138" s="233"/>
      <c r="N138" s="233"/>
    </row>
    <row r="139" spans="1:28" hidden="1">
      <c r="A139" s="59">
        <f>Actions!F69</f>
        <v>68</v>
      </c>
      <c r="B139" s="187">
        <f>Actions!G69</f>
        <v>0</v>
      </c>
      <c r="C139" s="973">
        <f>Actions!AC69</f>
        <v>0</v>
      </c>
      <c r="D139" s="973">
        <f>Actions!AB69</f>
        <v>0</v>
      </c>
      <c r="E139" s="974">
        <f>Actions!Y69</f>
        <v>0</v>
      </c>
      <c r="F139" s="59">
        <f>Actions!Z69</f>
        <v>0</v>
      </c>
      <c r="G139" s="887">
        <f>Actions!AA69</f>
        <v>0</v>
      </c>
      <c r="H139" t="e">
        <f>IF(AND(G139&lt;&gt;"Finalisée",#REF!&gt;='Rapport de suivi'!F139),2,IF(AND(G139="A faire",#REF!&gt;='Rapport de suivi'!E139),1,0))</f>
        <v>#REF!</v>
      </c>
      <c r="J139" s="233"/>
      <c r="K139" s="233"/>
      <c r="L139" s="233"/>
      <c r="M139" s="233"/>
      <c r="N139" s="233"/>
    </row>
    <row r="140" spans="1:28" hidden="1">
      <c r="A140" s="1407">
        <f>Actions!F70</f>
        <v>69</v>
      </c>
      <c r="B140" s="1408">
        <f>Actions!G70</f>
        <v>0</v>
      </c>
      <c r="C140" s="1409">
        <f>Actions!AC70</f>
        <v>0</v>
      </c>
      <c r="D140" s="1409">
        <f>Actions!AB70</f>
        <v>0</v>
      </c>
      <c r="E140" s="974">
        <f>Actions!Y70</f>
        <v>0</v>
      </c>
      <c r="F140" s="59">
        <f>Actions!Z70</f>
        <v>0</v>
      </c>
      <c r="G140" s="887">
        <f>Actions!AA70</f>
        <v>0</v>
      </c>
      <c r="H140" t="e">
        <f>IF(AND(G140&lt;&gt;"Finalisée",#REF!&gt;='Rapport de suivi'!F140),2,IF(AND(G140="A faire",#REF!&gt;='Rapport de suivi'!E140),1,0))</f>
        <v>#REF!</v>
      </c>
      <c r="J140" s="233"/>
      <c r="K140" s="233"/>
      <c r="L140" s="233"/>
      <c r="M140" s="233"/>
      <c r="N140" s="233"/>
    </row>
    <row r="141" spans="1:28" s="961" customFormat="1">
      <c r="H141"/>
      <c r="J141" s="963"/>
      <c r="K141" s="963"/>
      <c r="L141" s="963"/>
      <c r="M141" s="963"/>
      <c r="N141" s="963"/>
      <c r="O141" s="964"/>
      <c r="P141" s="964"/>
      <c r="Q141" s="964"/>
      <c r="R141" s="964"/>
      <c r="S141" s="964"/>
      <c r="T141" s="964"/>
      <c r="U141" s="964"/>
      <c r="V141" s="964"/>
      <c r="W141" s="964"/>
      <c r="X141" s="964"/>
      <c r="Y141" s="964"/>
      <c r="Z141" s="964"/>
      <c r="AA141" s="964"/>
      <c r="AB141" s="964"/>
    </row>
    <row r="142" spans="1:28" ht="18">
      <c r="A142" s="2134" t="s">
        <v>1271</v>
      </c>
      <c r="B142" s="2134"/>
      <c r="J142" s="233"/>
      <c r="K142" s="233"/>
      <c r="L142" s="233"/>
      <c r="M142" s="233"/>
      <c r="N142" s="233"/>
    </row>
    <row r="143" spans="1:28" s="961" customFormat="1" ht="12">
      <c r="J143" s="963"/>
      <c r="K143" s="963"/>
      <c r="L143" s="963"/>
      <c r="M143" s="963"/>
      <c r="N143" s="963"/>
      <c r="O143" s="964"/>
      <c r="P143" s="964"/>
      <c r="Q143" s="964"/>
      <c r="R143" s="964"/>
      <c r="S143" s="964"/>
      <c r="T143" s="964"/>
      <c r="U143" s="964"/>
      <c r="V143" s="964"/>
      <c r="W143" s="964"/>
      <c r="X143" s="964"/>
      <c r="Y143" s="964"/>
      <c r="Z143" s="964"/>
      <c r="AA143" s="964"/>
      <c r="AB143" s="964"/>
    </row>
    <row r="144" spans="1:28" s="961" customFormat="1">
      <c r="A144" s="975" t="s">
        <v>103</v>
      </c>
      <c r="B144" s="975" t="s">
        <v>1272</v>
      </c>
      <c r="C144" s="975" t="s">
        <v>738</v>
      </c>
      <c r="J144" s="963"/>
      <c r="K144" s="963"/>
      <c r="L144" s="963"/>
      <c r="M144" s="963"/>
      <c r="N144" s="963"/>
      <c r="O144" s="964"/>
      <c r="P144" s="964"/>
      <c r="Q144" s="964"/>
      <c r="R144" s="964"/>
      <c r="S144" s="964"/>
      <c r="T144" s="964"/>
      <c r="U144" s="964"/>
      <c r="V144" s="964"/>
      <c r="W144" s="964"/>
      <c r="X144" s="964"/>
      <c r="Y144" s="964"/>
      <c r="Z144" s="964"/>
      <c r="AA144" s="964"/>
      <c r="AB144" s="964"/>
    </row>
    <row r="145" spans="1:28" s="961" customFormat="1">
      <c r="A145" s="332" t="s">
        <v>807</v>
      </c>
      <c r="B145" s="976">
        <f ca="1">Budget!G5</f>
        <v>0</v>
      </c>
      <c r="C145" s="569">
        <f ca="1">SUMIF(Actions!$H$2:$H$70,'Rapport de suivi'!A145,Actions!$AB$2:$AB$70)</f>
        <v>0</v>
      </c>
      <c r="J145" s="963"/>
      <c r="K145" s="963"/>
      <c r="L145" s="963"/>
      <c r="M145" s="963"/>
      <c r="N145" s="963"/>
      <c r="O145" s="964"/>
      <c r="P145" s="964"/>
      <c r="Q145" s="964"/>
      <c r="R145" s="964"/>
      <c r="S145" s="964"/>
      <c r="T145" s="964"/>
      <c r="U145" s="964"/>
      <c r="V145" s="964"/>
      <c r="W145" s="964"/>
      <c r="X145" s="964"/>
      <c r="Y145" s="964"/>
      <c r="Z145" s="964"/>
      <c r="AA145" s="964"/>
      <c r="AB145" s="964"/>
    </row>
    <row r="146" spans="1:28" s="961" customFormat="1">
      <c r="A146" s="332" t="s">
        <v>199</v>
      </c>
      <c r="B146" s="976">
        <f ca="1">Budget!G6</f>
        <v>0</v>
      </c>
      <c r="C146" s="976">
        <f ca="1">SUM(C147:C149)</f>
        <v>0</v>
      </c>
      <c r="J146" s="963"/>
      <c r="K146" s="963"/>
      <c r="L146" s="963"/>
      <c r="M146" s="963"/>
      <c r="N146" s="963"/>
      <c r="O146" s="964"/>
      <c r="P146" s="964"/>
      <c r="Q146" s="964"/>
      <c r="R146" s="964"/>
      <c r="S146" s="964"/>
      <c r="T146" s="964"/>
      <c r="U146" s="964"/>
      <c r="V146" s="964"/>
      <c r="W146" s="964"/>
      <c r="X146" s="964"/>
      <c r="Y146" s="964"/>
      <c r="Z146" s="964"/>
      <c r="AA146" s="964"/>
      <c r="AB146" s="964"/>
    </row>
    <row r="147" spans="1:28" s="961" customFormat="1">
      <c r="A147" s="334" t="s">
        <v>200</v>
      </c>
      <c r="B147" s="977">
        <f ca="1">Budget!G7</f>
        <v>0</v>
      </c>
      <c r="C147" s="977">
        <f ca="1">SUMIF(Actions!$H$2:$H$70,'Rapport de suivi'!A147,Actions!$AB$2:$AB$70)</f>
        <v>0</v>
      </c>
      <c r="J147" s="963"/>
      <c r="K147" s="963"/>
      <c r="L147" s="963"/>
      <c r="M147" s="963"/>
      <c r="N147" s="963"/>
      <c r="O147" s="964"/>
      <c r="P147" s="964"/>
      <c r="Q147" s="964"/>
      <c r="R147" s="964"/>
      <c r="S147" s="964"/>
      <c r="T147" s="964"/>
      <c r="U147" s="964"/>
      <c r="V147" s="964"/>
      <c r="W147" s="964"/>
      <c r="X147" s="964"/>
      <c r="Y147" s="964"/>
      <c r="Z147" s="964"/>
      <c r="AA147" s="964"/>
      <c r="AB147" s="964"/>
    </row>
    <row r="148" spans="1:28" s="961" customFormat="1">
      <c r="A148" s="334" t="s">
        <v>160</v>
      </c>
      <c r="B148" s="977">
        <f ca="1">Budget!G8</f>
        <v>0</v>
      </c>
      <c r="C148" s="977">
        <f ca="1">SUMIF(Actions!$H$2:$H$70,'Rapport de suivi'!A148,Actions!$AB$2:$AB$70)</f>
        <v>0</v>
      </c>
      <c r="J148" s="963"/>
      <c r="K148" s="963"/>
      <c r="L148" s="963"/>
      <c r="M148" s="963"/>
      <c r="N148" s="963"/>
      <c r="O148" s="964"/>
      <c r="P148" s="964"/>
      <c r="Q148" s="964"/>
      <c r="R148" s="964"/>
      <c r="S148" s="964"/>
      <c r="T148" s="964"/>
      <c r="U148" s="964"/>
      <c r="V148" s="964"/>
      <c r="W148" s="964"/>
      <c r="X148" s="964"/>
      <c r="Y148" s="964"/>
      <c r="Z148" s="964"/>
      <c r="AA148" s="964"/>
      <c r="AB148" s="964"/>
    </row>
    <row r="149" spans="1:28" s="961" customFormat="1">
      <c r="A149" s="334" t="s">
        <v>157</v>
      </c>
      <c r="B149" s="977">
        <f ca="1">Budget!G9</f>
        <v>0</v>
      </c>
      <c r="C149" s="977">
        <f ca="1">SUMIF(Actions!$H$2:$H$70,'Rapport de suivi'!A146,Actions!$AB$2:$AB$70)</f>
        <v>0</v>
      </c>
      <c r="J149" s="963"/>
      <c r="K149" s="963"/>
      <c r="L149" s="963"/>
      <c r="M149" s="963"/>
      <c r="N149" s="963"/>
      <c r="O149" s="964"/>
      <c r="P149" s="964"/>
      <c r="Q149" s="964"/>
      <c r="R149" s="964"/>
      <c r="S149" s="964"/>
      <c r="T149" s="964"/>
      <c r="U149" s="964"/>
      <c r="V149" s="964"/>
      <c r="W149" s="964"/>
      <c r="X149" s="964"/>
      <c r="Y149" s="964"/>
      <c r="Z149" s="964"/>
      <c r="AA149" s="964"/>
      <c r="AB149" s="964"/>
    </row>
    <row r="150" spans="1:28" s="961" customFormat="1">
      <c r="A150" s="332" t="s">
        <v>201</v>
      </c>
      <c r="B150" s="976">
        <f ca="1">Budget!G10</f>
        <v>0</v>
      </c>
      <c r="C150" s="976">
        <f ca="1">SUMIF(Actions!$H$2:$H$70,'Rapport de suivi'!A150,Actions!$AB$2:$AB$70)</f>
        <v>0</v>
      </c>
      <c r="J150" s="963"/>
      <c r="K150" s="963"/>
      <c r="L150" s="963"/>
      <c r="M150" s="963"/>
      <c r="N150" s="963"/>
      <c r="O150" s="964"/>
      <c r="P150" s="964"/>
      <c r="Q150" s="964"/>
      <c r="R150" s="964"/>
      <c r="S150" s="964"/>
      <c r="T150" s="964"/>
      <c r="U150" s="964"/>
      <c r="V150" s="964"/>
      <c r="W150" s="964"/>
      <c r="X150" s="964"/>
      <c r="Y150" s="964"/>
      <c r="Z150" s="964"/>
      <c r="AA150" s="964"/>
      <c r="AB150" s="964"/>
    </row>
    <row r="151" spans="1:28" s="961" customFormat="1">
      <c r="A151" s="332" t="s">
        <v>202</v>
      </c>
      <c r="B151" s="976">
        <f ca="1">Budget!G11</f>
        <v>0</v>
      </c>
      <c r="C151" s="976">
        <f ca="1">SUMIF(Actions!$H$2:$H$70,'Rapport de suivi'!A151,Actions!$AB$2:$AB$70)</f>
        <v>0</v>
      </c>
      <c r="J151" s="963"/>
      <c r="K151" s="963"/>
      <c r="L151" s="963"/>
      <c r="M151" s="963"/>
      <c r="N151" s="963"/>
      <c r="O151" s="964"/>
      <c r="P151" s="964"/>
      <c r="Q151" s="964"/>
      <c r="R151" s="964"/>
      <c r="S151" s="964"/>
      <c r="T151" s="964"/>
      <c r="U151" s="964"/>
      <c r="V151" s="964"/>
      <c r="W151" s="964"/>
      <c r="X151" s="964"/>
      <c r="Y151" s="964"/>
      <c r="Z151" s="964"/>
      <c r="AA151" s="964"/>
      <c r="AB151" s="964"/>
    </row>
    <row r="152" spans="1:28" s="961" customFormat="1">
      <c r="A152" s="332" t="s">
        <v>203</v>
      </c>
      <c r="B152" s="976">
        <f ca="1">Budget!G12</f>
        <v>0</v>
      </c>
      <c r="C152" s="976">
        <f ca="1">SUM(C153:C154)</f>
        <v>0</v>
      </c>
      <c r="J152" s="963"/>
      <c r="K152" s="963"/>
      <c r="L152" s="963"/>
      <c r="M152" s="963"/>
      <c r="N152" s="963"/>
      <c r="O152" s="964"/>
      <c r="P152" s="964"/>
      <c r="Q152" s="964"/>
      <c r="R152" s="964"/>
      <c r="S152" s="964"/>
      <c r="T152" s="964"/>
      <c r="U152" s="964"/>
      <c r="V152" s="964"/>
      <c r="W152" s="964"/>
      <c r="X152" s="964"/>
      <c r="Y152" s="964"/>
      <c r="Z152" s="964"/>
      <c r="AA152" s="964"/>
      <c r="AB152" s="964"/>
    </row>
    <row r="153" spans="1:28" s="961" customFormat="1">
      <c r="A153" s="334" t="s">
        <v>297</v>
      </c>
      <c r="B153" s="977">
        <f ca="1">Budget!G13</f>
        <v>0</v>
      </c>
      <c r="C153" s="977">
        <f ca="1">SUMIF(Actions!$H$2:$H$70,'Rapport de suivi'!A153,Actions!$AB$2:$AB$70)</f>
        <v>0</v>
      </c>
      <c r="J153" s="963"/>
      <c r="K153" s="963"/>
      <c r="L153" s="963"/>
      <c r="M153" s="963"/>
      <c r="N153" s="963"/>
      <c r="O153" s="964"/>
      <c r="P153" s="964"/>
      <c r="Q153" s="964"/>
      <c r="R153" s="964"/>
      <c r="S153" s="964"/>
      <c r="T153" s="964"/>
      <c r="U153" s="964"/>
      <c r="V153" s="964"/>
      <c r="W153" s="964"/>
      <c r="X153" s="964"/>
      <c r="Y153" s="964"/>
      <c r="Z153" s="964"/>
      <c r="AA153" s="964"/>
      <c r="AB153" s="964"/>
    </row>
    <row r="154" spans="1:28" s="961" customFormat="1">
      <c r="A154" s="334" t="s">
        <v>157</v>
      </c>
      <c r="B154" s="977">
        <f ca="1">Budget!G14</f>
        <v>0</v>
      </c>
      <c r="C154" s="977">
        <f ca="1">SUMIF(Actions!$H$2:$H$70,'Rapport de suivi'!A152,Actions!$AB$2:$AB$70)</f>
        <v>0</v>
      </c>
      <c r="J154" s="963"/>
      <c r="K154" s="963"/>
      <c r="L154" s="963"/>
      <c r="M154" s="963"/>
      <c r="N154" s="963"/>
      <c r="O154" s="964"/>
      <c r="P154" s="964"/>
      <c r="Q154" s="964"/>
      <c r="R154" s="964"/>
      <c r="S154" s="964"/>
      <c r="T154" s="964"/>
      <c r="U154" s="964"/>
      <c r="V154" s="964"/>
      <c r="W154" s="964"/>
      <c r="X154" s="964"/>
      <c r="Y154" s="964"/>
      <c r="Z154" s="964"/>
      <c r="AA154" s="964"/>
      <c r="AB154" s="964"/>
    </row>
    <row r="155" spans="1:28" s="961" customFormat="1">
      <c r="A155" s="332" t="s">
        <v>209</v>
      </c>
      <c r="B155" s="976">
        <f ca="1">Budget!G15</f>
        <v>0</v>
      </c>
      <c r="C155" s="976">
        <f ca="1">SUMIF(Actions!$H$2:$H$70,Categories!Y20,Actions!$AB$2:$AB$70)+SUMIF(Actions!$H$2:$H$70,Categories!Y22,Actions!$AB$2:$AB$70)+SUMIF(Actions!$H$2:$H$70,Categories!Y23,Actions!$AB$2:$AB$70)</f>
        <v>0</v>
      </c>
      <c r="J155" s="963"/>
      <c r="K155" s="963"/>
      <c r="L155" s="963"/>
      <c r="M155" s="963"/>
      <c r="N155" s="963"/>
      <c r="O155" s="964"/>
      <c r="P155" s="964"/>
      <c r="Q155" s="964"/>
      <c r="R155" s="964"/>
      <c r="S155" s="964"/>
      <c r="T155" s="964"/>
      <c r="U155" s="964"/>
      <c r="V155" s="964"/>
      <c r="W155" s="964"/>
      <c r="X155" s="964"/>
      <c r="Y155" s="964"/>
      <c r="Z155" s="964"/>
      <c r="AA155" s="964"/>
      <c r="AB155" s="964"/>
    </row>
    <row r="156" spans="1:28" s="961" customFormat="1">
      <c r="A156" s="332" t="s">
        <v>1259</v>
      </c>
      <c r="B156" s="976">
        <f ca="1">Budget!G16</f>
        <v>0</v>
      </c>
      <c r="C156" s="976">
        <f ca="1">SUMIF(Actions!$H$2:$H$70,Categories!Z17,Actions!$AB$2:$AB$70)+SUMIF(Actions!$H$2:$H$70,Categories!Z18,Actions!$AB$2:$AB$70)+SUMIF(Actions!$H$2:$H$70,Categories!Z19,Actions!$AB$2:$AB$70)</f>
        <v>0</v>
      </c>
      <c r="J156" s="963"/>
      <c r="K156" s="963"/>
      <c r="L156" s="963"/>
      <c r="M156" s="963"/>
      <c r="N156" s="963"/>
      <c r="O156" s="964"/>
      <c r="P156" s="964"/>
      <c r="Q156" s="964"/>
      <c r="R156" s="964"/>
      <c r="S156" s="964"/>
      <c r="T156" s="964"/>
      <c r="U156" s="964"/>
      <c r="V156" s="964"/>
      <c r="W156" s="964"/>
      <c r="X156" s="964"/>
      <c r="Y156" s="964"/>
      <c r="Z156" s="964"/>
      <c r="AA156" s="964"/>
      <c r="AB156" s="964"/>
    </row>
    <row r="157" spans="1:28" s="961" customFormat="1">
      <c r="A157" s="332" t="str">
        <f>Budget!A17</f>
        <v>Adaptation</v>
      </c>
      <c r="B157" s="976">
        <f ca="1">Budget!G17</f>
        <v>0</v>
      </c>
      <c r="C157" s="976">
        <f ca="1">SUMIF(Actions!$D$2:$D$70,Categories!Z18,Actions!$AB$2:$AB$70)+SUMIF(Actions!$H$2:$H$70,Categories!Z19,Actions!$AB$2:$AB$70)+SUMIF(Actions!$H$2:$H$70,Categories!Z20,Actions!$AB$2:$AB$70)</f>
        <v>0</v>
      </c>
      <c r="J157" s="963"/>
      <c r="K157" s="963"/>
      <c r="L157" s="963"/>
      <c r="M157" s="963"/>
      <c r="N157" s="963"/>
      <c r="O157" s="964"/>
      <c r="P157" s="964"/>
      <c r="Q157" s="964"/>
      <c r="R157" s="964"/>
      <c r="S157" s="964"/>
      <c r="T157" s="964"/>
      <c r="U157" s="964"/>
      <c r="V157" s="964"/>
      <c r="W157" s="964"/>
      <c r="X157" s="964"/>
      <c r="Y157" s="964"/>
      <c r="Z157" s="964"/>
      <c r="AA157" s="964"/>
      <c r="AB157" s="964"/>
    </row>
    <row r="158" spans="1:28" s="961" customFormat="1">
      <c r="A158" s="332" t="s">
        <v>1260</v>
      </c>
      <c r="B158" s="976">
        <f ca="1">Budget!G18</f>
        <v>0</v>
      </c>
      <c r="C158" s="978"/>
      <c r="J158" s="963"/>
      <c r="K158" s="963"/>
      <c r="L158" s="963"/>
      <c r="M158" s="963"/>
      <c r="N158" s="963"/>
      <c r="O158" s="964"/>
      <c r="P158" s="964"/>
      <c r="Q158" s="964"/>
      <c r="R158" s="964"/>
      <c r="S158" s="964"/>
      <c r="T158" s="964"/>
      <c r="U158" s="964"/>
      <c r="V158" s="964"/>
      <c r="W158" s="964"/>
      <c r="X158" s="964"/>
      <c r="Y158" s="964"/>
      <c r="Z158" s="964"/>
      <c r="AA158" s="964"/>
      <c r="AB158" s="964"/>
    </row>
    <row r="159" spans="1:28" s="980" customFormat="1">
      <c r="A159" s="332" t="s">
        <v>107</v>
      </c>
      <c r="B159" s="979">
        <f ca="1">SUM(B145:B146,B150:B152,B155:B158)</f>
        <v>0</v>
      </c>
      <c r="C159" s="979">
        <f ca="1">SUM(C145:C146,C150:C152,C155:C158)</f>
        <v>0</v>
      </c>
      <c r="J159" s="981"/>
      <c r="K159" s="981"/>
      <c r="L159" s="981"/>
      <c r="M159" s="981"/>
      <c r="N159" s="981"/>
      <c r="O159" s="982"/>
      <c r="P159" s="982"/>
      <c r="Q159" s="982"/>
      <c r="R159" s="982"/>
      <c r="S159" s="982"/>
      <c r="T159" s="982"/>
      <c r="U159" s="982"/>
      <c r="V159" s="982"/>
      <c r="W159" s="982"/>
      <c r="X159" s="982"/>
      <c r="Y159" s="982"/>
      <c r="Z159" s="982"/>
      <c r="AA159" s="982"/>
      <c r="AB159" s="982"/>
    </row>
    <row r="160" spans="1:28" s="961" customFormat="1" ht="12">
      <c r="J160" s="963"/>
      <c r="K160" s="963"/>
      <c r="L160" s="963"/>
      <c r="M160" s="963"/>
      <c r="N160" s="963"/>
      <c r="O160" s="964"/>
      <c r="P160" s="964"/>
      <c r="Q160" s="964"/>
      <c r="R160" s="964"/>
      <c r="S160" s="964"/>
      <c r="T160" s="964"/>
      <c r="U160" s="964"/>
      <c r="V160" s="964"/>
      <c r="W160" s="964"/>
      <c r="X160" s="964"/>
      <c r="Y160" s="964"/>
      <c r="Z160" s="964"/>
      <c r="AA160" s="964"/>
      <c r="AB160" s="964"/>
    </row>
    <row r="161" spans="10:28" s="961" customFormat="1" ht="12">
      <c r="J161" s="963"/>
      <c r="K161" s="963"/>
      <c r="L161" s="963"/>
      <c r="M161" s="963"/>
      <c r="N161" s="963"/>
      <c r="O161" s="964"/>
      <c r="P161" s="964"/>
      <c r="Q161" s="964"/>
      <c r="R161" s="964"/>
      <c r="S161" s="964"/>
      <c r="T161" s="964"/>
      <c r="U161" s="964"/>
      <c r="V161" s="964"/>
      <c r="W161" s="964"/>
      <c r="X161" s="964"/>
      <c r="Y161" s="964"/>
      <c r="Z161" s="964"/>
      <c r="AA161" s="964"/>
      <c r="AB161" s="964"/>
    </row>
    <row r="162" spans="10:28" s="961" customFormat="1" ht="12">
      <c r="J162" s="963"/>
      <c r="K162" s="963"/>
      <c r="L162" s="963"/>
      <c r="M162" s="963"/>
      <c r="N162" s="963"/>
      <c r="O162" s="964"/>
      <c r="P162" s="964"/>
      <c r="Q162" s="964"/>
      <c r="R162" s="964"/>
      <c r="S162" s="964"/>
      <c r="T162" s="964"/>
      <c r="U162" s="964"/>
      <c r="V162" s="964"/>
      <c r="W162" s="964"/>
      <c r="X162" s="964"/>
      <c r="Y162" s="964"/>
      <c r="Z162" s="964"/>
      <c r="AA162" s="964"/>
      <c r="AB162" s="964"/>
    </row>
    <row r="163" spans="10:28">
      <c r="J163" s="233"/>
      <c r="K163" s="233"/>
      <c r="L163" s="233"/>
      <c r="M163" s="233"/>
      <c r="N163" s="233"/>
    </row>
    <row r="164" spans="10:28">
      <c r="J164" s="233"/>
      <c r="K164" s="233"/>
      <c r="L164" s="233"/>
      <c r="M164" s="233"/>
      <c r="N164" s="233"/>
    </row>
  </sheetData>
  <sheetProtection algorithmName="SHA-512" hashValue="2wbhd8/avnZ278/0ONj1S2IVhQwi6CD2e4fwqKf8LA1fL0oxe1MWG90zOwKBWYdIaZPGbsVoRcIHHW4x228+XA==" saltValue="8www4PgPKD0ZPpjl1gIWdA==" spinCount="100000" sheet="1" objects="1" scenarios="1" autoFilter="0"/>
  <mergeCells count="8">
    <mergeCell ref="A142:B142"/>
    <mergeCell ref="A3:G3"/>
    <mergeCell ref="A4:G4"/>
    <mergeCell ref="A5:B5"/>
    <mergeCell ref="A6:B6"/>
    <mergeCell ref="A7:B7"/>
    <mergeCell ref="A69:B69"/>
    <mergeCell ref="B9:B10"/>
  </mergeCells>
  <conditionalFormatting sqref="C29:C67">
    <cfRule type="colorScale" priority="10">
      <colorScale>
        <cfvo type="num" val="0"/>
        <cfvo type="num" val="1"/>
        <color rgb="FFFF0000"/>
        <color rgb="FF92D050"/>
      </colorScale>
    </cfRule>
  </conditionalFormatting>
  <conditionalFormatting sqref="G72:G140">
    <cfRule type="expression" dxfId="239" priority="9" stopIfTrue="1">
      <formula>H72=1</formula>
    </cfRule>
  </conditionalFormatting>
  <conditionalFormatting sqref="G72:G140">
    <cfRule type="expression" dxfId="238" priority="8" stopIfTrue="1">
      <formula>H72=2</formula>
    </cfRule>
  </conditionalFormatting>
  <conditionalFormatting sqref="E72:E140">
    <cfRule type="expression" dxfId="237" priority="7" stopIfTrue="1">
      <formula>H72=1</formula>
    </cfRule>
  </conditionalFormatting>
  <conditionalFormatting sqref="F72:F140">
    <cfRule type="expression" dxfId="236" priority="6" stopIfTrue="1">
      <formula>H72=2</formula>
    </cfRule>
  </conditionalFormatting>
  <conditionalFormatting sqref="E10">
    <cfRule type="cellIs" dxfId="235" priority="5" stopIfTrue="1" operator="lessThan">
      <formula>$C$10</formula>
    </cfRule>
  </conditionalFormatting>
  <conditionalFormatting sqref="G10">
    <cfRule type="cellIs" dxfId="234" priority="2" operator="greaterThan">
      <formula>$F$10</formula>
    </cfRule>
    <cfRule type="cellIs" dxfId="233" priority="4" stopIfTrue="1" operator="lessThan">
      <formula>$F$10</formula>
    </cfRule>
  </conditionalFormatting>
  <conditionalFormatting sqref="D10">
    <cfRule type="cellIs" dxfId="232" priority="3" stopIfTrue="1" operator="lessThanOrEqual">
      <formula>$C$10</formula>
    </cfRule>
  </conditionalFormatting>
  <conditionalFormatting sqref="D10:E10">
    <cfRule type="cellIs" dxfId="231" priority="1" operator="greaterThan">
      <formula>$C$10</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397633" r:id="rId4" name="Button 1">
              <controlPr defaultSize="0" print="0" autoFill="0" autoPict="0" macro="[0]!export_to_word">
                <anchor moveWithCells="1">
                  <from>
                    <xdr:col>8</xdr:col>
                    <xdr:colOff>213360</xdr:colOff>
                    <xdr:row>3</xdr:row>
                    <xdr:rowOff>22860</xdr:rowOff>
                  </from>
                  <to>
                    <xdr:col>10</xdr:col>
                    <xdr:colOff>640080</xdr:colOff>
                    <xdr:row>4</xdr:row>
                    <xdr:rowOff>99060</xdr:rowOff>
                  </to>
                </anchor>
              </controlPr>
            </control>
          </mc:Choice>
        </mc:AlternateContent>
      </controls>
    </mc:Choice>
  </mc:AlternateContent>
  <tableParts count="2">
    <tablePart r:id="rId5"/>
    <tablePart r:id="rId6"/>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26F8-1256-4E0E-9177-782048BD8D77}">
  <sheetPr codeName="Feuil29">
    <tabColor rgb="FF92D050"/>
  </sheetPr>
  <dimension ref="B2:K12"/>
  <sheetViews>
    <sheetView showGridLines="0" workbookViewId="0">
      <selection activeCell="J12" sqref="J12"/>
    </sheetView>
  </sheetViews>
  <sheetFormatPr baseColWidth="10" defaultColWidth="11.44140625" defaultRowHeight="14.4"/>
  <cols>
    <col min="1" max="1" width="3.88671875" customWidth="1"/>
    <col min="4" max="4" width="21.5546875" bestFit="1" customWidth="1"/>
    <col min="5" max="5" width="20.5546875" customWidth="1"/>
    <col min="6" max="6" width="34.109375" bestFit="1" customWidth="1"/>
    <col min="7" max="10" width="18.44140625" customWidth="1"/>
    <col min="11" max="11" width="17.109375" customWidth="1"/>
  </cols>
  <sheetData>
    <row r="2" spans="2:11" ht="25.8">
      <c r="B2" s="895" t="s">
        <v>1273</v>
      </c>
    </row>
    <row r="4" spans="2:11" ht="46.65" customHeight="1">
      <c r="B4" s="890" t="s">
        <v>1274</v>
      </c>
      <c r="C4" s="891" t="s">
        <v>1275</v>
      </c>
      <c r="D4" s="999" t="s">
        <v>1093</v>
      </c>
      <c r="E4" s="891" t="s">
        <v>1276</v>
      </c>
      <c r="F4" s="891" t="s">
        <v>1177</v>
      </c>
      <c r="G4" s="891" t="s">
        <v>1277</v>
      </c>
      <c r="H4" s="891" t="s">
        <v>677</v>
      </c>
      <c r="I4" s="891" t="s">
        <v>1278</v>
      </c>
      <c r="J4" s="891" t="s">
        <v>1279</v>
      </c>
      <c r="K4" s="891" t="s">
        <v>1280</v>
      </c>
    </row>
    <row r="5" spans="2:11">
      <c r="B5" s="1318">
        <v>1</v>
      </c>
      <c r="C5" s="1319" t="str" cm="1">
        <f t="array" aca="1" ref="C5" ca="1">IF(SUMPRODUCT((Actions!$AZ$2:$AZ$46=B5)*(Actions!$F$2:$F$46))=0,"","A"&amp;SUMPRODUCT((Actions!$AZ$2:$AZ$46=B5)*(Actions!$F$2:$F$46)))</f>
        <v/>
      </c>
      <c r="D5" s="1319" t="str">
        <f ca="1">IF(ISNA(VLOOKUP(C5,Actions!$A$2:$AX$46,41,0)),"",IF(VLOOKUP(C5,Actions!$A$2:$AX$46,50,0)=1,"Atténuation","Adaptation"))</f>
        <v/>
      </c>
      <c r="E5" s="1319" t="str">
        <f ca="1">IF(ISNA(VLOOKUP(C5,Actions!$A$2:$BA$46,46,0)),"",IF(VLOOKUP(C5,Actions!$A$2:$BA$46,53,0)=TRUE,"x",""))</f>
        <v/>
      </c>
      <c r="F5" s="182" t="str">
        <f ca="1">IF(ISNA(VLOOKUP(C5,Actions!$A$2:$BA$46,7,0)),"",VLOOKUP(C5,Actions!$A$2:$BA$46,7,0))</f>
        <v/>
      </c>
      <c r="G5" s="182" t="str">
        <f>IF(ISNA(VLOOKUP("X",'Action POLLEC 1'!$H$77:$M$96,4,0)),"-",VLOOKUP("X",'Action POLLEC 1'!$H$77:$M$96,4,0))</f>
        <v>-</v>
      </c>
      <c r="H5" s="1319" t="str">
        <f>IF(ISNA(VLOOKUP("X",'Action POLLEC 1'!$H$77:$M$96,4,0)),"-",VLOOKUP("X",'Action POLLEC 1'!$H$77:$M$96,5,0))</f>
        <v>-</v>
      </c>
      <c r="I5" s="1319" t="str">
        <f>IF(ISNA(VLOOKUP("X",'Action POLLEC 1'!$H$77:$M$96,4,0)),"-",VLOOKUP("X",'Action POLLEC 1'!$H$77:$M$96,6,0))</f>
        <v>-</v>
      </c>
      <c r="J5" s="182" t="str">
        <f>IF(ISNA(VLOOKUP("X",'Action POLLEC 1'!$I$101:$L$111,3,0)),"-",VLOOKUP("X",'Action POLLEC 1'!$I$101:$L$111,3,0))</f>
        <v>-</v>
      </c>
      <c r="K5" s="1319" t="str">
        <f>IF(ISNA(VLOOKUP("X",'Action POLLEC 1'!$I$101:$L$111,3,0)),"-",VLOOKUP("X",'Action POLLEC 1'!$I$101:$L$111,4,0))</f>
        <v>-</v>
      </c>
    </row>
    <row r="6" spans="2:11">
      <c r="B6" s="1320">
        <v>2</v>
      </c>
      <c r="C6" s="1319" t="str" cm="1">
        <f t="array" aca="1" ref="C6" ca="1">IF(SUMPRODUCT((Actions!$AZ$2:$AZ$46=B6)*(Actions!$F$2:$F$46))=0,"","A"&amp;SUMPRODUCT((Actions!$AZ$2:$AZ$46=B6)*(Actions!$F$2:$F$46)))</f>
        <v/>
      </c>
      <c r="D6" s="1319" t="str">
        <f ca="1">IF(ISNA(VLOOKUP(C6,Actions!$A$2:$AX$46,41,0)),"",IF(VLOOKUP(C6,Actions!$A$2:$AX$46,50,0)=1,"Atténuation","Adaptation"))</f>
        <v/>
      </c>
      <c r="E6" s="1319" t="str">
        <f ca="1">IF(ISNA(VLOOKUP(C6,Actions!$A$2:$BA$46,46,0)),"",IF(VLOOKUP(C6,Actions!$A$2:$BA$46,53,0)=TRUE,"x",""))</f>
        <v/>
      </c>
      <c r="F6" s="182" t="str">
        <f ca="1">IF(ISNA(VLOOKUP(C6,Actions!$A$2:$BA$46,7,0)),"",VLOOKUP(C6,Actions!$A$2:$BA$46,7,0))</f>
        <v/>
      </c>
      <c r="G6" s="182" t="str">
        <f>IF(ISNA(VLOOKUP("X",'Action POLLEC 2'!$H$77:$M$96,4,0)),"-",VLOOKUP("X",'Action POLLEC 2'!$H$77:$M$96,4,0))</f>
        <v>-</v>
      </c>
      <c r="H6" s="1319" t="str">
        <f>IF(ISNA(VLOOKUP("X",'Action POLLEC 2'!$H$77:$M$96,4,0)),"-",VLOOKUP("X",'Action POLLEC 2'!$H$77:$M$96,5,0))</f>
        <v>-</v>
      </c>
      <c r="I6" s="1319" t="str">
        <f>IF(ISNA(VLOOKUP("X",'Action POLLEC 2'!$H$77:$M$96,4,0)),"-",VLOOKUP("X",'Action POLLEC 2'!$H$77:$M$96,6,0))</f>
        <v>-</v>
      </c>
      <c r="J6" s="182" t="str">
        <f>IF(ISNA(VLOOKUP("X",'Action POLLEC 2'!$I$101:$L$111,3,0)),"-",VLOOKUP("X",'Action POLLEC 2'!$I$101:$L$111,3,0))</f>
        <v>-</v>
      </c>
      <c r="K6" s="1319" t="str">
        <f>IF(ISNA(VLOOKUP("X",'Action POLLEC 2'!$I$101:$L$111,3,0)),"-",VLOOKUP("X",'Action POLLEC 2'!$I$101:$L$111,4,0))</f>
        <v>-</v>
      </c>
    </row>
    <row r="7" spans="2:11">
      <c r="B7" s="1320">
        <v>3</v>
      </c>
      <c r="C7" s="1319" t="str" cm="1">
        <f t="array" aca="1" ref="C7" ca="1">IF(SUMPRODUCT((Actions!$AZ$2:$AZ$46=B7)*(Actions!$F$2:$F$46))=0,"","A"&amp;SUMPRODUCT((Actions!$AZ$2:$AZ$46=B7)*(Actions!$F$2:$F$46)))</f>
        <v/>
      </c>
      <c r="D7" s="1319" t="str">
        <f ca="1">IF(ISNA(VLOOKUP(C7,Actions!$A$2:$AX$46,41,0)),"",IF(VLOOKUP(C7,Actions!$A$2:$AX$46,50,0)=1,"Atténuation","Adaptation"))</f>
        <v/>
      </c>
      <c r="E7" s="1319" t="str">
        <f ca="1">IF(ISNA(VLOOKUP(C7,Actions!$A$2:$BA$46,46,0)),"",IF(VLOOKUP(C7,Actions!$A$2:$BA$46,53,0)=TRUE,"x",""))</f>
        <v/>
      </c>
      <c r="F7" s="182" t="str">
        <f ca="1">IF(ISNA(VLOOKUP(C7,Actions!$A$2:$BA$46,7,0)),"",VLOOKUP(C7,Actions!$A$2:$BA$46,7,0))</f>
        <v/>
      </c>
      <c r="G7" s="182" t="str">
        <f>IF(ISNA(VLOOKUP("X",'Action POLLEC 3'!$H$77:$M$96,4,0)),"-",VLOOKUP("X",'Action POLLEC 3'!$H$77:$M$96,4,0))</f>
        <v>-</v>
      </c>
      <c r="H7" s="1319" t="str">
        <f>IF(ISNA(VLOOKUP("X",'Action POLLEC 3'!$H$77:$M$96,4,0)),"-",VLOOKUP("X",'Action POLLEC 3'!$H$77:$M$96,5,0))</f>
        <v>-</v>
      </c>
      <c r="I7" s="1319" t="str">
        <f>IF(ISNA(VLOOKUP("X",'Action POLLEC 3'!$H$77:$M$96,4,0)),"-",VLOOKUP("X",'Action POLLEC 3'!$H$77:$M$96,6,0))</f>
        <v>-</v>
      </c>
      <c r="J7" s="182" t="str">
        <f>IF(ISNA(VLOOKUP("X",'Action POLLEC 3'!$I$101:$L$111,3,0)),"-",VLOOKUP("X",'Action POLLEC 3'!$I$101:$L$111,3,0))</f>
        <v>-</v>
      </c>
      <c r="K7" s="1319" t="str">
        <f>IF(ISNA(VLOOKUP("X",'Action POLLEC 3'!$I$101:$L$111,3,0)),"-",VLOOKUP("X",'Action POLLEC 3'!$I$101:$L$111,4,0))</f>
        <v>-</v>
      </c>
    </row>
    <row r="8" spans="2:11">
      <c r="B8" s="1320">
        <v>4</v>
      </c>
      <c r="C8" s="1319" t="str" cm="1">
        <f t="array" aca="1" ref="C8" ca="1">IF(SUMPRODUCT((Actions!$AZ$2:$AZ$46=B8)*(Actions!$F$2:$F$46))=0,"","A"&amp;SUMPRODUCT((Actions!$AZ$2:$AZ$46=B8)*(Actions!$F$2:$F$46)))</f>
        <v/>
      </c>
      <c r="D8" s="1319" t="str">
        <f ca="1">IF(ISNA(VLOOKUP(C8,Actions!$A$2:$AX$46,41,0)),"",IF(VLOOKUP(C8,Actions!$A$2:$AX$46,50,0)=1,"Atténuation","Adaptation"))</f>
        <v/>
      </c>
      <c r="E8" s="1319" t="str">
        <f ca="1">IF(ISNA(VLOOKUP(C8,Actions!$A$2:$BA$46,46,0)),"",IF(VLOOKUP(C8,Actions!$A$2:$BA$46,53,0)=TRUE,"x",""))</f>
        <v/>
      </c>
      <c r="F8" s="182" t="str">
        <f ca="1">IF(ISNA(VLOOKUP(C8,Actions!$A$2:$BA$46,7,0)),"",VLOOKUP(C8,Actions!$A$2:$BA$46,7,0))</f>
        <v/>
      </c>
      <c r="G8" s="182" t="str">
        <f>IF(ISNA(VLOOKUP("X",'Action POLLEC 4'!$H$77:$M$96,4,0)),"-",VLOOKUP("X",'Action POLLEC 4'!$H$77:$M$96,4,0))</f>
        <v>-</v>
      </c>
      <c r="H8" s="1319" t="str">
        <f>IF(ISNA(VLOOKUP("X",'Action POLLEC 4'!$H$77:$M$96,4,0)),"-",VLOOKUP("X",'Action POLLEC 4'!$H$77:$M$96,5,0))</f>
        <v>-</v>
      </c>
      <c r="I8" s="1319" t="str">
        <f>IF(ISNA(VLOOKUP("X",'Action POLLEC 4'!$H$77:$M$96,4,0)),"-",VLOOKUP("X",'Action POLLEC 4'!$H$77:$M$96,6,0))</f>
        <v>-</v>
      </c>
      <c r="J8" s="182" t="str">
        <f>IF(ISNA(VLOOKUP("X",'Action POLLEC 4'!$I$101:$L$111,3,0)),"-",VLOOKUP("X",'Action POLLEC 4'!$I$101:$L$111,3,0))</f>
        <v>-</v>
      </c>
      <c r="K8" s="1319" t="str">
        <f>IF(ISNA(VLOOKUP("X",'Action POLLEC 4'!$I$101:$L$111,3,0)),"-",VLOOKUP("X",'Action POLLEC 4'!$I$101:$L$111,4,0))</f>
        <v>-</v>
      </c>
    </row>
    <row r="9" spans="2:11">
      <c r="B9" s="1320">
        <v>5</v>
      </c>
      <c r="C9" s="1319" t="str" cm="1">
        <f t="array" aca="1" ref="C9" ca="1">IF(SUMPRODUCT((Actions!$AZ$2:$AZ$46=B9)*(Actions!$F$2:$F$46))=0,"","A"&amp;SUMPRODUCT((Actions!$AZ$2:$AZ$46=B9)*(Actions!$F$2:$F$46)))</f>
        <v/>
      </c>
      <c r="D9" s="1319" t="str">
        <f ca="1">IF(ISNA(VLOOKUP(C9,Actions!$A$2:$AX$46,41,0)),"",IF(VLOOKUP(C9,Actions!$A$2:$AX$46,50,0)=1,"Atténuation","Adaptation"))</f>
        <v/>
      </c>
      <c r="E9" s="1319" t="str">
        <f ca="1">IF(ISNA(VLOOKUP(C9,Actions!$A$2:$BA$46,46,0)),"",IF(VLOOKUP(C9,Actions!$A$2:$BA$46,53,0)=TRUE,"x",""))</f>
        <v/>
      </c>
      <c r="F9" s="182" t="str">
        <f ca="1">IF(ISNA(VLOOKUP(C9,Actions!$A$2:$BA$46,7,0)),"",VLOOKUP(C9,Actions!$A$2:$BA$46,7,0))</f>
        <v/>
      </c>
      <c r="G9" s="182" t="str">
        <f>IF(ISNA(VLOOKUP("X",'Action POLLEC 5'!$H$77:$M$96,4,0)),"-",VLOOKUP("X",'Action POLLEC 5'!$H$77:$M$96,4,0))</f>
        <v>-</v>
      </c>
      <c r="H9" s="1319" t="str">
        <f>IF(ISNA(VLOOKUP("X",'Action POLLEC 5'!$H$77:$M$96,4,0)),"-",VLOOKUP("X",'Action POLLEC 5'!$H$77:$M$96,5,0))</f>
        <v>-</v>
      </c>
      <c r="I9" s="1319" t="str">
        <f>IF(ISNA(VLOOKUP("X",'Action POLLEC 5'!$H$77:$M$96,4,0)),"-",VLOOKUP("X",'Action POLLEC 5'!$H$77:$M$96,6,0))</f>
        <v>-</v>
      </c>
      <c r="J9" s="182" t="str">
        <f>IF(ISNA(VLOOKUP("X",'Action POLLEC 5'!$I$101:$L$111,3,0)),"-",VLOOKUP("X",'Action POLLEC 5'!$I$101:$L$111,3,0))</f>
        <v>-</v>
      </c>
      <c r="K9" s="1319" t="str">
        <f>IF(ISNA(VLOOKUP("X",'Action POLLEC 5'!$I$101:$L$111,3,0)),"-",VLOOKUP("X",'Action POLLEC 5'!$I$101:$L$111,4,0))</f>
        <v>-</v>
      </c>
    </row>
    <row r="10" spans="2:11">
      <c r="B10" s="1320">
        <v>6</v>
      </c>
      <c r="C10" s="1319" t="str" cm="1">
        <f t="array" aca="1" ref="C10" ca="1">IF(SUMPRODUCT((Actions!$AZ$2:$AZ$46=B10)*(Actions!$F$2:$F$46))=0,"","A"&amp;SUMPRODUCT((Actions!$AZ$2:$AZ$46=B10)*(Actions!$F$2:$F$46)))</f>
        <v/>
      </c>
      <c r="D10" s="1319" t="str">
        <f ca="1">IF(ISNA(VLOOKUP(C10,Actions!$A$2:$AX$46,41,0)),"",IF(VLOOKUP(C10,Actions!$A$2:$AX$46,50,0)=1,"Atténuation","Adaptation"))</f>
        <v/>
      </c>
      <c r="E10" s="1319" t="str">
        <f ca="1">IF(ISNA(VLOOKUP(C10,Actions!$A$2:$BA$46,46,0)),"",IF(VLOOKUP(C10,Actions!$A$2:$BA$46,53,0)=TRUE,"x",""))</f>
        <v/>
      </c>
      <c r="F10" s="182" t="str">
        <f ca="1">IF(ISNA(VLOOKUP(C10,Actions!$A$2:$BA$46,7,0)),"",VLOOKUP(C10,Actions!$A$2:$BA$46,7,0))</f>
        <v/>
      </c>
      <c r="G10" s="182" t="str">
        <f>IF(ISNA(VLOOKUP("X",'Action POLLEC 6'!$H$77:$M$96,4,0)),"-",VLOOKUP("X",'Action POLLEC 6'!$H$77:$M$96,4,0))</f>
        <v>-</v>
      </c>
      <c r="H10" s="1319" t="str">
        <f>IF(ISNA(VLOOKUP("X",'Action POLLEC 6'!$H$77:$M$96,4,0)),"-",VLOOKUP("X",'Action POLLEC 6'!$H$77:$M$96,5,0))</f>
        <v>-</v>
      </c>
      <c r="I10" s="1319" t="str">
        <f>IF(ISNA(VLOOKUP("X",'Action POLLEC 6'!$H$77:$M$96,4,0)),"-",VLOOKUP("X",'Action POLLEC 6'!$H$77:$M$96,6,0))</f>
        <v>-</v>
      </c>
      <c r="J10" s="182" t="str">
        <f>IF(ISNA(VLOOKUP("X",'Action POLLEC 6'!$I$101:$L$111,3,0)),"-",VLOOKUP("X",'Action POLLEC 6'!$I$101:$L$111,3,0))</f>
        <v>-</v>
      </c>
      <c r="K10" s="1319" t="str">
        <f>IF(ISNA(VLOOKUP("X",'Action POLLEC 6'!$I$101:$L$111,3,0)),"-",VLOOKUP("X",'Action POLLEC 6'!$I$101:$L$111,4,0))</f>
        <v>-</v>
      </c>
    </row>
    <row r="11" spans="2:11" ht="6.6" customHeight="1"/>
    <row r="12" spans="2:11" ht="328.35" customHeight="1">
      <c r="B12" s="2140" t="s">
        <v>1281</v>
      </c>
      <c r="C12" s="2140"/>
      <c r="D12" s="2140"/>
      <c r="E12" s="2140"/>
      <c r="F12" s="2140"/>
      <c r="G12" s="1315"/>
      <c r="H12" s="1315"/>
      <c r="I12" s="1315"/>
      <c r="J12" s="1315"/>
    </row>
  </sheetData>
  <sheetProtection algorithmName="SHA-512" hashValue="pm/63ftM0IUHdpmJFqzrt0MckVbL4sMVVnbbdK77IFaIiEoXgEuYZoByyEaNcdtUdGBI52YIAi8fyvXXeeMpCQ==" saltValue="0bBl8JM28yWXwgQP2mm0KQ==" spinCount="100000" sheet="1" objects="1" scenarios="1"/>
  <mergeCells count="1">
    <mergeCell ref="B12:F1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7F3FE-31EC-41DC-9353-25175E9A9B56}">
  <sheetPr codeName="Feuil45">
    <tabColor rgb="FF92D050"/>
  </sheetPr>
  <dimension ref="A1:S113"/>
  <sheetViews>
    <sheetView showGridLines="0" zoomScale="70" zoomScaleNormal="70" workbookViewId="0"/>
  </sheetViews>
  <sheetFormatPr baseColWidth="10" defaultColWidth="11.44140625" defaultRowHeight="14.4"/>
  <cols>
    <col min="1" max="1" width="45.88671875" customWidth="1"/>
    <col min="2" max="2" width="34.44140625" customWidth="1"/>
    <col min="3" max="3" width="32.5546875" customWidth="1"/>
    <col min="4" max="4" width="33" customWidth="1"/>
    <col min="5" max="5" width="39.44140625" customWidth="1"/>
    <col min="6" max="6" width="19.44140625" bestFit="1" customWidth="1"/>
    <col min="7" max="7" width="23.88671875" customWidth="1"/>
    <col min="8" max="8" width="22" customWidth="1"/>
    <col min="9" max="9" width="19.109375" customWidth="1"/>
  </cols>
  <sheetData>
    <row r="1" spans="1:9" ht="15" thickBot="1"/>
    <row r="2" spans="1:9" ht="18.600000000000001" thickBot="1">
      <c r="E2" s="914" t="s">
        <v>708</v>
      </c>
      <c r="F2" s="1772" t="str">
        <f ca="1">IF('Rapportage POLLEC'!D5='Action POLLEC 1'!E2,"OUI","")</f>
        <v/>
      </c>
      <c r="G2" s="915"/>
      <c r="H2" s="915"/>
      <c r="I2" s="915"/>
    </row>
    <row r="3" spans="1:9" ht="26.4" thickBot="1">
      <c r="A3" s="2214" t="str">
        <f ca="1">"Action clé 1: "&amp;IF(ISERROR(INDIRECT("'"&amp;$F6&amp;"'!b$13")),"-",INDIRECT("'"&amp;$F6&amp;"'!b$13"))</f>
        <v>Action clé 1: -</v>
      </c>
      <c r="B3" s="2214"/>
      <c r="C3" s="2214"/>
      <c r="D3" s="2215"/>
      <c r="E3" s="916" t="s">
        <v>327</v>
      </c>
      <c r="F3" s="1772" t="str">
        <f ca="1">IF('Rapportage POLLEC'!D5='Action POLLEC 1'!E3,"OUI","")</f>
        <v/>
      </c>
      <c r="G3" s="915"/>
      <c r="H3" s="915"/>
      <c r="I3" s="915"/>
    </row>
    <row r="4" spans="1:9" ht="15.9" customHeight="1" thickBot="1">
      <c r="A4" s="809"/>
      <c r="B4" s="809"/>
      <c r="C4" s="809"/>
      <c r="D4" s="809"/>
      <c r="E4" s="917" t="s">
        <v>1276</v>
      </c>
      <c r="F4" s="1773" t="str">
        <f ca="1">IF('Rapportage POLLEC'!E5="x","OUI","")</f>
        <v/>
      </c>
      <c r="G4" s="915"/>
      <c r="H4" s="915"/>
      <c r="I4" s="915"/>
    </row>
    <row r="5" spans="1:9" ht="26.4" thickBot="1">
      <c r="A5" s="894"/>
      <c r="B5" s="894"/>
      <c r="C5" s="894"/>
      <c r="D5" s="894"/>
      <c r="E5" s="915"/>
      <c r="F5" s="918"/>
      <c r="G5" s="915"/>
      <c r="H5" s="915"/>
      <c r="I5" s="915"/>
    </row>
    <row r="6" spans="1:9" ht="18.600000000000001" thickBot="1">
      <c r="A6" s="919" t="s">
        <v>103</v>
      </c>
      <c r="B6" s="920"/>
      <c r="C6" s="920"/>
      <c r="D6" s="920"/>
      <c r="E6" s="921" t="s">
        <v>1682</v>
      </c>
      <c r="F6" s="1772" t="str">
        <f ca="1">'Rapportage POLLEC'!C5</f>
        <v/>
      </c>
      <c r="G6" s="915"/>
      <c r="H6" s="915"/>
      <c r="I6" s="915"/>
    </row>
    <row r="7" spans="1:9" ht="18.600000000000001" thickBot="1">
      <c r="A7" s="1786" t="str">
        <f ca="1">IF(ISERROR(INDIRECT("'"&amp;$F6&amp;"'!A5")),"-",INDIRECT("'"&amp;$F6&amp;"'!A5"))</f>
        <v>-</v>
      </c>
      <c r="B7" s="920"/>
      <c r="C7" s="920"/>
      <c r="D7" s="920"/>
      <c r="E7" s="2148" t="s">
        <v>717</v>
      </c>
      <c r="F7" s="2149"/>
      <c r="G7" s="915"/>
      <c r="H7" s="915"/>
      <c r="I7" s="915"/>
    </row>
    <row r="8" spans="1:9" ht="18.600000000000001" thickBot="1">
      <c r="A8" s="920"/>
      <c r="B8" s="923"/>
      <c r="C8" s="923"/>
      <c r="D8" s="923"/>
      <c r="E8" s="2150" t="str">
        <f ca="1">IF(ISERROR(INDIRECT("'"&amp;$F6&amp;"'!e6")),"-",INDIRECT("'"&amp;$F6&amp;"'!e6"))</f>
        <v>-</v>
      </c>
      <c r="F8" s="2151"/>
      <c r="G8" s="915"/>
      <c r="H8" s="915"/>
      <c r="I8" s="915"/>
    </row>
    <row r="9" spans="1:9" ht="23.1" customHeight="1" thickBot="1">
      <c r="A9" s="924"/>
      <c r="B9" s="878"/>
      <c r="C9" s="923"/>
      <c r="D9" s="923"/>
      <c r="E9" s="879"/>
      <c r="F9" s="879"/>
      <c r="G9" s="915"/>
      <c r="H9" s="915"/>
      <c r="I9" s="915"/>
    </row>
    <row r="10" spans="1:9" ht="31.35" customHeight="1" thickBot="1">
      <c r="A10" s="922" t="s">
        <v>1052</v>
      </c>
      <c r="B10" s="1770" t="str">
        <f ca="1">IF(ISERROR(INDIRECT("'"&amp;$F6&amp;"'!b$9")),"-",INDIRECT("'"&amp;$F6&amp;"'!b$9"))</f>
        <v>-</v>
      </c>
      <c r="C10" s="922" t="s">
        <v>721</v>
      </c>
      <c r="D10" s="1771" t="str">
        <f ca="1">IF(ISERROR(INDIRECT("'"&amp;$F6&amp;"'!d$9")),"-",INDIRECT("'"&amp;$F6&amp;"'!d$9"))</f>
        <v>-</v>
      </c>
      <c r="E10" s="955" t="s">
        <v>1685</v>
      </c>
      <c r="F10" s="1027"/>
      <c r="G10" s="915"/>
      <c r="H10" s="915"/>
      <c r="I10" s="915"/>
    </row>
    <row r="11" spans="1:9" ht="18.600000000000001" thickBot="1">
      <c r="A11" s="926" t="s">
        <v>1686</v>
      </c>
      <c r="B11" s="925"/>
      <c r="C11" s="927"/>
      <c r="D11" s="927"/>
      <c r="E11" s="927"/>
      <c r="F11" s="927"/>
      <c r="G11" s="915"/>
      <c r="H11" s="915"/>
      <c r="I11" s="915"/>
    </row>
    <row r="12" spans="1:9" ht="18.600000000000001" thickBot="1">
      <c r="A12" s="812"/>
      <c r="B12" s="928"/>
      <c r="C12" s="928"/>
      <c r="D12" s="928"/>
      <c r="E12" s="877"/>
      <c r="F12" s="877"/>
      <c r="G12" s="915"/>
      <c r="H12" s="915"/>
      <c r="I12" s="915"/>
    </row>
    <row r="13" spans="1:9" ht="39.9" customHeight="1" thickBot="1">
      <c r="A13" s="929" t="s">
        <v>724</v>
      </c>
      <c r="B13" s="2152" t="str">
        <f ca="1">IF(ISERROR(INDIRECT("'"&amp;$F6&amp;"'!b$13")),"-",INDIRECT("'"&amp;$F6&amp;"'!b$13"))</f>
        <v>-</v>
      </c>
      <c r="C13" s="2153"/>
      <c r="D13" s="2153"/>
      <c r="E13" s="2153"/>
      <c r="F13" s="2154"/>
      <c r="G13" s="915"/>
      <c r="H13" s="915"/>
      <c r="I13" s="915"/>
    </row>
    <row r="14" spans="1:9" ht="29.4" hidden="1" customHeight="1" thickBot="1">
      <c r="A14" s="930" t="s">
        <v>1687</v>
      </c>
      <c r="B14" s="2155"/>
      <c r="C14" s="2155"/>
      <c r="D14" s="2155"/>
      <c r="E14" s="2155"/>
      <c r="F14" s="2155"/>
      <c r="G14" s="915"/>
      <c r="H14" s="915"/>
      <c r="I14" s="915"/>
    </row>
    <row r="15" spans="1:9" ht="70.5" hidden="1" customHeight="1">
      <c r="A15" s="931" t="s">
        <v>1688</v>
      </c>
      <c r="B15" s="2156"/>
      <c r="C15" s="2157"/>
      <c r="D15" s="2157"/>
      <c r="E15" s="2157"/>
      <c r="F15" s="2158"/>
      <c r="G15" s="915"/>
      <c r="H15" s="915"/>
      <c r="I15" s="915"/>
    </row>
    <row r="16" spans="1:9" ht="43.8" hidden="1" thickBot="1">
      <c r="A16" s="932" t="s">
        <v>1689</v>
      </c>
      <c r="B16" s="2159"/>
      <c r="C16" s="2160"/>
      <c r="D16" s="2160"/>
      <c r="E16" s="2160"/>
      <c r="F16" s="2161"/>
      <c r="G16" s="915"/>
      <c r="H16" s="915"/>
      <c r="I16" s="915"/>
    </row>
    <row r="17" spans="1:19" ht="43.8" hidden="1" thickBot="1">
      <c r="A17" s="932" t="s">
        <v>1690</v>
      </c>
      <c r="B17" s="2162"/>
      <c r="C17" s="2163"/>
      <c r="D17" s="2163"/>
      <c r="E17" s="2163"/>
      <c r="F17" s="2164"/>
      <c r="G17" s="915"/>
      <c r="H17" s="915"/>
      <c r="I17" s="915"/>
    </row>
    <row r="18" spans="1:19" ht="18.600000000000001" thickBot="1">
      <c r="A18" s="2165"/>
      <c r="B18" s="2165"/>
      <c r="C18" s="2165"/>
      <c r="D18" s="2165"/>
      <c r="E18" s="2165"/>
      <c r="F18" s="2165"/>
      <c r="G18" s="915"/>
      <c r="H18" s="915"/>
      <c r="I18" s="915"/>
    </row>
    <row r="19" spans="1:19" ht="166.35" customHeight="1">
      <c r="A19" s="933" t="s">
        <v>1691</v>
      </c>
      <c r="B19" s="2166" t="str">
        <f ca="1">IF(ISERROR(INDIRECT("'"&amp;$F6&amp;"'!b$14")),"-",INDIRECT("'"&amp;$F6&amp;"'!b$14"))</f>
        <v>-</v>
      </c>
      <c r="C19" s="2167"/>
      <c r="D19" s="2167"/>
      <c r="E19" s="2167"/>
      <c r="F19" s="2168"/>
      <c r="G19" s="915"/>
      <c r="H19" s="915"/>
      <c r="I19" s="915"/>
    </row>
    <row r="20" spans="1:19" ht="34.5" customHeight="1">
      <c r="A20" s="1410" t="s">
        <v>1692</v>
      </c>
      <c r="B20" s="2169"/>
      <c r="C20" s="2170"/>
      <c r="D20" s="2170"/>
      <c r="E20" s="2170"/>
      <c r="F20" s="2171"/>
      <c r="G20" s="1754"/>
      <c r="H20" s="915"/>
      <c r="I20" s="915"/>
    </row>
    <row r="21" spans="1:19" ht="64.2" customHeight="1">
      <c r="A21" s="1410" t="s">
        <v>1693</v>
      </c>
      <c r="B21" s="2169"/>
      <c r="C21" s="2170"/>
      <c r="D21" s="2170"/>
      <c r="E21" s="2170"/>
      <c r="F21" s="2171"/>
      <c r="G21" s="1756" t="str">
        <f ca="1">IF(ISERROR(INDIRECT("'"&amp;$F6&amp;"'!b$16")),"-",INDIRECT("'"&amp;$F6&amp;"'!b$16"))&amp;" - "&amp;IF(ISERROR(INDIRECT("'"&amp;$F6&amp;"'!c$16")),"-",INDIRECT("'"&amp;$F6&amp;"'!c$16"))&amp;" - "&amp;IF(ISERROR(INDIRECT("'"&amp;$F6&amp;"'!d$16")),"-",INDIRECT("'"&amp;$F6&amp;"'!d$16"))&amp;" - "&amp;IF(ISERROR(INDIRECT("'"&amp;$F6&amp;"'!e$16")),"-",INDIRECT("'"&amp;$F6&amp;"'!e$16"))&amp;" - "&amp;IF(ISERROR(INDIRECT("'"&amp;$F6&amp;"'!f$16")),"-",INDIRECT("'"&amp;$F6&amp;"'!f$16"))</f>
        <v>- - - - - - - - -</v>
      </c>
      <c r="H21" s="934" t="s">
        <v>1695</v>
      </c>
      <c r="I21" s="934" t="s">
        <v>1696</v>
      </c>
      <c r="J21" s="935" t="s">
        <v>1697</v>
      </c>
      <c r="K21" s="935" t="s">
        <v>1698</v>
      </c>
      <c r="L21" s="935" t="s">
        <v>1699</v>
      </c>
      <c r="M21" s="935" t="s">
        <v>1700</v>
      </c>
      <c r="N21" s="935" t="s">
        <v>1701</v>
      </c>
      <c r="O21" s="935" t="s">
        <v>1702</v>
      </c>
      <c r="P21" s="935" t="s">
        <v>1703</v>
      </c>
      <c r="Q21" s="935" t="s">
        <v>1704</v>
      </c>
      <c r="R21" s="935" t="s">
        <v>157</v>
      </c>
      <c r="S21" s="935" t="s">
        <v>661</v>
      </c>
    </row>
    <row r="22" spans="1:19" ht="98.1" customHeight="1" thickBot="1">
      <c r="A22" s="1677" t="s">
        <v>1705</v>
      </c>
      <c r="B22" s="2145"/>
      <c r="C22" s="2146"/>
      <c r="D22" s="2146"/>
      <c r="E22" s="2146"/>
      <c r="F22" s="2147"/>
      <c r="G22" s="911" t="b">
        <v>0</v>
      </c>
      <c r="H22" s="911" t="b">
        <v>0</v>
      </c>
      <c r="I22" s="911" t="b">
        <v>0</v>
      </c>
      <c r="J22" s="912" t="b">
        <v>0</v>
      </c>
      <c r="K22" s="912"/>
      <c r="L22" s="912" t="b">
        <v>0</v>
      </c>
      <c r="M22" s="912"/>
      <c r="N22" s="912" t="b">
        <v>0</v>
      </c>
      <c r="O22" s="912"/>
      <c r="P22" s="912" t="b">
        <v>0</v>
      </c>
      <c r="Q22" s="912" t="b">
        <v>0</v>
      </c>
      <c r="R22" s="912"/>
      <c r="S22" s="912" t="b">
        <v>0</v>
      </c>
    </row>
    <row r="23" spans="1:19" ht="29.4" customHeight="1" thickBot="1">
      <c r="A23" s="930" t="s">
        <v>1706</v>
      </c>
      <c r="B23" s="2155"/>
      <c r="C23" s="2155"/>
      <c r="D23" s="2155"/>
      <c r="E23" s="2155"/>
      <c r="F23" s="2155"/>
      <c r="G23" s="915"/>
      <c r="H23" s="915"/>
      <c r="I23" s="915"/>
    </row>
    <row r="24" spans="1:19" ht="18">
      <c r="A24" s="936" t="s">
        <v>1074</v>
      </c>
      <c r="B24" s="2175" t="str">
        <f ca="1">IF(ISERROR(INDIRECT("'"&amp;$F6&amp;"'!b$16")),"-",INDIRECT("'"&amp;$F6&amp;"'!b$17"))</f>
        <v>-</v>
      </c>
      <c r="C24" s="2167"/>
      <c r="D24" s="2167"/>
      <c r="E24" s="2167"/>
      <c r="F24" s="2168"/>
      <c r="G24" s="915"/>
      <c r="H24" s="915"/>
      <c r="I24" s="915"/>
    </row>
    <row r="25" spans="1:19" ht="18">
      <c r="A25" s="1415" t="s">
        <v>728</v>
      </c>
      <c r="B25" s="2176" t="str">
        <f ca="1">IF(ISERROR(INDIRECT("'"&amp;$F6&amp;"'!b$17")),"-",INDIRECT("'"&amp;$F6&amp;"'!b$18"))</f>
        <v>-</v>
      </c>
      <c r="C25" s="2177"/>
      <c r="D25" s="2177"/>
      <c r="E25" s="2177"/>
      <c r="F25" s="2178"/>
      <c r="G25" s="915"/>
      <c r="H25" s="915"/>
      <c r="I25" s="915"/>
    </row>
    <row r="26" spans="1:19" ht="28.8">
      <c r="A26" s="2179" t="s">
        <v>1707</v>
      </c>
      <c r="B26" s="1774" t="str">
        <f ca="1">IF(ISERROR(INDIRECT("'"&amp;$F6&amp;"'!b$18")),"-",INDIRECT("'"&amp;$F6&amp;"'!b$19"))</f>
        <v>-</v>
      </c>
      <c r="C26" s="1416" t="s">
        <v>1708</v>
      </c>
      <c r="D26" s="1412"/>
      <c r="E26" s="1417" t="s">
        <v>1709</v>
      </c>
      <c r="F26" s="1413"/>
      <c r="G26" s="915"/>
      <c r="H26" s="915"/>
      <c r="I26" s="915"/>
    </row>
    <row r="27" spans="1:19" ht="28.8">
      <c r="A27" s="2180"/>
      <c r="B27" s="1411"/>
      <c r="C27" s="1416" t="s">
        <v>1708</v>
      </c>
      <c r="D27" s="1412"/>
      <c r="E27" s="1417" t="s">
        <v>1709</v>
      </c>
      <c r="F27" s="1413"/>
      <c r="G27" s="915"/>
      <c r="H27" s="915"/>
      <c r="I27" s="915"/>
    </row>
    <row r="28" spans="1:19" ht="28.8">
      <c r="A28" s="2180"/>
      <c r="B28" s="1411"/>
      <c r="C28" s="1416" t="s">
        <v>1708</v>
      </c>
      <c r="D28" s="1412"/>
      <c r="E28" s="1417" t="s">
        <v>1709</v>
      </c>
      <c r="F28" s="1413"/>
      <c r="G28" s="915"/>
      <c r="H28" s="915"/>
      <c r="I28" s="915"/>
    </row>
    <row r="29" spans="1:19" ht="28.8">
      <c r="A29" s="2180"/>
      <c r="B29" s="1411"/>
      <c r="C29" s="1416" t="s">
        <v>1708</v>
      </c>
      <c r="D29" s="1412"/>
      <c r="E29" s="1417" t="s">
        <v>1709</v>
      </c>
      <c r="F29" s="1413"/>
      <c r="G29" s="915"/>
      <c r="H29" s="915"/>
      <c r="I29" s="915"/>
    </row>
    <row r="30" spans="1:19" ht="29.4" thickBot="1">
      <c r="A30" s="2181"/>
      <c r="B30" s="1411"/>
      <c r="C30" s="1418" t="s">
        <v>1708</v>
      </c>
      <c r="D30" s="1419"/>
      <c r="E30" s="1420" t="s">
        <v>1709</v>
      </c>
      <c r="F30" s="1421"/>
      <c r="G30" s="915"/>
      <c r="H30" s="915"/>
      <c r="I30" s="915"/>
    </row>
    <row r="31" spans="1:19" ht="29.4" customHeight="1" thickBot="1">
      <c r="A31" s="930" t="s">
        <v>1710</v>
      </c>
      <c r="B31" s="2155"/>
      <c r="C31" s="2155"/>
      <c r="D31" s="2155"/>
      <c r="E31" s="2155"/>
      <c r="F31" s="2155"/>
      <c r="G31" s="915"/>
      <c r="H31" s="915"/>
      <c r="I31" s="915"/>
    </row>
    <row r="32" spans="1:19" ht="18">
      <c r="A32" s="936" t="s">
        <v>1711</v>
      </c>
      <c r="B32" s="2182"/>
      <c r="C32" s="2183"/>
      <c r="D32" s="2183"/>
      <c r="E32" s="2183"/>
      <c r="F32" s="2184"/>
      <c r="G32" s="915"/>
      <c r="H32" s="915"/>
      <c r="I32" s="915"/>
    </row>
    <row r="33" spans="1:9" ht="31.8" thickBot="1">
      <c r="A33" s="1422" t="s">
        <v>1712</v>
      </c>
      <c r="B33" s="2185"/>
      <c r="C33" s="2186"/>
      <c r="D33" s="2186"/>
      <c r="E33" s="2186"/>
      <c r="F33" s="2187"/>
      <c r="G33" s="915"/>
      <c r="H33" s="915"/>
      <c r="I33" s="915"/>
    </row>
    <row r="34" spans="1:9" ht="29.4" customHeight="1" thickBot="1">
      <c r="A34" s="930" t="s">
        <v>1240</v>
      </c>
      <c r="B34" s="2188"/>
      <c r="C34" s="2188"/>
      <c r="D34" s="2188"/>
      <c r="E34" s="2188"/>
      <c r="F34" s="2188"/>
      <c r="G34" s="915"/>
      <c r="H34" s="915"/>
      <c r="I34" s="915"/>
    </row>
    <row r="35" spans="1:9" ht="18">
      <c r="A35" s="936" t="s">
        <v>730</v>
      </c>
      <c r="B35" s="2189" t="str">
        <f ca="1">IF(ISERROR(INDIRECT("'"&amp;$F6&amp;"'!b$19")),"-",INDIRECT("'"&amp;$F6&amp;"'!b$20"))</f>
        <v>-</v>
      </c>
      <c r="C35" s="2190"/>
      <c r="D35" s="2190"/>
      <c r="E35" s="2190"/>
      <c r="F35" s="2191"/>
      <c r="G35" s="915"/>
      <c r="H35" s="915"/>
      <c r="I35" s="915"/>
    </row>
    <row r="36" spans="1:9" ht="18">
      <c r="A36" s="1415" t="s">
        <v>733</v>
      </c>
      <c r="B36" s="2192" t="str">
        <f ca="1">IF(ISERROR(INDIRECT("'"&amp;$F6&amp;"'!b$20")),"-",INDIRECT("'"&amp;$F6&amp;"'!b$21"))</f>
        <v>-</v>
      </c>
      <c r="C36" s="2193"/>
      <c r="D36" s="2193"/>
      <c r="E36" s="2193"/>
      <c r="F36" s="2194"/>
      <c r="G36" s="915"/>
      <c r="H36" s="915"/>
      <c r="I36" s="915"/>
    </row>
    <row r="37" spans="1:9" ht="31.35" customHeight="1">
      <c r="A37" s="1423" t="s">
        <v>1713</v>
      </c>
      <c r="B37" s="2192" t="e">
        <f ca="1">IF(ISERROR(INDIRECT("'"&amp;$F6&amp;"'!b$21")),"-",INDIRECT("'"&amp;$F6&amp;"'!b$22"))-B38</f>
        <v>#VALUE!</v>
      </c>
      <c r="C37" s="2193"/>
      <c r="D37" s="2193"/>
      <c r="E37" s="2193"/>
      <c r="F37" s="2194"/>
      <c r="G37" s="2144" t="str">
        <f ca="1">"Charge totale dans la fiche action : "&amp;IF(ISERROR(INDIRECT("'"&amp;$F6&amp;"'!b$21")),"-",INDIRECT("'"&amp;$F6&amp;"'!b$21"))&amp;" jours.personne"</f>
        <v>Charge totale dans la fiche action : - jours.personne</v>
      </c>
      <c r="H37" s="915"/>
      <c r="I37" s="915"/>
    </row>
    <row r="38" spans="1:9" ht="18.600000000000001" thickBot="1">
      <c r="A38" s="1422" t="s">
        <v>1714</v>
      </c>
      <c r="B38" s="2172">
        <f>E68</f>
        <v>0</v>
      </c>
      <c r="C38" s="2173"/>
      <c r="D38" s="2173"/>
      <c r="E38" s="2173"/>
      <c r="F38" s="2174"/>
      <c r="G38" s="2144"/>
      <c r="H38" s="915"/>
      <c r="I38" s="915"/>
    </row>
    <row r="39" spans="1:9" ht="29.4" customHeight="1" thickBot="1">
      <c r="A39" s="930" t="s">
        <v>1715</v>
      </c>
      <c r="B39" s="2188"/>
      <c r="C39" s="2188"/>
      <c r="D39" s="2188"/>
      <c r="E39" s="2188"/>
      <c r="F39" s="2188"/>
      <c r="G39" s="915"/>
      <c r="H39" s="915"/>
      <c r="I39" s="915"/>
    </row>
    <row r="40" spans="1:9" ht="18">
      <c r="A40" s="937" t="s">
        <v>735</v>
      </c>
      <c r="B40" s="1775" t="str">
        <f ca="1">IF(ISERROR(INDIRECT("'"&amp;$F6&amp;"'!b$22")),"-",INDIRECT("'"&amp;$F6&amp;"'!b$23"))</f>
        <v>-</v>
      </c>
      <c r="C40" s="938" t="s">
        <v>736</v>
      </c>
      <c r="D40" s="2201" t="str">
        <f ca="1">IF(ISERROR(INDIRECT("'"&amp;$F6&amp;"'!d$22")),"-",INDIRECT("'"&amp;$F6&amp;"'!d$23"))</f>
        <v>-</v>
      </c>
      <c r="E40" s="2201"/>
      <c r="F40" s="2202"/>
      <c r="G40" s="915"/>
      <c r="H40" s="915"/>
      <c r="I40" s="915"/>
    </row>
    <row r="41" spans="1:9" ht="18">
      <c r="A41" s="1410" t="s">
        <v>737</v>
      </c>
      <c r="B41" s="2203" t="str">
        <f ca="1">IF(ISERROR(INDIRECT("'"&amp;$F6&amp;"'!b$23")),"-",INDIRECT("'"&amp;$F6&amp;"'!b$24"))</f>
        <v>-</v>
      </c>
      <c r="C41" s="2204"/>
      <c r="D41" s="2204"/>
      <c r="E41" s="2204"/>
      <c r="F41" s="2205"/>
      <c r="G41" s="915"/>
      <c r="H41" s="915"/>
      <c r="I41" s="915"/>
    </row>
    <row r="42" spans="1:9" ht="18" hidden="1">
      <c r="A42" s="1410" t="s">
        <v>1716</v>
      </c>
      <c r="B42" s="2206"/>
      <c r="C42" s="2207"/>
      <c r="D42" s="1776" t="s">
        <v>1717</v>
      </c>
      <c r="E42" s="2208"/>
      <c r="F42" s="2209"/>
      <c r="G42" s="915"/>
      <c r="H42" s="915"/>
      <c r="I42" s="915"/>
    </row>
    <row r="43" spans="1:9" ht="18">
      <c r="A43" s="1410" t="s">
        <v>738</v>
      </c>
      <c r="B43" s="2210" t="str">
        <f ca="1">IF(ISERROR(INDIRECT("'"&amp;$F6&amp;"'!b$24")),"-",INDIRECT("'"&amp;$F6&amp;"'!b$25"))</f>
        <v>-</v>
      </c>
      <c r="C43" s="2211"/>
      <c r="D43" s="2211"/>
      <c r="E43" s="2211"/>
      <c r="F43" s="2212"/>
      <c r="G43" s="915"/>
      <c r="H43" s="915"/>
      <c r="I43" s="915"/>
    </row>
    <row r="44" spans="1:9" ht="32.4" customHeight="1" thickBot="1">
      <c r="A44" s="1410" t="s">
        <v>1283</v>
      </c>
      <c r="B44" s="1777" t="str">
        <f ca="1">IF(ISERROR(INDIRECT("'"&amp;$F6&amp;"'!b$25")),"-",INDIRECT("'"&amp;$F6&amp;"'!b$26"))</f>
        <v>-</v>
      </c>
      <c r="C44" s="1425" t="s">
        <v>1718</v>
      </c>
      <c r="D44" s="1778" t="str">
        <f ca="1">IF(ISERROR(INDIRECT("'"&amp;$F6&amp;"'!d$25")),"-",INDIRECT("'"&amp;$F6&amp;"'!d$26"))</f>
        <v>-</v>
      </c>
      <c r="E44" s="1425" t="s">
        <v>741</v>
      </c>
      <c r="F44" s="1779" t="str">
        <f ca="1">IF(ISERROR(INDIRECT("'"&amp;$F6&amp;"'!f$25")),"-",INDIRECT("'"&amp;$F6&amp;"'!f$26"))</f>
        <v>-</v>
      </c>
      <c r="G44" s="915"/>
      <c r="H44" s="915"/>
      <c r="I44" s="915"/>
    </row>
    <row r="45" spans="1:9" ht="18.600000000000001" hidden="1" thickBot="1">
      <c r="A45" s="1426" t="s">
        <v>1719</v>
      </c>
      <c r="B45" s="939"/>
      <c r="C45" s="2220" t="s">
        <v>1720</v>
      </c>
      <c r="D45" s="2220"/>
      <c r="E45" s="2221"/>
      <c r="F45" s="2222"/>
      <c r="G45" s="915"/>
      <c r="H45" s="915"/>
      <c r="I45" s="915"/>
    </row>
    <row r="46" spans="1:9" ht="18.600000000000001" thickBot="1">
      <c r="A46" s="2188"/>
      <c r="B46" s="2188"/>
      <c r="C46" s="2188"/>
      <c r="D46" s="2188"/>
      <c r="E46" s="2188"/>
      <c r="F46" s="2188"/>
      <c r="G46" s="915"/>
      <c r="H46" s="915"/>
      <c r="I46" s="915"/>
    </row>
    <row r="47" spans="1:9" ht="18.600000000000001" thickBot="1">
      <c r="A47" s="940" t="s">
        <v>742</v>
      </c>
      <c r="B47" s="2195" t="str">
        <f ca="1">IF(ISERROR(INDIRECT("'"&amp;$F6&amp;"'!b$27")),"-",INDIRECT("'"&amp;$F6&amp;"'!b$27"))</f>
        <v>-</v>
      </c>
      <c r="C47" s="2196"/>
      <c r="D47" s="2196"/>
      <c r="E47" s="2196"/>
      <c r="F47" s="2197"/>
      <c r="G47" s="915"/>
      <c r="H47" s="915"/>
      <c r="I47" s="915"/>
    </row>
    <row r="48" spans="1:9" ht="18.600000000000001" hidden="1" thickBot="1">
      <c r="A48" s="940" t="s">
        <v>1721</v>
      </c>
      <c r="B48" s="2198"/>
      <c r="C48" s="2199"/>
      <c r="D48" s="2199"/>
      <c r="E48" s="2199"/>
      <c r="F48" s="2199"/>
      <c r="G48" s="915"/>
      <c r="H48" s="915"/>
      <c r="I48" s="915"/>
    </row>
    <row r="49" spans="1:9" ht="18">
      <c r="A49" s="2200"/>
      <c r="B49" s="2200"/>
      <c r="C49" s="2200"/>
      <c r="D49" s="2200"/>
      <c r="E49" s="2200"/>
      <c r="F49" s="2200"/>
      <c r="G49" s="915"/>
      <c r="H49" s="915"/>
      <c r="I49" s="915"/>
    </row>
    <row r="50" spans="1:9" ht="28.8">
      <c r="A50" s="2217" t="s">
        <v>1722</v>
      </c>
      <c r="B50" s="2217"/>
      <c r="C50" s="2217"/>
      <c r="D50" s="2217"/>
      <c r="E50" s="2217"/>
      <c r="F50" s="2217"/>
      <c r="G50" s="915"/>
      <c r="H50" s="915"/>
      <c r="I50" s="915"/>
    </row>
    <row r="51" spans="1:9" ht="15.6">
      <c r="A51" s="2218"/>
      <c r="B51" s="2218"/>
      <c r="C51" s="2218"/>
      <c r="D51" s="2218"/>
      <c r="E51" s="2218"/>
      <c r="F51" s="2218"/>
      <c r="I51" s="55"/>
    </row>
    <row r="52" spans="1:9" ht="31.2">
      <c r="A52" s="941" t="s">
        <v>77</v>
      </c>
      <c r="B52" s="2219" t="s">
        <v>1723</v>
      </c>
      <c r="C52" s="2219"/>
      <c r="D52" s="2219"/>
      <c r="E52" s="942" t="s">
        <v>1724</v>
      </c>
      <c r="F52" s="941" t="s">
        <v>2159</v>
      </c>
      <c r="G52" s="942" t="s">
        <v>1725</v>
      </c>
      <c r="H52" s="55"/>
      <c r="I52" s="55"/>
    </row>
    <row r="53" spans="1:9">
      <c r="A53" s="1427">
        <v>1</v>
      </c>
      <c r="B53" s="2141"/>
      <c r="C53" s="2142"/>
      <c r="D53" s="2143"/>
      <c r="E53" s="1428"/>
      <c r="F53" s="1750"/>
      <c r="G53" s="1428"/>
      <c r="H53" s="943"/>
      <c r="I53" s="55"/>
    </row>
    <row r="54" spans="1:9">
      <c r="A54" s="1427">
        <v>2</v>
      </c>
      <c r="B54" s="2141"/>
      <c r="C54" s="2142"/>
      <c r="D54" s="2143"/>
      <c r="E54" s="1428"/>
      <c r="F54" s="1750"/>
      <c r="G54" s="1428"/>
      <c r="H54" s="943"/>
      <c r="I54" s="55"/>
    </row>
    <row r="55" spans="1:9">
      <c r="A55" s="1427">
        <v>3</v>
      </c>
      <c r="B55" s="2141"/>
      <c r="C55" s="2142"/>
      <c r="D55" s="2143"/>
      <c r="E55" s="1428"/>
      <c r="F55" s="1750"/>
      <c r="G55" s="1428"/>
      <c r="H55" s="943"/>
      <c r="I55" s="55"/>
    </row>
    <row r="56" spans="1:9">
      <c r="A56" s="1427">
        <v>4</v>
      </c>
      <c r="B56" s="2141"/>
      <c r="C56" s="2142"/>
      <c r="D56" s="2143"/>
      <c r="E56" s="1428"/>
      <c r="F56" s="1750"/>
      <c r="G56" s="1428"/>
      <c r="H56" s="943"/>
      <c r="I56" s="55"/>
    </row>
    <row r="57" spans="1:9">
      <c r="A57" s="1427">
        <v>5</v>
      </c>
      <c r="B57" s="2141"/>
      <c r="C57" s="2142"/>
      <c r="D57" s="2143"/>
      <c r="E57" s="1428"/>
      <c r="F57" s="1750"/>
      <c r="G57" s="1428"/>
      <c r="H57" s="943"/>
      <c r="I57" s="55"/>
    </row>
    <row r="58" spans="1:9">
      <c r="A58" s="1427">
        <v>6</v>
      </c>
      <c r="B58" s="2141"/>
      <c r="C58" s="2142"/>
      <c r="D58" s="2143"/>
      <c r="E58" s="1428"/>
      <c r="F58" s="1750"/>
      <c r="G58" s="1428"/>
      <c r="H58" s="943"/>
      <c r="I58" s="55"/>
    </row>
    <row r="59" spans="1:9">
      <c r="A59" s="1427">
        <v>7</v>
      </c>
      <c r="B59" s="2141"/>
      <c r="C59" s="2142"/>
      <c r="D59" s="2143"/>
      <c r="E59" s="1428"/>
      <c r="F59" s="1750"/>
      <c r="G59" s="1428"/>
      <c r="H59" s="943"/>
      <c r="I59" s="55"/>
    </row>
    <row r="60" spans="1:9">
      <c r="A60" s="1427">
        <v>8</v>
      </c>
      <c r="B60" s="2141"/>
      <c r="C60" s="2142"/>
      <c r="D60" s="2143"/>
      <c r="E60" s="1428"/>
      <c r="F60" s="1750"/>
      <c r="G60" s="1428"/>
      <c r="H60" s="943"/>
      <c r="I60" s="55"/>
    </row>
    <row r="61" spans="1:9">
      <c r="A61" s="1427">
        <v>9</v>
      </c>
      <c r="B61" s="2141"/>
      <c r="C61" s="2142"/>
      <c r="D61" s="2143"/>
      <c r="E61" s="1428"/>
      <c r="F61" s="1750"/>
      <c r="G61" s="1428"/>
      <c r="H61" s="943"/>
      <c r="I61" s="55"/>
    </row>
    <row r="62" spans="1:9">
      <c r="A62" s="1427">
        <v>10</v>
      </c>
      <c r="B62" s="2141"/>
      <c r="C62" s="2142"/>
      <c r="D62" s="2143"/>
      <c r="E62" s="1428"/>
      <c r="F62" s="1750"/>
      <c r="G62" s="1428"/>
      <c r="H62" s="943"/>
      <c r="I62" s="55"/>
    </row>
    <row r="63" spans="1:9">
      <c r="A63" s="1427">
        <v>11</v>
      </c>
      <c r="B63" s="2141"/>
      <c r="C63" s="2142"/>
      <c r="D63" s="2143"/>
      <c r="E63" s="1428"/>
      <c r="F63" s="1750"/>
      <c r="G63" s="1428"/>
      <c r="H63" s="943"/>
      <c r="I63" s="55"/>
    </row>
    <row r="64" spans="1:9">
      <c r="A64" s="1427">
        <v>12</v>
      </c>
      <c r="B64" s="2141"/>
      <c r="C64" s="2142"/>
      <c r="D64" s="2143"/>
      <c r="E64" s="1428"/>
      <c r="F64" s="1750"/>
      <c r="G64" s="1428"/>
      <c r="H64" s="943"/>
      <c r="I64" s="55"/>
    </row>
    <row r="65" spans="1:13">
      <c r="A65" s="1427">
        <v>13</v>
      </c>
      <c r="B65" s="2141"/>
      <c r="C65" s="2142"/>
      <c r="D65" s="2143"/>
      <c r="E65" s="1428"/>
      <c r="F65" s="1750"/>
      <c r="G65" s="1428"/>
      <c r="H65" s="943"/>
      <c r="I65" s="55"/>
    </row>
    <row r="66" spans="1:13">
      <c r="A66" s="1427">
        <v>14</v>
      </c>
      <c r="B66" s="2141"/>
      <c r="C66" s="2142"/>
      <c r="D66" s="2143"/>
      <c r="E66" s="1428"/>
      <c r="F66" s="1750"/>
      <c r="G66" s="1428"/>
      <c r="H66" s="943"/>
      <c r="I66" s="55"/>
    </row>
    <row r="67" spans="1:13">
      <c r="A67" s="1427">
        <v>15</v>
      </c>
      <c r="B67" s="2141"/>
      <c r="C67" s="2142"/>
      <c r="D67" s="2143"/>
      <c r="E67" s="1428"/>
      <c r="F67" s="1750"/>
      <c r="G67" s="1428"/>
      <c r="H67" s="943"/>
      <c r="I67" s="55"/>
    </row>
    <row r="68" spans="1:13" ht="16.2" thickBot="1">
      <c r="D68" s="944" t="s">
        <v>107</v>
      </c>
      <c r="E68" s="945">
        <f>SUM(E53:E67)</f>
        <v>0</v>
      </c>
      <c r="I68" s="55"/>
    </row>
    <row r="69" spans="1:13" ht="15.6">
      <c r="D69" s="827"/>
      <c r="E69" s="77"/>
      <c r="I69" s="55"/>
    </row>
    <row r="70" spans="1:13" ht="28.8">
      <c r="A70" s="822" t="s">
        <v>1726</v>
      </c>
      <c r="B70" s="190"/>
      <c r="C70" s="190"/>
      <c r="D70" s="1298"/>
      <c r="E70" s="1299"/>
      <c r="F70" s="190"/>
      <c r="G70" s="190"/>
      <c r="I70" s="55"/>
    </row>
    <row r="71" spans="1:13" ht="28.5" customHeight="1">
      <c r="A71" s="947"/>
      <c r="B71" s="948"/>
      <c r="C71" s="948"/>
      <c r="D71" s="949"/>
      <c r="E71" s="950"/>
      <c r="F71" s="948"/>
    </row>
    <row r="72" spans="1:13" ht="77.400000000000006" customHeight="1">
      <c r="A72" s="2216" t="s">
        <v>1727</v>
      </c>
      <c r="B72" s="2216"/>
      <c r="C72" s="2216"/>
      <c r="D72" s="2216"/>
      <c r="E72" s="2216"/>
      <c r="F72" s="2216"/>
      <c r="G72" s="2216"/>
    </row>
    <row r="73" spans="1:13" ht="28.5" customHeight="1">
      <c r="A73" s="947"/>
      <c r="B73" s="948"/>
      <c r="C73" s="948"/>
      <c r="D73" s="949"/>
      <c r="E73" s="950"/>
      <c r="F73" s="948"/>
    </row>
    <row r="74" spans="1:13" ht="18">
      <c r="A74" s="951" t="s">
        <v>1728</v>
      </c>
      <c r="B74" s="948"/>
      <c r="C74" s="948"/>
      <c r="D74" s="948"/>
      <c r="E74" s="948"/>
      <c r="F74" s="948"/>
    </row>
    <row r="75" spans="1:13" ht="18">
      <c r="A75" s="823"/>
      <c r="B75" s="246"/>
    </row>
    <row r="76" spans="1:13" ht="50.4" customHeight="1" thickBot="1">
      <c r="B76" s="1768" t="s">
        <v>692</v>
      </c>
      <c r="C76" s="1768" t="s">
        <v>80</v>
      </c>
      <c r="D76" s="1768" t="s">
        <v>746</v>
      </c>
      <c r="E76" s="1768" t="s">
        <v>2159</v>
      </c>
      <c r="F76" s="1768" t="s">
        <v>1729</v>
      </c>
      <c r="G76" s="1769" t="s">
        <v>1730</v>
      </c>
      <c r="H76" s="1769" t="s">
        <v>1731</v>
      </c>
      <c r="K76" s="55"/>
      <c r="L76" s="55"/>
      <c r="M76" s="55"/>
    </row>
    <row r="77" spans="1:13">
      <c r="A77">
        <v>1</v>
      </c>
      <c r="B77" s="1780" t="str">
        <f ca="1">IF(D77=0,0,IF(ISERROR(INDIRECT("'"&amp;$F$6&amp;"'"&amp;I77)),"-",INDIRECT("'"&amp;$F$6&amp;"'"&amp;I77)))</f>
        <v>-</v>
      </c>
      <c r="C77" s="1761"/>
      <c r="D77" s="1783" t="str">
        <f ca="1">IF(ISERROR(INDIRECT("'"&amp;$F$6&amp;"'"&amp;J77)),"-",INDIRECT("'"&amp;$F$6&amp;"'"&amp;J77))</f>
        <v>-</v>
      </c>
      <c r="E77" s="1761"/>
      <c r="F77" s="1761"/>
      <c r="G77" s="1761"/>
      <c r="H77" s="1762"/>
      <c r="I77" s="953" t="s">
        <v>1732</v>
      </c>
      <c r="J77" s="953" t="s">
        <v>1733</v>
      </c>
      <c r="K77" s="1316" t="str">
        <f ca="1">B77</f>
        <v>-</v>
      </c>
      <c r="L77" s="1317" t="str">
        <f ca="1">D77</f>
        <v>-</v>
      </c>
      <c r="M77" s="55">
        <f>G77</f>
        <v>0</v>
      </c>
    </row>
    <row r="78" spans="1:13">
      <c r="A78">
        <v>2</v>
      </c>
      <c r="B78" s="1781" t="str">
        <f t="shared" ref="B78:B86" ca="1" si="0">IF(D78=0,0,IF(ISERROR(INDIRECT("'"&amp;$F$6&amp;"'"&amp;I78)),"-",INDIRECT("'"&amp;$F$6&amp;"'"&amp;I78)))</f>
        <v>-</v>
      </c>
      <c r="C78" s="1428"/>
      <c r="D78" s="1784" t="str">
        <f t="shared" ref="D78:D86" ca="1" si="1">IF(ISERROR(INDIRECT("'"&amp;$F$6&amp;"'"&amp;J78)),"-",INDIRECT("'"&amp;$F$6&amp;"'"&amp;J78))</f>
        <v>-</v>
      </c>
      <c r="E78" s="1428"/>
      <c r="F78" s="1428"/>
      <c r="G78" s="1428"/>
      <c r="H78" s="1764"/>
      <c r="I78" s="953" t="s">
        <v>1734</v>
      </c>
      <c r="J78" s="953" t="s">
        <v>1735</v>
      </c>
      <c r="K78" s="1316" t="str">
        <f t="shared" ref="K78:K86" ca="1" si="2">B78</f>
        <v>-</v>
      </c>
      <c r="L78" s="1317" t="str">
        <f t="shared" ref="L78:L86" ca="1" si="3">D78</f>
        <v>-</v>
      </c>
      <c r="M78" s="55">
        <f t="shared" ref="M78:M86" si="4">G78</f>
        <v>0</v>
      </c>
    </row>
    <row r="79" spans="1:13">
      <c r="A79">
        <v>3</v>
      </c>
      <c r="B79" s="1781" t="str">
        <f t="shared" ca="1" si="0"/>
        <v>-</v>
      </c>
      <c r="C79" s="1428"/>
      <c r="D79" s="1784" t="str">
        <f t="shared" ca="1" si="1"/>
        <v>-</v>
      </c>
      <c r="E79" s="1428"/>
      <c r="F79" s="1428"/>
      <c r="G79" s="1428"/>
      <c r="H79" s="1764"/>
      <c r="I79" s="953" t="s">
        <v>1736</v>
      </c>
      <c r="J79" s="953" t="s">
        <v>1737</v>
      </c>
      <c r="K79" s="1316" t="str">
        <f t="shared" ca="1" si="2"/>
        <v>-</v>
      </c>
      <c r="L79" s="1317" t="str">
        <f t="shared" ca="1" si="3"/>
        <v>-</v>
      </c>
      <c r="M79" s="55">
        <f t="shared" si="4"/>
        <v>0</v>
      </c>
    </row>
    <row r="80" spans="1:13">
      <c r="A80">
        <v>4</v>
      </c>
      <c r="B80" s="1781" t="str">
        <f t="shared" ca="1" si="0"/>
        <v>-</v>
      </c>
      <c r="C80" s="1428"/>
      <c r="D80" s="1784" t="str">
        <f t="shared" ca="1" si="1"/>
        <v>-</v>
      </c>
      <c r="E80" s="1428"/>
      <c r="F80" s="1428"/>
      <c r="G80" s="1428"/>
      <c r="H80" s="1764"/>
      <c r="I80" s="953" t="s">
        <v>1738</v>
      </c>
      <c r="J80" s="953" t="s">
        <v>1739</v>
      </c>
      <c r="K80" s="1316" t="str">
        <f t="shared" ca="1" si="2"/>
        <v>-</v>
      </c>
      <c r="L80" s="1317" t="str">
        <f t="shared" ca="1" si="3"/>
        <v>-</v>
      </c>
      <c r="M80" s="55">
        <f t="shared" si="4"/>
        <v>0</v>
      </c>
    </row>
    <row r="81" spans="1:13">
      <c r="A81">
        <v>5</v>
      </c>
      <c r="B81" s="1781" t="str">
        <f t="shared" ca="1" si="0"/>
        <v>-</v>
      </c>
      <c r="C81" s="1428"/>
      <c r="D81" s="1784" t="str">
        <f t="shared" ca="1" si="1"/>
        <v>-</v>
      </c>
      <c r="E81" s="1428"/>
      <c r="F81" s="1428"/>
      <c r="G81" s="1428"/>
      <c r="H81" s="1764"/>
      <c r="I81" s="953" t="s">
        <v>1740</v>
      </c>
      <c r="J81" s="953" t="s">
        <v>1741</v>
      </c>
      <c r="K81" s="1316" t="str">
        <f t="shared" ca="1" si="2"/>
        <v>-</v>
      </c>
      <c r="L81" s="1317" t="str">
        <f t="shared" ca="1" si="3"/>
        <v>-</v>
      </c>
      <c r="M81" s="55">
        <f t="shared" si="4"/>
        <v>0</v>
      </c>
    </row>
    <row r="82" spans="1:13">
      <c r="A82">
        <v>6</v>
      </c>
      <c r="B82" s="1781" t="str">
        <f t="shared" ca="1" si="0"/>
        <v>-</v>
      </c>
      <c r="C82" s="1428"/>
      <c r="D82" s="1784" t="str">
        <f t="shared" ca="1" si="1"/>
        <v>-</v>
      </c>
      <c r="E82" s="1428"/>
      <c r="F82" s="1428"/>
      <c r="G82" s="1428"/>
      <c r="H82" s="1764"/>
      <c r="I82" s="953" t="s">
        <v>1742</v>
      </c>
      <c r="J82" s="953" t="s">
        <v>1743</v>
      </c>
      <c r="K82" s="1316" t="str">
        <f t="shared" ca="1" si="2"/>
        <v>-</v>
      </c>
      <c r="L82" s="1317" t="str">
        <f t="shared" ca="1" si="3"/>
        <v>-</v>
      </c>
      <c r="M82" s="55">
        <f t="shared" si="4"/>
        <v>0</v>
      </c>
    </row>
    <row r="83" spans="1:13">
      <c r="A83">
        <v>7</v>
      </c>
      <c r="B83" s="1781" t="str">
        <f t="shared" ca="1" si="0"/>
        <v>-</v>
      </c>
      <c r="C83" s="1428"/>
      <c r="D83" s="1784" t="str">
        <f t="shared" ca="1" si="1"/>
        <v>-</v>
      </c>
      <c r="E83" s="1428"/>
      <c r="F83" s="1428"/>
      <c r="G83" s="1428"/>
      <c r="H83" s="1764"/>
      <c r="I83" s="953" t="s">
        <v>1744</v>
      </c>
      <c r="J83" s="953" t="s">
        <v>1745</v>
      </c>
      <c r="K83" s="1316" t="str">
        <f t="shared" ca="1" si="2"/>
        <v>-</v>
      </c>
      <c r="L83" s="1317" t="str">
        <f t="shared" ca="1" si="3"/>
        <v>-</v>
      </c>
      <c r="M83" s="55">
        <f t="shared" si="4"/>
        <v>0</v>
      </c>
    </row>
    <row r="84" spans="1:13">
      <c r="A84">
        <v>8</v>
      </c>
      <c r="B84" s="1781" t="str">
        <f t="shared" ca="1" si="0"/>
        <v>-</v>
      </c>
      <c r="C84" s="1428"/>
      <c r="D84" s="1784" t="str">
        <f t="shared" ca="1" si="1"/>
        <v>-</v>
      </c>
      <c r="E84" s="1428"/>
      <c r="F84" s="1428"/>
      <c r="G84" s="1428"/>
      <c r="H84" s="1764"/>
      <c r="I84" s="953" t="s">
        <v>1746</v>
      </c>
      <c r="J84" s="953" t="s">
        <v>1747</v>
      </c>
      <c r="K84" s="1316" t="str">
        <f t="shared" ca="1" si="2"/>
        <v>-</v>
      </c>
      <c r="L84" s="1317" t="str">
        <f t="shared" ca="1" si="3"/>
        <v>-</v>
      </c>
      <c r="M84" s="55">
        <f t="shared" si="4"/>
        <v>0</v>
      </c>
    </row>
    <row r="85" spans="1:13">
      <c r="A85">
        <v>9</v>
      </c>
      <c r="B85" s="1781" t="str">
        <f t="shared" ca="1" si="0"/>
        <v>-</v>
      </c>
      <c r="C85" s="1428"/>
      <c r="D85" s="1784" t="str">
        <f t="shared" ca="1" si="1"/>
        <v>-</v>
      </c>
      <c r="E85" s="1428"/>
      <c r="F85" s="1428"/>
      <c r="G85" s="1428"/>
      <c r="H85" s="1764"/>
      <c r="I85" s="953" t="s">
        <v>1748</v>
      </c>
      <c r="J85" s="953" t="s">
        <v>1749</v>
      </c>
      <c r="K85" s="1316" t="str">
        <f t="shared" ca="1" si="2"/>
        <v>-</v>
      </c>
      <c r="L85" s="1317" t="str">
        <f t="shared" ca="1" si="3"/>
        <v>-</v>
      </c>
      <c r="M85" s="55">
        <f t="shared" si="4"/>
        <v>0</v>
      </c>
    </row>
    <row r="86" spans="1:13" ht="15" thickBot="1">
      <c r="A86">
        <v>10</v>
      </c>
      <c r="B86" s="1782" t="str">
        <f t="shared" ca="1" si="0"/>
        <v>-</v>
      </c>
      <c r="C86" s="1766"/>
      <c r="D86" s="1785" t="str">
        <f t="shared" ca="1" si="1"/>
        <v>-</v>
      </c>
      <c r="E86" s="1766"/>
      <c r="F86" s="1766"/>
      <c r="G86" s="1766"/>
      <c r="H86" s="1767"/>
      <c r="I86" s="953" t="s">
        <v>2991</v>
      </c>
      <c r="J86" s="953" t="s">
        <v>2992</v>
      </c>
      <c r="K86" s="1316" t="str">
        <f t="shared" ca="1" si="2"/>
        <v>-</v>
      </c>
      <c r="L86" s="1317" t="str">
        <f t="shared" ca="1" si="3"/>
        <v>-</v>
      </c>
      <c r="M86" s="55">
        <f t="shared" si="4"/>
        <v>0</v>
      </c>
    </row>
    <row r="87" spans="1:13">
      <c r="A87">
        <v>11</v>
      </c>
      <c r="B87" s="1760"/>
      <c r="C87" s="1761"/>
      <c r="D87" s="1761"/>
      <c r="E87" s="1761"/>
      <c r="F87" s="1761"/>
      <c r="G87" s="1761"/>
      <c r="H87" s="1762"/>
      <c r="I87" s="953" t="s">
        <v>1732</v>
      </c>
      <c r="J87" s="953" t="s">
        <v>1733</v>
      </c>
      <c r="K87" s="1316">
        <f>B87</f>
        <v>0</v>
      </c>
      <c r="L87" s="1317">
        <f>D87</f>
        <v>0</v>
      </c>
      <c r="M87" s="55">
        <f>G87</f>
        <v>0</v>
      </c>
    </row>
    <row r="88" spans="1:13">
      <c r="A88">
        <v>12</v>
      </c>
      <c r="B88" s="1763"/>
      <c r="C88" s="1428"/>
      <c r="D88" s="1428"/>
      <c r="E88" s="1428"/>
      <c r="F88" s="1428"/>
      <c r="G88" s="1428"/>
      <c r="H88" s="1764"/>
      <c r="I88" s="953" t="s">
        <v>1734</v>
      </c>
      <c r="J88" s="953" t="s">
        <v>1735</v>
      </c>
      <c r="K88" s="1316">
        <f t="shared" ref="K88:K96" si="5">B88</f>
        <v>0</v>
      </c>
      <c r="L88" s="1317">
        <f t="shared" ref="L88:L96" si="6">D88</f>
        <v>0</v>
      </c>
      <c r="M88" s="55">
        <f t="shared" ref="M88:M96" si="7">G88</f>
        <v>0</v>
      </c>
    </row>
    <row r="89" spans="1:13">
      <c r="A89">
        <v>13</v>
      </c>
      <c r="B89" s="1763"/>
      <c r="C89" s="1428"/>
      <c r="D89" s="1428"/>
      <c r="E89" s="1428"/>
      <c r="F89" s="1428"/>
      <c r="G89" s="1428"/>
      <c r="H89" s="1764"/>
      <c r="I89" s="953" t="s">
        <v>1736</v>
      </c>
      <c r="J89" s="953" t="s">
        <v>1737</v>
      </c>
      <c r="K89" s="1316">
        <f t="shared" si="5"/>
        <v>0</v>
      </c>
      <c r="L89" s="1317">
        <f t="shared" si="6"/>
        <v>0</v>
      </c>
      <c r="M89" s="55">
        <f t="shared" si="7"/>
        <v>0</v>
      </c>
    </row>
    <row r="90" spans="1:13">
      <c r="A90">
        <v>14</v>
      </c>
      <c r="B90" s="1763"/>
      <c r="C90" s="1428"/>
      <c r="D90" s="1428"/>
      <c r="E90" s="1428"/>
      <c r="F90" s="1428"/>
      <c r="G90" s="1428"/>
      <c r="H90" s="1764"/>
      <c r="I90" s="953" t="s">
        <v>1738</v>
      </c>
      <c r="J90" s="953" t="s">
        <v>1739</v>
      </c>
      <c r="K90" s="1316">
        <f t="shared" si="5"/>
        <v>0</v>
      </c>
      <c r="L90" s="1317">
        <f t="shared" si="6"/>
        <v>0</v>
      </c>
      <c r="M90" s="55">
        <f t="shared" si="7"/>
        <v>0</v>
      </c>
    </row>
    <row r="91" spans="1:13">
      <c r="A91">
        <v>15</v>
      </c>
      <c r="B91" s="1763"/>
      <c r="C91" s="1428"/>
      <c r="D91" s="1428"/>
      <c r="E91" s="1428"/>
      <c r="F91" s="1428"/>
      <c r="G91" s="1428"/>
      <c r="H91" s="1764"/>
      <c r="I91" s="953" t="s">
        <v>1740</v>
      </c>
      <c r="J91" s="953" t="s">
        <v>1741</v>
      </c>
      <c r="K91" s="1316">
        <f t="shared" si="5"/>
        <v>0</v>
      </c>
      <c r="L91" s="1317">
        <f t="shared" si="6"/>
        <v>0</v>
      </c>
      <c r="M91" s="55">
        <f t="shared" si="7"/>
        <v>0</v>
      </c>
    </row>
    <row r="92" spans="1:13">
      <c r="A92">
        <v>16</v>
      </c>
      <c r="B92" s="1763"/>
      <c r="C92" s="1428"/>
      <c r="D92" s="1428"/>
      <c r="E92" s="1428"/>
      <c r="F92" s="1428"/>
      <c r="G92" s="1428"/>
      <c r="H92" s="1764"/>
      <c r="I92" s="953" t="s">
        <v>1742</v>
      </c>
      <c r="J92" s="953" t="s">
        <v>1743</v>
      </c>
      <c r="K92" s="1316">
        <f t="shared" si="5"/>
        <v>0</v>
      </c>
      <c r="L92" s="1317">
        <f t="shared" si="6"/>
        <v>0</v>
      </c>
      <c r="M92" s="55">
        <f t="shared" si="7"/>
        <v>0</v>
      </c>
    </row>
    <row r="93" spans="1:13">
      <c r="A93">
        <v>17</v>
      </c>
      <c r="B93" s="1763"/>
      <c r="C93" s="1428"/>
      <c r="D93" s="1428"/>
      <c r="E93" s="1428"/>
      <c r="F93" s="1428"/>
      <c r="G93" s="1428"/>
      <c r="H93" s="1764"/>
      <c r="I93" s="953" t="s">
        <v>1744</v>
      </c>
      <c r="J93" s="953" t="s">
        <v>1745</v>
      </c>
      <c r="K93" s="1316">
        <f t="shared" si="5"/>
        <v>0</v>
      </c>
      <c r="L93" s="1317">
        <f t="shared" si="6"/>
        <v>0</v>
      </c>
      <c r="M93" s="55">
        <f t="shared" si="7"/>
        <v>0</v>
      </c>
    </row>
    <row r="94" spans="1:13">
      <c r="A94">
        <v>18</v>
      </c>
      <c r="B94" s="1763"/>
      <c r="C94" s="1428"/>
      <c r="D94" s="1428"/>
      <c r="E94" s="1428"/>
      <c r="F94" s="1428"/>
      <c r="G94" s="1428"/>
      <c r="H94" s="1764"/>
      <c r="I94" s="953" t="s">
        <v>1746</v>
      </c>
      <c r="J94" s="953" t="s">
        <v>1747</v>
      </c>
      <c r="K94" s="1316">
        <f t="shared" si="5"/>
        <v>0</v>
      </c>
      <c r="L94" s="1317">
        <f t="shared" si="6"/>
        <v>0</v>
      </c>
      <c r="M94" s="55">
        <f t="shared" si="7"/>
        <v>0</v>
      </c>
    </row>
    <row r="95" spans="1:13">
      <c r="A95">
        <v>19</v>
      </c>
      <c r="B95" s="1763"/>
      <c r="C95" s="1428"/>
      <c r="D95" s="1428"/>
      <c r="E95" s="1428"/>
      <c r="F95" s="1428"/>
      <c r="G95" s="1428"/>
      <c r="H95" s="1764"/>
      <c r="I95" s="953" t="s">
        <v>1748</v>
      </c>
      <c r="J95" s="953" t="s">
        <v>1749</v>
      </c>
      <c r="K95" s="1316">
        <f t="shared" si="5"/>
        <v>0</v>
      </c>
      <c r="L95" s="1317">
        <f t="shared" si="6"/>
        <v>0</v>
      </c>
      <c r="M95" s="55">
        <f t="shared" si="7"/>
        <v>0</v>
      </c>
    </row>
    <row r="96" spans="1:13" ht="15" thickBot="1">
      <c r="A96">
        <v>20</v>
      </c>
      <c r="B96" s="1765"/>
      <c r="C96" s="1766"/>
      <c r="D96" s="1766"/>
      <c r="E96" s="1766"/>
      <c r="F96" s="1766"/>
      <c r="G96" s="1766"/>
      <c r="H96" s="1767"/>
      <c r="I96" s="953" t="s">
        <v>2991</v>
      </c>
      <c r="J96" s="953" t="s">
        <v>2992</v>
      </c>
      <c r="K96" s="1316">
        <f t="shared" si="5"/>
        <v>0</v>
      </c>
      <c r="L96" s="1317">
        <f t="shared" si="6"/>
        <v>0</v>
      </c>
      <c r="M96" s="55">
        <f t="shared" si="7"/>
        <v>0</v>
      </c>
    </row>
    <row r="97" spans="1:12">
      <c r="H97" s="954"/>
      <c r="I97" s="954"/>
    </row>
    <row r="98" spans="1:12" ht="18">
      <c r="A98" s="951" t="s">
        <v>1750</v>
      </c>
      <c r="B98" s="77"/>
      <c r="C98" s="943"/>
      <c r="D98" s="943"/>
      <c r="E98" s="943"/>
      <c r="F98" s="943"/>
      <c r="H98" s="954"/>
      <c r="I98" s="954"/>
    </row>
    <row r="99" spans="1:12" ht="18">
      <c r="A99" s="823"/>
      <c r="B99" s="246"/>
      <c r="C99" s="2213" t="s">
        <v>1751</v>
      </c>
      <c r="D99" s="2213"/>
      <c r="E99" s="2213"/>
      <c r="H99" s="954"/>
      <c r="I99" s="954"/>
    </row>
    <row r="100" spans="1:12" ht="69" customHeight="1">
      <c r="B100" s="952" t="s">
        <v>692</v>
      </c>
      <c r="C100" s="952" t="s">
        <v>1305</v>
      </c>
      <c r="D100" s="952" t="s">
        <v>1314</v>
      </c>
      <c r="E100" s="952" t="s">
        <v>1322</v>
      </c>
      <c r="F100" s="952" t="s">
        <v>2159</v>
      </c>
      <c r="G100" s="952" t="s">
        <v>1729</v>
      </c>
      <c r="H100" s="1676" t="s">
        <v>1280</v>
      </c>
      <c r="I100" s="1676" t="s">
        <v>1731</v>
      </c>
    </row>
    <row r="101" spans="1:12">
      <c r="A101">
        <v>1</v>
      </c>
      <c r="B101" s="1429"/>
      <c r="C101" s="1428"/>
      <c r="D101" s="1428"/>
      <c r="E101" s="1428"/>
      <c r="F101" s="1428"/>
      <c r="G101" s="1428"/>
      <c r="H101" s="1428"/>
      <c r="I101" s="1428"/>
      <c r="K101" s="1316">
        <f>B101</f>
        <v>0</v>
      </c>
      <c r="L101" s="55">
        <f>H101</f>
        <v>0</v>
      </c>
    </row>
    <row r="102" spans="1:12">
      <c r="A102">
        <v>2</v>
      </c>
      <c r="B102" s="1430"/>
      <c r="C102" s="1428"/>
      <c r="D102" s="1428"/>
      <c r="E102" s="1428"/>
      <c r="F102" s="1428"/>
      <c r="G102" s="1428"/>
      <c r="H102" s="1428"/>
      <c r="I102" s="1428"/>
      <c r="K102" s="1316">
        <f t="shared" ref="K102:K110" si="8">B102</f>
        <v>0</v>
      </c>
      <c r="L102" s="55">
        <f t="shared" ref="L102:L110" si="9">H102</f>
        <v>0</v>
      </c>
    </row>
    <row r="103" spans="1:12">
      <c r="A103">
        <v>3</v>
      </c>
      <c r="B103" s="1430"/>
      <c r="C103" s="1428"/>
      <c r="D103" s="1428"/>
      <c r="E103" s="1428"/>
      <c r="F103" s="1428"/>
      <c r="G103" s="1428"/>
      <c r="H103" s="1428"/>
      <c r="I103" s="1428"/>
      <c r="K103" s="1316">
        <f t="shared" si="8"/>
        <v>0</v>
      </c>
      <c r="L103" s="55">
        <f t="shared" si="9"/>
        <v>0</v>
      </c>
    </row>
    <row r="104" spans="1:12">
      <c r="A104">
        <v>4</v>
      </c>
      <c r="B104" s="1430"/>
      <c r="C104" s="1428"/>
      <c r="D104" s="1428"/>
      <c r="E104" s="1428"/>
      <c r="F104" s="1428"/>
      <c r="G104" s="1428"/>
      <c r="H104" s="1428"/>
      <c r="I104" s="1428"/>
      <c r="K104" s="1316">
        <f t="shared" si="8"/>
        <v>0</v>
      </c>
      <c r="L104" s="55">
        <f t="shared" si="9"/>
        <v>0</v>
      </c>
    </row>
    <row r="105" spans="1:12">
      <c r="A105">
        <v>5</v>
      </c>
      <c r="B105" s="1430"/>
      <c r="C105" s="1428"/>
      <c r="D105" s="1428"/>
      <c r="E105" s="1428"/>
      <c r="F105" s="1428"/>
      <c r="G105" s="1428"/>
      <c r="H105" s="1428"/>
      <c r="I105" s="1428"/>
      <c r="K105" s="1316">
        <f t="shared" si="8"/>
        <v>0</v>
      </c>
      <c r="L105" s="55">
        <f t="shared" si="9"/>
        <v>0</v>
      </c>
    </row>
    <row r="106" spans="1:12">
      <c r="A106">
        <v>6</v>
      </c>
      <c r="B106" s="1430"/>
      <c r="C106" s="1428"/>
      <c r="D106" s="1428"/>
      <c r="E106" s="1428"/>
      <c r="F106" s="1428"/>
      <c r="G106" s="1428"/>
      <c r="H106" s="1428"/>
      <c r="I106" s="1428"/>
      <c r="K106" s="1316">
        <f t="shared" si="8"/>
        <v>0</v>
      </c>
      <c r="L106" s="55">
        <f t="shared" si="9"/>
        <v>0</v>
      </c>
    </row>
    <row r="107" spans="1:12">
      <c r="A107">
        <v>7</v>
      </c>
      <c r="B107" s="1430"/>
      <c r="C107" s="1428"/>
      <c r="D107" s="1428"/>
      <c r="E107" s="1428"/>
      <c r="F107" s="1428"/>
      <c r="G107" s="1428"/>
      <c r="H107" s="1428"/>
      <c r="I107" s="1428"/>
      <c r="K107" s="1316">
        <f t="shared" si="8"/>
        <v>0</v>
      </c>
      <c r="L107" s="55">
        <f t="shared" si="9"/>
        <v>0</v>
      </c>
    </row>
    <row r="108" spans="1:12">
      <c r="A108">
        <v>8</v>
      </c>
      <c r="B108" s="1430"/>
      <c r="C108" s="1428"/>
      <c r="D108" s="1428"/>
      <c r="E108" s="1428"/>
      <c r="F108" s="1428"/>
      <c r="G108" s="1428"/>
      <c r="H108" s="1428"/>
      <c r="I108" s="1428"/>
      <c r="K108" s="1316">
        <f t="shared" si="8"/>
        <v>0</v>
      </c>
      <c r="L108" s="55">
        <f t="shared" si="9"/>
        <v>0</v>
      </c>
    </row>
    <row r="109" spans="1:12">
      <c r="A109">
        <v>9</v>
      </c>
      <c r="B109" s="1430"/>
      <c r="C109" s="1428"/>
      <c r="D109" s="1428"/>
      <c r="E109" s="1428"/>
      <c r="F109" s="1428"/>
      <c r="G109" s="1428"/>
      <c r="H109" s="1428"/>
      <c r="I109" s="1428"/>
      <c r="K109" s="1316">
        <f t="shared" si="8"/>
        <v>0</v>
      </c>
      <c r="L109" s="55">
        <f t="shared" si="9"/>
        <v>0</v>
      </c>
    </row>
    <row r="110" spans="1:12">
      <c r="A110">
        <v>10</v>
      </c>
      <c r="B110" s="1430"/>
      <c r="C110" s="1428"/>
      <c r="D110" s="1428"/>
      <c r="E110" s="1428"/>
      <c r="F110" s="1428"/>
      <c r="G110" s="1428"/>
      <c r="H110" s="1428"/>
      <c r="I110" s="1428"/>
      <c r="K110" s="1316">
        <f t="shared" si="8"/>
        <v>0</v>
      </c>
      <c r="L110" s="55">
        <f t="shared" si="9"/>
        <v>0</v>
      </c>
    </row>
    <row r="111" spans="1:12">
      <c r="F111" s="875"/>
      <c r="H111" s="954"/>
      <c r="I111" s="954"/>
    </row>
    <row r="112" spans="1:12" ht="15.6">
      <c r="B112" s="827"/>
      <c r="C112" s="876"/>
      <c r="D112" s="829"/>
      <c r="F112" s="875"/>
      <c r="G112" s="875"/>
      <c r="H112" s="954"/>
      <c r="I112" s="954"/>
    </row>
    <row r="113" spans="1:9">
      <c r="A113" s="190"/>
      <c r="B113" s="190"/>
      <c r="C113" s="190"/>
      <c r="D113" s="190"/>
      <c r="E113" s="190"/>
      <c r="F113" s="190"/>
      <c r="G113" s="190"/>
      <c r="H113" s="190"/>
      <c r="I113" s="190"/>
    </row>
  </sheetData>
  <sheetProtection algorithmName="SHA-512" hashValue="aZqdbM2/ZWB+E3LjpHQZngI/8uWnK+NmBOD/WeV/jtBXaYVAkN7dYICejVNPg39PRj9s9yF/Zt0WO5MYgcWuwg==" saltValue="tAS+Q9/61pEvGSjF0ZF7IA==" spinCount="100000" sheet="1" formatColumns="0" formatRows="0"/>
  <mergeCells count="58">
    <mergeCell ref="C99:E99"/>
    <mergeCell ref="A3:D3"/>
    <mergeCell ref="B56:D56"/>
    <mergeCell ref="B57:D57"/>
    <mergeCell ref="B58:D58"/>
    <mergeCell ref="B59:D59"/>
    <mergeCell ref="B60:D60"/>
    <mergeCell ref="A72:G72"/>
    <mergeCell ref="A50:F50"/>
    <mergeCell ref="A51:F51"/>
    <mergeCell ref="B52:D52"/>
    <mergeCell ref="B53:D53"/>
    <mergeCell ref="B54:D54"/>
    <mergeCell ref="B55:D55"/>
    <mergeCell ref="C45:D45"/>
    <mergeCell ref="E45:F45"/>
    <mergeCell ref="B47:F47"/>
    <mergeCell ref="B48:F48"/>
    <mergeCell ref="A49:F49"/>
    <mergeCell ref="B39:F39"/>
    <mergeCell ref="D40:F40"/>
    <mergeCell ref="B41:F41"/>
    <mergeCell ref="B42:C42"/>
    <mergeCell ref="E42:F42"/>
    <mergeCell ref="B43:F43"/>
    <mergeCell ref="B34:F34"/>
    <mergeCell ref="B35:F35"/>
    <mergeCell ref="B36:F36"/>
    <mergeCell ref="B37:F37"/>
    <mergeCell ref="A46:F46"/>
    <mergeCell ref="B25:F25"/>
    <mergeCell ref="A26:A30"/>
    <mergeCell ref="B31:F31"/>
    <mergeCell ref="B32:F32"/>
    <mergeCell ref="B33:F33"/>
    <mergeCell ref="G37:G38"/>
    <mergeCell ref="B22:F22"/>
    <mergeCell ref="E7:F7"/>
    <mergeCell ref="E8:F8"/>
    <mergeCell ref="B13:F13"/>
    <mergeCell ref="B14:F14"/>
    <mergeCell ref="B15:F15"/>
    <mergeCell ref="B16:F16"/>
    <mergeCell ref="B17:F17"/>
    <mergeCell ref="A18:F18"/>
    <mergeCell ref="B19:F19"/>
    <mergeCell ref="B20:F20"/>
    <mergeCell ref="B21:F21"/>
    <mergeCell ref="B38:F38"/>
    <mergeCell ref="B23:F23"/>
    <mergeCell ref="B24:F24"/>
    <mergeCell ref="B66:D66"/>
    <mergeCell ref="B67:D67"/>
    <mergeCell ref="B61:D61"/>
    <mergeCell ref="B62:D62"/>
    <mergeCell ref="B63:D63"/>
    <mergeCell ref="B64:D64"/>
    <mergeCell ref="B65:D65"/>
  </mergeCells>
  <phoneticPr fontId="188" type="noConversion"/>
  <conditionalFormatting sqref="B13:F13">
    <cfRule type="expression" dxfId="213" priority="36">
      <formula>ISBLANK(B13)</formula>
    </cfRule>
  </conditionalFormatting>
  <conditionalFormatting sqref="B15:F15 B16">
    <cfRule type="expression" dxfId="212" priority="35">
      <formula>ISBLANK(B15)</formula>
    </cfRule>
  </conditionalFormatting>
  <conditionalFormatting sqref="B17:F17">
    <cfRule type="expression" dxfId="211" priority="34">
      <formula>ISBLANK(B17)</formula>
    </cfRule>
  </conditionalFormatting>
  <conditionalFormatting sqref="B45">
    <cfRule type="expression" dxfId="210" priority="33" stopIfTrue="1">
      <formula>ISBLANK($C$41)</formula>
    </cfRule>
  </conditionalFormatting>
  <conditionalFormatting sqref="B42">
    <cfRule type="expression" dxfId="209" priority="32" stopIfTrue="1">
      <formula>ISBLANK($C$41)</formula>
    </cfRule>
  </conditionalFormatting>
  <conditionalFormatting sqref="E45">
    <cfRule type="expression" dxfId="208" priority="31" stopIfTrue="1">
      <formula>ISBLANK($G$45)</formula>
    </cfRule>
  </conditionalFormatting>
  <conditionalFormatting sqref="B101">
    <cfRule type="expression" dxfId="207" priority="29">
      <formula>ISBLANK(B101)</formula>
    </cfRule>
  </conditionalFormatting>
  <conditionalFormatting sqref="D102:D110">
    <cfRule type="expression" dxfId="206" priority="28">
      <formula>ISBLANK(D102)</formula>
    </cfRule>
  </conditionalFormatting>
  <conditionalFormatting sqref="G101:G110">
    <cfRule type="expression" dxfId="205" priority="27">
      <formula>ISBLANK(G101)</formula>
    </cfRule>
  </conditionalFormatting>
  <conditionalFormatting sqref="B102:C110">
    <cfRule type="expression" dxfId="204" priority="26">
      <formula>ISBLANK(B102)</formula>
    </cfRule>
  </conditionalFormatting>
  <conditionalFormatting sqref="C101">
    <cfRule type="expression" dxfId="203" priority="25">
      <formula>ISBLANK(C101)</formula>
    </cfRule>
  </conditionalFormatting>
  <conditionalFormatting sqref="D101">
    <cfRule type="expression" dxfId="202" priority="24">
      <formula>ISBLANK(D101)</formula>
    </cfRule>
  </conditionalFormatting>
  <conditionalFormatting sqref="E102:E110">
    <cfRule type="expression" dxfId="201" priority="23">
      <formula>ISBLANK(E102)</formula>
    </cfRule>
  </conditionalFormatting>
  <conditionalFormatting sqref="E101">
    <cfRule type="expression" dxfId="200" priority="22">
      <formula>ISBLANK(E101)</formula>
    </cfRule>
  </conditionalFormatting>
  <conditionalFormatting sqref="H101:H110">
    <cfRule type="expression" dxfId="199" priority="21">
      <formula>ISBLANK(H101)</formula>
    </cfRule>
  </conditionalFormatting>
  <conditionalFormatting sqref="B48">
    <cfRule type="expression" dxfId="198" priority="20" stopIfTrue="1">
      <formula>ISBLANK($C$41)</formula>
    </cfRule>
  </conditionalFormatting>
  <conditionalFormatting sqref="E42">
    <cfRule type="expression" dxfId="197" priority="19" stopIfTrue="1">
      <formula>ISBLANK($G$45)</formula>
    </cfRule>
  </conditionalFormatting>
  <conditionalFormatting sqref="B11">
    <cfRule type="expression" dxfId="196" priority="18">
      <formula>ISBLANK(B11)</formula>
    </cfRule>
  </conditionalFormatting>
  <conditionalFormatting sqref="F10">
    <cfRule type="expression" dxfId="195" priority="6">
      <formula>$F$2="OUI"</formula>
    </cfRule>
    <cfRule type="expression" dxfId="194" priority="17">
      <formula>ISBLANK(F10)</formula>
    </cfRule>
  </conditionalFormatting>
  <conditionalFormatting sqref="B20:B21">
    <cfRule type="expression" dxfId="193" priority="16">
      <formula>ISBLANK(B20)</formula>
    </cfRule>
  </conditionalFormatting>
  <conditionalFormatting sqref="B27:B30">
    <cfRule type="expression" dxfId="192" priority="15">
      <formula>ISBLANK(B27)</formula>
    </cfRule>
  </conditionalFormatting>
  <conditionalFormatting sqref="F26:F30 D26:D30">
    <cfRule type="expression" dxfId="191" priority="14">
      <formula>ISBLANK(D26)</formula>
    </cfRule>
  </conditionalFormatting>
  <conditionalFormatting sqref="B32:B33">
    <cfRule type="expression" dxfId="190" priority="13">
      <formula>ISBLANK(B32)</formula>
    </cfRule>
  </conditionalFormatting>
  <conditionalFormatting sqref="A53:B67 E53:E67 G53:G67">
    <cfRule type="expression" dxfId="189" priority="12">
      <formula>ISBLANK(A53)</formula>
    </cfRule>
  </conditionalFormatting>
  <conditionalFormatting sqref="C77:C96 E77:H96 B87:B96 D87:D96">
    <cfRule type="expression" dxfId="188" priority="11">
      <formula>ISBLANK(B77)</formula>
    </cfRule>
  </conditionalFormatting>
  <conditionalFormatting sqref="B101:E110 G101:H110">
    <cfRule type="expression" dxfId="187" priority="10">
      <formula>ISBLANK(B101)</formula>
    </cfRule>
  </conditionalFormatting>
  <conditionalFormatting sqref="A10:D11">
    <cfRule type="expression" dxfId="186" priority="9">
      <formula>$F$3="OUI"</formula>
    </cfRule>
  </conditionalFormatting>
  <conditionalFormatting sqref="E10">
    <cfRule type="expression" dxfId="185" priority="8">
      <formula>$F$2="OUI"</formula>
    </cfRule>
  </conditionalFormatting>
  <conditionalFormatting sqref="B37:F37">
    <cfRule type="expression" dxfId="184" priority="5">
      <formula>ISBLANK(B37)</formula>
    </cfRule>
  </conditionalFormatting>
  <conditionalFormatting sqref="I101:I110">
    <cfRule type="expression" dxfId="183" priority="4">
      <formula>ISBLANK(I101)</formula>
    </cfRule>
  </conditionalFormatting>
  <conditionalFormatting sqref="F101:F110">
    <cfRule type="expression" dxfId="182" priority="3">
      <formula>ISBLANK(F101)</formula>
    </cfRule>
  </conditionalFormatting>
  <conditionalFormatting sqref="F101:F110">
    <cfRule type="expression" dxfId="181" priority="2">
      <formula>ISBLANK(F101)</formula>
    </cfRule>
  </conditionalFormatting>
  <conditionalFormatting sqref="F53:F67">
    <cfRule type="expression" dxfId="180" priority="1">
      <formula>ISBLANK(F53)</formula>
    </cfRule>
  </conditionalFormatting>
  <dataValidations count="11">
    <dataValidation type="list" allowBlank="1" showInputMessage="1" showErrorMessage="1" sqref="D40:F40" xr:uid="{C87EBE8E-05AA-40D5-98E9-A28045CF72FC}">
      <formula1>DEPENSE</formula1>
    </dataValidation>
    <dataValidation type="list" showInputMessage="1" showErrorMessage="1" sqref="D26:D30" xr:uid="{54817EBC-8E58-4596-A8B9-613B9C8CF309}">
      <formula1>Parties_prenantes</formula1>
    </dataValidation>
    <dataValidation type="list" allowBlank="1" showInputMessage="1" showErrorMessage="1" sqref="B11" xr:uid="{CB7A63E4-9D42-4CA7-A920-149D7F5F8770}">
      <formula1>Axe_precarite</formula1>
    </dataValidation>
    <dataValidation type="list" showInputMessage="1" showErrorMessage="1" sqref="F10" xr:uid="{05D11E87-89A3-4A36-97E1-71129987E307}">
      <formula1>Risque</formula1>
    </dataValidation>
    <dataValidation type="list" allowBlank="1" showInputMessage="1" showErrorMessage="1" sqref="G53:G67" xr:uid="{9082AE26-C05D-4364-AC9A-2BF44AC7F8FD}">
      <formula1>Avancement</formula1>
    </dataValidation>
    <dataValidation type="list" showInputMessage="1" showErrorMessage="1" sqref="I101:I110 H77:H96" xr:uid="{41E579EE-06B9-4B1E-ABA3-373CC2257CF7}">
      <formula1>selection</formula1>
    </dataValidation>
    <dataValidation type="list" allowBlank="1" showInputMessage="1" showErrorMessage="1" sqref="H101:H110" xr:uid="{9F00A803-25A4-499B-B8C8-395F6BF55C0F}">
      <formula1>Etat</formula1>
    </dataValidation>
    <dataValidation type="list" showInputMessage="1" showErrorMessage="1" sqref="F101:F110 E77:E96" xr:uid="{4508BC5A-2E3F-4DE3-B9A6-AAA9538AFAE7}">
      <formula1>Année</formula1>
    </dataValidation>
    <dataValidation type="decimal" allowBlank="1" showInputMessage="1" showErrorMessage="1" sqref="E53:E67" xr:uid="{B23FB3FB-19C1-4FBD-90BE-2B58CF4F1F61}">
      <formula1>0</formula1>
      <formula2>365</formula2>
    </dataValidation>
    <dataValidation type="decimal" operator="greaterThan" allowBlank="1" showInputMessage="1" showErrorMessage="1" sqref="G77:G96" xr:uid="{E09358E6-5102-437D-B963-1F62072E7141}">
      <formula1>0</formula1>
    </dataValidation>
    <dataValidation type="list" showInputMessage="1" showErrorMessage="1" error="Veuillez sélectionner une année dans le menu déroulant" sqref="F53:F67" xr:uid="{001D49FF-3581-40CB-A840-BA133E5FEAAE}">
      <formula1>Année</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326977" r:id="rId3" name="Check Box 1">
              <controlPr locked="0" defaultSize="0" autoFill="0" autoLine="0" autoPict="0">
                <anchor moveWithCells="1">
                  <from>
                    <xdr:col>1</xdr:col>
                    <xdr:colOff>350520</xdr:colOff>
                    <xdr:row>21</xdr:row>
                    <xdr:rowOff>152400</xdr:rowOff>
                  </from>
                  <to>
                    <xdr:col>1</xdr:col>
                    <xdr:colOff>632460</xdr:colOff>
                    <xdr:row>21</xdr:row>
                    <xdr:rowOff>381000</xdr:rowOff>
                  </to>
                </anchor>
              </controlPr>
            </control>
          </mc:Choice>
        </mc:AlternateContent>
        <mc:AlternateContent xmlns:mc="http://schemas.openxmlformats.org/markup-compatibility/2006">
          <mc:Choice Requires="x14">
            <control shapeId="51326978" r:id="rId4" name="Check Box 2">
              <controlPr locked="0" defaultSize="0" autoFill="0" autoLine="0" autoPict="0">
                <anchor moveWithCells="1">
                  <from>
                    <xdr:col>1</xdr:col>
                    <xdr:colOff>350520</xdr:colOff>
                    <xdr:row>21</xdr:row>
                    <xdr:rowOff>480060</xdr:rowOff>
                  </from>
                  <to>
                    <xdr:col>1</xdr:col>
                    <xdr:colOff>632460</xdr:colOff>
                    <xdr:row>21</xdr:row>
                    <xdr:rowOff>708660</xdr:rowOff>
                  </to>
                </anchor>
              </controlPr>
            </control>
          </mc:Choice>
        </mc:AlternateContent>
        <mc:AlternateContent xmlns:mc="http://schemas.openxmlformats.org/markup-compatibility/2006">
          <mc:Choice Requires="x14">
            <control shapeId="51326979" r:id="rId5" name="Check Box 3">
              <controlPr locked="0" defaultSize="0" autoFill="0" autoLine="0" autoPict="0">
                <anchor moveWithCells="1">
                  <from>
                    <xdr:col>1</xdr:col>
                    <xdr:colOff>335280</xdr:colOff>
                    <xdr:row>21</xdr:row>
                    <xdr:rowOff>830580</xdr:rowOff>
                  </from>
                  <to>
                    <xdr:col>1</xdr:col>
                    <xdr:colOff>617220</xdr:colOff>
                    <xdr:row>21</xdr:row>
                    <xdr:rowOff>1059180</xdr:rowOff>
                  </to>
                </anchor>
              </controlPr>
            </control>
          </mc:Choice>
        </mc:AlternateContent>
        <mc:AlternateContent xmlns:mc="http://schemas.openxmlformats.org/markup-compatibility/2006">
          <mc:Choice Requires="x14">
            <control shapeId="51326980" r:id="rId6" name="Check Box 4">
              <controlPr locked="0" defaultSize="0" autoFill="0" autoLine="0" autoPict="0">
                <anchor moveWithCells="1">
                  <from>
                    <xdr:col>1</xdr:col>
                    <xdr:colOff>2346960</xdr:colOff>
                    <xdr:row>21</xdr:row>
                    <xdr:rowOff>152400</xdr:rowOff>
                  </from>
                  <to>
                    <xdr:col>2</xdr:col>
                    <xdr:colOff>274320</xdr:colOff>
                    <xdr:row>21</xdr:row>
                    <xdr:rowOff>381000</xdr:rowOff>
                  </to>
                </anchor>
              </controlPr>
            </control>
          </mc:Choice>
        </mc:AlternateContent>
        <mc:AlternateContent xmlns:mc="http://schemas.openxmlformats.org/markup-compatibility/2006">
          <mc:Choice Requires="x14">
            <control shapeId="51326981" r:id="rId7" name="Check Box 5">
              <controlPr locked="0" defaultSize="0" autoFill="0" autoLine="0" autoPict="0">
                <anchor moveWithCells="1">
                  <from>
                    <xdr:col>1</xdr:col>
                    <xdr:colOff>2346960</xdr:colOff>
                    <xdr:row>21</xdr:row>
                    <xdr:rowOff>480060</xdr:rowOff>
                  </from>
                  <to>
                    <xdr:col>2</xdr:col>
                    <xdr:colOff>274320</xdr:colOff>
                    <xdr:row>21</xdr:row>
                    <xdr:rowOff>708660</xdr:rowOff>
                  </to>
                </anchor>
              </controlPr>
            </control>
          </mc:Choice>
        </mc:AlternateContent>
        <mc:AlternateContent xmlns:mc="http://schemas.openxmlformats.org/markup-compatibility/2006">
          <mc:Choice Requires="x14">
            <control shapeId="51326982" r:id="rId8" name="Check Box 6">
              <controlPr locked="0" defaultSize="0" autoFill="0" autoLine="0" autoPict="0">
                <anchor moveWithCells="1">
                  <from>
                    <xdr:col>1</xdr:col>
                    <xdr:colOff>2346960</xdr:colOff>
                    <xdr:row>21</xdr:row>
                    <xdr:rowOff>830580</xdr:rowOff>
                  </from>
                  <to>
                    <xdr:col>2</xdr:col>
                    <xdr:colOff>274320</xdr:colOff>
                    <xdr:row>21</xdr:row>
                    <xdr:rowOff>1059180</xdr:rowOff>
                  </to>
                </anchor>
              </controlPr>
            </control>
          </mc:Choice>
        </mc:AlternateContent>
        <mc:AlternateContent xmlns:mc="http://schemas.openxmlformats.org/markup-compatibility/2006">
          <mc:Choice Requires="x14">
            <control shapeId="51326983" r:id="rId9" name="Check Box 7">
              <controlPr locked="0" defaultSize="0" autoFill="0" autoLine="0" autoPict="0">
                <anchor moveWithCells="1">
                  <from>
                    <xdr:col>2</xdr:col>
                    <xdr:colOff>1981200</xdr:colOff>
                    <xdr:row>21</xdr:row>
                    <xdr:rowOff>152400</xdr:rowOff>
                  </from>
                  <to>
                    <xdr:col>3</xdr:col>
                    <xdr:colOff>22860</xdr:colOff>
                    <xdr:row>21</xdr:row>
                    <xdr:rowOff>381000</xdr:rowOff>
                  </to>
                </anchor>
              </controlPr>
            </control>
          </mc:Choice>
        </mc:AlternateContent>
        <mc:AlternateContent xmlns:mc="http://schemas.openxmlformats.org/markup-compatibility/2006">
          <mc:Choice Requires="x14">
            <control shapeId="51326984" r:id="rId10" name="Check Box 8">
              <controlPr locked="0" defaultSize="0" autoFill="0" autoLine="0" autoPict="0">
                <anchor moveWithCells="1">
                  <from>
                    <xdr:col>2</xdr:col>
                    <xdr:colOff>1988820</xdr:colOff>
                    <xdr:row>21</xdr:row>
                    <xdr:rowOff>480060</xdr:rowOff>
                  </from>
                  <to>
                    <xdr:col>3</xdr:col>
                    <xdr:colOff>22860</xdr:colOff>
                    <xdr:row>21</xdr:row>
                    <xdr:rowOff>708660</xdr:rowOff>
                  </to>
                </anchor>
              </controlPr>
            </control>
          </mc:Choice>
        </mc:AlternateContent>
        <mc:AlternateContent xmlns:mc="http://schemas.openxmlformats.org/markup-compatibility/2006">
          <mc:Choice Requires="x14">
            <control shapeId="51326985" r:id="rId11" name="Check Box 9">
              <controlPr locked="0" defaultSize="0" autoFill="0" autoLine="0" autoPict="0">
                <anchor moveWithCells="1">
                  <from>
                    <xdr:col>2</xdr:col>
                    <xdr:colOff>2004060</xdr:colOff>
                    <xdr:row>21</xdr:row>
                    <xdr:rowOff>830580</xdr:rowOff>
                  </from>
                  <to>
                    <xdr:col>3</xdr:col>
                    <xdr:colOff>30480</xdr:colOff>
                    <xdr:row>21</xdr:row>
                    <xdr:rowOff>1059180</xdr:rowOff>
                  </to>
                </anchor>
              </controlPr>
            </control>
          </mc:Choice>
        </mc:AlternateContent>
        <mc:AlternateContent xmlns:mc="http://schemas.openxmlformats.org/markup-compatibility/2006">
          <mc:Choice Requires="x14">
            <control shapeId="51326986" r:id="rId12" name="Check Box 10">
              <controlPr locked="0" defaultSize="0" autoFill="0" autoLine="0" autoPict="0">
                <anchor moveWithCells="1">
                  <from>
                    <xdr:col>3</xdr:col>
                    <xdr:colOff>1737360</xdr:colOff>
                    <xdr:row>21</xdr:row>
                    <xdr:rowOff>152400</xdr:rowOff>
                  </from>
                  <to>
                    <xdr:col>3</xdr:col>
                    <xdr:colOff>2011680</xdr:colOff>
                    <xdr:row>21</xdr:row>
                    <xdr:rowOff>381000</xdr:rowOff>
                  </to>
                </anchor>
              </controlPr>
            </control>
          </mc:Choice>
        </mc:AlternateContent>
        <mc:AlternateContent xmlns:mc="http://schemas.openxmlformats.org/markup-compatibility/2006">
          <mc:Choice Requires="x14">
            <control shapeId="51326987" r:id="rId13" name="Check Box 11">
              <controlPr locked="0" defaultSize="0" autoFill="0" autoLine="0" autoPict="0">
                <anchor moveWithCells="1">
                  <from>
                    <xdr:col>3</xdr:col>
                    <xdr:colOff>1737360</xdr:colOff>
                    <xdr:row>21</xdr:row>
                    <xdr:rowOff>480060</xdr:rowOff>
                  </from>
                  <to>
                    <xdr:col>3</xdr:col>
                    <xdr:colOff>2011680</xdr:colOff>
                    <xdr:row>21</xdr:row>
                    <xdr:rowOff>708660</xdr:rowOff>
                  </to>
                </anchor>
              </controlPr>
            </control>
          </mc:Choice>
        </mc:AlternateContent>
        <mc:AlternateContent xmlns:mc="http://schemas.openxmlformats.org/markup-compatibility/2006">
          <mc:Choice Requires="x14">
            <control shapeId="51326988" r:id="rId14" name="Check Box 12">
              <controlPr locked="0" defaultSize="0" autoFill="0" autoLine="0" autoPict="0">
                <anchor moveWithCells="1">
                  <from>
                    <xdr:col>3</xdr:col>
                    <xdr:colOff>1744980</xdr:colOff>
                    <xdr:row>21</xdr:row>
                    <xdr:rowOff>830580</xdr:rowOff>
                  </from>
                  <to>
                    <xdr:col>3</xdr:col>
                    <xdr:colOff>2011680</xdr:colOff>
                    <xdr:row>21</xdr:row>
                    <xdr:rowOff>1059180</xdr:rowOff>
                  </to>
                </anchor>
              </controlPr>
            </control>
          </mc:Choice>
        </mc:AlternateContent>
        <mc:AlternateContent xmlns:mc="http://schemas.openxmlformats.org/markup-compatibility/2006">
          <mc:Choice Requires="x14">
            <control shapeId="51326989" r:id="rId15" name="Check Box 13">
              <controlPr locked="0" defaultSize="0" autoFill="0" autoLine="0" autoPict="0">
                <anchor moveWithCells="1">
                  <from>
                    <xdr:col>4</xdr:col>
                    <xdr:colOff>1668780</xdr:colOff>
                    <xdr:row>21</xdr:row>
                    <xdr:rowOff>152400</xdr:rowOff>
                  </from>
                  <to>
                    <xdr:col>4</xdr:col>
                    <xdr:colOff>1950720</xdr:colOff>
                    <xdr:row>21</xdr:row>
                    <xdr:rowOff>381000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D5A6B-E54E-4CEA-A2E3-ADF7EFFB8F67}">
  <sheetPr codeName="Feuil46">
    <tabColor rgb="FF92D050"/>
  </sheetPr>
  <dimension ref="A1:S113"/>
  <sheetViews>
    <sheetView showGridLines="0" zoomScale="80" zoomScaleNormal="80" workbookViewId="0"/>
  </sheetViews>
  <sheetFormatPr baseColWidth="10" defaultColWidth="11.44140625" defaultRowHeight="14.4"/>
  <cols>
    <col min="1" max="1" width="45.88671875" customWidth="1"/>
    <col min="2" max="2" width="34.44140625" customWidth="1"/>
    <col min="3" max="3" width="32.5546875" customWidth="1"/>
    <col min="4" max="4" width="30.109375" customWidth="1"/>
    <col min="5" max="5" width="39.44140625" customWidth="1"/>
    <col min="6" max="6" width="19.44140625" bestFit="1" customWidth="1"/>
    <col min="7" max="7" width="23.88671875" customWidth="1"/>
    <col min="8" max="8" width="22" customWidth="1"/>
    <col min="9" max="9" width="17" customWidth="1"/>
  </cols>
  <sheetData>
    <row r="1" spans="1:9" ht="15" thickBot="1"/>
    <row r="2" spans="1:9" ht="18.600000000000001" thickBot="1">
      <c r="E2" s="914" t="s">
        <v>708</v>
      </c>
      <c r="F2" s="1772" t="str">
        <f ca="1">IF('Rapportage POLLEC'!D6='Action POLLEC 2'!E2,"OUI","")</f>
        <v/>
      </c>
      <c r="G2" s="915"/>
      <c r="H2" s="915"/>
      <c r="I2" s="915"/>
    </row>
    <row r="3" spans="1:9" ht="26.4" thickBot="1">
      <c r="A3" s="2214" t="str">
        <f ca="1">"Action clé 2: "&amp;IF(ISERROR(INDIRECT("'"&amp;$F6&amp;"'!b$13")),"-",INDIRECT("'"&amp;$F6&amp;"'!b$13"))</f>
        <v>Action clé 2: -</v>
      </c>
      <c r="B3" s="2214"/>
      <c r="C3" s="2214"/>
      <c r="D3" s="2215"/>
      <c r="E3" s="916" t="s">
        <v>327</v>
      </c>
      <c r="F3" s="1772" t="str">
        <f ca="1">IF('Rapportage POLLEC'!D6='Action POLLEC 2'!E3,"OUI","")</f>
        <v/>
      </c>
      <c r="G3" s="915"/>
      <c r="H3" s="915"/>
      <c r="I3" s="915"/>
    </row>
    <row r="4" spans="1:9" ht="15.9" customHeight="1" thickBot="1">
      <c r="A4" s="809"/>
      <c r="B4" s="809"/>
      <c r="C4" s="809"/>
      <c r="D4" s="809"/>
      <c r="E4" s="917" t="s">
        <v>1276</v>
      </c>
      <c r="F4" s="1773" t="str">
        <f ca="1">IF('Rapportage POLLEC'!E6="x","OUI","")</f>
        <v/>
      </c>
      <c r="G4" s="915"/>
      <c r="H4" s="915"/>
      <c r="I4" s="915"/>
    </row>
    <row r="5" spans="1:9" ht="26.4" thickBot="1">
      <c r="A5" s="894"/>
      <c r="B5" s="894"/>
      <c r="C5" s="894"/>
      <c r="D5" s="894"/>
      <c r="E5" s="915"/>
      <c r="F5" s="918"/>
      <c r="G5" s="915"/>
      <c r="H5" s="915"/>
      <c r="I5" s="915"/>
    </row>
    <row r="6" spans="1:9" ht="18.600000000000001" thickBot="1">
      <c r="A6" s="919" t="s">
        <v>103</v>
      </c>
      <c r="B6" s="920"/>
      <c r="C6" s="920"/>
      <c r="D6" s="920"/>
      <c r="E6" s="921" t="s">
        <v>1682</v>
      </c>
      <c r="F6" s="1772" t="str">
        <f ca="1">'Rapportage POLLEC'!C6</f>
        <v/>
      </c>
      <c r="G6" s="915"/>
      <c r="H6" s="915"/>
      <c r="I6" s="915"/>
    </row>
    <row r="7" spans="1:9" ht="18.600000000000001" thickBot="1">
      <c r="A7" s="1786" t="str">
        <f ca="1">IF(ISERROR(INDIRECT("'"&amp;$F6&amp;"'!A5")),"-",INDIRECT("'"&amp;$F6&amp;"'!A5"))</f>
        <v>-</v>
      </c>
      <c r="B7" s="920"/>
      <c r="C7" s="920"/>
      <c r="D7" s="920"/>
      <c r="E7" s="2148" t="s">
        <v>717</v>
      </c>
      <c r="F7" s="2149"/>
      <c r="G7" s="915"/>
      <c r="H7" s="915"/>
      <c r="I7" s="915"/>
    </row>
    <row r="8" spans="1:9" ht="18.600000000000001" thickBot="1">
      <c r="A8" s="920"/>
      <c r="B8" s="923"/>
      <c r="C8" s="923"/>
      <c r="D8" s="923"/>
      <c r="E8" s="2150" t="str">
        <f ca="1">IF(ISERROR(INDIRECT("'"&amp;$F6&amp;"'!e6")),"-",INDIRECT("'"&amp;$F6&amp;"'!e6"))</f>
        <v>-</v>
      </c>
      <c r="F8" s="2151"/>
      <c r="G8" s="915"/>
      <c r="H8" s="915"/>
      <c r="I8" s="915"/>
    </row>
    <row r="9" spans="1:9" ht="23.1" customHeight="1" thickBot="1">
      <c r="A9" s="924"/>
      <c r="B9" s="878"/>
      <c r="C9" s="923"/>
      <c r="D9" s="923"/>
      <c r="E9" s="879"/>
      <c r="F9" s="879"/>
      <c r="G9" s="915"/>
      <c r="H9" s="915"/>
      <c r="I9" s="915"/>
    </row>
    <row r="10" spans="1:9" ht="18.600000000000001" thickBot="1">
      <c r="A10" s="922" t="s">
        <v>1683</v>
      </c>
      <c r="B10" s="1770" t="str">
        <f ca="1">IF(ISERROR(INDIRECT("'"&amp;$F6&amp;"'!b$9")),"-",INDIRECT("'"&amp;$F6&amp;"'!b$9"))</f>
        <v>-</v>
      </c>
      <c r="C10" s="922" t="s">
        <v>1684</v>
      </c>
      <c r="D10" s="1771" t="str">
        <f ca="1">IF(ISERROR(INDIRECT("'"&amp;$F6&amp;"'!d$9")),"-",INDIRECT("'"&amp;$F6&amp;"'!d$9"))</f>
        <v>-</v>
      </c>
      <c r="E10" s="955" t="s">
        <v>1685</v>
      </c>
      <c r="F10" s="893"/>
      <c r="G10" s="915"/>
      <c r="H10" s="915"/>
      <c r="I10" s="915"/>
    </row>
    <row r="11" spans="1:9" ht="18.600000000000001" thickBot="1">
      <c r="A11" s="926" t="s">
        <v>1686</v>
      </c>
      <c r="B11" s="925"/>
      <c r="C11" s="927"/>
      <c r="D11" s="927"/>
      <c r="E11" s="927"/>
      <c r="F11" s="927"/>
      <c r="G11" s="915"/>
      <c r="H11" s="915"/>
      <c r="I11" s="915"/>
    </row>
    <row r="12" spans="1:9" ht="18.600000000000001" thickBot="1">
      <c r="A12" s="812"/>
      <c r="B12" s="928"/>
      <c r="C12" s="928"/>
      <c r="D12" s="928"/>
      <c r="E12" s="877"/>
      <c r="F12" s="877"/>
      <c r="G12" s="915"/>
      <c r="H12" s="915"/>
      <c r="I12" s="915"/>
    </row>
    <row r="13" spans="1:9" ht="39.9" customHeight="1" thickBot="1">
      <c r="A13" s="929" t="s">
        <v>724</v>
      </c>
      <c r="B13" s="2152" t="str">
        <f ca="1">IF(ISERROR(INDIRECT("'"&amp;$F6&amp;"'!b$13")),"-",INDIRECT("'"&amp;$F6&amp;"'!b$13"))</f>
        <v>-</v>
      </c>
      <c r="C13" s="2153"/>
      <c r="D13" s="2153"/>
      <c r="E13" s="2153"/>
      <c r="F13" s="2154"/>
      <c r="G13" s="915"/>
      <c r="H13" s="915"/>
      <c r="I13" s="915"/>
    </row>
    <row r="14" spans="1:9" ht="29.4" hidden="1" customHeight="1" thickBot="1">
      <c r="A14" s="930" t="s">
        <v>1687</v>
      </c>
      <c r="B14" s="2155"/>
      <c r="C14" s="2155"/>
      <c r="D14" s="2155"/>
      <c r="E14" s="2155"/>
      <c r="F14" s="2155"/>
      <c r="G14" s="915"/>
      <c r="H14" s="915"/>
      <c r="I14" s="915"/>
    </row>
    <row r="15" spans="1:9" ht="70.5" hidden="1" customHeight="1">
      <c r="A15" s="931" t="s">
        <v>1688</v>
      </c>
      <c r="B15" s="2156"/>
      <c r="C15" s="2157"/>
      <c r="D15" s="2157"/>
      <c r="E15" s="2157"/>
      <c r="F15" s="2158"/>
      <c r="G15" s="915"/>
      <c r="H15" s="915"/>
      <c r="I15" s="915"/>
    </row>
    <row r="16" spans="1:9" ht="43.8" hidden="1" thickBot="1">
      <c r="A16" s="932" t="s">
        <v>1689</v>
      </c>
      <c r="B16" s="2159"/>
      <c r="C16" s="2160"/>
      <c r="D16" s="2160"/>
      <c r="E16" s="2160"/>
      <c r="F16" s="2161"/>
      <c r="G16" s="915"/>
      <c r="H16" s="915"/>
      <c r="I16" s="915"/>
    </row>
    <row r="17" spans="1:19" ht="43.8" hidden="1" thickBot="1">
      <c r="A17" s="932" t="s">
        <v>1690</v>
      </c>
      <c r="B17" s="2162"/>
      <c r="C17" s="2163"/>
      <c r="D17" s="2163"/>
      <c r="E17" s="2163"/>
      <c r="F17" s="2164"/>
      <c r="G17" s="915"/>
      <c r="H17" s="915"/>
      <c r="I17" s="915"/>
    </row>
    <row r="18" spans="1:19" ht="18.600000000000001" thickBot="1">
      <c r="A18" s="2165"/>
      <c r="B18" s="2165"/>
      <c r="C18" s="2165"/>
      <c r="D18" s="2165"/>
      <c r="E18" s="2165"/>
      <c r="F18" s="2165"/>
      <c r="G18" s="915"/>
      <c r="H18" s="915"/>
      <c r="I18" s="915"/>
    </row>
    <row r="19" spans="1:19" ht="58.35" customHeight="1">
      <c r="A19" s="933" t="s">
        <v>1691</v>
      </c>
      <c r="B19" s="2166" t="str">
        <f ca="1">IF(ISERROR(INDIRECT("'"&amp;$F6&amp;"'!b$14")),"-",INDIRECT("'"&amp;$F6&amp;"'!b$14"))</f>
        <v>-</v>
      </c>
      <c r="C19" s="2167"/>
      <c r="D19" s="2167"/>
      <c r="E19" s="2167"/>
      <c r="F19" s="2168"/>
      <c r="G19" s="915"/>
      <c r="H19" s="915"/>
      <c r="I19" s="915"/>
    </row>
    <row r="20" spans="1:19" ht="34.5" customHeight="1">
      <c r="A20" s="1410" t="s">
        <v>1692</v>
      </c>
      <c r="B20" s="2169"/>
      <c r="C20" s="2170"/>
      <c r="D20" s="2170"/>
      <c r="E20" s="2170"/>
      <c r="F20" s="2171"/>
      <c r="G20" s="915"/>
      <c r="H20" s="915"/>
      <c r="I20" s="915"/>
    </row>
    <row r="21" spans="1:19" ht="59.4" customHeight="1">
      <c r="A21" s="1755" t="s">
        <v>1693</v>
      </c>
      <c r="B21" s="2169"/>
      <c r="C21" s="2170"/>
      <c r="D21" s="2170"/>
      <c r="E21" s="2170"/>
      <c r="F21" s="2171"/>
      <c r="G21" s="1757" t="str">
        <f ca="1">IF(ISERROR(INDIRECT("'"&amp;$F6&amp;"'!b$16")),"-",INDIRECT("'"&amp;$F6&amp;"'!b$16"))&amp;" - "&amp;IF(ISERROR(INDIRECT("'"&amp;$F6&amp;"'!c$16")),"-",INDIRECT("'"&amp;$F6&amp;"'!c$16"))&amp;" - "&amp;IF(ISERROR(INDIRECT("'"&amp;$F6&amp;"'!d$16")),"-",INDIRECT("'"&amp;$F6&amp;"'!d$16"))&amp;" - "&amp;IF(ISERROR(INDIRECT("'"&amp;$F6&amp;"'!e$16")),"-",INDIRECT("'"&amp;$F6&amp;"'!e$16"))&amp;" - "&amp;IF(ISERROR(INDIRECT("'"&amp;$F6&amp;"'!f$16")),"-",INDIRECT("'"&amp;$F6&amp;"'!f$16"))</f>
        <v>- - - - - - - - -</v>
      </c>
      <c r="H21" s="934" t="s">
        <v>1695</v>
      </c>
      <c r="I21" s="934" t="s">
        <v>1696</v>
      </c>
      <c r="J21" s="935" t="s">
        <v>1697</v>
      </c>
      <c r="K21" s="935" t="s">
        <v>1698</v>
      </c>
      <c r="L21" s="935" t="s">
        <v>1699</v>
      </c>
      <c r="M21" s="935" t="s">
        <v>1700</v>
      </c>
      <c r="N21" s="935" t="s">
        <v>1701</v>
      </c>
      <c r="O21" s="935" t="s">
        <v>1702</v>
      </c>
      <c r="P21" s="935" t="s">
        <v>1703</v>
      </c>
      <c r="Q21" s="935" t="s">
        <v>1704</v>
      </c>
      <c r="R21" s="935" t="s">
        <v>157</v>
      </c>
      <c r="S21" s="935" t="s">
        <v>661</v>
      </c>
    </row>
    <row r="22" spans="1:19" s="913" customFormat="1" ht="98.1" customHeight="1" thickBot="1">
      <c r="A22" s="1414" t="s">
        <v>1705</v>
      </c>
      <c r="B22" s="2223"/>
      <c r="C22" s="2224"/>
      <c r="D22" s="2224"/>
      <c r="E22" s="2224"/>
      <c r="F22" s="2225"/>
      <c r="G22" s="911" t="b">
        <v>0</v>
      </c>
      <c r="H22" s="911" t="b">
        <v>0</v>
      </c>
      <c r="I22" s="911" t="b">
        <v>0</v>
      </c>
      <c r="J22" s="912" t="b">
        <v>0</v>
      </c>
      <c r="K22" s="912"/>
      <c r="L22" s="912" t="b">
        <v>0</v>
      </c>
      <c r="M22" s="912"/>
      <c r="N22" s="912" t="b">
        <v>0</v>
      </c>
      <c r="O22" s="912" t="b">
        <v>0</v>
      </c>
      <c r="P22" s="912" t="b">
        <v>0</v>
      </c>
      <c r="Q22" s="912" t="b">
        <v>0</v>
      </c>
      <c r="R22" s="912"/>
      <c r="S22" s="912" t="b">
        <v>0</v>
      </c>
    </row>
    <row r="23" spans="1:19" ht="29.4" customHeight="1" thickBot="1">
      <c r="A23" s="930" t="s">
        <v>1706</v>
      </c>
      <c r="B23" s="2155"/>
      <c r="C23" s="2155"/>
      <c r="D23" s="2155"/>
      <c r="E23" s="2155"/>
      <c r="F23" s="2155"/>
      <c r="G23" s="915"/>
      <c r="H23" s="915"/>
      <c r="I23" s="915"/>
    </row>
    <row r="24" spans="1:19" ht="18">
      <c r="A24" s="936" t="s">
        <v>1074</v>
      </c>
      <c r="B24" s="2175" t="str">
        <f ca="1">IF(ISERROR(INDIRECT("'"&amp;$F6&amp;"'!b$16")),"-",INDIRECT("'"&amp;$F6&amp;"'!b$17"))</f>
        <v>-</v>
      </c>
      <c r="C24" s="2167"/>
      <c r="D24" s="2167"/>
      <c r="E24" s="2167"/>
      <c r="F24" s="2168"/>
      <c r="G24" s="915"/>
      <c r="H24" s="915"/>
      <c r="I24" s="915"/>
    </row>
    <row r="25" spans="1:19" ht="18">
      <c r="A25" s="1415" t="s">
        <v>728</v>
      </c>
      <c r="B25" s="2176" t="str">
        <f ca="1">IF(ISERROR(INDIRECT("'"&amp;$F6&amp;"'!b$17")),"-",INDIRECT("'"&amp;$F6&amp;"'!b$18"))</f>
        <v>-</v>
      </c>
      <c r="C25" s="2177"/>
      <c r="D25" s="2177"/>
      <c r="E25" s="2177"/>
      <c r="F25" s="2178"/>
      <c r="G25" s="915"/>
      <c r="H25" s="915"/>
      <c r="I25" s="915"/>
    </row>
    <row r="26" spans="1:19" ht="28.8">
      <c r="A26" s="2179" t="s">
        <v>1707</v>
      </c>
      <c r="B26" s="1774" t="str">
        <f ca="1">IF(ISERROR(INDIRECT("'"&amp;$F6&amp;"'!b$18")),"-",INDIRECT("'"&amp;$F6&amp;"'!b$19"))</f>
        <v>-</v>
      </c>
      <c r="C26" s="1416" t="s">
        <v>1708</v>
      </c>
      <c r="D26" s="1412"/>
      <c r="E26" s="1417" t="s">
        <v>1709</v>
      </c>
      <c r="F26" s="1413"/>
      <c r="G26" s="915"/>
      <c r="H26" s="915"/>
      <c r="I26" s="915"/>
    </row>
    <row r="27" spans="1:19" ht="28.8">
      <c r="A27" s="2180"/>
      <c r="B27" s="1411"/>
      <c r="C27" s="1416" t="s">
        <v>1708</v>
      </c>
      <c r="D27" s="1412"/>
      <c r="E27" s="1417" t="s">
        <v>1709</v>
      </c>
      <c r="F27" s="1413"/>
      <c r="G27" s="915"/>
      <c r="H27" s="915"/>
      <c r="I27" s="915"/>
    </row>
    <row r="28" spans="1:19" ht="28.8">
      <c r="A28" s="2180"/>
      <c r="B28" s="1411"/>
      <c r="C28" s="1416" t="s">
        <v>1708</v>
      </c>
      <c r="D28" s="1412"/>
      <c r="E28" s="1417" t="s">
        <v>1709</v>
      </c>
      <c r="F28" s="1413"/>
      <c r="G28" s="915"/>
      <c r="H28" s="915"/>
      <c r="I28" s="915"/>
    </row>
    <row r="29" spans="1:19" ht="28.8">
      <c r="A29" s="2180"/>
      <c r="B29" s="1411"/>
      <c r="C29" s="1416" t="s">
        <v>1708</v>
      </c>
      <c r="D29" s="1412"/>
      <c r="E29" s="1417" t="s">
        <v>1709</v>
      </c>
      <c r="F29" s="1413"/>
      <c r="G29" s="915"/>
      <c r="H29" s="915"/>
      <c r="I29" s="915"/>
    </row>
    <row r="30" spans="1:19" ht="29.4" thickBot="1">
      <c r="A30" s="2181"/>
      <c r="B30" s="1411"/>
      <c r="C30" s="1418" t="s">
        <v>1708</v>
      </c>
      <c r="D30" s="1419"/>
      <c r="E30" s="1420" t="s">
        <v>1709</v>
      </c>
      <c r="F30" s="1421"/>
      <c r="G30" s="915"/>
      <c r="H30" s="915"/>
      <c r="I30" s="915"/>
    </row>
    <row r="31" spans="1:19" ht="29.4" customHeight="1" thickBot="1">
      <c r="A31" s="930" t="s">
        <v>1710</v>
      </c>
      <c r="B31" s="2155"/>
      <c r="C31" s="2155"/>
      <c r="D31" s="2155"/>
      <c r="E31" s="2155"/>
      <c r="F31" s="2155"/>
      <c r="G31" s="915"/>
      <c r="H31" s="915"/>
      <c r="I31" s="915"/>
    </row>
    <row r="32" spans="1:19" ht="18">
      <c r="A32" s="936" t="s">
        <v>1711</v>
      </c>
      <c r="B32" s="2182"/>
      <c r="C32" s="2183"/>
      <c r="D32" s="2183"/>
      <c r="E32" s="2183"/>
      <c r="F32" s="2184"/>
      <c r="G32" s="915"/>
      <c r="H32" s="915"/>
      <c r="I32" s="915"/>
    </row>
    <row r="33" spans="1:9" ht="31.8" thickBot="1">
      <c r="A33" s="1422" t="s">
        <v>1712</v>
      </c>
      <c r="B33" s="2185"/>
      <c r="C33" s="2186"/>
      <c r="D33" s="2186"/>
      <c r="E33" s="2186"/>
      <c r="F33" s="2187"/>
      <c r="G33" s="915"/>
      <c r="H33" s="915"/>
      <c r="I33" s="915"/>
    </row>
    <row r="34" spans="1:9" ht="29.4" customHeight="1" thickBot="1">
      <c r="A34" s="930" t="s">
        <v>1240</v>
      </c>
      <c r="B34" s="2188"/>
      <c r="C34" s="2188"/>
      <c r="D34" s="2188"/>
      <c r="E34" s="2188"/>
      <c r="F34" s="2188"/>
      <c r="G34" s="915"/>
      <c r="H34" s="915"/>
      <c r="I34" s="915"/>
    </row>
    <row r="35" spans="1:9" ht="18">
      <c r="A35" s="936" t="s">
        <v>730</v>
      </c>
      <c r="B35" s="2189" t="str">
        <f ca="1">IF(ISERROR(INDIRECT("'"&amp;$F6&amp;"'!b$19")),"-",INDIRECT("'"&amp;$F6&amp;"'!b$20"))</f>
        <v>-</v>
      </c>
      <c r="C35" s="2190"/>
      <c r="D35" s="2190"/>
      <c r="E35" s="2190"/>
      <c r="F35" s="2191"/>
      <c r="G35" s="915"/>
      <c r="H35" s="915"/>
      <c r="I35" s="915"/>
    </row>
    <row r="36" spans="1:9" ht="18">
      <c r="A36" s="1415" t="s">
        <v>733</v>
      </c>
      <c r="B36" s="2192" t="str">
        <f ca="1">IF(ISERROR(INDIRECT("'"&amp;$F6&amp;"'!b$20")),"-",INDIRECT("'"&amp;$F6&amp;"'!b$21"))</f>
        <v>-</v>
      </c>
      <c r="C36" s="2193"/>
      <c r="D36" s="2193"/>
      <c r="E36" s="2193"/>
      <c r="F36" s="2194"/>
      <c r="G36" s="915"/>
      <c r="H36" s="915"/>
      <c r="I36" s="915"/>
    </row>
    <row r="37" spans="1:9" ht="18">
      <c r="A37" s="1423" t="s">
        <v>1713</v>
      </c>
      <c r="B37" s="2192" t="e">
        <f ca="1">IF(ISERROR(INDIRECT("'"&amp;$F6&amp;"'!b$21")),"-",INDIRECT("'"&amp;$F6&amp;"'!b$22"))-B38</f>
        <v>#VALUE!</v>
      </c>
      <c r="C37" s="2193"/>
      <c r="D37" s="2193"/>
      <c r="E37" s="2193"/>
      <c r="F37" s="2194"/>
      <c r="G37" s="915"/>
      <c r="H37" s="915"/>
      <c r="I37" s="915"/>
    </row>
    <row r="38" spans="1:9" ht="18.600000000000001" thickBot="1">
      <c r="A38" s="1422" t="s">
        <v>1714</v>
      </c>
      <c r="B38" s="2172">
        <f>E68</f>
        <v>0</v>
      </c>
      <c r="C38" s="2173"/>
      <c r="D38" s="2173"/>
      <c r="E38" s="2173"/>
      <c r="F38" s="2174"/>
      <c r="G38" s="915"/>
      <c r="H38" s="915"/>
      <c r="I38" s="915"/>
    </row>
    <row r="39" spans="1:9" ht="29.4" customHeight="1" thickBot="1">
      <c r="A39" s="930" t="s">
        <v>1715</v>
      </c>
      <c r="B39" s="2188"/>
      <c r="C39" s="2188"/>
      <c r="D39" s="2188"/>
      <c r="E39" s="2188"/>
      <c r="F39" s="2188"/>
      <c r="G39" s="915"/>
      <c r="H39" s="915"/>
      <c r="I39" s="915"/>
    </row>
    <row r="40" spans="1:9" ht="18">
      <c r="A40" s="937" t="s">
        <v>735</v>
      </c>
      <c r="B40" s="1775" t="str">
        <f ca="1">IF(ISERROR(INDIRECT("'"&amp;$F6&amp;"'!b$22")),"-",INDIRECT("'"&amp;$F6&amp;"'!b$23"))</f>
        <v>-</v>
      </c>
      <c r="C40" s="938" t="s">
        <v>736</v>
      </c>
      <c r="D40" s="2201" t="str">
        <f ca="1">IF(ISERROR(INDIRECT("'"&amp;$F6&amp;"'!d$22")),"-",INDIRECT("'"&amp;$F6&amp;"'!d$23"))</f>
        <v>-</v>
      </c>
      <c r="E40" s="2201"/>
      <c r="F40" s="2202"/>
      <c r="G40" s="915"/>
      <c r="H40" s="915"/>
      <c r="I40" s="915"/>
    </row>
    <row r="41" spans="1:9" ht="18">
      <c r="A41" s="1410" t="s">
        <v>737</v>
      </c>
      <c r="B41" s="2203" t="str">
        <f ca="1">IF(ISERROR(INDIRECT("'"&amp;$F6&amp;"'!b$23")),"-",INDIRECT("'"&amp;$F6&amp;"'!b$24"))</f>
        <v>-</v>
      </c>
      <c r="C41" s="2204"/>
      <c r="D41" s="2204"/>
      <c r="E41" s="2204"/>
      <c r="F41" s="2205"/>
      <c r="G41" s="915"/>
      <c r="H41" s="915"/>
      <c r="I41" s="915"/>
    </row>
    <row r="42" spans="1:9" ht="18" hidden="1">
      <c r="A42" s="1410" t="s">
        <v>1716</v>
      </c>
      <c r="B42" s="2206"/>
      <c r="C42" s="2207"/>
      <c r="D42" s="1776" t="s">
        <v>1717</v>
      </c>
      <c r="E42" s="2208"/>
      <c r="F42" s="2209"/>
      <c r="G42" s="915"/>
      <c r="H42" s="915"/>
      <c r="I42" s="915"/>
    </row>
    <row r="43" spans="1:9" ht="18">
      <c r="A43" s="1410" t="s">
        <v>738</v>
      </c>
      <c r="B43" s="2210" t="str">
        <f ca="1">IF(ISERROR(INDIRECT("'"&amp;$F6&amp;"'!b$24")),"-",INDIRECT("'"&amp;$F6&amp;"'!b$25"))</f>
        <v>-</v>
      </c>
      <c r="C43" s="2211"/>
      <c r="D43" s="2211"/>
      <c r="E43" s="2211"/>
      <c r="F43" s="2212"/>
      <c r="G43" s="915"/>
      <c r="H43" s="915"/>
      <c r="I43" s="915"/>
    </row>
    <row r="44" spans="1:9" ht="32.4" customHeight="1" thickBot="1">
      <c r="A44" s="1410" t="s">
        <v>1283</v>
      </c>
      <c r="B44" s="1777" t="str">
        <f ca="1">IF(ISERROR(INDIRECT("'"&amp;$F6&amp;"'!b$25")),"-",INDIRECT("'"&amp;$F6&amp;"'!b$26"))</f>
        <v>-</v>
      </c>
      <c r="C44" s="1425" t="s">
        <v>1718</v>
      </c>
      <c r="D44" s="1778" t="str">
        <f ca="1">IF(ISERROR(INDIRECT("'"&amp;$F6&amp;"'!d$25")),"-",INDIRECT("'"&amp;$F6&amp;"'!d$26"))</f>
        <v>-</v>
      </c>
      <c r="E44" s="1425" t="s">
        <v>741</v>
      </c>
      <c r="F44" s="1779" t="str">
        <f ca="1">IF(ISERROR(INDIRECT("'"&amp;$F6&amp;"'!f$25")),"-",INDIRECT("'"&amp;$F6&amp;"'!f$26"))</f>
        <v>-</v>
      </c>
      <c r="G44" s="915"/>
      <c r="H44" s="915"/>
      <c r="I44" s="915"/>
    </row>
    <row r="45" spans="1:9" ht="18.600000000000001" hidden="1" thickBot="1">
      <c r="A45" s="1426" t="s">
        <v>1719</v>
      </c>
      <c r="B45" s="939"/>
      <c r="C45" s="2220" t="s">
        <v>1720</v>
      </c>
      <c r="D45" s="2220"/>
      <c r="E45" s="2221"/>
      <c r="F45" s="2222"/>
      <c r="G45" s="915"/>
      <c r="H45" s="915"/>
      <c r="I45" s="915"/>
    </row>
    <row r="46" spans="1:9" ht="18.600000000000001" thickBot="1">
      <c r="A46" s="2188"/>
      <c r="B46" s="2188"/>
      <c r="C46" s="2188"/>
      <c r="D46" s="2188"/>
      <c r="E46" s="2188"/>
      <c r="F46" s="2188"/>
      <c r="G46" s="915"/>
      <c r="H46" s="915"/>
      <c r="I46" s="915"/>
    </row>
    <row r="47" spans="1:9" ht="18.600000000000001" thickBot="1">
      <c r="A47" s="940" t="s">
        <v>742</v>
      </c>
      <c r="B47" s="2195" t="str">
        <f ca="1">IF(ISERROR(INDIRECT("'"&amp;$F6&amp;"'!b$26")),"-",INDIRECT("'"&amp;$F6&amp;"'!b$27"))</f>
        <v>-</v>
      </c>
      <c r="C47" s="2196"/>
      <c r="D47" s="2196"/>
      <c r="E47" s="2196"/>
      <c r="F47" s="2197"/>
      <c r="G47" s="915"/>
      <c r="H47" s="915"/>
      <c r="I47" s="915"/>
    </row>
    <row r="48" spans="1:9" ht="18.600000000000001" hidden="1" thickBot="1">
      <c r="A48" s="940" t="s">
        <v>1721</v>
      </c>
      <c r="B48" s="2198"/>
      <c r="C48" s="2199"/>
      <c r="D48" s="2199"/>
      <c r="E48" s="2199"/>
      <c r="F48" s="2199"/>
      <c r="G48" s="915"/>
      <c r="H48" s="915"/>
      <c r="I48" s="915"/>
    </row>
    <row r="49" spans="1:9" ht="18">
      <c r="A49" s="2200"/>
      <c r="B49" s="2200"/>
      <c r="C49" s="2200"/>
      <c r="D49" s="2200"/>
      <c r="E49" s="2200"/>
      <c r="F49" s="2200"/>
      <c r="G49" s="915"/>
      <c r="H49" s="915"/>
      <c r="I49" s="915"/>
    </row>
    <row r="50" spans="1:9" ht="28.8">
      <c r="A50" s="2217" t="s">
        <v>1722</v>
      </c>
      <c r="B50" s="2217"/>
      <c r="C50" s="2217"/>
      <c r="D50" s="2217"/>
      <c r="E50" s="2217"/>
      <c r="F50" s="2217"/>
      <c r="G50" s="915"/>
      <c r="H50" s="915"/>
      <c r="I50" s="915"/>
    </row>
    <row r="51" spans="1:9" ht="15.6">
      <c r="A51" s="2218"/>
      <c r="B51" s="2218"/>
      <c r="C51" s="2218"/>
      <c r="D51" s="2218"/>
      <c r="E51" s="2218"/>
      <c r="F51" s="2218"/>
      <c r="I51" s="55"/>
    </row>
    <row r="52" spans="1:9" ht="31.2">
      <c r="A52" s="941" t="s">
        <v>77</v>
      </c>
      <c r="B52" s="2219" t="s">
        <v>1723</v>
      </c>
      <c r="C52" s="2219"/>
      <c r="D52" s="2219"/>
      <c r="E52" s="942" t="s">
        <v>1724</v>
      </c>
      <c r="F52" s="941" t="s">
        <v>2159</v>
      </c>
      <c r="G52" s="942" t="s">
        <v>1725</v>
      </c>
      <c r="H52" s="55"/>
      <c r="I52" s="55"/>
    </row>
    <row r="53" spans="1:9">
      <c r="A53" s="1427">
        <v>1</v>
      </c>
      <c r="B53" s="2141"/>
      <c r="C53" s="2142"/>
      <c r="D53" s="2143"/>
      <c r="E53" s="1428"/>
      <c r="F53" s="1750"/>
      <c r="G53" s="1428"/>
      <c r="H53" s="943"/>
      <c r="I53" s="55"/>
    </row>
    <row r="54" spans="1:9">
      <c r="A54" s="1427">
        <v>2</v>
      </c>
      <c r="B54" s="2141"/>
      <c r="C54" s="2142"/>
      <c r="D54" s="2143"/>
      <c r="E54" s="1428"/>
      <c r="F54" s="1750"/>
      <c r="G54" s="1428"/>
      <c r="H54" s="943"/>
      <c r="I54" s="55"/>
    </row>
    <row r="55" spans="1:9">
      <c r="A55" s="1427">
        <v>3</v>
      </c>
      <c r="B55" s="2141"/>
      <c r="C55" s="2142"/>
      <c r="D55" s="2143"/>
      <c r="E55" s="1428"/>
      <c r="F55" s="1750"/>
      <c r="G55" s="1428"/>
      <c r="H55" s="943"/>
      <c r="I55" s="55"/>
    </row>
    <row r="56" spans="1:9">
      <c r="A56" s="1427">
        <v>4</v>
      </c>
      <c r="B56" s="2141"/>
      <c r="C56" s="2142"/>
      <c r="D56" s="2143"/>
      <c r="E56" s="1428"/>
      <c r="F56" s="1750"/>
      <c r="G56" s="1428"/>
      <c r="H56" s="943"/>
      <c r="I56" s="55"/>
    </row>
    <row r="57" spans="1:9">
      <c r="A57" s="1427">
        <v>5</v>
      </c>
      <c r="B57" s="2141"/>
      <c r="C57" s="2142"/>
      <c r="D57" s="2143"/>
      <c r="E57" s="1428"/>
      <c r="F57" s="1750"/>
      <c r="G57" s="1428"/>
      <c r="H57" s="943"/>
      <c r="I57" s="55"/>
    </row>
    <row r="58" spans="1:9">
      <c r="A58" s="1427">
        <v>6</v>
      </c>
      <c r="B58" s="2141"/>
      <c r="C58" s="2142"/>
      <c r="D58" s="2143"/>
      <c r="E58" s="1428"/>
      <c r="F58" s="1750"/>
      <c r="G58" s="1428"/>
      <c r="H58" s="943"/>
      <c r="I58" s="55"/>
    </row>
    <row r="59" spans="1:9">
      <c r="A59" s="1427">
        <v>7</v>
      </c>
      <c r="B59" s="2141"/>
      <c r="C59" s="2142"/>
      <c r="D59" s="2143"/>
      <c r="E59" s="1428"/>
      <c r="F59" s="1750"/>
      <c r="G59" s="1428"/>
      <c r="H59" s="943"/>
      <c r="I59" s="55"/>
    </row>
    <row r="60" spans="1:9">
      <c r="A60" s="1427">
        <v>8</v>
      </c>
      <c r="B60" s="2141"/>
      <c r="C60" s="2142"/>
      <c r="D60" s="2143"/>
      <c r="E60" s="1428"/>
      <c r="F60" s="1750"/>
      <c r="G60" s="1428"/>
      <c r="H60" s="943"/>
      <c r="I60" s="55"/>
    </row>
    <row r="61" spans="1:9">
      <c r="A61" s="1427">
        <v>9</v>
      </c>
      <c r="B61" s="2141"/>
      <c r="C61" s="2142"/>
      <c r="D61" s="2143"/>
      <c r="E61" s="1428"/>
      <c r="F61" s="1750"/>
      <c r="G61" s="1428"/>
      <c r="H61" s="943"/>
      <c r="I61" s="55"/>
    </row>
    <row r="62" spans="1:9">
      <c r="A62" s="1427">
        <v>10</v>
      </c>
      <c r="B62" s="2141"/>
      <c r="C62" s="2142"/>
      <c r="D62" s="2143"/>
      <c r="E62" s="1428"/>
      <c r="F62" s="1750"/>
      <c r="G62" s="1428"/>
      <c r="H62" s="943"/>
      <c r="I62" s="55"/>
    </row>
    <row r="63" spans="1:9">
      <c r="A63" s="1427">
        <v>11</v>
      </c>
      <c r="B63" s="2141"/>
      <c r="C63" s="2142"/>
      <c r="D63" s="2143"/>
      <c r="E63" s="1428"/>
      <c r="F63" s="1750"/>
      <c r="G63" s="1428"/>
      <c r="H63" s="943"/>
      <c r="I63" s="55"/>
    </row>
    <row r="64" spans="1:9">
      <c r="A64" s="1427">
        <v>12</v>
      </c>
      <c r="B64" s="2141"/>
      <c r="C64" s="2142"/>
      <c r="D64" s="2143"/>
      <c r="E64" s="1428"/>
      <c r="F64" s="1750"/>
      <c r="G64" s="1428"/>
      <c r="H64" s="943"/>
      <c r="I64" s="55"/>
    </row>
    <row r="65" spans="1:12">
      <c r="A65" s="1427">
        <v>13</v>
      </c>
      <c r="B65" s="2141"/>
      <c r="C65" s="2142"/>
      <c r="D65" s="2143"/>
      <c r="E65" s="1428"/>
      <c r="F65" s="1750"/>
      <c r="G65" s="1428"/>
      <c r="H65" s="943"/>
      <c r="I65" s="55"/>
    </row>
    <row r="66" spans="1:12">
      <c r="A66" s="1427">
        <v>14</v>
      </c>
      <c r="B66" s="2141"/>
      <c r="C66" s="2142"/>
      <c r="D66" s="2143"/>
      <c r="E66" s="1428"/>
      <c r="F66" s="1750"/>
      <c r="G66" s="1428"/>
      <c r="H66" s="943"/>
      <c r="I66" s="55"/>
    </row>
    <row r="67" spans="1:12">
      <c r="A67" s="1427">
        <v>15</v>
      </c>
      <c r="B67" s="2141"/>
      <c r="C67" s="2142"/>
      <c r="D67" s="2143"/>
      <c r="E67" s="1428"/>
      <c r="F67" s="1750"/>
      <c r="G67" s="1428"/>
      <c r="H67" s="943"/>
      <c r="I67" s="55"/>
    </row>
    <row r="68" spans="1:12" ht="16.2" thickBot="1">
      <c r="D68" s="944" t="s">
        <v>107</v>
      </c>
      <c r="E68" s="945">
        <f>SUM(E53:E67)</f>
        <v>0</v>
      </c>
      <c r="I68" s="55"/>
    </row>
    <row r="69" spans="1:12" ht="15.6">
      <c r="D69" s="827"/>
      <c r="E69" s="77"/>
      <c r="I69" s="55"/>
    </row>
    <row r="70" spans="1:12" ht="28.8">
      <c r="A70" s="822" t="s">
        <v>1726</v>
      </c>
      <c r="B70" s="190"/>
      <c r="C70" s="190"/>
      <c r="D70" s="1298"/>
      <c r="E70" s="1299"/>
      <c r="F70" s="190"/>
      <c r="G70" s="190"/>
      <c r="I70" s="55"/>
    </row>
    <row r="71" spans="1:12" ht="28.5" customHeight="1">
      <c r="A71" s="947"/>
      <c r="B71" s="948"/>
      <c r="C71" s="948"/>
      <c r="D71" s="949"/>
      <c r="E71" s="950"/>
      <c r="F71" s="948"/>
    </row>
    <row r="72" spans="1:12" ht="77.400000000000006" customHeight="1">
      <c r="A72" s="2216" t="s">
        <v>1727</v>
      </c>
      <c r="B72" s="2216"/>
      <c r="C72" s="2216"/>
      <c r="D72" s="2216"/>
      <c r="E72" s="2216"/>
      <c r="F72" s="2216"/>
      <c r="G72" s="2216"/>
    </row>
    <row r="73" spans="1:12" ht="28.5" customHeight="1">
      <c r="A73" s="947"/>
      <c r="B73" s="948"/>
      <c r="C73" s="948"/>
      <c r="D73" s="949"/>
      <c r="E73" s="950"/>
      <c r="F73" s="948"/>
    </row>
    <row r="74" spans="1:12" ht="18">
      <c r="A74" s="951" t="s">
        <v>1728</v>
      </c>
      <c r="B74" s="948"/>
      <c r="C74" s="948"/>
      <c r="D74" s="948"/>
      <c r="E74" s="948"/>
      <c r="F74" s="948"/>
    </row>
    <row r="75" spans="1:12" ht="18">
      <c r="A75" s="823"/>
      <c r="B75" s="246"/>
    </row>
    <row r="76" spans="1:12" ht="50.4" customHeight="1" thickBot="1">
      <c r="B76" s="1768" t="s">
        <v>692</v>
      </c>
      <c r="C76" s="1768" t="s">
        <v>80</v>
      </c>
      <c r="D76" s="1768" t="s">
        <v>746</v>
      </c>
      <c r="E76" s="1768" t="s">
        <v>733</v>
      </c>
      <c r="F76" s="1768" t="s">
        <v>1729</v>
      </c>
      <c r="G76" s="1769" t="s">
        <v>1730</v>
      </c>
      <c r="H76" s="1769" t="s">
        <v>1731</v>
      </c>
      <c r="K76" s="55"/>
      <c r="L76" s="55"/>
    </row>
    <row r="77" spans="1:12">
      <c r="A77">
        <v>1</v>
      </c>
      <c r="B77" s="1780" t="str">
        <f ca="1">IF(D77=0,0,IF(ISERROR(INDIRECT("'"&amp;$F$6&amp;"'"&amp;I77)),"-",INDIRECT("'"&amp;$F$6&amp;"'"&amp;I77)))</f>
        <v>-</v>
      </c>
      <c r="C77" s="1761"/>
      <c r="D77" s="1783" t="str">
        <f ca="1">IF(ISERROR(INDIRECT("'"&amp;$F$6&amp;"'"&amp;J77)),"-",INDIRECT("'"&amp;$F$6&amp;"'"&amp;J77))</f>
        <v>-</v>
      </c>
      <c r="E77" s="1787" t="str">
        <f ca="1">IF(AND(D77&lt;&gt;0,D77&lt;&gt;"-"),B$36,"")</f>
        <v/>
      </c>
      <c r="F77" s="1761"/>
      <c r="G77" s="1761"/>
      <c r="H77" s="1762"/>
      <c r="I77" s="953" t="s">
        <v>1732</v>
      </c>
      <c r="J77" s="953" t="s">
        <v>1733</v>
      </c>
      <c r="K77" s="1316" t="str">
        <f ca="1">B77</f>
        <v>-</v>
      </c>
      <c r="L77" s="1317" t="str">
        <f ca="1">D77</f>
        <v>-</v>
      </c>
    </row>
    <row r="78" spans="1:12">
      <c r="A78">
        <v>2</v>
      </c>
      <c r="B78" s="1781" t="str">
        <f t="shared" ref="B78:B86" ca="1" si="0">IF(D78=0,0,IF(ISERROR(INDIRECT("'"&amp;$F$6&amp;"'"&amp;I78)),"-",INDIRECT("'"&amp;$F$6&amp;"'"&amp;I78)))</f>
        <v>-</v>
      </c>
      <c r="C78" s="1428"/>
      <c r="D78" s="1784" t="str">
        <f t="shared" ref="D78:D86" ca="1" si="1">IF(ISERROR(INDIRECT("'"&amp;$F$6&amp;"'"&amp;J78)),"-",INDIRECT("'"&amp;$F$6&amp;"'"&amp;J78))</f>
        <v>-</v>
      </c>
      <c r="E78" s="1788" t="str">
        <f t="shared" ref="E78:E86" ca="1" si="2">IF(AND(D78&lt;&gt;0,D78&lt;&gt;"-"),B$36,"")</f>
        <v/>
      </c>
      <c r="F78" s="1428"/>
      <c r="G78" s="1428"/>
      <c r="H78" s="1764"/>
      <c r="I78" s="953" t="s">
        <v>1734</v>
      </c>
      <c r="J78" s="953" t="s">
        <v>1735</v>
      </c>
      <c r="K78" s="1316" t="str">
        <f t="shared" ref="K78:K86" ca="1" si="3">B78</f>
        <v>-</v>
      </c>
      <c r="L78" s="1317" t="str">
        <f t="shared" ref="L78:L86" ca="1" si="4">D78</f>
        <v>-</v>
      </c>
    </row>
    <row r="79" spans="1:12">
      <c r="A79">
        <v>3</v>
      </c>
      <c r="B79" s="1781" t="str">
        <f t="shared" ca="1" si="0"/>
        <v>-</v>
      </c>
      <c r="C79" s="1428"/>
      <c r="D79" s="1784" t="str">
        <f t="shared" ca="1" si="1"/>
        <v>-</v>
      </c>
      <c r="E79" s="1788" t="str">
        <f t="shared" ca="1" si="2"/>
        <v/>
      </c>
      <c r="F79" s="1428"/>
      <c r="G79" s="1428"/>
      <c r="H79" s="1764"/>
      <c r="I79" s="953" t="s">
        <v>1736</v>
      </c>
      <c r="J79" s="953" t="s">
        <v>1737</v>
      </c>
      <c r="K79" s="1316" t="str">
        <f t="shared" ca="1" si="3"/>
        <v>-</v>
      </c>
      <c r="L79" s="1317" t="str">
        <f t="shared" ca="1" si="4"/>
        <v>-</v>
      </c>
    </row>
    <row r="80" spans="1:12">
      <c r="A80">
        <v>4</v>
      </c>
      <c r="B80" s="1781" t="str">
        <f t="shared" ca="1" si="0"/>
        <v>-</v>
      </c>
      <c r="C80" s="1428"/>
      <c r="D80" s="1784" t="str">
        <f t="shared" ca="1" si="1"/>
        <v>-</v>
      </c>
      <c r="E80" s="1788" t="str">
        <f t="shared" ca="1" si="2"/>
        <v/>
      </c>
      <c r="F80" s="1428"/>
      <c r="G80" s="1428"/>
      <c r="H80" s="1764"/>
      <c r="I80" s="953" t="s">
        <v>1738</v>
      </c>
      <c r="J80" s="953" t="s">
        <v>1739</v>
      </c>
      <c r="K80" s="1316" t="str">
        <f t="shared" ca="1" si="3"/>
        <v>-</v>
      </c>
      <c r="L80" s="1317" t="str">
        <f t="shared" ca="1" si="4"/>
        <v>-</v>
      </c>
    </row>
    <row r="81" spans="1:13">
      <c r="A81">
        <v>5</v>
      </c>
      <c r="B81" s="1781" t="str">
        <f t="shared" ca="1" si="0"/>
        <v>-</v>
      </c>
      <c r="C81" s="1428"/>
      <c r="D81" s="1784" t="str">
        <f t="shared" ca="1" si="1"/>
        <v>-</v>
      </c>
      <c r="E81" s="1788" t="str">
        <f t="shared" ca="1" si="2"/>
        <v/>
      </c>
      <c r="F81" s="1428"/>
      <c r="G81" s="1428"/>
      <c r="H81" s="1764"/>
      <c r="I81" s="953" t="s">
        <v>1740</v>
      </c>
      <c r="J81" s="953" t="s">
        <v>1741</v>
      </c>
      <c r="K81" s="1316" t="str">
        <f t="shared" ca="1" si="3"/>
        <v>-</v>
      </c>
      <c r="L81" s="1317" t="str">
        <f t="shared" ca="1" si="4"/>
        <v>-</v>
      </c>
    </row>
    <row r="82" spans="1:13">
      <c r="A82">
        <v>6</v>
      </c>
      <c r="B82" s="1781" t="str">
        <f t="shared" ca="1" si="0"/>
        <v>-</v>
      </c>
      <c r="C82" s="1428"/>
      <c r="D82" s="1784" t="str">
        <f t="shared" ca="1" si="1"/>
        <v>-</v>
      </c>
      <c r="E82" s="1788" t="str">
        <f t="shared" ca="1" si="2"/>
        <v/>
      </c>
      <c r="F82" s="1428"/>
      <c r="G82" s="1428"/>
      <c r="H82" s="1764"/>
      <c r="I82" s="953" t="s">
        <v>1742</v>
      </c>
      <c r="J82" s="953" t="s">
        <v>1743</v>
      </c>
      <c r="K82" s="1316" t="str">
        <f t="shared" ca="1" si="3"/>
        <v>-</v>
      </c>
      <c r="L82" s="1317" t="str">
        <f t="shared" ca="1" si="4"/>
        <v>-</v>
      </c>
    </row>
    <row r="83" spans="1:13">
      <c r="A83">
        <v>7</v>
      </c>
      <c r="B83" s="1781" t="str">
        <f t="shared" ca="1" si="0"/>
        <v>-</v>
      </c>
      <c r="C83" s="1428"/>
      <c r="D83" s="1784" t="str">
        <f t="shared" ca="1" si="1"/>
        <v>-</v>
      </c>
      <c r="E83" s="1788" t="str">
        <f t="shared" ca="1" si="2"/>
        <v/>
      </c>
      <c r="F83" s="1428"/>
      <c r="G83" s="1428"/>
      <c r="H83" s="1764"/>
      <c r="I83" s="953" t="s">
        <v>1744</v>
      </c>
      <c r="J83" s="953" t="s">
        <v>1745</v>
      </c>
      <c r="K83" s="1316" t="str">
        <f t="shared" ca="1" si="3"/>
        <v>-</v>
      </c>
      <c r="L83" s="1317" t="str">
        <f t="shared" ca="1" si="4"/>
        <v>-</v>
      </c>
    </row>
    <row r="84" spans="1:13">
      <c r="A84">
        <v>8</v>
      </c>
      <c r="B84" s="1781" t="str">
        <f t="shared" ca="1" si="0"/>
        <v>-</v>
      </c>
      <c r="C84" s="1428"/>
      <c r="D84" s="1784" t="str">
        <f t="shared" ca="1" si="1"/>
        <v>-</v>
      </c>
      <c r="E84" s="1788" t="str">
        <f t="shared" ca="1" si="2"/>
        <v/>
      </c>
      <c r="F84" s="1428"/>
      <c r="G84" s="1428"/>
      <c r="H84" s="1764"/>
      <c r="I84" s="953" t="s">
        <v>1746</v>
      </c>
      <c r="J84" s="953" t="s">
        <v>1747</v>
      </c>
      <c r="K84" s="1316" t="str">
        <f t="shared" ca="1" si="3"/>
        <v>-</v>
      </c>
      <c r="L84" s="1317" t="str">
        <f t="shared" ca="1" si="4"/>
        <v>-</v>
      </c>
    </row>
    <row r="85" spans="1:13">
      <c r="A85">
        <v>9</v>
      </c>
      <c r="B85" s="1781" t="str">
        <f t="shared" ca="1" si="0"/>
        <v>-</v>
      </c>
      <c r="C85" s="1428"/>
      <c r="D85" s="1784" t="str">
        <f t="shared" ca="1" si="1"/>
        <v>-</v>
      </c>
      <c r="E85" s="1788" t="str">
        <f t="shared" ca="1" si="2"/>
        <v/>
      </c>
      <c r="F85" s="1428"/>
      <c r="G85" s="1428"/>
      <c r="H85" s="1764"/>
      <c r="I85" s="953" t="s">
        <v>1748</v>
      </c>
      <c r="J85" s="953" t="s">
        <v>1749</v>
      </c>
      <c r="K85" s="1316" t="str">
        <f t="shared" ca="1" si="3"/>
        <v>-</v>
      </c>
      <c r="L85" s="1317" t="str">
        <f t="shared" ca="1" si="4"/>
        <v>-</v>
      </c>
    </row>
    <row r="86" spans="1:13" ht="15" thickBot="1">
      <c r="A86">
        <v>10</v>
      </c>
      <c r="B86" s="1782" t="str">
        <f t="shared" ca="1" si="0"/>
        <v>-</v>
      </c>
      <c r="C86" s="1766"/>
      <c r="D86" s="1785" t="str">
        <f t="shared" ca="1" si="1"/>
        <v>-</v>
      </c>
      <c r="E86" s="1789" t="str">
        <f t="shared" ca="1" si="2"/>
        <v/>
      </c>
      <c r="F86" s="1766"/>
      <c r="G86" s="1766"/>
      <c r="H86" s="1767"/>
      <c r="I86" s="953" t="s">
        <v>2991</v>
      </c>
      <c r="J86" s="953" t="s">
        <v>2992</v>
      </c>
      <c r="K86" s="1316" t="str">
        <f t="shared" ca="1" si="3"/>
        <v>-</v>
      </c>
      <c r="L86" s="1317" t="str">
        <f t="shared" ca="1" si="4"/>
        <v>-</v>
      </c>
    </row>
    <row r="87" spans="1:13">
      <c r="A87">
        <v>11</v>
      </c>
      <c r="B87" s="1760"/>
      <c r="C87" s="1761"/>
      <c r="D87" s="1761"/>
      <c r="E87" s="1761"/>
      <c r="F87" s="1761"/>
      <c r="G87" s="1761"/>
      <c r="H87" s="1762"/>
      <c r="I87" s="953" t="s">
        <v>1732</v>
      </c>
      <c r="J87" s="953" t="s">
        <v>1733</v>
      </c>
      <c r="K87" s="1316">
        <f>B87</f>
        <v>0</v>
      </c>
      <c r="L87" s="1317">
        <f>D87</f>
        <v>0</v>
      </c>
      <c r="M87" s="55">
        <f>G87</f>
        <v>0</v>
      </c>
    </row>
    <row r="88" spans="1:13">
      <c r="A88">
        <v>12</v>
      </c>
      <c r="B88" s="1763"/>
      <c r="C88" s="1428"/>
      <c r="D88" s="1428"/>
      <c r="E88" s="1428"/>
      <c r="F88" s="1428"/>
      <c r="G88" s="1428"/>
      <c r="H88" s="1764"/>
      <c r="I88" s="953" t="s">
        <v>1734</v>
      </c>
      <c r="J88" s="953" t="s">
        <v>1735</v>
      </c>
      <c r="K88" s="1316">
        <f t="shared" ref="K88:K96" si="5">B88</f>
        <v>0</v>
      </c>
      <c r="L88" s="1317">
        <f t="shared" ref="L88:L96" si="6">D88</f>
        <v>0</v>
      </c>
      <c r="M88" s="55">
        <f t="shared" ref="M88:M96" si="7">G88</f>
        <v>0</v>
      </c>
    </row>
    <row r="89" spans="1:13">
      <c r="A89">
        <v>13</v>
      </c>
      <c r="B89" s="1763"/>
      <c r="C89" s="1428"/>
      <c r="D89" s="1428"/>
      <c r="E89" s="1428"/>
      <c r="F89" s="1428"/>
      <c r="G89" s="1428"/>
      <c r="H89" s="1764"/>
      <c r="I89" s="953" t="s">
        <v>1736</v>
      </c>
      <c r="J89" s="953" t="s">
        <v>1737</v>
      </c>
      <c r="K89" s="1316">
        <f t="shared" si="5"/>
        <v>0</v>
      </c>
      <c r="L89" s="1317">
        <f t="shared" si="6"/>
        <v>0</v>
      </c>
      <c r="M89" s="55">
        <f t="shared" si="7"/>
        <v>0</v>
      </c>
    </row>
    <row r="90" spans="1:13">
      <c r="A90">
        <v>14</v>
      </c>
      <c r="B90" s="1763"/>
      <c r="C90" s="1428"/>
      <c r="D90" s="1428"/>
      <c r="E90" s="1428"/>
      <c r="F90" s="1428"/>
      <c r="G90" s="1428"/>
      <c r="H90" s="1764"/>
      <c r="I90" s="953" t="s">
        <v>1738</v>
      </c>
      <c r="J90" s="953" t="s">
        <v>1739</v>
      </c>
      <c r="K90" s="1316">
        <f t="shared" si="5"/>
        <v>0</v>
      </c>
      <c r="L90" s="1317">
        <f t="shared" si="6"/>
        <v>0</v>
      </c>
      <c r="M90" s="55">
        <f t="shared" si="7"/>
        <v>0</v>
      </c>
    </row>
    <row r="91" spans="1:13">
      <c r="A91">
        <v>15</v>
      </c>
      <c r="B91" s="1763"/>
      <c r="C91" s="1428"/>
      <c r="D91" s="1428"/>
      <c r="E91" s="1428"/>
      <c r="F91" s="1428"/>
      <c r="G91" s="1428"/>
      <c r="H91" s="1764"/>
      <c r="I91" s="953" t="s">
        <v>1740</v>
      </c>
      <c r="J91" s="953" t="s">
        <v>1741</v>
      </c>
      <c r="K91" s="1316">
        <f t="shared" si="5"/>
        <v>0</v>
      </c>
      <c r="L91" s="1317">
        <f t="shared" si="6"/>
        <v>0</v>
      </c>
      <c r="M91" s="55">
        <f t="shared" si="7"/>
        <v>0</v>
      </c>
    </row>
    <row r="92" spans="1:13">
      <c r="A92">
        <v>16</v>
      </c>
      <c r="B92" s="1763"/>
      <c r="C92" s="1428"/>
      <c r="D92" s="1428"/>
      <c r="E92" s="1428"/>
      <c r="F92" s="1428"/>
      <c r="G92" s="1428"/>
      <c r="H92" s="1764"/>
      <c r="I92" s="953" t="s">
        <v>1742</v>
      </c>
      <c r="J92" s="953" t="s">
        <v>1743</v>
      </c>
      <c r="K92" s="1316">
        <f t="shared" si="5"/>
        <v>0</v>
      </c>
      <c r="L92" s="1317">
        <f t="shared" si="6"/>
        <v>0</v>
      </c>
      <c r="M92" s="55">
        <f t="shared" si="7"/>
        <v>0</v>
      </c>
    </row>
    <row r="93" spans="1:13">
      <c r="A93">
        <v>17</v>
      </c>
      <c r="B93" s="1763"/>
      <c r="C93" s="1428"/>
      <c r="D93" s="1428"/>
      <c r="E93" s="1428"/>
      <c r="F93" s="1428"/>
      <c r="G93" s="1428"/>
      <c r="H93" s="1764"/>
      <c r="I93" s="953" t="s">
        <v>1744</v>
      </c>
      <c r="J93" s="953" t="s">
        <v>1745</v>
      </c>
      <c r="K93" s="1316">
        <f t="shared" si="5"/>
        <v>0</v>
      </c>
      <c r="L93" s="1317">
        <f t="shared" si="6"/>
        <v>0</v>
      </c>
      <c r="M93" s="55">
        <f t="shared" si="7"/>
        <v>0</v>
      </c>
    </row>
    <row r="94" spans="1:13">
      <c r="A94">
        <v>18</v>
      </c>
      <c r="B94" s="1763"/>
      <c r="C94" s="1428"/>
      <c r="D94" s="1428"/>
      <c r="E94" s="1428"/>
      <c r="F94" s="1428"/>
      <c r="G94" s="1428"/>
      <c r="H94" s="1764"/>
      <c r="I94" s="953" t="s">
        <v>1746</v>
      </c>
      <c r="J94" s="953" t="s">
        <v>1747</v>
      </c>
      <c r="K94" s="1316">
        <f t="shared" si="5"/>
        <v>0</v>
      </c>
      <c r="L94" s="1317">
        <f t="shared" si="6"/>
        <v>0</v>
      </c>
      <c r="M94" s="55">
        <f t="shared" si="7"/>
        <v>0</v>
      </c>
    </row>
    <row r="95" spans="1:13">
      <c r="A95">
        <v>19</v>
      </c>
      <c r="B95" s="1763"/>
      <c r="C95" s="1428"/>
      <c r="D95" s="1428"/>
      <c r="E95" s="1428"/>
      <c r="F95" s="1428"/>
      <c r="G95" s="1428"/>
      <c r="H95" s="1764"/>
      <c r="I95" s="953" t="s">
        <v>1748</v>
      </c>
      <c r="J95" s="953" t="s">
        <v>1749</v>
      </c>
      <c r="K95" s="1316">
        <f t="shared" si="5"/>
        <v>0</v>
      </c>
      <c r="L95" s="1317">
        <f t="shared" si="6"/>
        <v>0</v>
      </c>
      <c r="M95" s="55">
        <f t="shared" si="7"/>
        <v>0</v>
      </c>
    </row>
    <row r="96" spans="1:13" ht="15" thickBot="1">
      <c r="A96">
        <v>20</v>
      </c>
      <c r="B96" s="1765"/>
      <c r="C96" s="1766"/>
      <c r="D96" s="1766"/>
      <c r="E96" s="1766"/>
      <c r="F96" s="1766"/>
      <c r="G96" s="1766"/>
      <c r="H96" s="1767"/>
      <c r="I96" s="953" t="s">
        <v>2991</v>
      </c>
      <c r="J96" s="953" t="s">
        <v>2992</v>
      </c>
      <c r="K96" s="1316">
        <f t="shared" si="5"/>
        <v>0</v>
      </c>
      <c r="L96" s="1317">
        <f t="shared" si="6"/>
        <v>0</v>
      </c>
      <c r="M96" s="55">
        <f t="shared" si="7"/>
        <v>0</v>
      </c>
    </row>
    <row r="97" spans="1:12">
      <c r="H97" s="954"/>
      <c r="I97" s="954"/>
    </row>
    <row r="98" spans="1:12" ht="18">
      <c r="A98" s="951" t="s">
        <v>1750</v>
      </c>
      <c r="B98" s="77"/>
      <c r="C98" s="943"/>
      <c r="D98" s="943"/>
      <c r="E98" s="943"/>
      <c r="F98" s="943"/>
      <c r="H98" s="954"/>
      <c r="I98" s="954"/>
    </row>
    <row r="99" spans="1:12" ht="18">
      <c r="A99" s="823"/>
      <c r="B99" s="246"/>
      <c r="C99" s="2213" t="s">
        <v>1751</v>
      </c>
      <c r="D99" s="2213"/>
      <c r="E99" s="2213"/>
      <c r="H99" s="954"/>
      <c r="I99" s="954"/>
    </row>
    <row r="100" spans="1:12" ht="69" customHeight="1">
      <c r="B100" s="952" t="s">
        <v>692</v>
      </c>
      <c r="C100" s="952" t="s">
        <v>1305</v>
      </c>
      <c r="D100" s="952" t="s">
        <v>1314</v>
      </c>
      <c r="E100" s="952" t="s">
        <v>1322</v>
      </c>
      <c r="F100" s="952" t="s">
        <v>2159</v>
      </c>
      <c r="G100" s="952" t="s">
        <v>1729</v>
      </c>
      <c r="H100" s="1676" t="s">
        <v>1280</v>
      </c>
      <c r="I100" s="1676" t="s">
        <v>1731</v>
      </c>
    </row>
    <row r="101" spans="1:12">
      <c r="A101">
        <v>1</v>
      </c>
      <c r="B101" s="1429"/>
      <c r="C101" s="1428"/>
      <c r="D101" s="1428"/>
      <c r="E101" s="1428"/>
      <c r="F101" s="1428"/>
      <c r="G101" s="1428"/>
      <c r="H101" s="1428"/>
      <c r="I101" s="1428"/>
      <c r="K101" s="1316">
        <f>B101</f>
        <v>0</v>
      </c>
      <c r="L101" s="55">
        <f>H101</f>
        <v>0</v>
      </c>
    </row>
    <row r="102" spans="1:12">
      <c r="A102">
        <v>2</v>
      </c>
      <c r="B102" s="1430"/>
      <c r="C102" s="1428"/>
      <c r="D102" s="1428"/>
      <c r="E102" s="1428"/>
      <c r="F102" s="1428"/>
      <c r="G102" s="1428"/>
      <c r="H102" s="1428"/>
      <c r="I102" s="1428"/>
      <c r="K102" s="1316">
        <f t="shared" ref="K102:K110" si="8">B102</f>
        <v>0</v>
      </c>
      <c r="L102" s="55">
        <f t="shared" ref="L102:L110" si="9">H102</f>
        <v>0</v>
      </c>
    </row>
    <row r="103" spans="1:12">
      <c r="A103">
        <v>3</v>
      </c>
      <c r="B103" s="1430"/>
      <c r="C103" s="1428"/>
      <c r="D103" s="1428"/>
      <c r="E103" s="1428"/>
      <c r="F103" s="1428"/>
      <c r="G103" s="1428"/>
      <c r="H103" s="1428"/>
      <c r="I103" s="1428"/>
      <c r="K103" s="1316">
        <f t="shared" si="8"/>
        <v>0</v>
      </c>
      <c r="L103" s="55">
        <f t="shared" si="9"/>
        <v>0</v>
      </c>
    </row>
    <row r="104" spans="1:12">
      <c r="A104">
        <v>4</v>
      </c>
      <c r="B104" s="1430"/>
      <c r="C104" s="1428"/>
      <c r="D104" s="1428"/>
      <c r="E104" s="1428"/>
      <c r="F104" s="1428"/>
      <c r="G104" s="1428"/>
      <c r="H104" s="1428"/>
      <c r="I104" s="1428"/>
      <c r="K104" s="1316">
        <f t="shared" si="8"/>
        <v>0</v>
      </c>
      <c r="L104" s="55">
        <f t="shared" si="9"/>
        <v>0</v>
      </c>
    </row>
    <row r="105" spans="1:12">
      <c r="A105">
        <v>5</v>
      </c>
      <c r="B105" s="1430"/>
      <c r="C105" s="1428"/>
      <c r="D105" s="1428"/>
      <c r="E105" s="1428"/>
      <c r="F105" s="1428"/>
      <c r="G105" s="1428"/>
      <c r="H105" s="1428"/>
      <c r="I105" s="1428"/>
      <c r="K105" s="1316">
        <f t="shared" si="8"/>
        <v>0</v>
      </c>
      <c r="L105" s="55">
        <f t="shared" si="9"/>
        <v>0</v>
      </c>
    </row>
    <row r="106" spans="1:12">
      <c r="A106">
        <v>6</v>
      </c>
      <c r="B106" s="1430"/>
      <c r="C106" s="1428"/>
      <c r="D106" s="1428"/>
      <c r="E106" s="1428"/>
      <c r="F106" s="1428"/>
      <c r="G106" s="1428"/>
      <c r="H106" s="1428"/>
      <c r="I106" s="1428"/>
      <c r="K106" s="1316">
        <f t="shared" si="8"/>
        <v>0</v>
      </c>
      <c r="L106" s="55">
        <f t="shared" si="9"/>
        <v>0</v>
      </c>
    </row>
    <row r="107" spans="1:12">
      <c r="A107">
        <v>7</v>
      </c>
      <c r="B107" s="1430"/>
      <c r="C107" s="1428"/>
      <c r="D107" s="1428"/>
      <c r="E107" s="1428"/>
      <c r="F107" s="1428"/>
      <c r="G107" s="1428"/>
      <c r="H107" s="1428"/>
      <c r="I107" s="1428"/>
      <c r="K107" s="1316">
        <f t="shared" si="8"/>
        <v>0</v>
      </c>
      <c r="L107" s="55">
        <f t="shared" si="9"/>
        <v>0</v>
      </c>
    </row>
    <row r="108" spans="1:12">
      <c r="A108">
        <v>8</v>
      </c>
      <c r="B108" s="1430"/>
      <c r="C108" s="1428"/>
      <c r="D108" s="1428"/>
      <c r="E108" s="1428"/>
      <c r="F108" s="1428"/>
      <c r="G108" s="1428"/>
      <c r="H108" s="1428"/>
      <c r="I108" s="1428"/>
      <c r="K108" s="1316">
        <f t="shared" si="8"/>
        <v>0</v>
      </c>
      <c r="L108" s="55">
        <f t="shared" si="9"/>
        <v>0</v>
      </c>
    </row>
    <row r="109" spans="1:12">
      <c r="A109">
        <v>9</v>
      </c>
      <c r="B109" s="1430"/>
      <c r="C109" s="1428"/>
      <c r="D109" s="1428"/>
      <c r="E109" s="1428"/>
      <c r="F109" s="1428"/>
      <c r="G109" s="1428"/>
      <c r="H109" s="1428"/>
      <c r="I109" s="1428"/>
      <c r="K109" s="1316">
        <f t="shared" si="8"/>
        <v>0</v>
      </c>
      <c r="L109" s="55">
        <f t="shared" si="9"/>
        <v>0</v>
      </c>
    </row>
    <row r="110" spans="1:12">
      <c r="A110">
        <v>10</v>
      </c>
      <c r="B110" s="1430"/>
      <c r="C110" s="1428"/>
      <c r="D110" s="1428"/>
      <c r="E110" s="1428"/>
      <c r="F110" s="1428"/>
      <c r="G110" s="1428"/>
      <c r="H110" s="1428"/>
      <c r="I110" s="1428"/>
      <c r="K110" s="1316">
        <f t="shared" si="8"/>
        <v>0</v>
      </c>
      <c r="L110" s="55">
        <f t="shared" si="9"/>
        <v>0</v>
      </c>
    </row>
    <row r="111" spans="1:12">
      <c r="F111" s="875"/>
      <c r="H111" s="954"/>
      <c r="I111" s="954"/>
    </row>
    <row r="112" spans="1:12" ht="15.6">
      <c r="B112" s="827"/>
      <c r="C112" s="876"/>
      <c r="D112" s="829"/>
      <c r="F112" s="875"/>
      <c r="G112" s="875"/>
      <c r="H112" s="954"/>
      <c r="I112" s="954"/>
    </row>
    <row r="113" spans="1:9">
      <c r="A113" s="190"/>
      <c r="B113" s="190"/>
      <c r="C113" s="190"/>
      <c r="D113" s="190"/>
      <c r="E113" s="190"/>
      <c r="F113" s="190"/>
      <c r="G113" s="190"/>
      <c r="H113" s="190"/>
      <c r="I113" s="190"/>
    </row>
  </sheetData>
  <sheetProtection algorithmName="SHA-512" hashValue="B7ISuLzbi4BR2wIG9P8wS+GOHH4pjFB9wp5B96DtuSkXlxy68P9ej1jmNNS80K0JiN3ORTE0Vr79uJnIUbX1ew==" saltValue="3flEoJJcYhTVUBLJoEZOvQ==" spinCount="100000" sheet="1" formatColumns="0" formatRows="0"/>
  <mergeCells count="57">
    <mergeCell ref="A72:G72"/>
    <mergeCell ref="C99:E99"/>
    <mergeCell ref="B55:D55"/>
    <mergeCell ref="B56:D56"/>
    <mergeCell ref="B57:D57"/>
    <mergeCell ref="B58:D58"/>
    <mergeCell ref="B59:D59"/>
    <mergeCell ref="B60:D60"/>
    <mergeCell ref="B61:D61"/>
    <mergeCell ref="B62:D62"/>
    <mergeCell ref="B63:D63"/>
    <mergeCell ref="B64:D64"/>
    <mergeCell ref="B65:D65"/>
    <mergeCell ref="B66:D66"/>
    <mergeCell ref="B67:D67"/>
    <mergeCell ref="B54:D54"/>
    <mergeCell ref="B43:F43"/>
    <mergeCell ref="C45:D45"/>
    <mergeCell ref="E45:F45"/>
    <mergeCell ref="A46:F46"/>
    <mergeCell ref="B47:F47"/>
    <mergeCell ref="B48:F48"/>
    <mergeCell ref="A49:F49"/>
    <mergeCell ref="A50:F50"/>
    <mergeCell ref="A51:F51"/>
    <mergeCell ref="B52:D52"/>
    <mergeCell ref="B53:D53"/>
    <mergeCell ref="B38:F38"/>
    <mergeCell ref="B39:F39"/>
    <mergeCell ref="D40:F40"/>
    <mergeCell ref="B41:F41"/>
    <mergeCell ref="B42:C42"/>
    <mergeCell ref="E42:F42"/>
    <mergeCell ref="B37:F37"/>
    <mergeCell ref="B22:F22"/>
    <mergeCell ref="B23:F23"/>
    <mergeCell ref="B24:F24"/>
    <mergeCell ref="B25:F25"/>
    <mergeCell ref="B32:F32"/>
    <mergeCell ref="B33:F33"/>
    <mergeCell ref="B34:F34"/>
    <mergeCell ref="B35:F35"/>
    <mergeCell ref="B36:F36"/>
    <mergeCell ref="A26:A30"/>
    <mergeCell ref="B31:F31"/>
    <mergeCell ref="B16:F16"/>
    <mergeCell ref="B17:F17"/>
    <mergeCell ref="A18:F18"/>
    <mergeCell ref="B19:F19"/>
    <mergeCell ref="B20:F20"/>
    <mergeCell ref="B21:F21"/>
    <mergeCell ref="B15:F15"/>
    <mergeCell ref="A3:D3"/>
    <mergeCell ref="E7:F7"/>
    <mergeCell ref="E8:F8"/>
    <mergeCell ref="B13:F13"/>
    <mergeCell ref="B14:F14"/>
  </mergeCells>
  <phoneticPr fontId="188" type="noConversion"/>
  <conditionalFormatting sqref="B13:F13">
    <cfRule type="expression" dxfId="179" priority="48">
      <formula>ISBLANK(B13)</formula>
    </cfRule>
  </conditionalFormatting>
  <conditionalFormatting sqref="B15:F15 B16">
    <cfRule type="expression" dxfId="178" priority="47">
      <formula>ISBLANK(B15)</formula>
    </cfRule>
  </conditionalFormatting>
  <conditionalFormatting sqref="B17:F17">
    <cfRule type="expression" dxfId="177" priority="46">
      <formula>ISBLANK(B17)</formula>
    </cfRule>
  </conditionalFormatting>
  <conditionalFormatting sqref="B45">
    <cfRule type="expression" dxfId="176" priority="45" stopIfTrue="1">
      <formula>ISBLANK($C$41)</formula>
    </cfRule>
  </conditionalFormatting>
  <conditionalFormatting sqref="B42">
    <cfRule type="expression" dxfId="175" priority="44" stopIfTrue="1">
      <formula>ISBLANK($C$41)</formula>
    </cfRule>
  </conditionalFormatting>
  <conditionalFormatting sqref="E45">
    <cfRule type="expression" dxfId="174" priority="43" stopIfTrue="1">
      <formula>ISBLANK($G$45)</formula>
    </cfRule>
  </conditionalFormatting>
  <conditionalFormatting sqref="B48">
    <cfRule type="expression" dxfId="173" priority="32" stopIfTrue="1">
      <formula>ISBLANK($C$41)</formula>
    </cfRule>
  </conditionalFormatting>
  <conditionalFormatting sqref="E42">
    <cfRule type="expression" dxfId="172" priority="31" stopIfTrue="1">
      <formula>ISBLANK($G$45)</formula>
    </cfRule>
  </conditionalFormatting>
  <conditionalFormatting sqref="B11">
    <cfRule type="expression" dxfId="171" priority="30">
      <formula>ISBLANK(B11)</formula>
    </cfRule>
  </conditionalFormatting>
  <conditionalFormatting sqref="F10">
    <cfRule type="expression" dxfId="170" priority="19">
      <formula>$F$2="OUI"</formula>
    </cfRule>
    <cfRule type="expression" dxfId="169" priority="29">
      <formula>ISBLANK(F10)</formula>
    </cfRule>
  </conditionalFormatting>
  <conditionalFormatting sqref="B20:B21">
    <cfRule type="expression" dxfId="168" priority="28">
      <formula>ISBLANK(B20)</formula>
    </cfRule>
  </conditionalFormatting>
  <conditionalFormatting sqref="B27:B30">
    <cfRule type="expression" dxfId="167" priority="27">
      <formula>ISBLANK(B27)</formula>
    </cfRule>
  </conditionalFormatting>
  <conditionalFormatting sqref="F26:F30 D26:D30">
    <cfRule type="expression" dxfId="166" priority="26">
      <formula>ISBLANK(D26)</formula>
    </cfRule>
  </conditionalFormatting>
  <conditionalFormatting sqref="B32:B33">
    <cfRule type="expression" dxfId="165" priority="25">
      <formula>ISBLANK(B32)</formula>
    </cfRule>
  </conditionalFormatting>
  <conditionalFormatting sqref="E53:G60 A53:B60">
    <cfRule type="expression" dxfId="164" priority="24">
      <formula>ISBLANK(A53)</formula>
    </cfRule>
  </conditionalFormatting>
  <conditionalFormatting sqref="A10:D11">
    <cfRule type="expression" dxfId="163" priority="21">
      <formula>$F$3="OUI"</formula>
    </cfRule>
  </conditionalFormatting>
  <conditionalFormatting sqref="E10">
    <cfRule type="expression" dxfId="162" priority="20">
      <formula>$F$2="OUI"</formula>
    </cfRule>
  </conditionalFormatting>
  <conditionalFormatting sqref="B37:F37">
    <cfRule type="expression" dxfId="161" priority="18">
      <formula>ISBLANK(B37)</formula>
    </cfRule>
  </conditionalFormatting>
  <conditionalFormatting sqref="F101:F110">
    <cfRule type="expression" dxfId="160" priority="16">
      <formula>ISBLANK(F101)</formula>
    </cfRule>
  </conditionalFormatting>
  <conditionalFormatting sqref="B101">
    <cfRule type="expression" dxfId="159" priority="15">
      <formula>ISBLANK(B101)</formula>
    </cfRule>
  </conditionalFormatting>
  <conditionalFormatting sqref="D102:D110">
    <cfRule type="expression" dxfId="158" priority="14">
      <formula>ISBLANK(D102)</formula>
    </cfRule>
  </conditionalFormatting>
  <conditionalFormatting sqref="G101:G110">
    <cfRule type="expression" dxfId="157" priority="13">
      <formula>ISBLANK(G101)</formula>
    </cfRule>
  </conditionalFormatting>
  <conditionalFormatting sqref="B102:C110">
    <cfRule type="expression" dxfId="156" priority="12">
      <formula>ISBLANK(B102)</formula>
    </cfRule>
  </conditionalFormatting>
  <conditionalFormatting sqref="C101">
    <cfRule type="expression" dxfId="155" priority="11">
      <formula>ISBLANK(C101)</formula>
    </cfRule>
  </conditionalFormatting>
  <conditionalFormatting sqref="D101">
    <cfRule type="expression" dxfId="154" priority="10">
      <formula>ISBLANK(D101)</formula>
    </cfRule>
  </conditionalFormatting>
  <conditionalFormatting sqref="E102:E110">
    <cfRule type="expression" dxfId="153" priority="9">
      <formula>ISBLANK(E102)</formula>
    </cfRule>
  </conditionalFormatting>
  <conditionalFormatting sqref="E101">
    <cfRule type="expression" dxfId="152" priority="8">
      <formula>ISBLANK(E101)</formula>
    </cfRule>
  </conditionalFormatting>
  <conditionalFormatting sqref="H101:H110">
    <cfRule type="expression" dxfId="151" priority="7">
      <formula>ISBLANK(H101)</formula>
    </cfRule>
  </conditionalFormatting>
  <conditionalFormatting sqref="C77:C86 E77:H86">
    <cfRule type="expression" dxfId="150" priority="6">
      <formula>ISBLANK(C77)</formula>
    </cfRule>
  </conditionalFormatting>
  <conditionalFormatting sqref="B101:H110">
    <cfRule type="expression" dxfId="149" priority="5">
      <formula>ISBLANK(B101)</formula>
    </cfRule>
  </conditionalFormatting>
  <conditionalFormatting sqref="I101:I110">
    <cfRule type="expression" dxfId="148" priority="4">
      <formula>ISBLANK(I101)</formula>
    </cfRule>
  </conditionalFormatting>
  <conditionalFormatting sqref="A61:B67 E61:E67 G61:G67">
    <cfRule type="expression" dxfId="147" priority="3">
      <formula>ISBLANK(A61)</formula>
    </cfRule>
  </conditionalFormatting>
  <conditionalFormatting sqref="F61:F67">
    <cfRule type="expression" dxfId="146" priority="2">
      <formula>ISBLANK(F61)</formula>
    </cfRule>
  </conditionalFormatting>
  <conditionalFormatting sqref="B87:H96">
    <cfRule type="expression" dxfId="145" priority="1">
      <formula>ISBLANK(B87)</formula>
    </cfRule>
  </conditionalFormatting>
  <dataValidations count="13">
    <dataValidation type="list" showInputMessage="1" showErrorMessage="1" sqref="G53:G60" xr:uid="{6EAF9F10-28EC-4D24-B41D-06E7D1F8A383}">
      <formula1>Avancement</formula1>
    </dataValidation>
    <dataValidation type="list" showInputMessage="1" showErrorMessage="1" sqref="F10" xr:uid="{A63128EB-7AD3-49F8-826D-C7F3DD5AE95C}">
      <formula1>Risque</formula1>
    </dataValidation>
    <dataValidation type="list" allowBlank="1" showInputMessage="1" showErrorMessage="1" sqref="B11" xr:uid="{8A896673-10AA-4E70-9ED9-12476312E9CF}">
      <formula1>Axe_precarite</formula1>
    </dataValidation>
    <dataValidation type="list" showInputMessage="1" showErrorMessage="1" sqref="D26:D30" xr:uid="{BFEEECF5-204E-4B58-9008-F5F7A30BD408}">
      <formula1>Parties_prenantes</formula1>
    </dataValidation>
    <dataValidation type="list" allowBlank="1" showInputMessage="1" showErrorMessage="1" sqref="D40:F40" xr:uid="{16A836DA-6B32-48F3-8D75-B0892B1E619D}">
      <formula1>DEPENSE</formula1>
    </dataValidation>
    <dataValidation type="list" showInputMessage="1" showErrorMessage="1" sqref="I101:I110 H77:H96" xr:uid="{F9C8F013-69AA-4E8E-A47D-FD22F2C3393C}">
      <formula1>selection</formula1>
    </dataValidation>
    <dataValidation type="list" showInputMessage="1" showErrorMessage="1" sqref="H101:H110" xr:uid="{DAC851DF-40F8-4B91-AB0A-203CF3154984}">
      <formula1>Etat</formula1>
    </dataValidation>
    <dataValidation type="list" showInputMessage="1" showErrorMessage="1" sqref="F101:F110 F53:F60 E87:E96" xr:uid="{8C1C3995-109E-46B6-A7F3-B087D19893DC}">
      <formula1>Année</formula1>
    </dataValidation>
    <dataValidation type="decimal" operator="greaterThan" allowBlank="1" showInputMessage="1" showErrorMessage="1" sqref="G77:G96" xr:uid="{7C55384A-8896-429B-AA88-01ADB6BD1053}">
      <formula1>0</formula1>
    </dataValidation>
    <dataValidation type="decimal" operator="greaterThanOrEqual" allowBlank="1" showInputMessage="1" showErrorMessage="1" sqref="E53:E60" xr:uid="{9B5DAC22-6BCE-4784-8708-C471AB6A1A4C}">
      <formula1>0</formula1>
    </dataValidation>
    <dataValidation type="list" showInputMessage="1" showErrorMessage="1" error="Veuillez sélectionner une année dans le menu déroulant" sqref="F61:F67" xr:uid="{F73AE351-BE92-4AAA-946E-5B1958F694C1}">
      <formula1>Année</formula1>
    </dataValidation>
    <dataValidation type="decimal" allowBlank="1" showInputMessage="1" showErrorMessage="1" sqref="E61:E67" xr:uid="{581E6C0A-D6B8-4FB4-891D-167FCA029A6F}">
      <formula1>0</formula1>
      <formula2>365</formula2>
    </dataValidation>
    <dataValidation type="list" allowBlank="1" showInputMessage="1" showErrorMessage="1" sqref="G61:G67" xr:uid="{D1AA8F89-C870-4553-81A3-C1386041240D}">
      <formula1>Avancement</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328001" r:id="rId3" name="Check Box 1">
              <controlPr locked="0" defaultSize="0" autoFill="0" autoLine="0" autoPict="0">
                <anchor moveWithCells="1">
                  <from>
                    <xdr:col>1</xdr:col>
                    <xdr:colOff>350520</xdr:colOff>
                    <xdr:row>21</xdr:row>
                    <xdr:rowOff>152400</xdr:rowOff>
                  </from>
                  <to>
                    <xdr:col>1</xdr:col>
                    <xdr:colOff>632460</xdr:colOff>
                    <xdr:row>21</xdr:row>
                    <xdr:rowOff>381000</xdr:rowOff>
                  </to>
                </anchor>
              </controlPr>
            </control>
          </mc:Choice>
        </mc:AlternateContent>
        <mc:AlternateContent xmlns:mc="http://schemas.openxmlformats.org/markup-compatibility/2006">
          <mc:Choice Requires="x14">
            <control shapeId="51328002" r:id="rId4" name="Check Box 2">
              <controlPr locked="0" defaultSize="0" autoFill="0" autoLine="0" autoPict="0">
                <anchor moveWithCells="1">
                  <from>
                    <xdr:col>1</xdr:col>
                    <xdr:colOff>350520</xdr:colOff>
                    <xdr:row>21</xdr:row>
                    <xdr:rowOff>480060</xdr:rowOff>
                  </from>
                  <to>
                    <xdr:col>1</xdr:col>
                    <xdr:colOff>632460</xdr:colOff>
                    <xdr:row>21</xdr:row>
                    <xdr:rowOff>708660</xdr:rowOff>
                  </to>
                </anchor>
              </controlPr>
            </control>
          </mc:Choice>
        </mc:AlternateContent>
        <mc:AlternateContent xmlns:mc="http://schemas.openxmlformats.org/markup-compatibility/2006">
          <mc:Choice Requires="x14">
            <control shapeId="51328003" r:id="rId5" name="Check Box 3">
              <controlPr locked="0" defaultSize="0" autoFill="0" autoLine="0" autoPict="0">
                <anchor moveWithCells="1">
                  <from>
                    <xdr:col>1</xdr:col>
                    <xdr:colOff>335280</xdr:colOff>
                    <xdr:row>21</xdr:row>
                    <xdr:rowOff>830580</xdr:rowOff>
                  </from>
                  <to>
                    <xdr:col>1</xdr:col>
                    <xdr:colOff>617220</xdr:colOff>
                    <xdr:row>21</xdr:row>
                    <xdr:rowOff>1059180</xdr:rowOff>
                  </to>
                </anchor>
              </controlPr>
            </control>
          </mc:Choice>
        </mc:AlternateContent>
        <mc:AlternateContent xmlns:mc="http://schemas.openxmlformats.org/markup-compatibility/2006">
          <mc:Choice Requires="x14">
            <control shapeId="51328004" r:id="rId6" name="Check Box 4">
              <controlPr locked="0" defaultSize="0" autoFill="0" autoLine="0" autoPict="0">
                <anchor moveWithCells="1">
                  <from>
                    <xdr:col>1</xdr:col>
                    <xdr:colOff>2346960</xdr:colOff>
                    <xdr:row>21</xdr:row>
                    <xdr:rowOff>152400</xdr:rowOff>
                  </from>
                  <to>
                    <xdr:col>2</xdr:col>
                    <xdr:colOff>274320</xdr:colOff>
                    <xdr:row>21</xdr:row>
                    <xdr:rowOff>381000</xdr:rowOff>
                  </to>
                </anchor>
              </controlPr>
            </control>
          </mc:Choice>
        </mc:AlternateContent>
        <mc:AlternateContent xmlns:mc="http://schemas.openxmlformats.org/markup-compatibility/2006">
          <mc:Choice Requires="x14">
            <control shapeId="51328005" r:id="rId7" name="Check Box 5">
              <controlPr locked="0" defaultSize="0" autoFill="0" autoLine="0" autoPict="0">
                <anchor moveWithCells="1">
                  <from>
                    <xdr:col>1</xdr:col>
                    <xdr:colOff>2346960</xdr:colOff>
                    <xdr:row>21</xdr:row>
                    <xdr:rowOff>480060</xdr:rowOff>
                  </from>
                  <to>
                    <xdr:col>2</xdr:col>
                    <xdr:colOff>274320</xdr:colOff>
                    <xdr:row>21</xdr:row>
                    <xdr:rowOff>708660</xdr:rowOff>
                  </to>
                </anchor>
              </controlPr>
            </control>
          </mc:Choice>
        </mc:AlternateContent>
        <mc:AlternateContent xmlns:mc="http://schemas.openxmlformats.org/markup-compatibility/2006">
          <mc:Choice Requires="x14">
            <control shapeId="51328006" r:id="rId8" name="Check Box 6">
              <controlPr locked="0" defaultSize="0" autoFill="0" autoLine="0" autoPict="0">
                <anchor moveWithCells="1">
                  <from>
                    <xdr:col>1</xdr:col>
                    <xdr:colOff>2346960</xdr:colOff>
                    <xdr:row>21</xdr:row>
                    <xdr:rowOff>830580</xdr:rowOff>
                  </from>
                  <to>
                    <xdr:col>2</xdr:col>
                    <xdr:colOff>274320</xdr:colOff>
                    <xdr:row>21</xdr:row>
                    <xdr:rowOff>1059180</xdr:rowOff>
                  </to>
                </anchor>
              </controlPr>
            </control>
          </mc:Choice>
        </mc:AlternateContent>
        <mc:AlternateContent xmlns:mc="http://schemas.openxmlformats.org/markup-compatibility/2006">
          <mc:Choice Requires="x14">
            <control shapeId="51328007" r:id="rId9" name="Check Box 7">
              <controlPr locked="0" defaultSize="0" autoFill="0" autoLine="0" autoPict="0">
                <anchor moveWithCells="1">
                  <from>
                    <xdr:col>2</xdr:col>
                    <xdr:colOff>1981200</xdr:colOff>
                    <xdr:row>21</xdr:row>
                    <xdr:rowOff>152400</xdr:rowOff>
                  </from>
                  <to>
                    <xdr:col>3</xdr:col>
                    <xdr:colOff>22860</xdr:colOff>
                    <xdr:row>21</xdr:row>
                    <xdr:rowOff>381000</xdr:rowOff>
                  </to>
                </anchor>
              </controlPr>
            </control>
          </mc:Choice>
        </mc:AlternateContent>
        <mc:AlternateContent xmlns:mc="http://schemas.openxmlformats.org/markup-compatibility/2006">
          <mc:Choice Requires="x14">
            <control shapeId="51328008" r:id="rId10" name="Check Box 8">
              <controlPr locked="0" defaultSize="0" autoFill="0" autoLine="0" autoPict="0">
                <anchor moveWithCells="1">
                  <from>
                    <xdr:col>2</xdr:col>
                    <xdr:colOff>1988820</xdr:colOff>
                    <xdr:row>21</xdr:row>
                    <xdr:rowOff>480060</xdr:rowOff>
                  </from>
                  <to>
                    <xdr:col>3</xdr:col>
                    <xdr:colOff>22860</xdr:colOff>
                    <xdr:row>21</xdr:row>
                    <xdr:rowOff>708660</xdr:rowOff>
                  </to>
                </anchor>
              </controlPr>
            </control>
          </mc:Choice>
        </mc:AlternateContent>
        <mc:AlternateContent xmlns:mc="http://schemas.openxmlformats.org/markup-compatibility/2006">
          <mc:Choice Requires="x14">
            <control shapeId="51328009" r:id="rId11" name="Check Box 9">
              <controlPr locked="0" defaultSize="0" autoFill="0" autoLine="0" autoPict="0">
                <anchor moveWithCells="1">
                  <from>
                    <xdr:col>2</xdr:col>
                    <xdr:colOff>2004060</xdr:colOff>
                    <xdr:row>21</xdr:row>
                    <xdr:rowOff>830580</xdr:rowOff>
                  </from>
                  <to>
                    <xdr:col>3</xdr:col>
                    <xdr:colOff>30480</xdr:colOff>
                    <xdr:row>21</xdr:row>
                    <xdr:rowOff>1059180</xdr:rowOff>
                  </to>
                </anchor>
              </controlPr>
            </control>
          </mc:Choice>
        </mc:AlternateContent>
        <mc:AlternateContent xmlns:mc="http://schemas.openxmlformats.org/markup-compatibility/2006">
          <mc:Choice Requires="x14">
            <control shapeId="51328010" r:id="rId12" name="Check Box 10">
              <controlPr locked="0" defaultSize="0" autoFill="0" autoLine="0" autoPict="0">
                <anchor moveWithCells="1">
                  <from>
                    <xdr:col>3</xdr:col>
                    <xdr:colOff>1737360</xdr:colOff>
                    <xdr:row>21</xdr:row>
                    <xdr:rowOff>152400</xdr:rowOff>
                  </from>
                  <to>
                    <xdr:col>4</xdr:col>
                    <xdr:colOff>0</xdr:colOff>
                    <xdr:row>21</xdr:row>
                    <xdr:rowOff>381000</xdr:rowOff>
                  </to>
                </anchor>
              </controlPr>
            </control>
          </mc:Choice>
        </mc:AlternateContent>
        <mc:AlternateContent xmlns:mc="http://schemas.openxmlformats.org/markup-compatibility/2006">
          <mc:Choice Requires="x14">
            <control shapeId="51328011" r:id="rId13" name="Check Box 11">
              <controlPr locked="0" defaultSize="0" autoFill="0" autoLine="0" autoPict="0">
                <anchor moveWithCells="1">
                  <from>
                    <xdr:col>3</xdr:col>
                    <xdr:colOff>1737360</xdr:colOff>
                    <xdr:row>21</xdr:row>
                    <xdr:rowOff>480060</xdr:rowOff>
                  </from>
                  <to>
                    <xdr:col>4</xdr:col>
                    <xdr:colOff>0</xdr:colOff>
                    <xdr:row>21</xdr:row>
                    <xdr:rowOff>708660</xdr:rowOff>
                  </to>
                </anchor>
              </controlPr>
            </control>
          </mc:Choice>
        </mc:AlternateContent>
        <mc:AlternateContent xmlns:mc="http://schemas.openxmlformats.org/markup-compatibility/2006">
          <mc:Choice Requires="x14">
            <control shapeId="51328012" r:id="rId14" name="Check Box 12">
              <controlPr locked="0" defaultSize="0" autoFill="0" autoLine="0" autoPict="0">
                <anchor moveWithCells="1">
                  <from>
                    <xdr:col>3</xdr:col>
                    <xdr:colOff>1744980</xdr:colOff>
                    <xdr:row>21</xdr:row>
                    <xdr:rowOff>830580</xdr:rowOff>
                  </from>
                  <to>
                    <xdr:col>4</xdr:col>
                    <xdr:colOff>0</xdr:colOff>
                    <xdr:row>21</xdr:row>
                    <xdr:rowOff>1059180</xdr:rowOff>
                  </to>
                </anchor>
              </controlPr>
            </control>
          </mc:Choice>
        </mc:AlternateContent>
        <mc:AlternateContent xmlns:mc="http://schemas.openxmlformats.org/markup-compatibility/2006">
          <mc:Choice Requires="x14">
            <control shapeId="51328013" r:id="rId15" name="Check Box 13">
              <controlPr locked="0" defaultSize="0" autoFill="0" autoLine="0" autoPict="0">
                <anchor moveWithCells="1">
                  <from>
                    <xdr:col>4</xdr:col>
                    <xdr:colOff>1668780</xdr:colOff>
                    <xdr:row>21</xdr:row>
                    <xdr:rowOff>152400</xdr:rowOff>
                  </from>
                  <to>
                    <xdr:col>4</xdr:col>
                    <xdr:colOff>1950720</xdr:colOff>
                    <xdr:row>21</xdr:row>
                    <xdr:rowOff>381000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03D0C-9DBF-48B4-A0DB-77EEF30058B7}">
  <sheetPr codeName="Feuil47">
    <tabColor rgb="FF92D050"/>
  </sheetPr>
  <dimension ref="A1:S113"/>
  <sheetViews>
    <sheetView showGridLines="0" zoomScale="80" zoomScaleNormal="80" workbookViewId="0"/>
  </sheetViews>
  <sheetFormatPr baseColWidth="10" defaultColWidth="11.44140625" defaultRowHeight="14.4"/>
  <cols>
    <col min="1" max="1" width="45.88671875" customWidth="1"/>
    <col min="2" max="2" width="34.44140625" customWidth="1"/>
    <col min="3" max="3" width="32.5546875" customWidth="1"/>
    <col min="4" max="4" width="30.109375" customWidth="1"/>
    <col min="5" max="5" width="39.44140625" customWidth="1"/>
    <col min="6" max="6" width="19.44140625" bestFit="1" customWidth="1"/>
    <col min="7" max="7" width="23.88671875" customWidth="1"/>
    <col min="8" max="8" width="21.5546875" customWidth="1"/>
    <col min="9" max="9" width="29.88671875" customWidth="1"/>
  </cols>
  <sheetData>
    <row r="1" spans="1:9" ht="15" thickBot="1"/>
    <row r="2" spans="1:9" ht="18.600000000000001" thickBot="1">
      <c r="E2" s="914" t="s">
        <v>708</v>
      </c>
      <c r="F2" s="1772" t="str">
        <f ca="1">IF('Rapportage POLLEC'!D7='Action POLLEC 3'!E2,"OUI","")</f>
        <v/>
      </c>
      <c r="G2" s="915"/>
      <c r="H2" s="915"/>
      <c r="I2" s="915"/>
    </row>
    <row r="3" spans="1:9" ht="26.4" thickBot="1">
      <c r="A3" s="2214" t="str">
        <f ca="1">"Action clé 3: "&amp;IF(ISERROR(INDIRECT("'"&amp;$F6&amp;"'!b$13")),"-",INDIRECT("'"&amp;$F6&amp;"'!b$13"))</f>
        <v>Action clé 3: -</v>
      </c>
      <c r="B3" s="2214"/>
      <c r="C3" s="2214"/>
      <c r="D3" s="2215"/>
      <c r="E3" s="916" t="s">
        <v>327</v>
      </c>
      <c r="F3" s="1772" t="str">
        <f ca="1">IF('Rapportage POLLEC'!D7='Action POLLEC 3'!E3,"OUI","")</f>
        <v/>
      </c>
      <c r="G3" s="915"/>
      <c r="H3" s="915"/>
      <c r="I3" s="915"/>
    </row>
    <row r="4" spans="1:9" ht="15.9" customHeight="1" thickBot="1">
      <c r="A4" s="809"/>
      <c r="B4" s="809"/>
      <c r="C4" s="809"/>
      <c r="D4" s="809"/>
      <c r="E4" s="917" t="s">
        <v>1276</v>
      </c>
      <c r="F4" s="1773" t="str">
        <f ca="1">IF('Rapportage POLLEC'!E7="x","OUI","")</f>
        <v/>
      </c>
      <c r="G4" s="915"/>
      <c r="H4" s="915"/>
      <c r="I4" s="915"/>
    </row>
    <row r="5" spans="1:9" ht="26.4" thickBot="1">
      <c r="A5" s="894"/>
      <c r="B5" s="894"/>
      <c r="C5" s="894"/>
      <c r="D5" s="894"/>
      <c r="E5" s="915"/>
      <c r="F5" s="918"/>
      <c r="G5" s="915"/>
      <c r="H5" s="915"/>
      <c r="I5" s="915"/>
    </row>
    <row r="6" spans="1:9" ht="18.600000000000001" thickBot="1">
      <c r="A6" s="919" t="s">
        <v>103</v>
      </c>
      <c r="B6" s="920"/>
      <c r="C6" s="920"/>
      <c r="D6" s="920"/>
      <c r="E6" s="921" t="s">
        <v>1682</v>
      </c>
      <c r="F6" s="1772" t="str">
        <f ca="1">'Rapportage POLLEC'!C7</f>
        <v/>
      </c>
      <c r="G6" s="915"/>
      <c r="H6" s="915"/>
      <c r="I6" s="915"/>
    </row>
    <row r="7" spans="1:9" ht="18.600000000000001" thickBot="1">
      <c r="A7" s="1786" t="str">
        <f ca="1">IF(ISERROR(INDIRECT("'"&amp;$F6&amp;"'!A5")),"-",INDIRECT("'"&amp;$F6&amp;"'!A5"))</f>
        <v>-</v>
      </c>
      <c r="B7" s="920"/>
      <c r="C7" s="920"/>
      <c r="D7" s="920"/>
      <c r="E7" s="2148" t="s">
        <v>717</v>
      </c>
      <c r="F7" s="2149"/>
      <c r="G7" s="915"/>
      <c r="H7" s="915"/>
      <c r="I7" s="915"/>
    </row>
    <row r="8" spans="1:9" ht="18.600000000000001" thickBot="1">
      <c r="A8" s="920"/>
      <c r="B8" s="923"/>
      <c r="C8" s="923"/>
      <c r="D8" s="923"/>
      <c r="E8" s="2150" t="str">
        <f ca="1">IF(ISERROR(INDIRECT("'"&amp;$F6&amp;"'!e6")),"-",INDIRECT("'"&amp;$F6&amp;"'!e6"))</f>
        <v>-</v>
      </c>
      <c r="F8" s="2151"/>
      <c r="G8" s="915"/>
      <c r="H8" s="915"/>
      <c r="I8" s="915"/>
    </row>
    <row r="9" spans="1:9" ht="23.1" customHeight="1" thickBot="1">
      <c r="A9" s="924"/>
      <c r="B9" s="878"/>
      <c r="C9" s="923"/>
      <c r="D9" s="923"/>
      <c r="E9" s="879"/>
      <c r="F9" s="879"/>
      <c r="G9" s="915"/>
      <c r="H9" s="915"/>
      <c r="I9" s="915"/>
    </row>
    <row r="10" spans="1:9" ht="18.600000000000001" thickBot="1">
      <c r="A10" s="922" t="s">
        <v>1683</v>
      </c>
      <c r="B10" s="1770" t="str">
        <f ca="1">IF(ISERROR(INDIRECT("'"&amp;$F6&amp;"'!b$9")),"-",INDIRECT("'"&amp;$F6&amp;"'!b$9"))</f>
        <v>-</v>
      </c>
      <c r="C10" s="922" t="s">
        <v>1684</v>
      </c>
      <c r="D10" s="1771" t="str">
        <f ca="1">IF(ISERROR(INDIRECT("'"&amp;$F6&amp;"'!d$9")),"-",INDIRECT("'"&amp;$F6&amp;"'!d$9"))</f>
        <v>-</v>
      </c>
      <c r="E10" s="955" t="s">
        <v>1685</v>
      </c>
      <c r="F10" s="893"/>
      <c r="G10" s="915"/>
      <c r="H10" s="915"/>
      <c r="I10" s="915"/>
    </row>
    <row r="11" spans="1:9" ht="18.600000000000001" thickBot="1">
      <c r="A11" s="926" t="s">
        <v>1686</v>
      </c>
      <c r="B11" s="925"/>
      <c r="C11" s="927"/>
      <c r="D11" s="927"/>
      <c r="E11" s="927"/>
      <c r="F11" s="927"/>
      <c r="G11" s="915"/>
      <c r="H11" s="915"/>
      <c r="I11" s="915"/>
    </row>
    <row r="12" spans="1:9" ht="18.600000000000001" thickBot="1">
      <c r="A12" s="812"/>
      <c r="B12" s="928"/>
      <c r="C12" s="928"/>
      <c r="D12" s="928"/>
      <c r="E12" s="877"/>
      <c r="F12" s="877"/>
      <c r="G12" s="915"/>
      <c r="H12" s="915"/>
      <c r="I12" s="915"/>
    </row>
    <row r="13" spans="1:9" ht="39.9" customHeight="1" thickBot="1">
      <c r="A13" s="929" t="s">
        <v>724</v>
      </c>
      <c r="B13" s="2152" t="str">
        <f ca="1">IF(ISERROR(INDIRECT("'"&amp;$F6&amp;"'!b$13")),"-",INDIRECT("'"&amp;$F6&amp;"'!b$13"))</f>
        <v>-</v>
      </c>
      <c r="C13" s="2153"/>
      <c r="D13" s="2153"/>
      <c r="E13" s="2153"/>
      <c r="F13" s="2154"/>
      <c r="G13" s="915"/>
      <c r="H13" s="915"/>
      <c r="I13" s="915"/>
    </row>
    <row r="14" spans="1:9" ht="29.4" hidden="1" customHeight="1" thickBot="1">
      <c r="A14" s="930" t="s">
        <v>1687</v>
      </c>
      <c r="B14" s="2155"/>
      <c r="C14" s="2155"/>
      <c r="D14" s="2155"/>
      <c r="E14" s="2155"/>
      <c r="F14" s="2155"/>
      <c r="G14" s="915"/>
      <c r="H14" s="915"/>
      <c r="I14" s="915"/>
    </row>
    <row r="15" spans="1:9" ht="70.5" hidden="1" customHeight="1">
      <c r="A15" s="931" t="s">
        <v>1688</v>
      </c>
      <c r="B15" s="2156"/>
      <c r="C15" s="2157"/>
      <c r="D15" s="2157"/>
      <c r="E15" s="2157"/>
      <c r="F15" s="2158"/>
      <c r="G15" s="915"/>
      <c r="H15" s="915"/>
      <c r="I15" s="915"/>
    </row>
    <row r="16" spans="1:9" ht="43.8" hidden="1" thickBot="1">
      <c r="A16" s="932" t="s">
        <v>1689</v>
      </c>
      <c r="B16" s="2159"/>
      <c r="C16" s="2160"/>
      <c r="D16" s="2160"/>
      <c r="E16" s="2160"/>
      <c r="F16" s="2161"/>
      <c r="G16" s="915"/>
      <c r="H16" s="915"/>
      <c r="I16" s="915"/>
    </row>
    <row r="17" spans="1:19" ht="43.8" hidden="1" thickBot="1">
      <c r="A17" s="932" t="s">
        <v>1690</v>
      </c>
      <c r="B17" s="2162"/>
      <c r="C17" s="2163"/>
      <c r="D17" s="2163"/>
      <c r="E17" s="2163"/>
      <c r="F17" s="2164"/>
      <c r="G17" s="915"/>
      <c r="H17" s="915"/>
      <c r="I17" s="915"/>
    </row>
    <row r="18" spans="1:19" ht="18.600000000000001" thickBot="1">
      <c r="A18" s="2165"/>
      <c r="B18" s="2165"/>
      <c r="C18" s="2165"/>
      <c r="D18" s="2165"/>
      <c r="E18" s="2165"/>
      <c r="F18" s="2165"/>
      <c r="G18" s="915"/>
      <c r="H18" s="915"/>
      <c r="I18" s="915"/>
    </row>
    <row r="19" spans="1:19" ht="134.1" customHeight="1">
      <c r="A19" s="933" t="s">
        <v>1691</v>
      </c>
      <c r="B19" s="2166" t="str">
        <f ca="1">IF(ISERROR(INDIRECT("'"&amp;$F6&amp;"'!b$14")),"-",INDIRECT("'"&amp;$F6&amp;"'!b$14"))</f>
        <v>-</v>
      </c>
      <c r="C19" s="2167"/>
      <c r="D19" s="2167"/>
      <c r="E19" s="2167"/>
      <c r="F19" s="2168"/>
      <c r="G19" s="915"/>
      <c r="H19" s="915"/>
      <c r="I19" s="915"/>
    </row>
    <row r="20" spans="1:19" ht="34.5" customHeight="1">
      <c r="A20" s="1410" t="s">
        <v>1692</v>
      </c>
      <c r="B20" s="2169"/>
      <c r="C20" s="2170"/>
      <c r="D20" s="2170"/>
      <c r="E20" s="2170"/>
      <c r="F20" s="2171"/>
      <c r="G20" s="915"/>
      <c r="H20" s="915"/>
      <c r="I20" s="915"/>
    </row>
    <row r="21" spans="1:19" ht="55.2" customHeight="1">
      <c r="A21" s="1410" t="s">
        <v>1693</v>
      </c>
      <c r="B21" s="2169"/>
      <c r="C21" s="2170"/>
      <c r="D21" s="2170"/>
      <c r="E21" s="2170"/>
      <c r="F21" s="2171"/>
      <c r="G21" s="1757" t="str">
        <f ca="1">IF(ISERROR(INDIRECT("'"&amp;$F6&amp;"'!b$16")),"-",INDIRECT("'"&amp;$F6&amp;"'!b$16"))&amp;" - "&amp;IF(ISERROR(INDIRECT("'"&amp;$F6&amp;"'!c$16")),"-",INDIRECT("'"&amp;$F6&amp;"'!c$16"))&amp;" - "&amp;IF(ISERROR(INDIRECT("'"&amp;$F6&amp;"'!d$16")),"-",INDIRECT("'"&amp;$F6&amp;"'!d$16"))&amp;" - "&amp;IF(ISERROR(INDIRECT("'"&amp;$F6&amp;"'!e$16")),"-",INDIRECT("'"&amp;$F6&amp;"'!e$16"))&amp;" - "&amp;IF(ISERROR(INDIRECT("'"&amp;$F6&amp;"'!f$16")),"-",INDIRECT("'"&amp;$F6&amp;"'!f$16"))</f>
        <v>- - - - - - - - -</v>
      </c>
      <c r="H21" s="934" t="s">
        <v>1695</v>
      </c>
      <c r="I21" s="934" t="s">
        <v>1696</v>
      </c>
      <c r="J21" s="935" t="s">
        <v>1697</v>
      </c>
      <c r="K21" s="935" t="s">
        <v>1698</v>
      </c>
      <c r="L21" s="935" t="s">
        <v>1699</v>
      </c>
      <c r="M21" s="935" t="s">
        <v>1700</v>
      </c>
      <c r="N21" s="935" t="s">
        <v>1701</v>
      </c>
      <c r="O21" s="935" t="s">
        <v>1702</v>
      </c>
      <c r="P21" s="935" t="s">
        <v>1703</v>
      </c>
      <c r="Q21" s="935" t="s">
        <v>1704</v>
      </c>
      <c r="R21" s="935" t="s">
        <v>157</v>
      </c>
      <c r="S21" s="935" t="s">
        <v>661</v>
      </c>
    </row>
    <row r="22" spans="1:19" s="913" customFormat="1" ht="98.1" customHeight="1" thickBot="1">
      <c r="A22" s="1414" t="s">
        <v>1705</v>
      </c>
      <c r="B22" s="2223"/>
      <c r="C22" s="2224"/>
      <c r="D22" s="2224"/>
      <c r="E22" s="2224"/>
      <c r="F22" s="2225"/>
      <c r="G22" s="911" t="b">
        <v>0</v>
      </c>
      <c r="H22" s="911" t="b">
        <v>0</v>
      </c>
      <c r="I22" s="911" t="b">
        <v>0</v>
      </c>
      <c r="J22" s="912" t="b">
        <v>0</v>
      </c>
      <c r="K22" s="912"/>
      <c r="L22" s="912" t="b">
        <v>0</v>
      </c>
      <c r="M22" s="912"/>
      <c r="N22" s="912" t="b">
        <v>0</v>
      </c>
      <c r="O22" s="912"/>
      <c r="P22" s="912" t="b">
        <v>0</v>
      </c>
      <c r="Q22" s="912" t="b">
        <v>0</v>
      </c>
      <c r="R22" s="912" t="b">
        <v>0</v>
      </c>
      <c r="S22" s="912" t="b">
        <v>0</v>
      </c>
    </row>
    <row r="23" spans="1:19" ht="29.4" customHeight="1" thickBot="1">
      <c r="A23" s="930" t="s">
        <v>1706</v>
      </c>
      <c r="B23" s="2155"/>
      <c r="C23" s="2155"/>
      <c r="D23" s="2155"/>
      <c r="E23" s="2155"/>
      <c r="F23" s="2155"/>
      <c r="G23" s="915"/>
      <c r="H23" s="915"/>
      <c r="I23" s="915"/>
    </row>
    <row r="24" spans="1:19" ht="18">
      <c r="A24" s="936" t="s">
        <v>1074</v>
      </c>
      <c r="B24" s="2175" t="str">
        <f ca="1">IF(ISERROR(INDIRECT("'"&amp;$F6&amp;"'!b$16")),"-",INDIRECT("'"&amp;$F6&amp;"'!b$17"))</f>
        <v>-</v>
      </c>
      <c r="C24" s="2167"/>
      <c r="D24" s="2167"/>
      <c r="E24" s="2167"/>
      <c r="F24" s="2168"/>
      <c r="G24" s="915"/>
      <c r="H24" s="915"/>
      <c r="I24" s="915"/>
    </row>
    <row r="25" spans="1:19" ht="18">
      <c r="A25" s="1415" t="s">
        <v>728</v>
      </c>
      <c r="B25" s="2176" t="str">
        <f ca="1">IF(ISERROR(INDIRECT("'"&amp;$F6&amp;"'!b$17")),"-",INDIRECT("'"&amp;$F6&amp;"'!b$18"))</f>
        <v>-</v>
      </c>
      <c r="C25" s="2177"/>
      <c r="D25" s="2177"/>
      <c r="E25" s="2177"/>
      <c r="F25" s="2178"/>
      <c r="G25" s="915"/>
      <c r="H25" s="915"/>
      <c r="I25" s="915"/>
    </row>
    <row r="26" spans="1:19" ht="28.8">
      <c r="A26" s="2179" t="s">
        <v>1707</v>
      </c>
      <c r="B26" s="1774" t="str">
        <f ca="1">IF(ISERROR(INDIRECT("'"&amp;$F6&amp;"'!b$18")),"-",INDIRECT("'"&amp;$F6&amp;"'!b$19"))</f>
        <v>-</v>
      </c>
      <c r="C26" s="1416" t="s">
        <v>1708</v>
      </c>
      <c r="D26" s="1412"/>
      <c r="E26" s="1417" t="s">
        <v>1709</v>
      </c>
      <c r="F26" s="1413"/>
      <c r="G26" s="915"/>
      <c r="H26" s="915"/>
      <c r="I26" s="915"/>
    </row>
    <row r="27" spans="1:19" ht="28.8">
      <c r="A27" s="2180"/>
      <c r="B27" s="1411"/>
      <c r="C27" s="1416" t="s">
        <v>1708</v>
      </c>
      <c r="D27" s="1412"/>
      <c r="E27" s="1417" t="s">
        <v>1709</v>
      </c>
      <c r="F27" s="1413"/>
      <c r="G27" s="915"/>
      <c r="H27" s="915"/>
      <c r="I27" s="915"/>
    </row>
    <row r="28" spans="1:19" ht="28.8">
      <c r="A28" s="2180"/>
      <c r="B28" s="1411"/>
      <c r="C28" s="1416" t="s">
        <v>1708</v>
      </c>
      <c r="D28" s="1412"/>
      <c r="E28" s="1417" t="s">
        <v>1709</v>
      </c>
      <c r="F28" s="1413"/>
      <c r="G28" s="915"/>
      <c r="H28" s="915"/>
      <c r="I28" s="915"/>
    </row>
    <row r="29" spans="1:19" ht="28.8">
      <c r="A29" s="2180"/>
      <c r="B29" s="1411"/>
      <c r="C29" s="1416" t="s">
        <v>1708</v>
      </c>
      <c r="D29" s="1412"/>
      <c r="E29" s="1417" t="s">
        <v>1709</v>
      </c>
      <c r="F29" s="1413"/>
      <c r="G29" s="915"/>
      <c r="H29" s="915"/>
      <c r="I29" s="915"/>
    </row>
    <row r="30" spans="1:19" ht="29.4" thickBot="1">
      <c r="A30" s="2181"/>
      <c r="B30" s="1411"/>
      <c r="C30" s="1418" t="s">
        <v>1708</v>
      </c>
      <c r="D30" s="1419"/>
      <c r="E30" s="1420" t="s">
        <v>1709</v>
      </c>
      <c r="F30" s="1421"/>
      <c r="G30" s="915"/>
      <c r="H30" s="915"/>
      <c r="I30" s="915"/>
    </row>
    <row r="31" spans="1:19" ht="29.4" customHeight="1" thickBot="1">
      <c r="A31" s="930" t="s">
        <v>1710</v>
      </c>
      <c r="B31" s="2155"/>
      <c r="C31" s="2155"/>
      <c r="D31" s="2155"/>
      <c r="E31" s="2155"/>
      <c r="F31" s="2155"/>
      <c r="G31" s="915"/>
      <c r="H31" s="915"/>
      <c r="I31" s="915"/>
    </row>
    <row r="32" spans="1:19" ht="18">
      <c r="A32" s="936" t="s">
        <v>1711</v>
      </c>
      <c r="B32" s="2182"/>
      <c r="C32" s="2183"/>
      <c r="D32" s="2183"/>
      <c r="E32" s="2183"/>
      <c r="F32" s="2184"/>
      <c r="G32" s="915"/>
      <c r="H32" s="915"/>
      <c r="I32" s="915"/>
    </row>
    <row r="33" spans="1:9" ht="31.8" thickBot="1">
      <c r="A33" s="1422" t="s">
        <v>1712</v>
      </c>
      <c r="B33" s="2185"/>
      <c r="C33" s="2186"/>
      <c r="D33" s="2186"/>
      <c r="E33" s="2186"/>
      <c r="F33" s="2187"/>
      <c r="G33" s="915"/>
      <c r="H33" s="915"/>
      <c r="I33" s="915"/>
    </row>
    <row r="34" spans="1:9" ht="29.4" customHeight="1" thickBot="1">
      <c r="A34" s="930" t="s">
        <v>1240</v>
      </c>
      <c r="B34" s="2188"/>
      <c r="C34" s="2188"/>
      <c r="D34" s="2188"/>
      <c r="E34" s="2188"/>
      <c r="F34" s="2188"/>
      <c r="G34" s="915"/>
      <c r="H34" s="915"/>
      <c r="I34" s="915"/>
    </row>
    <row r="35" spans="1:9" ht="18">
      <c r="A35" s="936" t="s">
        <v>730</v>
      </c>
      <c r="B35" s="2189" t="str">
        <f ca="1">IF(ISERROR(INDIRECT("'"&amp;$F6&amp;"'!b$19")),"-",INDIRECT("'"&amp;$F6&amp;"'!b$20"))</f>
        <v>-</v>
      </c>
      <c r="C35" s="2190"/>
      <c r="D35" s="2190"/>
      <c r="E35" s="2190"/>
      <c r="F35" s="2191"/>
      <c r="G35" s="915"/>
      <c r="H35" s="915"/>
      <c r="I35" s="915"/>
    </row>
    <row r="36" spans="1:9" ht="18">
      <c r="A36" s="1415" t="s">
        <v>733</v>
      </c>
      <c r="B36" s="2192" t="str">
        <f ca="1">IF(ISERROR(INDIRECT("'"&amp;$F6&amp;"'!b$20")),"-",INDIRECT("'"&amp;$F6&amp;"'!b$21"))</f>
        <v>-</v>
      </c>
      <c r="C36" s="2193"/>
      <c r="D36" s="2193"/>
      <c r="E36" s="2193"/>
      <c r="F36" s="2194"/>
      <c r="G36" s="915"/>
      <c r="H36" s="915"/>
      <c r="I36" s="915"/>
    </row>
    <row r="37" spans="1:9" ht="18">
      <c r="A37" s="1423" t="s">
        <v>1713</v>
      </c>
      <c r="B37" s="2192" t="e">
        <f ca="1">IF(ISERROR(INDIRECT("'"&amp;$F6&amp;"'!b$21")),"-",INDIRECT("'"&amp;$F6&amp;"'!b$22"))-B38</f>
        <v>#VALUE!</v>
      </c>
      <c r="C37" s="2193"/>
      <c r="D37" s="2193"/>
      <c r="E37" s="2193"/>
      <c r="F37" s="2194"/>
      <c r="G37" s="915"/>
      <c r="H37" s="915"/>
      <c r="I37" s="915"/>
    </row>
    <row r="38" spans="1:9" ht="18.600000000000001" thickBot="1">
      <c r="A38" s="1422" t="s">
        <v>1714</v>
      </c>
      <c r="B38" s="2172">
        <f>E68</f>
        <v>0</v>
      </c>
      <c r="C38" s="2173"/>
      <c r="D38" s="2173"/>
      <c r="E38" s="2173"/>
      <c r="F38" s="2174"/>
      <c r="G38" s="915"/>
      <c r="H38" s="915"/>
      <c r="I38" s="915"/>
    </row>
    <row r="39" spans="1:9" ht="29.4" customHeight="1" thickBot="1">
      <c r="A39" s="930" t="s">
        <v>1715</v>
      </c>
      <c r="B39" s="2188"/>
      <c r="C39" s="2188"/>
      <c r="D39" s="2188"/>
      <c r="E39" s="2188"/>
      <c r="F39" s="2188"/>
      <c r="G39" s="915"/>
      <c r="H39" s="915"/>
      <c r="I39" s="915"/>
    </row>
    <row r="40" spans="1:9" ht="18">
      <c r="A40" s="937" t="s">
        <v>735</v>
      </c>
      <c r="B40" s="1775" t="str">
        <f ca="1">IF(ISERROR(INDIRECT("'"&amp;$F6&amp;"'!b$22")),"-",INDIRECT("'"&amp;$F6&amp;"'!b$23"))</f>
        <v>-</v>
      </c>
      <c r="C40" s="938" t="s">
        <v>736</v>
      </c>
      <c r="D40" s="2201" t="str">
        <f ca="1">IF(ISERROR(INDIRECT("'"&amp;$F6&amp;"'!d$22")),"-",INDIRECT("'"&amp;$F6&amp;"'!d$23"))</f>
        <v>-</v>
      </c>
      <c r="E40" s="2201"/>
      <c r="F40" s="2202"/>
      <c r="G40" s="915"/>
      <c r="H40" s="915"/>
      <c r="I40" s="915"/>
    </row>
    <row r="41" spans="1:9" ht="18">
      <c r="A41" s="1410" t="s">
        <v>737</v>
      </c>
      <c r="B41" s="2203" t="str">
        <f ca="1">IF(ISERROR(INDIRECT("'"&amp;$F6&amp;"'!b$23")),"-",INDIRECT("'"&amp;$F6&amp;"'!b$24"))</f>
        <v>-</v>
      </c>
      <c r="C41" s="2204"/>
      <c r="D41" s="2204"/>
      <c r="E41" s="2204"/>
      <c r="F41" s="2205"/>
      <c r="G41" s="915"/>
      <c r="H41" s="915"/>
      <c r="I41" s="915"/>
    </row>
    <row r="42" spans="1:9" ht="18" hidden="1">
      <c r="A42" s="1410" t="s">
        <v>1716</v>
      </c>
      <c r="B42" s="2206"/>
      <c r="C42" s="2207"/>
      <c r="D42" s="1776" t="s">
        <v>1717</v>
      </c>
      <c r="E42" s="2208"/>
      <c r="F42" s="2209"/>
      <c r="G42" s="915"/>
      <c r="H42" s="915"/>
      <c r="I42" s="915"/>
    </row>
    <row r="43" spans="1:9" ht="18">
      <c r="A43" s="1410" t="s">
        <v>738</v>
      </c>
      <c r="B43" s="2210" t="str">
        <f ca="1">IF(ISERROR(INDIRECT("'"&amp;$F6&amp;"'!b$24")),"-",INDIRECT("'"&amp;$F6&amp;"'!b$25"))</f>
        <v>-</v>
      </c>
      <c r="C43" s="2211"/>
      <c r="D43" s="2211"/>
      <c r="E43" s="2211"/>
      <c r="F43" s="2212"/>
      <c r="G43" s="915"/>
      <c r="H43" s="915"/>
      <c r="I43" s="915"/>
    </row>
    <row r="44" spans="1:9" ht="32.4" customHeight="1" thickBot="1">
      <c r="A44" s="1410" t="s">
        <v>1283</v>
      </c>
      <c r="B44" s="1777" t="str">
        <f ca="1">IF(ISERROR(INDIRECT("'"&amp;$F6&amp;"'!b$25")),"-",INDIRECT("'"&amp;$F6&amp;"'!b$26"))</f>
        <v>-</v>
      </c>
      <c r="C44" s="1425" t="s">
        <v>1718</v>
      </c>
      <c r="D44" s="1778" t="str">
        <f ca="1">IF(ISERROR(INDIRECT("'"&amp;$F6&amp;"'!d$25")),"-",INDIRECT("'"&amp;$F6&amp;"'!d$26"))</f>
        <v>-</v>
      </c>
      <c r="E44" s="1425" t="s">
        <v>741</v>
      </c>
      <c r="F44" s="1779" t="str">
        <f ca="1">IF(ISERROR(INDIRECT("'"&amp;$F6&amp;"'!f$25")),"-",INDIRECT("'"&amp;$F6&amp;"'!f$26"))</f>
        <v>-</v>
      </c>
      <c r="G44" s="915"/>
      <c r="H44" s="915"/>
      <c r="I44" s="915"/>
    </row>
    <row r="45" spans="1:9" ht="18.600000000000001" hidden="1" thickBot="1">
      <c r="A45" s="1426" t="s">
        <v>1719</v>
      </c>
      <c r="B45" s="939"/>
      <c r="C45" s="2220" t="s">
        <v>1720</v>
      </c>
      <c r="D45" s="2220"/>
      <c r="E45" s="2221"/>
      <c r="F45" s="2222"/>
      <c r="G45" s="915"/>
      <c r="H45" s="915"/>
      <c r="I45" s="915"/>
    </row>
    <row r="46" spans="1:9" ht="18.600000000000001" thickBot="1">
      <c r="A46" s="2188"/>
      <c r="B46" s="2188"/>
      <c r="C46" s="2188"/>
      <c r="D46" s="2188"/>
      <c r="E46" s="2188"/>
      <c r="F46" s="2188"/>
      <c r="G46" s="915"/>
      <c r="H46" s="915"/>
      <c r="I46" s="915"/>
    </row>
    <row r="47" spans="1:9" ht="18.600000000000001" thickBot="1">
      <c r="A47" s="940" t="s">
        <v>742</v>
      </c>
      <c r="B47" s="2195" t="str">
        <f ca="1">IF(ISERROR(INDIRECT("'"&amp;$F6&amp;"'!b$26")),"-",INDIRECT("'"&amp;$F6&amp;"'!b$27"))</f>
        <v>-</v>
      </c>
      <c r="C47" s="2196"/>
      <c r="D47" s="2196"/>
      <c r="E47" s="2196"/>
      <c r="F47" s="2197"/>
      <c r="G47" s="915"/>
      <c r="H47" s="915"/>
      <c r="I47" s="915"/>
    </row>
    <row r="48" spans="1:9" ht="18.600000000000001" hidden="1" thickBot="1">
      <c r="A48" s="940" t="s">
        <v>1721</v>
      </c>
      <c r="B48" s="2198"/>
      <c r="C48" s="2199"/>
      <c r="D48" s="2199"/>
      <c r="E48" s="2199"/>
      <c r="F48" s="2199"/>
      <c r="G48" s="915"/>
      <c r="H48" s="915"/>
      <c r="I48" s="915"/>
    </row>
    <row r="49" spans="1:9" ht="18">
      <c r="A49" s="2200"/>
      <c r="B49" s="2200"/>
      <c r="C49" s="2200"/>
      <c r="D49" s="2200"/>
      <c r="E49" s="2200"/>
      <c r="F49" s="2200"/>
      <c r="G49" s="915"/>
      <c r="H49" s="915"/>
      <c r="I49" s="915"/>
    </row>
    <row r="50" spans="1:9" ht="28.8">
      <c r="A50" s="2217" t="s">
        <v>1722</v>
      </c>
      <c r="B50" s="2217"/>
      <c r="C50" s="2217"/>
      <c r="D50" s="2217"/>
      <c r="E50" s="2217"/>
      <c r="F50" s="2217"/>
      <c r="G50" s="915"/>
      <c r="H50" s="915"/>
      <c r="I50" s="915"/>
    </row>
    <row r="51" spans="1:9" ht="15.6">
      <c r="A51" s="2218"/>
      <c r="B51" s="2218"/>
      <c r="C51" s="2218"/>
      <c r="D51" s="2218"/>
      <c r="E51" s="2218"/>
      <c r="F51" s="2218"/>
      <c r="I51" s="55"/>
    </row>
    <row r="52" spans="1:9" ht="31.2">
      <c r="A52" s="941" t="s">
        <v>77</v>
      </c>
      <c r="B52" s="2219" t="s">
        <v>1723</v>
      </c>
      <c r="C52" s="2219"/>
      <c r="D52" s="2219"/>
      <c r="E52" s="942" t="s">
        <v>1724</v>
      </c>
      <c r="F52" s="941" t="s">
        <v>2159</v>
      </c>
      <c r="G52" s="942" t="s">
        <v>1725</v>
      </c>
      <c r="H52" s="55"/>
      <c r="I52" s="55"/>
    </row>
    <row r="53" spans="1:9">
      <c r="A53" s="1427">
        <v>1</v>
      </c>
      <c r="B53" s="2141"/>
      <c r="C53" s="2142"/>
      <c r="D53" s="2143"/>
      <c r="E53" s="1428"/>
      <c r="F53" s="1750"/>
      <c r="G53" s="1428"/>
      <c r="H53" s="943"/>
      <c r="I53" s="55"/>
    </row>
    <row r="54" spans="1:9">
      <c r="A54" s="1427">
        <v>2</v>
      </c>
      <c r="B54" s="2141"/>
      <c r="C54" s="2142"/>
      <c r="D54" s="2143"/>
      <c r="E54" s="1428"/>
      <c r="F54" s="1750"/>
      <c r="G54" s="1428"/>
      <c r="H54" s="943"/>
      <c r="I54" s="55"/>
    </row>
    <row r="55" spans="1:9">
      <c r="A55" s="1427">
        <v>3</v>
      </c>
      <c r="B55" s="2141"/>
      <c r="C55" s="2142"/>
      <c r="D55" s="2143"/>
      <c r="E55" s="1428"/>
      <c r="F55" s="1750"/>
      <c r="G55" s="1428"/>
      <c r="H55" s="943"/>
      <c r="I55" s="55"/>
    </row>
    <row r="56" spans="1:9">
      <c r="A56" s="1427">
        <v>4</v>
      </c>
      <c r="B56" s="2141"/>
      <c r="C56" s="2142"/>
      <c r="D56" s="2143"/>
      <c r="E56" s="1428"/>
      <c r="F56" s="1750"/>
      <c r="G56" s="1428"/>
      <c r="H56" s="943"/>
      <c r="I56" s="55"/>
    </row>
    <row r="57" spans="1:9">
      <c r="A57" s="1427">
        <v>5</v>
      </c>
      <c r="B57" s="2141"/>
      <c r="C57" s="2142"/>
      <c r="D57" s="2143"/>
      <c r="E57" s="1428"/>
      <c r="F57" s="1750"/>
      <c r="G57" s="1428"/>
      <c r="H57" s="943"/>
      <c r="I57" s="55"/>
    </row>
    <row r="58" spans="1:9">
      <c r="A58" s="1427">
        <v>6</v>
      </c>
      <c r="B58" s="2141"/>
      <c r="C58" s="2142"/>
      <c r="D58" s="2143"/>
      <c r="E58" s="1428"/>
      <c r="F58" s="1750"/>
      <c r="G58" s="1428"/>
      <c r="H58" s="943"/>
      <c r="I58" s="55"/>
    </row>
    <row r="59" spans="1:9">
      <c r="A59" s="1427">
        <v>7</v>
      </c>
      <c r="B59" s="2141"/>
      <c r="C59" s="2142"/>
      <c r="D59" s="2143"/>
      <c r="E59" s="1428"/>
      <c r="F59" s="1750"/>
      <c r="G59" s="1428"/>
      <c r="H59" s="943"/>
      <c r="I59" s="55"/>
    </row>
    <row r="60" spans="1:9">
      <c r="A60" s="1427">
        <v>8</v>
      </c>
      <c r="B60" s="2141"/>
      <c r="C60" s="2142"/>
      <c r="D60" s="2143"/>
      <c r="E60" s="1428"/>
      <c r="F60" s="1750"/>
      <c r="G60" s="1428"/>
      <c r="H60" s="943"/>
      <c r="I60" s="55"/>
    </row>
    <row r="61" spans="1:9">
      <c r="A61" s="1427">
        <v>9</v>
      </c>
      <c r="B61" s="2141"/>
      <c r="C61" s="2142"/>
      <c r="D61" s="2143"/>
      <c r="E61" s="1428"/>
      <c r="F61" s="1750"/>
      <c r="G61" s="1428"/>
      <c r="H61" s="943"/>
      <c r="I61" s="55"/>
    </row>
    <row r="62" spans="1:9">
      <c r="A62" s="1427">
        <v>10</v>
      </c>
      <c r="B62" s="2141"/>
      <c r="C62" s="2142"/>
      <c r="D62" s="2143"/>
      <c r="E62" s="1428"/>
      <c r="F62" s="1750"/>
      <c r="G62" s="1428"/>
      <c r="H62" s="943"/>
      <c r="I62" s="55"/>
    </row>
    <row r="63" spans="1:9">
      <c r="A63" s="1427">
        <v>11</v>
      </c>
      <c r="B63" s="2141"/>
      <c r="C63" s="2142"/>
      <c r="D63" s="2143"/>
      <c r="E63" s="1428"/>
      <c r="F63" s="1750"/>
      <c r="G63" s="1428"/>
      <c r="H63" s="943"/>
      <c r="I63" s="55"/>
    </row>
    <row r="64" spans="1:9">
      <c r="A64" s="1427">
        <v>12</v>
      </c>
      <c r="B64" s="2141"/>
      <c r="C64" s="2142"/>
      <c r="D64" s="2143"/>
      <c r="E64" s="1428"/>
      <c r="F64" s="1750"/>
      <c r="G64" s="1428"/>
      <c r="H64" s="943"/>
      <c r="I64" s="55"/>
    </row>
    <row r="65" spans="1:12">
      <c r="A65" s="1427">
        <v>13</v>
      </c>
      <c r="B65" s="2141"/>
      <c r="C65" s="2142"/>
      <c r="D65" s="2143"/>
      <c r="E65" s="1428"/>
      <c r="F65" s="1750"/>
      <c r="G65" s="1428"/>
      <c r="H65" s="943"/>
      <c r="I65" s="55"/>
    </row>
    <row r="66" spans="1:12">
      <c r="A66" s="1427">
        <v>14</v>
      </c>
      <c r="B66" s="2141"/>
      <c r="C66" s="2142"/>
      <c r="D66" s="2143"/>
      <c r="E66" s="1428"/>
      <c r="F66" s="1750"/>
      <c r="G66" s="1428"/>
      <c r="H66" s="943"/>
      <c r="I66" s="55"/>
    </row>
    <row r="67" spans="1:12">
      <c r="A67" s="1427">
        <v>15</v>
      </c>
      <c r="B67" s="2141"/>
      <c r="C67" s="2142"/>
      <c r="D67" s="2143"/>
      <c r="E67" s="1428"/>
      <c r="F67" s="1750"/>
      <c r="G67" s="1428"/>
      <c r="H67" s="943"/>
      <c r="I67" s="55"/>
    </row>
    <row r="68" spans="1:12" ht="16.2" thickBot="1">
      <c r="D68" s="944" t="s">
        <v>107</v>
      </c>
      <c r="E68" s="945">
        <f>SUM(E53:E67)</f>
        <v>0</v>
      </c>
      <c r="I68" s="55"/>
    </row>
    <row r="69" spans="1:12" ht="15.6">
      <c r="D69" s="827"/>
      <c r="E69" s="77"/>
      <c r="I69" s="55"/>
    </row>
    <row r="70" spans="1:12" ht="28.8">
      <c r="A70" s="822" t="s">
        <v>1726</v>
      </c>
      <c r="B70" s="190"/>
      <c r="C70" s="190"/>
      <c r="D70" s="1298"/>
      <c r="E70" s="1299"/>
      <c r="F70" s="190"/>
      <c r="G70" s="190"/>
      <c r="I70" s="55"/>
    </row>
    <row r="71" spans="1:12" ht="28.5" customHeight="1">
      <c r="A71" s="947"/>
      <c r="B71" s="948"/>
      <c r="C71" s="948"/>
      <c r="D71" s="949"/>
      <c r="E71" s="950"/>
      <c r="F71" s="948"/>
    </row>
    <row r="72" spans="1:12" ht="77.400000000000006" customHeight="1">
      <c r="A72" s="2216" t="s">
        <v>1727</v>
      </c>
      <c r="B72" s="2216"/>
      <c r="C72" s="2216"/>
      <c r="D72" s="2216"/>
      <c r="E72" s="2216"/>
      <c r="F72" s="2216"/>
      <c r="G72" s="2216"/>
    </row>
    <row r="73" spans="1:12" ht="28.5" customHeight="1">
      <c r="A73" s="947"/>
      <c r="B73" s="948"/>
      <c r="C73" s="948"/>
      <c r="D73" s="949"/>
      <c r="E73" s="950"/>
      <c r="F73" s="948"/>
    </row>
    <row r="74" spans="1:12" ht="18">
      <c r="A74" s="951" t="s">
        <v>1728</v>
      </c>
      <c r="B74" s="948"/>
      <c r="C74" s="948"/>
      <c r="D74" s="948"/>
      <c r="E74" s="948"/>
      <c r="F74" s="948"/>
    </row>
    <row r="75" spans="1:12" ht="18">
      <c r="A75" s="823"/>
      <c r="B75" s="246"/>
    </row>
    <row r="76" spans="1:12" ht="50.4" customHeight="1" thickBot="1">
      <c r="B76" s="1768" t="s">
        <v>692</v>
      </c>
      <c r="C76" s="1768" t="s">
        <v>80</v>
      </c>
      <c r="D76" s="1768" t="s">
        <v>746</v>
      </c>
      <c r="E76" s="1768" t="s">
        <v>733</v>
      </c>
      <c r="F76" s="1768" t="s">
        <v>1729</v>
      </c>
      <c r="G76" s="1769" t="s">
        <v>1730</v>
      </c>
      <c r="H76" s="1769" t="s">
        <v>1731</v>
      </c>
      <c r="K76" s="55"/>
      <c r="L76" s="55"/>
    </row>
    <row r="77" spans="1:12">
      <c r="A77">
        <v>1</v>
      </c>
      <c r="B77" s="1780" t="str">
        <f ca="1">IF(D77=0,0,IF(ISERROR(INDIRECT("'"&amp;$F$6&amp;"'"&amp;I77)),"-",INDIRECT("'"&amp;$F$6&amp;"'"&amp;I77)))</f>
        <v>-</v>
      </c>
      <c r="C77" s="1761"/>
      <c r="D77" s="1783" t="str">
        <f ca="1">IF(ISERROR(INDIRECT("'"&amp;$F$6&amp;"'"&amp;J77)),"-",INDIRECT("'"&amp;$F$6&amp;"'"&amp;J77))</f>
        <v>-</v>
      </c>
      <c r="E77" s="1787" t="str">
        <f ca="1">IF(AND(D77&lt;&gt;0,D77&lt;&gt;"-"),B$36,"")</f>
        <v/>
      </c>
      <c r="F77" s="1761"/>
      <c r="G77" s="1761"/>
      <c r="H77" s="1762"/>
      <c r="I77" s="953" t="s">
        <v>1732</v>
      </c>
      <c r="J77" s="953" t="s">
        <v>1733</v>
      </c>
      <c r="K77" s="1316" t="str">
        <f ca="1">B77</f>
        <v>-</v>
      </c>
      <c r="L77" s="1317" t="str">
        <f ca="1">D77</f>
        <v>-</v>
      </c>
    </row>
    <row r="78" spans="1:12">
      <c r="A78">
        <v>2</v>
      </c>
      <c r="B78" s="1781" t="str">
        <f t="shared" ref="B78:B86" ca="1" si="0">IF(D78=0,0,IF(ISERROR(INDIRECT("'"&amp;$F$6&amp;"'"&amp;I78)),"-",INDIRECT("'"&amp;$F$6&amp;"'"&amp;I78)))</f>
        <v>-</v>
      </c>
      <c r="C78" s="1428"/>
      <c r="D78" s="1784" t="str">
        <f t="shared" ref="D78:D86" ca="1" si="1">IF(ISERROR(INDIRECT("'"&amp;$F$6&amp;"'"&amp;J78)),"-",INDIRECT("'"&amp;$F$6&amp;"'"&amp;J78))</f>
        <v>-</v>
      </c>
      <c r="E78" s="1788" t="str">
        <f t="shared" ref="E78:E86" ca="1" si="2">IF(AND(D78&lt;&gt;0,D78&lt;&gt;"-"),B$36,"")</f>
        <v/>
      </c>
      <c r="F78" s="1428"/>
      <c r="G78" s="1428"/>
      <c r="H78" s="1764"/>
      <c r="I78" s="953" t="s">
        <v>1734</v>
      </c>
      <c r="J78" s="953" t="s">
        <v>1735</v>
      </c>
      <c r="K78" s="1316" t="str">
        <f t="shared" ref="K78:K86" ca="1" si="3">B78</f>
        <v>-</v>
      </c>
      <c r="L78" s="1317" t="str">
        <f t="shared" ref="L78:L86" ca="1" si="4">D78</f>
        <v>-</v>
      </c>
    </row>
    <row r="79" spans="1:12">
      <c r="A79">
        <v>3</v>
      </c>
      <c r="B79" s="1781" t="str">
        <f t="shared" ca="1" si="0"/>
        <v>-</v>
      </c>
      <c r="C79" s="1428"/>
      <c r="D79" s="1784" t="str">
        <f t="shared" ca="1" si="1"/>
        <v>-</v>
      </c>
      <c r="E79" s="1788" t="str">
        <f t="shared" ca="1" si="2"/>
        <v/>
      </c>
      <c r="F79" s="1428"/>
      <c r="G79" s="1428"/>
      <c r="H79" s="1764"/>
      <c r="I79" s="953" t="s">
        <v>1736</v>
      </c>
      <c r="J79" s="953" t="s">
        <v>1737</v>
      </c>
      <c r="K79" s="1316" t="str">
        <f t="shared" ca="1" si="3"/>
        <v>-</v>
      </c>
      <c r="L79" s="1317" t="str">
        <f t="shared" ca="1" si="4"/>
        <v>-</v>
      </c>
    </row>
    <row r="80" spans="1:12">
      <c r="A80">
        <v>4</v>
      </c>
      <c r="B80" s="1781" t="str">
        <f t="shared" ca="1" si="0"/>
        <v>-</v>
      </c>
      <c r="C80" s="1428"/>
      <c r="D80" s="1784" t="str">
        <f t="shared" ca="1" si="1"/>
        <v>-</v>
      </c>
      <c r="E80" s="1788" t="str">
        <f t="shared" ca="1" si="2"/>
        <v/>
      </c>
      <c r="F80" s="1428"/>
      <c r="G80" s="1428"/>
      <c r="H80" s="1764"/>
      <c r="I80" s="953" t="s">
        <v>1738</v>
      </c>
      <c r="J80" s="953" t="s">
        <v>1739</v>
      </c>
      <c r="K80" s="1316" t="str">
        <f t="shared" ca="1" si="3"/>
        <v>-</v>
      </c>
      <c r="L80" s="1317" t="str">
        <f t="shared" ca="1" si="4"/>
        <v>-</v>
      </c>
    </row>
    <row r="81" spans="1:13">
      <c r="A81">
        <v>5</v>
      </c>
      <c r="B81" s="1781" t="str">
        <f t="shared" ca="1" si="0"/>
        <v>-</v>
      </c>
      <c r="C81" s="1428"/>
      <c r="D81" s="1784" t="str">
        <f t="shared" ca="1" si="1"/>
        <v>-</v>
      </c>
      <c r="E81" s="1788" t="str">
        <f t="shared" ca="1" si="2"/>
        <v/>
      </c>
      <c r="F81" s="1428"/>
      <c r="G81" s="1428"/>
      <c r="H81" s="1764"/>
      <c r="I81" s="953" t="s">
        <v>1740</v>
      </c>
      <c r="J81" s="953" t="s">
        <v>1741</v>
      </c>
      <c r="K81" s="1316" t="str">
        <f t="shared" ca="1" si="3"/>
        <v>-</v>
      </c>
      <c r="L81" s="1317" t="str">
        <f t="shared" ca="1" si="4"/>
        <v>-</v>
      </c>
    </row>
    <row r="82" spans="1:13">
      <c r="A82">
        <v>6</v>
      </c>
      <c r="B82" s="1781" t="str">
        <f t="shared" ca="1" si="0"/>
        <v>-</v>
      </c>
      <c r="C82" s="1428"/>
      <c r="D82" s="1784" t="str">
        <f t="shared" ca="1" si="1"/>
        <v>-</v>
      </c>
      <c r="E82" s="1788" t="str">
        <f t="shared" ca="1" si="2"/>
        <v/>
      </c>
      <c r="F82" s="1428"/>
      <c r="G82" s="1428"/>
      <c r="H82" s="1764"/>
      <c r="I82" s="953" t="s">
        <v>1742</v>
      </c>
      <c r="J82" s="953" t="s">
        <v>1743</v>
      </c>
      <c r="K82" s="1316" t="str">
        <f t="shared" ca="1" si="3"/>
        <v>-</v>
      </c>
      <c r="L82" s="1317" t="str">
        <f t="shared" ca="1" si="4"/>
        <v>-</v>
      </c>
    </row>
    <row r="83" spans="1:13">
      <c r="A83">
        <v>7</v>
      </c>
      <c r="B83" s="1781" t="str">
        <f t="shared" ca="1" si="0"/>
        <v>-</v>
      </c>
      <c r="C83" s="1428"/>
      <c r="D83" s="1784" t="str">
        <f t="shared" ca="1" si="1"/>
        <v>-</v>
      </c>
      <c r="E83" s="1788" t="str">
        <f t="shared" ca="1" si="2"/>
        <v/>
      </c>
      <c r="F83" s="1428"/>
      <c r="G83" s="1428"/>
      <c r="H83" s="1764"/>
      <c r="I83" s="953" t="s">
        <v>1744</v>
      </c>
      <c r="J83" s="953" t="s">
        <v>1745</v>
      </c>
      <c r="K83" s="1316" t="str">
        <f t="shared" ca="1" si="3"/>
        <v>-</v>
      </c>
      <c r="L83" s="1317" t="str">
        <f t="shared" ca="1" si="4"/>
        <v>-</v>
      </c>
    </row>
    <row r="84" spans="1:13">
      <c r="A84">
        <v>8</v>
      </c>
      <c r="B84" s="1781" t="str">
        <f t="shared" ca="1" si="0"/>
        <v>-</v>
      </c>
      <c r="C84" s="1428"/>
      <c r="D84" s="1784" t="str">
        <f t="shared" ca="1" si="1"/>
        <v>-</v>
      </c>
      <c r="E84" s="1788" t="str">
        <f t="shared" ca="1" si="2"/>
        <v/>
      </c>
      <c r="F84" s="1428"/>
      <c r="G84" s="1428"/>
      <c r="H84" s="1764"/>
      <c r="I84" s="953" t="s">
        <v>1746</v>
      </c>
      <c r="J84" s="953" t="s">
        <v>1747</v>
      </c>
      <c r="K84" s="1316" t="str">
        <f t="shared" ca="1" si="3"/>
        <v>-</v>
      </c>
      <c r="L84" s="1317" t="str">
        <f t="shared" ca="1" si="4"/>
        <v>-</v>
      </c>
    </row>
    <row r="85" spans="1:13">
      <c r="A85">
        <v>9</v>
      </c>
      <c r="B85" s="1781" t="str">
        <f t="shared" ca="1" si="0"/>
        <v>-</v>
      </c>
      <c r="C85" s="1428"/>
      <c r="D85" s="1784" t="str">
        <f t="shared" ca="1" si="1"/>
        <v>-</v>
      </c>
      <c r="E85" s="1788" t="str">
        <f t="shared" ca="1" si="2"/>
        <v/>
      </c>
      <c r="F85" s="1428"/>
      <c r="G85" s="1428"/>
      <c r="H85" s="1764"/>
      <c r="I85" s="953" t="s">
        <v>1748</v>
      </c>
      <c r="J85" s="953" t="s">
        <v>1749</v>
      </c>
      <c r="K85" s="1316" t="str">
        <f t="shared" ca="1" si="3"/>
        <v>-</v>
      </c>
      <c r="L85" s="1317" t="str">
        <f t="shared" ca="1" si="4"/>
        <v>-</v>
      </c>
    </row>
    <row r="86" spans="1:13" ht="15" thickBot="1">
      <c r="A86">
        <v>10</v>
      </c>
      <c r="B86" s="1782" t="str">
        <f t="shared" ca="1" si="0"/>
        <v>-</v>
      </c>
      <c r="C86" s="1766"/>
      <c r="D86" s="1785" t="str">
        <f t="shared" ca="1" si="1"/>
        <v>-</v>
      </c>
      <c r="E86" s="1789" t="str">
        <f t="shared" ca="1" si="2"/>
        <v/>
      </c>
      <c r="F86" s="1766"/>
      <c r="G86" s="1766"/>
      <c r="H86" s="1767"/>
      <c r="I86" s="953" t="s">
        <v>2991</v>
      </c>
      <c r="J86" s="953" t="s">
        <v>2992</v>
      </c>
      <c r="K86" s="1316" t="str">
        <f t="shared" ca="1" si="3"/>
        <v>-</v>
      </c>
      <c r="L86" s="1317" t="str">
        <f t="shared" ca="1" si="4"/>
        <v>-</v>
      </c>
    </row>
    <row r="87" spans="1:13">
      <c r="A87">
        <v>11</v>
      </c>
      <c r="B87" s="1760"/>
      <c r="C87" s="1761"/>
      <c r="D87" s="1761"/>
      <c r="E87" s="1761"/>
      <c r="F87" s="1761"/>
      <c r="G87" s="1761"/>
      <c r="H87" s="1762"/>
      <c r="I87" s="953" t="s">
        <v>1732</v>
      </c>
      <c r="J87" s="953" t="s">
        <v>1733</v>
      </c>
      <c r="K87" s="1316">
        <f>B87</f>
        <v>0</v>
      </c>
      <c r="L87" s="1317">
        <f>D87</f>
        <v>0</v>
      </c>
      <c r="M87" s="55">
        <f>G87</f>
        <v>0</v>
      </c>
    </row>
    <row r="88" spans="1:13">
      <c r="A88">
        <v>12</v>
      </c>
      <c r="B88" s="1763"/>
      <c r="C88" s="1428"/>
      <c r="D88" s="1428"/>
      <c r="E88" s="1428"/>
      <c r="F88" s="1428"/>
      <c r="G88" s="1428"/>
      <c r="H88" s="1764"/>
      <c r="I88" s="953" t="s">
        <v>1734</v>
      </c>
      <c r="J88" s="953" t="s">
        <v>1735</v>
      </c>
      <c r="K88" s="1316">
        <f t="shared" ref="K88:K96" si="5">B88</f>
        <v>0</v>
      </c>
      <c r="L88" s="1317">
        <f t="shared" ref="L88:L96" si="6">D88</f>
        <v>0</v>
      </c>
      <c r="M88" s="55">
        <f t="shared" ref="M88:M96" si="7">G88</f>
        <v>0</v>
      </c>
    </row>
    <row r="89" spans="1:13">
      <c r="A89">
        <v>13</v>
      </c>
      <c r="B89" s="1763"/>
      <c r="C89" s="1428"/>
      <c r="D89" s="1428"/>
      <c r="E89" s="1428"/>
      <c r="F89" s="1428"/>
      <c r="G89" s="1428"/>
      <c r="H89" s="1764"/>
      <c r="I89" s="953" t="s">
        <v>1736</v>
      </c>
      <c r="J89" s="953" t="s">
        <v>1737</v>
      </c>
      <c r="K89" s="1316">
        <f t="shared" si="5"/>
        <v>0</v>
      </c>
      <c r="L89" s="1317">
        <f t="shared" si="6"/>
        <v>0</v>
      </c>
      <c r="M89" s="55">
        <f t="shared" si="7"/>
        <v>0</v>
      </c>
    </row>
    <row r="90" spans="1:13">
      <c r="A90">
        <v>14</v>
      </c>
      <c r="B90" s="1763"/>
      <c r="C90" s="1428"/>
      <c r="D90" s="1428"/>
      <c r="E90" s="1428"/>
      <c r="F90" s="1428"/>
      <c r="G90" s="1428"/>
      <c r="H90" s="1764"/>
      <c r="I90" s="953" t="s">
        <v>1738</v>
      </c>
      <c r="J90" s="953" t="s">
        <v>1739</v>
      </c>
      <c r="K90" s="1316">
        <f t="shared" si="5"/>
        <v>0</v>
      </c>
      <c r="L90" s="1317">
        <f t="shared" si="6"/>
        <v>0</v>
      </c>
      <c r="M90" s="55">
        <f t="shared" si="7"/>
        <v>0</v>
      </c>
    </row>
    <row r="91" spans="1:13">
      <c r="A91">
        <v>15</v>
      </c>
      <c r="B91" s="1763"/>
      <c r="C91" s="1428"/>
      <c r="D91" s="1428"/>
      <c r="E91" s="1428"/>
      <c r="F91" s="1428"/>
      <c r="G91" s="1428"/>
      <c r="H91" s="1764"/>
      <c r="I91" s="953" t="s">
        <v>1740</v>
      </c>
      <c r="J91" s="953" t="s">
        <v>1741</v>
      </c>
      <c r="K91" s="1316">
        <f t="shared" si="5"/>
        <v>0</v>
      </c>
      <c r="L91" s="1317">
        <f t="shared" si="6"/>
        <v>0</v>
      </c>
      <c r="M91" s="55">
        <f t="shared" si="7"/>
        <v>0</v>
      </c>
    </row>
    <row r="92" spans="1:13">
      <c r="A92">
        <v>16</v>
      </c>
      <c r="B92" s="1763"/>
      <c r="C92" s="1428"/>
      <c r="D92" s="1428"/>
      <c r="E92" s="1428"/>
      <c r="F92" s="1428"/>
      <c r="G92" s="1428"/>
      <c r="H92" s="1764"/>
      <c r="I92" s="953" t="s">
        <v>1742</v>
      </c>
      <c r="J92" s="953" t="s">
        <v>1743</v>
      </c>
      <c r="K92" s="1316">
        <f t="shared" si="5"/>
        <v>0</v>
      </c>
      <c r="L92" s="1317">
        <f t="shared" si="6"/>
        <v>0</v>
      </c>
      <c r="M92" s="55">
        <f t="shared" si="7"/>
        <v>0</v>
      </c>
    </row>
    <row r="93" spans="1:13">
      <c r="A93">
        <v>17</v>
      </c>
      <c r="B93" s="1763"/>
      <c r="C93" s="1428"/>
      <c r="D93" s="1428"/>
      <c r="E93" s="1428"/>
      <c r="F93" s="1428"/>
      <c r="G93" s="1428"/>
      <c r="H93" s="1764"/>
      <c r="I93" s="953" t="s">
        <v>1744</v>
      </c>
      <c r="J93" s="953" t="s">
        <v>1745</v>
      </c>
      <c r="K93" s="1316">
        <f t="shared" si="5"/>
        <v>0</v>
      </c>
      <c r="L93" s="1317">
        <f t="shared" si="6"/>
        <v>0</v>
      </c>
      <c r="M93" s="55">
        <f t="shared" si="7"/>
        <v>0</v>
      </c>
    </row>
    <row r="94" spans="1:13">
      <c r="A94">
        <v>18</v>
      </c>
      <c r="B94" s="1763"/>
      <c r="C94" s="1428"/>
      <c r="D94" s="1428"/>
      <c r="E94" s="1428"/>
      <c r="F94" s="1428"/>
      <c r="G94" s="1428"/>
      <c r="H94" s="1764"/>
      <c r="I94" s="953" t="s">
        <v>1746</v>
      </c>
      <c r="J94" s="953" t="s">
        <v>1747</v>
      </c>
      <c r="K94" s="1316">
        <f t="shared" si="5"/>
        <v>0</v>
      </c>
      <c r="L94" s="1317">
        <f t="shared" si="6"/>
        <v>0</v>
      </c>
      <c r="M94" s="55">
        <f t="shared" si="7"/>
        <v>0</v>
      </c>
    </row>
    <row r="95" spans="1:13">
      <c r="A95">
        <v>19</v>
      </c>
      <c r="B95" s="1763"/>
      <c r="C95" s="1428"/>
      <c r="D95" s="1428"/>
      <c r="E95" s="1428"/>
      <c r="F95" s="1428"/>
      <c r="G95" s="1428"/>
      <c r="H95" s="1764"/>
      <c r="I95" s="953" t="s">
        <v>1748</v>
      </c>
      <c r="J95" s="953" t="s">
        <v>1749</v>
      </c>
      <c r="K95" s="1316">
        <f t="shared" si="5"/>
        <v>0</v>
      </c>
      <c r="L95" s="1317">
        <f t="shared" si="6"/>
        <v>0</v>
      </c>
      <c r="M95" s="55">
        <f t="shared" si="7"/>
        <v>0</v>
      </c>
    </row>
    <row r="96" spans="1:13" ht="15" thickBot="1">
      <c r="A96">
        <v>20</v>
      </c>
      <c r="B96" s="1765"/>
      <c r="C96" s="1766"/>
      <c r="D96" s="1766"/>
      <c r="E96" s="1766"/>
      <c r="F96" s="1766"/>
      <c r="G96" s="1766"/>
      <c r="H96" s="1767"/>
      <c r="I96" s="953" t="s">
        <v>2991</v>
      </c>
      <c r="J96" s="953" t="s">
        <v>2992</v>
      </c>
      <c r="K96" s="1316">
        <f t="shared" si="5"/>
        <v>0</v>
      </c>
      <c r="L96" s="1317">
        <f t="shared" si="6"/>
        <v>0</v>
      </c>
      <c r="M96" s="55">
        <f t="shared" si="7"/>
        <v>0</v>
      </c>
    </row>
    <row r="97" spans="1:12">
      <c r="H97" s="954"/>
      <c r="I97" s="954"/>
    </row>
    <row r="98" spans="1:12" ht="18">
      <c r="A98" s="951" t="s">
        <v>1750</v>
      </c>
      <c r="B98" s="77"/>
      <c r="C98" s="943"/>
      <c r="D98" s="943"/>
      <c r="E98" s="943"/>
      <c r="F98" s="943"/>
      <c r="H98" s="954"/>
      <c r="I98" s="954"/>
    </row>
    <row r="99" spans="1:12" ht="18">
      <c r="A99" s="823"/>
      <c r="B99" s="246"/>
      <c r="C99" s="2213" t="s">
        <v>1751</v>
      </c>
      <c r="D99" s="2213"/>
      <c r="E99" s="2213"/>
      <c r="H99" s="954"/>
      <c r="I99" s="954"/>
    </row>
    <row r="100" spans="1:12" ht="69" customHeight="1">
      <c r="B100" s="952" t="s">
        <v>692</v>
      </c>
      <c r="C100" s="952" t="s">
        <v>1305</v>
      </c>
      <c r="D100" s="952" t="s">
        <v>1314</v>
      </c>
      <c r="E100" s="952" t="s">
        <v>1322</v>
      </c>
      <c r="F100" s="952" t="s">
        <v>2159</v>
      </c>
      <c r="G100" s="952" t="s">
        <v>1729</v>
      </c>
      <c r="H100" s="1676" t="s">
        <v>1280</v>
      </c>
      <c r="I100" s="1676" t="s">
        <v>1731</v>
      </c>
    </row>
    <row r="101" spans="1:12">
      <c r="A101">
        <v>1</v>
      </c>
      <c r="B101" s="1429"/>
      <c r="C101" s="1428"/>
      <c r="D101" s="1428"/>
      <c r="E101" s="1428"/>
      <c r="F101" s="1428"/>
      <c r="G101" s="1428"/>
      <c r="H101" s="1428"/>
      <c r="I101" s="1428"/>
      <c r="K101" s="1316">
        <f>B101</f>
        <v>0</v>
      </c>
      <c r="L101" s="55">
        <f>H101</f>
        <v>0</v>
      </c>
    </row>
    <row r="102" spans="1:12">
      <c r="A102">
        <v>2</v>
      </c>
      <c r="B102" s="1430"/>
      <c r="C102" s="1428"/>
      <c r="D102" s="1428"/>
      <c r="E102" s="1428"/>
      <c r="F102" s="1428"/>
      <c r="G102" s="1428"/>
      <c r="H102" s="1428"/>
      <c r="I102" s="1428"/>
      <c r="K102" s="1316">
        <f t="shared" ref="K102:K110" si="8">B102</f>
        <v>0</v>
      </c>
      <c r="L102" s="55">
        <f t="shared" ref="L102:L110" si="9">H102</f>
        <v>0</v>
      </c>
    </row>
    <row r="103" spans="1:12">
      <c r="A103">
        <v>3</v>
      </c>
      <c r="B103" s="1430"/>
      <c r="C103" s="1428"/>
      <c r="D103" s="1428"/>
      <c r="E103" s="1428"/>
      <c r="F103" s="1428"/>
      <c r="G103" s="1428"/>
      <c r="H103" s="1428"/>
      <c r="I103" s="1428"/>
      <c r="K103" s="1316">
        <f t="shared" si="8"/>
        <v>0</v>
      </c>
      <c r="L103" s="55">
        <f t="shared" si="9"/>
        <v>0</v>
      </c>
    </row>
    <row r="104" spans="1:12">
      <c r="A104">
        <v>4</v>
      </c>
      <c r="B104" s="1430"/>
      <c r="C104" s="1428"/>
      <c r="D104" s="1428"/>
      <c r="E104" s="1428"/>
      <c r="F104" s="1428"/>
      <c r="G104" s="1428"/>
      <c r="H104" s="1428"/>
      <c r="I104" s="1428"/>
      <c r="K104" s="1316">
        <f t="shared" si="8"/>
        <v>0</v>
      </c>
      <c r="L104" s="55">
        <f t="shared" si="9"/>
        <v>0</v>
      </c>
    </row>
    <row r="105" spans="1:12">
      <c r="A105">
        <v>5</v>
      </c>
      <c r="B105" s="1430"/>
      <c r="C105" s="1428"/>
      <c r="D105" s="1428"/>
      <c r="E105" s="1428"/>
      <c r="F105" s="1428"/>
      <c r="G105" s="1428"/>
      <c r="H105" s="1428"/>
      <c r="I105" s="1428"/>
      <c r="K105" s="1316">
        <f t="shared" si="8"/>
        <v>0</v>
      </c>
      <c r="L105" s="55">
        <f t="shared" si="9"/>
        <v>0</v>
      </c>
    </row>
    <row r="106" spans="1:12">
      <c r="A106">
        <v>6</v>
      </c>
      <c r="B106" s="1430"/>
      <c r="C106" s="1428"/>
      <c r="D106" s="1428"/>
      <c r="E106" s="1428"/>
      <c r="F106" s="1428"/>
      <c r="G106" s="1428"/>
      <c r="H106" s="1428"/>
      <c r="I106" s="1428"/>
      <c r="K106" s="1316">
        <f t="shared" si="8"/>
        <v>0</v>
      </c>
      <c r="L106" s="55">
        <f t="shared" si="9"/>
        <v>0</v>
      </c>
    </row>
    <row r="107" spans="1:12">
      <c r="A107">
        <v>7</v>
      </c>
      <c r="B107" s="1430"/>
      <c r="C107" s="1428"/>
      <c r="D107" s="1428"/>
      <c r="E107" s="1428"/>
      <c r="F107" s="1428"/>
      <c r="G107" s="1428"/>
      <c r="H107" s="1428"/>
      <c r="I107" s="1428"/>
      <c r="K107" s="1316">
        <f t="shared" si="8"/>
        <v>0</v>
      </c>
      <c r="L107" s="55">
        <f t="shared" si="9"/>
        <v>0</v>
      </c>
    </row>
    <row r="108" spans="1:12">
      <c r="A108">
        <v>8</v>
      </c>
      <c r="B108" s="1430"/>
      <c r="C108" s="1428"/>
      <c r="D108" s="1428"/>
      <c r="E108" s="1428"/>
      <c r="F108" s="1428"/>
      <c r="G108" s="1428"/>
      <c r="H108" s="1428"/>
      <c r="I108" s="1428"/>
      <c r="K108" s="1316">
        <f t="shared" si="8"/>
        <v>0</v>
      </c>
      <c r="L108" s="55">
        <f t="shared" si="9"/>
        <v>0</v>
      </c>
    </row>
    <row r="109" spans="1:12">
      <c r="A109">
        <v>9</v>
      </c>
      <c r="B109" s="1430"/>
      <c r="C109" s="1428"/>
      <c r="D109" s="1428"/>
      <c r="E109" s="1428"/>
      <c r="F109" s="1428"/>
      <c r="G109" s="1428"/>
      <c r="H109" s="1428"/>
      <c r="I109" s="1428"/>
      <c r="K109" s="1316">
        <f t="shared" si="8"/>
        <v>0</v>
      </c>
      <c r="L109" s="55">
        <f t="shared" si="9"/>
        <v>0</v>
      </c>
    </row>
    <row r="110" spans="1:12">
      <c r="A110">
        <v>10</v>
      </c>
      <c r="B110" s="1430"/>
      <c r="C110" s="1428"/>
      <c r="D110" s="1428"/>
      <c r="E110" s="1428"/>
      <c r="F110" s="1428"/>
      <c r="G110" s="1428"/>
      <c r="H110" s="1428"/>
      <c r="I110" s="1428"/>
      <c r="K110" s="1316">
        <f t="shared" si="8"/>
        <v>0</v>
      </c>
      <c r="L110" s="55">
        <f t="shared" si="9"/>
        <v>0</v>
      </c>
    </row>
    <row r="111" spans="1:12">
      <c r="F111" s="875"/>
      <c r="H111" s="954"/>
      <c r="I111" s="954"/>
    </row>
    <row r="112" spans="1:12" ht="15.6">
      <c r="B112" s="827"/>
      <c r="C112" s="876"/>
      <c r="D112" s="829"/>
      <c r="F112" s="875"/>
      <c r="G112" s="875"/>
      <c r="H112" s="954"/>
      <c r="I112" s="954"/>
    </row>
    <row r="113" spans="1:9">
      <c r="A113" s="190"/>
      <c r="B113" s="190"/>
      <c r="C113" s="190"/>
      <c r="D113" s="190"/>
      <c r="E113" s="190"/>
      <c r="F113" s="190"/>
      <c r="G113" s="190"/>
      <c r="H113" s="190"/>
      <c r="I113" s="190"/>
    </row>
  </sheetData>
  <sheetProtection algorithmName="SHA-512" hashValue="pmBbu3WJoWbYwqnSJ+JV6OyBMNZm/9LGvhK2f8rElzLTbVIfOkWdddBUPSZBgWq1XeB9MnPpr9DCflaDqIejGg==" saltValue="pVyZrj8jvRWNhjcgV3CbGw==" spinCount="100000" sheet="1" formatColumns="0" formatRows="0"/>
  <mergeCells count="57">
    <mergeCell ref="A72:G72"/>
    <mergeCell ref="C99:E99"/>
    <mergeCell ref="B55:D55"/>
    <mergeCell ref="B56:D56"/>
    <mergeCell ref="B57:D57"/>
    <mergeCell ref="B58:D58"/>
    <mergeCell ref="B59:D59"/>
    <mergeCell ref="B60:D60"/>
    <mergeCell ref="B61:D61"/>
    <mergeCell ref="B62:D62"/>
    <mergeCell ref="B63:D63"/>
    <mergeCell ref="B64:D64"/>
    <mergeCell ref="B65:D65"/>
    <mergeCell ref="B66:D66"/>
    <mergeCell ref="B67:D67"/>
    <mergeCell ref="B54:D54"/>
    <mergeCell ref="B43:F43"/>
    <mergeCell ref="C45:D45"/>
    <mergeCell ref="E45:F45"/>
    <mergeCell ref="A46:F46"/>
    <mergeCell ref="B47:F47"/>
    <mergeCell ref="B48:F48"/>
    <mergeCell ref="A49:F49"/>
    <mergeCell ref="A50:F50"/>
    <mergeCell ref="A51:F51"/>
    <mergeCell ref="B52:D52"/>
    <mergeCell ref="B53:D53"/>
    <mergeCell ref="B38:F38"/>
    <mergeCell ref="B39:F39"/>
    <mergeCell ref="D40:F40"/>
    <mergeCell ref="B41:F41"/>
    <mergeCell ref="B42:C42"/>
    <mergeCell ref="E42:F42"/>
    <mergeCell ref="B37:F37"/>
    <mergeCell ref="B22:F22"/>
    <mergeCell ref="B23:F23"/>
    <mergeCell ref="B24:F24"/>
    <mergeCell ref="B25:F25"/>
    <mergeCell ref="B32:F32"/>
    <mergeCell ref="B33:F33"/>
    <mergeCell ref="B34:F34"/>
    <mergeCell ref="B35:F35"/>
    <mergeCell ref="B36:F36"/>
    <mergeCell ref="A26:A30"/>
    <mergeCell ref="B31:F31"/>
    <mergeCell ref="B16:F16"/>
    <mergeCell ref="B17:F17"/>
    <mergeCell ref="A18:F18"/>
    <mergeCell ref="B19:F19"/>
    <mergeCell ref="B20:F20"/>
    <mergeCell ref="B21:F21"/>
    <mergeCell ref="B15:F15"/>
    <mergeCell ref="A3:D3"/>
    <mergeCell ref="E7:F7"/>
    <mergeCell ref="E8:F8"/>
    <mergeCell ref="B13:F13"/>
    <mergeCell ref="B14:F14"/>
  </mergeCells>
  <phoneticPr fontId="188" type="noConversion"/>
  <conditionalFormatting sqref="B13:F13">
    <cfRule type="expression" dxfId="144" priority="48">
      <formula>ISBLANK(B13)</formula>
    </cfRule>
  </conditionalFormatting>
  <conditionalFormatting sqref="B15:F15 B16">
    <cfRule type="expression" dxfId="143" priority="47">
      <formula>ISBLANK(B15)</formula>
    </cfRule>
  </conditionalFormatting>
  <conditionalFormatting sqref="B17:F17">
    <cfRule type="expression" dxfId="142" priority="46">
      <formula>ISBLANK(B17)</formula>
    </cfRule>
  </conditionalFormatting>
  <conditionalFormatting sqref="B45">
    <cfRule type="expression" dxfId="141" priority="45" stopIfTrue="1">
      <formula>ISBLANK($C$41)</formula>
    </cfRule>
  </conditionalFormatting>
  <conditionalFormatting sqref="B42">
    <cfRule type="expression" dxfId="140" priority="44" stopIfTrue="1">
      <formula>ISBLANK($C$41)</formula>
    </cfRule>
  </conditionalFormatting>
  <conditionalFormatting sqref="E45">
    <cfRule type="expression" dxfId="139" priority="43" stopIfTrue="1">
      <formula>ISBLANK($G$45)</formula>
    </cfRule>
  </conditionalFormatting>
  <conditionalFormatting sqref="B48">
    <cfRule type="expression" dxfId="138" priority="32" stopIfTrue="1">
      <formula>ISBLANK($C$41)</formula>
    </cfRule>
  </conditionalFormatting>
  <conditionalFormatting sqref="E42">
    <cfRule type="expression" dxfId="137" priority="31" stopIfTrue="1">
      <formula>ISBLANK($G$45)</formula>
    </cfRule>
  </conditionalFormatting>
  <conditionalFormatting sqref="B11">
    <cfRule type="expression" dxfId="136" priority="30">
      <formula>ISBLANK(B11)</formula>
    </cfRule>
  </conditionalFormatting>
  <conditionalFormatting sqref="F10">
    <cfRule type="expression" dxfId="135" priority="19">
      <formula>$F$2="OUI"</formula>
    </cfRule>
    <cfRule type="expression" dxfId="134" priority="29">
      <formula>ISBLANK(F10)</formula>
    </cfRule>
  </conditionalFormatting>
  <conditionalFormatting sqref="B20:B21">
    <cfRule type="expression" dxfId="133" priority="28">
      <formula>ISBLANK(B20)</formula>
    </cfRule>
  </conditionalFormatting>
  <conditionalFormatting sqref="B27:B30">
    <cfRule type="expression" dxfId="132" priority="27">
      <formula>ISBLANK(B27)</formula>
    </cfRule>
  </conditionalFormatting>
  <conditionalFormatting sqref="F26:F30 D26:D30">
    <cfRule type="expression" dxfId="131" priority="26">
      <formula>ISBLANK(D26)</formula>
    </cfRule>
  </conditionalFormatting>
  <conditionalFormatting sqref="B32:B33">
    <cfRule type="expression" dxfId="130" priority="25">
      <formula>ISBLANK(B32)</formula>
    </cfRule>
  </conditionalFormatting>
  <conditionalFormatting sqref="E53:G60 A53:B60">
    <cfRule type="expression" dxfId="129" priority="24">
      <formula>ISBLANK(A53)</formula>
    </cfRule>
  </conditionalFormatting>
  <conditionalFormatting sqref="A10:D11">
    <cfRule type="expression" dxfId="128" priority="21">
      <formula>$F$3="OUI"</formula>
    </cfRule>
  </conditionalFormatting>
  <conditionalFormatting sqref="E10">
    <cfRule type="expression" dxfId="127" priority="20">
      <formula>$F$2="OUI"</formula>
    </cfRule>
  </conditionalFormatting>
  <conditionalFormatting sqref="B37:F37">
    <cfRule type="expression" dxfId="126" priority="18">
      <formula>ISBLANK(B37)</formula>
    </cfRule>
  </conditionalFormatting>
  <conditionalFormatting sqref="F101:F110">
    <cfRule type="expression" dxfId="125" priority="17">
      <formula>ISBLANK(F101)</formula>
    </cfRule>
  </conditionalFormatting>
  <conditionalFormatting sqref="B101">
    <cfRule type="expression" dxfId="124" priority="16">
      <formula>ISBLANK(B101)</formula>
    </cfRule>
  </conditionalFormatting>
  <conditionalFormatting sqref="D102:D110">
    <cfRule type="expression" dxfId="123" priority="15">
      <formula>ISBLANK(D102)</formula>
    </cfRule>
  </conditionalFormatting>
  <conditionalFormatting sqref="G101:G110">
    <cfRule type="expression" dxfId="122" priority="14">
      <formula>ISBLANK(G101)</formula>
    </cfRule>
  </conditionalFormatting>
  <conditionalFormatting sqref="B102:C110">
    <cfRule type="expression" dxfId="121" priority="13">
      <formula>ISBLANK(B102)</formula>
    </cfRule>
  </conditionalFormatting>
  <conditionalFormatting sqref="C101">
    <cfRule type="expression" dxfId="120" priority="12">
      <formula>ISBLANK(C101)</formula>
    </cfRule>
  </conditionalFormatting>
  <conditionalFormatting sqref="D101">
    <cfRule type="expression" dxfId="119" priority="11">
      <formula>ISBLANK(D101)</formula>
    </cfRule>
  </conditionalFormatting>
  <conditionalFormatting sqref="E102:E110">
    <cfRule type="expression" dxfId="118" priority="10">
      <formula>ISBLANK(E102)</formula>
    </cfRule>
  </conditionalFormatting>
  <conditionalFormatting sqref="E101">
    <cfRule type="expression" dxfId="117" priority="9">
      <formula>ISBLANK(E101)</formula>
    </cfRule>
  </conditionalFormatting>
  <conditionalFormatting sqref="H101:H110">
    <cfRule type="expression" dxfId="116" priority="8">
      <formula>ISBLANK(H101)</formula>
    </cfRule>
  </conditionalFormatting>
  <conditionalFormatting sqref="B101:H110">
    <cfRule type="expression" dxfId="115" priority="6">
      <formula>ISBLANK(B101)</formula>
    </cfRule>
  </conditionalFormatting>
  <conditionalFormatting sqref="I101:I110">
    <cfRule type="expression" dxfId="114" priority="5">
      <formula>ISBLANK(I101)</formula>
    </cfRule>
  </conditionalFormatting>
  <conditionalFormatting sqref="A61:B67 E61:E67 G61:G67">
    <cfRule type="expression" dxfId="113" priority="4">
      <formula>ISBLANK(A61)</formula>
    </cfRule>
  </conditionalFormatting>
  <conditionalFormatting sqref="F61:F67">
    <cfRule type="expression" dxfId="112" priority="3">
      <formula>ISBLANK(F61)</formula>
    </cfRule>
  </conditionalFormatting>
  <conditionalFormatting sqref="C77:C86 E77:H86">
    <cfRule type="expression" dxfId="111" priority="2">
      <formula>ISBLANK(C77)</formula>
    </cfRule>
  </conditionalFormatting>
  <conditionalFormatting sqref="B87:H96">
    <cfRule type="expression" dxfId="110" priority="1">
      <formula>ISBLANK(B87)</formula>
    </cfRule>
  </conditionalFormatting>
  <dataValidations count="13">
    <dataValidation type="list" allowBlank="1" showInputMessage="1" showErrorMessage="1" sqref="D40:F40" xr:uid="{D859A327-F895-4CBB-8BA3-AB66BB47BF4E}">
      <formula1>DEPENSE</formula1>
    </dataValidation>
    <dataValidation type="list" showInputMessage="1" showErrorMessage="1" sqref="D26:D30" xr:uid="{D8691D90-1638-4DEA-A1FE-45E624531CD7}">
      <formula1>Parties_prenantes</formula1>
    </dataValidation>
    <dataValidation type="list" allowBlank="1" showInputMessage="1" showErrorMessage="1" sqref="B11" xr:uid="{25BF7189-86F1-4577-B5C4-B8877A86C2DE}">
      <formula1>Axe_precarite</formula1>
    </dataValidation>
    <dataValidation type="list" showInputMessage="1" showErrorMessage="1" sqref="F10" xr:uid="{86490B9D-2D30-44CF-BC41-F360BB14252A}">
      <formula1>Risque</formula1>
    </dataValidation>
    <dataValidation type="list" showInputMessage="1" showErrorMessage="1" sqref="G53:G60" xr:uid="{73F0894D-781E-4EA1-95B6-02F9024B6830}">
      <formula1>Avancement</formula1>
    </dataValidation>
    <dataValidation type="list" showInputMessage="1" showErrorMessage="1" sqref="H101:H110" xr:uid="{37D1AF7D-BF4A-4174-A221-7D1EAB4565BE}">
      <formula1>Etat</formula1>
    </dataValidation>
    <dataValidation type="list" showInputMessage="1" showErrorMessage="1" sqref="I101:I110 H77:H96" xr:uid="{DEFD73CE-5D29-4D7C-8BA3-950AFEBE591A}">
      <formula1>selection</formula1>
    </dataValidation>
    <dataValidation type="list" showInputMessage="1" showErrorMessage="1" sqref="F101:F110 F53:F60 E87:E96" xr:uid="{4DB461D6-50C6-4F38-B498-BA48221ABA5A}">
      <formula1>Année</formula1>
    </dataValidation>
    <dataValidation type="decimal" operator="greaterThanOrEqual" allowBlank="1" showInputMessage="1" showErrorMessage="1" sqref="E53:E60" xr:uid="{DB0C19D0-1611-4D94-921B-5B02374C8F20}">
      <formula1>0</formula1>
    </dataValidation>
    <dataValidation type="list" allowBlank="1" showInputMessage="1" showErrorMessage="1" sqref="G61:G67" xr:uid="{DF192E1B-22E2-4AB0-A946-19B42F05CC5D}">
      <formula1>Avancement</formula1>
    </dataValidation>
    <dataValidation type="decimal" allowBlank="1" showInputMessage="1" showErrorMessage="1" sqref="E61:E67" xr:uid="{85E9DBD7-EF2F-4722-9FDB-CCBFCD6E971E}">
      <formula1>0</formula1>
      <formula2>365</formula2>
    </dataValidation>
    <dataValidation type="list" showInputMessage="1" showErrorMessage="1" error="Veuillez sélectionner une année dans le menu déroulant" sqref="F61:F67" xr:uid="{D506C146-4ED0-4F84-BFCB-030F4FB48DA1}">
      <formula1>Année</formula1>
    </dataValidation>
    <dataValidation type="decimal" operator="greaterThan" allowBlank="1" showInputMessage="1" showErrorMessage="1" sqref="G77:G96" xr:uid="{8A9E0AB3-D4F7-4891-8FA3-34B45F16A0A8}">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329025" r:id="rId3" name="Check Box 1">
              <controlPr locked="0" defaultSize="0" autoFill="0" autoLine="0" autoPict="0">
                <anchor moveWithCells="1">
                  <from>
                    <xdr:col>1</xdr:col>
                    <xdr:colOff>350520</xdr:colOff>
                    <xdr:row>21</xdr:row>
                    <xdr:rowOff>137160</xdr:rowOff>
                  </from>
                  <to>
                    <xdr:col>1</xdr:col>
                    <xdr:colOff>632460</xdr:colOff>
                    <xdr:row>21</xdr:row>
                    <xdr:rowOff>365760</xdr:rowOff>
                  </to>
                </anchor>
              </controlPr>
            </control>
          </mc:Choice>
        </mc:AlternateContent>
        <mc:AlternateContent xmlns:mc="http://schemas.openxmlformats.org/markup-compatibility/2006">
          <mc:Choice Requires="x14">
            <control shapeId="51329026" r:id="rId4" name="Check Box 2">
              <controlPr locked="0" defaultSize="0" autoFill="0" autoLine="0" autoPict="0">
                <anchor moveWithCells="1">
                  <from>
                    <xdr:col>1</xdr:col>
                    <xdr:colOff>350520</xdr:colOff>
                    <xdr:row>21</xdr:row>
                    <xdr:rowOff>464820</xdr:rowOff>
                  </from>
                  <to>
                    <xdr:col>1</xdr:col>
                    <xdr:colOff>632460</xdr:colOff>
                    <xdr:row>21</xdr:row>
                    <xdr:rowOff>693420</xdr:rowOff>
                  </to>
                </anchor>
              </controlPr>
            </control>
          </mc:Choice>
        </mc:AlternateContent>
        <mc:AlternateContent xmlns:mc="http://schemas.openxmlformats.org/markup-compatibility/2006">
          <mc:Choice Requires="x14">
            <control shapeId="51329027" r:id="rId5" name="Check Box 3">
              <controlPr locked="0" defaultSize="0" autoFill="0" autoLine="0" autoPict="0">
                <anchor moveWithCells="1">
                  <from>
                    <xdr:col>1</xdr:col>
                    <xdr:colOff>335280</xdr:colOff>
                    <xdr:row>21</xdr:row>
                    <xdr:rowOff>822960</xdr:rowOff>
                  </from>
                  <to>
                    <xdr:col>1</xdr:col>
                    <xdr:colOff>617220</xdr:colOff>
                    <xdr:row>21</xdr:row>
                    <xdr:rowOff>1051560</xdr:rowOff>
                  </to>
                </anchor>
              </controlPr>
            </control>
          </mc:Choice>
        </mc:AlternateContent>
        <mc:AlternateContent xmlns:mc="http://schemas.openxmlformats.org/markup-compatibility/2006">
          <mc:Choice Requires="x14">
            <control shapeId="51329028" r:id="rId6" name="Check Box 4">
              <controlPr locked="0" defaultSize="0" autoFill="0" autoLine="0" autoPict="0">
                <anchor moveWithCells="1">
                  <from>
                    <xdr:col>1</xdr:col>
                    <xdr:colOff>2346960</xdr:colOff>
                    <xdr:row>21</xdr:row>
                    <xdr:rowOff>137160</xdr:rowOff>
                  </from>
                  <to>
                    <xdr:col>2</xdr:col>
                    <xdr:colOff>274320</xdr:colOff>
                    <xdr:row>21</xdr:row>
                    <xdr:rowOff>365760</xdr:rowOff>
                  </to>
                </anchor>
              </controlPr>
            </control>
          </mc:Choice>
        </mc:AlternateContent>
        <mc:AlternateContent xmlns:mc="http://schemas.openxmlformats.org/markup-compatibility/2006">
          <mc:Choice Requires="x14">
            <control shapeId="51329029" r:id="rId7" name="Check Box 5">
              <controlPr locked="0" defaultSize="0" autoFill="0" autoLine="0" autoPict="0">
                <anchor moveWithCells="1">
                  <from>
                    <xdr:col>1</xdr:col>
                    <xdr:colOff>2346960</xdr:colOff>
                    <xdr:row>21</xdr:row>
                    <xdr:rowOff>464820</xdr:rowOff>
                  </from>
                  <to>
                    <xdr:col>2</xdr:col>
                    <xdr:colOff>274320</xdr:colOff>
                    <xdr:row>21</xdr:row>
                    <xdr:rowOff>693420</xdr:rowOff>
                  </to>
                </anchor>
              </controlPr>
            </control>
          </mc:Choice>
        </mc:AlternateContent>
        <mc:AlternateContent xmlns:mc="http://schemas.openxmlformats.org/markup-compatibility/2006">
          <mc:Choice Requires="x14">
            <control shapeId="51329030" r:id="rId8" name="Check Box 6">
              <controlPr locked="0" defaultSize="0" autoFill="0" autoLine="0" autoPict="0">
                <anchor moveWithCells="1">
                  <from>
                    <xdr:col>1</xdr:col>
                    <xdr:colOff>2346960</xdr:colOff>
                    <xdr:row>21</xdr:row>
                    <xdr:rowOff>822960</xdr:rowOff>
                  </from>
                  <to>
                    <xdr:col>2</xdr:col>
                    <xdr:colOff>274320</xdr:colOff>
                    <xdr:row>21</xdr:row>
                    <xdr:rowOff>1051560</xdr:rowOff>
                  </to>
                </anchor>
              </controlPr>
            </control>
          </mc:Choice>
        </mc:AlternateContent>
        <mc:AlternateContent xmlns:mc="http://schemas.openxmlformats.org/markup-compatibility/2006">
          <mc:Choice Requires="x14">
            <control shapeId="51329031" r:id="rId9" name="Check Box 7">
              <controlPr locked="0" defaultSize="0" autoFill="0" autoLine="0" autoPict="0">
                <anchor moveWithCells="1">
                  <from>
                    <xdr:col>2</xdr:col>
                    <xdr:colOff>1981200</xdr:colOff>
                    <xdr:row>21</xdr:row>
                    <xdr:rowOff>137160</xdr:rowOff>
                  </from>
                  <to>
                    <xdr:col>3</xdr:col>
                    <xdr:colOff>22860</xdr:colOff>
                    <xdr:row>21</xdr:row>
                    <xdr:rowOff>365760</xdr:rowOff>
                  </to>
                </anchor>
              </controlPr>
            </control>
          </mc:Choice>
        </mc:AlternateContent>
        <mc:AlternateContent xmlns:mc="http://schemas.openxmlformats.org/markup-compatibility/2006">
          <mc:Choice Requires="x14">
            <control shapeId="51329032" r:id="rId10" name="Check Box 8">
              <controlPr locked="0" defaultSize="0" autoFill="0" autoLine="0" autoPict="0">
                <anchor moveWithCells="1">
                  <from>
                    <xdr:col>2</xdr:col>
                    <xdr:colOff>1988820</xdr:colOff>
                    <xdr:row>21</xdr:row>
                    <xdr:rowOff>464820</xdr:rowOff>
                  </from>
                  <to>
                    <xdr:col>3</xdr:col>
                    <xdr:colOff>22860</xdr:colOff>
                    <xdr:row>21</xdr:row>
                    <xdr:rowOff>693420</xdr:rowOff>
                  </to>
                </anchor>
              </controlPr>
            </control>
          </mc:Choice>
        </mc:AlternateContent>
        <mc:AlternateContent xmlns:mc="http://schemas.openxmlformats.org/markup-compatibility/2006">
          <mc:Choice Requires="x14">
            <control shapeId="51329033" r:id="rId11" name="Check Box 9">
              <controlPr locked="0" defaultSize="0" autoFill="0" autoLine="0" autoPict="0">
                <anchor moveWithCells="1">
                  <from>
                    <xdr:col>2</xdr:col>
                    <xdr:colOff>2004060</xdr:colOff>
                    <xdr:row>21</xdr:row>
                    <xdr:rowOff>822960</xdr:rowOff>
                  </from>
                  <to>
                    <xdr:col>3</xdr:col>
                    <xdr:colOff>30480</xdr:colOff>
                    <xdr:row>21</xdr:row>
                    <xdr:rowOff>1051560</xdr:rowOff>
                  </to>
                </anchor>
              </controlPr>
            </control>
          </mc:Choice>
        </mc:AlternateContent>
        <mc:AlternateContent xmlns:mc="http://schemas.openxmlformats.org/markup-compatibility/2006">
          <mc:Choice Requires="x14">
            <control shapeId="51329034" r:id="rId12" name="Check Box 10">
              <controlPr locked="0" defaultSize="0" autoFill="0" autoLine="0" autoPict="0">
                <anchor moveWithCells="1">
                  <from>
                    <xdr:col>3</xdr:col>
                    <xdr:colOff>1737360</xdr:colOff>
                    <xdr:row>21</xdr:row>
                    <xdr:rowOff>137160</xdr:rowOff>
                  </from>
                  <to>
                    <xdr:col>4</xdr:col>
                    <xdr:colOff>0</xdr:colOff>
                    <xdr:row>21</xdr:row>
                    <xdr:rowOff>365760</xdr:rowOff>
                  </to>
                </anchor>
              </controlPr>
            </control>
          </mc:Choice>
        </mc:AlternateContent>
        <mc:AlternateContent xmlns:mc="http://schemas.openxmlformats.org/markup-compatibility/2006">
          <mc:Choice Requires="x14">
            <control shapeId="51329035" r:id="rId13" name="Check Box 11">
              <controlPr locked="0" defaultSize="0" autoFill="0" autoLine="0" autoPict="0">
                <anchor moveWithCells="1">
                  <from>
                    <xdr:col>3</xdr:col>
                    <xdr:colOff>1737360</xdr:colOff>
                    <xdr:row>21</xdr:row>
                    <xdr:rowOff>464820</xdr:rowOff>
                  </from>
                  <to>
                    <xdr:col>4</xdr:col>
                    <xdr:colOff>0</xdr:colOff>
                    <xdr:row>21</xdr:row>
                    <xdr:rowOff>693420</xdr:rowOff>
                  </to>
                </anchor>
              </controlPr>
            </control>
          </mc:Choice>
        </mc:AlternateContent>
        <mc:AlternateContent xmlns:mc="http://schemas.openxmlformats.org/markup-compatibility/2006">
          <mc:Choice Requires="x14">
            <control shapeId="51329036" r:id="rId14" name="Check Box 12">
              <controlPr locked="0" defaultSize="0" autoFill="0" autoLine="0" autoPict="0">
                <anchor moveWithCells="1">
                  <from>
                    <xdr:col>3</xdr:col>
                    <xdr:colOff>1744980</xdr:colOff>
                    <xdr:row>21</xdr:row>
                    <xdr:rowOff>822960</xdr:rowOff>
                  </from>
                  <to>
                    <xdr:col>4</xdr:col>
                    <xdr:colOff>0</xdr:colOff>
                    <xdr:row>21</xdr:row>
                    <xdr:rowOff>1051560</xdr:rowOff>
                  </to>
                </anchor>
              </controlPr>
            </control>
          </mc:Choice>
        </mc:AlternateContent>
        <mc:AlternateContent xmlns:mc="http://schemas.openxmlformats.org/markup-compatibility/2006">
          <mc:Choice Requires="x14">
            <control shapeId="51329037" r:id="rId15" name="Check Box 13">
              <controlPr locked="0" defaultSize="0" autoFill="0" autoLine="0" autoPict="0">
                <anchor moveWithCells="1">
                  <from>
                    <xdr:col>4</xdr:col>
                    <xdr:colOff>1668780</xdr:colOff>
                    <xdr:row>21</xdr:row>
                    <xdr:rowOff>137160</xdr:rowOff>
                  </from>
                  <to>
                    <xdr:col>4</xdr:col>
                    <xdr:colOff>1950720</xdr:colOff>
                    <xdr:row>21</xdr:row>
                    <xdr:rowOff>365760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A7B5A-FC75-4FD1-A964-2FB377159EAE}">
  <sheetPr codeName="Feuil49">
    <tabColor rgb="FF92D050"/>
  </sheetPr>
  <dimension ref="A1:S113"/>
  <sheetViews>
    <sheetView showGridLines="0" zoomScale="80" zoomScaleNormal="80" workbookViewId="0"/>
  </sheetViews>
  <sheetFormatPr baseColWidth="10" defaultColWidth="11.44140625" defaultRowHeight="14.4"/>
  <cols>
    <col min="1" max="1" width="45.88671875" customWidth="1"/>
    <col min="2" max="2" width="34.44140625" customWidth="1"/>
    <col min="3" max="3" width="32.5546875" customWidth="1"/>
    <col min="4" max="4" width="30.109375" customWidth="1"/>
    <col min="5" max="5" width="39.44140625" customWidth="1"/>
    <col min="6" max="6" width="19.44140625" bestFit="1" customWidth="1"/>
    <col min="7" max="7" width="23.88671875" customWidth="1"/>
    <col min="8" max="8" width="22" customWidth="1"/>
    <col min="9" max="9" width="17.88671875" customWidth="1"/>
  </cols>
  <sheetData>
    <row r="1" spans="1:9" ht="15" thickBot="1"/>
    <row r="2" spans="1:9" ht="18.600000000000001" thickBot="1">
      <c r="E2" s="914" t="s">
        <v>708</v>
      </c>
      <c r="F2" s="1772" t="str">
        <f ca="1">IF('Rapportage POLLEC'!D8='Action POLLEC 4'!E2,"OUI","")</f>
        <v/>
      </c>
      <c r="G2" s="915"/>
      <c r="H2" s="915"/>
      <c r="I2" s="915"/>
    </row>
    <row r="3" spans="1:9" ht="26.4" thickBot="1">
      <c r="A3" s="2214" t="str">
        <f ca="1">"Action clé 4: "&amp;IF(ISERROR(INDIRECT("'"&amp;$F6&amp;"'!b$13")),"-",INDIRECT("'"&amp;$F6&amp;"'!b$13"))</f>
        <v>Action clé 4: -</v>
      </c>
      <c r="B3" s="2214"/>
      <c r="C3" s="2214"/>
      <c r="D3" s="2215"/>
      <c r="E3" s="916" t="s">
        <v>327</v>
      </c>
      <c r="F3" s="1772" t="str">
        <f ca="1">IF('Rapportage POLLEC'!D8='Action POLLEC 4'!E3,"OUI","")</f>
        <v/>
      </c>
      <c r="G3" s="915"/>
      <c r="H3" s="915"/>
      <c r="I3" s="915"/>
    </row>
    <row r="4" spans="1:9" ht="15.9" customHeight="1" thickBot="1">
      <c r="A4" s="809"/>
      <c r="B4" s="809"/>
      <c r="C4" s="809"/>
      <c r="D4" s="809"/>
      <c r="E4" s="917" t="s">
        <v>1276</v>
      </c>
      <c r="F4" s="1773" t="str">
        <f ca="1">IF('Rapportage POLLEC'!E8="x","OUI","")</f>
        <v/>
      </c>
      <c r="G4" s="915"/>
      <c r="H4" s="915"/>
      <c r="I4" s="915"/>
    </row>
    <row r="5" spans="1:9" ht="26.4" thickBot="1">
      <c r="A5" s="894"/>
      <c r="B5" s="894"/>
      <c r="C5" s="894"/>
      <c r="D5" s="894"/>
      <c r="E5" s="915"/>
      <c r="F5" s="918"/>
      <c r="G5" s="915"/>
      <c r="H5" s="915"/>
      <c r="I5" s="915"/>
    </row>
    <row r="6" spans="1:9" ht="18.600000000000001" thickBot="1">
      <c r="A6" s="919" t="s">
        <v>103</v>
      </c>
      <c r="B6" s="920"/>
      <c r="C6" s="920"/>
      <c r="D6" s="920"/>
      <c r="E6" s="921" t="s">
        <v>1682</v>
      </c>
      <c r="F6" s="1772" t="str">
        <f ca="1">'Rapportage POLLEC'!C8</f>
        <v/>
      </c>
      <c r="G6" s="915"/>
      <c r="H6" s="915"/>
      <c r="I6" s="915"/>
    </row>
    <row r="7" spans="1:9" ht="18.600000000000001" thickBot="1">
      <c r="A7" s="1786" t="str">
        <f ca="1">IF(ISERROR(INDIRECT("'"&amp;$F6&amp;"'!A5")),"-",INDIRECT("'"&amp;$F6&amp;"'!A5"))</f>
        <v>-</v>
      </c>
      <c r="B7" s="920"/>
      <c r="C7" s="920"/>
      <c r="D7" s="920"/>
      <c r="E7" s="2148" t="s">
        <v>717</v>
      </c>
      <c r="F7" s="2149"/>
      <c r="G7" s="915"/>
      <c r="H7" s="915"/>
      <c r="I7" s="915"/>
    </row>
    <row r="8" spans="1:9" ht="18.600000000000001" thickBot="1">
      <c r="A8" s="920"/>
      <c r="B8" s="923"/>
      <c r="C8" s="923"/>
      <c r="D8" s="923"/>
      <c r="E8" s="2150" t="str">
        <f ca="1">IF(ISERROR(INDIRECT("'"&amp;$F6&amp;"'!e6")),"-",INDIRECT("'"&amp;$F6&amp;"'!e6"))</f>
        <v>-</v>
      </c>
      <c r="F8" s="2151"/>
      <c r="G8" s="915"/>
      <c r="H8" s="915"/>
      <c r="I8" s="915"/>
    </row>
    <row r="9" spans="1:9" ht="23.1" customHeight="1" thickBot="1">
      <c r="A9" s="924"/>
      <c r="B9" s="878"/>
      <c r="C9" s="923"/>
      <c r="D9" s="923"/>
      <c r="E9" s="879"/>
      <c r="F9" s="879"/>
      <c r="G9" s="915"/>
      <c r="H9" s="915"/>
      <c r="I9" s="915"/>
    </row>
    <row r="10" spans="1:9" ht="18.600000000000001" thickBot="1">
      <c r="A10" s="922" t="s">
        <v>1683</v>
      </c>
      <c r="B10" s="1770" t="str">
        <f ca="1">IF(ISERROR(INDIRECT("'"&amp;$F6&amp;"'!b$9")),"-",INDIRECT("'"&amp;$F6&amp;"'!b$9"))</f>
        <v>-</v>
      </c>
      <c r="C10" s="922" t="s">
        <v>1684</v>
      </c>
      <c r="D10" s="1771" t="str">
        <f ca="1">IF(ISERROR(INDIRECT("'"&amp;$F6&amp;"'!d$9")),"-",INDIRECT("'"&amp;$F6&amp;"'!d$9"))</f>
        <v>-</v>
      </c>
      <c r="E10" s="955" t="s">
        <v>1685</v>
      </c>
      <c r="F10" s="893"/>
      <c r="G10" s="915"/>
      <c r="H10" s="915"/>
      <c r="I10" s="915"/>
    </row>
    <row r="11" spans="1:9" ht="18.600000000000001" thickBot="1">
      <c r="A11" s="926" t="s">
        <v>1686</v>
      </c>
      <c r="B11" s="925"/>
      <c r="C11" s="927"/>
      <c r="D11" s="927"/>
      <c r="E11" s="927"/>
      <c r="F11" s="927"/>
      <c r="G11" s="915"/>
      <c r="H11" s="915"/>
      <c r="I11" s="915"/>
    </row>
    <row r="12" spans="1:9" ht="18.600000000000001" thickBot="1">
      <c r="A12" s="812"/>
      <c r="B12" s="928"/>
      <c r="C12" s="928"/>
      <c r="D12" s="928"/>
      <c r="E12" s="877"/>
      <c r="F12" s="877"/>
      <c r="G12" s="915"/>
      <c r="H12" s="915"/>
      <c r="I12" s="915"/>
    </row>
    <row r="13" spans="1:9" ht="39.9" customHeight="1" thickBot="1">
      <c r="A13" s="929" t="s">
        <v>724</v>
      </c>
      <c r="B13" s="2152" t="str">
        <f ca="1">IF(ISERROR(INDIRECT("'"&amp;$F6&amp;"'!b$13")),"-",INDIRECT("'"&amp;$F6&amp;"'!b$13"))</f>
        <v>-</v>
      </c>
      <c r="C13" s="2153"/>
      <c r="D13" s="2153"/>
      <c r="E13" s="2153"/>
      <c r="F13" s="2154"/>
      <c r="G13" s="915"/>
      <c r="H13" s="915"/>
      <c r="I13" s="915"/>
    </row>
    <row r="14" spans="1:9" ht="29.4" hidden="1" customHeight="1" thickBot="1">
      <c r="A14" s="930" t="s">
        <v>1687</v>
      </c>
      <c r="B14" s="2155"/>
      <c r="C14" s="2155"/>
      <c r="D14" s="2155"/>
      <c r="E14" s="2155"/>
      <c r="F14" s="2155"/>
      <c r="G14" s="915"/>
      <c r="H14" s="915"/>
      <c r="I14" s="915"/>
    </row>
    <row r="15" spans="1:9" ht="70.5" hidden="1" customHeight="1">
      <c r="A15" s="931" t="s">
        <v>1688</v>
      </c>
      <c r="B15" s="2156"/>
      <c r="C15" s="2157"/>
      <c r="D15" s="2157"/>
      <c r="E15" s="2157"/>
      <c r="F15" s="2158"/>
      <c r="G15" s="915"/>
      <c r="H15" s="915"/>
      <c r="I15" s="915"/>
    </row>
    <row r="16" spans="1:9" ht="43.8" hidden="1" thickBot="1">
      <c r="A16" s="932" t="s">
        <v>1689</v>
      </c>
      <c r="B16" s="2159"/>
      <c r="C16" s="2160"/>
      <c r="D16" s="2160"/>
      <c r="E16" s="2160"/>
      <c r="F16" s="2161"/>
      <c r="G16" s="915"/>
      <c r="H16" s="915"/>
      <c r="I16" s="915"/>
    </row>
    <row r="17" spans="1:19" ht="43.8" hidden="1" thickBot="1">
      <c r="A17" s="932" t="s">
        <v>1690</v>
      </c>
      <c r="B17" s="2162"/>
      <c r="C17" s="2163"/>
      <c r="D17" s="2163"/>
      <c r="E17" s="2163"/>
      <c r="F17" s="2164"/>
      <c r="G17" s="915"/>
      <c r="H17" s="915"/>
      <c r="I17" s="915"/>
    </row>
    <row r="18" spans="1:19" ht="18.600000000000001" thickBot="1">
      <c r="A18" s="2165"/>
      <c r="B18" s="2165"/>
      <c r="C18" s="2165"/>
      <c r="D18" s="2165"/>
      <c r="E18" s="2165"/>
      <c r="F18" s="2165"/>
      <c r="G18" s="915"/>
      <c r="H18" s="915"/>
      <c r="I18" s="915"/>
    </row>
    <row r="19" spans="1:19" ht="58.35" customHeight="1">
      <c r="A19" s="933" t="s">
        <v>1691</v>
      </c>
      <c r="B19" s="2166" t="str">
        <f ca="1">IF(ISERROR(INDIRECT("'"&amp;$F6&amp;"'!b$14")),"-",INDIRECT("'"&amp;$F6&amp;"'!b$14"))</f>
        <v>-</v>
      </c>
      <c r="C19" s="2167"/>
      <c r="D19" s="2167"/>
      <c r="E19" s="2167"/>
      <c r="F19" s="2168"/>
      <c r="G19" s="915"/>
      <c r="H19" s="915"/>
      <c r="I19" s="915"/>
    </row>
    <row r="20" spans="1:19" ht="34.5" customHeight="1">
      <c r="A20" s="1410" t="s">
        <v>1692</v>
      </c>
      <c r="B20" s="2169"/>
      <c r="C20" s="2170"/>
      <c r="D20" s="2170"/>
      <c r="E20" s="2170"/>
      <c r="F20" s="2171"/>
      <c r="G20" s="915"/>
      <c r="H20" s="915"/>
      <c r="I20" s="915"/>
    </row>
    <row r="21" spans="1:19" ht="52.8" customHeight="1">
      <c r="A21" s="1410" t="s">
        <v>1693</v>
      </c>
      <c r="B21" s="2169"/>
      <c r="C21" s="2170"/>
      <c r="D21" s="2170"/>
      <c r="E21" s="2170"/>
      <c r="F21" s="2171"/>
      <c r="G21" s="1757" t="str">
        <f ca="1">IF(ISERROR(INDIRECT("'"&amp;$F6&amp;"'!b$16")),"-",INDIRECT("'"&amp;$F6&amp;"'!b$16"))&amp;" - "&amp;IF(ISERROR(INDIRECT("'"&amp;$F6&amp;"'!c$16")),"-",INDIRECT("'"&amp;$F6&amp;"'!c$16"))&amp;" - "&amp;IF(ISERROR(INDIRECT("'"&amp;$F6&amp;"'!d$16")),"-",INDIRECT("'"&amp;$F6&amp;"'!d$16"))&amp;" - "&amp;IF(ISERROR(INDIRECT("'"&amp;$F6&amp;"'!e$16")),"-",INDIRECT("'"&amp;$F6&amp;"'!e$16"))&amp;" - "&amp;IF(ISERROR(INDIRECT("'"&amp;$F6&amp;"'!f$16")),"-",INDIRECT("'"&amp;$F6&amp;"'!f$16"))</f>
        <v>- - - - - - - - -</v>
      </c>
      <c r="H21" s="934" t="s">
        <v>1695</v>
      </c>
      <c r="I21" s="934" t="s">
        <v>1696</v>
      </c>
      <c r="J21" s="935" t="s">
        <v>1697</v>
      </c>
      <c r="K21" s="935" t="s">
        <v>1698</v>
      </c>
      <c r="L21" s="935" t="s">
        <v>1699</v>
      </c>
      <c r="M21" s="935" t="s">
        <v>1700</v>
      </c>
      <c r="N21" s="935" t="s">
        <v>1701</v>
      </c>
      <c r="O21" s="935" t="s">
        <v>1702</v>
      </c>
      <c r="P21" s="935" t="s">
        <v>1703</v>
      </c>
      <c r="Q21" s="935" t="s">
        <v>1704</v>
      </c>
      <c r="R21" s="935" t="s">
        <v>157</v>
      </c>
      <c r="S21" s="935" t="s">
        <v>661</v>
      </c>
    </row>
    <row r="22" spans="1:19" s="913" customFormat="1" ht="98.1" customHeight="1" thickBot="1">
      <c r="A22" s="1414" t="s">
        <v>1705</v>
      </c>
      <c r="B22" s="2223"/>
      <c r="C22" s="2224"/>
      <c r="D22" s="2224"/>
      <c r="E22" s="2224"/>
      <c r="F22" s="2225"/>
      <c r="G22" s="911" t="b">
        <v>0</v>
      </c>
      <c r="H22" s="911" t="b">
        <v>0</v>
      </c>
      <c r="I22" s="911" t="b">
        <v>0</v>
      </c>
      <c r="J22" s="912" t="b">
        <v>0</v>
      </c>
      <c r="K22" s="912"/>
      <c r="L22" s="912" t="b">
        <v>0</v>
      </c>
      <c r="M22" s="912"/>
      <c r="N22" s="912" t="b">
        <v>0</v>
      </c>
      <c r="O22" s="912"/>
      <c r="P22" s="912" t="b">
        <v>0</v>
      </c>
      <c r="Q22" s="912" t="b">
        <v>0</v>
      </c>
      <c r="R22" s="912"/>
      <c r="S22" s="912" t="b">
        <v>0</v>
      </c>
    </row>
    <row r="23" spans="1:19" ht="29.4" customHeight="1" thickBot="1">
      <c r="A23" s="930" t="s">
        <v>1706</v>
      </c>
      <c r="B23" s="2155"/>
      <c r="C23" s="2155"/>
      <c r="D23" s="2155"/>
      <c r="E23" s="2155"/>
      <c r="F23" s="2155"/>
      <c r="G23" s="915"/>
      <c r="H23" s="915"/>
      <c r="I23" s="915"/>
    </row>
    <row r="24" spans="1:19" ht="18">
      <c r="A24" s="936" t="s">
        <v>1074</v>
      </c>
      <c r="B24" s="2175" t="str">
        <f ca="1">IF(ISERROR(INDIRECT("'"&amp;$F6&amp;"'!b$16")),"-",INDIRECT("'"&amp;$F6&amp;"'!b$17"))</f>
        <v>-</v>
      </c>
      <c r="C24" s="2167"/>
      <c r="D24" s="2167"/>
      <c r="E24" s="2167"/>
      <c r="F24" s="2168"/>
      <c r="G24" s="915"/>
      <c r="H24" s="915"/>
      <c r="I24" s="915"/>
    </row>
    <row r="25" spans="1:19" ht="18">
      <c r="A25" s="1415" t="s">
        <v>728</v>
      </c>
      <c r="B25" s="2176" t="str">
        <f ca="1">IF(ISERROR(INDIRECT("'"&amp;$F6&amp;"'!b$17")),"-",INDIRECT("'"&amp;$F6&amp;"'!b$18"))</f>
        <v>-</v>
      </c>
      <c r="C25" s="2177"/>
      <c r="D25" s="2177"/>
      <c r="E25" s="2177"/>
      <c r="F25" s="2178"/>
      <c r="G25" s="915"/>
      <c r="H25" s="915"/>
      <c r="I25" s="915"/>
    </row>
    <row r="26" spans="1:19" ht="28.8">
      <c r="A26" s="2179" t="s">
        <v>1707</v>
      </c>
      <c r="B26" s="1774" t="str">
        <f ca="1">IF(ISERROR(INDIRECT("'"&amp;$F6&amp;"'!b$18")),"-",INDIRECT("'"&amp;$F6&amp;"'!b$19"))</f>
        <v>-</v>
      </c>
      <c r="C26" s="1416" t="s">
        <v>1708</v>
      </c>
      <c r="D26" s="1412"/>
      <c r="E26" s="1417" t="s">
        <v>1709</v>
      </c>
      <c r="F26" s="1413"/>
      <c r="G26" s="915"/>
      <c r="H26" s="915"/>
      <c r="I26" s="915"/>
    </row>
    <row r="27" spans="1:19" ht="28.8">
      <c r="A27" s="2180"/>
      <c r="B27" s="1411"/>
      <c r="C27" s="1416" t="s">
        <v>1708</v>
      </c>
      <c r="D27" s="1412"/>
      <c r="E27" s="1417" t="s">
        <v>1709</v>
      </c>
      <c r="F27" s="1413"/>
      <c r="G27" s="915"/>
      <c r="H27" s="915"/>
      <c r="I27" s="915"/>
    </row>
    <row r="28" spans="1:19" ht="28.8">
      <c r="A28" s="2180"/>
      <c r="B28" s="1411"/>
      <c r="C28" s="1416" t="s">
        <v>1708</v>
      </c>
      <c r="D28" s="1412"/>
      <c r="E28" s="1417" t="s">
        <v>1709</v>
      </c>
      <c r="F28" s="1413"/>
      <c r="G28" s="915"/>
      <c r="H28" s="915"/>
      <c r="I28" s="915"/>
    </row>
    <row r="29" spans="1:19" ht="28.8">
      <c r="A29" s="2180"/>
      <c r="B29" s="1411"/>
      <c r="C29" s="1416" t="s">
        <v>1708</v>
      </c>
      <c r="D29" s="1412"/>
      <c r="E29" s="1417" t="s">
        <v>1709</v>
      </c>
      <c r="F29" s="1413"/>
      <c r="G29" s="915"/>
      <c r="H29" s="915"/>
      <c r="I29" s="915"/>
    </row>
    <row r="30" spans="1:19" ht="29.4" thickBot="1">
      <c r="A30" s="2181"/>
      <c r="B30" s="1411"/>
      <c r="C30" s="1418" t="s">
        <v>1708</v>
      </c>
      <c r="D30" s="1419"/>
      <c r="E30" s="1420" t="s">
        <v>1709</v>
      </c>
      <c r="F30" s="1421"/>
      <c r="G30" s="915"/>
      <c r="H30" s="915"/>
      <c r="I30" s="915"/>
    </row>
    <row r="31" spans="1:19" ht="29.4" customHeight="1" thickBot="1">
      <c r="A31" s="930" t="s">
        <v>1710</v>
      </c>
      <c r="B31" s="2155"/>
      <c r="C31" s="2155"/>
      <c r="D31" s="2155"/>
      <c r="E31" s="2155"/>
      <c r="F31" s="2155"/>
      <c r="G31" s="915"/>
      <c r="H31" s="915"/>
      <c r="I31" s="915"/>
    </row>
    <row r="32" spans="1:19" ht="18">
      <c r="A32" s="936" t="s">
        <v>1711</v>
      </c>
      <c r="B32" s="2182"/>
      <c r="C32" s="2183"/>
      <c r="D32" s="2183"/>
      <c r="E32" s="2183"/>
      <c r="F32" s="2184"/>
      <c r="G32" s="915"/>
      <c r="H32" s="915"/>
      <c r="I32" s="915"/>
    </row>
    <row r="33" spans="1:9" ht="31.8" thickBot="1">
      <c r="A33" s="1422" t="s">
        <v>1712</v>
      </c>
      <c r="B33" s="2185"/>
      <c r="C33" s="2186"/>
      <c r="D33" s="2186"/>
      <c r="E33" s="2186"/>
      <c r="F33" s="2187"/>
      <c r="G33" s="915"/>
      <c r="H33" s="915"/>
      <c r="I33" s="915"/>
    </row>
    <row r="34" spans="1:9" ht="29.4" customHeight="1" thickBot="1">
      <c r="A34" s="930" t="s">
        <v>1240</v>
      </c>
      <c r="B34" s="2188"/>
      <c r="C34" s="2188"/>
      <c r="D34" s="2188"/>
      <c r="E34" s="2188"/>
      <c r="F34" s="2188"/>
      <c r="G34" s="915"/>
      <c r="H34" s="915"/>
      <c r="I34" s="915"/>
    </row>
    <row r="35" spans="1:9" ht="18">
      <c r="A35" s="936" t="s">
        <v>730</v>
      </c>
      <c r="B35" s="2189" t="str">
        <f ca="1">IF(ISERROR(INDIRECT("'"&amp;$F6&amp;"'!b$19")),"-",INDIRECT("'"&amp;$F6&amp;"'!b$20"))</f>
        <v>-</v>
      </c>
      <c r="C35" s="2190"/>
      <c r="D35" s="2190"/>
      <c r="E35" s="2190"/>
      <c r="F35" s="2191"/>
      <c r="G35" s="915"/>
      <c r="H35" s="915"/>
      <c r="I35" s="915"/>
    </row>
    <row r="36" spans="1:9" ht="18">
      <c r="A36" s="1415" t="s">
        <v>733</v>
      </c>
      <c r="B36" s="2192" t="str">
        <f ca="1">IF(ISERROR(INDIRECT("'"&amp;$F6&amp;"'!b$20")),"-",INDIRECT("'"&amp;$F6&amp;"'!b$21"))</f>
        <v>-</v>
      </c>
      <c r="C36" s="2193"/>
      <c r="D36" s="2193"/>
      <c r="E36" s="2193"/>
      <c r="F36" s="2194"/>
      <c r="G36" s="915"/>
      <c r="H36" s="915"/>
      <c r="I36" s="915"/>
    </row>
    <row r="37" spans="1:9" ht="18">
      <c r="A37" s="1423" t="s">
        <v>1713</v>
      </c>
      <c r="B37" s="2192" t="e">
        <f ca="1">IF(ISERROR(INDIRECT("'"&amp;$F6&amp;"'!b$21")),"-",INDIRECT("'"&amp;$F6&amp;"'!b$22"))-B38</f>
        <v>#VALUE!</v>
      </c>
      <c r="C37" s="2193"/>
      <c r="D37" s="2193"/>
      <c r="E37" s="2193"/>
      <c r="F37" s="2194"/>
      <c r="G37" s="915"/>
      <c r="H37" s="915"/>
      <c r="I37" s="915"/>
    </row>
    <row r="38" spans="1:9" ht="18.600000000000001" thickBot="1">
      <c r="A38" s="1422" t="s">
        <v>1714</v>
      </c>
      <c r="B38" s="2172">
        <f>E68</f>
        <v>0</v>
      </c>
      <c r="C38" s="2173"/>
      <c r="D38" s="2173"/>
      <c r="E38" s="2173"/>
      <c r="F38" s="2174"/>
      <c r="G38" s="915"/>
      <c r="H38" s="915"/>
      <c r="I38" s="915"/>
    </row>
    <row r="39" spans="1:9" ht="29.4" customHeight="1" thickBot="1">
      <c r="A39" s="930" t="s">
        <v>1715</v>
      </c>
      <c r="B39" s="2188"/>
      <c r="C39" s="2188"/>
      <c r="D39" s="2188"/>
      <c r="E39" s="2188"/>
      <c r="F39" s="2188"/>
      <c r="G39" s="915"/>
      <c r="H39" s="915"/>
      <c r="I39" s="915"/>
    </row>
    <row r="40" spans="1:9" ht="18">
      <c r="A40" s="937" t="s">
        <v>735</v>
      </c>
      <c r="B40" s="1775" t="str">
        <f ca="1">IF(ISERROR(INDIRECT("'"&amp;$F6&amp;"'!b$22")),"-",INDIRECT("'"&amp;$F6&amp;"'!b$23"))</f>
        <v>-</v>
      </c>
      <c r="C40" s="938" t="s">
        <v>736</v>
      </c>
      <c r="D40" s="2201" t="str">
        <f ca="1">IF(ISERROR(INDIRECT("'"&amp;$F6&amp;"'!d$22")),"-",INDIRECT("'"&amp;$F6&amp;"'!d$23"))</f>
        <v>-</v>
      </c>
      <c r="E40" s="2201"/>
      <c r="F40" s="2202"/>
      <c r="G40" s="915"/>
      <c r="H40" s="915"/>
      <c r="I40" s="915"/>
    </row>
    <row r="41" spans="1:9" ht="18">
      <c r="A41" s="1410" t="s">
        <v>737</v>
      </c>
      <c r="B41" s="2203" t="str">
        <f ca="1">IF(ISERROR(INDIRECT("'"&amp;$F6&amp;"'!b$23")),"-",INDIRECT("'"&amp;$F6&amp;"'!b$24"))</f>
        <v>-</v>
      </c>
      <c r="C41" s="2204"/>
      <c r="D41" s="2204"/>
      <c r="E41" s="2204"/>
      <c r="F41" s="2205"/>
      <c r="G41" s="915"/>
      <c r="H41" s="915"/>
      <c r="I41" s="915"/>
    </row>
    <row r="42" spans="1:9" ht="18" hidden="1">
      <c r="A42" s="1410" t="s">
        <v>1716</v>
      </c>
      <c r="B42" s="2206"/>
      <c r="C42" s="2207"/>
      <c r="D42" s="1776" t="s">
        <v>1717</v>
      </c>
      <c r="E42" s="2208"/>
      <c r="F42" s="2209"/>
      <c r="G42" s="915"/>
      <c r="H42" s="915"/>
      <c r="I42" s="915"/>
    </row>
    <row r="43" spans="1:9" ht="18">
      <c r="A43" s="1410" t="s">
        <v>738</v>
      </c>
      <c r="B43" s="2210" t="str">
        <f ca="1">IF(ISERROR(INDIRECT("'"&amp;$F6&amp;"'!b$24")),"-",INDIRECT("'"&amp;$F6&amp;"'!b$25"))</f>
        <v>-</v>
      </c>
      <c r="C43" s="2211"/>
      <c r="D43" s="2211"/>
      <c r="E43" s="2211"/>
      <c r="F43" s="2212"/>
      <c r="G43" s="915"/>
      <c r="H43" s="915"/>
      <c r="I43" s="915"/>
    </row>
    <row r="44" spans="1:9" ht="32.4" customHeight="1" thickBot="1">
      <c r="A44" s="1410" t="s">
        <v>1283</v>
      </c>
      <c r="B44" s="1777" t="str">
        <f ca="1">IF(ISERROR(INDIRECT("'"&amp;$F6&amp;"'!b$25")),"-",INDIRECT("'"&amp;$F6&amp;"'!b$26"))</f>
        <v>-</v>
      </c>
      <c r="C44" s="1425" t="s">
        <v>1718</v>
      </c>
      <c r="D44" s="1778" t="str">
        <f ca="1">IF(ISERROR(INDIRECT("'"&amp;$F6&amp;"'!d$25")),"-",INDIRECT("'"&amp;$F6&amp;"'!d$26"))</f>
        <v>-</v>
      </c>
      <c r="E44" s="1425" t="s">
        <v>741</v>
      </c>
      <c r="F44" s="1779" t="str">
        <f ca="1">IF(ISERROR(INDIRECT("'"&amp;$F6&amp;"'!f$25")),"-",INDIRECT("'"&amp;$F6&amp;"'!f$26"))</f>
        <v>-</v>
      </c>
      <c r="G44" s="915"/>
      <c r="H44" s="915"/>
      <c r="I44" s="915"/>
    </row>
    <row r="45" spans="1:9" ht="18.600000000000001" hidden="1" thickBot="1">
      <c r="A45" s="1426" t="s">
        <v>1719</v>
      </c>
      <c r="B45" s="939"/>
      <c r="C45" s="2220" t="s">
        <v>1720</v>
      </c>
      <c r="D45" s="2220"/>
      <c r="E45" s="2221"/>
      <c r="F45" s="2222"/>
      <c r="G45" s="915"/>
      <c r="H45" s="915"/>
      <c r="I45" s="915"/>
    </row>
    <row r="46" spans="1:9" ht="18.600000000000001" thickBot="1">
      <c r="A46" s="2188"/>
      <c r="B46" s="2188"/>
      <c r="C46" s="2188"/>
      <c r="D46" s="2188"/>
      <c r="E46" s="2188"/>
      <c r="F46" s="2188"/>
      <c r="G46" s="915"/>
      <c r="H46" s="915"/>
      <c r="I46" s="915"/>
    </row>
    <row r="47" spans="1:9" ht="18.600000000000001" thickBot="1">
      <c r="A47" s="940" t="s">
        <v>742</v>
      </c>
      <c r="B47" s="2195" t="str">
        <f ca="1">IF(ISERROR(INDIRECT("'"&amp;$F6&amp;"'!b$26")),"-",INDIRECT("'"&amp;$F6&amp;"'!b$27"))</f>
        <v>-</v>
      </c>
      <c r="C47" s="2196"/>
      <c r="D47" s="2196"/>
      <c r="E47" s="2196"/>
      <c r="F47" s="2197"/>
      <c r="G47" s="915"/>
      <c r="H47" s="915"/>
      <c r="I47" s="915"/>
    </row>
    <row r="48" spans="1:9" ht="18.600000000000001" hidden="1" thickBot="1">
      <c r="A48" s="940" t="s">
        <v>1721</v>
      </c>
      <c r="B48" s="2198"/>
      <c r="C48" s="2199"/>
      <c r="D48" s="2199"/>
      <c r="E48" s="2199"/>
      <c r="F48" s="2199"/>
      <c r="G48" s="915"/>
      <c r="H48" s="915"/>
      <c r="I48" s="915"/>
    </row>
    <row r="49" spans="1:9" ht="18">
      <c r="A49" s="2200"/>
      <c r="B49" s="2200"/>
      <c r="C49" s="2200"/>
      <c r="D49" s="2200"/>
      <c r="E49" s="2200"/>
      <c r="F49" s="2200"/>
      <c r="G49" s="915"/>
      <c r="H49" s="915"/>
      <c r="I49" s="915"/>
    </row>
    <row r="50" spans="1:9" ht="28.8">
      <c r="A50" s="2217" t="s">
        <v>1722</v>
      </c>
      <c r="B50" s="2217"/>
      <c r="C50" s="2217"/>
      <c r="D50" s="2217"/>
      <c r="E50" s="2217"/>
      <c r="F50" s="2217"/>
      <c r="G50" s="915"/>
      <c r="H50" s="915"/>
      <c r="I50" s="915"/>
    </row>
    <row r="51" spans="1:9" ht="15.6">
      <c r="A51" s="2218"/>
      <c r="B51" s="2218"/>
      <c r="C51" s="2218"/>
      <c r="D51" s="2218"/>
      <c r="E51" s="2218"/>
      <c r="F51" s="2218"/>
      <c r="I51" s="55"/>
    </row>
    <row r="52" spans="1:9" ht="31.2">
      <c r="A52" s="941" t="s">
        <v>77</v>
      </c>
      <c r="B52" s="2219" t="s">
        <v>1723</v>
      </c>
      <c r="C52" s="2219"/>
      <c r="D52" s="2219"/>
      <c r="E52" s="942" t="s">
        <v>1724</v>
      </c>
      <c r="F52" s="941" t="s">
        <v>2159</v>
      </c>
      <c r="G52" s="942" t="s">
        <v>1725</v>
      </c>
      <c r="H52" s="55"/>
      <c r="I52" s="55"/>
    </row>
    <row r="53" spans="1:9">
      <c r="A53" s="1427">
        <v>1</v>
      </c>
      <c r="B53" s="2141"/>
      <c r="C53" s="2142"/>
      <c r="D53" s="2143"/>
      <c r="E53" s="1428"/>
      <c r="F53" s="1666"/>
      <c r="G53" s="1428"/>
      <c r="H53" s="943"/>
      <c r="I53" s="55"/>
    </row>
    <row r="54" spans="1:9">
      <c r="A54" s="1427">
        <v>2</v>
      </c>
      <c r="B54" s="2141"/>
      <c r="C54" s="2142"/>
      <c r="D54" s="2143"/>
      <c r="E54" s="1428"/>
      <c r="F54" s="1428"/>
      <c r="G54" s="1428"/>
      <c r="H54" s="943"/>
      <c r="I54" s="55"/>
    </row>
    <row r="55" spans="1:9">
      <c r="A55" s="1427">
        <v>3</v>
      </c>
      <c r="B55" s="2141"/>
      <c r="C55" s="2142"/>
      <c r="D55" s="2143"/>
      <c r="E55" s="1428"/>
      <c r="F55" s="1428"/>
      <c r="G55" s="1428"/>
      <c r="H55" s="943"/>
      <c r="I55" s="55"/>
    </row>
    <row r="56" spans="1:9">
      <c r="A56" s="1427">
        <v>4</v>
      </c>
      <c r="B56" s="2141"/>
      <c r="C56" s="2142"/>
      <c r="D56" s="2143"/>
      <c r="E56" s="1428"/>
      <c r="F56" s="1428"/>
      <c r="G56" s="1428"/>
      <c r="H56" s="943"/>
      <c r="I56" s="55"/>
    </row>
    <row r="57" spans="1:9">
      <c r="A57" s="1427">
        <v>5</v>
      </c>
      <c r="B57" s="2141"/>
      <c r="C57" s="2142"/>
      <c r="D57" s="2143"/>
      <c r="E57" s="1428"/>
      <c r="F57" s="1428"/>
      <c r="G57" s="1428"/>
      <c r="H57" s="943"/>
      <c r="I57" s="55"/>
    </row>
    <row r="58" spans="1:9">
      <c r="A58" s="1427">
        <v>6</v>
      </c>
      <c r="B58" s="2141"/>
      <c r="C58" s="2142"/>
      <c r="D58" s="2143"/>
      <c r="E58" s="1428"/>
      <c r="F58" s="1428"/>
      <c r="G58" s="1428"/>
      <c r="H58" s="943"/>
      <c r="I58" s="55"/>
    </row>
    <row r="59" spans="1:9">
      <c r="A59" s="1427">
        <v>7</v>
      </c>
      <c r="B59" s="2141"/>
      <c r="C59" s="2142"/>
      <c r="D59" s="2143"/>
      <c r="E59" s="1428"/>
      <c r="F59" s="1428"/>
      <c r="G59" s="1428"/>
      <c r="H59" s="943"/>
      <c r="I59" s="55"/>
    </row>
    <row r="60" spans="1:9">
      <c r="A60" s="1427">
        <v>8</v>
      </c>
      <c r="B60" s="2141"/>
      <c r="C60" s="2142"/>
      <c r="D60" s="2143"/>
      <c r="E60" s="1428"/>
      <c r="F60" s="1428"/>
      <c r="G60" s="1428"/>
      <c r="H60" s="943"/>
      <c r="I60" s="55"/>
    </row>
    <row r="61" spans="1:9">
      <c r="A61" s="1427">
        <v>9</v>
      </c>
      <c r="B61" s="2141"/>
      <c r="C61" s="2142"/>
      <c r="D61" s="2143"/>
      <c r="E61" s="1428"/>
      <c r="F61" s="1750"/>
      <c r="G61" s="1428"/>
      <c r="H61" s="943"/>
      <c r="I61" s="55"/>
    </row>
    <row r="62" spans="1:9">
      <c r="A62" s="1427">
        <v>10</v>
      </c>
      <c r="B62" s="2141"/>
      <c r="C62" s="2142"/>
      <c r="D62" s="2143"/>
      <c r="E62" s="1428"/>
      <c r="F62" s="1750"/>
      <c r="G62" s="1428"/>
      <c r="H62" s="943"/>
      <c r="I62" s="55"/>
    </row>
    <row r="63" spans="1:9">
      <c r="A63" s="1427">
        <v>11</v>
      </c>
      <c r="B63" s="2141"/>
      <c r="C63" s="2142"/>
      <c r="D63" s="2143"/>
      <c r="E63" s="1428"/>
      <c r="F63" s="1750"/>
      <c r="G63" s="1428"/>
      <c r="H63" s="943"/>
      <c r="I63" s="55"/>
    </row>
    <row r="64" spans="1:9">
      <c r="A64" s="1427">
        <v>12</v>
      </c>
      <c r="B64" s="2141"/>
      <c r="C64" s="2142"/>
      <c r="D64" s="2143"/>
      <c r="E64" s="1428"/>
      <c r="F64" s="1750"/>
      <c r="G64" s="1428"/>
      <c r="H64" s="943"/>
      <c r="I64" s="55"/>
    </row>
    <row r="65" spans="1:12">
      <c r="A65" s="1427">
        <v>13</v>
      </c>
      <c r="B65" s="2141"/>
      <c r="C65" s="2142"/>
      <c r="D65" s="2143"/>
      <c r="E65" s="1428"/>
      <c r="F65" s="1750"/>
      <c r="G65" s="1428"/>
      <c r="H65" s="943"/>
      <c r="I65" s="55"/>
    </row>
    <row r="66" spans="1:12">
      <c r="A66" s="1427">
        <v>14</v>
      </c>
      <c r="B66" s="2141"/>
      <c r="C66" s="2142"/>
      <c r="D66" s="2143"/>
      <c r="E66" s="1428"/>
      <c r="F66" s="1750"/>
      <c r="G66" s="1428"/>
      <c r="H66" s="943"/>
      <c r="I66" s="55"/>
    </row>
    <row r="67" spans="1:12">
      <c r="A67" s="1427">
        <v>15</v>
      </c>
      <c r="B67" s="2141"/>
      <c r="C67" s="2142"/>
      <c r="D67" s="2143"/>
      <c r="E67" s="1428"/>
      <c r="F67" s="1750"/>
      <c r="G67" s="1428"/>
      <c r="H67" s="943"/>
      <c r="I67" s="55"/>
    </row>
    <row r="68" spans="1:12" ht="16.2" thickBot="1">
      <c r="D68" s="944" t="s">
        <v>107</v>
      </c>
      <c r="E68" s="945">
        <f>SUM(E53:E67)</f>
        <v>0</v>
      </c>
      <c r="I68" s="55"/>
    </row>
    <row r="69" spans="1:12" ht="15.6">
      <c r="D69" s="827"/>
      <c r="E69" s="77"/>
      <c r="I69" s="55"/>
    </row>
    <row r="70" spans="1:12" ht="28.8">
      <c r="A70" s="822" t="s">
        <v>1726</v>
      </c>
      <c r="B70" s="190"/>
      <c r="C70" s="190"/>
      <c r="D70" s="1298"/>
      <c r="E70" s="1299"/>
      <c r="F70" s="190"/>
      <c r="G70" s="190"/>
      <c r="I70" s="55"/>
    </row>
    <row r="71" spans="1:12" ht="28.5" customHeight="1">
      <c r="A71" s="947"/>
      <c r="B71" s="948"/>
      <c r="C71" s="948"/>
      <c r="D71" s="949"/>
      <c r="E71" s="950"/>
      <c r="F71" s="948"/>
    </row>
    <row r="72" spans="1:12" ht="77.400000000000006" customHeight="1">
      <c r="A72" s="2216" t="s">
        <v>1727</v>
      </c>
      <c r="B72" s="2216"/>
      <c r="C72" s="2216"/>
      <c r="D72" s="2216"/>
      <c r="E72" s="2216"/>
      <c r="F72" s="2216"/>
      <c r="G72" s="2216"/>
    </row>
    <row r="73" spans="1:12" ht="28.5" customHeight="1">
      <c r="A73" s="947"/>
      <c r="B73" s="948"/>
      <c r="C73" s="948"/>
      <c r="D73" s="949"/>
      <c r="E73" s="950"/>
      <c r="F73" s="948"/>
    </row>
    <row r="74" spans="1:12" ht="18">
      <c r="A74" s="951" t="s">
        <v>1728</v>
      </c>
      <c r="B74" s="948"/>
      <c r="C74" s="948"/>
      <c r="D74" s="948"/>
      <c r="E74" s="948"/>
      <c r="F74" s="948"/>
    </row>
    <row r="75" spans="1:12" ht="18">
      <c r="A75" s="823"/>
      <c r="B75" s="246"/>
    </row>
    <row r="76" spans="1:12" ht="50.4" customHeight="1" thickBot="1">
      <c r="B76" s="1768" t="s">
        <v>692</v>
      </c>
      <c r="C76" s="1768" t="s">
        <v>80</v>
      </c>
      <c r="D76" s="1768" t="s">
        <v>746</v>
      </c>
      <c r="E76" s="1768" t="s">
        <v>733</v>
      </c>
      <c r="F76" s="1768" t="s">
        <v>1729</v>
      </c>
      <c r="G76" s="1769" t="s">
        <v>1730</v>
      </c>
      <c r="H76" s="1769" t="s">
        <v>1731</v>
      </c>
      <c r="K76" s="55"/>
      <c r="L76" s="55"/>
    </row>
    <row r="77" spans="1:12">
      <c r="A77">
        <v>1</v>
      </c>
      <c r="B77" s="1780" t="str">
        <f ca="1">IF(D77=0,0,IF(ISERROR(INDIRECT("'"&amp;$F$6&amp;"'"&amp;I77)),"-",INDIRECT("'"&amp;$F$6&amp;"'"&amp;I77)))</f>
        <v>-</v>
      </c>
      <c r="C77" s="1761"/>
      <c r="D77" s="1783" t="str">
        <f ca="1">IF(ISERROR(INDIRECT("'"&amp;$F$6&amp;"'"&amp;J77)),"-",INDIRECT("'"&amp;$F$6&amp;"'"&amp;J77))</f>
        <v>-</v>
      </c>
      <c r="E77" s="1787" t="str">
        <f ca="1">IF(AND(D77&lt;&gt;0,D77&lt;&gt;"-"),B$36,"")</f>
        <v/>
      </c>
      <c r="F77" s="1761"/>
      <c r="G77" s="1761"/>
      <c r="H77" s="1762"/>
      <c r="I77" s="953" t="s">
        <v>1732</v>
      </c>
      <c r="J77" s="953" t="s">
        <v>1733</v>
      </c>
      <c r="K77" s="1316" t="str">
        <f ca="1">B77</f>
        <v>-</v>
      </c>
      <c r="L77" s="1317" t="str">
        <f ca="1">D77</f>
        <v>-</v>
      </c>
    </row>
    <row r="78" spans="1:12">
      <c r="A78">
        <v>2</v>
      </c>
      <c r="B78" s="1781" t="str">
        <f t="shared" ref="B78:B86" ca="1" si="0">IF(D78=0,0,IF(ISERROR(INDIRECT("'"&amp;$F$6&amp;"'"&amp;I78)),"-",INDIRECT("'"&amp;$F$6&amp;"'"&amp;I78)))</f>
        <v>-</v>
      </c>
      <c r="C78" s="1428"/>
      <c r="D78" s="1784" t="str">
        <f t="shared" ref="D78:D86" ca="1" si="1">IF(ISERROR(INDIRECT("'"&amp;$F$6&amp;"'"&amp;J78)),"-",INDIRECT("'"&amp;$F$6&amp;"'"&amp;J78))</f>
        <v>-</v>
      </c>
      <c r="E78" s="1788" t="str">
        <f t="shared" ref="E78:E86" ca="1" si="2">IF(AND(D78&lt;&gt;0,D78&lt;&gt;"-"),B$36,"")</f>
        <v/>
      </c>
      <c r="F78" s="1428"/>
      <c r="G78" s="1428"/>
      <c r="H78" s="1764"/>
      <c r="I78" s="953" t="s">
        <v>1734</v>
      </c>
      <c r="J78" s="953" t="s">
        <v>1735</v>
      </c>
      <c r="K78" s="1316" t="str">
        <f t="shared" ref="K78:K86" ca="1" si="3">B78</f>
        <v>-</v>
      </c>
      <c r="L78" s="1317" t="str">
        <f t="shared" ref="L78:L86" ca="1" si="4">D78</f>
        <v>-</v>
      </c>
    </row>
    <row r="79" spans="1:12">
      <c r="A79">
        <v>3</v>
      </c>
      <c r="B79" s="1781" t="str">
        <f t="shared" ca="1" si="0"/>
        <v>-</v>
      </c>
      <c r="C79" s="1428"/>
      <c r="D79" s="1784" t="str">
        <f t="shared" ca="1" si="1"/>
        <v>-</v>
      </c>
      <c r="E79" s="1788" t="str">
        <f t="shared" ca="1" si="2"/>
        <v/>
      </c>
      <c r="F79" s="1428"/>
      <c r="G79" s="1428"/>
      <c r="H79" s="1764"/>
      <c r="I79" s="953" t="s">
        <v>1736</v>
      </c>
      <c r="J79" s="953" t="s">
        <v>1737</v>
      </c>
      <c r="K79" s="1316" t="str">
        <f t="shared" ca="1" si="3"/>
        <v>-</v>
      </c>
      <c r="L79" s="1317" t="str">
        <f t="shared" ca="1" si="4"/>
        <v>-</v>
      </c>
    </row>
    <row r="80" spans="1:12">
      <c r="A80">
        <v>4</v>
      </c>
      <c r="B80" s="1781" t="str">
        <f t="shared" ca="1" si="0"/>
        <v>-</v>
      </c>
      <c r="C80" s="1428"/>
      <c r="D80" s="1784" t="str">
        <f t="shared" ca="1" si="1"/>
        <v>-</v>
      </c>
      <c r="E80" s="1788" t="str">
        <f t="shared" ca="1" si="2"/>
        <v/>
      </c>
      <c r="F80" s="1428"/>
      <c r="G80" s="1428"/>
      <c r="H80" s="1764"/>
      <c r="I80" s="953" t="s">
        <v>1738</v>
      </c>
      <c r="J80" s="953" t="s">
        <v>1739</v>
      </c>
      <c r="K80" s="1316" t="str">
        <f t="shared" ca="1" si="3"/>
        <v>-</v>
      </c>
      <c r="L80" s="1317" t="str">
        <f t="shared" ca="1" si="4"/>
        <v>-</v>
      </c>
    </row>
    <row r="81" spans="1:13">
      <c r="A81">
        <v>5</v>
      </c>
      <c r="B81" s="1781" t="str">
        <f t="shared" ca="1" si="0"/>
        <v>-</v>
      </c>
      <c r="C81" s="1428"/>
      <c r="D81" s="1784" t="str">
        <f t="shared" ca="1" si="1"/>
        <v>-</v>
      </c>
      <c r="E81" s="1788" t="str">
        <f t="shared" ca="1" si="2"/>
        <v/>
      </c>
      <c r="F81" s="1428"/>
      <c r="G81" s="1428"/>
      <c r="H81" s="1764"/>
      <c r="I81" s="953" t="s">
        <v>1740</v>
      </c>
      <c r="J81" s="953" t="s">
        <v>1741</v>
      </c>
      <c r="K81" s="1316" t="str">
        <f t="shared" ca="1" si="3"/>
        <v>-</v>
      </c>
      <c r="L81" s="1317" t="str">
        <f t="shared" ca="1" si="4"/>
        <v>-</v>
      </c>
    </row>
    <row r="82" spans="1:13">
      <c r="A82">
        <v>6</v>
      </c>
      <c r="B82" s="1781" t="str">
        <f t="shared" ca="1" si="0"/>
        <v>-</v>
      </c>
      <c r="C82" s="1428"/>
      <c r="D82" s="1784" t="str">
        <f t="shared" ca="1" si="1"/>
        <v>-</v>
      </c>
      <c r="E82" s="1788" t="str">
        <f t="shared" ca="1" si="2"/>
        <v/>
      </c>
      <c r="F82" s="1428"/>
      <c r="G82" s="1428"/>
      <c r="H82" s="1764"/>
      <c r="I82" s="953" t="s">
        <v>1742</v>
      </c>
      <c r="J82" s="953" t="s">
        <v>1743</v>
      </c>
      <c r="K82" s="1316" t="str">
        <f t="shared" ca="1" si="3"/>
        <v>-</v>
      </c>
      <c r="L82" s="1317" t="str">
        <f t="shared" ca="1" si="4"/>
        <v>-</v>
      </c>
    </row>
    <row r="83" spans="1:13">
      <c r="A83">
        <v>7</v>
      </c>
      <c r="B83" s="1781" t="str">
        <f t="shared" ca="1" si="0"/>
        <v>-</v>
      </c>
      <c r="C83" s="1428"/>
      <c r="D83" s="1784" t="str">
        <f t="shared" ca="1" si="1"/>
        <v>-</v>
      </c>
      <c r="E83" s="1788" t="str">
        <f t="shared" ca="1" si="2"/>
        <v/>
      </c>
      <c r="F83" s="1428"/>
      <c r="G83" s="1428"/>
      <c r="H83" s="1764"/>
      <c r="I83" s="953" t="s">
        <v>1744</v>
      </c>
      <c r="J83" s="953" t="s">
        <v>1745</v>
      </c>
      <c r="K83" s="1316" t="str">
        <f t="shared" ca="1" si="3"/>
        <v>-</v>
      </c>
      <c r="L83" s="1317" t="str">
        <f t="shared" ca="1" si="4"/>
        <v>-</v>
      </c>
    </row>
    <row r="84" spans="1:13">
      <c r="A84">
        <v>8</v>
      </c>
      <c r="B84" s="1781" t="str">
        <f t="shared" ca="1" si="0"/>
        <v>-</v>
      </c>
      <c r="C84" s="1428"/>
      <c r="D84" s="1784" t="str">
        <f t="shared" ca="1" si="1"/>
        <v>-</v>
      </c>
      <c r="E84" s="1788" t="str">
        <f t="shared" ca="1" si="2"/>
        <v/>
      </c>
      <c r="F84" s="1428"/>
      <c r="G84" s="1428"/>
      <c r="H84" s="1764"/>
      <c r="I84" s="953" t="s">
        <v>1746</v>
      </c>
      <c r="J84" s="953" t="s">
        <v>1747</v>
      </c>
      <c r="K84" s="1316" t="str">
        <f t="shared" ca="1" si="3"/>
        <v>-</v>
      </c>
      <c r="L84" s="1317" t="str">
        <f t="shared" ca="1" si="4"/>
        <v>-</v>
      </c>
    </row>
    <row r="85" spans="1:13">
      <c r="A85">
        <v>9</v>
      </c>
      <c r="B85" s="1781" t="str">
        <f t="shared" ca="1" si="0"/>
        <v>-</v>
      </c>
      <c r="C85" s="1428"/>
      <c r="D85" s="1784" t="str">
        <f t="shared" ca="1" si="1"/>
        <v>-</v>
      </c>
      <c r="E85" s="1788" t="str">
        <f t="shared" ca="1" si="2"/>
        <v/>
      </c>
      <c r="F85" s="1428"/>
      <c r="G85" s="1428"/>
      <c r="H85" s="1764"/>
      <c r="I85" s="953" t="s">
        <v>1748</v>
      </c>
      <c r="J85" s="953" t="s">
        <v>1749</v>
      </c>
      <c r="K85" s="1316" t="str">
        <f t="shared" ca="1" si="3"/>
        <v>-</v>
      </c>
      <c r="L85" s="1317" t="str">
        <f t="shared" ca="1" si="4"/>
        <v>-</v>
      </c>
    </row>
    <row r="86" spans="1:13" ht="15" thickBot="1">
      <c r="A86">
        <v>10</v>
      </c>
      <c r="B86" s="1782" t="str">
        <f t="shared" ca="1" si="0"/>
        <v>-</v>
      </c>
      <c r="C86" s="1766"/>
      <c r="D86" s="1785" t="str">
        <f t="shared" ca="1" si="1"/>
        <v>-</v>
      </c>
      <c r="E86" s="1789" t="str">
        <f t="shared" ca="1" si="2"/>
        <v/>
      </c>
      <c r="F86" s="1766"/>
      <c r="G86" s="1766"/>
      <c r="H86" s="1767"/>
      <c r="I86" s="953" t="s">
        <v>2991</v>
      </c>
      <c r="J86" s="953" t="s">
        <v>2992</v>
      </c>
      <c r="K86" s="1316" t="str">
        <f t="shared" ca="1" si="3"/>
        <v>-</v>
      </c>
      <c r="L86" s="1317" t="str">
        <f t="shared" ca="1" si="4"/>
        <v>-</v>
      </c>
    </row>
    <row r="87" spans="1:13">
      <c r="A87">
        <v>11</v>
      </c>
      <c r="B87" s="1760"/>
      <c r="C87" s="1761"/>
      <c r="D87" s="1761"/>
      <c r="E87" s="1761"/>
      <c r="F87" s="1761"/>
      <c r="G87" s="1761"/>
      <c r="H87" s="1762"/>
      <c r="I87" s="953" t="s">
        <v>1732</v>
      </c>
      <c r="J87" s="953" t="s">
        <v>1733</v>
      </c>
      <c r="K87" s="1316">
        <f>B87</f>
        <v>0</v>
      </c>
      <c r="L87" s="1317">
        <f>D87</f>
        <v>0</v>
      </c>
      <c r="M87" s="55">
        <f>G87</f>
        <v>0</v>
      </c>
    </row>
    <row r="88" spans="1:13">
      <c r="A88">
        <v>12</v>
      </c>
      <c r="B88" s="1763"/>
      <c r="C88" s="1428"/>
      <c r="D88" s="1428"/>
      <c r="E88" s="1428"/>
      <c r="F88" s="1428"/>
      <c r="G88" s="1428"/>
      <c r="H88" s="1764"/>
      <c r="I88" s="953" t="s">
        <v>1734</v>
      </c>
      <c r="J88" s="953" t="s">
        <v>1735</v>
      </c>
      <c r="K88" s="1316">
        <f t="shared" ref="K88:K96" si="5">B88</f>
        <v>0</v>
      </c>
      <c r="L88" s="1317">
        <f t="shared" ref="L88:L96" si="6">D88</f>
        <v>0</v>
      </c>
      <c r="M88" s="55">
        <f t="shared" ref="M88:M96" si="7">G88</f>
        <v>0</v>
      </c>
    </row>
    <row r="89" spans="1:13">
      <c r="A89">
        <v>13</v>
      </c>
      <c r="B89" s="1763"/>
      <c r="C89" s="1428"/>
      <c r="D89" s="1428"/>
      <c r="E89" s="1428"/>
      <c r="F89" s="1428"/>
      <c r="G89" s="1428"/>
      <c r="H89" s="1764"/>
      <c r="I89" s="953" t="s">
        <v>1736</v>
      </c>
      <c r="J89" s="953" t="s">
        <v>1737</v>
      </c>
      <c r="K89" s="1316">
        <f t="shared" si="5"/>
        <v>0</v>
      </c>
      <c r="L89" s="1317">
        <f t="shared" si="6"/>
        <v>0</v>
      </c>
      <c r="M89" s="55">
        <f t="shared" si="7"/>
        <v>0</v>
      </c>
    </row>
    <row r="90" spans="1:13">
      <c r="A90">
        <v>14</v>
      </c>
      <c r="B90" s="1763"/>
      <c r="C90" s="1428"/>
      <c r="D90" s="1428"/>
      <c r="E90" s="1428"/>
      <c r="F90" s="1428"/>
      <c r="G90" s="1428"/>
      <c r="H90" s="1764"/>
      <c r="I90" s="953" t="s">
        <v>1738</v>
      </c>
      <c r="J90" s="953" t="s">
        <v>1739</v>
      </c>
      <c r="K90" s="1316">
        <f t="shared" si="5"/>
        <v>0</v>
      </c>
      <c r="L90" s="1317">
        <f t="shared" si="6"/>
        <v>0</v>
      </c>
      <c r="M90" s="55">
        <f t="shared" si="7"/>
        <v>0</v>
      </c>
    </row>
    <row r="91" spans="1:13">
      <c r="A91">
        <v>15</v>
      </c>
      <c r="B91" s="1763"/>
      <c r="C91" s="1428"/>
      <c r="D91" s="1428"/>
      <c r="E91" s="1428"/>
      <c r="F91" s="1428"/>
      <c r="G91" s="1428"/>
      <c r="H91" s="1764"/>
      <c r="I91" s="953" t="s">
        <v>1740</v>
      </c>
      <c r="J91" s="953" t="s">
        <v>1741</v>
      </c>
      <c r="K91" s="1316">
        <f t="shared" si="5"/>
        <v>0</v>
      </c>
      <c r="L91" s="1317">
        <f t="shared" si="6"/>
        <v>0</v>
      </c>
      <c r="M91" s="55">
        <f t="shared" si="7"/>
        <v>0</v>
      </c>
    </row>
    <row r="92" spans="1:13">
      <c r="A92">
        <v>16</v>
      </c>
      <c r="B92" s="1763"/>
      <c r="C92" s="1428"/>
      <c r="D92" s="1428"/>
      <c r="E92" s="1428"/>
      <c r="F92" s="1428"/>
      <c r="G92" s="1428"/>
      <c r="H92" s="1764"/>
      <c r="I92" s="953" t="s">
        <v>1742</v>
      </c>
      <c r="J92" s="953" t="s">
        <v>1743</v>
      </c>
      <c r="K92" s="1316">
        <f t="shared" si="5"/>
        <v>0</v>
      </c>
      <c r="L92" s="1317">
        <f t="shared" si="6"/>
        <v>0</v>
      </c>
      <c r="M92" s="55">
        <f t="shared" si="7"/>
        <v>0</v>
      </c>
    </row>
    <row r="93" spans="1:13">
      <c r="A93">
        <v>17</v>
      </c>
      <c r="B93" s="1763"/>
      <c r="C93" s="1428"/>
      <c r="D93" s="1428"/>
      <c r="E93" s="1428"/>
      <c r="F93" s="1428"/>
      <c r="G93" s="1428"/>
      <c r="H93" s="1764"/>
      <c r="I93" s="953" t="s">
        <v>1744</v>
      </c>
      <c r="J93" s="953" t="s">
        <v>1745</v>
      </c>
      <c r="K93" s="1316">
        <f t="shared" si="5"/>
        <v>0</v>
      </c>
      <c r="L93" s="1317">
        <f t="shared" si="6"/>
        <v>0</v>
      </c>
      <c r="M93" s="55">
        <f t="shared" si="7"/>
        <v>0</v>
      </c>
    </row>
    <row r="94" spans="1:13">
      <c r="A94">
        <v>18</v>
      </c>
      <c r="B94" s="1763"/>
      <c r="C94" s="1428"/>
      <c r="D94" s="1428"/>
      <c r="E94" s="1428"/>
      <c r="F94" s="1428"/>
      <c r="G94" s="1428"/>
      <c r="H94" s="1764"/>
      <c r="I94" s="953" t="s">
        <v>1746</v>
      </c>
      <c r="J94" s="953" t="s">
        <v>1747</v>
      </c>
      <c r="K94" s="1316">
        <f t="shared" si="5"/>
        <v>0</v>
      </c>
      <c r="L94" s="1317">
        <f t="shared" si="6"/>
        <v>0</v>
      </c>
      <c r="M94" s="55">
        <f t="shared" si="7"/>
        <v>0</v>
      </c>
    </row>
    <row r="95" spans="1:13">
      <c r="A95">
        <v>19</v>
      </c>
      <c r="B95" s="1763"/>
      <c r="C95" s="1428"/>
      <c r="D95" s="1428"/>
      <c r="E95" s="1428"/>
      <c r="F95" s="1428"/>
      <c r="G95" s="1428"/>
      <c r="H95" s="1764"/>
      <c r="I95" s="953" t="s">
        <v>1748</v>
      </c>
      <c r="J95" s="953" t="s">
        <v>1749</v>
      </c>
      <c r="K95" s="1316">
        <f t="shared" si="5"/>
        <v>0</v>
      </c>
      <c r="L95" s="1317">
        <f t="shared" si="6"/>
        <v>0</v>
      </c>
      <c r="M95" s="55">
        <f t="shared" si="7"/>
        <v>0</v>
      </c>
    </row>
    <row r="96" spans="1:13" ht="15" thickBot="1">
      <c r="A96">
        <v>20</v>
      </c>
      <c r="B96" s="1765"/>
      <c r="C96" s="1766"/>
      <c r="D96" s="1766"/>
      <c r="E96" s="1766"/>
      <c r="F96" s="1766"/>
      <c r="G96" s="1766"/>
      <c r="H96" s="1767"/>
      <c r="I96" s="953" t="s">
        <v>2991</v>
      </c>
      <c r="J96" s="953" t="s">
        <v>2992</v>
      </c>
      <c r="K96" s="1316">
        <f t="shared" si="5"/>
        <v>0</v>
      </c>
      <c r="L96" s="1317">
        <f t="shared" si="6"/>
        <v>0</v>
      </c>
      <c r="M96" s="55">
        <f t="shared" si="7"/>
        <v>0</v>
      </c>
    </row>
    <row r="97" spans="1:12">
      <c r="H97" s="954"/>
      <c r="I97" s="954"/>
    </row>
    <row r="98" spans="1:12" ht="18">
      <c r="A98" s="951" t="s">
        <v>1750</v>
      </c>
      <c r="B98" s="77"/>
      <c r="C98" s="943"/>
      <c r="D98" s="943"/>
      <c r="E98" s="943"/>
      <c r="F98" s="943"/>
      <c r="H98" s="954"/>
      <c r="I98" s="954"/>
    </row>
    <row r="99" spans="1:12" ht="18">
      <c r="A99" s="823"/>
      <c r="B99" s="246"/>
      <c r="C99" s="2213" t="s">
        <v>1751</v>
      </c>
      <c r="D99" s="2213"/>
      <c r="E99" s="2213"/>
      <c r="H99" s="954"/>
      <c r="I99" s="954"/>
    </row>
    <row r="100" spans="1:12" ht="69" customHeight="1">
      <c r="B100" s="952" t="s">
        <v>692</v>
      </c>
      <c r="C100" s="952" t="s">
        <v>1305</v>
      </c>
      <c r="D100" s="952" t="s">
        <v>1314</v>
      </c>
      <c r="E100" s="952" t="s">
        <v>1322</v>
      </c>
      <c r="F100" s="952" t="s">
        <v>2159</v>
      </c>
      <c r="G100" s="952" t="s">
        <v>1729</v>
      </c>
      <c r="H100" s="1676" t="s">
        <v>1280</v>
      </c>
      <c r="I100" s="1676" t="s">
        <v>1731</v>
      </c>
    </row>
    <row r="101" spans="1:12">
      <c r="A101">
        <v>1</v>
      </c>
      <c r="B101" s="1429"/>
      <c r="C101" s="1428"/>
      <c r="D101" s="1428"/>
      <c r="E101" s="1428"/>
      <c r="F101" s="1428"/>
      <c r="G101" s="1428"/>
      <c r="H101" s="1428"/>
      <c r="I101" s="1428"/>
      <c r="K101" s="1316">
        <f>B101</f>
        <v>0</v>
      </c>
      <c r="L101" s="55">
        <f>H101</f>
        <v>0</v>
      </c>
    </row>
    <row r="102" spans="1:12">
      <c r="A102">
        <v>2</v>
      </c>
      <c r="B102" s="1430"/>
      <c r="C102" s="1428"/>
      <c r="D102" s="1428"/>
      <c r="E102" s="1428"/>
      <c r="F102" s="1428"/>
      <c r="G102" s="1428"/>
      <c r="H102" s="1428"/>
      <c r="I102" s="1428"/>
      <c r="K102" s="1316">
        <f t="shared" ref="K102:K110" si="8">B102</f>
        <v>0</v>
      </c>
      <c r="L102" s="55">
        <f t="shared" ref="L102:L110" si="9">H102</f>
        <v>0</v>
      </c>
    </row>
    <row r="103" spans="1:12">
      <c r="A103">
        <v>3</v>
      </c>
      <c r="B103" s="1430"/>
      <c r="C103" s="1428"/>
      <c r="D103" s="1428"/>
      <c r="E103" s="1428"/>
      <c r="F103" s="1428"/>
      <c r="G103" s="1428"/>
      <c r="H103" s="1428"/>
      <c r="I103" s="1428"/>
      <c r="K103" s="1316">
        <f t="shared" si="8"/>
        <v>0</v>
      </c>
      <c r="L103" s="55">
        <f t="shared" si="9"/>
        <v>0</v>
      </c>
    </row>
    <row r="104" spans="1:12">
      <c r="A104">
        <v>4</v>
      </c>
      <c r="B104" s="1430"/>
      <c r="C104" s="1428"/>
      <c r="D104" s="1428"/>
      <c r="E104" s="1428"/>
      <c r="F104" s="1428"/>
      <c r="G104" s="1428"/>
      <c r="H104" s="1428"/>
      <c r="I104" s="1428"/>
      <c r="K104" s="1316">
        <f t="shared" si="8"/>
        <v>0</v>
      </c>
      <c r="L104" s="55">
        <f t="shared" si="9"/>
        <v>0</v>
      </c>
    </row>
    <row r="105" spans="1:12">
      <c r="A105">
        <v>5</v>
      </c>
      <c r="B105" s="1430"/>
      <c r="C105" s="1428"/>
      <c r="D105" s="1428"/>
      <c r="E105" s="1428"/>
      <c r="F105" s="1428"/>
      <c r="G105" s="1428"/>
      <c r="H105" s="1428"/>
      <c r="I105" s="1428"/>
      <c r="K105" s="1316">
        <f t="shared" si="8"/>
        <v>0</v>
      </c>
      <c r="L105" s="55">
        <f t="shared" si="9"/>
        <v>0</v>
      </c>
    </row>
    <row r="106" spans="1:12">
      <c r="A106">
        <v>6</v>
      </c>
      <c r="B106" s="1430"/>
      <c r="C106" s="1428"/>
      <c r="D106" s="1428"/>
      <c r="E106" s="1428"/>
      <c r="F106" s="1428"/>
      <c r="G106" s="1428"/>
      <c r="H106" s="1428"/>
      <c r="I106" s="1428"/>
      <c r="K106" s="1316">
        <f t="shared" si="8"/>
        <v>0</v>
      </c>
      <c r="L106" s="55">
        <f t="shared" si="9"/>
        <v>0</v>
      </c>
    </row>
    <row r="107" spans="1:12">
      <c r="A107">
        <v>7</v>
      </c>
      <c r="B107" s="1430"/>
      <c r="C107" s="1428"/>
      <c r="D107" s="1428"/>
      <c r="E107" s="1428"/>
      <c r="F107" s="1428"/>
      <c r="G107" s="1428"/>
      <c r="H107" s="1428"/>
      <c r="I107" s="1428"/>
      <c r="K107" s="1316">
        <f t="shared" si="8"/>
        <v>0</v>
      </c>
      <c r="L107" s="55">
        <f t="shared" si="9"/>
        <v>0</v>
      </c>
    </row>
    <row r="108" spans="1:12">
      <c r="A108">
        <v>8</v>
      </c>
      <c r="B108" s="1430"/>
      <c r="C108" s="1428"/>
      <c r="D108" s="1428"/>
      <c r="E108" s="1428"/>
      <c r="F108" s="1428"/>
      <c r="G108" s="1428"/>
      <c r="H108" s="1428"/>
      <c r="I108" s="1428"/>
      <c r="K108" s="1316">
        <f t="shared" si="8"/>
        <v>0</v>
      </c>
      <c r="L108" s="55">
        <f t="shared" si="9"/>
        <v>0</v>
      </c>
    </row>
    <row r="109" spans="1:12">
      <c r="A109">
        <v>9</v>
      </c>
      <c r="B109" s="1430"/>
      <c r="C109" s="1428"/>
      <c r="D109" s="1428"/>
      <c r="E109" s="1428"/>
      <c r="F109" s="1428"/>
      <c r="G109" s="1428"/>
      <c r="H109" s="1428"/>
      <c r="I109" s="1428"/>
      <c r="K109" s="1316">
        <f t="shared" si="8"/>
        <v>0</v>
      </c>
      <c r="L109" s="55">
        <f t="shared" si="9"/>
        <v>0</v>
      </c>
    </row>
    <row r="110" spans="1:12">
      <c r="A110">
        <v>10</v>
      </c>
      <c r="B110" s="1430"/>
      <c r="C110" s="1428"/>
      <c r="D110" s="1428"/>
      <c r="E110" s="1428"/>
      <c r="F110" s="1428"/>
      <c r="G110" s="1428"/>
      <c r="H110" s="1428"/>
      <c r="I110" s="1428"/>
      <c r="K110" s="1316">
        <f t="shared" si="8"/>
        <v>0</v>
      </c>
      <c r="L110" s="55">
        <f t="shared" si="9"/>
        <v>0</v>
      </c>
    </row>
    <row r="111" spans="1:12">
      <c r="F111" s="875"/>
      <c r="H111" s="954"/>
      <c r="I111" s="954"/>
    </row>
    <row r="112" spans="1:12" ht="15.6">
      <c r="B112" s="827"/>
      <c r="C112" s="876"/>
      <c r="D112" s="829"/>
      <c r="F112" s="875"/>
      <c r="G112" s="875"/>
      <c r="H112" s="954"/>
      <c r="I112" s="954"/>
    </row>
    <row r="113" spans="1:9">
      <c r="A113" s="190"/>
      <c r="B113" s="190"/>
      <c r="C113" s="190"/>
      <c r="D113" s="190"/>
      <c r="E113" s="190"/>
      <c r="F113" s="190"/>
      <c r="G113" s="190"/>
      <c r="H113" s="190"/>
      <c r="I113" s="190"/>
    </row>
  </sheetData>
  <sheetProtection algorithmName="SHA-512" hashValue="jEV41w1MkQV4FIH5Wt8EZ3xDI5Agt2P5MHE/LKRRkFhbqFJ7OD4CriABWlNlEsUOxS0YdzOFSYfC8iZLYWFD1g==" saltValue="GvwzvsKLY6Z/ASID8AaRCA==" spinCount="100000" sheet="1" formatColumns="0" formatRows="0"/>
  <mergeCells count="57">
    <mergeCell ref="A72:G72"/>
    <mergeCell ref="C99:E99"/>
    <mergeCell ref="B55:D55"/>
    <mergeCell ref="B56:D56"/>
    <mergeCell ref="B57:D57"/>
    <mergeCell ref="B58:D58"/>
    <mergeCell ref="B59:D59"/>
    <mergeCell ref="B60:D60"/>
    <mergeCell ref="B61:D61"/>
    <mergeCell ref="B62:D62"/>
    <mergeCell ref="B63:D63"/>
    <mergeCell ref="B64:D64"/>
    <mergeCell ref="B65:D65"/>
    <mergeCell ref="B66:D66"/>
    <mergeCell ref="B67:D67"/>
    <mergeCell ref="B54:D54"/>
    <mergeCell ref="B43:F43"/>
    <mergeCell ref="C45:D45"/>
    <mergeCell ref="E45:F45"/>
    <mergeCell ref="A46:F46"/>
    <mergeCell ref="B47:F47"/>
    <mergeCell ref="B48:F48"/>
    <mergeCell ref="A49:F49"/>
    <mergeCell ref="A50:F50"/>
    <mergeCell ref="A51:F51"/>
    <mergeCell ref="B52:D52"/>
    <mergeCell ref="B53:D53"/>
    <mergeCell ref="B38:F38"/>
    <mergeCell ref="B39:F39"/>
    <mergeCell ref="D40:F40"/>
    <mergeCell ref="B41:F41"/>
    <mergeCell ref="B42:C42"/>
    <mergeCell ref="E42:F42"/>
    <mergeCell ref="B37:F37"/>
    <mergeCell ref="B22:F22"/>
    <mergeCell ref="B23:F23"/>
    <mergeCell ref="B24:F24"/>
    <mergeCell ref="B25:F25"/>
    <mergeCell ref="B32:F32"/>
    <mergeCell ref="B33:F33"/>
    <mergeCell ref="B34:F34"/>
    <mergeCell ref="B35:F35"/>
    <mergeCell ref="B36:F36"/>
    <mergeCell ref="A26:A30"/>
    <mergeCell ref="B31:F31"/>
    <mergeCell ref="B16:F16"/>
    <mergeCell ref="B17:F17"/>
    <mergeCell ref="A18:F18"/>
    <mergeCell ref="B19:F19"/>
    <mergeCell ref="B20:F20"/>
    <mergeCell ref="B21:F21"/>
    <mergeCell ref="B15:F15"/>
    <mergeCell ref="A3:D3"/>
    <mergeCell ref="E7:F7"/>
    <mergeCell ref="E8:F8"/>
    <mergeCell ref="B13:F13"/>
    <mergeCell ref="B14:F14"/>
  </mergeCells>
  <phoneticPr fontId="188" type="noConversion"/>
  <conditionalFormatting sqref="B13:F13">
    <cfRule type="expression" dxfId="109" priority="52">
      <formula>ISBLANK(B13)</formula>
    </cfRule>
  </conditionalFormatting>
  <conditionalFormatting sqref="B15:F15 B16">
    <cfRule type="expression" dxfId="108" priority="51">
      <formula>ISBLANK(B15)</formula>
    </cfRule>
  </conditionalFormatting>
  <conditionalFormatting sqref="B17:F17">
    <cfRule type="expression" dxfId="107" priority="50">
      <formula>ISBLANK(B17)</formula>
    </cfRule>
  </conditionalFormatting>
  <conditionalFormatting sqref="B45">
    <cfRule type="expression" dxfId="106" priority="49" stopIfTrue="1">
      <formula>ISBLANK($C$41)</formula>
    </cfRule>
  </conditionalFormatting>
  <conditionalFormatting sqref="B42">
    <cfRule type="expression" dxfId="105" priority="48" stopIfTrue="1">
      <formula>ISBLANK($C$41)</formula>
    </cfRule>
  </conditionalFormatting>
  <conditionalFormatting sqref="E45">
    <cfRule type="expression" dxfId="104" priority="47" stopIfTrue="1">
      <formula>ISBLANK($G$45)</formula>
    </cfRule>
  </conditionalFormatting>
  <conditionalFormatting sqref="B48">
    <cfRule type="expression" dxfId="103" priority="36" stopIfTrue="1">
      <formula>ISBLANK($C$41)</formula>
    </cfRule>
  </conditionalFormatting>
  <conditionalFormatting sqref="E42">
    <cfRule type="expression" dxfId="102" priority="35" stopIfTrue="1">
      <formula>ISBLANK($G$45)</formula>
    </cfRule>
  </conditionalFormatting>
  <conditionalFormatting sqref="B11">
    <cfRule type="expression" dxfId="101" priority="34">
      <formula>ISBLANK(B11)</formula>
    </cfRule>
  </conditionalFormatting>
  <conditionalFormatting sqref="F10">
    <cfRule type="expression" dxfId="100" priority="23">
      <formula>$F$2="OUI"</formula>
    </cfRule>
    <cfRule type="expression" dxfId="99" priority="33">
      <formula>ISBLANK(F10)</formula>
    </cfRule>
  </conditionalFormatting>
  <conditionalFormatting sqref="B20:B21">
    <cfRule type="expression" dxfId="98" priority="32">
      <formula>ISBLANK(B20)</formula>
    </cfRule>
  </conditionalFormatting>
  <conditionalFormatting sqref="B28:B30">
    <cfRule type="expression" dxfId="97" priority="31">
      <formula>ISBLANK(B28)</formula>
    </cfRule>
  </conditionalFormatting>
  <conditionalFormatting sqref="F26:F30 D26:D30">
    <cfRule type="expression" dxfId="96" priority="30">
      <formula>ISBLANK(D26)</formula>
    </cfRule>
  </conditionalFormatting>
  <conditionalFormatting sqref="B32:B33">
    <cfRule type="expression" dxfId="95" priority="29">
      <formula>ISBLANK(B32)</formula>
    </cfRule>
  </conditionalFormatting>
  <conditionalFormatting sqref="E58:G60 A53:B60 F53:F57">
    <cfRule type="expression" dxfId="94" priority="28">
      <formula>ISBLANK(A53)</formula>
    </cfRule>
  </conditionalFormatting>
  <conditionalFormatting sqref="A10:D11">
    <cfRule type="expression" dxfId="93" priority="25">
      <formula>$F$3="OUI"</formula>
    </cfRule>
  </conditionalFormatting>
  <conditionalFormatting sqref="E10">
    <cfRule type="expression" dxfId="92" priority="24">
      <formula>$F$2="OUI"</formula>
    </cfRule>
  </conditionalFormatting>
  <conditionalFormatting sqref="B37:F37">
    <cfRule type="expression" dxfId="91" priority="22">
      <formula>ISBLANK(B37)</formula>
    </cfRule>
  </conditionalFormatting>
  <conditionalFormatting sqref="B101">
    <cfRule type="expression" dxfId="90" priority="20">
      <formula>ISBLANK(B101)</formula>
    </cfRule>
  </conditionalFormatting>
  <conditionalFormatting sqref="D102:D110">
    <cfRule type="expression" dxfId="89" priority="19">
      <formula>ISBLANK(D102)</formula>
    </cfRule>
  </conditionalFormatting>
  <conditionalFormatting sqref="G101:G110">
    <cfRule type="expression" dxfId="88" priority="18">
      <formula>ISBLANK(G101)</formula>
    </cfRule>
  </conditionalFormatting>
  <conditionalFormatting sqref="B102:C110">
    <cfRule type="expression" dxfId="87" priority="17">
      <formula>ISBLANK(B102)</formula>
    </cfRule>
  </conditionalFormatting>
  <conditionalFormatting sqref="C101">
    <cfRule type="expression" dxfId="86" priority="16">
      <formula>ISBLANK(C101)</formula>
    </cfRule>
  </conditionalFormatting>
  <conditionalFormatting sqref="D101">
    <cfRule type="expression" dxfId="85" priority="15">
      <formula>ISBLANK(D101)</formula>
    </cfRule>
  </conditionalFormatting>
  <conditionalFormatting sqref="E102:E110">
    <cfRule type="expression" dxfId="84" priority="14">
      <formula>ISBLANK(E102)</formula>
    </cfRule>
  </conditionalFormatting>
  <conditionalFormatting sqref="E101">
    <cfRule type="expression" dxfId="83" priority="13">
      <formula>ISBLANK(E101)</formula>
    </cfRule>
  </conditionalFormatting>
  <conditionalFormatting sqref="H101:H110">
    <cfRule type="expression" dxfId="82" priority="12">
      <formula>ISBLANK(H101)</formula>
    </cfRule>
  </conditionalFormatting>
  <conditionalFormatting sqref="B101:E110 G101:H110">
    <cfRule type="expression" dxfId="81" priority="10">
      <formula>ISBLANK(B101)</formula>
    </cfRule>
  </conditionalFormatting>
  <conditionalFormatting sqref="I101:I110">
    <cfRule type="expression" dxfId="80" priority="9">
      <formula>ISBLANK(I101)</formula>
    </cfRule>
  </conditionalFormatting>
  <conditionalFormatting sqref="F101:F110">
    <cfRule type="expression" dxfId="79" priority="8">
      <formula>ISBLANK(F101)</formula>
    </cfRule>
  </conditionalFormatting>
  <conditionalFormatting sqref="B27">
    <cfRule type="expression" dxfId="78" priority="7">
      <formula>ISBLANK(B27)</formula>
    </cfRule>
  </conditionalFormatting>
  <conditionalFormatting sqref="E53:E57">
    <cfRule type="expression" dxfId="77" priority="6">
      <formula>ISBLANK(E53)</formula>
    </cfRule>
  </conditionalFormatting>
  <conditionalFormatting sqref="G53:G57">
    <cfRule type="expression" dxfId="76" priority="5">
      <formula>ISBLANK(G53)</formula>
    </cfRule>
  </conditionalFormatting>
  <conditionalFormatting sqref="A61:B67 E61:E67 G61:G67">
    <cfRule type="expression" dxfId="75" priority="4">
      <formula>ISBLANK(A61)</formula>
    </cfRule>
  </conditionalFormatting>
  <conditionalFormatting sqref="F61:F67">
    <cfRule type="expression" dxfId="74" priority="3">
      <formula>ISBLANK(F61)</formula>
    </cfRule>
  </conditionalFormatting>
  <conditionalFormatting sqref="C77:C86 E77:H86">
    <cfRule type="expression" dxfId="73" priority="2">
      <formula>ISBLANK(C77)</formula>
    </cfRule>
  </conditionalFormatting>
  <conditionalFormatting sqref="B87:H96">
    <cfRule type="expression" dxfId="72" priority="1">
      <formula>ISBLANK(B87)</formula>
    </cfRule>
  </conditionalFormatting>
  <dataValidations count="13">
    <dataValidation type="list" showInputMessage="1" showErrorMessage="1" sqref="G53:G60" xr:uid="{838AFE7F-444C-4C0B-A7B5-2B20340BE949}">
      <formula1>Avancement</formula1>
    </dataValidation>
    <dataValidation type="list" showInputMessage="1" showErrorMessage="1" sqref="F10" xr:uid="{482766D0-1BB8-425E-80CD-6969300E5AE4}">
      <formula1>Risque</formula1>
    </dataValidation>
    <dataValidation type="list" allowBlank="1" showInputMessage="1" showErrorMessage="1" sqref="B11" xr:uid="{41E32A48-D249-45CC-A217-A621848A573E}">
      <formula1>Axe_precarite</formula1>
    </dataValidation>
    <dataValidation type="list" showInputMessage="1" showErrorMessage="1" sqref="D26:D30" xr:uid="{DDDCE2C3-D067-4064-A8B9-0B6AF641210B}">
      <formula1>Parties_prenantes</formula1>
    </dataValidation>
    <dataValidation type="list" allowBlank="1" showInputMessage="1" showErrorMessage="1" sqref="D40:F40" xr:uid="{8CFE0F30-C1D1-4AC7-909B-4406033F04D9}">
      <formula1>DEPENSE</formula1>
    </dataValidation>
    <dataValidation type="list" showInputMessage="1" showErrorMessage="1" sqref="H101:H110" xr:uid="{7C826D8B-975C-4F4D-B174-F6D75D9E76B3}">
      <formula1>Etat</formula1>
    </dataValidation>
    <dataValidation type="list" showInputMessage="1" showErrorMessage="1" sqref="I101:I110 H77:H96" xr:uid="{8334BA36-6D5A-45F0-8432-14114E866184}">
      <formula1>selection</formula1>
    </dataValidation>
    <dataValidation type="list" showInputMessage="1" showErrorMessage="1" sqref="F101:F110 F53:F60 E87:E96" xr:uid="{60B76857-C273-448C-842F-04F7AD8A220E}">
      <formula1>Année</formula1>
    </dataValidation>
    <dataValidation type="decimal" operator="greaterThanOrEqual" showInputMessage="1" showErrorMessage="1" sqref="E53:E60" xr:uid="{9F1F4C35-266C-4517-94E6-778F90A5DEFA}">
      <formula1>0</formula1>
    </dataValidation>
    <dataValidation type="list" showInputMessage="1" showErrorMessage="1" error="Veuillez sélectionner une année dans le menu déroulant" sqref="F61:F67" xr:uid="{F1FAB974-EC58-43B1-895D-E9F82213FD21}">
      <formula1>Année</formula1>
    </dataValidation>
    <dataValidation type="decimal" allowBlank="1" showInputMessage="1" showErrorMessage="1" sqref="E61:E67" xr:uid="{F4B2F7BE-2961-47FC-8F92-7D144D34331A}">
      <formula1>0</formula1>
      <formula2>365</formula2>
    </dataValidation>
    <dataValidation type="list" allowBlank="1" showInputMessage="1" showErrorMessage="1" sqref="G61:G67" xr:uid="{442B4C5D-E3BE-4783-88F0-D0AF69749274}">
      <formula1>Avancement</formula1>
    </dataValidation>
    <dataValidation type="decimal" operator="greaterThan" allowBlank="1" showInputMessage="1" showErrorMessage="1" sqref="G77:G96" xr:uid="{838610F9-148A-4D1F-972B-0CD2474761F1}">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330049" r:id="rId3" name="Check Box 1">
              <controlPr locked="0" defaultSize="0" autoFill="0" autoLine="0" autoPict="0">
                <anchor moveWithCells="1">
                  <from>
                    <xdr:col>1</xdr:col>
                    <xdr:colOff>350520</xdr:colOff>
                    <xdr:row>21</xdr:row>
                    <xdr:rowOff>152400</xdr:rowOff>
                  </from>
                  <to>
                    <xdr:col>1</xdr:col>
                    <xdr:colOff>632460</xdr:colOff>
                    <xdr:row>21</xdr:row>
                    <xdr:rowOff>381000</xdr:rowOff>
                  </to>
                </anchor>
              </controlPr>
            </control>
          </mc:Choice>
        </mc:AlternateContent>
        <mc:AlternateContent xmlns:mc="http://schemas.openxmlformats.org/markup-compatibility/2006">
          <mc:Choice Requires="x14">
            <control shapeId="51330050" r:id="rId4" name="Check Box 2">
              <controlPr locked="0" defaultSize="0" autoFill="0" autoLine="0" autoPict="0">
                <anchor moveWithCells="1">
                  <from>
                    <xdr:col>1</xdr:col>
                    <xdr:colOff>350520</xdr:colOff>
                    <xdr:row>21</xdr:row>
                    <xdr:rowOff>480060</xdr:rowOff>
                  </from>
                  <to>
                    <xdr:col>1</xdr:col>
                    <xdr:colOff>632460</xdr:colOff>
                    <xdr:row>21</xdr:row>
                    <xdr:rowOff>708660</xdr:rowOff>
                  </to>
                </anchor>
              </controlPr>
            </control>
          </mc:Choice>
        </mc:AlternateContent>
        <mc:AlternateContent xmlns:mc="http://schemas.openxmlformats.org/markup-compatibility/2006">
          <mc:Choice Requires="x14">
            <control shapeId="51330051" r:id="rId5" name="Check Box 3">
              <controlPr locked="0" defaultSize="0" autoFill="0" autoLine="0" autoPict="0">
                <anchor moveWithCells="1">
                  <from>
                    <xdr:col>1</xdr:col>
                    <xdr:colOff>335280</xdr:colOff>
                    <xdr:row>21</xdr:row>
                    <xdr:rowOff>830580</xdr:rowOff>
                  </from>
                  <to>
                    <xdr:col>1</xdr:col>
                    <xdr:colOff>617220</xdr:colOff>
                    <xdr:row>21</xdr:row>
                    <xdr:rowOff>1059180</xdr:rowOff>
                  </to>
                </anchor>
              </controlPr>
            </control>
          </mc:Choice>
        </mc:AlternateContent>
        <mc:AlternateContent xmlns:mc="http://schemas.openxmlformats.org/markup-compatibility/2006">
          <mc:Choice Requires="x14">
            <control shapeId="51330052" r:id="rId6" name="Check Box 4">
              <controlPr locked="0" defaultSize="0" autoFill="0" autoLine="0" autoPict="0">
                <anchor moveWithCells="1">
                  <from>
                    <xdr:col>1</xdr:col>
                    <xdr:colOff>2346960</xdr:colOff>
                    <xdr:row>21</xdr:row>
                    <xdr:rowOff>152400</xdr:rowOff>
                  </from>
                  <to>
                    <xdr:col>2</xdr:col>
                    <xdr:colOff>274320</xdr:colOff>
                    <xdr:row>21</xdr:row>
                    <xdr:rowOff>381000</xdr:rowOff>
                  </to>
                </anchor>
              </controlPr>
            </control>
          </mc:Choice>
        </mc:AlternateContent>
        <mc:AlternateContent xmlns:mc="http://schemas.openxmlformats.org/markup-compatibility/2006">
          <mc:Choice Requires="x14">
            <control shapeId="51330053" r:id="rId7" name="Check Box 5">
              <controlPr locked="0" defaultSize="0" autoFill="0" autoLine="0" autoPict="0">
                <anchor moveWithCells="1">
                  <from>
                    <xdr:col>1</xdr:col>
                    <xdr:colOff>2346960</xdr:colOff>
                    <xdr:row>21</xdr:row>
                    <xdr:rowOff>480060</xdr:rowOff>
                  </from>
                  <to>
                    <xdr:col>2</xdr:col>
                    <xdr:colOff>274320</xdr:colOff>
                    <xdr:row>21</xdr:row>
                    <xdr:rowOff>708660</xdr:rowOff>
                  </to>
                </anchor>
              </controlPr>
            </control>
          </mc:Choice>
        </mc:AlternateContent>
        <mc:AlternateContent xmlns:mc="http://schemas.openxmlformats.org/markup-compatibility/2006">
          <mc:Choice Requires="x14">
            <control shapeId="51330054" r:id="rId8" name="Check Box 6">
              <controlPr locked="0" defaultSize="0" autoFill="0" autoLine="0" autoPict="0">
                <anchor moveWithCells="1">
                  <from>
                    <xdr:col>1</xdr:col>
                    <xdr:colOff>2346960</xdr:colOff>
                    <xdr:row>21</xdr:row>
                    <xdr:rowOff>830580</xdr:rowOff>
                  </from>
                  <to>
                    <xdr:col>2</xdr:col>
                    <xdr:colOff>274320</xdr:colOff>
                    <xdr:row>21</xdr:row>
                    <xdr:rowOff>1059180</xdr:rowOff>
                  </to>
                </anchor>
              </controlPr>
            </control>
          </mc:Choice>
        </mc:AlternateContent>
        <mc:AlternateContent xmlns:mc="http://schemas.openxmlformats.org/markup-compatibility/2006">
          <mc:Choice Requires="x14">
            <control shapeId="51330055" r:id="rId9" name="Check Box 7">
              <controlPr locked="0" defaultSize="0" autoFill="0" autoLine="0" autoPict="0">
                <anchor moveWithCells="1">
                  <from>
                    <xdr:col>2</xdr:col>
                    <xdr:colOff>1981200</xdr:colOff>
                    <xdr:row>21</xdr:row>
                    <xdr:rowOff>152400</xdr:rowOff>
                  </from>
                  <to>
                    <xdr:col>3</xdr:col>
                    <xdr:colOff>22860</xdr:colOff>
                    <xdr:row>21</xdr:row>
                    <xdr:rowOff>381000</xdr:rowOff>
                  </to>
                </anchor>
              </controlPr>
            </control>
          </mc:Choice>
        </mc:AlternateContent>
        <mc:AlternateContent xmlns:mc="http://schemas.openxmlformats.org/markup-compatibility/2006">
          <mc:Choice Requires="x14">
            <control shapeId="51330056" r:id="rId10" name="Check Box 8">
              <controlPr locked="0" defaultSize="0" autoFill="0" autoLine="0" autoPict="0">
                <anchor moveWithCells="1">
                  <from>
                    <xdr:col>2</xdr:col>
                    <xdr:colOff>1988820</xdr:colOff>
                    <xdr:row>21</xdr:row>
                    <xdr:rowOff>480060</xdr:rowOff>
                  </from>
                  <to>
                    <xdr:col>3</xdr:col>
                    <xdr:colOff>22860</xdr:colOff>
                    <xdr:row>21</xdr:row>
                    <xdr:rowOff>708660</xdr:rowOff>
                  </to>
                </anchor>
              </controlPr>
            </control>
          </mc:Choice>
        </mc:AlternateContent>
        <mc:AlternateContent xmlns:mc="http://schemas.openxmlformats.org/markup-compatibility/2006">
          <mc:Choice Requires="x14">
            <control shapeId="51330057" r:id="rId11" name="Check Box 9">
              <controlPr locked="0" defaultSize="0" autoFill="0" autoLine="0" autoPict="0">
                <anchor moveWithCells="1">
                  <from>
                    <xdr:col>2</xdr:col>
                    <xdr:colOff>2004060</xdr:colOff>
                    <xdr:row>21</xdr:row>
                    <xdr:rowOff>830580</xdr:rowOff>
                  </from>
                  <to>
                    <xdr:col>3</xdr:col>
                    <xdr:colOff>30480</xdr:colOff>
                    <xdr:row>21</xdr:row>
                    <xdr:rowOff>1059180</xdr:rowOff>
                  </to>
                </anchor>
              </controlPr>
            </control>
          </mc:Choice>
        </mc:AlternateContent>
        <mc:AlternateContent xmlns:mc="http://schemas.openxmlformats.org/markup-compatibility/2006">
          <mc:Choice Requires="x14">
            <control shapeId="51330058" r:id="rId12" name="Check Box 10">
              <controlPr locked="0" defaultSize="0" autoFill="0" autoLine="0" autoPict="0">
                <anchor moveWithCells="1">
                  <from>
                    <xdr:col>3</xdr:col>
                    <xdr:colOff>1737360</xdr:colOff>
                    <xdr:row>21</xdr:row>
                    <xdr:rowOff>152400</xdr:rowOff>
                  </from>
                  <to>
                    <xdr:col>4</xdr:col>
                    <xdr:colOff>0</xdr:colOff>
                    <xdr:row>21</xdr:row>
                    <xdr:rowOff>381000</xdr:rowOff>
                  </to>
                </anchor>
              </controlPr>
            </control>
          </mc:Choice>
        </mc:AlternateContent>
        <mc:AlternateContent xmlns:mc="http://schemas.openxmlformats.org/markup-compatibility/2006">
          <mc:Choice Requires="x14">
            <control shapeId="51330059" r:id="rId13" name="Check Box 11">
              <controlPr locked="0" defaultSize="0" autoFill="0" autoLine="0" autoPict="0">
                <anchor moveWithCells="1">
                  <from>
                    <xdr:col>3</xdr:col>
                    <xdr:colOff>1737360</xdr:colOff>
                    <xdr:row>21</xdr:row>
                    <xdr:rowOff>480060</xdr:rowOff>
                  </from>
                  <to>
                    <xdr:col>4</xdr:col>
                    <xdr:colOff>0</xdr:colOff>
                    <xdr:row>21</xdr:row>
                    <xdr:rowOff>708660</xdr:rowOff>
                  </to>
                </anchor>
              </controlPr>
            </control>
          </mc:Choice>
        </mc:AlternateContent>
        <mc:AlternateContent xmlns:mc="http://schemas.openxmlformats.org/markup-compatibility/2006">
          <mc:Choice Requires="x14">
            <control shapeId="51330060" r:id="rId14" name="Check Box 12">
              <controlPr locked="0" defaultSize="0" autoFill="0" autoLine="0" autoPict="0">
                <anchor moveWithCells="1">
                  <from>
                    <xdr:col>3</xdr:col>
                    <xdr:colOff>1744980</xdr:colOff>
                    <xdr:row>21</xdr:row>
                    <xdr:rowOff>830580</xdr:rowOff>
                  </from>
                  <to>
                    <xdr:col>4</xdr:col>
                    <xdr:colOff>0</xdr:colOff>
                    <xdr:row>21</xdr:row>
                    <xdr:rowOff>1059180</xdr:rowOff>
                  </to>
                </anchor>
              </controlPr>
            </control>
          </mc:Choice>
        </mc:AlternateContent>
        <mc:AlternateContent xmlns:mc="http://schemas.openxmlformats.org/markup-compatibility/2006">
          <mc:Choice Requires="x14">
            <control shapeId="51330061" r:id="rId15" name="Check Box 13">
              <controlPr locked="0" defaultSize="0" autoFill="0" autoLine="0" autoPict="0">
                <anchor moveWithCells="1">
                  <from>
                    <xdr:col>4</xdr:col>
                    <xdr:colOff>1668780</xdr:colOff>
                    <xdr:row>21</xdr:row>
                    <xdr:rowOff>152400</xdr:rowOff>
                  </from>
                  <to>
                    <xdr:col>4</xdr:col>
                    <xdr:colOff>1950720</xdr:colOff>
                    <xdr:row>21</xdr:row>
                    <xdr:rowOff>381000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D813-2035-4924-8A90-497D7E8325B0}">
  <sheetPr codeName="Feuil50">
    <tabColor rgb="FF92D050"/>
  </sheetPr>
  <dimension ref="A1:S113"/>
  <sheetViews>
    <sheetView showGridLines="0" zoomScale="80" zoomScaleNormal="80" workbookViewId="0"/>
  </sheetViews>
  <sheetFormatPr baseColWidth="10" defaultColWidth="11.44140625" defaultRowHeight="14.4"/>
  <cols>
    <col min="1" max="1" width="45.88671875" customWidth="1"/>
    <col min="2" max="2" width="34.44140625" customWidth="1"/>
    <col min="3" max="3" width="32.5546875" customWidth="1"/>
    <col min="4" max="4" width="30.109375" customWidth="1"/>
    <col min="5" max="5" width="39.44140625" customWidth="1"/>
    <col min="6" max="6" width="19.44140625" bestFit="1" customWidth="1"/>
    <col min="7" max="7" width="23.88671875" customWidth="1"/>
    <col min="8" max="8" width="22" customWidth="1"/>
    <col min="9" max="9" width="17.88671875" customWidth="1"/>
  </cols>
  <sheetData>
    <row r="1" spans="1:9" ht="15" thickBot="1"/>
    <row r="2" spans="1:9" ht="18.600000000000001" thickBot="1">
      <c r="E2" s="914" t="s">
        <v>708</v>
      </c>
      <c r="F2" s="1772" t="str">
        <f ca="1">IF('Rapportage POLLEC'!D9='Action POLLEC 5'!E2,"OUI","")</f>
        <v/>
      </c>
      <c r="G2" s="915"/>
      <c r="H2" s="915"/>
      <c r="I2" s="915"/>
    </row>
    <row r="3" spans="1:9" ht="26.4" thickBot="1">
      <c r="A3" s="2214" t="str">
        <f ca="1">"Action clé 5: "&amp;IF(ISERROR(INDIRECT("'"&amp;$F6&amp;"'!b$13")),"-",INDIRECT("'"&amp;$F6&amp;"'!b$13"))</f>
        <v>Action clé 5: -</v>
      </c>
      <c r="B3" s="2214"/>
      <c r="C3" s="2214"/>
      <c r="D3" s="2215"/>
      <c r="E3" s="916" t="s">
        <v>327</v>
      </c>
      <c r="F3" s="1772" t="str">
        <f ca="1">IF('Rapportage POLLEC'!D9='Action POLLEC 5'!E3,"OUI","")</f>
        <v/>
      </c>
      <c r="G3" s="915"/>
      <c r="H3" s="915"/>
      <c r="I3" s="915"/>
    </row>
    <row r="4" spans="1:9" ht="15.9" customHeight="1" thickBot="1">
      <c r="A4" s="809"/>
      <c r="B4" s="809"/>
      <c r="C4" s="809"/>
      <c r="D4" s="809"/>
      <c r="E4" s="917" t="s">
        <v>1276</v>
      </c>
      <c r="F4" s="1773" t="str">
        <f ca="1">IF('Rapportage POLLEC'!E9="x","OUI","")</f>
        <v/>
      </c>
      <c r="G4" s="915"/>
      <c r="H4" s="915"/>
      <c r="I4" s="915"/>
    </row>
    <row r="5" spans="1:9" ht="26.4" thickBot="1">
      <c r="A5" s="894"/>
      <c r="B5" s="894"/>
      <c r="C5" s="894"/>
      <c r="D5" s="894"/>
      <c r="E5" s="915"/>
      <c r="F5" s="918"/>
      <c r="G5" s="915"/>
      <c r="H5" s="915"/>
      <c r="I5" s="915"/>
    </row>
    <row r="6" spans="1:9" ht="18.600000000000001" thickBot="1">
      <c r="A6" s="919" t="s">
        <v>103</v>
      </c>
      <c r="B6" s="920"/>
      <c r="C6" s="920"/>
      <c r="D6" s="920"/>
      <c r="E6" s="921" t="s">
        <v>1682</v>
      </c>
      <c r="F6" s="1772" t="str">
        <f ca="1">'Rapportage POLLEC'!C9</f>
        <v/>
      </c>
      <c r="G6" s="915"/>
      <c r="H6" s="915"/>
      <c r="I6" s="915"/>
    </row>
    <row r="7" spans="1:9" ht="18.600000000000001" thickBot="1">
      <c r="A7" s="1786" t="str">
        <f ca="1">IF(ISERROR(INDIRECT("'"&amp;$F6&amp;"'!A5")),"-",INDIRECT("'"&amp;$F6&amp;"'!A5"))</f>
        <v>-</v>
      </c>
      <c r="B7" s="920"/>
      <c r="C7" s="920"/>
      <c r="D7" s="920"/>
      <c r="E7" s="2148" t="s">
        <v>717</v>
      </c>
      <c r="F7" s="2149"/>
      <c r="G7" s="915"/>
      <c r="H7" s="915"/>
      <c r="I7" s="915"/>
    </row>
    <row r="8" spans="1:9" ht="18.600000000000001" thickBot="1">
      <c r="A8" s="920"/>
      <c r="B8" s="923"/>
      <c r="C8" s="923"/>
      <c r="D8" s="923"/>
      <c r="E8" s="2150" t="str">
        <f ca="1">IF(ISERROR(INDIRECT("'"&amp;$F6&amp;"'!e6")),"-",INDIRECT("'"&amp;$F6&amp;"'!e6"))</f>
        <v>-</v>
      </c>
      <c r="F8" s="2151"/>
      <c r="G8" s="915"/>
      <c r="H8" s="915"/>
      <c r="I8" s="915"/>
    </row>
    <row r="9" spans="1:9" ht="23.1" customHeight="1" thickBot="1">
      <c r="A9" s="924"/>
      <c r="B9" s="878"/>
      <c r="C9" s="923"/>
      <c r="D9" s="923"/>
      <c r="E9" s="879"/>
      <c r="F9" s="879"/>
      <c r="G9" s="915"/>
      <c r="H9" s="915"/>
      <c r="I9" s="915"/>
    </row>
    <row r="10" spans="1:9" ht="18.600000000000001" thickBot="1">
      <c r="A10" s="922" t="s">
        <v>1683</v>
      </c>
      <c r="B10" s="1770" t="str">
        <f ca="1">IF(ISERROR(INDIRECT("'"&amp;$F6&amp;"'!b$9")),"-",INDIRECT("'"&amp;$F6&amp;"'!b$9"))</f>
        <v>-</v>
      </c>
      <c r="C10" s="922" t="s">
        <v>1684</v>
      </c>
      <c r="D10" s="1771" t="str">
        <f ca="1">IF(ISERROR(INDIRECT("'"&amp;$F6&amp;"'!d$9")),"-",INDIRECT("'"&amp;$F6&amp;"'!d$9"))</f>
        <v>-</v>
      </c>
      <c r="E10" s="955" t="s">
        <v>1685</v>
      </c>
      <c r="F10" s="893"/>
      <c r="G10" s="915"/>
      <c r="H10" s="915"/>
      <c r="I10" s="915"/>
    </row>
    <row r="11" spans="1:9" ht="18.600000000000001" thickBot="1">
      <c r="A11" s="926" t="s">
        <v>1686</v>
      </c>
      <c r="B11" s="925"/>
      <c r="C11" s="927"/>
      <c r="D11" s="927"/>
      <c r="E11" s="927"/>
      <c r="F11" s="927"/>
      <c r="G11" s="915"/>
      <c r="H11" s="915"/>
      <c r="I11" s="915"/>
    </row>
    <row r="12" spans="1:9" ht="18.600000000000001" thickBot="1">
      <c r="A12" s="812"/>
      <c r="B12" s="928"/>
      <c r="C12" s="928"/>
      <c r="D12" s="928"/>
      <c r="E12" s="877"/>
      <c r="F12" s="877"/>
      <c r="G12" s="915"/>
      <c r="H12" s="915"/>
      <c r="I12" s="915"/>
    </row>
    <row r="13" spans="1:9" ht="39.9" customHeight="1" thickBot="1">
      <c r="A13" s="929" t="s">
        <v>724</v>
      </c>
      <c r="B13" s="2152" t="str">
        <f ca="1">IF(ISERROR(INDIRECT("'"&amp;$F6&amp;"'!b$13")),"-",INDIRECT("'"&amp;$F6&amp;"'!b$13"))</f>
        <v>-</v>
      </c>
      <c r="C13" s="2153"/>
      <c r="D13" s="2153"/>
      <c r="E13" s="2153"/>
      <c r="F13" s="2154"/>
      <c r="G13" s="915"/>
      <c r="H13" s="915"/>
      <c r="I13" s="915"/>
    </row>
    <row r="14" spans="1:9" ht="29.4" hidden="1" customHeight="1" thickBot="1">
      <c r="A14" s="930" t="s">
        <v>1687</v>
      </c>
      <c r="B14" s="2155"/>
      <c r="C14" s="2155"/>
      <c r="D14" s="2155"/>
      <c r="E14" s="2155"/>
      <c r="F14" s="2155"/>
      <c r="G14" s="915"/>
      <c r="H14" s="915"/>
      <c r="I14" s="915"/>
    </row>
    <row r="15" spans="1:9" ht="70.5" hidden="1" customHeight="1">
      <c r="A15" s="931" t="s">
        <v>1688</v>
      </c>
      <c r="B15" s="2156"/>
      <c r="C15" s="2157"/>
      <c r="D15" s="2157"/>
      <c r="E15" s="2157"/>
      <c r="F15" s="2158"/>
      <c r="G15" s="915"/>
      <c r="H15" s="915"/>
      <c r="I15" s="915"/>
    </row>
    <row r="16" spans="1:9" ht="43.8" hidden="1" thickBot="1">
      <c r="A16" s="932" t="s">
        <v>1689</v>
      </c>
      <c r="B16" s="2159"/>
      <c r="C16" s="2160"/>
      <c r="D16" s="2160"/>
      <c r="E16" s="2160"/>
      <c r="F16" s="2161"/>
      <c r="G16" s="915"/>
      <c r="H16" s="915"/>
      <c r="I16" s="915"/>
    </row>
    <row r="17" spans="1:19" ht="43.8" hidden="1" thickBot="1">
      <c r="A17" s="932" t="s">
        <v>1690</v>
      </c>
      <c r="B17" s="2162"/>
      <c r="C17" s="2163"/>
      <c r="D17" s="2163"/>
      <c r="E17" s="2163"/>
      <c r="F17" s="2164"/>
      <c r="G17" s="915"/>
      <c r="H17" s="915"/>
      <c r="I17" s="915"/>
    </row>
    <row r="18" spans="1:19" ht="18.600000000000001" thickBot="1">
      <c r="A18" s="2165"/>
      <c r="B18" s="2165"/>
      <c r="C18" s="2165"/>
      <c r="D18" s="2165"/>
      <c r="E18" s="2165"/>
      <c r="F18" s="2165"/>
      <c r="G18" s="915"/>
      <c r="H18" s="915"/>
      <c r="I18" s="915"/>
    </row>
    <row r="19" spans="1:19" ht="58.35" customHeight="1">
      <c r="A19" s="933" t="s">
        <v>1691</v>
      </c>
      <c r="B19" s="2166" t="str">
        <f ca="1">IF(ISERROR(INDIRECT("'"&amp;$F6&amp;"'!b$14")),"-",INDIRECT("'"&amp;$F6&amp;"'!b$14"))</f>
        <v>-</v>
      </c>
      <c r="C19" s="2167"/>
      <c r="D19" s="2167"/>
      <c r="E19" s="2167"/>
      <c r="F19" s="2168"/>
      <c r="G19" s="915"/>
      <c r="H19" s="915"/>
      <c r="I19" s="915"/>
    </row>
    <row r="20" spans="1:19" ht="34.5" customHeight="1">
      <c r="A20" s="1410" t="s">
        <v>1692</v>
      </c>
      <c r="B20" s="2169"/>
      <c r="C20" s="2170"/>
      <c r="D20" s="2170"/>
      <c r="E20" s="2170"/>
      <c r="F20" s="2171"/>
      <c r="G20" s="915"/>
      <c r="H20" s="915"/>
      <c r="I20" s="915"/>
    </row>
    <row r="21" spans="1:19" ht="58.8" customHeight="1">
      <c r="A21" s="1410" t="s">
        <v>1693</v>
      </c>
      <c r="B21" s="2169"/>
      <c r="C21" s="2170"/>
      <c r="D21" s="2170"/>
      <c r="E21" s="2170"/>
      <c r="F21" s="2171"/>
      <c r="G21" s="1757" t="str">
        <f ca="1">IF(ISERROR(INDIRECT("'"&amp;$F6&amp;"'!b$16")),"-",INDIRECT("'"&amp;$F6&amp;"'!b$16"))&amp;" - "&amp;IF(ISERROR(INDIRECT("'"&amp;$F6&amp;"'!c$16")),"-",INDIRECT("'"&amp;$F6&amp;"'!c$16"))&amp;" - "&amp;IF(ISERROR(INDIRECT("'"&amp;$F6&amp;"'!d$16")),"-",INDIRECT("'"&amp;$F6&amp;"'!d$16"))&amp;" - "&amp;IF(ISERROR(INDIRECT("'"&amp;$F6&amp;"'!e$16")),"-",INDIRECT("'"&amp;$F6&amp;"'!e$16"))&amp;" - "&amp;IF(ISERROR(INDIRECT("'"&amp;$F6&amp;"'!f$16")),"-",INDIRECT("'"&amp;$F6&amp;"'!f$16"))</f>
        <v>- - - - - - - - -</v>
      </c>
      <c r="H21" s="934" t="s">
        <v>1695</v>
      </c>
      <c r="I21" s="934" t="s">
        <v>1696</v>
      </c>
      <c r="J21" s="935" t="s">
        <v>1697</v>
      </c>
      <c r="K21" s="935" t="s">
        <v>1698</v>
      </c>
      <c r="L21" s="935" t="s">
        <v>1699</v>
      </c>
      <c r="M21" s="935" t="s">
        <v>1700</v>
      </c>
      <c r="N21" s="935" t="s">
        <v>1701</v>
      </c>
      <c r="O21" s="935" t="s">
        <v>1702</v>
      </c>
      <c r="P21" s="935" t="s">
        <v>1703</v>
      </c>
      <c r="Q21" s="935" t="s">
        <v>1704</v>
      </c>
      <c r="R21" s="935" t="s">
        <v>157</v>
      </c>
      <c r="S21" s="935" t="s">
        <v>661</v>
      </c>
    </row>
    <row r="22" spans="1:19" s="913" customFormat="1" ht="98.1" customHeight="1" thickBot="1">
      <c r="A22" s="1414" t="s">
        <v>1705</v>
      </c>
      <c r="B22" s="2223"/>
      <c r="C22" s="2224"/>
      <c r="D22" s="2224"/>
      <c r="E22" s="2224"/>
      <c r="F22" s="2225"/>
      <c r="G22" s="911" t="b">
        <v>0</v>
      </c>
      <c r="H22" s="911" t="b">
        <v>0</v>
      </c>
      <c r="I22" s="911" t="b">
        <v>0</v>
      </c>
      <c r="J22" s="912" t="b">
        <v>0</v>
      </c>
      <c r="K22" s="912" t="b">
        <v>0</v>
      </c>
      <c r="L22" s="912" t="b">
        <v>0</v>
      </c>
      <c r="M22" s="912"/>
      <c r="N22" s="912" t="b">
        <v>0</v>
      </c>
      <c r="O22" s="912"/>
      <c r="P22" s="912" t="b">
        <v>0</v>
      </c>
      <c r="Q22" s="912" t="b">
        <v>0</v>
      </c>
      <c r="R22" s="912"/>
      <c r="S22" s="912" t="b">
        <v>0</v>
      </c>
    </row>
    <row r="23" spans="1:19" ht="29.4" customHeight="1" thickBot="1">
      <c r="A23" s="930" t="s">
        <v>1706</v>
      </c>
      <c r="B23" s="2155"/>
      <c r="C23" s="2155"/>
      <c r="D23" s="2155"/>
      <c r="E23" s="2155"/>
      <c r="F23" s="2155"/>
      <c r="G23" s="915"/>
      <c r="H23" s="915"/>
      <c r="I23" s="915"/>
    </row>
    <row r="24" spans="1:19" ht="18">
      <c r="A24" s="936" t="s">
        <v>1074</v>
      </c>
      <c r="B24" s="2175" t="str">
        <f ca="1">IF(ISERROR(INDIRECT("'"&amp;$F6&amp;"'!b$16")),"-",INDIRECT("'"&amp;$F6&amp;"'!b$17"))</f>
        <v>-</v>
      </c>
      <c r="C24" s="2167"/>
      <c r="D24" s="2167"/>
      <c r="E24" s="2167"/>
      <c r="F24" s="2168"/>
      <c r="G24" s="915"/>
      <c r="H24" s="915"/>
      <c r="I24" s="915"/>
    </row>
    <row r="25" spans="1:19" ht="18">
      <c r="A25" s="1415" t="s">
        <v>728</v>
      </c>
      <c r="B25" s="2176" t="str">
        <f ca="1">IF(ISERROR(INDIRECT("'"&amp;$F6&amp;"'!b$17")),"-",INDIRECT("'"&amp;$F6&amp;"'!b$18"))</f>
        <v>-</v>
      </c>
      <c r="C25" s="2177"/>
      <c r="D25" s="2177"/>
      <c r="E25" s="2177"/>
      <c r="F25" s="2178"/>
      <c r="G25" s="915"/>
      <c r="H25" s="915"/>
      <c r="I25" s="915"/>
    </row>
    <row r="26" spans="1:19" ht="28.8">
      <c r="A26" s="2179" t="s">
        <v>1707</v>
      </c>
      <c r="B26" s="1774" t="str">
        <f ca="1">IF(ISERROR(INDIRECT("'"&amp;$F6&amp;"'!b$18")),"-",INDIRECT("'"&amp;$F6&amp;"'!b$19"))</f>
        <v>-</v>
      </c>
      <c r="C26" s="1416" t="s">
        <v>1708</v>
      </c>
      <c r="D26" s="1412"/>
      <c r="E26" s="1417" t="s">
        <v>1709</v>
      </c>
      <c r="F26" s="1413"/>
      <c r="G26" s="915"/>
      <c r="H26" s="915"/>
      <c r="I26" s="915"/>
    </row>
    <row r="27" spans="1:19" ht="28.8">
      <c r="A27" s="2180"/>
      <c r="B27" s="1411"/>
      <c r="C27" s="1416" t="s">
        <v>1708</v>
      </c>
      <c r="D27" s="1412"/>
      <c r="E27" s="1417" t="s">
        <v>1709</v>
      </c>
      <c r="F27" s="1413"/>
      <c r="G27" s="915"/>
      <c r="H27" s="915"/>
      <c r="I27" s="915"/>
    </row>
    <row r="28" spans="1:19" ht="28.8">
      <c r="A28" s="2180"/>
      <c r="B28" s="1411"/>
      <c r="C28" s="1416" t="s">
        <v>1708</v>
      </c>
      <c r="D28" s="1412"/>
      <c r="E28" s="1417" t="s">
        <v>1709</v>
      </c>
      <c r="F28" s="1413"/>
      <c r="G28" s="915"/>
      <c r="H28" s="915"/>
      <c r="I28" s="915"/>
    </row>
    <row r="29" spans="1:19" ht="28.8">
      <c r="A29" s="2180"/>
      <c r="B29" s="1411"/>
      <c r="C29" s="1416" t="s">
        <v>1708</v>
      </c>
      <c r="D29" s="1412"/>
      <c r="E29" s="1417" t="s">
        <v>1709</v>
      </c>
      <c r="F29" s="1413"/>
      <c r="G29" s="915"/>
      <c r="H29" s="915"/>
      <c r="I29" s="915"/>
    </row>
    <row r="30" spans="1:19" ht="29.4" thickBot="1">
      <c r="A30" s="2181"/>
      <c r="B30" s="1411"/>
      <c r="C30" s="1418" t="s">
        <v>1708</v>
      </c>
      <c r="D30" s="1419"/>
      <c r="E30" s="1420" t="s">
        <v>1709</v>
      </c>
      <c r="F30" s="1421"/>
      <c r="G30" s="915"/>
      <c r="H30" s="915"/>
      <c r="I30" s="915"/>
    </row>
    <row r="31" spans="1:19" ht="29.4" customHeight="1" thickBot="1">
      <c r="A31" s="930" t="s">
        <v>1710</v>
      </c>
      <c r="B31" s="2155"/>
      <c r="C31" s="2155"/>
      <c r="D31" s="2155"/>
      <c r="E31" s="2155"/>
      <c r="F31" s="2155"/>
      <c r="G31" s="915"/>
      <c r="H31" s="915"/>
      <c r="I31" s="915"/>
    </row>
    <row r="32" spans="1:19" ht="18">
      <c r="A32" s="936" t="s">
        <v>1711</v>
      </c>
      <c r="B32" s="2182"/>
      <c r="C32" s="2183"/>
      <c r="D32" s="2183"/>
      <c r="E32" s="2183"/>
      <c r="F32" s="2184"/>
      <c r="G32" s="915"/>
      <c r="H32" s="915"/>
      <c r="I32" s="915"/>
    </row>
    <row r="33" spans="1:9" ht="31.8" thickBot="1">
      <c r="A33" s="1422" t="s">
        <v>1712</v>
      </c>
      <c r="B33" s="2185"/>
      <c r="C33" s="2186"/>
      <c r="D33" s="2186"/>
      <c r="E33" s="2186"/>
      <c r="F33" s="2187"/>
      <c r="G33" s="915"/>
      <c r="H33" s="915"/>
      <c r="I33" s="915"/>
    </row>
    <row r="34" spans="1:9" ht="29.4" customHeight="1" thickBot="1">
      <c r="A34" s="930" t="s">
        <v>1240</v>
      </c>
      <c r="B34" s="2188"/>
      <c r="C34" s="2188"/>
      <c r="D34" s="2188"/>
      <c r="E34" s="2188"/>
      <c r="F34" s="2188"/>
      <c r="G34" s="915"/>
      <c r="H34" s="915"/>
      <c r="I34" s="915"/>
    </row>
    <row r="35" spans="1:9" ht="18">
      <c r="A35" s="936" t="s">
        <v>730</v>
      </c>
      <c r="B35" s="2189" t="str">
        <f ca="1">IF(ISERROR(INDIRECT("'"&amp;$F6&amp;"'!b$19")),"-",INDIRECT("'"&amp;$F6&amp;"'!b$20"))</f>
        <v>-</v>
      </c>
      <c r="C35" s="2190"/>
      <c r="D35" s="2190"/>
      <c r="E35" s="2190"/>
      <c r="F35" s="2191"/>
      <c r="G35" s="915"/>
      <c r="H35" s="915"/>
      <c r="I35" s="915"/>
    </row>
    <row r="36" spans="1:9" ht="18">
      <c r="A36" s="1415" t="s">
        <v>733</v>
      </c>
      <c r="B36" s="2192" t="str">
        <f ca="1">IF(ISERROR(INDIRECT("'"&amp;$F6&amp;"'!b$20")),"-",INDIRECT("'"&amp;$F6&amp;"'!b$21"))</f>
        <v>-</v>
      </c>
      <c r="C36" s="2193"/>
      <c r="D36" s="2193"/>
      <c r="E36" s="2193"/>
      <c r="F36" s="2194"/>
      <c r="G36" s="915"/>
      <c r="H36" s="915"/>
      <c r="I36" s="915"/>
    </row>
    <row r="37" spans="1:9" ht="18">
      <c r="A37" s="1423" t="s">
        <v>1713</v>
      </c>
      <c r="B37" s="2192" t="e">
        <f ca="1">IF(ISERROR(INDIRECT("'"&amp;$F6&amp;"'!b$21")),"-",INDIRECT("'"&amp;$F6&amp;"'!b$22"))-B38</f>
        <v>#VALUE!</v>
      </c>
      <c r="C37" s="2193"/>
      <c r="D37" s="2193"/>
      <c r="E37" s="2193"/>
      <c r="F37" s="2194"/>
      <c r="G37" s="915"/>
      <c r="H37" s="915"/>
      <c r="I37" s="915"/>
    </row>
    <row r="38" spans="1:9" ht="18.600000000000001" thickBot="1">
      <c r="A38" s="1422" t="s">
        <v>1714</v>
      </c>
      <c r="B38" s="2172">
        <f>E68</f>
        <v>0</v>
      </c>
      <c r="C38" s="2173"/>
      <c r="D38" s="2173"/>
      <c r="E38" s="2173"/>
      <c r="F38" s="2174"/>
      <c r="G38" s="915"/>
      <c r="H38" s="915"/>
      <c r="I38" s="915"/>
    </row>
    <row r="39" spans="1:9" ht="29.4" customHeight="1" thickBot="1">
      <c r="A39" s="930" t="s">
        <v>1715</v>
      </c>
      <c r="B39" s="2188"/>
      <c r="C39" s="2188"/>
      <c r="D39" s="2188"/>
      <c r="E39" s="2188"/>
      <c r="F39" s="2188"/>
      <c r="G39" s="915"/>
      <c r="H39" s="915"/>
      <c r="I39" s="915"/>
    </row>
    <row r="40" spans="1:9" ht="18">
      <c r="A40" s="937" t="s">
        <v>735</v>
      </c>
      <c r="B40" s="1775" t="str">
        <f ca="1">IF(ISERROR(INDIRECT("'"&amp;$F6&amp;"'!b$22")),"-",INDIRECT("'"&amp;$F6&amp;"'!b$23"))</f>
        <v>-</v>
      </c>
      <c r="C40" s="938" t="s">
        <v>736</v>
      </c>
      <c r="D40" s="2201" t="str">
        <f ca="1">IF(ISERROR(INDIRECT("'"&amp;$F6&amp;"'!d$22")),"-",INDIRECT("'"&amp;$F6&amp;"'!d$23"))</f>
        <v>-</v>
      </c>
      <c r="E40" s="2201"/>
      <c r="F40" s="2202"/>
      <c r="G40" s="915"/>
      <c r="H40" s="915"/>
      <c r="I40" s="915"/>
    </row>
    <row r="41" spans="1:9" ht="18">
      <c r="A41" s="1410" t="s">
        <v>737</v>
      </c>
      <c r="B41" s="2203" t="str">
        <f ca="1">IF(ISERROR(INDIRECT("'"&amp;$F6&amp;"'!b$23")),"-",INDIRECT("'"&amp;$F6&amp;"'!b$24"))</f>
        <v>-</v>
      </c>
      <c r="C41" s="2204"/>
      <c r="D41" s="2204"/>
      <c r="E41" s="2204"/>
      <c r="F41" s="2205"/>
      <c r="G41" s="915"/>
      <c r="H41" s="915"/>
      <c r="I41" s="915"/>
    </row>
    <row r="42" spans="1:9" ht="18" hidden="1">
      <c r="A42" s="1410" t="s">
        <v>1716</v>
      </c>
      <c r="B42" s="2206"/>
      <c r="C42" s="2207"/>
      <c r="D42" s="1776" t="s">
        <v>1717</v>
      </c>
      <c r="E42" s="2208"/>
      <c r="F42" s="2209"/>
      <c r="G42" s="915"/>
      <c r="H42" s="915"/>
      <c r="I42" s="915"/>
    </row>
    <row r="43" spans="1:9" ht="18">
      <c r="A43" s="1410" t="s">
        <v>738</v>
      </c>
      <c r="B43" s="2210" t="str">
        <f ca="1">IF(ISERROR(INDIRECT("'"&amp;$F6&amp;"'!b$24")),"-",INDIRECT("'"&amp;$F6&amp;"'!b$25"))</f>
        <v>-</v>
      </c>
      <c r="C43" s="2211"/>
      <c r="D43" s="2211"/>
      <c r="E43" s="2211"/>
      <c r="F43" s="2212"/>
      <c r="G43" s="915"/>
      <c r="H43" s="915"/>
      <c r="I43" s="915"/>
    </row>
    <row r="44" spans="1:9" ht="32.4" customHeight="1" thickBot="1">
      <c r="A44" s="1410" t="s">
        <v>1283</v>
      </c>
      <c r="B44" s="1777" t="str">
        <f ca="1">IF(ISERROR(INDIRECT("'"&amp;$F6&amp;"'!b$25")),"-",INDIRECT("'"&amp;$F6&amp;"'!b$26"))</f>
        <v>-</v>
      </c>
      <c r="C44" s="1425" t="s">
        <v>1718</v>
      </c>
      <c r="D44" s="1778" t="str">
        <f ca="1">IF(ISERROR(INDIRECT("'"&amp;$F6&amp;"'!d$25")),"-",INDIRECT("'"&amp;$F6&amp;"'!d$26"))</f>
        <v>-</v>
      </c>
      <c r="E44" s="1425" t="s">
        <v>741</v>
      </c>
      <c r="F44" s="1779" t="str">
        <f ca="1">IF(ISERROR(INDIRECT("'"&amp;$F6&amp;"'!f$25")),"-",INDIRECT("'"&amp;$F6&amp;"'!f$26"))</f>
        <v>-</v>
      </c>
      <c r="G44" s="915"/>
      <c r="H44" s="915"/>
      <c r="I44" s="915"/>
    </row>
    <row r="45" spans="1:9" ht="18.600000000000001" hidden="1" thickBot="1">
      <c r="A45" s="1426" t="s">
        <v>1719</v>
      </c>
      <c r="B45" s="939"/>
      <c r="C45" s="2220" t="s">
        <v>1720</v>
      </c>
      <c r="D45" s="2220"/>
      <c r="E45" s="2221"/>
      <c r="F45" s="2222"/>
      <c r="G45" s="915"/>
      <c r="H45" s="915"/>
      <c r="I45" s="915"/>
    </row>
    <row r="46" spans="1:9" ht="18.600000000000001" thickBot="1">
      <c r="A46" s="2188"/>
      <c r="B46" s="2188"/>
      <c r="C46" s="2188"/>
      <c r="D46" s="2188"/>
      <c r="E46" s="2188"/>
      <c r="F46" s="2188"/>
      <c r="G46" s="915"/>
      <c r="H46" s="915"/>
      <c r="I46" s="915"/>
    </row>
    <row r="47" spans="1:9" ht="18.600000000000001" thickBot="1">
      <c r="A47" s="940" t="s">
        <v>742</v>
      </c>
      <c r="B47" s="2195" t="str">
        <f ca="1">IF(ISERROR(INDIRECT("'"&amp;$F6&amp;"'!b$26")),"-",INDIRECT("'"&amp;$F6&amp;"'!b$27"))</f>
        <v>-</v>
      </c>
      <c r="C47" s="2196"/>
      <c r="D47" s="2196"/>
      <c r="E47" s="2196"/>
      <c r="F47" s="2197"/>
      <c r="G47" s="915"/>
      <c r="H47" s="915"/>
      <c r="I47" s="915"/>
    </row>
    <row r="48" spans="1:9" ht="18.600000000000001" hidden="1" thickBot="1">
      <c r="A48" s="940" t="s">
        <v>1721</v>
      </c>
      <c r="B48" s="2198"/>
      <c r="C48" s="2199"/>
      <c r="D48" s="2199"/>
      <c r="E48" s="2199"/>
      <c r="F48" s="2199"/>
      <c r="G48" s="915"/>
      <c r="H48" s="915"/>
      <c r="I48" s="915"/>
    </row>
    <row r="49" spans="1:9" ht="18">
      <c r="A49" s="2200"/>
      <c r="B49" s="2200"/>
      <c r="C49" s="2200"/>
      <c r="D49" s="2200"/>
      <c r="E49" s="2200"/>
      <c r="F49" s="2200"/>
      <c r="G49" s="915"/>
      <c r="H49" s="915"/>
      <c r="I49" s="915"/>
    </row>
    <row r="50" spans="1:9" ht="28.8">
      <c r="A50" s="2217" t="s">
        <v>1722</v>
      </c>
      <c r="B50" s="2217"/>
      <c r="C50" s="2217"/>
      <c r="D50" s="2217"/>
      <c r="E50" s="2217"/>
      <c r="F50" s="2217"/>
      <c r="G50" s="915"/>
      <c r="H50" s="915"/>
      <c r="I50" s="915"/>
    </row>
    <row r="51" spans="1:9" ht="15.6">
      <c r="A51" s="2218"/>
      <c r="B51" s="2218"/>
      <c r="C51" s="2218"/>
      <c r="D51" s="2218"/>
      <c r="E51" s="2218"/>
      <c r="F51" s="2218"/>
      <c r="I51" s="55"/>
    </row>
    <row r="52" spans="1:9" ht="31.2">
      <c r="A52" s="941" t="s">
        <v>77</v>
      </c>
      <c r="B52" s="2219" t="s">
        <v>1723</v>
      </c>
      <c r="C52" s="2219"/>
      <c r="D52" s="2219"/>
      <c r="E52" s="942" t="s">
        <v>1724</v>
      </c>
      <c r="F52" s="941" t="s">
        <v>2159</v>
      </c>
      <c r="G52" s="942" t="s">
        <v>1725</v>
      </c>
      <c r="H52" s="55"/>
      <c r="I52" s="55"/>
    </row>
    <row r="53" spans="1:9">
      <c r="A53" s="1427">
        <v>1</v>
      </c>
      <c r="B53" s="2141"/>
      <c r="C53" s="2142"/>
      <c r="D53" s="2143"/>
      <c r="E53" s="1428"/>
      <c r="F53" s="1750"/>
      <c r="G53" s="1428"/>
      <c r="H53" s="943"/>
      <c r="I53" s="55"/>
    </row>
    <row r="54" spans="1:9">
      <c r="A54" s="1427">
        <v>2</v>
      </c>
      <c r="B54" s="2141"/>
      <c r="C54" s="2142"/>
      <c r="D54" s="2143"/>
      <c r="E54" s="1428"/>
      <c r="F54" s="1750"/>
      <c r="G54" s="1428"/>
      <c r="H54" s="943"/>
      <c r="I54" s="55"/>
    </row>
    <row r="55" spans="1:9">
      <c r="A55" s="1427">
        <v>3</v>
      </c>
      <c r="B55" s="2141"/>
      <c r="C55" s="2142"/>
      <c r="D55" s="2143"/>
      <c r="E55" s="1428"/>
      <c r="F55" s="1750"/>
      <c r="G55" s="1428"/>
      <c r="H55" s="943"/>
      <c r="I55" s="55"/>
    </row>
    <row r="56" spans="1:9">
      <c r="A56" s="1427">
        <v>4</v>
      </c>
      <c r="B56" s="2141"/>
      <c r="C56" s="2142"/>
      <c r="D56" s="2143"/>
      <c r="E56" s="1428"/>
      <c r="F56" s="1750"/>
      <c r="G56" s="1428"/>
      <c r="H56" s="943"/>
      <c r="I56" s="55"/>
    </row>
    <row r="57" spans="1:9">
      <c r="A57" s="1427">
        <v>5</v>
      </c>
      <c r="B57" s="2141"/>
      <c r="C57" s="2142"/>
      <c r="D57" s="2143"/>
      <c r="E57" s="1428"/>
      <c r="F57" s="1750"/>
      <c r="G57" s="1428"/>
      <c r="H57" s="943"/>
      <c r="I57" s="55"/>
    </row>
    <row r="58" spans="1:9">
      <c r="A58" s="1427">
        <v>6</v>
      </c>
      <c r="B58" s="2141"/>
      <c r="C58" s="2142"/>
      <c r="D58" s="2143"/>
      <c r="E58" s="1428"/>
      <c r="F58" s="1750"/>
      <c r="G58" s="1428"/>
      <c r="H58" s="943"/>
      <c r="I58" s="55"/>
    </row>
    <row r="59" spans="1:9">
      <c r="A59" s="1427">
        <v>7</v>
      </c>
      <c r="B59" s="2141"/>
      <c r="C59" s="2142"/>
      <c r="D59" s="2143"/>
      <c r="E59" s="1428"/>
      <c r="F59" s="1750"/>
      <c r="G59" s="1428"/>
      <c r="H59" s="943"/>
      <c r="I59" s="55"/>
    </row>
    <row r="60" spans="1:9">
      <c r="A60" s="1427">
        <v>8</v>
      </c>
      <c r="B60" s="2141"/>
      <c r="C60" s="2142"/>
      <c r="D60" s="2143"/>
      <c r="E60" s="1428"/>
      <c r="F60" s="1750"/>
      <c r="G60" s="1428"/>
      <c r="H60" s="943"/>
      <c r="I60" s="55"/>
    </row>
    <row r="61" spans="1:9">
      <c r="A61" s="1427">
        <v>9</v>
      </c>
      <c r="B61" s="2141"/>
      <c r="C61" s="2142"/>
      <c r="D61" s="2143"/>
      <c r="E61" s="1428"/>
      <c r="F61" s="1750"/>
      <c r="G61" s="1428"/>
      <c r="H61" s="943"/>
      <c r="I61" s="55"/>
    </row>
    <row r="62" spans="1:9">
      <c r="A62" s="1427">
        <v>10</v>
      </c>
      <c r="B62" s="2141"/>
      <c r="C62" s="2142"/>
      <c r="D62" s="2143"/>
      <c r="E62" s="1428"/>
      <c r="F62" s="1750"/>
      <c r="G62" s="1428"/>
      <c r="H62" s="943"/>
      <c r="I62" s="55"/>
    </row>
    <row r="63" spans="1:9">
      <c r="A63" s="1427">
        <v>11</v>
      </c>
      <c r="B63" s="2141"/>
      <c r="C63" s="2142"/>
      <c r="D63" s="2143"/>
      <c r="E63" s="1428"/>
      <c r="F63" s="1750"/>
      <c r="G63" s="1428"/>
      <c r="H63" s="943"/>
      <c r="I63" s="55"/>
    </row>
    <row r="64" spans="1:9">
      <c r="A64" s="1427">
        <v>12</v>
      </c>
      <c r="B64" s="2141"/>
      <c r="C64" s="2142"/>
      <c r="D64" s="2143"/>
      <c r="E64" s="1428"/>
      <c r="F64" s="1750"/>
      <c r="G64" s="1428"/>
      <c r="H64" s="943"/>
      <c r="I64" s="55"/>
    </row>
    <row r="65" spans="1:12">
      <c r="A65" s="1427">
        <v>13</v>
      </c>
      <c r="B65" s="2141"/>
      <c r="C65" s="2142"/>
      <c r="D65" s="2143"/>
      <c r="E65" s="1428"/>
      <c r="F65" s="1750"/>
      <c r="G65" s="1428"/>
      <c r="H65" s="943"/>
      <c r="I65" s="55"/>
    </row>
    <row r="66" spans="1:12">
      <c r="A66" s="1427">
        <v>14</v>
      </c>
      <c r="B66" s="2141"/>
      <c r="C66" s="2142"/>
      <c r="D66" s="2143"/>
      <c r="E66" s="1428"/>
      <c r="F66" s="1750"/>
      <c r="G66" s="1428"/>
      <c r="H66" s="943"/>
      <c r="I66" s="55"/>
    </row>
    <row r="67" spans="1:12">
      <c r="A67" s="1427">
        <v>15</v>
      </c>
      <c r="B67" s="2141"/>
      <c r="C67" s="2142"/>
      <c r="D67" s="2143"/>
      <c r="E67" s="1428"/>
      <c r="F67" s="1750"/>
      <c r="G67" s="1428"/>
      <c r="H67" s="943"/>
      <c r="I67" s="55"/>
    </row>
    <row r="68" spans="1:12" ht="16.2" thickBot="1">
      <c r="D68" s="944" t="s">
        <v>107</v>
      </c>
      <c r="E68" s="945">
        <f>SUM(E53:E67)</f>
        <v>0</v>
      </c>
      <c r="I68" s="55"/>
    </row>
    <row r="69" spans="1:12" ht="15.6">
      <c r="D69" s="827"/>
      <c r="E69" s="77"/>
      <c r="I69" s="55"/>
    </row>
    <row r="70" spans="1:12" ht="28.8">
      <c r="A70" s="822" t="s">
        <v>1726</v>
      </c>
      <c r="B70" s="190"/>
      <c r="C70" s="190"/>
      <c r="D70" s="1298"/>
      <c r="E70" s="1299"/>
      <c r="F70" s="190"/>
      <c r="G70" s="190"/>
      <c r="I70" s="55"/>
    </row>
    <row r="71" spans="1:12" ht="28.5" customHeight="1">
      <c r="A71" s="947"/>
      <c r="B71" s="948"/>
      <c r="C71" s="948"/>
      <c r="D71" s="949"/>
      <c r="E71" s="950"/>
      <c r="F71" s="948"/>
    </row>
    <row r="72" spans="1:12" ht="77.400000000000006" customHeight="1">
      <c r="A72" s="2216" t="s">
        <v>1727</v>
      </c>
      <c r="B72" s="2216"/>
      <c r="C72" s="2216"/>
      <c r="D72" s="2216"/>
      <c r="E72" s="2216"/>
      <c r="F72" s="2216"/>
      <c r="G72" s="2216"/>
    </row>
    <row r="73" spans="1:12" ht="28.5" customHeight="1">
      <c r="A73" s="947"/>
      <c r="B73" s="948"/>
      <c r="C73" s="948"/>
      <c r="D73" s="949"/>
      <c r="E73" s="950"/>
      <c r="F73" s="948"/>
    </row>
    <row r="74" spans="1:12" ht="18">
      <c r="A74" s="951" t="s">
        <v>1728</v>
      </c>
      <c r="B74" s="948"/>
      <c r="C74" s="948"/>
      <c r="D74" s="948"/>
      <c r="E74" s="948"/>
      <c r="F74" s="948"/>
    </row>
    <row r="75" spans="1:12" ht="18">
      <c r="A75" s="823"/>
      <c r="B75" s="246"/>
    </row>
    <row r="76" spans="1:12" ht="50.4" customHeight="1" thickBot="1">
      <c r="B76" s="1768" t="s">
        <v>692</v>
      </c>
      <c r="C76" s="1768" t="s">
        <v>80</v>
      </c>
      <c r="D76" s="1768" t="s">
        <v>746</v>
      </c>
      <c r="E76" s="1768" t="s">
        <v>733</v>
      </c>
      <c r="F76" s="1768" t="s">
        <v>1729</v>
      </c>
      <c r="G76" s="1769" t="s">
        <v>1730</v>
      </c>
      <c r="H76" s="1769" t="s">
        <v>1731</v>
      </c>
      <c r="K76" s="55"/>
      <c r="L76" s="55"/>
    </row>
    <row r="77" spans="1:12">
      <c r="A77">
        <v>1</v>
      </c>
      <c r="B77" s="1780" t="str">
        <f ca="1">IF(D77=0,0,IF(ISERROR(INDIRECT("'"&amp;$F$6&amp;"'"&amp;I77)),"-",INDIRECT("'"&amp;$F$6&amp;"'"&amp;I77)))</f>
        <v>-</v>
      </c>
      <c r="C77" s="1761"/>
      <c r="D77" s="1783" t="str">
        <f ca="1">IF(ISERROR(INDIRECT("'"&amp;$F$6&amp;"'"&amp;J77)),"-",INDIRECT("'"&amp;$F$6&amp;"'"&amp;J77))</f>
        <v>-</v>
      </c>
      <c r="E77" s="1787" t="str">
        <f ca="1">IF(AND(D77&lt;&gt;0,D77&lt;&gt;"-"),B$36,"")</f>
        <v/>
      </c>
      <c r="F77" s="1761"/>
      <c r="G77" s="1761"/>
      <c r="H77" s="1762"/>
      <c r="I77" s="953" t="s">
        <v>1732</v>
      </c>
      <c r="J77" s="953" t="s">
        <v>1733</v>
      </c>
      <c r="K77" s="1316" t="str">
        <f ca="1">B77</f>
        <v>-</v>
      </c>
      <c r="L77" s="1317" t="str">
        <f ca="1">D77</f>
        <v>-</v>
      </c>
    </row>
    <row r="78" spans="1:12">
      <c r="A78">
        <v>2</v>
      </c>
      <c r="B78" s="1781" t="str">
        <f t="shared" ref="B78:B86" ca="1" si="0">IF(D78=0,0,IF(ISERROR(INDIRECT("'"&amp;$F$6&amp;"'"&amp;I78)),"-",INDIRECT("'"&amp;$F$6&amp;"'"&amp;I78)))</f>
        <v>-</v>
      </c>
      <c r="C78" s="1428"/>
      <c r="D78" s="1784" t="str">
        <f t="shared" ref="D78:D86" ca="1" si="1">IF(ISERROR(INDIRECT("'"&amp;$F$6&amp;"'"&amp;J78)),"-",INDIRECT("'"&amp;$F$6&amp;"'"&amp;J78))</f>
        <v>-</v>
      </c>
      <c r="E78" s="1788" t="str">
        <f t="shared" ref="E78:E86" ca="1" si="2">IF(AND(D78&lt;&gt;0,D78&lt;&gt;"-"),B$36,"")</f>
        <v/>
      </c>
      <c r="F78" s="1428"/>
      <c r="G78" s="1428"/>
      <c r="H78" s="1764"/>
      <c r="I78" s="953" t="s">
        <v>1734</v>
      </c>
      <c r="J78" s="953" t="s">
        <v>1735</v>
      </c>
      <c r="K78" s="1316" t="str">
        <f t="shared" ref="K78:K86" ca="1" si="3">B78</f>
        <v>-</v>
      </c>
      <c r="L78" s="1317" t="str">
        <f t="shared" ref="L78:L86" ca="1" si="4">D78</f>
        <v>-</v>
      </c>
    </row>
    <row r="79" spans="1:12">
      <c r="A79">
        <v>3</v>
      </c>
      <c r="B79" s="1781" t="str">
        <f t="shared" ca="1" si="0"/>
        <v>-</v>
      </c>
      <c r="C79" s="1428"/>
      <c r="D79" s="1784" t="str">
        <f t="shared" ca="1" si="1"/>
        <v>-</v>
      </c>
      <c r="E79" s="1788" t="str">
        <f t="shared" ca="1" si="2"/>
        <v/>
      </c>
      <c r="F79" s="1428"/>
      <c r="G79" s="1428"/>
      <c r="H79" s="1764"/>
      <c r="I79" s="953" t="s">
        <v>1736</v>
      </c>
      <c r="J79" s="953" t="s">
        <v>1737</v>
      </c>
      <c r="K79" s="1316" t="str">
        <f t="shared" ca="1" si="3"/>
        <v>-</v>
      </c>
      <c r="L79" s="1317" t="str">
        <f t="shared" ca="1" si="4"/>
        <v>-</v>
      </c>
    </row>
    <row r="80" spans="1:12">
      <c r="A80">
        <v>4</v>
      </c>
      <c r="B80" s="1781" t="str">
        <f t="shared" ca="1" si="0"/>
        <v>-</v>
      </c>
      <c r="C80" s="1428"/>
      <c r="D80" s="1784" t="str">
        <f t="shared" ca="1" si="1"/>
        <v>-</v>
      </c>
      <c r="E80" s="1788" t="str">
        <f t="shared" ca="1" si="2"/>
        <v/>
      </c>
      <c r="F80" s="1428"/>
      <c r="G80" s="1428"/>
      <c r="H80" s="1764"/>
      <c r="I80" s="953" t="s">
        <v>1738</v>
      </c>
      <c r="J80" s="953" t="s">
        <v>1739</v>
      </c>
      <c r="K80" s="1316" t="str">
        <f t="shared" ca="1" si="3"/>
        <v>-</v>
      </c>
      <c r="L80" s="1317" t="str">
        <f t="shared" ca="1" si="4"/>
        <v>-</v>
      </c>
    </row>
    <row r="81" spans="1:13">
      <c r="A81">
        <v>5</v>
      </c>
      <c r="B81" s="1781" t="str">
        <f t="shared" ca="1" si="0"/>
        <v>-</v>
      </c>
      <c r="C81" s="1428"/>
      <c r="D81" s="1784" t="str">
        <f t="shared" ca="1" si="1"/>
        <v>-</v>
      </c>
      <c r="E81" s="1788" t="str">
        <f t="shared" ca="1" si="2"/>
        <v/>
      </c>
      <c r="F81" s="1428"/>
      <c r="G81" s="1428"/>
      <c r="H81" s="1764"/>
      <c r="I81" s="953" t="s">
        <v>1740</v>
      </c>
      <c r="J81" s="953" t="s">
        <v>1741</v>
      </c>
      <c r="K81" s="1316" t="str">
        <f t="shared" ca="1" si="3"/>
        <v>-</v>
      </c>
      <c r="L81" s="1317" t="str">
        <f t="shared" ca="1" si="4"/>
        <v>-</v>
      </c>
    </row>
    <row r="82" spans="1:13">
      <c r="A82">
        <v>6</v>
      </c>
      <c r="B82" s="1781" t="str">
        <f t="shared" ca="1" si="0"/>
        <v>-</v>
      </c>
      <c r="C82" s="1428"/>
      <c r="D82" s="1784" t="str">
        <f t="shared" ca="1" si="1"/>
        <v>-</v>
      </c>
      <c r="E82" s="1788" t="str">
        <f t="shared" ca="1" si="2"/>
        <v/>
      </c>
      <c r="F82" s="1428"/>
      <c r="G82" s="1428"/>
      <c r="H82" s="1764"/>
      <c r="I82" s="953" t="s">
        <v>1742</v>
      </c>
      <c r="J82" s="953" t="s">
        <v>1743</v>
      </c>
      <c r="K82" s="1316" t="str">
        <f t="shared" ca="1" si="3"/>
        <v>-</v>
      </c>
      <c r="L82" s="1317" t="str">
        <f t="shared" ca="1" si="4"/>
        <v>-</v>
      </c>
    </row>
    <row r="83" spans="1:13">
      <c r="A83">
        <v>7</v>
      </c>
      <c r="B83" s="1781" t="str">
        <f t="shared" ca="1" si="0"/>
        <v>-</v>
      </c>
      <c r="C83" s="1428"/>
      <c r="D83" s="1784" t="str">
        <f t="shared" ca="1" si="1"/>
        <v>-</v>
      </c>
      <c r="E83" s="1788" t="str">
        <f t="shared" ca="1" si="2"/>
        <v/>
      </c>
      <c r="F83" s="1428"/>
      <c r="G83" s="1428"/>
      <c r="H83" s="1764"/>
      <c r="I83" s="953" t="s">
        <v>1744</v>
      </c>
      <c r="J83" s="953" t="s">
        <v>1745</v>
      </c>
      <c r="K83" s="1316" t="str">
        <f t="shared" ca="1" si="3"/>
        <v>-</v>
      </c>
      <c r="L83" s="1317" t="str">
        <f t="shared" ca="1" si="4"/>
        <v>-</v>
      </c>
    </row>
    <row r="84" spans="1:13">
      <c r="A84">
        <v>8</v>
      </c>
      <c r="B84" s="1781" t="str">
        <f t="shared" ca="1" si="0"/>
        <v>-</v>
      </c>
      <c r="C84" s="1428"/>
      <c r="D84" s="1784" t="str">
        <f t="shared" ca="1" si="1"/>
        <v>-</v>
      </c>
      <c r="E84" s="1788" t="str">
        <f t="shared" ca="1" si="2"/>
        <v/>
      </c>
      <c r="F84" s="1428"/>
      <c r="G84" s="1428"/>
      <c r="H84" s="1764"/>
      <c r="I84" s="953" t="s">
        <v>1746</v>
      </c>
      <c r="J84" s="953" t="s">
        <v>1747</v>
      </c>
      <c r="K84" s="1316" t="str">
        <f t="shared" ca="1" si="3"/>
        <v>-</v>
      </c>
      <c r="L84" s="1317" t="str">
        <f t="shared" ca="1" si="4"/>
        <v>-</v>
      </c>
    </row>
    <row r="85" spans="1:13">
      <c r="A85">
        <v>9</v>
      </c>
      <c r="B85" s="1781" t="str">
        <f t="shared" ca="1" si="0"/>
        <v>-</v>
      </c>
      <c r="C85" s="1428"/>
      <c r="D85" s="1784" t="str">
        <f t="shared" ca="1" si="1"/>
        <v>-</v>
      </c>
      <c r="E85" s="1788" t="str">
        <f t="shared" ca="1" si="2"/>
        <v/>
      </c>
      <c r="F85" s="1428"/>
      <c r="G85" s="1428"/>
      <c r="H85" s="1764"/>
      <c r="I85" s="953" t="s">
        <v>1748</v>
      </c>
      <c r="J85" s="953" t="s">
        <v>1749</v>
      </c>
      <c r="K85" s="1316" t="str">
        <f t="shared" ca="1" si="3"/>
        <v>-</v>
      </c>
      <c r="L85" s="1317" t="str">
        <f t="shared" ca="1" si="4"/>
        <v>-</v>
      </c>
    </row>
    <row r="86" spans="1:13" ht="15" thickBot="1">
      <c r="A86">
        <v>10</v>
      </c>
      <c r="B86" s="1782" t="str">
        <f t="shared" ca="1" si="0"/>
        <v>-</v>
      </c>
      <c r="C86" s="1766"/>
      <c r="D86" s="1785" t="str">
        <f t="shared" ca="1" si="1"/>
        <v>-</v>
      </c>
      <c r="E86" s="1789" t="str">
        <f t="shared" ca="1" si="2"/>
        <v/>
      </c>
      <c r="F86" s="1766"/>
      <c r="G86" s="1766"/>
      <c r="H86" s="1767"/>
      <c r="I86" s="953" t="s">
        <v>2991</v>
      </c>
      <c r="J86" s="953" t="s">
        <v>2992</v>
      </c>
      <c r="K86" s="1316" t="str">
        <f t="shared" ca="1" si="3"/>
        <v>-</v>
      </c>
      <c r="L86" s="1317" t="str">
        <f t="shared" ca="1" si="4"/>
        <v>-</v>
      </c>
    </row>
    <row r="87" spans="1:13">
      <c r="A87">
        <v>11</v>
      </c>
      <c r="B87" s="1760"/>
      <c r="C87" s="1761"/>
      <c r="D87" s="1761"/>
      <c r="E87" s="1761"/>
      <c r="F87" s="1761"/>
      <c r="G87" s="1761"/>
      <c r="H87" s="1762"/>
      <c r="I87" s="953" t="s">
        <v>1732</v>
      </c>
      <c r="J87" s="953" t="s">
        <v>1733</v>
      </c>
      <c r="K87" s="1316">
        <f>B87</f>
        <v>0</v>
      </c>
      <c r="L87" s="1317">
        <f>D87</f>
        <v>0</v>
      </c>
      <c r="M87" s="55">
        <f>G87</f>
        <v>0</v>
      </c>
    </row>
    <row r="88" spans="1:13">
      <c r="A88">
        <v>12</v>
      </c>
      <c r="B88" s="1763"/>
      <c r="C88" s="1428"/>
      <c r="D88" s="1428"/>
      <c r="E88" s="1428"/>
      <c r="F88" s="1428"/>
      <c r="G88" s="1428"/>
      <c r="H88" s="1764"/>
      <c r="I88" s="953" t="s">
        <v>1734</v>
      </c>
      <c r="J88" s="953" t="s">
        <v>1735</v>
      </c>
      <c r="K88" s="1316">
        <f t="shared" ref="K88:K96" si="5">B88</f>
        <v>0</v>
      </c>
      <c r="L88" s="1317">
        <f t="shared" ref="L88:L96" si="6">D88</f>
        <v>0</v>
      </c>
      <c r="M88" s="55">
        <f t="shared" ref="M88:M96" si="7">G88</f>
        <v>0</v>
      </c>
    </row>
    <row r="89" spans="1:13">
      <c r="A89">
        <v>13</v>
      </c>
      <c r="B89" s="1763"/>
      <c r="C89" s="1428"/>
      <c r="D89" s="1428"/>
      <c r="E89" s="1428"/>
      <c r="F89" s="1428"/>
      <c r="G89" s="1428"/>
      <c r="H89" s="1764"/>
      <c r="I89" s="953" t="s">
        <v>1736</v>
      </c>
      <c r="J89" s="953" t="s">
        <v>1737</v>
      </c>
      <c r="K89" s="1316">
        <f t="shared" si="5"/>
        <v>0</v>
      </c>
      <c r="L89" s="1317">
        <f t="shared" si="6"/>
        <v>0</v>
      </c>
      <c r="M89" s="55">
        <f t="shared" si="7"/>
        <v>0</v>
      </c>
    </row>
    <row r="90" spans="1:13">
      <c r="A90">
        <v>14</v>
      </c>
      <c r="B90" s="1763"/>
      <c r="C90" s="1428"/>
      <c r="D90" s="1428"/>
      <c r="E90" s="1428"/>
      <c r="F90" s="1428"/>
      <c r="G90" s="1428"/>
      <c r="H90" s="1764"/>
      <c r="I90" s="953" t="s">
        <v>1738</v>
      </c>
      <c r="J90" s="953" t="s">
        <v>1739</v>
      </c>
      <c r="K90" s="1316">
        <f t="shared" si="5"/>
        <v>0</v>
      </c>
      <c r="L90" s="1317">
        <f t="shared" si="6"/>
        <v>0</v>
      </c>
      <c r="M90" s="55">
        <f t="shared" si="7"/>
        <v>0</v>
      </c>
    </row>
    <row r="91" spans="1:13">
      <c r="A91">
        <v>15</v>
      </c>
      <c r="B91" s="1763"/>
      <c r="C91" s="1428"/>
      <c r="D91" s="1428"/>
      <c r="E91" s="1428"/>
      <c r="F91" s="1428"/>
      <c r="G91" s="1428"/>
      <c r="H91" s="1764"/>
      <c r="I91" s="953" t="s">
        <v>1740</v>
      </c>
      <c r="J91" s="953" t="s">
        <v>1741</v>
      </c>
      <c r="K91" s="1316">
        <f t="shared" si="5"/>
        <v>0</v>
      </c>
      <c r="L91" s="1317">
        <f t="shared" si="6"/>
        <v>0</v>
      </c>
      <c r="M91" s="55">
        <f t="shared" si="7"/>
        <v>0</v>
      </c>
    </row>
    <row r="92" spans="1:13">
      <c r="A92">
        <v>16</v>
      </c>
      <c r="B92" s="1763"/>
      <c r="C92" s="1428"/>
      <c r="D92" s="1428"/>
      <c r="E92" s="1428"/>
      <c r="F92" s="1428"/>
      <c r="G92" s="1428"/>
      <c r="H92" s="1764"/>
      <c r="I92" s="953" t="s">
        <v>1742</v>
      </c>
      <c r="J92" s="953" t="s">
        <v>1743</v>
      </c>
      <c r="K92" s="1316">
        <f t="shared" si="5"/>
        <v>0</v>
      </c>
      <c r="L92" s="1317">
        <f t="shared" si="6"/>
        <v>0</v>
      </c>
      <c r="M92" s="55">
        <f t="shared" si="7"/>
        <v>0</v>
      </c>
    </row>
    <row r="93" spans="1:13">
      <c r="A93">
        <v>17</v>
      </c>
      <c r="B93" s="1763"/>
      <c r="C93" s="1428"/>
      <c r="D93" s="1428"/>
      <c r="E93" s="1428"/>
      <c r="F93" s="1428"/>
      <c r="G93" s="1428"/>
      <c r="H93" s="1764"/>
      <c r="I93" s="953" t="s">
        <v>1744</v>
      </c>
      <c r="J93" s="953" t="s">
        <v>1745</v>
      </c>
      <c r="K93" s="1316">
        <f t="shared" si="5"/>
        <v>0</v>
      </c>
      <c r="L93" s="1317">
        <f t="shared" si="6"/>
        <v>0</v>
      </c>
      <c r="M93" s="55">
        <f t="shared" si="7"/>
        <v>0</v>
      </c>
    </row>
    <row r="94" spans="1:13">
      <c r="A94">
        <v>18</v>
      </c>
      <c r="B94" s="1763"/>
      <c r="C94" s="1428"/>
      <c r="D94" s="1428"/>
      <c r="E94" s="1428"/>
      <c r="F94" s="1428"/>
      <c r="G94" s="1428"/>
      <c r="H94" s="1764"/>
      <c r="I94" s="953" t="s">
        <v>1746</v>
      </c>
      <c r="J94" s="953" t="s">
        <v>1747</v>
      </c>
      <c r="K94" s="1316">
        <f t="shared" si="5"/>
        <v>0</v>
      </c>
      <c r="L94" s="1317">
        <f t="shared" si="6"/>
        <v>0</v>
      </c>
      <c r="M94" s="55">
        <f t="shared" si="7"/>
        <v>0</v>
      </c>
    </row>
    <row r="95" spans="1:13">
      <c r="A95">
        <v>19</v>
      </c>
      <c r="B95" s="1763"/>
      <c r="C95" s="1428"/>
      <c r="D95" s="1428"/>
      <c r="E95" s="1428"/>
      <c r="F95" s="1428"/>
      <c r="G95" s="1428"/>
      <c r="H95" s="1764"/>
      <c r="I95" s="953" t="s">
        <v>1748</v>
      </c>
      <c r="J95" s="953" t="s">
        <v>1749</v>
      </c>
      <c r="K95" s="1316">
        <f t="shared" si="5"/>
        <v>0</v>
      </c>
      <c r="L95" s="1317">
        <f t="shared" si="6"/>
        <v>0</v>
      </c>
      <c r="M95" s="55">
        <f t="shared" si="7"/>
        <v>0</v>
      </c>
    </row>
    <row r="96" spans="1:13" ht="15" thickBot="1">
      <c r="A96">
        <v>20</v>
      </c>
      <c r="B96" s="1765"/>
      <c r="C96" s="1766"/>
      <c r="D96" s="1766"/>
      <c r="E96" s="1766"/>
      <c r="F96" s="1766"/>
      <c r="G96" s="1766"/>
      <c r="H96" s="1767"/>
      <c r="I96" s="953" t="s">
        <v>2991</v>
      </c>
      <c r="J96" s="953" t="s">
        <v>2992</v>
      </c>
      <c r="K96" s="1316">
        <f t="shared" si="5"/>
        <v>0</v>
      </c>
      <c r="L96" s="1317">
        <f t="shared" si="6"/>
        <v>0</v>
      </c>
      <c r="M96" s="55">
        <f t="shared" si="7"/>
        <v>0</v>
      </c>
    </row>
    <row r="97" spans="1:12">
      <c r="H97" s="954"/>
      <c r="I97" s="954"/>
    </row>
    <row r="98" spans="1:12" ht="18">
      <c r="A98" s="951" t="s">
        <v>1750</v>
      </c>
      <c r="B98" s="77"/>
      <c r="C98" s="943"/>
      <c r="D98" s="943"/>
      <c r="E98" s="943"/>
      <c r="F98" s="943"/>
      <c r="H98" s="954"/>
      <c r="I98" s="954"/>
    </row>
    <row r="99" spans="1:12" ht="18">
      <c r="A99" s="823"/>
      <c r="B99" s="246"/>
      <c r="C99" s="2213" t="s">
        <v>1751</v>
      </c>
      <c r="D99" s="2213"/>
      <c r="E99" s="2213"/>
      <c r="H99" s="954"/>
      <c r="I99" s="954"/>
    </row>
    <row r="100" spans="1:12" ht="69" customHeight="1">
      <c r="B100" s="952" t="s">
        <v>692</v>
      </c>
      <c r="C100" s="952" t="s">
        <v>1305</v>
      </c>
      <c r="D100" s="952" t="s">
        <v>1314</v>
      </c>
      <c r="E100" s="952" t="s">
        <v>1322</v>
      </c>
      <c r="F100" s="952" t="s">
        <v>2159</v>
      </c>
      <c r="G100" s="952" t="s">
        <v>1729</v>
      </c>
      <c r="H100" s="1676" t="s">
        <v>1280</v>
      </c>
      <c r="I100" s="1676" t="s">
        <v>1731</v>
      </c>
    </row>
    <row r="101" spans="1:12">
      <c r="A101">
        <v>1</v>
      </c>
      <c r="B101" s="1429"/>
      <c r="C101" s="1428"/>
      <c r="D101" s="1428"/>
      <c r="E101" s="1428"/>
      <c r="F101" s="1428"/>
      <c r="G101" s="1428"/>
      <c r="H101" s="1428"/>
      <c r="I101" s="1428"/>
      <c r="K101" s="1316">
        <f>B101</f>
        <v>0</v>
      </c>
      <c r="L101" s="55">
        <f>H101</f>
        <v>0</v>
      </c>
    </row>
    <row r="102" spans="1:12">
      <c r="A102">
        <v>2</v>
      </c>
      <c r="B102" s="1430"/>
      <c r="C102" s="1428"/>
      <c r="D102" s="1428"/>
      <c r="E102" s="1428"/>
      <c r="F102" s="1428"/>
      <c r="G102" s="1428"/>
      <c r="H102" s="1428"/>
      <c r="I102" s="1428"/>
      <c r="K102" s="1316">
        <f t="shared" ref="K102:K110" si="8">B102</f>
        <v>0</v>
      </c>
      <c r="L102" s="55">
        <f t="shared" ref="L102:L110" si="9">H102</f>
        <v>0</v>
      </c>
    </row>
    <row r="103" spans="1:12">
      <c r="A103">
        <v>3</v>
      </c>
      <c r="B103" s="1430"/>
      <c r="C103" s="1428"/>
      <c r="D103" s="1428"/>
      <c r="E103" s="1428"/>
      <c r="F103" s="1428"/>
      <c r="G103" s="1428"/>
      <c r="H103" s="1428"/>
      <c r="I103" s="1428"/>
      <c r="K103" s="1316">
        <f t="shared" si="8"/>
        <v>0</v>
      </c>
      <c r="L103" s="55">
        <f t="shared" si="9"/>
        <v>0</v>
      </c>
    </row>
    <row r="104" spans="1:12">
      <c r="A104">
        <v>4</v>
      </c>
      <c r="B104" s="1430"/>
      <c r="C104" s="1428"/>
      <c r="D104" s="1428"/>
      <c r="E104" s="1428"/>
      <c r="F104" s="1428"/>
      <c r="G104" s="1428"/>
      <c r="H104" s="1428"/>
      <c r="I104" s="1428"/>
      <c r="K104" s="1316">
        <f t="shared" si="8"/>
        <v>0</v>
      </c>
      <c r="L104" s="55">
        <f t="shared" si="9"/>
        <v>0</v>
      </c>
    </row>
    <row r="105" spans="1:12">
      <c r="A105">
        <v>5</v>
      </c>
      <c r="B105" s="1430"/>
      <c r="C105" s="1428"/>
      <c r="D105" s="1428"/>
      <c r="E105" s="1428"/>
      <c r="F105" s="1428"/>
      <c r="G105" s="1428"/>
      <c r="H105" s="1428"/>
      <c r="I105" s="1428"/>
      <c r="K105" s="1316">
        <f t="shared" si="8"/>
        <v>0</v>
      </c>
      <c r="L105" s="55">
        <f t="shared" si="9"/>
        <v>0</v>
      </c>
    </row>
    <row r="106" spans="1:12">
      <c r="A106">
        <v>6</v>
      </c>
      <c r="B106" s="1430"/>
      <c r="C106" s="1428"/>
      <c r="D106" s="1428"/>
      <c r="E106" s="1428"/>
      <c r="F106" s="1428"/>
      <c r="G106" s="1428"/>
      <c r="H106" s="1428"/>
      <c r="I106" s="1428"/>
      <c r="K106" s="1316">
        <f t="shared" si="8"/>
        <v>0</v>
      </c>
      <c r="L106" s="55">
        <f t="shared" si="9"/>
        <v>0</v>
      </c>
    </row>
    <row r="107" spans="1:12">
      <c r="A107">
        <v>7</v>
      </c>
      <c r="B107" s="1430"/>
      <c r="C107" s="1428"/>
      <c r="D107" s="1428"/>
      <c r="E107" s="1428"/>
      <c r="F107" s="1428"/>
      <c r="G107" s="1428"/>
      <c r="H107" s="1428"/>
      <c r="I107" s="1428"/>
      <c r="K107" s="1316">
        <f t="shared" si="8"/>
        <v>0</v>
      </c>
      <c r="L107" s="55">
        <f t="shared" si="9"/>
        <v>0</v>
      </c>
    </row>
    <row r="108" spans="1:12">
      <c r="A108">
        <v>8</v>
      </c>
      <c r="B108" s="1430"/>
      <c r="C108" s="1428"/>
      <c r="D108" s="1428"/>
      <c r="E108" s="1428"/>
      <c r="F108" s="1428"/>
      <c r="G108" s="1428"/>
      <c r="H108" s="1428"/>
      <c r="I108" s="1428"/>
      <c r="K108" s="1316">
        <f t="shared" si="8"/>
        <v>0</v>
      </c>
      <c r="L108" s="55">
        <f t="shared" si="9"/>
        <v>0</v>
      </c>
    </row>
    <row r="109" spans="1:12">
      <c r="A109">
        <v>9</v>
      </c>
      <c r="B109" s="1430"/>
      <c r="C109" s="1428"/>
      <c r="D109" s="1428"/>
      <c r="E109" s="1428"/>
      <c r="F109" s="1428"/>
      <c r="G109" s="1428"/>
      <c r="H109" s="1428"/>
      <c r="I109" s="1428"/>
      <c r="K109" s="1316">
        <f t="shared" si="8"/>
        <v>0</v>
      </c>
      <c r="L109" s="55">
        <f t="shared" si="9"/>
        <v>0</v>
      </c>
    </row>
    <row r="110" spans="1:12">
      <c r="A110">
        <v>10</v>
      </c>
      <c r="B110" s="1430"/>
      <c r="C110" s="1428"/>
      <c r="D110" s="1428"/>
      <c r="E110" s="1428"/>
      <c r="F110" s="1428"/>
      <c r="G110" s="1428"/>
      <c r="H110" s="1428"/>
      <c r="I110" s="1428"/>
      <c r="K110" s="1316">
        <f t="shared" si="8"/>
        <v>0</v>
      </c>
      <c r="L110" s="55">
        <f t="shared" si="9"/>
        <v>0</v>
      </c>
    </row>
    <row r="111" spans="1:12">
      <c r="F111" s="875"/>
      <c r="H111" s="954"/>
      <c r="I111" s="954"/>
    </row>
    <row r="112" spans="1:12" ht="15.6">
      <c r="B112" s="827"/>
      <c r="C112" s="876"/>
      <c r="D112" s="829"/>
      <c r="F112" s="875"/>
      <c r="G112" s="875"/>
      <c r="H112" s="954"/>
      <c r="I112" s="954"/>
    </row>
    <row r="113" spans="1:9">
      <c r="A113" s="190"/>
      <c r="B113" s="190"/>
      <c r="C113" s="190"/>
      <c r="D113" s="190"/>
      <c r="E113" s="190"/>
      <c r="F113" s="190"/>
      <c r="G113" s="190"/>
      <c r="H113" s="190"/>
      <c r="I113" s="190"/>
    </row>
  </sheetData>
  <sheetProtection algorithmName="SHA-512" hashValue="q+R7C9HxRB81H9RgZuyfYw0BrR7Mozx1ffYqSK0sZAr9q4JrF1abcOKbNSOODY9ABnnH/rv3D7orGXNHTd4EzA==" saltValue="WXyIXtGBjah+sgkZ4yFZWg==" spinCount="100000" sheet="1" formatColumns="0" formatRows="0"/>
  <mergeCells count="57">
    <mergeCell ref="A72:G72"/>
    <mergeCell ref="C99:E99"/>
    <mergeCell ref="B55:D55"/>
    <mergeCell ref="B56:D56"/>
    <mergeCell ref="B57:D57"/>
    <mergeCell ref="B58:D58"/>
    <mergeCell ref="B59:D59"/>
    <mergeCell ref="B60:D60"/>
    <mergeCell ref="B61:D61"/>
    <mergeCell ref="B62:D62"/>
    <mergeCell ref="B63:D63"/>
    <mergeCell ref="B64:D64"/>
    <mergeCell ref="B65:D65"/>
    <mergeCell ref="B66:D66"/>
    <mergeCell ref="B67:D67"/>
    <mergeCell ref="B54:D54"/>
    <mergeCell ref="B43:F43"/>
    <mergeCell ref="C45:D45"/>
    <mergeCell ref="E45:F45"/>
    <mergeCell ref="A46:F46"/>
    <mergeCell ref="B47:F47"/>
    <mergeCell ref="B48:F48"/>
    <mergeCell ref="A49:F49"/>
    <mergeCell ref="A50:F50"/>
    <mergeCell ref="A51:F51"/>
    <mergeCell ref="B52:D52"/>
    <mergeCell ref="B53:D53"/>
    <mergeCell ref="B38:F38"/>
    <mergeCell ref="B39:F39"/>
    <mergeCell ref="D40:F40"/>
    <mergeCell ref="B41:F41"/>
    <mergeCell ref="B42:C42"/>
    <mergeCell ref="E42:F42"/>
    <mergeCell ref="B37:F37"/>
    <mergeCell ref="B22:F22"/>
    <mergeCell ref="B23:F23"/>
    <mergeCell ref="B24:F24"/>
    <mergeCell ref="B25:F25"/>
    <mergeCell ref="B32:F32"/>
    <mergeCell ref="B33:F33"/>
    <mergeCell ref="B34:F34"/>
    <mergeCell ref="B35:F35"/>
    <mergeCell ref="B36:F36"/>
    <mergeCell ref="A26:A30"/>
    <mergeCell ref="B31:F31"/>
    <mergeCell ref="B16:F16"/>
    <mergeCell ref="B17:F17"/>
    <mergeCell ref="A18:F18"/>
    <mergeCell ref="B19:F19"/>
    <mergeCell ref="B20:F20"/>
    <mergeCell ref="B21:F21"/>
    <mergeCell ref="B15:F15"/>
    <mergeCell ref="A3:D3"/>
    <mergeCell ref="E7:F7"/>
    <mergeCell ref="E8:F8"/>
    <mergeCell ref="B13:F13"/>
    <mergeCell ref="B14:F14"/>
  </mergeCells>
  <phoneticPr fontId="188" type="noConversion"/>
  <conditionalFormatting sqref="B13:F13">
    <cfRule type="expression" dxfId="71" priority="50">
      <formula>ISBLANK(B13)</formula>
    </cfRule>
  </conditionalFormatting>
  <conditionalFormatting sqref="B15:F15 B16">
    <cfRule type="expression" dxfId="70" priority="49">
      <formula>ISBLANK(B15)</formula>
    </cfRule>
  </conditionalFormatting>
  <conditionalFormatting sqref="B17:F17">
    <cfRule type="expression" dxfId="69" priority="48">
      <formula>ISBLANK(B17)</formula>
    </cfRule>
  </conditionalFormatting>
  <conditionalFormatting sqref="B45">
    <cfRule type="expression" dxfId="68" priority="47" stopIfTrue="1">
      <formula>ISBLANK($C$41)</formula>
    </cfRule>
  </conditionalFormatting>
  <conditionalFormatting sqref="B42">
    <cfRule type="expression" dxfId="67" priority="46" stopIfTrue="1">
      <formula>ISBLANK($C$41)</formula>
    </cfRule>
  </conditionalFormatting>
  <conditionalFormatting sqref="E45">
    <cfRule type="expression" dxfId="66" priority="45" stopIfTrue="1">
      <formula>ISBLANK($G$45)</formula>
    </cfRule>
  </conditionalFormatting>
  <conditionalFormatting sqref="B48">
    <cfRule type="expression" dxfId="65" priority="34" stopIfTrue="1">
      <formula>ISBLANK($C$41)</formula>
    </cfRule>
  </conditionalFormatting>
  <conditionalFormatting sqref="E42">
    <cfRule type="expression" dxfId="64" priority="33" stopIfTrue="1">
      <formula>ISBLANK($G$45)</formula>
    </cfRule>
  </conditionalFormatting>
  <conditionalFormatting sqref="B11">
    <cfRule type="expression" dxfId="63" priority="32">
      <formula>ISBLANK(B11)</formula>
    </cfRule>
  </conditionalFormatting>
  <conditionalFormatting sqref="F10">
    <cfRule type="expression" dxfId="62" priority="21">
      <formula>$F$2="OUI"</formula>
    </cfRule>
    <cfRule type="expression" dxfId="61" priority="31">
      <formula>ISBLANK(F10)</formula>
    </cfRule>
  </conditionalFormatting>
  <conditionalFormatting sqref="B20:B21">
    <cfRule type="expression" dxfId="60" priority="30">
      <formula>ISBLANK(B20)</formula>
    </cfRule>
  </conditionalFormatting>
  <conditionalFormatting sqref="B27:B30">
    <cfRule type="expression" dxfId="59" priority="29">
      <formula>ISBLANK(B27)</formula>
    </cfRule>
  </conditionalFormatting>
  <conditionalFormatting sqref="F26:F30 D26:D30">
    <cfRule type="expression" dxfId="58" priority="28">
      <formula>ISBLANK(D26)</formula>
    </cfRule>
  </conditionalFormatting>
  <conditionalFormatting sqref="B32:B33">
    <cfRule type="expression" dxfId="57" priority="27">
      <formula>ISBLANK(B32)</formula>
    </cfRule>
  </conditionalFormatting>
  <conditionalFormatting sqref="E53:E60 A53:B60 G53:G60">
    <cfRule type="expression" dxfId="56" priority="26">
      <formula>ISBLANK(A53)</formula>
    </cfRule>
  </conditionalFormatting>
  <conditionalFormatting sqref="A10:D11">
    <cfRule type="expression" dxfId="55" priority="23">
      <formula>$F$3="OUI"</formula>
    </cfRule>
  </conditionalFormatting>
  <conditionalFormatting sqref="E10">
    <cfRule type="expression" dxfId="54" priority="22">
      <formula>$F$2="OUI"</formula>
    </cfRule>
  </conditionalFormatting>
  <conditionalFormatting sqref="B37:F37">
    <cfRule type="expression" dxfId="53" priority="20">
      <formula>ISBLANK(B37)</formula>
    </cfRule>
  </conditionalFormatting>
  <conditionalFormatting sqref="B101">
    <cfRule type="expression" dxfId="52" priority="18">
      <formula>ISBLANK(B101)</formula>
    </cfRule>
  </conditionalFormatting>
  <conditionalFormatting sqref="D102:D110">
    <cfRule type="expression" dxfId="51" priority="17">
      <formula>ISBLANK(D102)</formula>
    </cfRule>
  </conditionalFormatting>
  <conditionalFormatting sqref="G101:G110">
    <cfRule type="expression" dxfId="50" priority="16">
      <formula>ISBLANK(G101)</formula>
    </cfRule>
  </conditionalFormatting>
  <conditionalFormatting sqref="B102:C110">
    <cfRule type="expression" dxfId="49" priority="15">
      <formula>ISBLANK(B102)</formula>
    </cfRule>
  </conditionalFormatting>
  <conditionalFormatting sqref="C101">
    <cfRule type="expression" dxfId="48" priority="14">
      <formula>ISBLANK(C101)</formula>
    </cfRule>
  </conditionalFormatting>
  <conditionalFormatting sqref="D101">
    <cfRule type="expression" dxfId="47" priority="13">
      <formula>ISBLANK(D101)</formula>
    </cfRule>
  </conditionalFormatting>
  <conditionalFormatting sqref="E102:E110">
    <cfRule type="expression" dxfId="46" priority="12">
      <formula>ISBLANK(E102)</formula>
    </cfRule>
  </conditionalFormatting>
  <conditionalFormatting sqref="E101">
    <cfRule type="expression" dxfId="45" priority="11">
      <formula>ISBLANK(E101)</formula>
    </cfRule>
  </conditionalFormatting>
  <conditionalFormatting sqref="H101:H110">
    <cfRule type="expression" dxfId="44" priority="10">
      <formula>ISBLANK(H101)</formula>
    </cfRule>
  </conditionalFormatting>
  <conditionalFormatting sqref="B101:E110 G101:H110">
    <cfRule type="expression" dxfId="43" priority="8">
      <formula>ISBLANK(B101)</formula>
    </cfRule>
  </conditionalFormatting>
  <conditionalFormatting sqref="I101:I110">
    <cfRule type="expression" dxfId="42" priority="7">
      <formula>ISBLANK(I101)</formula>
    </cfRule>
  </conditionalFormatting>
  <conditionalFormatting sqref="F53:F60">
    <cfRule type="expression" dxfId="41" priority="6">
      <formula>ISBLANK(F53)</formula>
    </cfRule>
  </conditionalFormatting>
  <conditionalFormatting sqref="F101:F110">
    <cfRule type="expression" dxfId="40" priority="5">
      <formula>ISBLANK(F101)</formula>
    </cfRule>
  </conditionalFormatting>
  <conditionalFormatting sqref="A61:B67 E61:E67 G61:G67">
    <cfRule type="expression" dxfId="39" priority="4">
      <formula>ISBLANK(A61)</formula>
    </cfRule>
  </conditionalFormatting>
  <conditionalFormatting sqref="F61:F67">
    <cfRule type="expression" dxfId="38" priority="3">
      <formula>ISBLANK(F61)</formula>
    </cfRule>
  </conditionalFormatting>
  <conditionalFormatting sqref="C77:C86 E77:H86">
    <cfRule type="expression" dxfId="37" priority="2">
      <formula>ISBLANK(C77)</formula>
    </cfRule>
  </conditionalFormatting>
  <conditionalFormatting sqref="B87:H96">
    <cfRule type="expression" dxfId="36" priority="1">
      <formula>ISBLANK(B87)</formula>
    </cfRule>
  </conditionalFormatting>
  <dataValidations count="13">
    <dataValidation type="list" allowBlank="1" showInputMessage="1" showErrorMessage="1" sqref="D40:F40" xr:uid="{E7FB7990-E40A-4770-8E3D-108BCC373144}">
      <formula1>DEPENSE</formula1>
    </dataValidation>
    <dataValidation type="list" showInputMessage="1" showErrorMessage="1" sqref="D26:D30" xr:uid="{6F224950-5B01-4635-A053-42147C8C6142}">
      <formula1>Parties_prenantes</formula1>
    </dataValidation>
    <dataValidation type="list" allowBlank="1" showInputMessage="1" showErrorMessage="1" sqref="B11" xr:uid="{785A2561-C9EB-42FB-B429-18F10FCC9392}">
      <formula1>Axe_precarite</formula1>
    </dataValidation>
    <dataValidation type="list" showInputMessage="1" showErrorMessage="1" sqref="F10" xr:uid="{AE38DCDA-4106-49FD-91D7-5D79905F5057}">
      <formula1>Risque</formula1>
    </dataValidation>
    <dataValidation type="list" showInputMessage="1" showErrorMessage="1" sqref="G53:G60" xr:uid="{E144A454-518C-4140-A612-3A9FC2B19F5A}">
      <formula1>Avancement</formula1>
    </dataValidation>
    <dataValidation type="list" showInputMessage="1" showErrorMessage="1" sqref="H101:H110" xr:uid="{414B8B8F-3D08-4AD3-846E-969B43080F13}">
      <formula1>Etat</formula1>
    </dataValidation>
    <dataValidation type="list" showInputMessage="1" showErrorMessage="1" sqref="I101:I110 H77:H96" xr:uid="{1066F5C3-99D4-412E-884C-3984F8A2DC7E}">
      <formula1>selection</formula1>
    </dataValidation>
    <dataValidation type="list" showInputMessage="1" showErrorMessage="1" sqref="F101:F110 F53:F60 E87:E96" xr:uid="{B3833722-8C6A-47BE-BF3A-D363F8AC8A69}">
      <formula1>Année</formula1>
    </dataValidation>
    <dataValidation type="decimal" operator="greaterThanOrEqual" showInputMessage="1" showErrorMessage="1" sqref="E53:E60" xr:uid="{328D9451-0512-45AF-BF4A-6C756B983B85}">
      <formula1>0</formula1>
    </dataValidation>
    <dataValidation type="list" allowBlank="1" showInputMessage="1" showErrorMessage="1" sqref="G61:G67" xr:uid="{444D4F80-A3AA-4A7D-8EB1-E4A8A1E650BA}">
      <formula1>Avancement</formula1>
    </dataValidation>
    <dataValidation type="decimal" allowBlank="1" showInputMessage="1" showErrorMessage="1" sqref="E61:E67" xr:uid="{736A06F6-D0C6-4C8B-8ACB-40ED117E45A9}">
      <formula1>0</formula1>
      <formula2>365</formula2>
    </dataValidation>
    <dataValidation type="list" showInputMessage="1" showErrorMessage="1" error="Veuillez sélectionner une année dans le menu déroulant" sqref="F61:F67" xr:uid="{6FFE2E22-9021-46D9-B15A-09211D0C7FDA}">
      <formula1>Année</formula1>
    </dataValidation>
    <dataValidation type="decimal" operator="greaterThan" allowBlank="1" showInputMessage="1" showErrorMessage="1" sqref="G77:G96" xr:uid="{08456BED-35E8-4046-B23E-AE2E228D26CB}">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331073" r:id="rId3" name="Check Box 1">
              <controlPr locked="0" defaultSize="0" autoFill="0" autoLine="0" autoPict="0">
                <anchor moveWithCells="1">
                  <from>
                    <xdr:col>1</xdr:col>
                    <xdr:colOff>350520</xdr:colOff>
                    <xdr:row>21</xdr:row>
                    <xdr:rowOff>152400</xdr:rowOff>
                  </from>
                  <to>
                    <xdr:col>1</xdr:col>
                    <xdr:colOff>632460</xdr:colOff>
                    <xdr:row>21</xdr:row>
                    <xdr:rowOff>381000</xdr:rowOff>
                  </to>
                </anchor>
              </controlPr>
            </control>
          </mc:Choice>
        </mc:AlternateContent>
        <mc:AlternateContent xmlns:mc="http://schemas.openxmlformats.org/markup-compatibility/2006">
          <mc:Choice Requires="x14">
            <control shapeId="51331074" r:id="rId4" name="Check Box 2">
              <controlPr locked="0" defaultSize="0" autoFill="0" autoLine="0" autoPict="0">
                <anchor moveWithCells="1">
                  <from>
                    <xdr:col>1</xdr:col>
                    <xdr:colOff>350520</xdr:colOff>
                    <xdr:row>21</xdr:row>
                    <xdr:rowOff>480060</xdr:rowOff>
                  </from>
                  <to>
                    <xdr:col>1</xdr:col>
                    <xdr:colOff>632460</xdr:colOff>
                    <xdr:row>21</xdr:row>
                    <xdr:rowOff>708660</xdr:rowOff>
                  </to>
                </anchor>
              </controlPr>
            </control>
          </mc:Choice>
        </mc:AlternateContent>
        <mc:AlternateContent xmlns:mc="http://schemas.openxmlformats.org/markup-compatibility/2006">
          <mc:Choice Requires="x14">
            <control shapeId="51331075" r:id="rId5" name="Check Box 3">
              <controlPr locked="0" defaultSize="0" autoFill="0" autoLine="0" autoPict="0">
                <anchor moveWithCells="1">
                  <from>
                    <xdr:col>1</xdr:col>
                    <xdr:colOff>335280</xdr:colOff>
                    <xdr:row>21</xdr:row>
                    <xdr:rowOff>830580</xdr:rowOff>
                  </from>
                  <to>
                    <xdr:col>1</xdr:col>
                    <xdr:colOff>617220</xdr:colOff>
                    <xdr:row>21</xdr:row>
                    <xdr:rowOff>1059180</xdr:rowOff>
                  </to>
                </anchor>
              </controlPr>
            </control>
          </mc:Choice>
        </mc:AlternateContent>
        <mc:AlternateContent xmlns:mc="http://schemas.openxmlformats.org/markup-compatibility/2006">
          <mc:Choice Requires="x14">
            <control shapeId="51331076" r:id="rId6" name="Check Box 4">
              <controlPr locked="0" defaultSize="0" autoFill="0" autoLine="0" autoPict="0">
                <anchor moveWithCells="1">
                  <from>
                    <xdr:col>1</xdr:col>
                    <xdr:colOff>2346960</xdr:colOff>
                    <xdr:row>21</xdr:row>
                    <xdr:rowOff>152400</xdr:rowOff>
                  </from>
                  <to>
                    <xdr:col>2</xdr:col>
                    <xdr:colOff>274320</xdr:colOff>
                    <xdr:row>21</xdr:row>
                    <xdr:rowOff>381000</xdr:rowOff>
                  </to>
                </anchor>
              </controlPr>
            </control>
          </mc:Choice>
        </mc:AlternateContent>
        <mc:AlternateContent xmlns:mc="http://schemas.openxmlformats.org/markup-compatibility/2006">
          <mc:Choice Requires="x14">
            <control shapeId="51331077" r:id="rId7" name="Check Box 5">
              <controlPr locked="0" defaultSize="0" autoFill="0" autoLine="0" autoPict="0">
                <anchor moveWithCells="1">
                  <from>
                    <xdr:col>1</xdr:col>
                    <xdr:colOff>2346960</xdr:colOff>
                    <xdr:row>21</xdr:row>
                    <xdr:rowOff>480060</xdr:rowOff>
                  </from>
                  <to>
                    <xdr:col>2</xdr:col>
                    <xdr:colOff>274320</xdr:colOff>
                    <xdr:row>21</xdr:row>
                    <xdr:rowOff>708660</xdr:rowOff>
                  </to>
                </anchor>
              </controlPr>
            </control>
          </mc:Choice>
        </mc:AlternateContent>
        <mc:AlternateContent xmlns:mc="http://schemas.openxmlformats.org/markup-compatibility/2006">
          <mc:Choice Requires="x14">
            <control shapeId="51331078" r:id="rId8" name="Check Box 6">
              <controlPr locked="0" defaultSize="0" autoFill="0" autoLine="0" autoPict="0">
                <anchor moveWithCells="1">
                  <from>
                    <xdr:col>1</xdr:col>
                    <xdr:colOff>2346960</xdr:colOff>
                    <xdr:row>21</xdr:row>
                    <xdr:rowOff>830580</xdr:rowOff>
                  </from>
                  <to>
                    <xdr:col>2</xdr:col>
                    <xdr:colOff>274320</xdr:colOff>
                    <xdr:row>21</xdr:row>
                    <xdr:rowOff>1059180</xdr:rowOff>
                  </to>
                </anchor>
              </controlPr>
            </control>
          </mc:Choice>
        </mc:AlternateContent>
        <mc:AlternateContent xmlns:mc="http://schemas.openxmlformats.org/markup-compatibility/2006">
          <mc:Choice Requires="x14">
            <control shapeId="51331079" r:id="rId9" name="Check Box 7">
              <controlPr locked="0" defaultSize="0" autoFill="0" autoLine="0" autoPict="0">
                <anchor moveWithCells="1">
                  <from>
                    <xdr:col>2</xdr:col>
                    <xdr:colOff>1981200</xdr:colOff>
                    <xdr:row>21</xdr:row>
                    <xdr:rowOff>152400</xdr:rowOff>
                  </from>
                  <to>
                    <xdr:col>3</xdr:col>
                    <xdr:colOff>22860</xdr:colOff>
                    <xdr:row>21</xdr:row>
                    <xdr:rowOff>381000</xdr:rowOff>
                  </to>
                </anchor>
              </controlPr>
            </control>
          </mc:Choice>
        </mc:AlternateContent>
        <mc:AlternateContent xmlns:mc="http://schemas.openxmlformats.org/markup-compatibility/2006">
          <mc:Choice Requires="x14">
            <control shapeId="51331080" r:id="rId10" name="Check Box 8">
              <controlPr locked="0" defaultSize="0" autoFill="0" autoLine="0" autoPict="0">
                <anchor moveWithCells="1">
                  <from>
                    <xdr:col>2</xdr:col>
                    <xdr:colOff>1988820</xdr:colOff>
                    <xdr:row>21</xdr:row>
                    <xdr:rowOff>480060</xdr:rowOff>
                  </from>
                  <to>
                    <xdr:col>3</xdr:col>
                    <xdr:colOff>22860</xdr:colOff>
                    <xdr:row>21</xdr:row>
                    <xdr:rowOff>708660</xdr:rowOff>
                  </to>
                </anchor>
              </controlPr>
            </control>
          </mc:Choice>
        </mc:AlternateContent>
        <mc:AlternateContent xmlns:mc="http://schemas.openxmlformats.org/markup-compatibility/2006">
          <mc:Choice Requires="x14">
            <control shapeId="51331081" r:id="rId11" name="Check Box 9">
              <controlPr locked="0" defaultSize="0" autoFill="0" autoLine="0" autoPict="0">
                <anchor moveWithCells="1">
                  <from>
                    <xdr:col>2</xdr:col>
                    <xdr:colOff>2004060</xdr:colOff>
                    <xdr:row>21</xdr:row>
                    <xdr:rowOff>830580</xdr:rowOff>
                  </from>
                  <to>
                    <xdr:col>3</xdr:col>
                    <xdr:colOff>30480</xdr:colOff>
                    <xdr:row>21</xdr:row>
                    <xdr:rowOff>1059180</xdr:rowOff>
                  </to>
                </anchor>
              </controlPr>
            </control>
          </mc:Choice>
        </mc:AlternateContent>
        <mc:AlternateContent xmlns:mc="http://schemas.openxmlformats.org/markup-compatibility/2006">
          <mc:Choice Requires="x14">
            <control shapeId="51331082" r:id="rId12" name="Check Box 10">
              <controlPr locked="0" defaultSize="0" autoFill="0" autoLine="0" autoPict="0">
                <anchor moveWithCells="1">
                  <from>
                    <xdr:col>3</xdr:col>
                    <xdr:colOff>1737360</xdr:colOff>
                    <xdr:row>21</xdr:row>
                    <xdr:rowOff>152400</xdr:rowOff>
                  </from>
                  <to>
                    <xdr:col>4</xdr:col>
                    <xdr:colOff>0</xdr:colOff>
                    <xdr:row>21</xdr:row>
                    <xdr:rowOff>381000</xdr:rowOff>
                  </to>
                </anchor>
              </controlPr>
            </control>
          </mc:Choice>
        </mc:AlternateContent>
        <mc:AlternateContent xmlns:mc="http://schemas.openxmlformats.org/markup-compatibility/2006">
          <mc:Choice Requires="x14">
            <control shapeId="51331083" r:id="rId13" name="Check Box 11">
              <controlPr locked="0" defaultSize="0" autoFill="0" autoLine="0" autoPict="0">
                <anchor moveWithCells="1">
                  <from>
                    <xdr:col>3</xdr:col>
                    <xdr:colOff>1737360</xdr:colOff>
                    <xdr:row>21</xdr:row>
                    <xdr:rowOff>480060</xdr:rowOff>
                  </from>
                  <to>
                    <xdr:col>4</xdr:col>
                    <xdr:colOff>0</xdr:colOff>
                    <xdr:row>21</xdr:row>
                    <xdr:rowOff>708660</xdr:rowOff>
                  </to>
                </anchor>
              </controlPr>
            </control>
          </mc:Choice>
        </mc:AlternateContent>
        <mc:AlternateContent xmlns:mc="http://schemas.openxmlformats.org/markup-compatibility/2006">
          <mc:Choice Requires="x14">
            <control shapeId="51331084" r:id="rId14" name="Check Box 12">
              <controlPr locked="0" defaultSize="0" autoFill="0" autoLine="0" autoPict="0">
                <anchor moveWithCells="1">
                  <from>
                    <xdr:col>3</xdr:col>
                    <xdr:colOff>1744980</xdr:colOff>
                    <xdr:row>21</xdr:row>
                    <xdr:rowOff>830580</xdr:rowOff>
                  </from>
                  <to>
                    <xdr:col>4</xdr:col>
                    <xdr:colOff>0</xdr:colOff>
                    <xdr:row>21</xdr:row>
                    <xdr:rowOff>1059180</xdr:rowOff>
                  </to>
                </anchor>
              </controlPr>
            </control>
          </mc:Choice>
        </mc:AlternateContent>
        <mc:AlternateContent xmlns:mc="http://schemas.openxmlformats.org/markup-compatibility/2006">
          <mc:Choice Requires="x14">
            <control shapeId="51331085" r:id="rId15" name="Check Box 13">
              <controlPr locked="0" defaultSize="0" autoFill="0" autoLine="0" autoPict="0">
                <anchor moveWithCells="1">
                  <from>
                    <xdr:col>4</xdr:col>
                    <xdr:colOff>1668780</xdr:colOff>
                    <xdr:row>21</xdr:row>
                    <xdr:rowOff>152400</xdr:rowOff>
                  </from>
                  <to>
                    <xdr:col>4</xdr:col>
                    <xdr:colOff>1950720</xdr:colOff>
                    <xdr:row>21</xdr:row>
                    <xdr:rowOff>381000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78BF-CDD9-4BA9-AC33-1FA8829A1871}">
  <sheetPr codeName="Feuil51">
    <tabColor rgb="FF92D050"/>
  </sheetPr>
  <dimension ref="A1:S113"/>
  <sheetViews>
    <sheetView showGridLines="0" zoomScale="80" zoomScaleNormal="80" workbookViewId="0"/>
  </sheetViews>
  <sheetFormatPr baseColWidth="10" defaultColWidth="11.44140625" defaultRowHeight="14.4"/>
  <cols>
    <col min="1" max="1" width="45.88671875" customWidth="1"/>
    <col min="2" max="2" width="34.44140625" customWidth="1"/>
    <col min="3" max="3" width="32.5546875" customWidth="1"/>
    <col min="4" max="4" width="30.109375" customWidth="1"/>
    <col min="5" max="5" width="39.44140625" customWidth="1"/>
    <col min="6" max="6" width="19.44140625" bestFit="1" customWidth="1"/>
    <col min="7" max="7" width="23.88671875" customWidth="1"/>
    <col min="8" max="8" width="22" customWidth="1"/>
    <col min="9" max="9" width="29.88671875" customWidth="1"/>
  </cols>
  <sheetData>
    <row r="1" spans="1:9" ht="15" thickBot="1"/>
    <row r="2" spans="1:9" ht="18.600000000000001" thickBot="1">
      <c r="E2" s="914" t="s">
        <v>708</v>
      </c>
      <c r="F2" s="1772" t="str">
        <f ca="1">IF('Rapportage POLLEC'!D10='Action POLLEC 6'!E2,"OUI","")</f>
        <v/>
      </c>
      <c r="G2" s="915"/>
      <c r="H2" s="915"/>
      <c r="I2" s="915"/>
    </row>
    <row r="3" spans="1:9" ht="26.4" thickBot="1">
      <c r="A3" s="2214" t="str">
        <f ca="1">"Action clé 6: "&amp;IF(ISERROR(INDIRECT("'"&amp;$F6&amp;"'!b$13")),"-",INDIRECT("'"&amp;$F6&amp;"'!b$13"))</f>
        <v>Action clé 6: -</v>
      </c>
      <c r="B3" s="2214"/>
      <c r="C3" s="2214"/>
      <c r="D3" s="2215"/>
      <c r="E3" s="916" t="s">
        <v>327</v>
      </c>
      <c r="F3" s="1772" t="str">
        <f ca="1">IF('Rapportage POLLEC'!D10='Action POLLEC 6'!E3,"OUI","")</f>
        <v/>
      </c>
      <c r="G3" s="915"/>
      <c r="H3" s="915"/>
      <c r="I3" s="915"/>
    </row>
    <row r="4" spans="1:9" ht="15.9" customHeight="1" thickBot="1">
      <c r="A4" s="809"/>
      <c r="B4" s="809"/>
      <c r="C4" s="809"/>
      <c r="D4" s="809"/>
      <c r="E4" s="917" t="s">
        <v>1276</v>
      </c>
      <c r="F4" s="1773" t="str">
        <f ca="1">IF('Rapportage POLLEC'!E10="x","OUI","")</f>
        <v/>
      </c>
      <c r="G4" s="915"/>
      <c r="H4" s="915"/>
      <c r="I4" s="915"/>
    </row>
    <row r="5" spans="1:9" ht="26.4" thickBot="1">
      <c r="A5" s="894"/>
      <c r="B5" s="894"/>
      <c r="C5" s="894"/>
      <c r="D5" s="894"/>
      <c r="E5" s="915"/>
      <c r="F5" s="918"/>
      <c r="G5" s="915"/>
      <c r="H5" s="915"/>
      <c r="I5" s="915"/>
    </row>
    <row r="6" spans="1:9" ht="18.600000000000001" thickBot="1">
      <c r="A6" s="919" t="s">
        <v>103</v>
      </c>
      <c r="B6" s="920"/>
      <c r="C6" s="920"/>
      <c r="D6" s="920"/>
      <c r="E6" s="921" t="s">
        <v>1682</v>
      </c>
      <c r="F6" s="1772" t="str">
        <f ca="1">'Rapportage POLLEC'!C10</f>
        <v/>
      </c>
      <c r="G6" s="915"/>
      <c r="H6" s="915"/>
      <c r="I6" s="915"/>
    </row>
    <row r="7" spans="1:9" ht="18.600000000000001" thickBot="1">
      <c r="A7" s="1786" t="str">
        <f ca="1">IF(ISERROR(INDIRECT("'"&amp;$F6&amp;"'!A5")),"-",INDIRECT("'"&amp;$F6&amp;"'!A5"))</f>
        <v>-</v>
      </c>
      <c r="B7" s="920"/>
      <c r="C7" s="920"/>
      <c r="D7" s="920"/>
      <c r="E7" s="2148" t="s">
        <v>717</v>
      </c>
      <c r="F7" s="2149"/>
      <c r="G7" s="915"/>
      <c r="H7" s="915"/>
      <c r="I7" s="915"/>
    </row>
    <row r="8" spans="1:9" ht="18.600000000000001" thickBot="1">
      <c r="A8" s="920"/>
      <c r="B8" s="923"/>
      <c r="C8" s="923"/>
      <c r="D8" s="923"/>
      <c r="E8" s="2150" t="str">
        <f ca="1">IF(ISERROR(INDIRECT("'"&amp;$F6&amp;"'!e6")),"-",INDIRECT("'"&amp;$F6&amp;"'!e6"))</f>
        <v>-</v>
      </c>
      <c r="F8" s="2151"/>
      <c r="G8" s="915"/>
      <c r="H8" s="915"/>
      <c r="I8" s="915"/>
    </row>
    <row r="9" spans="1:9" ht="23.1" customHeight="1" thickBot="1">
      <c r="A9" s="924"/>
      <c r="B9" s="878"/>
      <c r="C9" s="923"/>
      <c r="D9" s="923"/>
      <c r="E9" s="879"/>
      <c r="F9" s="879"/>
      <c r="G9" s="915"/>
      <c r="H9" s="915"/>
      <c r="I9" s="915"/>
    </row>
    <row r="10" spans="1:9" ht="18.600000000000001" thickBot="1">
      <c r="A10" s="922" t="s">
        <v>1683</v>
      </c>
      <c r="B10" s="1770" t="str">
        <f ca="1">IF(ISERROR(INDIRECT("'"&amp;$F6&amp;"'!b$9")),"-",INDIRECT("'"&amp;$F6&amp;"'!b$9"))</f>
        <v>-</v>
      </c>
      <c r="C10" s="922" t="s">
        <v>1684</v>
      </c>
      <c r="D10" s="1771" t="str">
        <f ca="1">IF(ISERROR(INDIRECT("'"&amp;$F6&amp;"'!d$9")),"-",INDIRECT("'"&amp;$F6&amp;"'!d$9"))</f>
        <v>-</v>
      </c>
      <c r="E10" s="955" t="s">
        <v>1685</v>
      </c>
      <c r="F10" s="893"/>
      <c r="G10" s="915"/>
      <c r="H10" s="915"/>
      <c r="I10" s="915"/>
    </row>
    <row r="11" spans="1:9" ht="18.600000000000001" thickBot="1">
      <c r="A11" s="926" t="s">
        <v>1686</v>
      </c>
      <c r="B11" s="925"/>
      <c r="C11" s="927"/>
      <c r="D11" s="927"/>
      <c r="E11" s="927"/>
      <c r="F11" s="927"/>
      <c r="G11" s="915"/>
      <c r="H11" s="915"/>
      <c r="I11" s="915"/>
    </row>
    <row r="12" spans="1:9" ht="18.600000000000001" thickBot="1">
      <c r="A12" s="812"/>
      <c r="B12" s="928"/>
      <c r="C12" s="928"/>
      <c r="D12" s="928"/>
      <c r="E12" s="877"/>
      <c r="F12" s="877"/>
      <c r="G12" s="915"/>
      <c r="H12" s="915"/>
      <c r="I12" s="915"/>
    </row>
    <row r="13" spans="1:9" ht="39.9" customHeight="1" thickBot="1">
      <c r="A13" s="929" t="s">
        <v>724</v>
      </c>
      <c r="B13" s="2152" t="str">
        <f ca="1">IF(ISERROR(INDIRECT("'"&amp;$F6&amp;"'!b$13")),"-",INDIRECT("'"&amp;$F6&amp;"'!b$13"))</f>
        <v>-</v>
      </c>
      <c r="C13" s="2153"/>
      <c r="D13" s="2153"/>
      <c r="E13" s="2153"/>
      <c r="F13" s="2154"/>
      <c r="G13" s="915"/>
      <c r="H13" s="915"/>
      <c r="I13" s="915"/>
    </row>
    <row r="14" spans="1:9" ht="29.4" hidden="1" customHeight="1" thickBot="1">
      <c r="A14" s="930" t="s">
        <v>1687</v>
      </c>
      <c r="B14" s="2155"/>
      <c r="C14" s="2155"/>
      <c r="D14" s="2155"/>
      <c r="E14" s="2155"/>
      <c r="F14" s="2155"/>
      <c r="G14" s="915"/>
      <c r="H14" s="915"/>
      <c r="I14" s="915"/>
    </row>
    <row r="15" spans="1:9" ht="70.5" hidden="1" customHeight="1">
      <c r="A15" s="931" t="s">
        <v>1688</v>
      </c>
      <c r="B15" s="2156"/>
      <c r="C15" s="2157"/>
      <c r="D15" s="2157"/>
      <c r="E15" s="2157"/>
      <c r="F15" s="2158"/>
      <c r="G15" s="915"/>
      <c r="H15" s="915"/>
      <c r="I15" s="915"/>
    </row>
    <row r="16" spans="1:9" ht="43.8" hidden="1" thickBot="1">
      <c r="A16" s="932" t="s">
        <v>1689</v>
      </c>
      <c r="B16" s="2159"/>
      <c r="C16" s="2160"/>
      <c r="D16" s="2160"/>
      <c r="E16" s="2160"/>
      <c r="F16" s="2161"/>
      <c r="G16" s="915"/>
      <c r="H16" s="915"/>
      <c r="I16" s="915"/>
    </row>
    <row r="17" spans="1:19" ht="43.8" hidden="1" thickBot="1">
      <c r="A17" s="932" t="s">
        <v>1690</v>
      </c>
      <c r="B17" s="2162"/>
      <c r="C17" s="2163"/>
      <c r="D17" s="2163"/>
      <c r="E17" s="2163"/>
      <c r="F17" s="2164"/>
      <c r="G17" s="915"/>
      <c r="H17" s="915"/>
      <c r="I17" s="915"/>
    </row>
    <row r="18" spans="1:19" ht="18.600000000000001" thickBot="1">
      <c r="A18" s="2165"/>
      <c r="B18" s="2165"/>
      <c r="C18" s="2165"/>
      <c r="D18" s="2165"/>
      <c r="E18" s="2165"/>
      <c r="F18" s="2165"/>
      <c r="G18" s="915"/>
      <c r="H18" s="915"/>
      <c r="I18" s="915"/>
    </row>
    <row r="19" spans="1:19" ht="58.35" customHeight="1">
      <c r="A19" s="933" t="s">
        <v>1691</v>
      </c>
      <c r="B19" s="2166" t="str">
        <f ca="1">IF(ISERROR(INDIRECT("'"&amp;$F6&amp;"'!b$14")),"-",INDIRECT("'"&amp;$F6&amp;"'!b$14"))</f>
        <v>-</v>
      </c>
      <c r="C19" s="2167"/>
      <c r="D19" s="2167"/>
      <c r="E19" s="2167"/>
      <c r="F19" s="2168"/>
      <c r="G19" s="915"/>
      <c r="H19" s="915"/>
      <c r="I19" s="915"/>
    </row>
    <row r="20" spans="1:19" ht="34.5" customHeight="1">
      <c r="A20" s="1410" t="s">
        <v>1692</v>
      </c>
      <c r="B20" s="2169"/>
      <c r="C20" s="2170"/>
      <c r="D20" s="2170"/>
      <c r="E20" s="2170"/>
      <c r="F20" s="2171"/>
      <c r="G20" s="915"/>
      <c r="H20" s="915"/>
      <c r="I20" s="915"/>
    </row>
    <row r="21" spans="1:19" ht="52.2" customHeight="1">
      <c r="A21" s="1410" t="s">
        <v>1693</v>
      </c>
      <c r="B21" s="2169"/>
      <c r="C21" s="2170"/>
      <c r="D21" s="2170"/>
      <c r="E21" s="2170"/>
      <c r="F21" s="2171"/>
      <c r="G21" s="1757" t="str">
        <f ca="1">IF(ISERROR(INDIRECT("'"&amp;$F6&amp;"'!b$16")),"-",INDIRECT("'"&amp;$F6&amp;"'!b$16"))&amp;" - "&amp;IF(ISERROR(INDIRECT("'"&amp;$F6&amp;"'!c$16")),"-",INDIRECT("'"&amp;$F6&amp;"'!c$16"))&amp;" - "&amp;IF(ISERROR(INDIRECT("'"&amp;$F6&amp;"'!d$16")),"-",INDIRECT("'"&amp;$F6&amp;"'!d$16"))&amp;" - "&amp;IF(ISERROR(INDIRECT("'"&amp;$F6&amp;"'!e$16")),"-",INDIRECT("'"&amp;$F6&amp;"'!e$16"))&amp;" - "&amp;IF(ISERROR(INDIRECT("'"&amp;$F6&amp;"'!f$16")),"-",INDIRECT("'"&amp;$F6&amp;"'!f$16"))</f>
        <v>- - - - - - - - -</v>
      </c>
      <c r="H21" s="934" t="s">
        <v>1695</v>
      </c>
      <c r="I21" s="934" t="s">
        <v>1696</v>
      </c>
      <c r="J21" s="935" t="s">
        <v>1697</v>
      </c>
      <c r="K21" s="935" t="s">
        <v>1698</v>
      </c>
      <c r="L21" s="935" t="s">
        <v>1699</v>
      </c>
      <c r="M21" s="935" t="s">
        <v>1700</v>
      </c>
      <c r="N21" s="935" t="s">
        <v>1701</v>
      </c>
      <c r="O21" s="935" t="s">
        <v>1702</v>
      </c>
      <c r="P21" s="935" t="s">
        <v>1703</v>
      </c>
      <c r="Q21" s="935" t="s">
        <v>1704</v>
      </c>
      <c r="R21" s="935" t="s">
        <v>157</v>
      </c>
      <c r="S21" s="935" t="s">
        <v>661</v>
      </c>
    </row>
    <row r="22" spans="1:19" s="913" customFormat="1" ht="98.1" customHeight="1" thickBot="1">
      <c r="A22" s="1414" t="s">
        <v>1705</v>
      </c>
      <c r="B22" s="2223"/>
      <c r="C22" s="2224"/>
      <c r="D22" s="2224"/>
      <c r="E22" s="2224"/>
      <c r="F22" s="2225"/>
      <c r="G22" s="911" t="b">
        <v>0</v>
      </c>
      <c r="H22" s="911" t="b">
        <v>0</v>
      </c>
      <c r="I22" s="911" t="b">
        <v>0</v>
      </c>
      <c r="J22" s="912" t="b">
        <v>0</v>
      </c>
      <c r="K22" s="912"/>
      <c r="L22" s="912" t="b">
        <v>0</v>
      </c>
      <c r="M22" s="912"/>
      <c r="N22" s="912" t="b">
        <v>0</v>
      </c>
      <c r="O22" s="912"/>
      <c r="P22" s="912" t="b">
        <v>0</v>
      </c>
      <c r="Q22" s="912" t="b">
        <v>0</v>
      </c>
      <c r="R22" s="912"/>
      <c r="S22" s="912" t="b">
        <v>0</v>
      </c>
    </row>
    <row r="23" spans="1:19" ht="29.4" customHeight="1" thickBot="1">
      <c r="A23" s="930" t="s">
        <v>1706</v>
      </c>
      <c r="B23" s="2155"/>
      <c r="C23" s="2155"/>
      <c r="D23" s="2155"/>
      <c r="E23" s="2155"/>
      <c r="F23" s="2155"/>
      <c r="G23" s="915"/>
      <c r="H23" s="915"/>
      <c r="I23" s="915"/>
    </row>
    <row r="24" spans="1:19" ht="18">
      <c r="A24" s="936" t="s">
        <v>1074</v>
      </c>
      <c r="B24" s="2175" t="str">
        <f ca="1">IF(ISERROR(INDIRECT("'"&amp;$F6&amp;"'!b$16")),"-",INDIRECT("'"&amp;$F6&amp;"'!b$17"))</f>
        <v>-</v>
      </c>
      <c r="C24" s="2167"/>
      <c r="D24" s="2167"/>
      <c r="E24" s="2167"/>
      <c r="F24" s="2168"/>
      <c r="G24" s="915"/>
      <c r="H24" s="915"/>
      <c r="I24" s="915"/>
    </row>
    <row r="25" spans="1:19" ht="18">
      <c r="A25" s="1415" t="s">
        <v>728</v>
      </c>
      <c r="B25" s="2176" t="str">
        <f ca="1">IF(ISERROR(INDIRECT("'"&amp;$F6&amp;"'!b$17")),"-",INDIRECT("'"&amp;$F6&amp;"'!b$18"))</f>
        <v>-</v>
      </c>
      <c r="C25" s="2177"/>
      <c r="D25" s="2177"/>
      <c r="E25" s="2177"/>
      <c r="F25" s="2178"/>
      <c r="G25" s="915"/>
      <c r="H25" s="915"/>
      <c r="I25" s="915"/>
    </row>
    <row r="26" spans="1:19" ht="28.8">
      <c r="A26" s="2179" t="s">
        <v>1707</v>
      </c>
      <c r="B26" s="1774" t="str">
        <f ca="1">IF(ISERROR(INDIRECT("'"&amp;$F6&amp;"'!b$18")),"-",INDIRECT("'"&amp;$F6&amp;"'!b$19"))</f>
        <v>-</v>
      </c>
      <c r="C26" s="1416" t="s">
        <v>1708</v>
      </c>
      <c r="D26" s="1412"/>
      <c r="E26" s="1417" t="s">
        <v>1709</v>
      </c>
      <c r="F26" s="1413"/>
      <c r="G26" s="915"/>
      <c r="H26" s="915"/>
      <c r="I26" s="915"/>
    </row>
    <row r="27" spans="1:19" ht="28.8">
      <c r="A27" s="2180"/>
      <c r="B27" s="1411"/>
      <c r="C27" s="1416" t="s">
        <v>1708</v>
      </c>
      <c r="D27" s="1412"/>
      <c r="E27" s="1417" t="s">
        <v>1709</v>
      </c>
      <c r="F27" s="1413"/>
      <c r="G27" s="915"/>
      <c r="H27" s="915"/>
      <c r="I27" s="915"/>
    </row>
    <row r="28" spans="1:19" ht="28.8">
      <c r="A28" s="2180"/>
      <c r="B28" s="1411"/>
      <c r="C28" s="1416" t="s">
        <v>1708</v>
      </c>
      <c r="D28" s="1412"/>
      <c r="E28" s="1417" t="s">
        <v>1709</v>
      </c>
      <c r="F28" s="1413"/>
      <c r="G28" s="915"/>
      <c r="H28" s="915"/>
      <c r="I28" s="915"/>
    </row>
    <row r="29" spans="1:19" ht="28.8">
      <c r="A29" s="2180"/>
      <c r="B29" s="1411"/>
      <c r="C29" s="1416" t="s">
        <v>1708</v>
      </c>
      <c r="D29" s="1412"/>
      <c r="E29" s="1417" t="s">
        <v>1709</v>
      </c>
      <c r="F29" s="1413"/>
      <c r="G29" s="915"/>
      <c r="H29" s="915"/>
      <c r="I29" s="915"/>
    </row>
    <row r="30" spans="1:19" ht="29.4" thickBot="1">
      <c r="A30" s="2181"/>
      <c r="B30" s="1411"/>
      <c r="C30" s="1418" t="s">
        <v>1708</v>
      </c>
      <c r="D30" s="1419"/>
      <c r="E30" s="1420" t="s">
        <v>1709</v>
      </c>
      <c r="F30" s="1421"/>
      <c r="G30" s="915"/>
      <c r="H30" s="915"/>
      <c r="I30" s="915"/>
    </row>
    <row r="31" spans="1:19" ht="29.4" customHeight="1" thickBot="1">
      <c r="A31" s="930" t="s">
        <v>1710</v>
      </c>
      <c r="B31" s="2155"/>
      <c r="C31" s="2155"/>
      <c r="D31" s="2155"/>
      <c r="E31" s="2155"/>
      <c r="F31" s="2155"/>
      <c r="G31" s="915"/>
      <c r="H31" s="915"/>
      <c r="I31" s="915"/>
    </row>
    <row r="32" spans="1:19" ht="18">
      <c r="A32" s="936" t="s">
        <v>1711</v>
      </c>
      <c r="B32" s="2182"/>
      <c r="C32" s="2183"/>
      <c r="D32" s="2183"/>
      <c r="E32" s="2183"/>
      <c r="F32" s="2184"/>
      <c r="G32" s="915"/>
      <c r="H32" s="915"/>
      <c r="I32" s="915"/>
    </row>
    <row r="33" spans="1:9" ht="31.8" thickBot="1">
      <c r="A33" s="1422" t="s">
        <v>1712</v>
      </c>
      <c r="B33" s="2185"/>
      <c r="C33" s="2186"/>
      <c r="D33" s="2186"/>
      <c r="E33" s="2186"/>
      <c r="F33" s="2187"/>
      <c r="G33" s="915"/>
      <c r="H33" s="915"/>
      <c r="I33" s="915"/>
    </row>
    <row r="34" spans="1:9" ht="29.4" customHeight="1" thickBot="1">
      <c r="A34" s="930" t="s">
        <v>1240</v>
      </c>
      <c r="B34" s="2188"/>
      <c r="C34" s="2188"/>
      <c r="D34" s="2188"/>
      <c r="E34" s="2188"/>
      <c r="F34" s="2188"/>
      <c r="G34" s="915"/>
      <c r="H34" s="915"/>
      <c r="I34" s="915"/>
    </row>
    <row r="35" spans="1:9" ht="18">
      <c r="A35" s="936" t="s">
        <v>730</v>
      </c>
      <c r="B35" s="2189" t="str">
        <f ca="1">IF(ISERROR(INDIRECT("'"&amp;$F6&amp;"'!b$19")),"-",INDIRECT("'"&amp;$F6&amp;"'!b$20"))</f>
        <v>-</v>
      </c>
      <c r="C35" s="2190"/>
      <c r="D35" s="2190"/>
      <c r="E35" s="2190"/>
      <c r="F35" s="2191"/>
      <c r="G35" s="915"/>
      <c r="H35" s="915"/>
      <c r="I35" s="915"/>
    </row>
    <row r="36" spans="1:9" ht="18">
      <c r="A36" s="1415" t="s">
        <v>733</v>
      </c>
      <c r="B36" s="2192" t="str">
        <f ca="1">IF(ISERROR(INDIRECT("'"&amp;$F6&amp;"'!b$20")),"-",INDIRECT("'"&amp;$F6&amp;"'!b$21"))</f>
        <v>-</v>
      </c>
      <c r="C36" s="2193"/>
      <c r="D36" s="2193"/>
      <c r="E36" s="2193"/>
      <c r="F36" s="2194"/>
      <c r="G36" s="915"/>
      <c r="H36" s="915"/>
      <c r="I36" s="915"/>
    </row>
    <row r="37" spans="1:9" ht="18">
      <c r="A37" s="1423" t="s">
        <v>1713</v>
      </c>
      <c r="B37" s="2192" t="e">
        <f ca="1">IF(ISERROR(INDIRECT("'"&amp;$F6&amp;"'!b$21")),"-",INDIRECT("'"&amp;$F6&amp;"'!b$22"))-B38</f>
        <v>#VALUE!</v>
      </c>
      <c r="C37" s="2193"/>
      <c r="D37" s="2193"/>
      <c r="E37" s="2193"/>
      <c r="F37" s="2194"/>
      <c r="G37" s="915"/>
      <c r="H37" s="915"/>
      <c r="I37" s="915"/>
    </row>
    <row r="38" spans="1:9" ht="18.600000000000001" thickBot="1">
      <c r="A38" s="1422" t="s">
        <v>1714</v>
      </c>
      <c r="B38" s="2172">
        <f>E68</f>
        <v>0</v>
      </c>
      <c r="C38" s="2173"/>
      <c r="D38" s="2173"/>
      <c r="E38" s="2173"/>
      <c r="F38" s="2174"/>
      <c r="G38" s="915"/>
      <c r="H38" s="915"/>
      <c r="I38" s="915"/>
    </row>
    <row r="39" spans="1:9" ht="29.4" customHeight="1" thickBot="1">
      <c r="A39" s="930" t="s">
        <v>1715</v>
      </c>
      <c r="B39" s="2188"/>
      <c r="C39" s="2188"/>
      <c r="D39" s="2188"/>
      <c r="E39" s="2188"/>
      <c r="F39" s="2188"/>
      <c r="G39" s="915"/>
      <c r="H39" s="915"/>
      <c r="I39" s="915"/>
    </row>
    <row r="40" spans="1:9" ht="18">
      <c r="A40" s="937" t="s">
        <v>735</v>
      </c>
      <c r="B40" s="1775" t="str">
        <f ca="1">IF(ISERROR(INDIRECT("'"&amp;$F6&amp;"'!b$22")),"-",INDIRECT("'"&amp;$F6&amp;"'!b$23"))</f>
        <v>-</v>
      </c>
      <c r="C40" s="938" t="s">
        <v>736</v>
      </c>
      <c r="D40" s="2201" t="str">
        <f ca="1">IF(ISERROR(INDIRECT("'"&amp;$F6&amp;"'!d$22")),"-",INDIRECT("'"&amp;$F6&amp;"'!d$23"))</f>
        <v>-</v>
      </c>
      <c r="E40" s="2201"/>
      <c r="F40" s="2202"/>
      <c r="G40" s="915"/>
      <c r="H40" s="915"/>
      <c r="I40" s="915"/>
    </row>
    <row r="41" spans="1:9" ht="18">
      <c r="A41" s="1410" t="s">
        <v>737</v>
      </c>
      <c r="B41" s="2203" t="str">
        <f ca="1">IF(ISERROR(INDIRECT("'"&amp;$F6&amp;"'!b$23")),"-",INDIRECT("'"&amp;$F6&amp;"'!b$24"))</f>
        <v>-</v>
      </c>
      <c r="C41" s="2204"/>
      <c r="D41" s="2204"/>
      <c r="E41" s="2204"/>
      <c r="F41" s="2205"/>
      <c r="G41" s="915"/>
      <c r="H41" s="915"/>
      <c r="I41" s="915"/>
    </row>
    <row r="42" spans="1:9" ht="18" hidden="1">
      <c r="A42" s="1410" t="s">
        <v>1716</v>
      </c>
      <c r="B42" s="2226"/>
      <c r="C42" s="2227"/>
      <c r="D42" s="1424" t="s">
        <v>1717</v>
      </c>
      <c r="E42" s="2228"/>
      <c r="F42" s="2229"/>
      <c r="G42" s="915"/>
      <c r="H42" s="915"/>
      <c r="I42" s="915"/>
    </row>
    <row r="43" spans="1:9" ht="18">
      <c r="A43" s="1410" t="s">
        <v>738</v>
      </c>
      <c r="B43" s="2210" t="str">
        <f ca="1">IF(ISERROR(INDIRECT("'"&amp;$F6&amp;"'!b$24")),"-",INDIRECT("'"&amp;$F6&amp;"'!b$25"))</f>
        <v>-</v>
      </c>
      <c r="C43" s="2211"/>
      <c r="D43" s="2211"/>
      <c r="E43" s="2211"/>
      <c r="F43" s="2212"/>
      <c r="G43" s="915"/>
      <c r="H43" s="915"/>
      <c r="I43" s="915"/>
    </row>
    <row r="44" spans="1:9" ht="32.4" customHeight="1" thickBot="1">
      <c r="A44" s="1410" t="s">
        <v>1283</v>
      </c>
      <c r="B44" s="1777" t="str">
        <f ca="1">IF(ISERROR(INDIRECT("'"&amp;$F6&amp;"'!b$25")),"-",INDIRECT("'"&amp;$F6&amp;"'!b$26"))</f>
        <v>-</v>
      </c>
      <c r="C44" s="1425" t="s">
        <v>1718</v>
      </c>
      <c r="D44" s="1778" t="str">
        <f ca="1">IF(ISERROR(INDIRECT("'"&amp;$F6&amp;"'!d$25")),"-",INDIRECT("'"&amp;$F6&amp;"'!d$26"))</f>
        <v>-</v>
      </c>
      <c r="E44" s="1425" t="s">
        <v>741</v>
      </c>
      <c r="F44" s="1779" t="str">
        <f ca="1">IF(ISERROR(INDIRECT("'"&amp;$F6&amp;"'!f$25")),"-",INDIRECT("'"&amp;$F6&amp;"'!f$26"))</f>
        <v>-</v>
      </c>
      <c r="G44" s="915"/>
      <c r="H44" s="915"/>
      <c r="I44" s="915"/>
    </row>
    <row r="45" spans="1:9" ht="18.600000000000001" hidden="1" thickBot="1">
      <c r="A45" s="1426" t="s">
        <v>1719</v>
      </c>
      <c r="B45" s="939"/>
      <c r="C45" s="2220" t="s">
        <v>1720</v>
      </c>
      <c r="D45" s="2220"/>
      <c r="E45" s="2221"/>
      <c r="F45" s="2222"/>
      <c r="G45" s="915"/>
      <c r="H45" s="915"/>
      <c r="I45" s="915"/>
    </row>
    <row r="46" spans="1:9" ht="18.600000000000001" thickBot="1">
      <c r="A46" s="2188"/>
      <c r="B46" s="2188"/>
      <c r="C46" s="2188"/>
      <c r="D46" s="2188"/>
      <c r="E46" s="2188"/>
      <c r="F46" s="2188"/>
      <c r="G46" s="915"/>
      <c r="H46" s="915"/>
      <c r="I46" s="915"/>
    </row>
    <row r="47" spans="1:9" ht="18.600000000000001" thickBot="1">
      <c r="A47" s="940" t="s">
        <v>742</v>
      </c>
      <c r="B47" s="2195" t="str">
        <f ca="1">IF(ISERROR(INDIRECT("'"&amp;$F6&amp;"'!b$26")),"-",INDIRECT("'"&amp;$F6&amp;"'!b$27"))</f>
        <v>-</v>
      </c>
      <c r="C47" s="2196"/>
      <c r="D47" s="2196"/>
      <c r="E47" s="2196"/>
      <c r="F47" s="2197"/>
      <c r="G47" s="915"/>
      <c r="H47" s="915"/>
      <c r="I47" s="915"/>
    </row>
    <row r="48" spans="1:9" ht="18.600000000000001" hidden="1" thickBot="1">
      <c r="A48" s="940" t="s">
        <v>1721</v>
      </c>
      <c r="B48" s="2198"/>
      <c r="C48" s="2199"/>
      <c r="D48" s="2199"/>
      <c r="E48" s="2199"/>
      <c r="F48" s="2199"/>
      <c r="G48" s="915"/>
      <c r="H48" s="915"/>
      <c r="I48" s="915"/>
    </row>
    <row r="49" spans="1:9" ht="18">
      <c r="A49" s="2200"/>
      <c r="B49" s="2200"/>
      <c r="C49" s="2200"/>
      <c r="D49" s="2200"/>
      <c r="E49" s="2200"/>
      <c r="F49" s="2200"/>
      <c r="G49" s="915"/>
      <c r="H49" s="915"/>
      <c r="I49" s="915"/>
    </row>
    <row r="50" spans="1:9" ht="28.8">
      <c r="A50" s="2217" t="s">
        <v>1722</v>
      </c>
      <c r="B50" s="2217"/>
      <c r="C50" s="2217"/>
      <c r="D50" s="2217"/>
      <c r="E50" s="2217"/>
      <c r="F50" s="2217"/>
      <c r="G50" s="915"/>
      <c r="H50" s="915"/>
      <c r="I50" s="915"/>
    </row>
    <row r="51" spans="1:9" ht="15.6">
      <c r="A51" s="2218"/>
      <c r="B51" s="2218"/>
      <c r="C51" s="2218"/>
      <c r="D51" s="2218"/>
      <c r="E51" s="2218"/>
      <c r="F51" s="2218"/>
      <c r="I51" s="55"/>
    </row>
    <row r="52" spans="1:9" ht="31.2">
      <c r="A52" s="941" t="s">
        <v>77</v>
      </c>
      <c r="B52" s="2219" t="s">
        <v>1723</v>
      </c>
      <c r="C52" s="2219"/>
      <c r="D52" s="2219"/>
      <c r="E52" s="942" t="s">
        <v>1724</v>
      </c>
      <c r="F52" s="941" t="s">
        <v>2159</v>
      </c>
      <c r="G52" s="942" t="s">
        <v>1725</v>
      </c>
      <c r="H52" s="55"/>
      <c r="I52" s="55"/>
    </row>
    <row r="53" spans="1:9">
      <c r="A53" s="1427">
        <v>1</v>
      </c>
      <c r="B53" s="2141"/>
      <c r="C53" s="2142"/>
      <c r="D53" s="2143"/>
      <c r="E53" s="1428"/>
      <c r="F53" s="1666"/>
      <c r="G53" s="1428"/>
      <c r="H53" s="943"/>
      <c r="I53" s="55"/>
    </row>
    <row r="54" spans="1:9">
      <c r="A54" s="1427">
        <v>2</v>
      </c>
      <c r="B54" s="2141"/>
      <c r="C54" s="2142"/>
      <c r="D54" s="2143"/>
      <c r="E54" s="1428"/>
      <c r="F54" s="1428"/>
      <c r="G54" s="1428"/>
      <c r="H54" s="943"/>
      <c r="I54" s="55"/>
    </row>
    <row r="55" spans="1:9">
      <c r="A55" s="1427">
        <v>3</v>
      </c>
      <c r="B55" s="2141"/>
      <c r="C55" s="2142"/>
      <c r="D55" s="2143"/>
      <c r="E55" s="1428"/>
      <c r="F55" s="1428"/>
      <c r="G55" s="1428"/>
      <c r="H55" s="943"/>
      <c r="I55" s="55"/>
    </row>
    <row r="56" spans="1:9">
      <c r="A56" s="1427">
        <v>4</v>
      </c>
      <c r="B56" s="2141"/>
      <c r="C56" s="2142"/>
      <c r="D56" s="2143"/>
      <c r="E56" s="1428"/>
      <c r="F56" s="1428"/>
      <c r="G56" s="1428"/>
      <c r="H56" s="943"/>
      <c r="I56" s="55"/>
    </row>
    <row r="57" spans="1:9">
      <c r="A57" s="1427">
        <v>5</v>
      </c>
      <c r="B57" s="2141"/>
      <c r="C57" s="2142"/>
      <c r="D57" s="2143"/>
      <c r="E57" s="1428"/>
      <c r="F57" s="1428"/>
      <c r="G57" s="1428"/>
      <c r="H57" s="943"/>
      <c r="I57" s="55"/>
    </row>
    <row r="58" spans="1:9">
      <c r="A58" s="1427">
        <v>6</v>
      </c>
      <c r="B58" s="2141"/>
      <c r="C58" s="2142"/>
      <c r="D58" s="2143"/>
      <c r="E58" s="1428"/>
      <c r="F58" s="1428"/>
      <c r="G58" s="1428"/>
      <c r="H58" s="943"/>
      <c r="I58" s="55"/>
    </row>
    <row r="59" spans="1:9">
      <c r="A59" s="1427">
        <v>7</v>
      </c>
      <c r="B59" s="2141"/>
      <c r="C59" s="2142"/>
      <c r="D59" s="2143"/>
      <c r="E59" s="1428"/>
      <c r="F59" s="1428"/>
      <c r="G59" s="1428"/>
      <c r="H59" s="943"/>
      <c r="I59" s="55"/>
    </row>
    <row r="60" spans="1:9">
      <c r="A60" s="1427">
        <v>8</v>
      </c>
      <c r="B60" s="2141"/>
      <c r="C60" s="2142"/>
      <c r="D60" s="2143"/>
      <c r="E60" s="1428"/>
      <c r="F60" s="1428"/>
      <c r="G60" s="1428"/>
      <c r="H60" s="943"/>
      <c r="I60" s="55"/>
    </row>
    <row r="61" spans="1:9">
      <c r="A61" s="1427">
        <v>9</v>
      </c>
      <c r="B61" s="2141"/>
      <c r="C61" s="2142"/>
      <c r="D61" s="2143"/>
      <c r="E61" s="1428"/>
      <c r="F61" s="1750"/>
      <c r="G61" s="1428"/>
      <c r="H61" s="943"/>
      <c r="I61" s="55"/>
    </row>
    <row r="62" spans="1:9">
      <c r="A62" s="1427">
        <v>10</v>
      </c>
      <c r="B62" s="2141"/>
      <c r="C62" s="2142"/>
      <c r="D62" s="2143"/>
      <c r="E62" s="1428"/>
      <c r="F62" s="1750"/>
      <c r="G62" s="1428"/>
      <c r="H62" s="943"/>
      <c r="I62" s="55"/>
    </row>
    <row r="63" spans="1:9">
      <c r="A63" s="1427">
        <v>11</v>
      </c>
      <c r="B63" s="2141"/>
      <c r="C63" s="2142"/>
      <c r="D63" s="2143"/>
      <c r="E63" s="1428"/>
      <c r="F63" s="1750"/>
      <c r="G63" s="1428"/>
      <c r="H63" s="943"/>
      <c r="I63" s="55"/>
    </row>
    <row r="64" spans="1:9">
      <c r="A64" s="1427">
        <v>12</v>
      </c>
      <c r="B64" s="2141"/>
      <c r="C64" s="2142"/>
      <c r="D64" s="2143"/>
      <c r="E64" s="1428"/>
      <c r="F64" s="1750"/>
      <c r="G64" s="1428"/>
      <c r="H64" s="943"/>
      <c r="I64" s="55"/>
    </row>
    <row r="65" spans="1:12">
      <c r="A65" s="1427">
        <v>13</v>
      </c>
      <c r="B65" s="2141"/>
      <c r="C65" s="2142"/>
      <c r="D65" s="2143"/>
      <c r="E65" s="1428"/>
      <c r="F65" s="1750"/>
      <c r="G65" s="1428"/>
      <c r="H65" s="943"/>
      <c r="I65" s="55"/>
    </row>
    <row r="66" spans="1:12">
      <c r="A66" s="1427">
        <v>14</v>
      </c>
      <c r="B66" s="2141"/>
      <c r="C66" s="2142"/>
      <c r="D66" s="2143"/>
      <c r="E66" s="1428"/>
      <c r="F66" s="1750"/>
      <c r="G66" s="1428"/>
      <c r="H66" s="943"/>
      <c r="I66" s="55"/>
    </row>
    <row r="67" spans="1:12">
      <c r="A67" s="1427">
        <v>15</v>
      </c>
      <c r="B67" s="2141"/>
      <c r="C67" s="2142"/>
      <c r="D67" s="2143"/>
      <c r="E67" s="1428"/>
      <c r="F67" s="1750"/>
      <c r="G67" s="1428"/>
      <c r="H67" s="943"/>
      <c r="I67" s="55"/>
    </row>
    <row r="68" spans="1:12" ht="16.2" thickBot="1">
      <c r="D68" s="944" t="s">
        <v>107</v>
      </c>
      <c r="E68" s="945">
        <f>SUM(E53:E67)</f>
        <v>0</v>
      </c>
      <c r="I68" s="55"/>
    </row>
    <row r="69" spans="1:12" ht="15.6">
      <c r="D69" s="827"/>
      <c r="E69" s="77"/>
      <c r="I69" s="55"/>
    </row>
    <row r="70" spans="1:12" ht="28.8">
      <c r="A70" s="822" t="s">
        <v>1726</v>
      </c>
      <c r="B70" s="190"/>
      <c r="C70" s="190"/>
      <c r="D70" s="1298"/>
      <c r="E70" s="1299"/>
      <c r="F70" s="190"/>
      <c r="G70" s="190"/>
      <c r="I70" s="55"/>
    </row>
    <row r="71" spans="1:12" ht="28.5" customHeight="1">
      <c r="A71" s="947"/>
      <c r="B71" s="948"/>
      <c r="C71" s="948"/>
      <c r="D71" s="949"/>
      <c r="E71" s="950"/>
      <c r="F71" s="948"/>
    </row>
    <row r="72" spans="1:12" ht="77.400000000000006" customHeight="1">
      <c r="A72" s="2216" t="s">
        <v>1727</v>
      </c>
      <c r="B72" s="2216"/>
      <c r="C72" s="2216"/>
      <c r="D72" s="2216"/>
      <c r="E72" s="2216"/>
      <c r="F72" s="2216"/>
      <c r="G72" s="2216"/>
    </row>
    <row r="73" spans="1:12" ht="28.5" customHeight="1">
      <c r="A73" s="947"/>
      <c r="B73" s="948"/>
      <c r="C73" s="948"/>
      <c r="D73" s="949"/>
      <c r="E73" s="950"/>
      <c r="F73" s="948"/>
    </row>
    <row r="74" spans="1:12" ht="18">
      <c r="A74" s="951" t="s">
        <v>1728</v>
      </c>
      <c r="B74" s="948"/>
      <c r="C74" s="948"/>
      <c r="D74" s="948"/>
      <c r="E74" s="948"/>
      <c r="F74" s="948"/>
    </row>
    <row r="75" spans="1:12" ht="18">
      <c r="A75" s="823"/>
      <c r="B75" s="246"/>
    </row>
    <row r="76" spans="1:12" ht="50.4" customHeight="1" thickBot="1">
      <c r="B76" s="1768" t="s">
        <v>692</v>
      </c>
      <c r="C76" s="1768" t="s">
        <v>80</v>
      </c>
      <c r="D76" s="1768" t="s">
        <v>746</v>
      </c>
      <c r="E76" s="1768" t="s">
        <v>733</v>
      </c>
      <c r="F76" s="1768" t="s">
        <v>1729</v>
      </c>
      <c r="G76" s="1769" t="s">
        <v>1730</v>
      </c>
      <c r="H76" s="1769" t="s">
        <v>1731</v>
      </c>
      <c r="K76" s="55"/>
      <c r="L76" s="55"/>
    </row>
    <row r="77" spans="1:12">
      <c r="A77">
        <v>1</v>
      </c>
      <c r="B77" s="1780" t="str">
        <f ca="1">IF(D77=0,0,IF(ISERROR(INDIRECT("'"&amp;$F$6&amp;"'"&amp;I77)),"-",INDIRECT("'"&amp;$F$6&amp;"'"&amp;I77)))</f>
        <v>-</v>
      </c>
      <c r="C77" s="1761"/>
      <c r="D77" s="1783" t="str">
        <f ca="1">IF(ISERROR(INDIRECT("'"&amp;$F$6&amp;"'"&amp;J77)),"-",INDIRECT("'"&amp;$F$6&amp;"'"&amp;J77))</f>
        <v>-</v>
      </c>
      <c r="E77" s="1787" t="str">
        <f ca="1">IF(AND(D77&lt;&gt;0,D77&lt;&gt;"-"),B$36,"")</f>
        <v/>
      </c>
      <c r="F77" s="1761"/>
      <c r="G77" s="1761"/>
      <c r="H77" s="1762"/>
      <c r="I77" s="953" t="s">
        <v>1732</v>
      </c>
      <c r="J77" s="953" t="s">
        <v>1733</v>
      </c>
      <c r="K77" s="1316" t="str">
        <f ca="1">B77</f>
        <v>-</v>
      </c>
      <c r="L77" s="1317" t="str">
        <f ca="1">D77</f>
        <v>-</v>
      </c>
    </row>
    <row r="78" spans="1:12">
      <c r="A78">
        <v>2</v>
      </c>
      <c r="B78" s="1781" t="str">
        <f t="shared" ref="B78:B86" ca="1" si="0">IF(D78=0,0,IF(ISERROR(INDIRECT("'"&amp;$F$6&amp;"'"&amp;I78)),"-",INDIRECT("'"&amp;$F$6&amp;"'"&amp;I78)))</f>
        <v>-</v>
      </c>
      <c r="C78" s="1428"/>
      <c r="D78" s="1784" t="str">
        <f t="shared" ref="D78:D86" ca="1" si="1">IF(ISERROR(INDIRECT("'"&amp;$F$6&amp;"'"&amp;J78)),"-",INDIRECT("'"&amp;$F$6&amp;"'"&amp;J78))</f>
        <v>-</v>
      </c>
      <c r="E78" s="1788" t="str">
        <f t="shared" ref="E78:E86" ca="1" si="2">IF(AND(D78&lt;&gt;0,D78&lt;&gt;"-"),B$36,"")</f>
        <v/>
      </c>
      <c r="F78" s="1428"/>
      <c r="G78" s="1428"/>
      <c r="H78" s="1764"/>
      <c r="I78" s="953" t="s">
        <v>1734</v>
      </c>
      <c r="J78" s="953" t="s">
        <v>1735</v>
      </c>
      <c r="K78" s="1316" t="str">
        <f t="shared" ref="K78:K86" ca="1" si="3">B78</f>
        <v>-</v>
      </c>
      <c r="L78" s="1317" t="str">
        <f t="shared" ref="L78:L86" ca="1" si="4">D78</f>
        <v>-</v>
      </c>
    </row>
    <row r="79" spans="1:12">
      <c r="A79">
        <v>3</v>
      </c>
      <c r="B79" s="1781" t="str">
        <f t="shared" ca="1" si="0"/>
        <v>-</v>
      </c>
      <c r="C79" s="1428"/>
      <c r="D79" s="1784" t="str">
        <f t="shared" ca="1" si="1"/>
        <v>-</v>
      </c>
      <c r="E79" s="1788" t="str">
        <f t="shared" ca="1" si="2"/>
        <v/>
      </c>
      <c r="F79" s="1428"/>
      <c r="G79" s="1428"/>
      <c r="H79" s="1764"/>
      <c r="I79" s="953" t="s">
        <v>1736</v>
      </c>
      <c r="J79" s="953" t="s">
        <v>1737</v>
      </c>
      <c r="K79" s="1316" t="str">
        <f t="shared" ca="1" si="3"/>
        <v>-</v>
      </c>
      <c r="L79" s="1317" t="str">
        <f t="shared" ca="1" si="4"/>
        <v>-</v>
      </c>
    </row>
    <row r="80" spans="1:12">
      <c r="A80">
        <v>4</v>
      </c>
      <c r="B80" s="1781" t="str">
        <f t="shared" ca="1" si="0"/>
        <v>-</v>
      </c>
      <c r="C80" s="1428"/>
      <c r="D80" s="1784" t="str">
        <f t="shared" ca="1" si="1"/>
        <v>-</v>
      </c>
      <c r="E80" s="1788" t="str">
        <f t="shared" ca="1" si="2"/>
        <v/>
      </c>
      <c r="F80" s="1428"/>
      <c r="G80" s="1428"/>
      <c r="H80" s="1764"/>
      <c r="I80" s="953" t="s">
        <v>1738</v>
      </c>
      <c r="J80" s="953" t="s">
        <v>1739</v>
      </c>
      <c r="K80" s="1316" t="str">
        <f t="shared" ca="1" si="3"/>
        <v>-</v>
      </c>
      <c r="L80" s="1317" t="str">
        <f t="shared" ca="1" si="4"/>
        <v>-</v>
      </c>
    </row>
    <row r="81" spans="1:13">
      <c r="A81">
        <v>5</v>
      </c>
      <c r="B81" s="1781" t="str">
        <f t="shared" ca="1" si="0"/>
        <v>-</v>
      </c>
      <c r="C81" s="1428"/>
      <c r="D81" s="1784" t="str">
        <f t="shared" ca="1" si="1"/>
        <v>-</v>
      </c>
      <c r="E81" s="1788" t="str">
        <f t="shared" ca="1" si="2"/>
        <v/>
      </c>
      <c r="F81" s="1428"/>
      <c r="G81" s="1428"/>
      <c r="H81" s="1764"/>
      <c r="I81" s="953" t="s">
        <v>1740</v>
      </c>
      <c r="J81" s="953" t="s">
        <v>1741</v>
      </c>
      <c r="K81" s="1316" t="str">
        <f t="shared" ca="1" si="3"/>
        <v>-</v>
      </c>
      <c r="L81" s="1317" t="str">
        <f t="shared" ca="1" si="4"/>
        <v>-</v>
      </c>
    </row>
    <row r="82" spans="1:13">
      <c r="A82">
        <v>6</v>
      </c>
      <c r="B82" s="1781" t="str">
        <f t="shared" ca="1" si="0"/>
        <v>-</v>
      </c>
      <c r="C82" s="1428"/>
      <c r="D82" s="1784" t="str">
        <f t="shared" ca="1" si="1"/>
        <v>-</v>
      </c>
      <c r="E82" s="1788" t="str">
        <f t="shared" ca="1" si="2"/>
        <v/>
      </c>
      <c r="F82" s="1428"/>
      <c r="G82" s="1428"/>
      <c r="H82" s="1764"/>
      <c r="I82" s="953" t="s">
        <v>1742</v>
      </c>
      <c r="J82" s="953" t="s">
        <v>1743</v>
      </c>
      <c r="K82" s="1316" t="str">
        <f t="shared" ca="1" si="3"/>
        <v>-</v>
      </c>
      <c r="L82" s="1317" t="str">
        <f t="shared" ca="1" si="4"/>
        <v>-</v>
      </c>
    </row>
    <row r="83" spans="1:13">
      <c r="A83">
        <v>7</v>
      </c>
      <c r="B83" s="1781" t="str">
        <f t="shared" ca="1" si="0"/>
        <v>-</v>
      </c>
      <c r="C83" s="1428"/>
      <c r="D83" s="1784" t="str">
        <f t="shared" ca="1" si="1"/>
        <v>-</v>
      </c>
      <c r="E83" s="1788" t="str">
        <f t="shared" ca="1" si="2"/>
        <v/>
      </c>
      <c r="F83" s="1428"/>
      <c r="G83" s="1428"/>
      <c r="H83" s="1764"/>
      <c r="I83" s="953" t="s">
        <v>1744</v>
      </c>
      <c r="J83" s="953" t="s">
        <v>1745</v>
      </c>
      <c r="K83" s="1316" t="str">
        <f t="shared" ca="1" si="3"/>
        <v>-</v>
      </c>
      <c r="L83" s="1317" t="str">
        <f t="shared" ca="1" si="4"/>
        <v>-</v>
      </c>
    </row>
    <row r="84" spans="1:13">
      <c r="A84">
        <v>8</v>
      </c>
      <c r="B84" s="1781" t="str">
        <f t="shared" ca="1" si="0"/>
        <v>-</v>
      </c>
      <c r="C84" s="1428"/>
      <c r="D84" s="1784" t="str">
        <f t="shared" ca="1" si="1"/>
        <v>-</v>
      </c>
      <c r="E84" s="1788" t="str">
        <f t="shared" ca="1" si="2"/>
        <v/>
      </c>
      <c r="F84" s="1428"/>
      <c r="G84" s="1428"/>
      <c r="H84" s="1764"/>
      <c r="I84" s="953" t="s">
        <v>1746</v>
      </c>
      <c r="J84" s="953" t="s">
        <v>1747</v>
      </c>
      <c r="K84" s="1316" t="str">
        <f t="shared" ca="1" si="3"/>
        <v>-</v>
      </c>
      <c r="L84" s="1317" t="str">
        <f t="shared" ca="1" si="4"/>
        <v>-</v>
      </c>
    </row>
    <row r="85" spans="1:13">
      <c r="A85">
        <v>9</v>
      </c>
      <c r="B85" s="1781" t="str">
        <f t="shared" ca="1" si="0"/>
        <v>-</v>
      </c>
      <c r="C85" s="1428"/>
      <c r="D85" s="1784" t="str">
        <f t="shared" ca="1" si="1"/>
        <v>-</v>
      </c>
      <c r="E85" s="1788" t="str">
        <f t="shared" ca="1" si="2"/>
        <v/>
      </c>
      <c r="F85" s="1428"/>
      <c r="G85" s="1428"/>
      <c r="H85" s="1764"/>
      <c r="I85" s="953" t="s">
        <v>1748</v>
      </c>
      <c r="J85" s="953" t="s">
        <v>1749</v>
      </c>
      <c r="K85" s="1316" t="str">
        <f t="shared" ca="1" si="3"/>
        <v>-</v>
      </c>
      <c r="L85" s="1317" t="str">
        <f t="shared" ca="1" si="4"/>
        <v>-</v>
      </c>
    </row>
    <row r="86" spans="1:13" ht="15" thickBot="1">
      <c r="A86">
        <v>10</v>
      </c>
      <c r="B86" s="1782" t="str">
        <f t="shared" ca="1" si="0"/>
        <v>-</v>
      </c>
      <c r="C86" s="1766"/>
      <c r="D86" s="1785" t="str">
        <f t="shared" ca="1" si="1"/>
        <v>-</v>
      </c>
      <c r="E86" s="1789" t="str">
        <f t="shared" ca="1" si="2"/>
        <v/>
      </c>
      <c r="F86" s="1766"/>
      <c r="G86" s="1766"/>
      <c r="H86" s="1767"/>
      <c r="I86" s="953" t="s">
        <v>2991</v>
      </c>
      <c r="J86" s="953" t="s">
        <v>2992</v>
      </c>
      <c r="K86" s="1316" t="str">
        <f t="shared" ca="1" si="3"/>
        <v>-</v>
      </c>
      <c r="L86" s="1317" t="str">
        <f t="shared" ca="1" si="4"/>
        <v>-</v>
      </c>
    </row>
    <row r="87" spans="1:13">
      <c r="A87">
        <v>11</v>
      </c>
      <c r="B87" s="1760"/>
      <c r="C87" s="1761"/>
      <c r="D87" s="1761"/>
      <c r="E87" s="1761"/>
      <c r="F87" s="1761"/>
      <c r="G87" s="1761"/>
      <c r="H87" s="1762"/>
      <c r="I87" s="953" t="s">
        <v>1732</v>
      </c>
      <c r="J87" s="953" t="s">
        <v>1733</v>
      </c>
      <c r="K87" s="1316">
        <f>B87</f>
        <v>0</v>
      </c>
      <c r="L87" s="1317">
        <f>D87</f>
        <v>0</v>
      </c>
      <c r="M87" s="55">
        <f>G87</f>
        <v>0</v>
      </c>
    </row>
    <row r="88" spans="1:13">
      <c r="A88">
        <v>12</v>
      </c>
      <c r="B88" s="1763"/>
      <c r="C88" s="1428"/>
      <c r="D88" s="1428"/>
      <c r="E88" s="1428"/>
      <c r="F88" s="1428"/>
      <c r="G88" s="1428"/>
      <c r="H88" s="1764"/>
      <c r="I88" s="953" t="s">
        <v>1734</v>
      </c>
      <c r="J88" s="953" t="s">
        <v>1735</v>
      </c>
      <c r="K88" s="1316">
        <f t="shared" ref="K88:K96" si="5">B88</f>
        <v>0</v>
      </c>
      <c r="L88" s="1317">
        <f t="shared" ref="L88:L96" si="6">D88</f>
        <v>0</v>
      </c>
      <c r="M88" s="55">
        <f t="shared" ref="M88:M96" si="7">G88</f>
        <v>0</v>
      </c>
    </row>
    <row r="89" spans="1:13">
      <c r="A89">
        <v>13</v>
      </c>
      <c r="B89" s="1763"/>
      <c r="C89" s="1428"/>
      <c r="D89" s="1428"/>
      <c r="E89" s="1428"/>
      <c r="F89" s="1428"/>
      <c r="G89" s="1428"/>
      <c r="H89" s="1764"/>
      <c r="I89" s="953" t="s">
        <v>1736</v>
      </c>
      <c r="J89" s="953" t="s">
        <v>1737</v>
      </c>
      <c r="K89" s="1316">
        <f t="shared" si="5"/>
        <v>0</v>
      </c>
      <c r="L89" s="1317">
        <f t="shared" si="6"/>
        <v>0</v>
      </c>
      <c r="M89" s="55">
        <f t="shared" si="7"/>
        <v>0</v>
      </c>
    </row>
    <row r="90" spans="1:13">
      <c r="A90">
        <v>14</v>
      </c>
      <c r="B90" s="1763"/>
      <c r="C90" s="1428"/>
      <c r="D90" s="1428"/>
      <c r="E90" s="1428"/>
      <c r="F90" s="1428"/>
      <c r="G90" s="1428"/>
      <c r="H90" s="1764"/>
      <c r="I90" s="953" t="s">
        <v>1738</v>
      </c>
      <c r="J90" s="953" t="s">
        <v>1739</v>
      </c>
      <c r="K90" s="1316">
        <f t="shared" si="5"/>
        <v>0</v>
      </c>
      <c r="L90" s="1317">
        <f t="shared" si="6"/>
        <v>0</v>
      </c>
      <c r="M90" s="55">
        <f t="shared" si="7"/>
        <v>0</v>
      </c>
    </row>
    <row r="91" spans="1:13">
      <c r="A91">
        <v>15</v>
      </c>
      <c r="B91" s="1763"/>
      <c r="C91" s="1428"/>
      <c r="D91" s="1428"/>
      <c r="E91" s="1428"/>
      <c r="F91" s="1428"/>
      <c r="G91" s="1428"/>
      <c r="H91" s="1764"/>
      <c r="I91" s="953" t="s">
        <v>1740</v>
      </c>
      <c r="J91" s="953" t="s">
        <v>1741</v>
      </c>
      <c r="K91" s="1316">
        <f t="shared" si="5"/>
        <v>0</v>
      </c>
      <c r="L91" s="1317">
        <f t="shared" si="6"/>
        <v>0</v>
      </c>
      <c r="M91" s="55">
        <f t="shared" si="7"/>
        <v>0</v>
      </c>
    </row>
    <row r="92" spans="1:13">
      <c r="A92">
        <v>16</v>
      </c>
      <c r="B92" s="1763"/>
      <c r="C92" s="1428"/>
      <c r="D92" s="1428"/>
      <c r="E92" s="1428"/>
      <c r="F92" s="1428"/>
      <c r="G92" s="1428"/>
      <c r="H92" s="1764"/>
      <c r="I92" s="953" t="s">
        <v>1742</v>
      </c>
      <c r="J92" s="953" t="s">
        <v>1743</v>
      </c>
      <c r="K92" s="1316">
        <f t="shared" si="5"/>
        <v>0</v>
      </c>
      <c r="L92" s="1317">
        <f t="shared" si="6"/>
        <v>0</v>
      </c>
      <c r="M92" s="55">
        <f t="shared" si="7"/>
        <v>0</v>
      </c>
    </row>
    <row r="93" spans="1:13">
      <c r="A93">
        <v>17</v>
      </c>
      <c r="B93" s="1763"/>
      <c r="C93" s="1428"/>
      <c r="D93" s="1428"/>
      <c r="E93" s="1428"/>
      <c r="F93" s="1428"/>
      <c r="G93" s="1428"/>
      <c r="H93" s="1764"/>
      <c r="I93" s="953" t="s">
        <v>1744</v>
      </c>
      <c r="J93" s="953" t="s">
        <v>1745</v>
      </c>
      <c r="K93" s="1316">
        <f t="shared" si="5"/>
        <v>0</v>
      </c>
      <c r="L93" s="1317">
        <f t="shared" si="6"/>
        <v>0</v>
      </c>
      <c r="M93" s="55">
        <f t="shared" si="7"/>
        <v>0</v>
      </c>
    </row>
    <row r="94" spans="1:13">
      <c r="A94">
        <v>18</v>
      </c>
      <c r="B94" s="1763"/>
      <c r="C94" s="1428"/>
      <c r="D94" s="1428"/>
      <c r="E94" s="1428"/>
      <c r="F94" s="1428"/>
      <c r="G94" s="1428"/>
      <c r="H94" s="1764"/>
      <c r="I94" s="953" t="s">
        <v>1746</v>
      </c>
      <c r="J94" s="953" t="s">
        <v>1747</v>
      </c>
      <c r="K94" s="1316">
        <f t="shared" si="5"/>
        <v>0</v>
      </c>
      <c r="L94" s="1317">
        <f t="shared" si="6"/>
        <v>0</v>
      </c>
      <c r="M94" s="55">
        <f t="shared" si="7"/>
        <v>0</v>
      </c>
    </row>
    <row r="95" spans="1:13">
      <c r="A95">
        <v>19</v>
      </c>
      <c r="B95" s="1763"/>
      <c r="C95" s="1428"/>
      <c r="D95" s="1428"/>
      <c r="E95" s="1428"/>
      <c r="F95" s="1428"/>
      <c r="G95" s="1428"/>
      <c r="H95" s="1764"/>
      <c r="I95" s="953" t="s">
        <v>1748</v>
      </c>
      <c r="J95" s="953" t="s">
        <v>1749</v>
      </c>
      <c r="K95" s="1316">
        <f t="shared" si="5"/>
        <v>0</v>
      </c>
      <c r="L95" s="1317">
        <f t="shared" si="6"/>
        <v>0</v>
      </c>
      <c r="M95" s="55">
        <f t="shared" si="7"/>
        <v>0</v>
      </c>
    </row>
    <row r="96" spans="1:13" ht="15" thickBot="1">
      <c r="A96">
        <v>20</v>
      </c>
      <c r="B96" s="1765"/>
      <c r="C96" s="1766"/>
      <c r="D96" s="1766"/>
      <c r="E96" s="1766"/>
      <c r="F96" s="1766"/>
      <c r="G96" s="1766"/>
      <c r="H96" s="1767"/>
      <c r="I96" s="953" t="s">
        <v>2991</v>
      </c>
      <c r="J96" s="953" t="s">
        <v>2992</v>
      </c>
      <c r="K96" s="1316">
        <f t="shared" si="5"/>
        <v>0</v>
      </c>
      <c r="L96" s="1317">
        <f t="shared" si="6"/>
        <v>0</v>
      </c>
      <c r="M96" s="55">
        <f t="shared" si="7"/>
        <v>0</v>
      </c>
    </row>
    <row r="97" spans="1:12">
      <c r="H97" s="954"/>
      <c r="I97" s="954"/>
    </row>
    <row r="98" spans="1:12" ht="18">
      <c r="A98" s="951" t="s">
        <v>1750</v>
      </c>
      <c r="B98" s="77"/>
      <c r="C98" s="943"/>
      <c r="D98" s="943"/>
      <c r="E98" s="943"/>
      <c r="F98" s="943"/>
      <c r="H98" s="954"/>
      <c r="I98" s="954"/>
    </row>
    <row r="99" spans="1:12" ht="18">
      <c r="A99" s="823"/>
      <c r="B99" s="246"/>
      <c r="C99" s="2213" t="s">
        <v>1751</v>
      </c>
      <c r="D99" s="2213"/>
      <c r="E99" s="2213"/>
      <c r="H99" s="954"/>
      <c r="I99" s="954"/>
    </row>
    <row r="100" spans="1:12" ht="69" customHeight="1">
      <c r="B100" s="952" t="s">
        <v>692</v>
      </c>
      <c r="C100" s="952" t="s">
        <v>1305</v>
      </c>
      <c r="D100" s="952" t="s">
        <v>1314</v>
      </c>
      <c r="E100" s="952" t="s">
        <v>1322</v>
      </c>
      <c r="F100" s="952" t="s">
        <v>2159</v>
      </c>
      <c r="G100" s="952" t="s">
        <v>1729</v>
      </c>
      <c r="H100" s="1676" t="s">
        <v>1280</v>
      </c>
      <c r="I100" s="1676" t="s">
        <v>1731</v>
      </c>
    </row>
    <row r="101" spans="1:12">
      <c r="A101">
        <v>1</v>
      </c>
      <c r="B101" s="1429"/>
      <c r="C101" s="1428"/>
      <c r="D101" s="1428"/>
      <c r="E101" s="1428"/>
      <c r="F101" s="1428"/>
      <c r="G101" s="1428"/>
      <c r="H101" s="1428"/>
      <c r="I101" s="1428"/>
      <c r="K101" s="1316">
        <f>B101</f>
        <v>0</v>
      </c>
      <c r="L101" s="55">
        <f>H101</f>
        <v>0</v>
      </c>
    </row>
    <row r="102" spans="1:12">
      <c r="A102">
        <v>2</v>
      </c>
      <c r="B102" s="1430"/>
      <c r="C102" s="1428"/>
      <c r="D102" s="1428"/>
      <c r="E102" s="1428"/>
      <c r="F102" s="1428"/>
      <c r="G102" s="1428"/>
      <c r="H102" s="1428"/>
      <c r="I102" s="1428"/>
      <c r="K102" s="1316">
        <f t="shared" ref="K102:K110" si="8">B102</f>
        <v>0</v>
      </c>
      <c r="L102" s="55">
        <f t="shared" ref="L102:L110" si="9">H102</f>
        <v>0</v>
      </c>
    </row>
    <row r="103" spans="1:12">
      <c r="A103">
        <v>3</v>
      </c>
      <c r="B103" s="1430"/>
      <c r="C103" s="1428"/>
      <c r="D103" s="1428"/>
      <c r="E103" s="1428"/>
      <c r="F103" s="1428"/>
      <c r="G103" s="1428"/>
      <c r="H103" s="1428"/>
      <c r="I103" s="1428"/>
      <c r="K103" s="1316">
        <f t="shared" si="8"/>
        <v>0</v>
      </c>
      <c r="L103" s="55">
        <f t="shared" si="9"/>
        <v>0</v>
      </c>
    </row>
    <row r="104" spans="1:12">
      <c r="A104">
        <v>4</v>
      </c>
      <c r="B104" s="1430"/>
      <c r="C104" s="1428"/>
      <c r="D104" s="1428"/>
      <c r="E104" s="1428"/>
      <c r="F104" s="1428"/>
      <c r="G104" s="1428"/>
      <c r="H104" s="1428"/>
      <c r="I104" s="1428"/>
      <c r="K104" s="1316">
        <f t="shared" si="8"/>
        <v>0</v>
      </c>
      <c r="L104" s="55">
        <f t="shared" si="9"/>
        <v>0</v>
      </c>
    </row>
    <row r="105" spans="1:12">
      <c r="A105">
        <v>5</v>
      </c>
      <c r="B105" s="1430"/>
      <c r="C105" s="1428"/>
      <c r="D105" s="1428"/>
      <c r="E105" s="1428"/>
      <c r="F105" s="1428"/>
      <c r="G105" s="1428"/>
      <c r="H105" s="1428"/>
      <c r="I105" s="1428"/>
      <c r="K105" s="1316">
        <f t="shared" si="8"/>
        <v>0</v>
      </c>
      <c r="L105" s="55">
        <f t="shared" si="9"/>
        <v>0</v>
      </c>
    </row>
    <row r="106" spans="1:12">
      <c r="A106">
        <v>6</v>
      </c>
      <c r="B106" s="1430"/>
      <c r="C106" s="1428"/>
      <c r="D106" s="1428"/>
      <c r="E106" s="1428"/>
      <c r="F106" s="1428"/>
      <c r="G106" s="1428"/>
      <c r="H106" s="1428"/>
      <c r="I106" s="1428"/>
      <c r="K106" s="1316">
        <f t="shared" si="8"/>
        <v>0</v>
      </c>
      <c r="L106" s="55">
        <f t="shared" si="9"/>
        <v>0</v>
      </c>
    </row>
    <row r="107" spans="1:12">
      <c r="A107">
        <v>7</v>
      </c>
      <c r="B107" s="1430"/>
      <c r="C107" s="1428"/>
      <c r="D107" s="1428"/>
      <c r="E107" s="1428"/>
      <c r="F107" s="1428"/>
      <c r="G107" s="1428"/>
      <c r="H107" s="1428"/>
      <c r="I107" s="1428"/>
      <c r="K107" s="1316">
        <f t="shared" si="8"/>
        <v>0</v>
      </c>
      <c r="L107" s="55">
        <f t="shared" si="9"/>
        <v>0</v>
      </c>
    </row>
    <row r="108" spans="1:12">
      <c r="A108">
        <v>8</v>
      </c>
      <c r="B108" s="1430"/>
      <c r="C108" s="1428"/>
      <c r="D108" s="1428"/>
      <c r="E108" s="1428"/>
      <c r="F108" s="1428"/>
      <c r="G108" s="1428"/>
      <c r="H108" s="1428"/>
      <c r="I108" s="1428"/>
      <c r="K108" s="1316">
        <f t="shared" si="8"/>
        <v>0</v>
      </c>
      <c r="L108" s="55">
        <f t="shared" si="9"/>
        <v>0</v>
      </c>
    </row>
    <row r="109" spans="1:12">
      <c r="A109">
        <v>9</v>
      </c>
      <c r="B109" s="1430"/>
      <c r="C109" s="1428"/>
      <c r="D109" s="1428"/>
      <c r="E109" s="1428"/>
      <c r="F109" s="1428"/>
      <c r="G109" s="1428"/>
      <c r="H109" s="1428"/>
      <c r="I109" s="1428"/>
      <c r="K109" s="1316">
        <f t="shared" si="8"/>
        <v>0</v>
      </c>
      <c r="L109" s="55">
        <f t="shared" si="9"/>
        <v>0</v>
      </c>
    </row>
    <row r="110" spans="1:12">
      <c r="A110">
        <v>10</v>
      </c>
      <c r="B110" s="1430"/>
      <c r="C110" s="1428"/>
      <c r="D110" s="1428"/>
      <c r="E110" s="1428"/>
      <c r="F110" s="1428"/>
      <c r="G110" s="1428"/>
      <c r="H110" s="1428"/>
      <c r="I110" s="1428"/>
      <c r="K110" s="1316">
        <f t="shared" si="8"/>
        <v>0</v>
      </c>
      <c r="L110" s="55">
        <f t="shared" si="9"/>
        <v>0</v>
      </c>
    </row>
    <row r="111" spans="1:12">
      <c r="F111" s="875"/>
      <c r="H111" s="954"/>
      <c r="I111" s="954"/>
    </row>
    <row r="112" spans="1:12" ht="15.6">
      <c r="B112" s="827"/>
      <c r="C112" s="876"/>
      <c r="D112" s="829"/>
      <c r="F112" s="875"/>
      <c r="G112" s="875"/>
      <c r="H112" s="954"/>
      <c r="I112" s="954"/>
    </row>
    <row r="113" spans="1:9">
      <c r="A113" s="190"/>
      <c r="B113" s="190"/>
      <c r="C113" s="190"/>
      <c r="D113" s="190"/>
      <c r="E113" s="190"/>
      <c r="F113" s="190"/>
      <c r="G113" s="190"/>
      <c r="H113" s="190"/>
      <c r="I113" s="190"/>
    </row>
  </sheetData>
  <sheetProtection algorithmName="SHA-512" hashValue="u4nP7gP3cM2W2X3zYnAN8N3vb/xV40ARDRrMfs30L8VnjKp+PDrXNSpmICjaO0rUsoY42wLGOG+jLzG0mk4noQ==" saltValue="x2Jdz7f4H8jQKqSnQtoOCw==" spinCount="100000" sheet="1" formatColumns="0" formatRows="0"/>
  <mergeCells count="57">
    <mergeCell ref="A72:G72"/>
    <mergeCell ref="C99:E99"/>
    <mergeCell ref="B55:D55"/>
    <mergeCell ref="B56:D56"/>
    <mergeCell ref="B57:D57"/>
    <mergeCell ref="B58:D58"/>
    <mergeCell ref="B59:D59"/>
    <mergeCell ref="B60:D60"/>
    <mergeCell ref="B61:D61"/>
    <mergeCell ref="B62:D62"/>
    <mergeCell ref="B63:D63"/>
    <mergeCell ref="B64:D64"/>
    <mergeCell ref="B65:D65"/>
    <mergeCell ref="B66:D66"/>
    <mergeCell ref="B67:D67"/>
    <mergeCell ref="B54:D54"/>
    <mergeCell ref="B43:F43"/>
    <mergeCell ref="C45:D45"/>
    <mergeCell ref="E45:F45"/>
    <mergeCell ref="A46:F46"/>
    <mergeCell ref="B47:F47"/>
    <mergeCell ref="B48:F48"/>
    <mergeCell ref="A49:F49"/>
    <mergeCell ref="A50:F50"/>
    <mergeCell ref="A51:F51"/>
    <mergeCell ref="B52:D52"/>
    <mergeCell ref="B53:D53"/>
    <mergeCell ref="B38:F38"/>
    <mergeCell ref="B39:F39"/>
    <mergeCell ref="D40:F40"/>
    <mergeCell ref="B41:F41"/>
    <mergeCell ref="B42:C42"/>
    <mergeCell ref="E42:F42"/>
    <mergeCell ref="B37:F37"/>
    <mergeCell ref="B22:F22"/>
    <mergeCell ref="B23:F23"/>
    <mergeCell ref="B24:F24"/>
    <mergeCell ref="B25:F25"/>
    <mergeCell ref="B32:F32"/>
    <mergeCell ref="B33:F33"/>
    <mergeCell ref="B34:F34"/>
    <mergeCell ref="B35:F35"/>
    <mergeCell ref="B36:F36"/>
    <mergeCell ref="A26:A30"/>
    <mergeCell ref="B31:F31"/>
    <mergeCell ref="B16:F16"/>
    <mergeCell ref="B17:F17"/>
    <mergeCell ref="A18:F18"/>
    <mergeCell ref="B19:F19"/>
    <mergeCell ref="B20:F20"/>
    <mergeCell ref="B21:F21"/>
    <mergeCell ref="B15:F15"/>
    <mergeCell ref="A3:D3"/>
    <mergeCell ref="E7:F7"/>
    <mergeCell ref="E8:F8"/>
    <mergeCell ref="B13:F13"/>
    <mergeCell ref="B14:F14"/>
  </mergeCells>
  <phoneticPr fontId="188" type="noConversion"/>
  <conditionalFormatting sqref="B13:F13">
    <cfRule type="expression" dxfId="35" priority="50">
      <formula>ISBLANK(B13)</formula>
    </cfRule>
  </conditionalFormatting>
  <conditionalFormatting sqref="B15:F15 B16">
    <cfRule type="expression" dxfId="34" priority="49">
      <formula>ISBLANK(B15)</formula>
    </cfRule>
  </conditionalFormatting>
  <conditionalFormatting sqref="B17:F17">
    <cfRule type="expression" dxfId="33" priority="48">
      <formula>ISBLANK(B17)</formula>
    </cfRule>
  </conditionalFormatting>
  <conditionalFormatting sqref="B45">
    <cfRule type="expression" dxfId="32" priority="47" stopIfTrue="1">
      <formula>ISBLANK($C$41)</formula>
    </cfRule>
  </conditionalFormatting>
  <conditionalFormatting sqref="B42">
    <cfRule type="expression" dxfId="31" priority="46" stopIfTrue="1">
      <formula>ISBLANK($C$41)</formula>
    </cfRule>
  </conditionalFormatting>
  <conditionalFormatting sqref="E45">
    <cfRule type="expression" dxfId="30" priority="45" stopIfTrue="1">
      <formula>ISBLANK($G$45)</formula>
    </cfRule>
  </conditionalFormatting>
  <conditionalFormatting sqref="B48">
    <cfRule type="expression" dxfId="29" priority="34" stopIfTrue="1">
      <formula>ISBLANK($C$41)</formula>
    </cfRule>
  </conditionalFormatting>
  <conditionalFormatting sqref="E42">
    <cfRule type="expression" dxfId="28" priority="33" stopIfTrue="1">
      <formula>ISBLANK($G$45)</formula>
    </cfRule>
  </conditionalFormatting>
  <conditionalFormatting sqref="B11">
    <cfRule type="expression" dxfId="27" priority="32">
      <formula>ISBLANK(B11)</formula>
    </cfRule>
  </conditionalFormatting>
  <conditionalFormatting sqref="F10">
    <cfRule type="expression" dxfId="26" priority="21">
      <formula>$F$2="OUI"</formula>
    </cfRule>
    <cfRule type="expression" dxfId="25" priority="31">
      <formula>ISBLANK(F10)</formula>
    </cfRule>
  </conditionalFormatting>
  <conditionalFormatting sqref="B20:B21">
    <cfRule type="expression" dxfId="24" priority="30">
      <formula>ISBLANK(B20)</formula>
    </cfRule>
  </conditionalFormatting>
  <conditionalFormatting sqref="B27:B30">
    <cfRule type="expression" dxfId="23" priority="29">
      <formula>ISBLANK(B27)</formula>
    </cfRule>
  </conditionalFormatting>
  <conditionalFormatting sqref="F26:F30 D26:D30">
    <cfRule type="expression" dxfId="22" priority="28">
      <formula>ISBLANK(D26)</formula>
    </cfRule>
  </conditionalFormatting>
  <conditionalFormatting sqref="B32:B33">
    <cfRule type="expression" dxfId="21" priority="27">
      <formula>ISBLANK(B32)</formula>
    </cfRule>
  </conditionalFormatting>
  <conditionalFormatting sqref="E53:E60 A53:B60 G53:G60">
    <cfRule type="expression" dxfId="20" priority="26">
      <formula>ISBLANK(A53)</formula>
    </cfRule>
  </conditionalFormatting>
  <conditionalFormatting sqref="A10:D11">
    <cfRule type="expression" dxfId="19" priority="23">
      <formula>$F$3="OUI"</formula>
    </cfRule>
  </conditionalFormatting>
  <conditionalFormatting sqref="E10">
    <cfRule type="expression" dxfId="18" priority="22">
      <formula>$F$2="OUI"</formula>
    </cfRule>
  </conditionalFormatting>
  <conditionalFormatting sqref="B37:F37">
    <cfRule type="expression" dxfId="17" priority="20">
      <formula>ISBLANK(B37)</formula>
    </cfRule>
  </conditionalFormatting>
  <conditionalFormatting sqref="B101">
    <cfRule type="expression" dxfId="16" priority="18">
      <formula>ISBLANK(B101)</formula>
    </cfRule>
  </conditionalFormatting>
  <conditionalFormatting sqref="D102:D110">
    <cfRule type="expression" dxfId="15" priority="17">
      <formula>ISBLANK(D102)</formula>
    </cfRule>
  </conditionalFormatting>
  <conditionalFormatting sqref="G101:G110">
    <cfRule type="expression" dxfId="14" priority="16">
      <formula>ISBLANK(G101)</formula>
    </cfRule>
  </conditionalFormatting>
  <conditionalFormatting sqref="B102:C110">
    <cfRule type="expression" dxfId="13" priority="15">
      <formula>ISBLANK(B102)</formula>
    </cfRule>
  </conditionalFormatting>
  <conditionalFormatting sqref="C101">
    <cfRule type="expression" dxfId="12" priority="14">
      <formula>ISBLANK(C101)</formula>
    </cfRule>
  </conditionalFormatting>
  <conditionalFormatting sqref="D101">
    <cfRule type="expression" dxfId="11" priority="13">
      <formula>ISBLANK(D101)</formula>
    </cfRule>
  </conditionalFormatting>
  <conditionalFormatting sqref="E102:E110">
    <cfRule type="expression" dxfId="10" priority="12">
      <formula>ISBLANK(E102)</formula>
    </cfRule>
  </conditionalFormatting>
  <conditionalFormatting sqref="E101">
    <cfRule type="expression" dxfId="9" priority="11">
      <formula>ISBLANK(E101)</formula>
    </cfRule>
  </conditionalFormatting>
  <conditionalFormatting sqref="H101:H110">
    <cfRule type="expression" dxfId="8" priority="10">
      <formula>ISBLANK(H101)</formula>
    </cfRule>
  </conditionalFormatting>
  <conditionalFormatting sqref="B101:E110 G101:H110">
    <cfRule type="expression" dxfId="7" priority="8">
      <formula>ISBLANK(B101)</formula>
    </cfRule>
  </conditionalFormatting>
  <conditionalFormatting sqref="I101:I110">
    <cfRule type="expression" dxfId="6" priority="7">
      <formula>ISBLANK(I101)</formula>
    </cfRule>
  </conditionalFormatting>
  <conditionalFormatting sqref="F53:F60">
    <cfRule type="expression" dxfId="5" priority="6">
      <formula>ISBLANK(F53)</formula>
    </cfRule>
  </conditionalFormatting>
  <conditionalFormatting sqref="F101:F110">
    <cfRule type="expression" dxfId="4" priority="5">
      <formula>ISBLANK(F101)</formula>
    </cfRule>
  </conditionalFormatting>
  <conditionalFormatting sqref="A61:B67 E61:E67 G61:G67">
    <cfRule type="expression" dxfId="3" priority="4">
      <formula>ISBLANK(A61)</formula>
    </cfRule>
  </conditionalFormatting>
  <conditionalFormatting sqref="F61:F67">
    <cfRule type="expression" dxfId="2" priority="3">
      <formula>ISBLANK(F61)</formula>
    </cfRule>
  </conditionalFormatting>
  <conditionalFormatting sqref="C77:C86 E77:H86">
    <cfRule type="expression" dxfId="1" priority="2">
      <formula>ISBLANK(C77)</formula>
    </cfRule>
  </conditionalFormatting>
  <conditionalFormatting sqref="B87:H96">
    <cfRule type="expression" dxfId="0" priority="1">
      <formula>ISBLANK(B87)</formula>
    </cfRule>
  </conditionalFormatting>
  <dataValidations count="13">
    <dataValidation type="list" showInputMessage="1" showErrorMessage="1" sqref="G53:G60" xr:uid="{0E3F8730-E85A-4CD1-BDD6-DC8334B19712}">
      <formula1>Avancement</formula1>
    </dataValidation>
    <dataValidation type="list" showInputMessage="1" showErrorMessage="1" sqref="F10" xr:uid="{83BAC4BB-A400-4EBE-8B91-B6978A90BDE3}">
      <formula1>Risque</formula1>
    </dataValidation>
    <dataValidation type="list" allowBlank="1" showInputMessage="1" showErrorMessage="1" sqref="B11" xr:uid="{6E3448D3-29C4-4A44-A927-6DADBE86FE57}">
      <formula1>Axe_precarite</formula1>
    </dataValidation>
    <dataValidation type="list" showInputMessage="1" showErrorMessage="1" sqref="D26:D30" xr:uid="{0C3280CC-8F03-4DE2-A1F2-EBCBA0253CA1}">
      <formula1>Parties_prenantes</formula1>
    </dataValidation>
    <dataValidation type="list" allowBlank="1" showInputMessage="1" showErrorMessage="1" sqref="D40:F40" xr:uid="{316B820B-CF19-45C5-BC8D-7C69813CC77D}">
      <formula1>DEPENSE</formula1>
    </dataValidation>
    <dataValidation type="list" showInputMessage="1" showErrorMessage="1" sqref="H101:H110" xr:uid="{D91DA1CC-44B3-4756-9F62-2182166F1834}">
      <formula1>Etat</formula1>
    </dataValidation>
    <dataValidation type="list" showInputMessage="1" showErrorMessage="1" sqref="I101:I110 H77:H96" xr:uid="{FDBD1670-9A4F-4743-9341-653D691EFAA5}">
      <formula1>selection</formula1>
    </dataValidation>
    <dataValidation type="list" showInputMessage="1" showErrorMessage="1" sqref="F101:F110 F53:F60 E87:E96" xr:uid="{6EB32DA7-2F3D-4DF6-978E-E332C4A4D819}">
      <formula1>Année</formula1>
    </dataValidation>
    <dataValidation type="decimal" operator="greaterThanOrEqual" allowBlank="1" showInputMessage="1" showErrorMessage="1" sqref="E53:E60" xr:uid="{7EC19424-CB8D-4F70-87B2-F96D1BD0C2CC}">
      <formula1>0</formula1>
    </dataValidation>
    <dataValidation type="list" showInputMessage="1" showErrorMessage="1" error="Veuillez sélectionner une année dans le menu déroulant" sqref="F61:F67" xr:uid="{756C0D08-AA2C-455B-8E73-DDFBED7FB87D}">
      <formula1>Année</formula1>
    </dataValidation>
    <dataValidation type="decimal" allowBlank="1" showInputMessage="1" showErrorMessage="1" sqref="E61:E67" xr:uid="{467B11EA-4EAD-4786-99A9-14B35DA82FDB}">
      <formula1>0</formula1>
      <formula2>365</formula2>
    </dataValidation>
    <dataValidation type="list" allowBlank="1" showInputMessage="1" showErrorMessage="1" sqref="G61:G67" xr:uid="{3834C835-5F5B-4519-B8D8-43E02CF3325A}">
      <formula1>Avancement</formula1>
    </dataValidation>
    <dataValidation type="decimal" operator="greaterThan" allowBlank="1" showInputMessage="1" showErrorMessage="1" sqref="G77:G96" xr:uid="{D7D45A1F-1238-43DE-84B5-8F178A67D438}">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332097" r:id="rId3" name="Check Box 1">
              <controlPr locked="0" defaultSize="0" autoFill="0" autoLine="0" autoPict="0">
                <anchor moveWithCells="1">
                  <from>
                    <xdr:col>1</xdr:col>
                    <xdr:colOff>350520</xdr:colOff>
                    <xdr:row>21</xdr:row>
                    <xdr:rowOff>152400</xdr:rowOff>
                  </from>
                  <to>
                    <xdr:col>1</xdr:col>
                    <xdr:colOff>632460</xdr:colOff>
                    <xdr:row>21</xdr:row>
                    <xdr:rowOff>381000</xdr:rowOff>
                  </to>
                </anchor>
              </controlPr>
            </control>
          </mc:Choice>
        </mc:AlternateContent>
        <mc:AlternateContent xmlns:mc="http://schemas.openxmlformats.org/markup-compatibility/2006">
          <mc:Choice Requires="x14">
            <control shapeId="51332098" r:id="rId4" name="Check Box 2">
              <controlPr locked="0" defaultSize="0" autoFill="0" autoLine="0" autoPict="0">
                <anchor moveWithCells="1">
                  <from>
                    <xdr:col>1</xdr:col>
                    <xdr:colOff>350520</xdr:colOff>
                    <xdr:row>21</xdr:row>
                    <xdr:rowOff>480060</xdr:rowOff>
                  </from>
                  <to>
                    <xdr:col>1</xdr:col>
                    <xdr:colOff>632460</xdr:colOff>
                    <xdr:row>21</xdr:row>
                    <xdr:rowOff>708660</xdr:rowOff>
                  </to>
                </anchor>
              </controlPr>
            </control>
          </mc:Choice>
        </mc:AlternateContent>
        <mc:AlternateContent xmlns:mc="http://schemas.openxmlformats.org/markup-compatibility/2006">
          <mc:Choice Requires="x14">
            <control shapeId="51332099" r:id="rId5" name="Check Box 3">
              <controlPr locked="0" defaultSize="0" autoFill="0" autoLine="0" autoPict="0">
                <anchor moveWithCells="1">
                  <from>
                    <xdr:col>1</xdr:col>
                    <xdr:colOff>335280</xdr:colOff>
                    <xdr:row>21</xdr:row>
                    <xdr:rowOff>838200</xdr:rowOff>
                  </from>
                  <to>
                    <xdr:col>1</xdr:col>
                    <xdr:colOff>617220</xdr:colOff>
                    <xdr:row>21</xdr:row>
                    <xdr:rowOff>1066800</xdr:rowOff>
                  </to>
                </anchor>
              </controlPr>
            </control>
          </mc:Choice>
        </mc:AlternateContent>
        <mc:AlternateContent xmlns:mc="http://schemas.openxmlformats.org/markup-compatibility/2006">
          <mc:Choice Requires="x14">
            <control shapeId="51332100" r:id="rId6" name="Check Box 4">
              <controlPr locked="0" defaultSize="0" autoFill="0" autoLine="0" autoPict="0">
                <anchor moveWithCells="1">
                  <from>
                    <xdr:col>1</xdr:col>
                    <xdr:colOff>2346960</xdr:colOff>
                    <xdr:row>21</xdr:row>
                    <xdr:rowOff>152400</xdr:rowOff>
                  </from>
                  <to>
                    <xdr:col>2</xdr:col>
                    <xdr:colOff>274320</xdr:colOff>
                    <xdr:row>21</xdr:row>
                    <xdr:rowOff>381000</xdr:rowOff>
                  </to>
                </anchor>
              </controlPr>
            </control>
          </mc:Choice>
        </mc:AlternateContent>
        <mc:AlternateContent xmlns:mc="http://schemas.openxmlformats.org/markup-compatibility/2006">
          <mc:Choice Requires="x14">
            <control shapeId="51332101" r:id="rId7" name="Check Box 5">
              <controlPr locked="0" defaultSize="0" autoFill="0" autoLine="0" autoPict="0">
                <anchor moveWithCells="1">
                  <from>
                    <xdr:col>1</xdr:col>
                    <xdr:colOff>2346960</xdr:colOff>
                    <xdr:row>21</xdr:row>
                    <xdr:rowOff>480060</xdr:rowOff>
                  </from>
                  <to>
                    <xdr:col>2</xdr:col>
                    <xdr:colOff>274320</xdr:colOff>
                    <xdr:row>21</xdr:row>
                    <xdr:rowOff>708660</xdr:rowOff>
                  </to>
                </anchor>
              </controlPr>
            </control>
          </mc:Choice>
        </mc:AlternateContent>
        <mc:AlternateContent xmlns:mc="http://schemas.openxmlformats.org/markup-compatibility/2006">
          <mc:Choice Requires="x14">
            <control shapeId="51332102" r:id="rId8" name="Check Box 6">
              <controlPr locked="0" defaultSize="0" autoFill="0" autoLine="0" autoPict="0">
                <anchor moveWithCells="1">
                  <from>
                    <xdr:col>1</xdr:col>
                    <xdr:colOff>2286000</xdr:colOff>
                    <xdr:row>21</xdr:row>
                    <xdr:rowOff>838200</xdr:rowOff>
                  </from>
                  <to>
                    <xdr:col>2</xdr:col>
                    <xdr:colOff>274320</xdr:colOff>
                    <xdr:row>21</xdr:row>
                    <xdr:rowOff>1066800</xdr:rowOff>
                  </to>
                </anchor>
              </controlPr>
            </control>
          </mc:Choice>
        </mc:AlternateContent>
        <mc:AlternateContent xmlns:mc="http://schemas.openxmlformats.org/markup-compatibility/2006">
          <mc:Choice Requires="x14">
            <control shapeId="51332103" r:id="rId9" name="Check Box 7">
              <controlPr locked="0" defaultSize="0" autoFill="0" autoLine="0" autoPict="0">
                <anchor moveWithCells="1">
                  <from>
                    <xdr:col>2</xdr:col>
                    <xdr:colOff>1981200</xdr:colOff>
                    <xdr:row>21</xdr:row>
                    <xdr:rowOff>152400</xdr:rowOff>
                  </from>
                  <to>
                    <xdr:col>3</xdr:col>
                    <xdr:colOff>22860</xdr:colOff>
                    <xdr:row>21</xdr:row>
                    <xdr:rowOff>381000</xdr:rowOff>
                  </to>
                </anchor>
              </controlPr>
            </control>
          </mc:Choice>
        </mc:AlternateContent>
        <mc:AlternateContent xmlns:mc="http://schemas.openxmlformats.org/markup-compatibility/2006">
          <mc:Choice Requires="x14">
            <control shapeId="51332104" r:id="rId10" name="Check Box 8">
              <controlPr locked="0" defaultSize="0" autoFill="0" autoLine="0" autoPict="0">
                <anchor moveWithCells="1">
                  <from>
                    <xdr:col>2</xdr:col>
                    <xdr:colOff>1988820</xdr:colOff>
                    <xdr:row>21</xdr:row>
                    <xdr:rowOff>480060</xdr:rowOff>
                  </from>
                  <to>
                    <xdr:col>3</xdr:col>
                    <xdr:colOff>22860</xdr:colOff>
                    <xdr:row>21</xdr:row>
                    <xdr:rowOff>708660</xdr:rowOff>
                  </to>
                </anchor>
              </controlPr>
            </control>
          </mc:Choice>
        </mc:AlternateContent>
        <mc:AlternateContent xmlns:mc="http://schemas.openxmlformats.org/markup-compatibility/2006">
          <mc:Choice Requires="x14">
            <control shapeId="51332105" r:id="rId11" name="Check Box 9">
              <controlPr locked="0" defaultSize="0" autoFill="0" autoLine="0" autoPict="0">
                <anchor moveWithCells="1">
                  <from>
                    <xdr:col>2</xdr:col>
                    <xdr:colOff>2004060</xdr:colOff>
                    <xdr:row>21</xdr:row>
                    <xdr:rowOff>838200</xdr:rowOff>
                  </from>
                  <to>
                    <xdr:col>3</xdr:col>
                    <xdr:colOff>30480</xdr:colOff>
                    <xdr:row>21</xdr:row>
                    <xdr:rowOff>1066800</xdr:rowOff>
                  </to>
                </anchor>
              </controlPr>
            </control>
          </mc:Choice>
        </mc:AlternateContent>
        <mc:AlternateContent xmlns:mc="http://schemas.openxmlformats.org/markup-compatibility/2006">
          <mc:Choice Requires="x14">
            <control shapeId="51332106" r:id="rId12" name="Check Box 10">
              <controlPr locked="0" defaultSize="0" autoFill="0" autoLine="0" autoPict="0">
                <anchor moveWithCells="1">
                  <from>
                    <xdr:col>3</xdr:col>
                    <xdr:colOff>1737360</xdr:colOff>
                    <xdr:row>21</xdr:row>
                    <xdr:rowOff>152400</xdr:rowOff>
                  </from>
                  <to>
                    <xdr:col>4</xdr:col>
                    <xdr:colOff>0</xdr:colOff>
                    <xdr:row>21</xdr:row>
                    <xdr:rowOff>381000</xdr:rowOff>
                  </to>
                </anchor>
              </controlPr>
            </control>
          </mc:Choice>
        </mc:AlternateContent>
        <mc:AlternateContent xmlns:mc="http://schemas.openxmlformats.org/markup-compatibility/2006">
          <mc:Choice Requires="x14">
            <control shapeId="51332107" r:id="rId13" name="Check Box 11">
              <controlPr locked="0" defaultSize="0" autoFill="0" autoLine="0" autoPict="0">
                <anchor moveWithCells="1">
                  <from>
                    <xdr:col>3</xdr:col>
                    <xdr:colOff>1737360</xdr:colOff>
                    <xdr:row>21</xdr:row>
                    <xdr:rowOff>480060</xdr:rowOff>
                  </from>
                  <to>
                    <xdr:col>4</xdr:col>
                    <xdr:colOff>0</xdr:colOff>
                    <xdr:row>21</xdr:row>
                    <xdr:rowOff>708660</xdr:rowOff>
                  </to>
                </anchor>
              </controlPr>
            </control>
          </mc:Choice>
        </mc:AlternateContent>
        <mc:AlternateContent xmlns:mc="http://schemas.openxmlformats.org/markup-compatibility/2006">
          <mc:Choice Requires="x14">
            <control shapeId="51332108" r:id="rId14" name="Check Box 12">
              <controlPr locked="0" defaultSize="0" autoFill="0" autoLine="0" autoPict="0">
                <anchor moveWithCells="1">
                  <from>
                    <xdr:col>3</xdr:col>
                    <xdr:colOff>1744980</xdr:colOff>
                    <xdr:row>21</xdr:row>
                    <xdr:rowOff>838200</xdr:rowOff>
                  </from>
                  <to>
                    <xdr:col>4</xdr:col>
                    <xdr:colOff>0</xdr:colOff>
                    <xdr:row>21</xdr:row>
                    <xdr:rowOff>1066800</xdr:rowOff>
                  </to>
                </anchor>
              </controlPr>
            </control>
          </mc:Choice>
        </mc:AlternateContent>
        <mc:AlternateContent xmlns:mc="http://schemas.openxmlformats.org/markup-compatibility/2006">
          <mc:Choice Requires="x14">
            <control shapeId="51332109" r:id="rId15" name="Check Box 13">
              <controlPr locked="0" defaultSize="0" autoFill="0" autoLine="0" autoPict="0">
                <anchor moveWithCells="1">
                  <from>
                    <xdr:col>4</xdr:col>
                    <xdr:colOff>1668780</xdr:colOff>
                    <xdr:row>21</xdr:row>
                    <xdr:rowOff>152400</xdr:rowOff>
                  </from>
                  <to>
                    <xdr:col>4</xdr:col>
                    <xdr:colOff>1950720</xdr:colOff>
                    <xdr:row>21</xdr:row>
                    <xdr:rowOff>381000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34">
    <tabColor rgb="FFDAEEF3"/>
  </sheetPr>
  <dimension ref="A1:W34"/>
  <sheetViews>
    <sheetView showGridLines="0" zoomScale="90" zoomScaleNormal="90" workbookViewId="0">
      <pane ySplit="1" topLeftCell="A2" activePane="bottomLeft" state="frozen"/>
      <selection activeCell="D90" sqref="D90"/>
      <selection pane="bottomLeft" activeCell="D90" sqref="D90"/>
    </sheetView>
  </sheetViews>
  <sheetFormatPr baseColWidth="10" defaultColWidth="9.109375" defaultRowHeight="14.4"/>
  <cols>
    <col min="1" max="22" width="9.109375" style="1"/>
    <col min="23" max="23" width="28.5546875" style="1" customWidth="1"/>
    <col min="24" max="16384" width="9.109375" style="1"/>
  </cols>
  <sheetData>
    <row r="1" spans="1:23" ht="62.25" customHeight="1">
      <c r="A1" s="190"/>
      <c r="B1" s="190"/>
      <c r="C1" s="190"/>
      <c r="D1" s="190"/>
      <c r="E1" s="190"/>
      <c r="F1" s="190"/>
      <c r="G1" s="190"/>
      <c r="H1" s="190"/>
      <c r="I1" s="190"/>
      <c r="J1" s="190"/>
      <c r="K1" s="190"/>
      <c r="L1" s="190"/>
      <c r="M1" s="190"/>
      <c r="N1" s="190"/>
      <c r="O1" s="190"/>
      <c r="P1" s="190"/>
      <c r="Q1" s="190"/>
      <c r="R1" s="190"/>
      <c r="S1" s="190"/>
      <c r="T1" s="190"/>
      <c r="U1" s="190"/>
      <c r="V1" s="190"/>
      <c r="W1" s="190"/>
    </row>
    <row r="2" spans="1:23">
      <c r="A2"/>
      <c r="B2"/>
      <c r="C2"/>
      <c r="D2"/>
      <c r="E2"/>
      <c r="F2"/>
      <c r="G2"/>
      <c r="H2"/>
      <c r="I2"/>
      <c r="J2"/>
      <c r="K2"/>
      <c r="L2"/>
      <c r="M2"/>
      <c r="N2"/>
      <c r="O2"/>
      <c r="P2"/>
      <c r="Q2"/>
      <c r="R2"/>
      <c r="S2"/>
      <c r="T2"/>
      <c r="U2"/>
      <c r="V2"/>
      <c r="W2"/>
    </row>
    <row r="3" spans="1:23" ht="25.8">
      <c r="A3" s="210" t="s">
        <v>1753</v>
      </c>
      <c r="B3"/>
      <c r="C3"/>
      <c r="D3"/>
      <c r="E3"/>
      <c r="F3"/>
      <c r="G3"/>
      <c r="H3"/>
      <c r="I3"/>
      <c r="J3"/>
      <c r="K3"/>
      <c r="L3"/>
      <c r="M3"/>
      <c r="N3"/>
      <c r="O3"/>
      <c r="P3"/>
      <c r="Q3"/>
      <c r="R3"/>
      <c r="S3"/>
      <c r="T3"/>
      <c r="U3"/>
      <c r="V3"/>
      <c r="W3"/>
    </row>
    <row r="4" spans="1:23">
      <c r="A4"/>
      <c r="B4"/>
      <c r="C4"/>
      <c r="D4"/>
      <c r="E4"/>
      <c r="F4"/>
      <c r="G4"/>
      <c r="H4"/>
      <c r="I4"/>
      <c r="J4"/>
      <c r="K4"/>
      <c r="L4"/>
      <c r="M4"/>
      <c r="N4"/>
      <c r="O4"/>
      <c r="P4"/>
      <c r="Q4"/>
      <c r="R4"/>
      <c r="S4"/>
      <c r="T4"/>
      <c r="U4"/>
      <c r="V4"/>
      <c r="W4"/>
    </row>
    <row r="5" spans="1:23" ht="15" customHeight="1">
      <c r="A5" s="2232" t="s">
        <v>1754</v>
      </c>
      <c r="B5" s="2233"/>
      <c r="C5" s="2233"/>
      <c r="D5" s="2233"/>
      <c r="E5" s="2233"/>
      <c r="F5" s="2233"/>
      <c r="G5" s="2233"/>
      <c r="H5" s="2233"/>
      <c r="I5" s="2233"/>
      <c r="J5" s="2233"/>
      <c r="K5" s="2233"/>
      <c r="L5" s="2233"/>
      <c r="M5" s="2233"/>
      <c r="N5"/>
      <c r="O5"/>
      <c r="P5"/>
      <c r="Q5"/>
      <c r="R5"/>
      <c r="S5"/>
      <c r="T5"/>
      <c r="U5"/>
      <c r="V5"/>
      <c r="W5"/>
    </row>
    <row r="6" spans="1:23">
      <c r="A6" s="2232"/>
      <c r="B6" s="2233"/>
      <c r="C6" s="2233"/>
      <c r="D6" s="2233"/>
      <c r="E6" s="2233"/>
      <c r="F6" s="2233"/>
      <c r="G6" s="2233"/>
      <c r="H6" s="2233"/>
      <c r="I6" s="2233"/>
      <c r="J6" s="2233"/>
      <c r="K6" s="2233"/>
      <c r="L6" s="2233"/>
      <c r="M6" s="2233"/>
      <c r="N6"/>
      <c r="O6"/>
      <c r="P6"/>
      <c r="Q6"/>
      <c r="R6"/>
      <c r="S6"/>
      <c r="T6"/>
      <c r="U6"/>
      <c r="V6"/>
      <c r="W6"/>
    </row>
    <row r="7" spans="1:23" ht="4.5" customHeight="1">
      <c r="A7" s="2232"/>
      <c r="B7" s="2233"/>
      <c r="C7" s="2233"/>
      <c r="D7" s="2233"/>
      <c r="E7" s="2233"/>
      <c r="F7" s="2233"/>
      <c r="G7" s="2233"/>
      <c r="H7" s="2233"/>
      <c r="I7" s="2233"/>
      <c r="J7" s="2233"/>
      <c r="K7" s="2233"/>
      <c r="L7" s="2233"/>
      <c r="M7" s="2233"/>
      <c r="N7"/>
      <c r="O7"/>
      <c r="P7"/>
      <c r="Q7"/>
      <c r="R7"/>
      <c r="S7"/>
      <c r="T7"/>
      <c r="U7"/>
      <c r="V7"/>
      <c r="W7"/>
    </row>
    <row r="8" spans="1:23">
      <c r="A8"/>
      <c r="B8"/>
      <c r="C8"/>
      <c r="D8"/>
      <c r="E8"/>
      <c r="F8"/>
      <c r="G8"/>
      <c r="H8"/>
      <c r="I8"/>
      <c r="J8"/>
      <c r="K8"/>
      <c r="L8"/>
      <c r="M8"/>
      <c r="N8"/>
      <c r="O8"/>
      <c r="P8"/>
      <c r="Q8"/>
      <c r="R8"/>
      <c r="S8"/>
      <c r="T8"/>
      <c r="U8"/>
      <c r="V8"/>
      <c r="W8"/>
    </row>
    <row r="9" spans="1:23">
      <c r="A9"/>
      <c r="B9"/>
      <c r="C9"/>
      <c r="D9"/>
      <c r="E9"/>
      <c r="F9"/>
      <c r="G9"/>
      <c r="H9"/>
      <c r="I9"/>
      <c r="J9"/>
      <c r="K9"/>
      <c r="L9"/>
      <c r="M9"/>
      <c r="N9"/>
      <c r="O9"/>
      <c r="P9"/>
      <c r="Q9"/>
      <c r="R9"/>
      <c r="S9"/>
      <c r="T9"/>
      <c r="U9"/>
      <c r="V9"/>
      <c r="W9"/>
    </row>
    <row r="10" spans="1:23" ht="23.25" customHeight="1">
      <c r="A10"/>
      <c r="B10"/>
      <c r="C10"/>
      <c r="D10"/>
      <c r="E10"/>
      <c r="F10" s="211" t="s">
        <v>1755</v>
      </c>
      <c r="G10"/>
      <c r="H10"/>
      <c r="I10"/>
      <c r="J10"/>
      <c r="K10"/>
      <c r="L10"/>
      <c r="M10"/>
      <c r="N10"/>
      <c r="O10"/>
      <c r="P10"/>
      <c r="Q10"/>
      <c r="R10"/>
      <c r="S10"/>
      <c r="T10"/>
      <c r="U10"/>
      <c r="V10"/>
      <c r="W10"/>
    </row>
    <row r="11" spans="1:23" ht="31.5" customHeight="1">
      <c r="A11"/>
      <c r="B11"/>
      <c r="C11"/>
      <c r="D11"/>
      <c r="E11"/>
      <c r="F11" s="2230" t="s">
        <v>1756</v>
      </c>
      <c r="G11" s="2231"/>
      <c r="H11" s="2231"/>
      <c r="I11" s="2231"/>
      <c r="J11" s="2231"/>
      <c r="K11"/>
      <c r="L11"/>
      <c r="M11"/>
      <c r="N11"/>
      <c r="O11"/>
      <c r="P11"/>
      <c r="Q11"/>
      <c r="R11"/>
      <c r="S11"/>
      <c r="T11"/>
      <c r="U11"/>
      <c r="V11"/>
      <c r="W11"/>
    </row>
    <row r="12" spans="1:23" ht="28.5" customHeight="1">
      <c r="A12"/>
      <c r="B12"/>
      <c r="C12"/>
      <c r="D12"/>
      <c r="E12"/>
      <c r="F12" s="2230" t="s">
        <v>1757</v>
      </c>
      <c r="G12" s="2231"/>
      <c r="H12" s="2231"/>
      <c r="I12" s="2231"/>
      <c r="J12" s="2231"/>
      <c r="K12"/>
      <c r="L12"/>
      <c r="M12"/>
      <c r="N12"/>
      <c r="O12"/>
      <c r="P12"/>
      <c r="Q12"/>
      <c r="R12"/>
      <c r="S12"/>
      <c r="T12"/>
      <c r="U12"/>
      <c r="V12"/>
      <c r="W12"/>
    </row>
    <row r="13" spans="1:23" ht="30" customHeight="1">
      <c r="A13"/>
      <c r="B13"/>
      <c r="C13"/>
      <c r="D13"/>
      <c r="E13"/>
      <c r="F13" s="2230" t="s">
        <v>1758</v>
      </c>
      <c r="G13" s="2231"/>
      <c r="H13" s="2231"/>
      <c r="I13" s="2231"/>
      <c r="J13" s="2231"/>
      <c r="K13"/>
      <c r="L13"/>
      <c r="M13"/>
      <c r="N13"/>
      <c r="O13"/>
      <c r="P13"/>
      <c r="Q13"/>
      <c r="R13"/>
      <c r="S13"/>
      <c r="T13"/>
      <c r="U13"/>
      <c r="V13"/>
      <c r="W13"/>
    </row>
    <row r="14" spans="1:23" ht="28.5" customHeight="1">
      <c r="A14"/>
      <c r="B14"/>
      <c r="C14"/>
      <c r="D14"/>
      <c r="E14"/>
      <c r="F14" s="2230" t="s">
        <v>1759</v>
      </c>
      <c r="G14" s="2231"/>
      <c r="H14" s="2231"/>
      <c r="I14" s="2231"/>
      <c r="J14" s="2231"/>
      <c r="K14"/>
      <c r="L14"/>
      <c r="M14"/>
      <c r="N14"/>
      <c r="O14"/>
      <c r="P14"/>
      <c r="Q14"/>
      <c r="R14"/>
      <c r="S14"/>
      <c r="T14"/>
      <c r="U14"/>
      <c r="V14"/>
      <c r="W14"/>
    </row>
    <row r="15" spans="1:23">
      <c r="A15"/>
      <c r="B15"/>
      <c r="C15"/>
      <c r="D15"/>
      <c r="E15"/>
      <c r="F15" s="212"/>
      <c r="G15"/>
      <c r="H15"/>
      <c r="I15"/>
      <c r="J15"/>
      <c r="K15"/>
      <c r="L15"/>
      <c r="M15"/>
      <c r="N15"/>
      <c r="O15"/>
      <c r="P15"/>
      <c r="Q15"/>
      <c r="R15"/>
      <c r="S15"/>
      <c r="T15"/>
      <c r="U15"/>
      <c r="V15"/>
      <c r="W15"/>
    </row>
    <row r="16" spans="1:23">
      <c r="A16"/>
      <c r="B16"/>
      <c r="C16"/>
      <c r="D16"/>
      <c r="E16"/>
      <c r="F16" s="213"/>
      <c r="G16"/>
      <c r="H16"/>
      <c r="I16"/>
      <c r="J16"/>
      <c r="K16"/>
      <c r="L16"/>
      <c r="M16"/>
      <c r="N16"/>
      <c r="O16"/>
      <c r="P16"/>
      <c r="Q16"/>
      <c r="R16"/>
      <c r="S16"/>
      <c r="T16"/>
      <c r="U16"/>
      <c r="V16"/>
      <c r="W16"/>
    </row>
    <row r="17" spans="1:23">
      <c r="A17"/>
      <c r="B17"/>
      <c r="C17"/>
      <c r="D17"/>
      <c r="E17"/>
      <c r="F17" s="213"/>
      <c r="G17"/>
      <c r="H17"/>
      <c r="I17"/>
      <c r="J17"/>
      <c r="K17"/>
      <c r="L17"/>
      <c r="M17"/>
      <c r="N17"/>
      <c r="O17"/>
      <c r="P17"/>
      <c r="Q17"/>
      <c r="R17"/>
      <c r="S17"/>
      <c r="T17"/>
      <c r="U17"/>
      <c r="V17"/>
      <c r="W17"/>
    </row>
    <row r="18" spans="1:23">
      <c r="A18"/>
      <c r="B18"/>
      <c r="C18"/>
      <c r="D18"/>
      <c r="E18"/>
      <c r="F18" s="213"/>
      <c r="G18"/>
      <c r="H18"/>
      <c r="I18"/>
      <c r="J18"/>
      <c r="K18"/>
      <c r="L18"/>
      <c r="M18"/>
      <c r="N18"/>
      <c r="O18"/>
      <c r="P18"/>
      <c r="Q18"/>
      <c r="R18"/>
      <c r="S18"/>
      <c r="T18"/>
      <c r="U18"/>
      <c r="V18"/>
      <c r="W18"/>
    </row>
    <row r="19" spans="1:23">
      <c r="A19"/>
      <c r="B19"/>
      <c r="C19"/>
      <c r="D19"/>
      <c r="E19"/>
      <c r="F19"/>
      <c r="G19"/>
      <c r="H19"/>
      <c r="I19"/>
      <c r="J19"/>
      <c r="K19"/>
      <c r="L19"/>
      <c r="M19"/>
      <c r="N19"/>
      <c r="O19"/>
      <c r="P19"/>
      <c r="Q19"/>
      <c r="R19"/>
      <c r="S19"/>
      <c r="T19"/>
      <c r="U19"/>
      <c r="V19"/>
      <c r="W19"/>
    </row>
    <row r="20" spans="1:23">
      <c r="A20"/>
      <c r="B20"/>
      <c r="C20"/>
      <c r="D20"/>
      <c r="E20"/>
      <c r="F20"/>
      <c r="G20"/>
      <c r="H20"/>
      <c r="I20"/>
      <c r="J20"/>
      <c r="K20"/>
      <c r="L20"/>
      <c r="M20"/>
      <c r="N20"/>
      <c r="O20"/>
      <c r="P20"/>
      <c r="Q20"/>
      <c r="R20"/>
      <c r="S20"/>
      <c r="T20"/>
      <c r="U20"/>
      <c r="V20"/>
      <c r="W20"/>
    </row>
    <row r="21" spans="1:23">
      <c r="A21"/>
      <c r="B21"/>
      <c r="C21"/>
      <c r="D21"/>
      <c r="E21"/>
      <c r="F21"/>
      <c r="G21"/>
      <c r="H21"/>
      <c r="I21"/>
      <c r="J21"/>
      <c r="K21"/>
      <c r="L21"/>
      <c r="M21"/>
      <c r="N21"/>
      <c r="O21"/>
      <c r="P21"/>
      <c r="Q21"/>
      <c r="R21"/>
      <c r="S21"/>
      <c r="T21"/>
      <c r="U21"/>
      <c r="V21"/>
      <c r="W21"/>
    </row>
    <row r="22" spans="1:23">
      <c r="A22"/>
      <c r="B22"/>
      <c r="C22"/>
      <c r="D22"/>
      <c r="E22"/>
      <c r="F22"/>
      <c r="G22"/>
      <c r="H22"/>
      <c r="I22"/>
      <c r="J22"/>
      <c r="K22"/>
      <c r="L22"/>
      <c r="M22"/>
      <c r="N22"/>
      <c r="O22"/>
      <c r="P22"/>
      <c r="Q22"/>
      <c r="R22"/>
      <c r="S22"/>
      <c r="T22"/>
      <c r="U22"/>
      <c r="V22"/>
      <c r="W22"/>
    </row>
    <row r="23" spans="1:23">
      <c r="A23"/>
      <c r="B23"/>
      <c r="C23"/>
      <c r="D23"/>
      <c r="E23"/>
      <c r="F23"/>
      <c r="G23"/>
      <c r="H23"/>
      <c r="I23"/>
      <c r="J23"/>
      <c r="K23"/>
      <c r="L23"/>
      <c r="M23"/>
      <c r="N23"/>
      <c r="O23"/>
      <c r="P23"/>
      <c r="Q23"/>
      <c r="R23"/>
      <c r="S23"/>
      <c r="T23"/>
      <c r="U23"/>
      <c r="V23"/>
      <c r="W23"/>
    </row>
    <row r="24" spans="1:23">
      <c r="A24"/>
      <c r="B24"/>
      <c r="C24"/>
      <c r="D24"/>
      <c r="E24"/>
      <c r="F24"/>
      <c r="G24"/>
      <c r="H24"/>
      <c r="I24"/>
      <c r="J24"/>
      <c r="K24"/>
      <c r="L24"/>
      <c r="M24"/>
      <c r="N24"/>
      <c r="O24"/>
      <c r="P24"/>
      <c r="Q24"/>
      <c r="R24"/>
      <c r="S24"/>
      <c r="T24"/>
      <c r="U24"/>
      <c r="V24"/>
      <c r="W24"/>
    </row>
    <row r="25" spans="1:23">
      <c r="A25"/>
      <c r="B25"/>
      <c r="C25"/>
      <c r="D25"/>
      <c r="E25"/>
      <c r="F25"/>
      <c r="G25"/>
      <c r="H25"/>
      <c r="I25"/>
      <c r="J25"/>
      <c r="K25"/>
      <c r="L25"/>
      <c r="M25"/>
      <c r="N25"/>
      <c r="O25"/>
      <c r="P25"/>
      <c r="Q25"/>
      <c r="R25"/>
      <c r="S25"/>
      <c r="T25"/>
      <c r="U25"/>
      <c r="V25"/>
      <c r="W25"/>
    </row>
    <row r="26" spans="1:23">
      <c r="A26"/>
      <c r="B26"/>
      <c r="C26"/>
      <c r="D26"/>
      <c r="E26"/>
      <c r="F26"/>
      <c r="G26"/>
      <c r="H26"/>
      <c r="I26"/>
      <c r="J26"/>
      <c r="K26"/>
      <c r="L26"/>
      <c r="M26"/>
      <c r="N26"/>
      <c r="O26"/>
      <c r="P26"/>
      <c r="Q26"/>
      <c r="R26"/>
      <c r="S26"/>
      <c r="T26"/>
      <c r="U26"/>
      <c r="V26"/>
      <c r="W26"/>
    </row>
    <row r="27" spans="1:23">
      <c r="A27"/>
      <c r="B27"/>
      <c r="C27"/>
      <c r="D27"/>
      <c r="E27"/>
      <c r="F27"/>
      <c r="G27"/>
      <c r="H27"/>
      <c r="I27"/>
      <c r="J27"/>
      <c r="K27"/>
      <c r="L27"/>
      <c r="M27"/>
      <c r="N27"/>
      <c r="O27"/>
      <c r="P27"/>
      <c r="Q27"/>
      <c r="R27"/>
      <c r="S27"/>
      <c r="T27"/>
      <c r="U27"/>
      <c r="V27"/>
      <c r="W27"/>
    </row>
    <row r="28" spans="1:23">
      <c r="A28"/>
      <c r="B28"/>
      <c r="C28"/>
      <c r="D28"/>
      <c r="E28"/>
      <c r="F28"/>
      <c r="G28"/>
      <c r="H28"/>
      <c r="I28"/>
      <c r="J28"/>
      <c r="K28"/>
      <c r="L28"/>
      <c r="M28"/>
      <c r="N28"/>
      <c r="O28"/>
      <c r="P28"/>
      <c r="Q28"/>
      <c r="R28"/>
      <c r="S28"/>
      <c r="T28"/>
      <c r="U28"/>
      <c r="V28"/>
      <c r="W28"/>
    </row>
    <row r="29" spans="1:23">
      <c r="A29"/>
      <c r="B29"/>
      <c r="C29"/>
      <c r="D29"/>
      <c r="E29"/>
      <c r="F29"/>
      <c r="G29"/>
      <c r="H29"/>
      <c r="I29"/>
      <c r="J29"/>
      <c r="K29"/>
      <c r="L29"/>
      <c r="M29"/>
      <c r="N29"/>
      <c r="O29"/>
      <c r="P29"/>
      <c r="Q29"/>
      <c r="R29"/>
      <c r="S29"/>
      <c r="T29"/>
      <c r="U29"/>
      <c r="V29"/>
      <c r="W29"/>
    </row>
    <row r="30" spans="1:23">
      <c r="A30"/>
      <c r="B30"/>
      <c r="C30"/>
      <c r="D30"/>
      <c r="E30"/>
      <c r="F30"/>
      <c r="G30"/>
      <c r="H30"/>
      <c r="I30"/>
      <c r="J30"/>
      <c r="K30"/>
      <c r="L30"/>
      <c r="M30"/>
      <c r="N30"/>
      <c r="O30"/>
      <c r="P30"/>
      <c r="Q30"/>
      <c r="R30"/>
      <c r="S30"/>
      <c r="T30"/>
      <c r="U30"/>
      <c r="V30"/>
      <c r="W30"/>
    </row>
    <row r="31" spans="1:23">
      <c r="A31"/>
      <c r="B31"/>
      <c r="C31"/>
      <c r="D31"/>
      <c r="E31"/>
      <c r="F31"/>
      <c r="G31"/>
      <c r="H31"/>
      <c r="I31"/>
      <c r="J31"/>
      <c r="K31"/>
      <c r="L31"/>
      <c r="M31"/>
      <c r="N31"/>
      <c r="O31"/>
      <c r="P31"/>
      <c r="Q31"/>
      <c r="R31"/>
      <c r="S31"/>
      <c r="T31"/>
      <c r="U31"/>
      <c r="V31"/>
      <c r="W31"/>
    </row>
    <row r="32" spans="1:23">
      <c r="A32"/>
      <c r="B32"/>
      <c r="C32"/>
      <c r="D32"/>
      <c r="E32"/>
      <c r="F32"/>
      <c r="G32"/>
      <c r="H32"/>
      <c r="I32"/>
      <c r="J32"/>
      <c r="K32"/>
      <c r="L32"/>
      <c r="M32"/>
      <c r="N32"/>
      <c r="O32"/>
      <c r="P32"/>
      <c r="Q32"/>
      <c r="R32"/>
      <c r="S32"/>
      <c r="T32"/>
      <c r="U32"/>
      <c r="V32"/>
      <c r="W32"/>
    </row>
    <row r="33" spans="1:23">
      <c r="A33"/>
      <c r="B33"/>
      <c r="C33"/>
      <c r="D33"/>
      <c r="E33"/>
      <c r="F33"/>
      <c r="G33"/>
      <c r="H33"/>
      <c r="I33"/>
      <c r="J33"/>
      <c r="K33"/>
      <c r="L33"/>
      <c r="M33"/>
      <c r="N33"/>
      <c r="O33"/>
      <c r="P33"/>
      <c r="Q33"/>
      <c r="R33"/>
      <c r="S33"/>
      <c r="T33"/>
      <c r="U33"/>
      <c r="V33"/>
      <c r="W33"/>
    </row>
    <row r="34" spans="1:23">
      <c r="A34"/>
      <c r="B34"/>
      <c r="C34"/>
      <c r="D34"/>
      <c r="E34"/>
      <c r="F34"/>
      <c r="G34"/>
      <c r="H34"/>
      <c r="I34"/>
      <c r="J34"/>
      <c r="K34"/>
      <c r="L34"/>
      <c r="M34"/>
      <c r="N34"/>
      <c r="O34"/>
      <c r="P34"/>
      <c r="Q34"/>
      <c r="R34"/>
      <c r="S34"/>
      <c r="T34"/>
      <c r="U34"/>
      <c r="V34"/>
      <c r="W34"/>
    </row>
  </sheetData>
  <sheetProtection algorithmName="SHA-512" hashValue="lWxDoEUfhPJ9t6Z1wURTH5e3bpovR3YiwtSmHIraHa0oQc7H5EUd7OgUFKr6mQhSAaIJUfIXc/IHt0NZWd8teQ==" saltValue="AsTPBDvNlvAr1yF3RNnc4Q==" spinCount="100000" sheet="1" formatRows="0"/>
  <mergeCells count="5">
    <mergeCell ref="F14:J14"/>
    <mergeCell ref="F13:J13"/>
    <mergeCell ref="F12:J12"/>
    <mergeCell ref="A5:M7"/>
    <mergeCell ref="F11:J11"/>
  </mergeCells>
  <hyperlinks>
    <hyperlink ref="F12" location="BEI!A1" display="&gt; Inventaire de référence des émissions" xr:uid="{00000000-0004-0000-1100-000000000000}"/>
    <hyperlink ref="F13" location="MEI1!A1" display="&gt; Inventaire de contrôle des émissions" xr:uid="{00000000-0004-0000-1100-000001000000}"/>
    <hyperlink ref="F14:J14" location="'Mes actions'!A1" display="&gt; Mes actions" xr:uid="{00000000-0004-0000-1100-000002000000}"/>
    <hyperlink ref="F11" location="BEI!A1" display="&gt; Inventaire de référence des émissions" xr:uid="{00000000-0004-0000-1100-000003000000}"/>
    <hyperlink ref="F11:J11" location="'Ma stratégie '!A1" display="&gt; Stratégie" xr:uid="{00000000-0004-0000-1100-000004000000}"/>
    <hyperlink ref="F12:J12" location="IRE!A1" display="&gt; Inventaire de référence des émissions" xr:uid="{02FBC2B4-74D7-4EEB-9FDF-DCDEB1CD0956}"/>
    <hyperlink ref="F13:J13" location="ICE!A1" display="&gt; Inventaire de contrôle des émissions" xr:uid="{7BD13020-D652-4935-8D02-7E6FA1B085FA}"/>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6">
    <tabColor theme="8" tint="0.79998168889431442"/>
  </sheetPr>
  <dimension ref="A1:CA125"/>
  <sheetViews>
    <sheetView showGridLines="0" zoomScale="70" zoomScaleNormal="70" workbookViewId="0">
      <pane ySplit="1" topLeftCell="A49" activePane="bottomLeft" state="frozen"/>
      <selection activeCell="D90" sqref="D90"/>
      <selection pane="bottomLeft" activeCell="D50" sqref="D50"/>
    </sheetView>
  </sheetViews>
  <sheetFormatPr baseColWidth="10" defaultColWidth="9.109375" defaultRowHeight="13.8" outlineLevelRow="5"/>
  <cols>
    <col min="1" max="1" width="3.44140625" style="661" customWidth="1"/>
    <col min="2" max="2" width="32.5546875" style="661" customWidth="1"/>
    <col min="3" max="3" width="18.44140625" style="661" customWidth="1"/>
    <col min="4" max="4" width="17.88671875" style="661" customWidth="1"/>
    <col min="5" max="5" width="15.44140625" style="661" customWidth="1"/>
    <col min="6" max="6" width="17.5546875" style="661" customWidth="1"/>
    <col min="7" max="7" width="11.44140625" style="661" customWidth="1"/>
    <col min="8" max="8" width="14.5546875" style="661" customWidth="1"/>
    <col min="9" max="9" width="9.5546875" style="661" customWidth="1"/>
    <col min="10" max="10" width="10.5546875" style="661" customWidth="1"/>
    <col min="11" max="11" width="8.5546875" style="661" customWidth="1"/>
    <col min="12" max="12" width="12.44140625" style="661" customWidth="1"/>
    <col min="13" max="13" width="14.5546875" style="661" customWidth="1"/>
    <col min="14" max="14" width="16.88671875" style="661" customWidth="1"/>
    <col min="15" max="15" width="12.109375" style="661" customWidth="1"/>
    <col min="16" max="16" width="11.44140625" style="661" customWidth="1"/>
    <col min="17" max="17" width="13.88671875" style="661" customWidth="1"/>
    <col min="18" max="18" width="15.5546875" style="661" customWidth="1"/>
    <col min="19" max="19" width="14.5546875" style="661" bestFit="1" customWidth="1"/>
    <col min="20" max="16384" width="9.109375" style="661"/>
  </cols>
  <sheetData>
    <row r="1" spans="1:79" ht="66" customHeight="1">
      <c r="A1" s="660"/>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0"/>
      <c r="BY1" s="660"/>
      <c r="BZ1" s="660"/>
      <c r="CA1" s="660"/>
    </row>
    <row r="2" spans="1:79" s="663" customFormat="1" ht="30.6" thickBot="1">
      <c r="A2" s="662"/>
      <c r="B2" s="655" t="s">
        <v>1760</v>
      </c>
      <c r="C2" s="662"/>
      <c r="D2" s="662"/>
      <c r="E2" s="662"/>
      <c r="F2" s="662"/>
      <c r="G2" s="662"/>
      <c r="H2" s="662"/>
      <c r="K2" s="662"/>
      <c r="L2" s="662"/>
      <c r="M2" s="662"/>
      <c r="N2" s="662"/>
      <c r="O2" s="662"/>
      <c r="P2" s="662"/>
      <c r="S2" s="662"/>
      <c r="T2" s="662"/>
    </row>
    <row r="3" spans="1:79" ht="14.4" thickBot="1">
      <c r="A3" s="664"/>
      <c r="B3" s="669" t="s">
        <v>1761</v>
      </c>
      <c r="D3" s="794">
        <f>Accueil!E28</f>
        <v>2006</v>
      </c>
      <c r="K3" s="666"/>
      <c r="L3" s="666"/>
    </row>
    <row r="4" spans="1:79" ht="14.4" customHeight="1" thickBot="1">
      <c r="A4" s="664"/>
      <c r="B4" s="669"/>
      <c r="D4" s="667"/>
      <c r="E4" s="667"/>
      <c r="I4" s="2275" t="s">
        <v>1762</v>
      </c>
      <c r="J4" s="2276"/>
      <c r="K4" s="2276"/>
      <c r="L4" s="2276"/>
      <c r="M4" s="2276"/>
      <c r="N4" s="2277"/>
    </row>
    <row r="5" spans="1:79" ht="14.4" thickBot="1">
      <c r="A5" s="668"/>
      <c r="B5" s="669"/>
      <c r="D5" s="667"/>
      <c r="E5" s="667"/>
      <c r="K5" s="666"/>
      <c r="L5" s="666"/>
    </row>
    <row r="6" spans="1:79" ht="14.4" thickBot="1">
      <c r="A6" s="664"/>
      <c r="B6" s="669" t="s">
        <v>1763</v>
      </c>
      <c r="D6" s="795">
        <f ca="1">SUMIFS(INDIRECT("TabINPUT["&amp;D3&amp;"]"),TabINPUT[SECTEUR1],"Population")</f>
        <v>0</v>
      </c>
      <c r="E6" s="667"/>
      <c r="K6" s="666"/>
      <c r="L6" s="666"/>
    </row>
    <row r="7" spans="1:79">
      <c r="B7" s="683"/>
      <c r="E7" s="667"/>
      <c r="K7" s="666"/>
      <c r="L7" s="666"/>
    </row>
    <row r="8" spans="1:79">
      <c r="A8" s="669"/>
      <c r="B8" s="721"/>
      <c r="D8" s="671"/>
      <c r="F8" s="670"/>
      <c r="G8" s="670"/>
      <c r="H8" s="670"/>
      <c r="I8" s="670"/>
      <c r="K8" s="666"/>
      <c r="L8" s="666"/>
    </row>
    <row r="9" spans="1:79">
      <c r="A9" s="664"/>
      <c r="B9" s="669" t="s">
        <v>1764</v>
      </c>
      <c r="D9" s="796"/>
      <c r="E9" s="797" t="s">
        <v>1765</v>
      </c>
      <c r="F9" s="798"/>
      <c r="G9" s="665"/>
      <c r="H9" s="666"/>
      <c r="I9" s="672"/>
      <c r="K9" s="666"/>
      <c r="L9" s="666"/>
    </row>
    <row r="10" spans="1:79">
      <c r="A10" s="669"/>
      <c r="B10" s="722"/>
      <c r="D10" s="796"/>
      <c r="E10" s="799" t="s">
        <v>1766</v>
      </c>
      <c r="F10" s="796"/>
      <c r="G10" s="665"/>
      <c r="H10" s="665"/>
      <c r="I10" s="665"/>
      <c r="J10" s="665"/>
      <c r="K10" s="665"/>
      <c r="L10" s="665"/>
      <c r="M10" s="665"/>
      <c r="N10" s="665"/>
      <c r="O10" s="665"/>
    </row>
    <row r="11" spans="1:79">
      <c r="A11" s="669"/>
      <c r="B11" s="722"/>
      <c r="D11" s="800" t="s">
        <v>1752</v>
      </c>
      <c r="E11" s="797" t="s">
        <v>1767</v>
      </c>
      <c r="F11" s="796"/>
      <c r="G11" s="665"/>
      <c r="H11" s="665"/>
      <c r="I11" s="665"/>
      <c r="J11" s="665"/>
      <c r="K11" s="665"/>
      <c r="L11" s="665"/>
      <c r="M11" s="665"/>
      <c r="N11" s="665"/>
      <c r="O11" s="665"/>
    </row>
    <row r="12" spans="1:79">
      <c r="A12" s="669"/>
      <c r="B12" s="675"/>
      <c r="E12" s="667"/>
      <c r="F12" s="665"/>
      <c r="G12" s="665"/>
      <c r="H12" s="665"/>
      <c r="I12" s="665"/>
      <c r="J12" s="665"/>
      <c r="K12" s="665"/>
      <c r="L12" s="665"/>
      <c r="M12" s="670"/>
      <c r="N12" s="670"/>
      <c r="O12" s="670"/>
      <c r="P12" s="670"/>
      <c r="Q12" s="670"/>
      <c r="R12" s="670"/>
    </row>
    <row r="13" spans="1:79" ht="16.2">
      <c r="A13" s="664"/>
      <c r="B13" s="669" t="s">
        <v>1768</v>
      </c>
      <c r="D13" s="796"/>
      <c r="E13" s="797" t="s">
        <v>1769</v>
      </c>
      <c r="F13" s="798"/>
      <c r="G13" s="676"/>
      <c r="H13" s="676"/>
      <c r="I13" s="676"/>
      <c r="J13" s="676"/>
      <c r="K13" s="676"/>
      <c r="L13" s="676"/>
      <c r="M13" s="670"/>
      <c r="N13" s="670"/>
      <c r="O13" s="670"/>
      <c r="P13" s="670"/>
      <c r="Q13" s="670"/>
      <c r="R13" s="670"/>
    </row>
    <row r="14" spans="1:79" ht="16.2">
      <c r="A14" s="669"/>
      <c r="B14" s="673"/>
      <c r="D14" s="800" t="s">
        <v>1752</v>
      </c>
      <c r="E14" s="801" t="s">
        <v>1770</v>
      </c>
      <c r="F14" s="796"/>
      <c r="G14" s="665"/>
      <c r="H14" s="665"/>
      <c r="I14" s="665"/>
      <c r="J14" s="665"/>
      <c r="K14" s="665"/>
      <c r="L14" s="665"/>
    </row>
    <row r="15" spans="1:79" ht="18" customHeight="1">
      <c r="A15" s="669"/>
      <c r="B15" s="673"/>
      <c r="H15" s="665"/>
      <c r="I15" s="665"/>
      <c r="J15" s="665"/>
      <c r="K15" s="665"/>
      <c r="L15" s="665"/>
    </row>
    <row r="16" spans="1:79" ht="18" customHeight="1">
      <c r="B16" s="2249" t="s">
        <v>1771</v>
      </c>
      <c r="C16" s="2249"/>
      <c r="D16" s="693"/>
      <c r="E16" s="693"/>
      <c r="F16" s="693"/>
      <c r="G16" s="693"/>
      <c r="H16" s="693"/>
      <c r="I16" s="693"/>
      <c r="J16" s="693"/>
      <c r="K16" s="693"/>
      <c r="L16" s="693"/>
      <c r="M16" s="693"/>
      <c r="N16" s="693"/>
      <c r="O16" s="693"/>
      <c r="P16" s="693"/>
      <c r="Q16" s="693"/>
      <c r="R16" s="693"/>
    </row>
    <row r="17" spans="1:19" ht="18" customHeight="1" thickBot="1">
      <c r="B17" s="693"/>
      <c r="C17" s="693"/>
      <c r="D17" s="693"/>
      <c r="E17" s="693"/>
      <c r="F17" s="693"/>
      <c r="G17" s="693"/>
      <c r="H17" s="693"/>
      <c r="I17" s="703"/>
      <c r="J17" s="704"/>
      <c r="K17" s="681"/>
      <c r="L17" s="693"/>
      <c r="M17" s="693"/>
      <c r="N17" s="693"/>
      <c r="O17" s="693"/>
      <c r="P17" s="693"/>
      <c r="Q17" s="693"/>
      <c r="R17" s="693"/>
    </row>
    <row r="18" spans="1:19" ht="18" customHeight="1" thickBot="1">
      <c r="B18" s="674"/>
      <c r="C18" s="2259" t="s">
        <v>93</v>
      </c>
      <c r="D18" s="2259"/>
      <c r="E18" s="2259" t="s">
        <v>1772</v>
      </c>
      <c r="F18" s="2259" t="s">
        <v>1773</v>
      </c>
      <c r="G18" s="2259"/>
      <c r="H18" s="2259"/>
      <c r="I18" s="2259"/>
      <c r="J18" s="2259"/>
      <c r="K18" s="2259"/>
      <c r="L18" s="2259"/>
      <c r="M18" s="2259"/>
      <c r="N18" s="2259" t="s">
        <v>912</v>
      </c>
      <c r="O18" s="2259"/>
      <c r="P18" s="2259"/>
      <c r="Q18" s="2259"/>
      <c r="R18" s="2259"/>
    </row>
    <row r="19" spans="1:19" ht="41.4" customHeight="1" thickBot="1">
      <c r="C19" s="725" t="s">
        <v>1774</v>
      </c>
      <c r="D19" s="726" t="s">
        <v>1775</v>
      </c>
      <c r="E19" s="2260"/>
      <c r="F19" s="726" t="s">
        <v>98</v>
      </c>
      <c r="G19" s="726" t="s">
        <v>232</v>
      </c>
      <c r="H19" s="726" t="s">
        <v>1776</v>
      </c>
      <c r="I19" s="726" t="s">
        <v>143</v>
      </c>
      <c r="J19" s="726" t="s">
        <v>94</v>
      </c>
      <c r="K19" s="726" t="s">
        <v>1777</v>
      </c>
      <c r="L19" s="726" t="s">
        <v>152</v>
      </c>
      <c r="M19" s="726" t="s">
        <v>1778</v>
      </c>
      <c r="N19" s="726" t="s">
        <v>1779</v>
      </c>
      <c r="O19" s="726" t="s">
        <v>1780</v>
      </c>
      <c r="P19" s="726" t="s">
        <v>1781</v>
      </c>
      <c r="Q19" s="726" t="s">
        <v>1782</v>
      </c>
      <c r="R19" s="726" t="s">
        <v>1783</v>
      </c>
    </row>
    <row r="20" spans="1:19" ht="18" customHeight="1" thickBot="1">
      <c r="C20" s="705">
        <f>C84</f>
        <v>0.27400000000000002</v>
      </c>
      <c r="D20" s="706" t="e">
        <f t="shared" ref="D20:R20" ca="1" si="0">D84</f>
        <v>#DIV/0!</v>
      </c>
      <c r="E20" s="706">
        <f t="shared" si="0"/>
        <v>0</v>
      </c>
      <c r="F20" s="706">
        <f t="shared" si="0"/>
        <v>0.2026798378561297</v>
      </c>
      <c r="G20" s="707">
        <f t="shared" si="0"/>
        <v>0.23723981020815182</v>
      </c>
      <c r="H20" s="707">
        <f t="shared" si="0"/>
        <v>0.26819978544017159</v>
      </c>
      <c r="I20" s="706">
        <f t="shared" si="0"/>
        <v>0.26819978544017159</v>
      </c>
      <c r="J20" s="706">
        <f t="shared" si="0"/>
        <v>0.26135979091216727</v>
      </c>
      <c r="K20" s="706">
        <f t="shared" si="0"/>
        <v>0.36610920000000002</v>
      </c>
      <c r="L20" s="706">
        <f t="shared" si="0"/>
        <v>0.34307972553621952</v>
      </c>
      <c r="M20" s="706">
        <f t="shared" si="0"/>
        <v>0.26542368</v>
      </c>
      <c r="N20" s="706">
        <f t="shared" si="0"/>
        <v>1.5436799999999997E-3</v>
      </c>
      <c r="O20" s="706">
        <f t="shared" si="0"/>
        <v>0</v>
      </c>
      <c r="P20" s="706">
        <f t="shared" si="0"/>
        <v>3.1319974944020043E-2</v>
      </c>
      <c r="Q20" s="706">
        <f t="shared" si="0"/>
        <v>0</v>
      </c>
      <c r="R20" s="708">
        <f t="shared" si="0"/>
        <v>0</v>
      </c>
    </row>
    <row r="21" spans="1:19" ht="18" customHeight="1">
      <c r="A21" s="669"/>
      <c r="B21" s="677"/>
      <c r="D21" s="727"/>
      <c r="E21" s="727"/>
      <c r="F21" s="727"/>
      <c r="G21" s="728">
        <f>'Données territoriales'!E39</f>
        <v>0</v>
      </c>
      <c r="H21" s="728"/>
      <c r="I21" s="728"/>
      <c r="J21" s="728"/>
      <c r="K21" s="728"/>
      <c r="L21" s="728"/>
      <c r="M21" s="727"/>
      <c r="N21" s="727"/>
      <c r="O21" s="727"/>
      <c r="P21" s="727"/>
      <c r="Q21" s="727"/>
      <c r="R21" s="727"/>
    </row>
    <row r="22" spans="1:19" s="665" customFormat="1" ht="18" customHeight="1">
      <c r="D22" s="728"/>
      <c r="E22" s="728"/>
      <c r="F22" s="728"/>
      <c r="G22" s="729" t="s">
        <v>1784</v>
      </c>
      <c r="H22" s="728"/>
      <c r="I22" s="728"/>
      <c r="J22" s="730"/>
      <c r="K22" s="730"/>
      <c r="L22" s="728"/>
      <c r="M22" s="728"/>
      <c r="N22" s="728"/>
      <c r="O22" s="728"/>
      <c r="P22" s="728" t="s">
        <v>189</v>
      </c>
      <c r="Q22" s="728"/>
      <c r="R22" s="728"/>
    </row>
    <row r="23" spans="1:19" s="665" customFormat="1" ht="18" customHeight="1">
      <c r="B23" s="2249" t="s">
        <v>1785</v>
      </c>
      <c r="C23" s="2249"/>
      <c r="D23" s="728"/>
      <c r="E23" s="728"/>
      <c r="F23" s="728"/>
      <c r="G23" s="728" t="s">
        <v>1786</v>
      </c>
      <c r="H23" s="728" t="s">
        <v>1787</v>
      </c>
      <c r="I23" s="728" t="s">
        <v>144</v>
      </c>
      <c r="J23" s="730"/>
      <c r="K23" s="730"/>
      <c r="L23" s="728" t="s">
        <v>1788</v>
      </c>
      <c r="M23" s="728" t="s">
        <v>1789</v>
      </c>
      <c r="N23" s="728"/>
      <c r="O23" s="728" t="s">
        <v>1790</v>
      </c>
      <c r="P23" s="728" t="s">
        <v>157</v>
      </c>
      <c r="Q23" s="728"/>
      <c r="R23" s="728"/>
    </row>
    <row r="24" spans="1:19" ht="18" customHeight="1" thickBot="1">
      <c r="B24" s="678"/>
      <c r="D24" s="727" t="s">
        <v>93</v>
      </c>
      <c r="E24" s="728" t="s">
        <v>156</v>
      </c>
      <c r="F24" s="728" t="s">
        <v>98</v>
      </c>
      <c r="G24" s="727" t="s">
        <v>151</v>
      </c>
      <c r="H24" s="727" t="s">
        <v>150</v>
      </c>
      <c r="I24" s="727" t="s">
        <v>143</v>
      </c>
      <c r="J24" s="727" t="s">
        <v>94</v>
      </c>
      <c r="K24" s="727"/>
      <c r="L24" s="727" t="s">
        <v>152</v>
      </c>
      <c r="M24" s="727" t="s">
        <v>1791</v>
      </c>
      <c r="N24" s="727" t="s">
        <v>219</v>
      </c>
      <c r="O24" s="727" t="s">
        <v>145</v>
      </c>
      <c r="P24" s="727" t="s">
        <v>153</v>
      </c>
      <c r="Q24" s="727" t="s">
        <v>154</v>
      </c>
      <c r="R24" s="727" t="s">
        <v>155</v>
      </c>
    </row>
    <row r="25" spans="1:19" s="679" customFormat="1" ht="17.25" customHeight="1" thickBot="1">
      <c r="B25" s="2255" t="s">
        <v>103</v>
      </c>
      <c r="C25" s="2256"/>
      <c r="D25" s="2255" t="s">
        <v>1792</v>
      </c>
      <c r="E25" s="2255"/>
      <c r="F25" s="2255"/>
      <c r="G25" s="2255"/>
      <c r="H25" s="2255"/>
      <c r="I25" s="2255"/>
      <c r="J25" s="2255"/>
      <c r="K25" s="2255"/>
      <c r="L25" s="2255"/>
      <c r="M25" s="2255"/>
      <c r="N25" s="2255"/>
      <c r="O25" s="2255"/>
      <c r="P25" s="2255"/>
      <c r="Q25" s="2255"/>
      <c r="R25" s="2255"/>
      <c r="S25" s="2255"/>
    </row>
    <row r="26" spans="1:19" s="680" customFormat="1" ht="13.5" customHeight="1" thickBot="1">
      <c r="B26" s="2255"/>
      <c r="C26" s="2256"/>
      <c r="D26" s="2259" t="s">
        <v>93</v>
      </c>
      <c r="E26" s="2259" t="s">
        <v>1772</v>
      </c>
      <c r="F26" s="2259" t="s">
        <v>1793</v>
      </c>
      <c r="G26" s="2259"/>
      <c r="H26" s="2259"/>
      <c r="I26" s="2259"/>
      <c r="J26" s="2259"/>
      <c r="K26" s="2259"/>
      <c r="L26" s="2259"/>
      <c r="M26" s="2259"/>
      <c r="N26" s="2259" t="s">
        <v>912</v>
      </c>
      <c r="O26" s="2259"/>
      <c r="P26" s="2259"/>
      <c r="Q26" s="2259"/>
      <c r="R26" s="2259"/>
      <c r="S26" s="2255" t="s">
        <v>107</v>
      </c>
    </row>
    <row r="27" spans="1:19" s="680" customFormat="1" ht="52.5" customHeight="1" thickBot="1">
      <c r="B27" s="2255"/>
      <c r="C27" s="2256"/>
      <c r="D27" s="2259"/>
      <c r="E27" s="2259"/>
      <c r="F27" s="724" t="s">
        <v>98</v>
      </c>
      <c r="G27" s="724" t="s">
        <v>232</v>
      </c>
      <c r="H27" s="724" t="s">
        <v>1776</v>
      </c>
      <c r="I27" s="724" t="s">
        <v>143</v>
      </c>
      <c r="J27" s="724" t="s">
        <v>94</v>
      </c>
      <c r="K27" s="724" t="s">
        <v>1777</v>
      </c>
      <c r="L27" s="724" t="s">
        <v>152</v>
      </c>
      <c r="M27" s="724" t="s">
        <v>1778</v>
      </c>
      <c r="N27" s="724" t="s">
        <v>1779</v>
      </c>
      <c r="O27" s="724" t="s">
        <v>1780</v>
      </c>
      <c r="P27" s="724" t="s">
        <v>1781</v>
      </c>
      <c r="Q27" s="724" t="s">
        <v>1782</v>
      </c>
      <c r="R27" s="724" t="s">
        <v>1783</v>
      </c>
      <c r="S27" s="2255"/>
    </row>
    <row r="28" spans="1:19" s="680" customFormat="1" ht="26.4" customHeight="1" thickBot="1">
      <c r="B28" s="2243" t="s">
        <v>1794</v>
      </c>
      <c r="C28" s="2244"/>
      <c r="D28" s="2244"/>
      <c r="E28" s="2244"/>
      <c r="F28" s="2244"/>
      <c r="G28" s="2244"/>
      <c r="H28" s="2244"/>
      <c r="I28" s="2244"/>
      <c r="J28" s="2244"/>
      <c r="K28" s="2244"/>
      <c r="L28" s="2244"/>
      <c r="M28" s="2244"/>
      <c r="N28" s="2244"/>
      <c r="O28" s="2244"/>
      <c r="P28" s="2244"/>
      <c r="Q28" s="2244"/>
      <c r="R28" s="2244"/>
      <c r="S28" s="2245"/>
    </row>
    <row r="29" spans="1:19" s="680" customFormat="1" ht="26.4" customHeight="1" thickBot="1">
      <c r="B29" s="2252" t="s">
        <v>1795</v>
      </c>
      <c r="C29" s="2268"/>
      <c r="D29" s="751">
        <f ca="1">SUM(D30:D31)</f>
        <v>0</v>
      </c>
      <c r="E29" s="752">
        <f t="shared" ref="E29:S29" ca="1" si="1">SUM(E30:E31)</f>
        <v>0</v>
      </c>
      <c r="F29" s="752">
        <f t="shared" ca="1" si="1"/>
        <v>0</v>
      </c>
      <c r="G29" s="752">
        <f t="shared" ca="1" si="1"/>
        <v>0</v>
      </c>
      <c r="H29" s="752">
        <f t="shared" ca="1" si="1"/>
        <v>0</v>
      </c>
      <c r="I29" s="752">
        <f t="shared" si="1"/>
        <v>0</v>
      </c>
      <c r="J29" s="752">
        <f t="shared" si="1"/>
        <v>0</v>
      </c>
      <c r="K29" s="752">
        <f t="shared" si="1"/>
        <v>0</v>
      </c>
      <c r="L29" s="752">
        <f t="shared" ca="1" si="1"/>
        <v>0</v>
      </c>
      <c r="M29" s="752">
        <f t="shared" si="1"/>
        <v>0</v>
      </c>
      <c r="N29" s="752">
        <f t="shared" si="1"/>
        <v>0</v>
      </c>
      <c r="O29" s="752">
        <f t="shared" si="1"/>
        <v>0</v>
      </c>
      <c r="P29" s="752">
        <f t="shared" ca="1" si="1"/>
        <v>0</v>
      </c>
      <c r="Q29" s="752">
        <f t="shared" ca="1" si="1"/>
        <v>0</v>
      </c>
      <c r="R29" s="752">
        <f t="shared" ca="1" si="1"/>
        <v>0</v>
      </c>
      <c r="S29" s="753">
        <f t="shared" ca="1" si="1"/>
        <v>0</v>
      </c>
    </row>
    <row r="30" spans="1:19" s="680" customFormat="1" ht="16.5" customHeight="1" thickBot="1">
      <c r="B30" s="2240" t="str">
        <f>"- Bâtiments, équipements/installations municipaux"</f>
        <v>- Bâtiments, équipements/installations municipaux</v>
      </c>
      <c r="C30" s="2241"/>
      <c r="D30" s="746">
        <f ca="1">IFERROR(SUMIFS(INDIRECT("TabINPUT["&amp;$D$3&amp;"]"),TabINPUT[SECTEUR1],"PATRIMOINE",TabINPUT[VECTEUR],D$24)/1000,0)-D37-D31</f>
        <v>0</v>
      </c>
      <c r="E30" s="732">
        <f ca="1">IFERROR(SUMIFS(INDIRECT("TabINPUT["&amp;$D$3&amp;"]"),TabINPUT[SECTEUR1],"PATRIMOINE",TabINPUT[VECTEUR],E$24)/1000,0)</f>
        <v>0</v>
      </c>
      <c r="F30" s="732">
        <f ca="1">IFERROR(SUMIFS(INDIRECT("TabINPUT["&amp;$D$3&amp;"]"),TabINPUT[SECTEUR1],"PATRIMOINE",TabINPUT[VECTEUR],F$24)/1000,0)-F37</f>
        <v>0</v>
      </c>
      <c r="G30" s="732">
        <f ca="1">IFERROR(SUMIFS(INDIRECT("TabINPUT["&amp;$D$3&amp;"]"),TabINPUT[SECTEUR1],"PATRIMOINE",TabINPUT[VECTEUR],G$24)/1000,0)</f>
        <v>0</v>
      </c>
      <c r="H30" s="732">
        <f ca="1">IFERROR(SUMIFS(INDIRECT("TabINPUT["&amp;$D$3&amp;"]"),TabINPUT[SECTEUR1],"PATRIMOINE",TabINPUT[VECTEUR],H$24)/1000,0)</f>
        <v>0</v>
      </c>
      <c r="I30" s="732"/>
      <c r="J30" s="732"/>
      <c r="K30" s="732"/>
      <c r="L30" s="732">
        <f ca="1">IFERROR(SUMIFS(INDIRECT("TabINPUT["&amp;$D$3&amp;"]"),TabINPUT[SECTEUR1],"PATRIMOINE",TabINPUT[VECTEUR],L$24)/1000,0)</f>
        <v>0</v>
      </c>
      <c r="M30" s="732"/>
      <c r="N30" s="732"/>
      <c r="O30" s="732"/>
      <c r="P30" s="732">
        <f ca="1">IFERROR(SUMIFS(INDIRECT("TabINPUT["&amp;$D$3&amp;"]"),TabINPUT[SECTEUR1],"PATRIMOINE",TabINPUT[VECTEUR],P$24)/1000,0)</f>
        <v>0</v>
      </c>
      <c r="Q30" s="732">
        <f ca="1">IFERROR(SUMIFS(INDIRECT("TabINPUT["&amp;$D$3&amp;"]"),TabINPUT[SECTEUR1],"PATRIMOINE",TabINPUT[VECTEUR],Q$24)/1000,0)</f>
        <v>0</v>
      </c>
      <c r="R30" s="732">
        <f ca="1">IFERROR(SUMIFS(INDIRECT("TabINPUT["&amp;$D$3&amp;"]"),TabINPUT[SECTEUR1],"PATRIMOINE",TabINPUT[VECTEUR],R$24)/1000,0)</f>
        <v>0</v>
      </c>
      <c r="S30" s="754">
        <f t="shared" ref="S30:S34" ca="1" si="2">SUM(D30:R30)</f>
        <v>0</v>
      </c>
    </row>
    <row r="31" spans="1:19" s="680" customFormat="1" ht="16.5" customHeight="1" thickBot="1">
      <c r="B31" s="2240" t="str">
        <f>"-Eclairage public"</f>
        <v>-Eclairage public</v>
      </c>
      <c r="C31" s="2241"/>
      <c r="D31" s="746">
        <f ca="1">'Bilan patrimonial'!B11/1000</f>
        <v>0</v>
      </c>
      <c r="E31" s="732"/>
      <c r="F31" s="732"/>
      <c r="G31" s="732"/>
      <c r="H31" s="732"/>
      <c r="I31" s="732"/>
      <c r="J31" s="732"/>
      <c r="K31" s="732"/>
      <c r="L31" s="732"/>
      <c r="M31" s="732"/>
      <c r="N31" s="732"/>
      <c r="O31" s="732"/>
      <c r="P31" s="732"/>
      <c r="Q31" s="732"/>
      <c r="R31" s="732"/>
      <c r="S31" s="754">
        <f ca="1">SUM(D31:R31)</f>
        <v>0</v>
      </c>
    </row>
    <row r="32" spans="1:19" s="680" customFormat="1" ht="28.35" customHeight="1" thickBot="1">
      <c r="B32" s="2252" t="s">
        <v>1796</v>
      </c>
      <c r="C32" s="2268"/>
      <c r="D32" s="744">
        <f ca="1">'Bilan territorial'!B14*1000</f>
        <v>0</v>
      </c>
      <c r="E32" s="733">
        <f ca="1">IFERROR(SUMIFS(INDIRECT("TabINPUT["&amp;$D$3&amp;"]"),TabINPUT[SECTEUR1],"TERTIAIRE",TabINPUT[VECTEUR],E$24)*1000,0)-E30</f>
        <v>0</v>
      </c>
      <c r="F32" s="733">
        <f ca="1">IF(IFERROR(SUMIFS(INDIRECT("TabINPUT["&amp;$D$3&amp;"]"),TabINPUT[SECTEUR1],"TERTIAIRE",TabINPUT[VECTEUR],F$24)*1000,0)-F30&lt;0,0,IFERROR(SUMIFS(INDIRECT("TabINPUT["&amp;$D$3&amp;"]"),TabINPUT[SECTEUR1],"TERTIAIRE",TabINPUT[VECTEUR],F$24)*1000,0)-F30)</f>
        <v>0</v>
      </c>
      <c r="G32" s="733">
        <f ca="1">IF(IFERROR(SUMIFS(INDIRECT("TabINPUT["&amp;$D$3&amp;"]"),TabINPUT[SECTEUR1],"TERTIAIRE",TabINPUT[VECTEUR],G$21)*1000,0)-G30&lt;0,0,IFERROR(SUMIFS(INDIRECT("TabINPUT["&amp;$D$3&amp;"]"),TabINPUT[SECTEUR1],"TERTIAIRE",TabINPUT[VECTEUR],G$21)*1000,0)-G30)</f>
        <v>0</v>
      </c>
      <c r="H32" s="733">
        <f ca="1">IFERROR(SUMIFS(INDIRECT("TabINPUT["&amp;$D$3&amp;"]"),TabINPUT[SECTEUR1],"TERTIAIRE",TabINPUT[VECTEUR],H$23)*1000,0)-H30</f>
        <v>0</v>
      </c>
      <c r="I32" s="733"/>
      <c r="J32" s="733"/>
      <c r="K32" s="733"/>
      <c r="L32" s="733">
        <f ca="1">IFERROR(SUMIFS(INDIRECT("TabINPUT["&amp;$D$3&amp;"]"),TabINPUT[SECTEUR1],"TERTIAIRE",TabINPUT[VECTEUR],L$23)*1000,0)-L30</f>
        <v>0</v>
      </c>
      <c r="M32" s="733"/>
      <c r="N32" s="733"/>
      <c r="O32" s="733">
        <v>0</v>
      </c>
      <c r="P32" s="733">
        <f ca="1">IF(IFERROR(SUMIFS(INDIRECT("TabINPUT["&amp;$D$3&amp;"]"),TabINPUT[SECTEUR1],"TERTIAIRE",TabINPUT[VECTEUR],P$23)*1000,0)-P30&lt;0,0,IFERROR(SUMIFS(INDIRECT("TabINPUT["&amp;$D$3&amp;"]"),TabINPUT[SECTEUR1],"TERTIAIRE",TabINPUT[VECTEUR],P$23)*1000,0)-P30)</f>
        <v>0</v>
      </c>
      <c r="Q32" s="733">
        <v>0</v>
      </c>
      <c r="R32" s="733">
        <v>0</v>
      </c>
      <c r="S32" s="755">
        <f t="shared" ca="1" si="2"/>
        <v>0</v>
      </c>
    </row>
    <row r="33" spans="1:21" s="680" customFormat="1" ht="16.5" customHeight="1" thickBot="1">
      <c r="B33" s="2235" t="s">
        <v>929</v>
      </c>
      <c r="C33" s="2266"/>
      <c r="D33" s="744">
        <f ca="1">+'Bilan territorial'!B15*1000</f>
        <v>0</v>
      </c>
      <c r="E33" s="733">
        <f ca="1">IFERROR(SUMIFS(INDIRECT("TabINPUT["&amp;$D$3&amp;"]"),TabINPUT[SECTEUR1],"LOGEMENT",TabINPUT[VECTEUR],E$24)*1000,0)</f>
        <v>0</v>
      </c>
      <c r="F33" s="733">
        <f ca="1">IFERROR(SUMIFS(INDIRECT("TabINPUT["&amp;$D$3&amp;"]"),TabINPUT[SECTEUR1],"LOGEMENT",TabINPUT[VECTEUR],F$24)*1000,0)</f>
        <v>0</v>
      </c>
      <c r="G33" s="733">
        <f ca="1">IFERROR(SUMIFS(INDIRECT("TabINPUT["&amp;$D$3&amp;"]"),TabINPUT[SECTEUR1],"LOGEMENT",TabINPUT[VECTEUR],G$22)*1000,0)</f>
        <v>0</v>
      </c>
      <c r="H33" s="733">
        <f ca="1">IFERROR(SUMIFS(INDIRECT("TabINPUT["&amp;$D$3&amp;"]"),TabINPUT[SECTEUR1],"LOGEMENT",TabINPUT[VECTEUR],H$24)*1000,0)</f>
        <v>0</v>
      </c>
      <c r="I33" s="733"/>
      <c r="J33" s="733"/>
      <c r="K33" s="733"/>
      <c r="L33" s="733">
        <f ca="1">IFERROR(SUMIFS(INDIRECT("TabINPUT["&amp;$D$3&amp;"]"),TabINPUT[SECTEUR1],"LOGEMENT",TabINPUT[VECTEUR],L$24)*1000,0)</f>
        <v>0</v>
      </c>
      <c r="M33" s="733"/>
      <c r="N33" s="733"/>
      <c r="O33" s="733">
        <v>0</v>
      </c>
      <c r="P33" s="733">
        <f ca="1">IFERROR(SUMIFS(INDIRECT("TabINPUT["&amp;$D$3&amp;"]"),TabINPUT[SECTEUR1],"LOGEMENT",TabINPUT[VECTEUR],P$22)*1000,0)</f>
        <v>0</v>
      </c>
      <c r="Q33" s="733">
        <v>0</v>
      </c>
      <c r="R33" s="733">
        <v>0</v>
      </c>
      <c r="S33" s="755">
        <f t="shared" ca="1" si="2"/>
        <v>0</v>
      </c>
    </row>
    <row r="34" spans="1:21" s="680" customFormat="1" ht="16.5" customHeight="1" thickBot="1">
      <c r="B34" s="2253" t="s">
        <v>1797</v>
      </c>
      <c r="C34" s="2269"/>
      <c r="D34" s="744">
        <f ca="1">'Bilan territorial'!B11*1000</f>
        <v>0</v>
      </c>
      <c r="E34" s="733">
        <f ca="1">IFERROR(SUMIFS(INDIRECT("TabINPUT["&amp;$D$3&amp;"]"),TabINPUT[SECTEUR1],"Industrie non-ETS",TabINPUT[VECTEUR],E$24)*1000,0)</f>
        <v>0</v>
      </c>
      <c r="F34" s="733">
        <f ca="1">IFERROR(SUMIFS(INDIRECT("TabINPUT["&amp;$D$3&amp;"]"),TabINPUT[SECTEUR1],"Industrie non-ETS",TabINPUT[VECTEUR],F$24)*1000,0)</f>
        <v>0</v>
      </c>
      <c r="G34" s="733">
        <f ca="1">IFERROR(SUMIFS(INDIRECT("TabINPUT["&amp;$D$3&amp;"]"),TabINPUT[SECTEUR1],"Industrie non-ETS",TabINPUT[VECTEUR],G$23)*1000,0)</f>
        <v>0</v>
      </c>
      <c r="H34" s="733">
        <f ca="1">IFERROR(SUMIFS(INDIRECT("TabINPUT["&amp;$D$3&amp;"]"),TabINPUT[SECTEUR1],"Industrie non-ETS",TabINPUT[VECTEUR],H$23)*1000,0)</f>
        <v>0</v>
      </c>
      <c r="I34" s="733"/>
      <c r="J34" s="733"/>
      <c r="K34" s="733"/>
      <c r="L34" s="733">
        <f ca="1">IFERROR(SUMIFS(INDIRECT("TabINPUT["&amp;$D$3&amp;"]"),TabINPUT[SECTEUR1],"Industrie non-ETS",TabINPUT[VECTEUR],L$23)*1000,0)</f>
        <v>0</v>
      </c>
      <c r="M34" s="733">
        <f ca="1">IFERROR(SUMIFS(INDIRECT("TabINPUT["&amp;$D$3&amp;"]"),TabINPUT[SECTEUR1],"Industrie non-ETS",TabINPUT[VECTEUR],M$24)*1000,0)+IFERROR(SUMIFS(INDIRECT("TabINPUT["&amp;$D$3&amp;"]"),TabINPUT[SECTEUR1],"Industrie non-ETS",TabINPUT[VECTEUR],M$23)*1000,0)</f>
        <v>0</v>
      </c>
      <c r="N34" s="733"/>
      <c r="O34" s="733">
        <v>0</v>
      </c>
      <c r="P34" s="733">
        <f ca="1">IFERROR(SUMIFS(INDIRECT("TabINPUT["&amp;$D$3&amp;"]"),TabINPUT[SECTEUR1],"Industrie non-ETS",TabINPUT[VECTEUR],P$23)*1000,0)</f>
        <v>0</v>
      </c>
      <c r="Q34" s="733">
        <v>0</v>
      </c>
      <c r="R34" s="733">
        <v>0</v>
      </c>
      <c r="S34" s="745">
        <f t="shared" ca="1" si="2"/>
        <v>0</v>
      </c>
    </row>
    <row r="35" spans="1:21" s="680" customFormat="1" ht="16.5" customHeight="1" thickBot="1">
      <c r="B35" s="2235" t="s">
        <v>1798</v>
      </c>
      <c r="C35" s="2266"/>
      <c r="D35" s="748">
        <f t="shared" ref="D35:R35" ca="1" si="3">SUM(D30:D34)</f>
        <v>0</v>
      </c>
      <c r="E35" s="749">
        <f t="shared" ca="1" si="3"/>
        <v>0</v>
      </c>
      <c r="F35" s="749">
        <f t="shared" ca="1" si="3"/>
        <v>0</v>
      </c>
      <c r="G35" s="749">
        <f t="shared" ca="1" si="3"/>
        <v>0</v>
      </c>
      <c r="H35" s="749">
        <f t="shared" ca="1" si="3"/>
        <v>0</v>
      </c>
      <c r="I35" s="749">
        <f t="shared" si="3"/>
        <v>0</v>
      </c>
      <c r="J35" s="749">
        <f t="shared" si="3"/>
        <v>0</v>
      </c>
      <c r="K35" s="749">
        <f t="shared" si="3"/>
        <v>0</v>
      </c>
      <c r="L35" s="749">
        <f t="shared" ca="1" si="3"/>
        <v>0</v>
      </c>
      <c r="M35" s="749">
        <f t="shared" ca="1" si="3"/>
        <v>0</v>
      </c>
      <c r="N35" s="749">
        <f t="shared" si="3"/>
        <v>0</v>
      </c>
      <c r="O35" s="749">
        <f t="shared" si="3"/>
        <v>0</v>
      </c>
      <c r="P35" s="749">
        <f t="shared" ca="1" si="3"/>
        <v>0</v>
      </c>
      <c r="Q35" s="749">
        <f t="shared" ca="1" si="3"/>
        <v>0</v>
      </c>
      <c r="R35" s="749">
        <f t="shared" ca="1" si="3"/>
        <v>0</v>
      </c>
      <c r="S35" s="750">
        <f ca="1">SUM(D35:R35)</f>
        <v>0</v>
      </c>
      <c r="T35" s="661"/>
      <c r="U35" s="661"/>
    </row>
    <row r="36" spans="1:21" s="680" customFormat="1" ht="27" customHeight="1" thickBot="1">
      <c r="B36" s="2270" t="s">
        <v>815</v>
      </c>
      <c r="C36" s="2271"/>
      <c r="D36" s="2238"/>
      <c r="E36" s="2238"/>
      <c r="F36" s="2238"/>
      <c r="G36" s="2238"/>
      <c r="H36" s="2238"/>
      <c r="I36" s="2238"/>
      <c r="J36" s="2238"/>
      <c r="K36" s="2238"/>
      <c r="L36" s="2238"/>
      <c r="M36" s="2238"/>
      <c r="N36" s="2238"/>
      <c r="O36" s="2238"/>
      <c r="P36" s="2238"/>
      <c r="Q36" s="2238"/>
      <c r="R36" s="2238"/>
      <c r="S36" s="2239"/>
      <c r="T36" s="669"/>
      <c r="U36" s="669"/>
    </row>
    <row r="37" spans="1:21" s="680" customFormat="1" ht="18" customHeight="1" thickBot="1">
      <c r="B37" s="2235" t="s">
        <v>1799</v>
      </c>
      <c r="C37" s="2266"/>
      <c r="D37" s="741">
        <f ca="1">'Bilan patrimonial'!B12/1000</f>
        <v>0</v>
      </c>
      <c r="E37" s="742"/>
      <c r="F37" s="742">
        <f ca="1">'Bilan patrimonial'!C12/1000</f>
        <v>0</v>
      </c>
      <c r="G37" s="742">
        <f ca="1">IFERROR(SUMIFS(INDIRECT("TabINPUT["&amp;$D$3&amp;"]"),TabINPUT[USAGE],"Matériel roulant",TabINPUT[VECTEUR],"LPG")/1000,0)</f>
        <v>0</v>
      </c>
      <c r="H37" s="742"/>
      <c r="I37" s="742">
        <f ca="1">IFERROR(SUMIFS(INDIRECT("TabINPUT["&amp;$D$3&amp;"]"),TabINPUT[USAGE],"Matériel roulant",TabINPUT[VECTEUR],I$24)/1000,0)</f>
        <v>0</v>
      </c>
      <c r="J37" s="742">
        <f ca="1">IFERROR(SUMIFS(INDIRECT("TabINPUT["&amp;$D$3&amp;"]"),TabINPUT[USAGE],"Matériel roulant",TabINPUT[VECTEUR],J$24)/1000,0)</f>
        <v>0</v>
      </c>
      <c r="K37" s="742"/>
      <c r="L37" s="742"/>
      <c r="M37" s="742"/>
      <c r="N37" s="742">
        <v>0</v>
      </c>
      <c r="O37" s="742">
        <f ca="1">IFERROR(SUMIFS(INDIRECT("TabINPUT["&amp;$D$3&amp;"]"),TabINPUT[USAGE],"Matériel roulant",TabINPUT[VECTEUR],O$24)/1000,0)</f>
        <v>0</v>
      </c>
      <c r="P37" s="742"/>
      <c r="Q37" s="742"/>
      <c r="R37" s="742"/>
      <c r="S37" s="743">
        <f ca="1">SUM(D37:R37)</f>
        <v>0</v>
      </c>
      <c r="T37" s="661"/>
      <c r="U37" s="661"/>
    </row>
    <row r="38" spans="1:21" s="680" customFormat="1" ht="16.5" customHeight="1" thickBot="1">
      <c r="B38" s="2235" t="s">
        <v>1800</v>
      </c>
      <c r="C38" s="2266"/>
      <c r="D38" s="744">
        <f ca="1">IFERROR(SUMIFS(INDIRECT("TabINPUT["&amp;$D$3&amp;"]"),TabINPUT[SECTEUR2],"FERROVIAIRE",TabINPUT[VECTEUR],D$24)*1000,0)</f>
        <v>0</v>
      </c>
      <c r="E38" s="733"/>
      <c r="F38" s="733">
        <f ca="1">IFERROR(SUMIFS(INDIRECT("TabINPUT["&amp;$D$3&amp;"]"),TabINPUT[SECTEUR2],"FERROVIAIRE",TabINPUT[VECTEUR],F$24)*1000,0)</f>
        <v>0</v>
      </c>
      <c r="G38" s="733">
        <f ca="1">IFERROR(SUMIFS(INDIRECT("TabINPUT["&amp;$D$3&amp;"]"),TabINPUT[SECTEUR2],"FERROVIAIRE",TabINPUT[VECTEUR],G$24)*1000,0)</f>
        <v>0</v>
      </c>
      <c r="H38" s="733"/>
      <c r="I38" s="733">
        <f ca="1">IFERROR(SUMIFS(INDIRECT("TabINPUT["&amp;$D$3&amp;"]"),TabINPUT[SECTEUR2],"FERROVIAIRE",TabINPUT[VECTEUR],I$23)*1000,0)</f>
        <v>0</v>
      </c>
      <c r="J38" s="733">
        <f ca="1">IFERROR(SUMIFS(INDIRECT("TabINPUT["&amp;$D$3&amp;"]"),TabINPUT[SECTEUR2],"FERROVIAIRE",TabINPUT[VECTEUR],J$24)*1000,0)</f>
        <v>0</v>
      </c>
      <c r="K38" s="733"/>
      <c r="L38" s="733"/>
      <c r="M38" s="733"/>
      <c r="N38" s="733">
        <v>0</v>
      </c>
      <c r="O38" s="733">
        <v>0</v>
      </c>
      <c r="P38" s="733"/>
      <c r="Q38" s="733"/>
      <c r="R38" s="733"/>
      <c r="S38" s="745">
        <f ca="1">SUM(D38:R38)</f>
        <v>0</v>
      </c>
      <c r="T38" s="661"/>
      <c r="U38" s="661"/>
    </row>
    <row r="39" spans="1:21" s="680" customFormat="1" ht="16.5" customHeight="1" thickBot="1">
      <c r="B39" s="2272" t="str">
        <f>"- Routes"</f>
        <v>- Routes</v>
      </c>
      <c r="C39" s="2273"/>
      <c r="D39" s="746"/>
      <c r="E39" s="732"/>
      <c r="F39" s="732"/>
      <c r="G39" s="732"/>
      <c r="H39" s="732"/>
      <c r="I39" s="732"/>
      <c r="J39" s="732"/>
      <c r="K39" s="732"/>
      <c r="L39" s="732"/>
      <c r="M39" s="732"/>
      <c r="N39" s="732"/>
      <c r="O39" s="732"/>
      <c r="P39" s="732"/>
      <c r="Q39" s="732"/>
      <c r="R39" s="732"/>
      <c r="S39" s="747"/>
      <c r="T39" s="661"/>
      <c r="U39" s="661"/>
    </row>
    <row r="40" spans="1:21" s="680" customFormat="1" ht="16.5" customHeight="1" thickBot="1">
      <c r="B40" s="2272" t="str">
        <f>"- Sur rail"</f>
        <v>- Sur rail</v>
      </c>
      <c r="C40" s="2273"/>
      <c r="D40" s="746"/>
      <c r="E40" s="732"/>
      <c r="F40" s="732"/>
      <c r="G40" s="732"/>
      <c r="H40" s="732"/>
      <c r="I40" s="732"/>
      <c r="J40" s="732"/>
      <c r="K40" s="732"/>
      <c r="L40" s="732"/>
      <c r="M40" s="732"/>
      <c r="N40" s="732"/>
      <c r="O40" s="732"/>
      <c r="P40" s="732"/>
      <c r="Q40" s="732"/>
      <c r="R40" s="732"/>
      <c r="S40" s="747"/>
      <c r="T40" s="661"/>
      <c r="U40" s="661"/>
    </row>
    <row r="41" spans="1:21" s="680" customFormat="1" ht="16.5" customHeight="1" thickBot="1">
      <c r="B41" s="2235" t="s">
        <v>1801</v>
      </c>
      <c r="C41" s="2266"/>
      <c r="D41" s="744">
        <f ca="1">IF('Bilan territorial'!B19*1000-IRE!D38-D37&lt;0,0,'Bilan territorial'!B19*1000-IRE!D38-D37)</f>
        <v>0</v>
      </c>
      <c r="E41" s="733"/>
      <c r="F41" s="733">
        <f ca="1">IF('Bilan territorial'!C19-F38-F37&lt;0,0,'Bilan territorial'!C19-F38-F37)</f>
        <v>0</v>
      </c>
      <c r="G41" s="733">
        <f ca="1">IFERROR(SUMIFS(INDIRECT("TabINPUT["&amp;$D$3&amp;"]"),TabINPUT[SECTEUR1],"TRANSPORT",TabINPUT[VECTEUR],"LPG")*1000,0)-G37-G38-IFERROR(SUMIFS(INDIRECT("TabINPUT["&amp;$D$3&amp;"]"),TabINPUT[SECTEUR3],"Autoroute",TabINPUT[VECTEUR],"LPG")*1000,0)*(1-'Bilan territorial'!B6)</f>
        <v>0</v>
      </c>
      <c r="H41" s="733"/>
      <c r="I41" s="733">
        <f ca="1">(SUMIFS(INDIRECT("TabINPUT["&amp;$D$3&amp;"]"),TabINPUT[SECTEUR1],"TRANSPORT",TabINPUT[VECTEUR],I$24)+SUMIFS(INDIRECT("TabINPUT["&amp;$D$3&amp;"]"),TabINPUT[SECTEUR1],"TRANSPORT",TabINPUT[VECTEUR],I$23,TabINPUT[SECTEUR2],"FERROVIAIRE"))*1000-I38-I37-IFERROR(SUMIFS(INDIRECT("TabINPUT["&amp;$D$3&amp;"]"),TabINPUT[SECTEUR3],"Autoroute",TabINPUT[VECTEUR],"Diesel")*1000,0)*(1-'Bilan territorial'!B6)</f>
        <v>0</v>
      </c>
      <c r="J41" s="733">
        <f ca="1">SUMIFS(INDIRECT("TabINPUT["&amp;$D$3&amp;"]"),TabINPUT[SECTEUR1],"TRANSPORT",TabINPUT[VECTEUR],J$24)*1000-J38-J37-IFERROR(SUMIFS(INDIRECT("TabINPUT["&amp;$D$3&amp;"]"),TabINPUT[SECTEUR3],"Autoroute",TabINPUT[VECTEUR],J$24)*1000,0)*(1-'Bilan territorial'!B6)</f>
        <v>0</v>
      </c>
      <c r="K41" s="733"/>
      <c r="L41" s="733"/>
      <c r="M41" s="733"/>
      <c r="N41" s="733">
        <v>0</v>
      </c>
      <c r="O41" s="733">
        <f ca="1">SUMIFS(INDIRECT("TabINPUT["&amp;$D$3&amp;"]"),TabINPUT[SECTEUR1],"TRANSPORT",TabINPUT[VECTEUR],O$24)*1000-O38</f>
        <v>0</v>
      </c>
      <c r="P41" s="733"/>
      <c r="Q41" s="733"/>
      <c r="R41" s="733"/>
      <c r="S41" s="745">
        <f ca="1">SUM(D41:R41)</f>
        <v>0</v>
      </c>
      <c r="T41" s="661"/>
      <c r="U41" s="661"/>
    </row>
    <row r="42" spans="1:21" s="680" customFormat="1" ht="16.5" customHeight="1" thickBot="1">
      <c r="B42" s="2235" t="s">
        <v>1798</v>
      </c>
      <c r="C42" s="2266"/>
      <c r="D42" s="748">
        <f ca="1">SUM(D37:D41)</f>
        <v>0</v>
      </c>
      <c r="E42" s="749">
        <f t="shared" ref="E42:R42" si="4">SUM(E37:E41)</f>
        <v>0</v>
      </c>
      <c r="F42" s="749">
        <f t="shared" ca="1" si="4"/>
        <v>0</v>
      </c>
      <c r="G42" s="749">
        <f t="shared" ca="1" si="4"/>
        <v>0</v>
      </c>
      <c r="H42" s="749">
        <f t="shared" si="4"/>
        <v>0</v>
      </c>
      <c r="I42" s="749">
        <f t="shared" ca="1" si="4"/>
        <v>0</v>
      </c>
      <c r="J42" s="749">
        <f t="shared" ca="1" si="4"/>
        <v>0</v>
      </c>
      <c r="K42" s="749">
        <f t="shared" si="4"/>
        <v>0</v>
      </c>
      <c r="L42" s="749">
        <f t="shared" si="4"/>
        <v>0</v>
      </c>
      <c r="M42" s="749">
        <f t="shared" si="4"/>
        <v>0</v>
      </c>
      <c r="N42" s="749">
        <f t="shared" si="4"/>
        <v>0</v>
      </c>
      <c r="O42" s="749">
        <f t="shared" ca="1" si="4"/>
        <v>0</v>
      </c>
      <c r="P42" s="749">
        <f t="shared" si="4"/>
        <v>0</v>
      </c>
      <c r="Q42" s="749">
        <f t="shared" si="4"/>
        <v>0</v>
      </c>
      <c r="R42" s="749">
        <f t="shared" si="4"/>
        <v>0</v>
      </c>
      <c r="S42" s="750">
        <f ca="1">SUM(D42:R42)</f>
        <v>0</v>
      </c>
      <c r="T42" s="661"/>
      <c r="U42" s="661"/>
    </row>
    <row r="43" spans="1:21" s="680" customFormat="1" ht="24.6" customHeight="1" thickBot="1">
      <c r="B43" s="2274" t="s">
        <v>1802</v>
      </c>
      <c r="C43" s="2271"/>
      <c r="D43" s="2238"/>
      <c r="E43" s="2238"/>
      <c r="F43" s="2238"/>
      <c r="G43" s="2238"/>
      <c r="H43" s="2238"/>
      <c r="I43" s="2238"/>
      <c r="J43" s="2238"/>
      <c r="K43" s="2238"/>
      <c r="L43" s="2238"/>
      <c r="M43" s="2238"/>
      <c r="N43" s="2238"/>
      <c r="O43" s="2238"/>
      <c r="P43" s="2238"/>
      <c r="Q43" s="2238"/>
      <c r="R43" s="2238"/>
      <c r="S43" s="2239"/>
      <c r="T43" s="661"/>
      <c r="U43" s="661"/>
    </row>
    <row r="44" spans="1:21" s="680" customFormat="1" ht="16.5" customHeight="1" thickBot="1">
      <c r="B44" s="2240" t="s">
        <v>1803</v>
      </c>
      <c r="C44" s="2241"/>
      <c r="D44" s="738">
        <f ca="1">'Bilan territorial'!B16*1000</f>
        <v>0</v>
      </c>
      <c r="E44" s="739">
        <v>0</v>
      </c>
      <c r="F44" s="739">
        <f ca="1">'Bilan territorial'!C19</f>
        <v>0</v>
      </c>
      <c r="G44" s="739">
        <v>0</v>
      </c>
      <c r="H44" s="739">
        <f ca="1">SUMIFS(INDIRECT("TabINPUT["&amp;$D$3&amp;"]"),TabINPUT[SECTEUR1],"AGRICULTURE",TabINPUT[VECTEUR],H$24)*1000-O44</f>
        <v>0</v>
      </c>
      <c r="I44" s="739"/>
      <c r="J44" s="739">
        <f ca="1">SUMIFS(INDIRECT("TabINPUT["&amp;$D$3&amp;"]"),TabINPUT[SECTEUR1],"AGRICULTURE",TabINPUT[VECTEUR],J$24)*1000</f>
        <v>0</v>
      </c>
      <c r="K44" s="739"/>
      <c r="L44" s="739"/>
      <c r="M44" s="739"/>
      <c r="N44" s="739">
        <v>0</v>
      </c>
      <c r="O44" s="739">
        <f ca="1">SUMIFS(INDIRECT("TabINPUT["&amp;$D$3&amp;"]"),TabINPUT[SECTEUR1],"AGRICULTURE",TabINPUT[VECTEUR],O$23)*1000</f>
        <v>0</v>
      </c>
      <c r="P44" s="739"/>
      <c r="Q44" s="739"/>
      <c r="R44" s="739"/>
      <c r="S44" s="740">
        <f ca="1">SUM(D44:R44)</f>
        <v>0</v>
      </c>
      <c r="T44" s="661"/>
      <c r="U44" s="661"/>
    </row>
    <row r="45" spans="1:21" s="680" customFormat="1" ht="16.5" customHeight="1" thickBot="1">
      <c r="B45" s="2242" t="s">
        <v>107</v>
      </c>
      <c r="C45" s="2242"/>
      <c r="D45" s="737">
        <f ca="1">SUM(D35,D42,D44)</f>
        <v>0</v>
      </c>
      <c r="E45" s="737">
        <f t="shared" ref="E45:S45" ca="1" si="5">SUM(E35,E42,E44)</f>
        <v>0</v>
      </c>
      <c r="F45" s="737">
        <f t="shared" ca="1" si="5"/>
        <v>0</v>
      </c>
      <c r="G45" s="737">
        <f t="shared" ca="1" si="5"/>
        <v>0</v>
      </c>
      <c r="H45" s="737">
        <f t="shared" ca="1" si="5"/>
        <v>0</v>
      </c>
      <c r="I45" s="737">
        <f t="shared" ca="1" si="5"/>
        <v>0</v>
      </c>
      <c r="J45" s="737">
        <f t="shared" ca="1" si="5"/>
        <v>0</v>
      </c>
      <c r="K45" s="737">
        <f t="shared" si="5"/>
        <v>0</v>
      </c>
      <c r="L45" s="737">
        <f t="shared" ca="1" si="5"/>
        <v>0</v>
      </c>
      <c r="M45" s="737">
        <f t="shared" ca="1" si="5"/>
        <v>0</v>
      </c>
      <c r="N45" s="737">
        <f t="shared" si="5"/>
        <v>0</v>
      </c>
      <c r="O45" s="737">
        <f t="shared" ca="1" si="5"/>
        <v>0</v>
      </c>
      <c r="P45" s="737">
        <f t="shared" ca="1" si="5"/>
        <v>0</v>
      </c>
      <c r="Q45" s="737">
        <f t="shared" ca="1" si="5"/>
        <v>0</v>
      </c>
      <c r="R45" s="737">
        <f t="shared" ca="1" si="5"/>
        <v>0</v>
      </c>
      <c r="S45" s="737">
        <f t="shared" ca="1" si="5"/>
        <v>0</v>
      </c>
      <c r="T45" s="661"/>
      <c r="U45" s="661"/>
    </row>
    <row r="46" spans="1:21" ht="18" customHeight="1" outlineLevel="5">
      <c r="A46" s="683"/>
      <c r="B46" s="687"/>
      <c r="C46" s="685"/>
      <c r="D46" s="685"/>
    </row>
    <row r="47" spans="1:21" s="683" customFormat="1" ht="18" customHeight="1" outlineLevel="2">
      <c r="B47" s="2249" t="s">
        <v>1804</v>
      </c>
      <c r="C47" s="2249"/>
      <c r="D47" s="2249"/>
      <c r="E47" s="2249"/>
      <c r="F47" s="2249"/>
      <c r="G47" s="2249"/>
      <c r="H47" s="2249"/>
      <c r="I47" s="2249"/>
      <c r="J47" s="2249"/>
      <c r="K47" s="2249"/>
      <c r="L47" s="2249"/>
      <c r="M47" s="2249"/>
      <c r="T47" s="661"/>
      <c r="U47" s="661"/>
    </row>
    <row r="48" spans="1:21" ht="9" customHeight="1" outlineLevel="2" thickBot="1">
      <c r="A48" s="683"/>
      <c r="C48" s="685"/>
      <c r="D48" s="685"/>
    </row>
    <row r="49" spans="1:21" s="680" customFormat="1" ht="54" customHeight="1" outlineLevel="2" thickBot="1">
      <c r="B49" s="2255" t="s">
        <v>1805</v>
      </c>
      <c r="C49" s="2255"/>
      <c r="D49" s="760" t="s">
        <v>1806</v>
      </c>
      <c r="E49" s="756" t="s">
        <v>1807</v>
      </c>
      <c r="F49" s="756" t="s">
        <v>1808</v>
      </c>
      <c r="G49" s="688"/>
      <c r="H49" s="688"/>
      <c r="I49" s="688"/>
      <c r="J49" s="688"/>
      <c r="K49" s="688"/>
      <c r="L49" s="688"/>
      <c r="M49" s="688"/>
      <c r="N49" s="688"/>
      <c r="O49" s="688"/>
      <c r="P49" s="688"/>
      <c r="R49" s="689"/>
      <c r="S49" s="689"/>
      <c r="T49" s="661"/>
      <c r="U49" s="661"/>
    </row>
    <row r="50" spans="1:21" s="680" customFormat="1" ht="16.5" customHeight="1" outlineLevel="2" thickBot="1">
      <c r="B50" s="2235" t="s">
        <v>213</v>
      </c>
      <c r="C50" s="2266"/>
      <c r="D50" s="802">
        <f ca="1">'Bilan territorial'!D49*1000</f>
        <v>0</v>
      </c>
      <c r="E50" s="771"/>
      <c r="F50" s="757">
        <f ca="1">D50*E50</f>
        <v>0</v>
      </c>
      <c r="G50" s="690"/>
      <c r="H50" s="690"/>
      <c r="I50" s="691"/>
      <c r="J50" s="690"/>
      <c r="K50" s="690"/>
      <c r="L50" s="690"/>
      <c r="M50" s="690"/>
      <c r="N50" s="690"/>
      <c r="O50" s="690"/>
      <c r="P50" s="690"/>
      <c r="R50" s="692"/>
      <c r="S50" s="692"/>
      <c r="T50" s="661"/>
      <c r="U50" s="661"/>
    </row>
    <row r="51" spans="1:21" s="680" customFormat="1" ht="16.5" customHeight="1" outlineLevel="2" thickBot="1">
      <c r="B51" s="2235" t="s">
        <v>1809</v>
      </c>
      <c r="C51" s="2266"/>
      <c r="D51" s="803">
        <f ca="1">'Bilan territorial'!D50*1000</f>
        <v>0</v>
      </c>
      <c r="E51" s="771"/>
      <c r="F51" s="757">
        <f ca="1">D51*E51</f>
        <v>0</v>
      </c>
      <c r="G51" s="690"/>
      <c r="H51" s="690"/>
      <c r="I51" s="691"/>
      <c r="J51" s="690"/>
      <c r="K51" s="690"/>
      <c r="L51" s="690"/>
      <c r="M51" s="690"/>
      <c r="N51" s="690"/>
      <c r="O51" s="690"/>
      <c r="P51" s="690"/>
      <c r="R51" s="692"/>
      <c r="S51" s="692"/>
      <c r="T51" s="661"/>
      <c r="U51" s="661"/>
    </row>
    <row r="52" spans="1:21" s="680" customFormat="1" ht="16.5" customHeight="1" outlineLevel="2" thickBot="1">
      <c r="B52" s="2235" t="s">
        <v>261</v>
      </c>
      <c r="C52" s="2266"/>
      <c r="D52" s="803">
        <f ca="1">'Bilan territorial'!D51*1000</f>
        <v>0</v>
      </c>
      <c r="E52" s="771"/>
      <c r="F52" s="757">
        <f ca="1">D52*E52</f>
        <v>0</v>
      </c>
      <c r="G52" s="690"/>
      <c r="H52" s="690"/>
      <c r="I52" s="691"/>
      <c r="J52" s="690"/>
      <c r="K52" s="690"/>
      <c r="L52" s="690"/>
      <c r="M52" s="690"/>
      <c r="N52" s="690"/>
      <c r="O52" s="690"/>
      <c r="P52" s="690"/>
      <c r="R52" s="692"/>
      <c r="S52" s="692"/>
      <c r="T52" s="661"/>
      <c r="U52" s="661"/>
    </row>
    <row r="53" spans="1:21" s="680" customFormat="1" ht="16.5" customHeight="1" outlineLevel="2" thickBot="1">
      <c r="B53" s="2235" t="s">
        <v>1783</v>
      </c>
      <c r="C53" s="2267"/>
      <c r="D53" s="804">
        <v>0</v>
      </c>
      <c r="E53" s="771"/>
      <c r="F53" s="757">
        <f>D53*E53</f>
        <v>0</v>
      </c>
      <c r="G53" s="690"/>
      <c r="H53" s="690"/>
      <c r="I53" s="691"/>
      <c r="J53" s="690"/>
      <c r="K53" s="690"/>
      <c r="L53" s="690"/>
      <c r="M53" s="690"/>
      <c r="N53" s="690"/>
      <c r="O53" s="690"/>
      <c r="P53" s="690"/>
      <c r="R53" s="692"/>
      <c r="S53" s="692"/>
      <c r="T53" s="661"/>
      <c r="U53" s="661"/>
    </row>
    <row r="54" spans="1:21" s="680" customFormat="1" ht="16.5" customHeight="1" outlineLevel="2" thickBot="1">
      <c r="B54" s="2235" t="s">
        <v>1810</v>
      </c>
      <c r="C54" s="2235"/>
      <c r="D54" s="772">
        <f ca="1">SUM(D50:D53)</f>
        <v>0</v>
      </c>
      <c r="E54" s="759"/>
      <c r="F54" s="758">
        <f ca="1">SUM(F50:F53)</f>
        <v>0</v>
      </c>
      <c r="G54" s="692"/>
      <c r="H54" s="692"/>
      <c r="I54" s="692"/>
      <c r="J54" s="692"/>
      <c r="K54" s="692"/>
      <c r="L54" s="692"/>
      <c r="M54" s="692"/>
      <c r="N54" s="692"/>
      <c r="O54" s="692"/>
      <c r="P54" s="692"/>
      <c r="R54" s="690"/>
      <c r="S54" s="690"/>
      <c r="T54" s="661"/>
      <c r="U54" s="661"/>
    </row>
    <row r="55" spans="1:21" ht="18" customHeight="1" outlineLevel="1">
      <c r="A55" s="683"/>
      <c r="C55" s="685"/>
      <c r="D55" s="685"/>
    </row>
    <row r="56" spans="1:21" ht="15" customHeight="1" outlineLevel="2">
      <c r="B56" s="2249" t="s">
        <v>1811</v>
      </c>
      <c r="C56" s="2249"/>
      <c r="D56" s="2249"/>
      <c r="E56" s="2249"/>
      <c r="F56" s="2249"/>
      <c r="G56" s="2249"/>
      <c r="H56" s="2249"/>
      <c r="I56" s="693"/>
      <c r="J56" s="693"/>
      <c r="K56" s="693"/>
      <c r="L56" s="693"/>
      <c r="M56" s="693"/>
      <c r="N56" s="693"/>
      <c r="O56" s="693"/>
      <c r="P56" s="693"/>
      <c r="Q56" s="693"/>
      <c r="R56" s="693"/>
    </row>
    <row r="57" spans="1:21" ht="9" customHeight="1" outlineLevel="2" thickBot="1">
      <c r="B57" s="693"/>
      <c r="C57" s="693"/>
      <c r="D57" s="693"/>
      <c r="E57" s="693"/>
      <c r="F57" s="693"/>
      <c r="G57" s="693"/>
      <c r="H57" s="693"/>
      <c r="I57" s="693"/>
      <c r="J57" s="693"/>
      <c r="K57" s="693"/>
      <c r="L57" s="693"/>
      <c r="M57" s="693"/>
      <c r="N57" s="693"/>
      <c r="O57" s="693"/>
      <c r="P57" s="693"/>
      <c r="Q57" s="693"/>
      <c r="R57" s="693"/>
    </row>
    <row r="58" spans="1:21" ht="15" customHeight="1" outlineLevel="2" thickBot="1">
      <c r="B58" s="2255" t="s">
        <v>944</v>
      </c>
      <c r="C58" s="2255"/>
      <c r="D58" s="2255" t="s">
        <v>1812</v>
      </c>
      <c r="E58" s="2255"/>
      <c r="F58" s="2256" t="s">
        <v>1813</v>
      </c>
      <c r="G58" s="2256"/>
      <c r="H58" s="2256"/>
      <c r="I58" s="2256"/>
      <c r="J58" s="2256"/>
      <c r="K58" s="2256"/>
      <c r="L58" s="2256"/>
      <c r="M58" s="2256"/>
      <c r="N58" s="2256"/>
      <c r="O58" s="2256"/>
      <c r="P58" s="2255" t="s">
        <v>1814</v>
      </c>
      <c r="Q58" s="2255"/>
    </row>
    <row r="59" spans="1:21" ht="27" customHeight="1" outlineLevel="2" thickBot="1">
      <c r="B59" s="2255"/>
      <c r="C59" s="2255"/>
      <c r="D59" s="2255"/>
      <c r="E59" s="2255"/>
      <c r="F59" s="2255" t="s">
        <v>1793</v>
      </c>
      <c r="G59" s="2255"/>
      <c r="H59" s="2255"/>
      <c r="I59" s="2255"/>
      <c r="J59" s="2255"/>
      <c r="K59" s="2255" t="s">
        <v>884</v>
      </c>
      <c r="L59" s="2255" t="s">
        <v>1780</v>
      </c>
      <c r="M59" s="2255" t="s">
        <v>1815</v>
      </c>
      <c r="N59" s="2255" t="s">
        <v>1816</v>
      </c>
      <c r="O59" s="2255" t="s">
        <v>298</v>
      </c>
      <c r="P59" s="2255"/>
      <c r="Q59" s="2255"/>
    </row>
    <row r="60" spans="1:21" ht="39" customHeight="1" outlineLevel="2" thickBot="1">
      <c r="B60" s="2255"/>
      <c r="C60" s="2255"/>
      <c r="D60" s="760" t="s">
        <v>1817</v>
      </c>
      <c r="E60" s="760" t="s">
        <v>1818</v>
      </c>
      <c r="F60" s="760" t="s">
        <v>98</v>
      </c>
      <c r="G60" s="760" t="s">
        <v>232</v>
      </c>
      <c r="H60" s="760" t="s">
        <v>1776</v>
      </c>
      <c r="I60" s="760" t="s">
        <v>1777</v>
      </c>
      <c r="J60" s="760" t="s">
        <v>152</v>
      </c>
      <c r="K60" s="2257"/>
      <c r="L60" s="2257"/>
      <c r="M60" s="2257"/>
      <c r="N60" s="2257"/>
      <c r="O60" s="2257"/>
      <c r="P60" s="760" t="s">
        <v>1819</v>
      </c>
      <c r="Q60" s="760" t="s">
        <v>1820</v>
      </c>
    </row>
    <row r="61" spans="1:21" ht="18" customHeight="1" outlineLevel="2" thickBot="1">
      <c r="B61" s="2240" t="s">
        <v>1821</v>
      </c>
      <c r="C61" s="2241"/>
      <c r="D61" s="1367">
        <f ca="1">SUMIFS(INDIRECT("TabINPUT["&amp;$D$3&amp;"]"),TabINPUT[SECTEUR2],"COGEN hors ETS",TabINPUT[VECTEUR],"Electricité SER")*1000</f>
        <v>0</v>
      </c>
      <c r="E61" s="1368">
        <f ca="1">SUMIFS(INDIRECT("TabINPUT["&amp;$D$3&amp;"]"),TabINPUT[SECTEUR2],"COGEN hors ETS",TabINPUT[VECTEUR],"Electricité nonSER")*1000</f>
        <v>0</v>
      </c>
      <c r="F61" s="1369">
        <f ca="1">IFERROR(SUMIFS(INDIRECT("TabINPUT["&amp;$D$3&amp;"]"),TabINPUT[SECTEUR2],"COGEN hors ETS",TabINPUT[VECTEUR],"gaz naturel")/($E$61+$E$70)*$E$61,0)*1000</f>
        <v>0</v>
      </c>
      <c r="G61" s="1369">
        <f ca="1">IFERROR(SUMIFS(INDIRECT("TabINPUT["&amp;$D$3&amp;"]"),TabINPUT[SECTEUR2],"COGEN hors ETS",TabINPUT[VECTEUR],"gaz liquide")/($E$61+$E$70)*$E$61,0)*1000</f>
        <v>0</v>
      </c>
      <c r="H61" s="1369">
        <f ca="1">IFERROR(SUMIFS(INDIRECT("TabINPUT["&amp;$D$3&amp;"]"),TabINPUT[SECTEUR2],"COGEN hors ETS",TabINPUT[VECTEUR],"mazout")/($E$61+$E$70)*$E$61,0)*1000</f>
        <v>0</v>
      </c>
      <c r="I61" s="1369"/>
      <c r="J61" s="1369">
        <f ca="1">IFERROR(SUMIFS(INDIRECT("TabINPUT["&amp;$D$3&amp;"]"),TabINPUT[SECTEUR2],"COGEN hors ETS",TabINPUT[VECTEUR],"charbon")/($E$61+$E$70)*$E$61,0)*1000</f>
        <v>0</v>
      </c>
      <c r="K61" s="1369"/>
      <c r="L61" s="1369">
        <f ca="1">IFERROR(SUMIFS(INDIRECT("TabINPUT["&amp;$D$3&amp;"]"),TabINPUT[SECTEUR2],"COGEN hors ETS",TabINPUT[VECTEUR],"huile vég")/($D$61+$D$70)*$D$61,0)*1000</f>
        <v>0</v>
      </c>
      <c r="M61" s="1369">
        <f ca="1">IFERROR((SUMIFS(INDIRECT("TabINPUT["&amp;$D$3&amp;"]"),TabINPUT[SECTEUR2],"COGEN hors ETS",TabINPUT[VECTEUR],"biomasse solide")+SUMIFS(INDIRECT("TabINPUT["&amp;$D$3&amp;"]"),TabINPUT[SECTEUR2],"COGEN hors ETS",TabINPUT[VECTEUR],"Biogaz"))/($D$61+$D$70)*$D$61,0)*1000</f>
        <v>0</v>
      </c>
      <c r="N61" s="1369">
        <f ca="1">IFERROR(SUMIFS(INDIRECT("TabINPUT["&amp;$D$3&amp;"]"),TabINPUT[SECTEUR2],"COGEN hors ETS",TabINPUT[VECTEUR],"biogaz")/($E$61+$E$70)*$E$61,0)*1000</f>
        <v>0</v>
      </c>
      <c r="O61" s="1369">
        <f ca="1">IFERROR(SUMIFS(INDIRECT("TabINPUT["&amp;$D$3&amp;"]"),TabINPUT[SECTEUR2],"COGEN hors ETS",TabINPUT[VECTEUR],"autres")/($E$61+$E$70)*$E$61,0)*1000</f>
        <v>0</v>
      </c>
      <c r="P61" s="1370">
        <f ca="1">F61*$F$84+G61*$G$84+$H$84*H61+J61*$L$84</f>
        <v>0</v>
      </c>
      <c r="Q61" s="1371">
        <f ca="1">L61*$O$84+$P$84*M61+N61*$R$84</f>
        <v>0</v>
      </c>
    </row>
    <row r="62" spans="1:21" ht="18" customHeight="1" outlineLevel="2" thickBot="1">
      <c r="B62" s="2240" t="s">
        <v>298</v>
      </c>
      <c r="C62" s="2240"/>
      <c r="D62" s="761"/>
      <c r="E62" s="761"/>
      <c r="F62" s="762"/>
      <c r="G62" s="762"/>
      <c r="H62" s="762"/>
      <c r="I62" s="763"/>
      <c r="J62" s="762"/>
      <c r="K62" s="762"/>
      <c r="L62" s="762"/>
      <c r="M62" s="762"/>
      <c r="N62" s="762"/>
      <c r="O62" s="762"/>
      <c r="P62" s="764"/>
      <c r="Q62" s="764"/>
    </row>
    <row r="63" spans="1:21" ht="18" customHeight="1" outlineLevel="2" thickBot="1">
      <c r="B63" s="2235" t="s">
        <v>1810</v>
      </c>
      <c r="C63" s="2235"/>
      <c r="D63" s="733">
        <f ca="1">SUM(D61:D62)</f>
        <v>0</v>
      </c>
      <c r="E63" s="733">
        <f t="shared" ref="E63:Q63" ca="1" si="6">SUM(E61:E62)</f>
        <v>0</v>
      </c>
      <c r="F63" s="733">
        <f t="shared" ca="1" si="6"/>
        <v>0</v>
      </c>
      <c r="G63" s="733">
        <f t="shared" ca="1" si="6"/>
        <v>0</v>
      </c>
      <c r="H63" s="733">
        <f t="shared" ca="1" si="6"/>
        <v>0</v>
      </c>
      <c r="I63" s="733">
        <f t="shared" si="6"/>
        <v>0</v>
      </c>
      <c r="J63" s="733">
        <f t="shared" ca="1" si="6"/>
        <v>0</v>
      </c>
      <c r="K63" s="733">
        <f t="shared" si="6"/>
        <v>0</v>
      </c>
      <c r="L63" s="733">
        <f t="shared" ca="1" si="6"/>
        <v>0</v>
      </c>
      <c r="M63" s="733">
        <f t="shared" ca="1" si="6"/>
        <v>0</v>
      </c>
      <c r="N63" s="733">
        <f t="shared" ca="1" si="6"/>
        <v>0</v>
      </c>
      <c r="O63" s="733">
        <f t="shared" ca="1" si="6"/>
        <v>0</v>
      </c>
      <c r="P63" s="733">
        <f t="shared" ca="1" si="6"/>
        <v>0</v>
      </c>
      <c r="Q63" s="733">
        <f t="shared" ca="1" si="6"/>
        <v>0</v>
      </c>
    </row>
    <row r="64" spans="1:21" ht="18" customHeight="1" outlineLevel="1">
      <c r="B64" s="693"/>
      <c r="C64" s="693"/>
      <c r="D64" s="693"/>
      <c r="E64" s="693"/>
      <c r="F64" s="693"/>
      <c r="G64" s="693"/>
      <c r="H64" s="693"/>
      <c r="I64" s="693"/>
      <c r="J64" s="693"/>
      <c r="K64" s="693"/>
      <c r="L64" s="693"/>
      <c r="M64" s="693"/>
      <c r="N64" s="693"/>
      <c r="O64" s="693"/>
      <c r="P64" s="693"/>
      <c r="Q64" s="693"/>
      <c r="R64" s="693"/>
    </row>
    <row r="65" spans="1:79" ht="15" customHeight="1" outlineLevel="2">
      <c r="B65" s="683" t="s">
        <v>1822</v>
      </c>
      <c r="C65" s="693"/>
      <c r="D65" s="693"/>
      <c r="E65" s="693"/>
      <c r="F65" s="693"/>
      <c r="G65" s="693"/>
      <c r="H65" s="693"/>
      <c r="I65" s="693"/>
      <c r="J65" s="693"/>
      <c r="K65" s="693"/>
      <c r="L65" s="693"/>
      <c r="M65" s="693"/>
      <c r="N65" s="693"/>
      <c r="O65" s="693"/>
      <c r="P65" s="693"/>
      <c r="Q65" s="693"/>
      <c r="R65" s="693"/>
    </row>
    <row r="66" spans="1:79" ht="9" customHeight="1" outlineLevel="2" thickBot="1">
      <c r="B66" s="693"/>
      <c r="C66" s="693"/>
      <c r="D66" s="693"/>
      <c r="E66" s="693"/>
      <c r="F66" s="693"/>
      <c r="G66" s="693"/>
      <c r="H66" s="693"/>
      <c r="I66" s="693"/>
      <c r="J66" s="693"/>
      <c r="K66" s="693"/>
      <c r="L66" s="693"/>
      <c r="M66" s="693"/>
      <c r="N66" s="693"/>
      <c r="O66" s="693"/>
      <c r="P66" s="693"/>
      <c r="Q66" s="693"/>
      <c r="R66" s="693"/>
    </row>
    <row r="67" spans="1:79" ht="15" customHeight="1" outlineLevel="2" thickBot="1">
      <c r="B67" s="2255" t="s">
        <v>949</v>
      </c>
      <c r="C67" s="2255"/>
      <c r="D67" s="2255" t="s">
        <v>1823</v>
      </c>
      <c r="E67" s="2255"/>
      <c r="F67" s="2256" t="s">
        <v>1813</v>
      </c>
      <c r="G67" s="2256"/>
      <c r="H67" s="2256"/>
      <c r="I67" s="2256"/>
      <c r="J67" s="2256"/>
      <c r="K67" s="2256"/>
      <c r="L67" s="2256"/>
      <c r="M67" s="2256"/>
      <c r="N67" s="2256"/>
      <c r="O67" s="2256"/>
      <c r="P67" s="2255" t="s">
        <v>1814</v>
      </c>
      <c r="Q67" s="2255"/>
    </row>
    <row r="68" spans="1:79" ht="15" customHeight="1" outlineLevel="2" thickBot="1">
      <c r="B68" s="2255"/>
      <c r="C68" s="2255"/>
      <c r="D68" s="2255"/>
      <c r="E68" s="2255"/>
      <c r="F68" s="2255" t="s">
        <v>1793</v>
      </c>
      <c r="G68" s="2255"/>
      <c r="H68" s="2255"/>
      <c r="I68" s="2255"/>
      <c r="J68" s="2255"/>
      <c r="K68" s="2255" t="s">
        <v>884</v>
      </c>
      <c r="L68" s="2255" t="s">
        <v>1780</v>
      </c>
      <c r="M68" s="2255" t="s">
        <v>1815</v>
      </c>
      <c r="N68" s="2255" t="s">
        <v>1816</v>
      </c>
      <c r="O68" s="2255" t="s">
        <v>298</v>
      </c>
      <c r="P68" s="2255"/>
      <c r="Q68" s="2255"/>
    </row>
    <row r="69" spans="1:79" ht="42.75" customHeight="1" outlineLevel="2" thickBot="1">
      <c r="B69" s="2255"/>
      <c r="C69" s="2255"/>
      <c r="D69" s="756" t="s">
        <v>1824</v>
      </c>
      <c r="E69" s="756" t="s">
        <v>1825</v>
      </c>
      <c r="F69" s="756" t="s">
        <v>98</v>
      </c>
      <c r="G69" s="756" t="s">
        <v>232</v>
      </c>
      <c r="H69" s="756" t="s">
        <v>1776</v>
      </c>
      <c r="I69" s="756" t="s">
        <v>1777</v>
      </c>
      <c r="J69" s="756" t="s">
        <v>152</v>
      </c>
      <c r="K69" s="2255"/>
      <c r="L69" s="2255"/>
      <c r="M69" s="2255"/>
      <c r="N69" s="2255"/>
      <c r="O69" s="2255"/>
      <c r="P69" s="756" t="s">
        <v>1819</v>
      </c>
      <c r="Q69" s="756" t="s">
        <v>1820</v>
      </c>
    </row>
    <row r="70" spans="1:79" ht="18" customHeight="1" outlineLevel="2" thickBot="1">
      <c r="B70" s="2261" t="s">
        <v>1826</v>
      </c>
      <c r="C70" s="2262"/>
      <c r="D70" s="1372">
        <f ca="1">SUMIFS(INDIRECT("TabINPUT["&amp;$D$3&amp;"]"),TabINPUT[SECTEUR2],"COGEN hors ETS",TabINPUT[VECTEUR],"chaleur SER")*1000</f>
        <v>0</v>
      </c>
      <c r="E70" s="1373">
        <f ca="1">SUMIFS(INDIRECT("TabINPUT["&amp;$D$3&amp;"]"),TabINPUT[SECTEUR2],"COGEN hors ETS",TabINPUT[VECTEUR],"Chaleur nonSER")*1000</f>
        <v>0</v>
      </c>
      <c r="F70" s="1374">
        <f ca="1">IFERROR(SUMIFS(INDIRECT("TabINPUT["&amp;$D$3&amp;"]"),TabINPUT[SECTEUR2],"COGEN hors ETS",TabINPUT[VECTEUR],"gaz naturel")/($E$61+$E$70)*$E$70,0)*1000</f>
        <v>0</v>
      </c>
      <c r="G70" s="1374">
        <f ca="1">IFERROR(SUMIFS(INDIRECT("TabINPUT["&amp;$D$3&amp;"]"),TabINPUT[SECTEUR2],"COGEN hors ETS",TabINPUT[VECTEUR],"gaz liquide")/($E$61+$E$70)*$E$70,0)*1000</f>
        <v>0</v>
      </c>
      <c r="H70" s="1374">
        <f ca="1">IFERROR(SUMIFS(INDIRECT("TabINPUT["&amp;$D$3&amp;"]"),TabINPUT[SECTEUR2],"COGEN hors ETS",TabINPUT[VECTEUR],"mazout")/($E$61+$E$70)*$E$70,0)*1000</f>
        <v>0</v>
      </c>
      <c r="I70" s="1374"/>
      <c r="J70" s="1374">
        <f ca="1">IFERROR(SUMIFS(INDIRECT("TabINPUT["&amp;$D$3&amp;"]"),TabINPUT[SECTEUR2],"COGEN hors ETS",TabINPUT[VECTEUR],"charbon")/($E$61+$E$70)*$E$70,0)*1000</f>
        <v>0</v>
      </c>
      <c r="K70" s="1374"/>
      <c r="L70" s="1374">
        <f ca="1">IFERROR(SUMIFS(INDIRECT("TabINPUT["&amp;$D$3&amp;"]"),TabINPUT[SECTEUR2],"COGEN hors ETS",TabINPUT[VECTEUR],"huile veg")/($D$61+$D$70)*$D$70,0)*1000</f>
        <v>0</v>
      </c>
      <c r="M70" s="1374">
        <f ca="1">IFERROR((SUMIFS(INDIRECT("TabINPUT["&amp;$D$3&amp;"]"),TabINPUT[SECTEUR2],"COGEN hors ETS",TabINPUT[VECTEUR],"biomasse solide")+SUMIFS(INDIRECT("TabINPUT["&amp;$D$3&amp;"]"),TabINPUT[SECTEUR2],"COGEN hors ETS",TabINPUT[VECTEUR],"Biogaz"))/($D$61+$D$70)*$D$70,0)*1000</f>
        <v>0</v>
      </c>
      <c r="N70" s="1374">
        <f ca="1">IFERROR(SUMIFS(INDIRECT("TabINPUT["&amp;$D$3&amp;"]"),TabINPUT[SECTEUR2],"COGEN hors ETS",TabINPUT[VECTEUR],"biogaz")/($E$61+$E$70)*$E$70,0)*1000</f>
        <v>0</v>
      </c>
      <c r="O70" s="1374">
        <f ca="1">IFERROR(SUMIFS(INDIRECT("TabINPUT["&amp;$D$3&amp;"]"),TabINPUT[SECTEUR2],"COGEN hors ETS",TabINPUT[VECTEUR],"autres")/($E$61+$E$70)*$E$70,0)*1000</f>
        <v>0</v>
      </c>
      <c r="P70" s="1375">
        <f ca="1">F70*$F$84+G70*$G$84+$H$84*H70+J70*$L$84</f>
        <v>0</v>
      </c>
      <c r="Q70" s="698">
        <f ca="1">L70*$O$84+$P$84*M70+N70*$R$84</f>
        <v>0</v>
      </c>
    </row>
    <row r="71" spans="1:79" ht="18" customHeight="1" outlineLevel="2">
      <c r="B71" s="2262" t="s">
        <v>1827</v>
      </c>
      <c r="C71" s="2263"/>
      <c r="D71" s="694"/>
      <c r="E71" s="699"/>
      <c r="F71" s="695"/>
      <c r="G71" s="695"/>
      <c r="H71" s="695"/>
      <c r="I71" s="696"/>
      <c r="J71" s="695"/>
      <c r="K71" s="695"/>
      <c r="L71" s="695"/>
      <c r="M71" s="695"/>
      <c r="N71" s="695"/>
      <c r="O71" s="695"/>
      <c r="P71" s="697"/>
      <c r="Q71" s="697"/>
    </row>
    <row r="72" spans="1:79" ht="18" customHeight="1" outlineLevel="2">
      <c r="B72" s="2261" t="s">
        <v>852</v>
      </c>
      <c r="C72" s="2261"/>
      <c r="D72" s="1358"/>
      <c r="E72" s="1359"/>
      <c r="F72" s="1360"/>
      <c r="G72" s="1360"/>
      <c r="H72" s="1360"/>
      <c r="I72" s="1361"/>
      <c r="J72" s="1360"/>
      <c r="K72" s="1360"/>
      <c r="L72" s="1360"/>
      <c r="M72" s="1360"/>
      <c r="N72" s="1360"/>
      <c r="O72" s="1360"/>
      <c r="P72" s="1362"/>
      <c r="Q72" s="1362"/>
    </row>
    <row r="73" spans="1:79" ht="18" customHeight="1" outlineLevel="2">
      <c r="B73" s="2261" t="s">
        <v>1810</v>
      </c>
      <c r="C73" s="2261"/>
      <c r="D73" s="1363">
        <f ca="1">SUM(D70:D72)</f>
        <v>0</v>
      </c>
      <c r="E73" s="1363">
        <f t="shared" ref="E73:Q73" ca="1" si="7">SUM(E70:E72)</f>
        <v>0</v>
      </c>
      <c r="F73" s="1363">
        <f t="shared" ca="1" si="7"/>
        <v>0</v>
      </c>
      <c r="G73" s="1363">
        <f t="shared" ca="1" si="7"/>
        <v>0</v>
      </c>
      <c r="H73" s="1363">
        <f t="shared" ca="1" si="7"/>
        <v>0</v>
      </c>
      <c r="I73" s="1363">
        <f t="shared" si="7"/>
        <v>0</v>
      </c>
      <c r="J73" s="1363">
        <f t="shared" ca="1" si="7"/>
        <v>0</v>
      </c>
      <c r="K73" s="1363">
        <f t="shared" si="7"/>
        <v>0</v>
      </c>
      <c r="L73" s="1363">
        <f t="shared" ca="1" si="7"/>
        <v>0</v>
      </c>
      <c r="M73" s="1363">
        <f t="shared" ca="1" si="7"/>
        <v>0</v>
      </c>
      <c r="N73" s="1363">
        <f t="shared" ca="1" si="7"/>
        <v>0</v>
      </c>
      <c r="O73" s="1363">
        <f t="shared" ca="1" si="7"/>
        <v>0</v>
      </c>
      <c r="P73" s="1363">
        <f t="shared" ca="1" si="7"/>
        <v>0</v>
      </c>
      <c r="Q73" s="1363">
        <f t="shared" ca="1" si="7"/>
        <v>0</v>
      </c>
    </row>
    <row r="74" spans="1:79" ht="18" customHeight="1" outlineLevel="2">
      <c r="B74" s="693"/>
      <c r="C74" s="693"/>
      <c r="D74" s="693"/>
      <c r="E74" s="693"/>
      <c r="F74" s="693"/>
      <c r="G74" s="693"/>
      <c r="H74" s="693"/>
      <c r="I74" s="693"/>
      <c r="J74" s="693"/>
      <c r="K74" s="693"/>
      <c r="L74" s="693"/>
      <c r="M74" s="693"/>
      <c r="N74" s="693"/>
      <c r="O74" s="693"/>
      <c r="P74" s="693"/>
      <c r="Q74" s="693"/>
      <c r="R74" s="693"/>
      <c r="T74" s="680"/>
      <c r="U74" s="680"/>
    </row>
    <row r="75" spans="1:79" ht="18" hidden="1" customHeight="1">
      <c r="B75" s="693"/>
      <c r="C75" s="693"/>
      <c r="D75" s="693"/>
      <c r="E75" s="693"/>
      <c r="F75" s="693"/>
      <c r="G75" s="693"/>
      <c r="H75" s="693"/>
      <c r="I75" s="693"/>
      <c r="J75" s="693"/>
      <c r="K75" s="693"/>
      <c r="L75" s="693"/>
      <c r="M75" s="693"/>
      <c r="N75" s="693"/>
      <c r="O75" s="693"/>
      <c r="P75" s="693"/>
      <c r="Q75" s="693"/>
      <c r="R75" s="693"/>
      <c r="T75" s="680"/>
      <c r="U75" s="680"/>
    </row>
    <row r="76" spans="1:79" ht="18" hidden="1" customHeight="1">
      <c r="A76" s="660"/>
      <c r="B76" s="700"/>
      <c r="C76" s="700"/>
      <c r="D76" s="700"/>
      <c r="E76" s="700"/>
      <c r="F76" s="700"/>
      <c r="G76" s="700"/>
      <c r="H76" s="700"/>
      <c r="I76" s="700"/>
      <c r="J76" s="700"/>
      <c r="K76" s="700"/>
      <c r="L76" s="700"/>
      <c r="M76" s="700"/>
      <c r="N76" s="700"/>
      <c r="O76" s="700"/>
      <c r="P76" s="700"/>
      <c r="Q76" s="700"/>
      <c r="R76" s="70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c r="BA76" s="660"/>
      <c r="BB76" s="660"/>
      <c r="BC76" s="660"/>
      <c r="BD76" s="660"/>
      <c r="BE76" s="660"/>
      <c r="BF76" s="660"/>
      <c r="BG76" s="660"/>
      <c r="BH76" s="660"/>
      <c r="BI76" s="660"/>
      <c r="BJ76" s="660"/>
      <c r="BK76" s="660"/>
      <c r="BL76" s="660"/>
      <c r="BM76" s="660"/>
      <c r="BN76" s="660"/>
      <c r="BO76" s="660"/>
      <c r="BP76" s="660"/>
      <c r="BQ76" s="660"/>
      <c r="BR76" s="660"/>
      <c r="BS76" s="660"/>
      <c r="BT76" s="660"/>
      <c r="BU76" s="660"/>
      <c r="BV76" s="660"/>
      <c r="BW76" s="660"/>
      <c r="BX76" s="660"/>
      <c r="BY76" s="660"/>
      <c r="BZ76" s="660"/>
      <c r="CA76" s="660"/>
    </row>
    <row r="77" spans="1:79" ht="18" hidden="1" customHeight="1">
      <c r="B77" s="682" t="s">
        <v>1828</v>
      </c>
      <c r="C77" s="693"/>
      <c r="D77" s="693"/>
      <c r="E77" s="693"/>
      <c r="F77" s="693"/>
      <c r="G77" s="693"/>
      <c r="H77" s="693"/>
      <c r="I77" s="693"/>
      <c r="J77" s="693"/>
      <c r="K77" s="693"/>
      <c r="L77" s="693"/>
      <c r="M77" s="693"/>
      <c r="N77" s="693"/>
      <c r="O77" s="693"/>
      <c r="P77" s="693"/>
      <c r="Q77" s="693"/>
      <c r="R77" s="693"/>
    </row>
    <row r="78" spans="1:79" ht="18" hidden="1" customHeight="1">
      <c r="B78" s="684"/>
      <c r="C78" s="693"/>
      <c r="D78" s="693"/>
      <c r="E78" s="693"/>
      <c r="F78" s="693"/>
      <c r="G78" s="693"/>
      <c r="H78" s="693"/>
      <c r="I78" s="693"/>
      <c r="J78" s="693"/>
      <c r="K78" s="693"/>
      <c r="L78" s="693"/>
      <c r="M78" s="693"/>
      <c r="N78" s="693"/>
      <c r="O78" s="693"/>
      <c r="P78" s="693"/>
      <c r="Q78" s="693"/>
      <c r="R78" s="693"/>
    </row>
    <row r="79" spans="1:79" ht="18" hidden="1" customHeight="1">
      <c r="B79" s="669" t="s">
        <v>1829</v>
      </c>
      <c r="C79" s="683"/>
      <c r="D79" s="669"/>
      <c r="E79" s="701"/>
      <c r="F79" s="693"/>
      <c r="G79" s="693"/>
      <c r="I79" s="693"/>
      <c r="J79" s="693"/>
      <c r="K79" s="693"/>
      <c r="L79" s="693"/>
      <c r="M79" s="693"/>
      <c r="N79" s="693"/>
      <c r="O79" s="693"/>
      <c r="P79" s="693"/>
      <c r="Q79" s="693"/>
      <c r="R79" s="693"/>
    </row>
    <row r="80" spans="1:79" ht="18" hidden="1" customHeight="1">
      <c r="B80" s="686"/>
      <c r="C80" s="686"/>
      <c r="D80" s="686"/>
      <c r="E80" s="686"/>
      <c r="F80" s="686"/>
      <c r="G80" s="686"/>
      <c r="H80" s="686"/>
      <c r="I80" s="686"/>
      <c r="J80" s="686"/>
      <c r="K80" s="686"/>
      <c r="L80" s="686"/>
      <c r="M80" s="686"/>
      <c r="N80" s="686"/>
      <c r="O80" s="686"/>
      <c r="P80" s="686"/>
      <c r="Q80" s="686"/>
      <c r="R80" s="686"/>
    </row>
    <row r="81" spans="2:21" ht="18" hidden="1" customHeight="1">
      <c r="B81" s="693"/>
      <c r="C81" s="693"/>
      <c r="D81" s="693"/>
      <c r="E81" s="693"/>
      <c r="F81" s="702" t="s">
        <v>1830</v>
      </c>
      <c r="G81" s="703"/>
      <c r="H81" s="703"/>
      <c r="I81" s="703"/>
      <c r="J81" s="704"/>
      <c r="K81" s="681"/>
      <c r="L81" s="693"/>
      <c r="M81" s="693"/>
      <c r="N81" s="693"/>
      <c r="O81" s="693"/>
      <c r="P81" s="693"/>
      <c r="Q81" s="693"/>
      <c r="R81" s="693"/>
    </row>
    <row r="82" spans="2:21" ht="18" hidden="1" customHeight="1">
      <c r="B82" s="674"/>
      <c r="C82" s="2264" t="s">
        <v>1831</v>
      </c>
      <c r="D82" s="2264"/>
      <c r="E82" s="2264" t="s">
        <v>1832</v>
      </c>
      <c r="F82" s="2264" t="s">
        <v>1833</v>
      </c>
      <c r="G82" s="2264"/>
      <c r="H82" s="2264"/>
      <c r="I82" s="2264"/>
      <c r="J82" s="2264"/>
      <c r="K82" s="2264"/>
      <c r="L82" s="2264"/>
      <c r="M82" s="2264"/>
      <c r="N82" s="2264" t="s">
        <v>1834</v>
      </c>
      <c r="O82" s="2264"/>
      <c r="P82" s="2264"/>
      <c r="Q82" s="2264"/>
      <c r="R82" s="2264"/>
    </row>
    <row r="83" spans="2:21" ht="27.75" hidden="1" customHeight="1" thickBot="1">
      <c r="C83" s="1431" t="s">
        <v>1774</v>
      </c>
      <c r="D83" s="1432" t="s">
        <v>1775</v>
      </c>
      <c r="E83" s="2265"/>
      <c r="F83" s="1433" t="s">
        <v>1835</v>
      </c>
      <c r="G83" s="1433" t="s">
        <v>1836</v>
      </c>
      <c r="H83" s="1433" t="s">
        <v>1837</v>
      </c>
      <c r="I83" s="1433" t="s">
        <v>143</v>
      </c>
      <c r="J83" s="1433" t="s">
        <v>1838</v>
      </c>
      <c r="K83" s="1433" t="s">
        <v>1777</v>
      </c>
      <c r="L83" s="1433" t="s">
        <v>1839</v>
      </c>
      <c r="M83" s="1433" t="s">
        <v>1840</v>
      </c>
      <c r="N83" s="1433" t="s">
        <v>1841</v>
      </c>
      <c r="O83" s="1433" t="s">
        <v>1842</v>
      </c>
      <c r="P83" s="1433" t="s">
        <v>1843</v>
      </c>
      <c r="Q83" s="1433" t="s">
        <v>1844</v>
      </c>
      <c r="R83" s="1433" t="s">
        <v>1845</v>
      </c>
    </row>
    <row r="84" spans="2:21" ht="18" hidden="1" customHeight="1" thickBot="1">
      <c r="C84" s="705">
        <f>'Bilan territorial'!D62</f>
        <v>0.27400000000000002</v>
      </c>
      <c r="D84" s="706" t="e">
        <f ca="1">'Bilan territorial'!D61</f>
        <v>#DIV/0!</v>
      </c>
      <c r="E84" s="706">
        <v>0</v>
      </c>
      <c r="F84" s="706">
        <f>Hypothèses!B9</f>
        <v>0.2026798378561297</v>
      </c>
      <c r="G84" s="707">
        <f>Hypothèses!B8</f>
        <v>0.23723981020815182</v>
      </c>
      <c r="H84" s="707">
        <f>Hypothèses!B6</f>
        <v>0.26819978544017159</v>
      </c>
      <c r="I84" s="706">
        <f>H84</f>
        <v>0.26819978544017159</v>
      </c>
      <c r="J84" s="706">
        <f>Hypothèses!B5</f>
        <v>0.26135979091216727</v>
      </c>
      <c r="K84" s="706">
        <f>Hypothèses!B2</f>
        <v>0.36610920000000002</v>
      </c>
      <c r="L84" s="706">
        <f>Hypothèses!B4</f>
        <v>0.34307972553621952</v>
      </c>
      <c r="M84" s="706">
        <f>Hypothèses!B12</f>
        <v>0.26542368</v>
      </c>
      <c r="N84" s="706">
        <f>Hypothèses!B18</f>
        <v>1.5436799999999997E-3</v>
      </c>
      <c r="O84" s="706">
        <v>0</v>
      </c>
      <c r="P84" s="706">
        <f>Hypothèses!B17</f>
        <v>3.1319974944020043E-2</v>
      </c>
      <c r="Q84" s="706">
        <v>0</v>
      </c>
      <c r="R84" s="708">
        <v>0</v>
      </c>
    </row>
    <row r="85" spans="2:21" s="680" customFormat="1" ht="18" hidden="1" customHeight="1">
      <c r="B85" s="661"/>
      <c r="C85" s="709"/>
      <c r="T85" s="661"/>
      <c r="U85" s="661"/>
    </row>
    <row r="86" spans="2:21" ht="18" customHeight="1"/>
    <row r="87" spans="2:21" ht="18" customHeight="1" outlineLevel="1">
      <c r="B87" s="2249" t="s">
        <v>1846</v>
      </c>
      <c r="C87" s="2249"/>
      <c r="D87" s="2249"/>
      <c r="E87" s="2249"/>
      <c r="F87" s="2249"/>
      <c r="G87" s="2249"/>
      <c r="H87" s="2249"/>
      <c r="I87" s="2249"/>
      <c r="J87" s="2249"/>
      <c r="K87" s="2249"/>
      <c r="L87" s="710"/>
      <c r="M87" s="710"/>
      <c r="N87" s="710"/>
      <c r="O87" s="710"/>
      <c r="P87" s="710"/>
      <c r="Q87" s="710"/>
      <c r="R87" s="710"/>
    </row>
    <row r="88" spans="2:21" ht="18" customHeight="1" outlineLevel="1" thickBot="1">
      <c r="B88" s="684"/>
      <c r="C88" s="684"/>
      <c r="D88" s="684"/>
      <c r="E88" s="684"/>
      <c r="F88" s="684"/>
      <c r="G88" s="684"/>
      <c r="H88" s="684"/>
      <c r="I88" s="684"/>
      <c r="J88" s="684"/>
      <c r="K88" s="710"/>
      <c r="L88" s="710"/>
      <c r="M88" s="710"/>
      <c r="N88" s="710"/>
      <c r="O88" s="710"/>
      <c r="P88" s="710"/>
      <c r="Q88" s="710"/>
      <c r="R88" s="710"/>
    </row>
    <row r="89" spans="2:21" ht="40.200000000000003" outlineLevel="1" thickBot="1">
      <c r="B89" s="2246" t="s">
        <v>1847</v>
      </c>
      <c r="C89" s="2246"/>
      <c r="D89" s="765" t="s">
        <v>1848</v>
      </c>
      <c r="E89" s="765" t="s">
        <v>1849</v>
      </c>
      <c r="F89" s="684"/>
      <c r="G89" s="684"/>
      <c r="H89" s="684"/>
      <c r="I89" s="684"/>
      <c r="J89" s="684"/>
      <c r="K89" s="710"/>
      <c r="L89" s="710"/>
      <c r="M89" s="710"/>
      <c r="N89" s="710"/>
      <c r="O89" s="710"/>
      <c r="P89" s="710"/>
      <c r="Q89" s="710"/>
      <c r="R89" s="710"/>
    </row>
    <row r="90" spans="2:21" ht="18" customHeight="1" outlineLevel="1" thickBot="1">
      <c r="B90" s="2247" t="s">
        <v>104</v>
      </c>
      <c r="C90" s="2247"/>
      <c r="D90" s="766">
        <f>SUM(D91:D94)</f>
        <v>0</v>
      </c>
      <c r="E90" s="766"/>
      <c r="F90" s="684"/>
      <c r="G90" s="684"/>
      <c r="H90" s="684"/>
      <c r="I90" s="684"/>
      <c r="J90" s="684"/>
      <c r="K90" s="710"/>
      <c r="L90" s="710"/>
      <c r="M90" s="710"/>
      <c r="N90" s="710"/>
      <c r="O90" s="710"/>
      <c r="P90" s="710"/>
      <c r="Q90" s="710"/>
      <c r="R90" s="710"/>
    </row>
    <row r="91" spans="2:21" ht="18" customHeight="1" outlineLevel="1" thickBot="1">
      <c r="B91" s="2247" t="str">
        <f>"- Elimination des déchets solides"</f>
        <v>- Elimination des déchets solides</v>
      </c>
      <c r="C91" s="2247"/>
      <c r="D91" s="766"/>
      <c r="E91" s="766"/>
      <c r="F91" s="684"/>
      <c r="G91" s="684"/>
      <c r="H91" s="684"/>
      <c r="I91" s="684"/>
      <c r="J91" s="684"/>
      <c r="K91" s="710"/>
      <c r="L91" s="710"/>
      <c r="M91" s="710"/>
      <c r="N91" s="710"/>
      <c r="O91" s="710"/>
      <c r="P91" s="710"/>
      <c r="Q91" s="710"/>
      <c r="R91" s="710"/>
    </row>
    <row r="92" spans="2:21" ht="18" customHeight="1" outlineLevel="1" thickBot="1">
      <c r="B92" s="736" t="str">
        <f>"- Traitement biologique des déchets solides"</f>
        <v>- Traitement biologique des déchets solides</v>
      </c>
      <c r="C92" s="736"/>
      <c r="D92" s="768"/>
      <c r="E92" s="766"/>
      <c r="F92" s="684"/>
      <c r="G92" s="684"/>
      <c r="H92" s="684"/>
      <c r="I92" s="684"/>
      <c r="J92" s="684"/>
      <c r="K92" s="710"/>
      <c r="L92" s="710"/>
      <c r="M92" s="710"/>
      <c r="N92" s="710"/>
      <c r="O92" s="710"/>
      <c r="P92" s="710"/>
      <c r="Q92" s="710"/>
      <c r="R92" s="710"/>
    </row>
    <row r="93" spans="2:21" ht="18" customHeight="1" outlineLevel="1" thickBot="1">
      <c r="B93" s="2247" t="str">
        <f>"- Incinération et combustion à l'air libre des déchets"</f>
        <v>- Incinération et combustion à l'air libre des déchets</v>
      </c>
      <c r="C93" s="2248"/>
      <c r="D93" s="770">
        <f>HLOOKUP($D$3,'Données territoriales'!$K$5:$AF$8,2,0)</f>
        <v>0</v>
      </c>
      <c r="E93" s="767"/>
      <c r="F93" s="684"/>
      <c r="G93" s="684"/>
      <c r="H93" s="684"/>
      <c r="I93" s="684"/>
      <c r="J93" s="684"/>
      <c r="K93" s="710"/>
      <c r="L93" s="710"/>
      <c r="M93" s="710"/>
      <c r="N93" s="710"/>
      <c r="O93" s="710"/>
      <c r="P93" s="710"/>
      <c r="Q93" s="710"/>
      <c r="R93" s="710"/>
      <c r="T93" s="711"/>
      <c r="U93" s="711"/>
    </row>
    <row r="94" spans="2:21" ht="18" customHeight="1" outlineLevel="1" thickBot="1">
      <c r="B94" s="2247" t="str">
        <f>"- Autres"</f>
        <v>- Autres</v>
      </c>
      <c r="C94" s="2247"/>
      <c r="D94" s="769"/>
      <c r="E94" s="766"/>
      <c r="F94" s="684"/>
      <c r="G94" s="684"/>
      <c r="H94" s="684"/>
      <c r="I94" s="684"/>
      <c r="J94" s="684"/>
      <c r="K94" s="710"/>
      <c r="L94" s="710"/>
      <c r="M94" s="710"/>
      <c r="N94" s="710"/>
      <c r="O94" s="710"/>
      <c r="P94" s="710"/>
      <c r="Q94" s="710"/>
      <c r="R94" s="710"/>
      <c r="T94" s="711"/>
      <c r="U94" s="711"/>
    </row>
    <row r="95" spans="2:21" ht="27" outlineLevel="1" thickBot="1">
      <c r="B95" s="2246"/>
      <c r="C95" s="2246"/>
      <c r="D95" s="773" t="s">
        <v>1848</v>
      </c>
      <c r="E95" s="765" t="s">
        <v>1850</v>
      </c>
      <c r="F95" s="684"/>
      <c r="G95" s="684"/>
      <c r="H95" s="684"/>
      <c r="I95" s="684"/>
      <c r="J95" s="684"/>
      <c r="K95" s="710"/>
      <c r="L95" s="710"/>
      <c r="M95" s="710"/>
      <c r="N95" s="710"/>
      <c r="O95" s="710"/>
      <c r="P95" s="710"/>
      <c r="Q95" s="710"/>
      <c r="R95" s="710"/>
    </row>
    <row r="96" spans="2:21" ht="18" customHeight="1" outlineLevel="1" thickBot="1">
      <c r="B96" s="2247" t="s">
        <v>1851</v>
      </c>
      <c r="C96" s="2248"/>
      <c r="D96" s="774">
        <f>HLOOKUP($D$3,'Données territoriales'!$K$5:$AF$8,3,0)</f>
        <v>0</v>
      </c>
      <c r="E96" s="767"/>
      <c r="F96" s="684"/>
      <c r="G96" s="684"/>
      <c r="H96" s="684"/>
      <c r="I96" s="684"/>
      <c r="J96" s="684"/>
      <c r="K96" s="710"/>
      <c r="L96" s="710"/>
      <c r="M96" s="710"/>
      <c r="N96" s="710"/>
      <c r="O96" s="710"/>
      <c r="P96" s="710"/>
      <c r="Q96" s="710"/>
      <c r="R96" s="710"/>
    </row>
    <row r="97" spans="1:79" ht="32.1" customHeight="1" outlineLevel="1" thickBot="1">
      <c r="B97" s="2250" t="s">
        <v>1852</v>
      </c>
      <c r="C97" s="2251"/>
      <c r="D97" s="775">
        <f>HLOOKUP($D$3,'Données territoriales'!$K$5:$AF$8,4,0)</f>
        <v>0</v>
      </c>
      <c r="E97" s="767"/>
      <c r="F97" s="684"/>
      <c r="G97" s="684"/>
      <c r="H97" s="684"/>
      <c r="I97" s="684"/>
      <c r="J97" s="684"/>
      <c r="K97" s="710"/>
      <c r="L97" s="710"/>
      <c r="M97" s="710"/>
      <c r="N97" s="710"/>
      <c r="O97" s="710"/>
      <c r="P97" s="710"/>
      <c r="Q97" s="710"/>
      <c r="R97" s="710"/>
    </row>
    <row r="98" spans="1:79" ht="18" customHeight="1" outlineLevel="1">
      <c r="B98" s="712"/>
      <c r="C98" s="686"/>
      <c r="D98" s="684"/>
      <c r="E98" s="684"/>
      <c r="F98" s="684"/>
      <c r="G98" s="684"/>
      <c r="H98" s="684"/>
      <c r="I98" s="684"/>
      <c r="J98" s="684"/>
      <c r="K98" s="710"/>
      <c r="L98" s="710"/>
      <c r="M98" s="710"/>
      <c r="N98" s="710"/>
      <c r="O98" s="710"/>
      <c r="P98" s="710"/>
      <c r="Q98" s="710"/>
      <c r="R98" s="710"/>
      <c r="T98" s="711"/>
      <c r="U98" s="711"/>
    </row>
    <row r="99" spans="1:79" ht="18" customHeight="1">
      <c r="B99" s="712"/>
      <c r="C99" s="686"/>
      <c r="D99" s="684"/>
      <c r="E99" s="684"/>
      <c r="F99" s="684"/>
      <c r="G99" s="684"/>
      <c r="H99" s="684"/>
      <c r="I99" s="684"/>
      <c r="J99" s="684"/>
      <c r="K99" s="710"/>
      <c r="L99" s="710"/>
      <c r="M99" s="710"/>
      <c r="N99" s="710"/>
      <c r="O99" s="710"/>
      <c r="P99" s="710"/>
      <c r="Q99" s="710"/>
      <c r="R99" s="710"/>
      <c r="T99" s="713"/>
      <c r="U99" s="713"/>
    </row>
    <row r="100" spans="1:79" ht="18" customHeight="1">
      <c r="A100" s="660"/>
      <c r="B100" s="714"/>
      <c r="C100" s="714"/>
      <c r="D100" s="714"/>
      <c r="E100" s="714"/>
      <c r="F100" s="714"/>
      <c r="G100" s="714"/>
      <c r="H100" s="714"/>
      <c r="I100" s="714"/>
      <c r="J100" s="714"/>
      <c r="K100" s="715"/>
      <c r="L100" s="715"/>
      <c r="M100" s="715"/>
      <c r="N100" s="715"/>
      <c r="O100" s="715"/>
      <c r="P100" s="715"/>
      <c r="Q100" s="715"/>
      <c r="R100" s="715"/>
      <c r="S100" s="660"/>
      <c r="T100" s="716"/>
      <c r="U100" s="716"/>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0"/>
      <c r="AY100" s="660"/>
      <c r="AZ100" s="660"/>
      <c r="BA100" s="660"/>
      <c r="BB100" s="660"/>
      <c r="BC100" s="660"/>
      <c r="BD100" s="660"/>
      <c r="BE100" s="660"/>
      <c r="BF100" s="660"/>
      <c r="BG100" s="660"/>
      <c r="BH100" s="660"/>
      <c r="BI100" s="660"/>
      <c r="BJ100" s="660"/>
      <c r="BK100" s="660"/>
      <c r="BL100" s="660"/>
      <c r="BM100" s="660"/>
      <c r="BN100" s="660"/>
      <c r="BO100" s="660"/>
      <c r="BP100" s="660"/>
      <c r="BQ100" s="660"/>
      <c r="BR100" s="660"/>
      <c r="BS100" s="660"/>
      <c r="BT100" s="660"/>
      <c r="BU100" s="660"/>
      <c r="BV100" s="660"/>
      <c r="BW100" s="660"/>
      <c r="BX100" s="660"/>
      <c r="BY100" s="660"/>
      <c r="BZ100" s="660"/>
      <c r="CA100" s="660"/>
    </row>
    <row r="101" spans="1:79" ht="18" customHeight="1">
      <c r="B101" s="682" t="s">
        <v>1853</v>
      </c>
      <c r="C101" s="684"/>
      <c r="D101" s="684"/>
      <c r="E101" s="684"/>
      <c r="F101" s="684"/>
      <c r="G101" s="684"/>
      <c r="H101" s="684"/>
      <c r="I101" s="684"/>
      <c r="J101" s="684"/>
      <c r="K101" s="710"/>
      <c r="L101" s="710"/>
      <c r="M101" s="710"/>
      <c r="N101" s="710"/>
      <c r="O101" s="710"/>
      <c r="P101" s="710"/>
      <c r="Q101" s="710"/>
      <c r="R101" s="710"/>
      <c r="T101" s="713"/>
      <c r="U101" s="713"/>
    </row>
    <row r="102" spans="1:79" ht="15" customHeight="1" thickBot="1">
      <c r="B102" s="684"/>
      <c r="C102" s="684"/>
      <c r="D102" s="684"/>
      <c r="E102" s="684"/>
      <c r="F102" s="684"/>
      <c r="G102" s="684"/>
      <c r="H102" s="684"/>
      <c r="I102" s="684"/>
      <c r="J102" s="684"/>
      <c r="K102" s="710"/>
      <c r="L102" s="710"/>
      <c r="M102" s="710"/>
      <c r="N102" s="710"/>
      <c r="O102" s="710"/>
      <c r="P102" s="710"/>
      <c r="Q102" s="710"/>
      <c r="R102" s="710"/>
      <c r="T102" s="713"/>
      <c r="U102" s="713"/>
    </row>
    <row r="103" spans="1:79" s="711" customFormat="1" ht="17.25" customHeight="1" thickBot="1">
      <c r="B103" s="2255" t="s">
        <v>103</v>
      </c>
      <c r="C103" s="2256"/>
      <c r="D103" s="2255" t="s">
        <v>1854</v>
      </c>
      <c r="E103" s="2255"/>
      <c r="F103" s="2255"/>
      <c r="G103" s="2255"/>
      <c r="H103" s="2255"/>
      <c r="I103" s="2255"/>
      <c r="J103" s="2255"/>
      <c r="K103" s="2255"/>
      <c r="L103" s="2255"/>
      <c r="M103" s="2255"/>
      <c r="N103" s="2255"/>
      <c r="O103" s="2255"/>
      <c r="P103" s="2255"/>
      <c r="Q103" s="2255"/>
      <c r="R103" s="2255"/>
      <c r="S103" s="2255"/>
      <c r="T103" s="713"/>
      <c r="U103" s="713"/>
    </row>
    <row r="104" spans="1:79" s="711" customFormat="1" ht="13.5" customHeight="1" thickBot="1">
      <c r="B104" s="2255"/>
      <c r="C104" s="2256"/>
      <c r="D104" s="2259" t="s">
        <v>93</v>
      </c>
      <c r="E104" s="2259" t="s">
        <v>1772</v>
      </c>
      <c r="F104" s="2259" t="s">
        <v>1793</v>
      </c>
      <c r="G104" s="2259"/>
      <c r="H104" s="2259"/>
      <c r="I104" s="2259"/>
      <c r="J104" s="2259"/>
      <c r="K104" s="2259"/>
      <c r="L104" s="2259"/>
      <c r="M104" s="2259"/>
      <c r="N104" s="2259" t="s">
        <v>912</v>
      </c>
      <c r="O104" s="2259"/>
      <c r="P104" s="2259"/>
      <c r="Q104" s="2259"/>
      <c r="R104" s="2259"/>
      <c r="S104" s="2255" t="s">
        <v>107</v>
      </c>
      <c r="T104" s="713"/>
      <c r="U104" s="713"/>
    </row>
    <row r="105" spans="1:79" s="711" customFormat="1" ht="52.5" customHeight="1" thickBot="1">
      <c r="B105" s="2257"/>
      <c r="C105" s="2258"/>
      <c r="D105" s="2260"/>
      <c r="E105" s="2260"/>
      <c r="F105" s="726" t="s">
        <v>98</v>
      </c>
      <c r="G105" s="726" t="s">
        <v>232</v>
      </c>
      <c r="H105" s="726" t="s">
        <v>1776</v>
      </c>
      <c r="I105" s="726" t="s">
        <v>143</v>
      </c>
      <c r="J105" s="726" t="s">
        <v>94</v>
      </c>
      <c r="K105" s="726" t="s">
        <v>1777</v>
      </c>
      <c r="L105" s="726" t="s">
        <v>152</v>
      </c>
      <c r="M105" s="726" t="s">
        <v>1778</v>
      </c>
      <c r="N105" s="726" t="s">
        <v>1779</v>
      </c>
      <c r="O105" s="726" t="s">
        <v>1780</v>
      </c>
      <c r="P105" s="726" t="s">
        <v>1781</v>
      </c>
      <c r="Q105" s="726" t="s">
        <v>1782</v>
      </c>
      <c r="R105" s="726" t="s">
        <v>1783</v>
      </c>
      <c r="S105" s="2257"/>
      <c r="T105" s="713"/>
      <c r="U105" s="713"/>
    </row>
    <row r="106" spans="1:79" s="680" customFormat="1" ht="26.4" customHeight="1" thickBot="1">
      <c r="B106" s="2243" t="s">
        <v>1794</v>
      </c>
      <c r="C106" s="2244"/>
      <c r="D106" s="2244"/>
      <c r="E106" s="2244"/>
      <c r="F106" s="2244"/>
      <c r="G106" s="2244"/>
      <c r="H106" s="2244"/>
      <c r="I106" s="2244"/>
      <c r="J106" s="2244"/>
      <c r="K106" s="2244"/>
      <c r="L106" s="2244"/>
      <c r="M106" s="2244"/>
      <c r="N106" s="2244"/>
      <c r="O106" s="2244"/>
      <c r="P106" s="2244"/>
      <c r="Q106" s="2244"/>
      <c r="R106" s="2244"/>
      <c r="S106" s="2245"/>
    </row>
    <row r="107" spans="1:79" s="680" customFormat="1" ht="26.4" customHeight="1" thickBot="1">
      <c r="B107" s="2252" t="s">
        <v>1795</v>
      </c>
      <c r="C107" s="2252"/>
      <c r="D107" s="731" t="e">
        <f ca="1">D29*D$20</f>
        <v>#DIV/0!</v>
      </c>
      <c r="E107" s="731">
        <f t="shared" ref="E107:R107" ca="1" si="8">E29*E$20</f>
        <v>0</v>
      </c>
      <c r="F107" s="731">
        <f t="shared" ca="1" si="8"/>
        <v>0</v>
      </c>
      <c r="G107" s="731">
        <f t="shared" ca="1" si="8"/>
        <v>0</v>
      </c>
      <c r="H107" s="731">
        <f t="shared" ca="1" si="8"/>
        <v>0</v>
      </c>
      <c r="I107" s="731">
        <f t="shared" si="8"/>
        <v>0</v>
      </c>
      <c r="J107" s="731">
        <f t="shared" si="8"/>
        <v>0</v>
      </c>
      <c r="K107" s="731">
        <f t="shared" si="8"/>
        <v>0</v>
      </c>
      <c r="L107" s="731">
        <f t="shared" ca="1" si="8"/>
        <v>0</v>
      </c>
      <c r="M107" s="731">
        <f t="shared" si="8"/>
        <v>0</v>
      </c>
      <c r="N107" s="731">
        <f t="shared" si="8"/>
        <v>0</v>
      </c>
      <c r="O107" s="731">
        <f t="shared" si="8"/>
        <v>0</v>
      </c>
      <c r="P107" s="731">
        <f t="shared" ca="1" si="8"/>
        <v>0</v>
      </c>
      <c r="Q107" s="731">
        <f t="shared" ca="1" si="8"/>
        <v>0</v>
      </c>
      <c r="R107" s="731">
        <f t="shared" ca="1" si="8"/>
        <v>0</v>
      </c>
      <c r="S107" s="731" t="e">
        <f t="shared" ref="S107" ca="1" si="9">SUM(S108:S109)</f>
        <v>#DIV/0!</v>
      </c>
    </row>
    <row r="108" spans="1:79" s="680" customFormat="1" ht="16.5" customHeight="1" thickBot="1">
      <c r="B108" s="2240" t="str">
        <f>"- Bâtiments, équipements/installations municipaux"</f>
        <v>- Bâtiments, équipements/installations municipaux</v>
      </c>
      <c r="C108" s="2240"/>
      <c r="D108" s="732" t="e">
        <f t="shared" ref="D108:R108" ca="1" si="10">D30*D$20</f>
        <v>#DIV/0!</v>
      </c>
      <c r="E108" s="732">
        <f t="shared" ca="1" si="10"/>
        <v>0</v>
      </c>
      <c r="F108" s="732">
        <f t="shared" ca="1" si="10"/>
        <v>0</v>
      </c>
      <c r="G108" s="732">
        <f t="shared" ca="1" si="10"/>
        <v>0</v>
      </c>
      <c r="H108" s="732">
        <f t="shared" ca="1" si="10"/>
        <v>0</v>
      </c>
      <c r="I108" s="732">
        <f t="shared" si="10"/>
        <v>0</v>
      </c>
      <c r="J108" s="732">
        <f t="shared" si="10"/>
        <v>0</v>
      </c>
      <c r="K108" s="732">
        <f t="shared" si="10"/>
        <v>0</v>
      </c>
      <c r="L108" s="732">
        <f t="shared" ca="1" si="10"/>
        <v>0</v>
      </c>
      <c r="M108" s="732">
        <f t="shared" si="10"/>
        <v>0</v>
      </c>
      <c r="N108" s="732">
        <f t="shared" si="10"/>
        <v>0</v>
      </c>
      <c r="O108" s="732">
        <f t="shared" si="10"/>
        <v>0</v>
      </c>
      <c r="P108" s="732">
        <f t="shared" ca="1" si="10"/>
        <v>0</v>
      </c>
      <c r="Q108" s="732">
        <f t="shared" ca="1" si="10"/>
        <v>0</v>
      </c>
      <c r="R108" s="732">
        <f t="shared" ca="1" si="10"/>
        <v>0</v>
      </c>
      <c r="S108" s="732" t="e">
        <f t="shared" ref="S108" ca="1" si="11">SUM(D108:R108)</f>
        <v>#DIV/0!</v>
      </c>
    </row>
    <row r="109" spans="1:79" s="680" customFormat="1" ht="16.5" customHeight="1" thickBot="1">
      <c r="B109" s="2240" t="str">
        <f>"-Eclairage public"</f>
        <v>-Eclairage public</v>
      </c>
      <c r="C109" s="2240"/>
      <c r="D109" s="732" t="e">
        <f t="shared" ref="D109:R109" ca="1" si="12">D31*D$20</f>
        <v>#DIV/0!</v>
      </c>
      <c r="E109" s="732">
        <f t="shared" si="12"/>
        <v>0</v>
      </c>
      <c r="F109" s="732">
        <f t="shared" si="12"/>
        <v>0</v>
      </c>
      <c r="G109" s="732">
        <f t="shared" si="12"/>
        <v>0</v>
      </c>
      <c r="H109" s="732">
        <f t="shared" si="12"/>
        <v>0</v>
      </c>
      <c r="I109" s="732">
        <f t="shared" si="12"/>
        <v>0</v>
      </c>
      <c r="J109" s="732">
        <f t="shared" si="12"/>
        <v>0</v>
      </c>
      <c r="K109" s="732">
        <f t="shared" si="12"/>
        <v>0</v>
      </c>
      <c r="L109" s="732">
        <f t="shared" si="12"/>
        <v>0</v>
      </c>
      <c r="M109" s="732">
        <f t="shared" si="12"/>
        <v>0</v>
      </c>
      <c r="N109" s="732">
        <f t="shared" si="12"/>
        <v>0</v>
      </c>
      <c r="O109" s="732">
        <f t="shared" si="12"/>
        <v>0</v>
      </c>
      <c r="P109" s="732">
        <f t="shared" si="12"/>
        <v>0</v>
      </c>
      <c r="Q109" s="732">
        <f t="shared" si="12"/>
        <v>0</v>
      </c>
      <c r="R109" s="732">
        <f t="shared" si="12"/>
        <v>0</v>
      </c>
      <c r="S109" s="732" t="e">
        <f ca="1">SUM(D109:R109)</f>
        <v>#DIV/0!</v>
      </c>
    </row>
    <row r="110" spans="1:79" s="680" customFormat="1" ht="28.35" customHeight="1" thickBot="1">
      <c r="B110" s="2252" t="s">
        <v>1796</v>
      </c>
      <c r="C110" s="2252"/>
      <c r="D110" s="733" t="e">
        <f t="shared" ref="D110:R110" ca="1" si="13">D32*D$20</f>
        <v>#DIV/0!</v>
      </c>
      <c r="E110" s="733">
        <f t="shared" ca="1" si="13"/>
        <v>0</v>
      </c>
      <c r="F110" s="733">
        <f t="shared" ca="1" si="13"/>
        <v>0</v>
      </c>
      <c r="G110" s="733">
        <f t="shared" ca="1" si="13"/>
        <v>0</v>
      </c>
      <c r="H110" s="733">
        <f t="shared" ca="1" si="13"/>
        <v>0</v>
      </c>
      <c r="I110" s="733">
        <f t="shared" si="13"/>
        <v>0</v>
      </c>
      <c r="J110" s="733">
        <f t="shared" si="13"/>
        <v>0</v>
      </c>
      <c r="K110" s="733">
        <f t="shared" si="13"/>
        <v>0</v>
      </c>
      <c r="L110" s="733">
        <f t="shared" ca="1" si="13"/>
        <v>0</v>
      </c>
      <c r="M110" s="733">
        <f t="shared" si="13"/>
        <v>0</v>
      </c>
      <c r="N110" s="733">
        <f t="shared" si="13"/>
        <v>0</v>
      </c>
      <c r="O110" s="733">
        <f t="shared" si="13"/>
        <v>0</v>
      </c>
      <c r="P110" s="733">
        <f t="shared" ca="1" si="13"/>
        <v>0</v>
      </c>
      <c r="Q110" s="733">
        <f t="shared" si="13"/>
        <v>0</v>
      </c>
      <c r="R110" s="733">
        <f t="shared" si="13"/>
        <v>0</v>
      </c>
      <c r="S110" s="733" t="e">
        <f t="shared" ref="S110:S112" ca="1" si="14">SUM(D110:R110)</f>
        <v>#DIV/0!</v>
      </c>
    </row>
    <row r="111" spans="1:79" s="680" customFormat="1" ht="16.5" customHeight="1" thickBot="1">
      <c r="B111" s="2235" t="s">
        <v>929</v>
      </c>
      <c r="C111" s="2235"/>
      <c r="D111" s="733" t="e">
        <f t="shared" ref="D111:R111" ca="1" si="15">D33*D$20</f>
        <v>#DIV/0!</v>
      </c>
      <c r="E111" s="733">
        <f t="shared" ca="1" si="15"/>
        <v>0</v>
      </c>
      <c r="F111" s="733">
        <f t="shared" ca="1" si="15"/>
        <v>0</v>
      </c>
      <c r="G111" s="733">
        <f t="shared" ca="1" si="15"/>
        <v>0</v>
      </c>
      <c r="H111" s="733">
        <f t="shared" ca="1" si="15"/>
        <v>0</v>
      </c>
      <c r="I111" s="733">
        <f t="shared" si="15"/>
        <v>0</v>
      </c>
      <c r="J111" s="733">
        <f t="shared" si="15"/>
        <v>0</v>
      </c>
      <c r="K111" s="733">
        <f t="shared" si="15"/>
        <v>0</v>
      </c>
      <c r="L111" s="733">
        <f t="shared" ca="1" si="15"/>
        <v>0</v>
      </c>
      <c r="M111" s="733">
        <f t="shared" si="15"/>
        <v>0</v>
      </c>
      <c r="N111" s="733">
        <f t="shared" si="15"/>
        <v>0</v>
      </c>
      <c r="O111" s="733">
        <f t="shared" si="15"/>
        <v>0</v>
      </c>
      <c r="P111" s="733">
        <f t="shared" ca="1" si="15"/>
        <v>0</v>
      </c>
      <c r="Q111" s="733">
        <f t="shared" si="15"/>
        <v>0</v>
      </c>
      <c r="R111" s="733">
        <f t="shared" si="15"/>
        <v>0</v>
      </c>
      <c r="S111" s="733" t="e">
        <f t="shared" ca="1" si="14"/>
        <v>#DIV/0!</v>
      </c>
    </row>
    <row r="112" spans="1:79" s="680" customFormat="1" ht="16.5" customHeight="1" thickBot="1">
      <c r="B112" s="2253" t="s">
        <v>1797</v>
      </c>
      <c r="C112" s="2253"/>
      <c r="D112" s="733" t="e">
        <f t="shared" ref="D112:R112" ca="1" si="16">D34*D$20</f>
        <v>#DIV/0!</v>
      </c>
      <c r="E112" s="733">
        <f t="shared" ca="1" si="16"/>
        <v>0</v>
      </c>
      <c r="F112" s="733">
        <f t="shared" ca="1" si="16"/>
        <v>0</v>
      </c>
      <c r="G112" s="733">
        <f t="shared" ca="1" si="16"/>
        <v>0</v>
      </c>
      <c r="H112" s="733">
        <f t="shared" ca="1" si="16"/>
        <v>0</v>
      </c>
      <c r="I112" s="733">
        <f t="shared" si="16"/>
        <v>0</v>
      </c>
      <c r="J112" s="733">
        <f t="shared" si="16"/>
        <v>0</v>
      </c>
      <c r="K112" s="733">
        <f t="shared" si="16"/>
        <v>0</v>
      </c>
      <c r="L112" s="733">
        <f t="shared" ca="1" si="16"/>
        <v>0</v>
      </c>
      <c r="M112" s="733">
        <f t="shared" ca="1" si="16"/>
        <v>0</v>
      </c>
      <c r="N112" s="733">
        <f t="shared" si="16"/>
        <v>0</v>
      </c>
      <c r="O112" s="733">
        <f t="shared" si="16"/>
        <v>0</v>
      </c>
      <c r="P112" s="733">
        <f t="shared" ca="1" si="16"/>
        <v>0</v>
      </c>
      <c r="Q112" s="733">
        <f t="shared" si="16"/>
        <v>0</v>
      </c>
      <c r="R112" s="733">
        <f t="shared" si="16"/>
        <v>0</v>
      </c>
      <c r="S112" s="734" t="e">
        <f t="shared" ca="1" si="14"/>
        <v>#DIV/0!</v>
      </c>
    </row>
    <row r="113" spans="1:21" s="680" customFormat="1" ht="16.5" customHeight="1" thickBot="1">
      <c r="B113" s="2235" t="s">
        <v>1798</v>
      </c>
      <c r="C113" s="2235"/>
      <c r="D113" s="733" t="e">
        <f t="shared" ref="D113:R113" ca="1" si="17">D35*D$20</f>
        <v>#DIV/0!</v>
      </c>
      <c r="E113" s="733">
        <f t="shared" ca="1" si="17"/>
        <v>0</v>
      </c>
      <c r="F113" s="733">
        <f t="shared" ca="1" si="17"/>
        <v>0</v>
      </c>
      <c r="G113" s="733">
        <f t="shared" ca="1" si="17"/>
        <v>0</v>
      </c>
      <c r="H113" s="733">
        <f t="shared" ca="1" si="17"/>
        <v>0</v>
      </c>
      <c r="I113" s="733">
        <f t="shared" si="17"/>
        <v>0</v>
      </c>
      <c r="J113" s="733">
        <f t="shared" si="17"/>
        <v>0</v>
      </c>
      <c r="K113" s="733">
        <f t="shared" si="17"/>
        <v>0</v>
      </c>
      <c r="L113" s="733">
        <f t="shared" ca="1" si="17"/>
        <v>0</v>
      </c>
      <c r="M113" s="733">
        <f t="shared" ca="1" si="17"/>
        <v>0</v>
      </c>
      <c r="N113" s="733">
        <f t="shared" si="17"/>
        <v>0</v>
      </c>
      <c r="O113" s="733">
        <f t="shared" si="17"/>
        <v>0</v>
      </c>
      <c r="P113" s="733">
        <f t="shared" ca="1" si="17"/>
        <v>0</v>
      </c>
      <c r="Q113" s="733">
        <f t="shared" ca="1" si="17"/>
        <v>0</v>
      </c>
      <c r="R113" s="733">
        <f t="shared" ca="1" si="17"/>
        <v>0</v>
      </c>
      <c r="S113" s="733" t="e">
        <f ca="1">SUM(D113:R113)</f>
        <v>#DIV/0!</v>
      </c>
      <c r="T113" s="661"/>
      <c r="U113" s="661"/>
    </row>
    <row r="114" spans="1:21" s="680" customFormat="1" ht="27" customHeight="1" thickBot="1">
      <c r="B114" s="2254" t="s">
        <v>815</v>
      </c>
      <c r="C114" s="2254"/>
      <c r="D114" s="2254"/>
      <c r="E114" s="2254"/>
      <c r="F114" s="2254"/>
      <c r="G114" s="2254"/>
      <c r="H114" s="2254"/>
      <c r="I114" s="2254"/>
      <c r="J114" s="2254"/>
      <c r="K114" s="2254"/>
      <c r="L114" s="2254"/>
      <c r="M114" s="2254"/>
      <c r="N114" s="2254"/>
      <c r="O114" s="2254"/>
      <c r="P114" s="2254"/>
      <c r="Q114" s="2254"/>
      <c r="R114" s="2254"/>
      <c r="S114" s="2254"/>
      <c r="T114" s="669"/>
      <c r="U114" s="669"/>
    </row>
    <row r="115" spans="1:21" s="680" customFormat="1" ht="18" customHeight="1" thickBot="1">
      <c r="B115" s="2235" t="s">
        <v>1799</v>
      </c>
      <c r="C115" s="2235"/>
      <c r="D115" s="733" t="e">
        <f t="shared" ref="D115:R115" ca="1" si="18">D37*D$20</f>
        <v>#DIV/0!</v>
      </c>
      <c r="E115" s="733">
        <f t="shared" si="18"/>
        <v>0</v>
      </c>
      <c r="F115" s="733">
        <f t="shared" ca="1" si="18"/>
        <v>0</v>
      </c>
      <c r="G115" s="733">
        <f t="shared" ca="1" si="18"/>
        <v>0</v>
      </c>
      <c r="H115" s="733">
        <f t="shared" si="18"/>
        <v>0</v>
      </c>
      <c r="I115" s="733">
        <f t="shared" ca="1" si="18"/>
        <v>0</v>
      </c>
      <c r="J115" s="733">
        <f t="shared" ca="1" si="18"/>
        <v>0</v>
      </c>
      <c r="K115" s="733">
        <f t="shared" si="18"/>
        <v>0</v>
      </c>
      <c r="L115" s="733">
        <f t="shared" si="18"/>
        <v>0</v>
      </c>
      <c r="M115" s="733">
        <f t="shared" si="18"/>
        <v>0</v>
      </c>
      <c r="N115" s="733">
        <f t="shared" si="18"/>
        <v>0</v>
      </c>
      <c r="O115" s="733">
        <f t="shared" ca="1" si="18"/>
        <v>0</v>
      </c>
      <c r="P115" s="733">
        <f t="shared" si="18"/>
        <v>0</v>
      </c>
      <c r="Q115" s="733">
        <f t="shared" si="18"/>
        <v>0</v>
      </c>
      <c r="R115" s="733">
        <f t="shared" si="18"/>
        <v>0</v>
      </c>
      <c r="S115" s="734" t="e">
        <f ca="1">SUM(D115:R115)</f>
        <v>#DIV/0!</v>
      </c>
      <c r="T115" s="661"/>
      <c r="U115" s="661"/>
    </row>
    <row r="116" spans="1:21" s="680" customFormat="1" ht="16.5" customHeight="1" thickBot="1">
      <c r="B116" s="2235" t="s">
        <v>1800</v>
      </c>
      <c r="C116" s="2235"/>
      <c r="D116" s="733" t="e">
        <f t="shared" ref="D116:R116" ca="1" si="19">D38*D$20</f>
        <v>#DIV/0!</v>
      </c>
      <c r="E116" s="733">
        <f t="shared" si="19"/>
        <v>0</v>
      </c>
      <c r="F116" s="733">
        <f t="shared" ca="1" si="19"/>
        <v>0</v>
      </c>
      <c r="G116" s="733">
        <f t="shared" ca="1" si="19"/>
        <v>0</v>
      </c>
      <c r="H116" s="733">
        <f t="shared" si="19"/>
        <v>0</v>
      </c>
      <c r="I116" s="733">
        <f t="shared" ca="1" si="19"/>
        <v>0</v>
      </c>
      <c r="J116" s="733">
        <f t="shared" ca="1" si="19"/>
        <v>0</v>
      </c>
      <c r="K116" s="733">
        <f t="shared" si="19"/>
        <v>0</v>
      </c>
      <c r="L116" s="733">
        <f t="shared" si="19"/>
        <v>0</v>
      </c>
      <c r="M116" s="733">
        <f t="shared" si="19"/>
        <v>0</v>
      </c>
      <c r="N116" s="733">
        <f t="shared" si="19"/>
        <v>0</v>
      </c>
      <c r="O116" s="733">
        <f t="shared" si="19"/>
        <v>0</v>
      </c>
      <c r="P116" s="733">
        <f t="shared" si="19"/>
        <v>0</v>
      </c>
      <c r="Q116" s="733">
        <f t="shared" si="19"/>
        <v>0</v>
      </c>
      <c r="R116" s="733">
        <f t="shared" si="19"/>
        <v>0</v>
      </c>
      <c r="S116" s="734" t="e">
        <f ca="1">SUM(D116:R116)</f>
        <v>#DIV/0!</v>
      </c>
      <c r="T116" s="661"/>
      <c r="U116" s="661"/>
    </row>
    <row r="117" spans="1:21" s="680" customFormat="1" ht="16.5" customHeight="1" thickBot="1">
      <c r="B117" s="2234" t="str">
        <f>"- Routes"</f>
        <v>- Routes</v>
      </c>
      <c r="C117" s="2234"/>
      <c r="D117" s="732" t="e">
        <f t="shared" ref="D117:R117" ca="1" si="20">D39*D$20</f>
        <v>#DIV/0!</v>
      </c>
      <c r="E117" s="732">
        <f t="shared" si="20"/>
        <v>0</v>
      </c>
      <c r="F117" s="732">
        <f t="shared" si="20"/>
        <v>0</v>
      </c>
      <c r="G117" s="732">
        <f t="shared" si="20"/>
        <v>0</v>
      </c>
      <c r="H117" s="732">
        <f t="shared" si="20"/>
        <v>0</v>
      </c>
      <c r="I117" s="732">
        <f t="shared" si="20"/>
        <v>0</v>
      </c>
      <c r="J117" s="732">
        <f t="shared" si="20"/>
        <v>0</v>
      </c>
      <c r="K117" s="732">
        <f t="shared" si="20"/>
        <v>0</v>
      </c>
      <c r="L117" s="732">
        <f t="shared" si="20"/>
        <v>0</v>
      </c>
      <c r="M117" s="732">
        <f t="shared" si="20"/>
        <v>0</v>
      </c>
      <c r="N117" s="732">
        <f t="shared" si="20"/>
        <v>0</v>
      </c>
      <c r="O117" s="732">
        <f t="shared" si="20"/>
        <v>0</v>
      </c>
      <c r="P117" s="732">
        <f t="shared" si="20"/>
        <v>0</v>
      </c>
      <c r="Q117" s="732">
        <f t="shared" si="20"/>
        <v>0</v>
      </c>
      <c r="R117" s="732">
        <f t="shared" si="20"/>
        <v>0</v>
      </c>
      <c r="S117" s="735"/>
      <c r="T117" s="661"/>
      <c r="U117" s="661"/>
    </row>
    <row r="118" spans="1:21" s="680" customFormat="1" ht="16.5" customHeight="1" thickBot="1">
      <c r="B118" s="2234" t="str">
        <f>"- Sur rail"</f>
        <v>- Sur rail</v>
      </c>
      <c r="C118" s="2234"/>
      <c r="D118" s="732" t="e">
        <f t="shared" ref="D118:R118" ca="1" si="21">D40*D$20</f>
        <v>#DIV/0!</v>
      </c>
      <c r="E118" s="732">
        <f t="shared" si="21"/>
        <v>0</v>
      </c>
      <c r="F118" s="732">
        <f t="shared" si="21"/>
        <v>0</v>
      </c>
      <c r="G118" s="732">
        <f t="shared" si="21"/>
        <v>0</v>
      </c>
      <c r="H118" s="732">
        <f t="shared" si="21"/>
        <v>0</v>
      </c>
      <c r="I118" s="732">
        <f t="shared" si="21"/>
        <v>0</v>
      </c>
      <c r="J118" s="732">
        <f t="shared" si="21"/>
        <v>0</v>
      </c>
      <c r="K118" s="732">
        <f t="shared" si="21"/>
        <v>0</v>
      </c>
      <c r="L118" s="732">
        <f t="shared" si="21"/>
        <v>0</v>
      </c>
      <c r="M118" s="732">
        <f t="shared" si="21"/>
        <v>0</v>
      </c>
      <c r="N118" s="732">
        <f t="shared" si="21"/>
        <v>0</v>
      </c>
      <c r="O118" s="732">
        <f t="shared" si="21"/>
        <v>0</v>
      </c>
      <c r="P118" s="732">
        <f t="shared" si="21"/>
        <v>0</v>
      </c>
      <c r="Q118" s="732">
        <f t="shared" si="21"/>
        <v>0</v>
      </c>
      <c r="R118" s="732">
        <f t="shared" si="21"/>
        <v>0</v>
      </c>
      <c r="S118" s="735"/>
      <c r="T118" s="661"/>
      <c r="U118" s="661"/>
    </row>
    <row r="119" spans="1:21" s="680" customFormat="1" ht="16.5" customHeight="1" thickBot="1">
      <c r="B119" s="2235" t="s">
        <v>1801</v>
      </c>
      <c r="C119" s="2235"/>
      <c r="D119" s="733" t="e">
        <f t="shared" ref="D119:R119" ca="1" si="22">D41*D$20</f>
        <v>#DIV/0!</v>
      </c>
      <c r="E119" s="733">
        <f t="shared" si="22"/>
        <v>0</v>
      </c>
      <c r="F119" s="733">
        <f t="shared" ca="1" si="22"/>
        <v>0</v>
      </c>
      <c r="G119" s="733">
        <f t="shared" ca="1" si="22"/>
        <v>0</v>
      </c>
      <c r="H119" s="733">
        <f t="shared" si="22"/>
        <v>0</v>
      </c>
      <c r="I119" s="733">
        <f t="shared" ca="1" si="22"/>
        <v>0</v>
      </c>
      <c r="J119" s="733">
        <f t="shared" ca="1" si="22"/>
        <v>0</v>
      </c>
      <c r="K119" s="733">
        <f t="shared" si="22"/>
        <v>0</v>
      </c>
      <c r="L119" s="733">
        <f t="shared" si="22"/>
        <v>0</v>
      </c>
      <c r="M119" s="733">
        <f t="shared" si="22"/>
        <v>0</v>
      </c>
      <c r="N119" s="733">
        <f t="shared" si="22"/>
        <v>0</v>
      </c>
      <c r="O119" s="733">
        <f t="shared" ca="1" si="22"/>
        <v>0</v>
      </c>
      <c r="P119" s="733">
        <f t="shared" si="22"/>
        <v>0</v>
      </c>
      <c r="Q119" s="733">
        <f t="shared" si="22"/>
        <v>0</v>
      </c>
      <c r="R119" s="733">
        <f t="shared" si="22"/>
        <v>0</v>
      </c>
      <c r="S119" s="734" t="e">
        <f ca="1">SUM(D119:R119)</f>
        <v>#DIV/0!</v>
      </c>
      <c r="T119" s="661"/>
      <c r="U119" s="661"/>
    </row>
    <row r="120" spans="1:21" s="680" customFormat="1" ht="16.5" customHeight="1" thickBot="1">
      <c r="B120" s="2235" t="s">
        <v>1798</v>
      </c>
      <c r="C120" s="2235"/>
      <c r="D120" s="733" t="e">
        <f t="shared" ref="D120:R120" ca="1" si="23">D42*D$20</f>
        <v>#DIV/0!</v>
      </c>
      <c r="E120" s="733">
        <f t="shared" si="23"/>
        <v>0</v>
      </c>
      <c r="F120" s="733">
        <f t="shared" ca="1" si="23"/>
        <v>0</v>
      </c>
      <c r="G120" s="733">
        <f t="shared" ca="1" si="23"/>
        <v>0</v>
      </c>
      <c r="H120" s="733">
        <f t="shared" si="23"/>
        <v>0</v>
      </c>
      <c r="I120" s="733">
        <f t="shared" ca="1" si="23"/>
        <v>0</v>
      </c>
      <c r="J120" s="733">
        <f t="shared" ca="1" si="23"/>
        <v>0</v>
      </c>
      <c r="K120" s="733">
        <f t="shared" si="23"/>
        <v>0</v>
      </c>
      <c r="L120" s="733">
        <f t="shared" si="23"/>
        <v>0</v>
      </c>
      <c r="M120" s="733">
        <f t="shared" si="23"/>
        <v>0</v>
      </c>
      <c r="N120" s="733">
        <f t="shared" si="23"/>
        <v>0</v>
      </c>
      <c r="O120" s="733">
        <f t="shared" ca="1" si="23"/>
        <v>0</v>
      </c>
      <c r="P120" s="733">
        <f t="shared" si="23"/>
        <v>0</v>
      </c>
      <c r="Q120" s="733">
        <f t="shared" si="23"/>
        <v>0</v>
      </c>
      <c r="R120" s="733">
        <f t="shared" si="23"/>
        <v>0</v>
      </c>
      <c r="S120" s="733" t="e">
        <f ca="1">SUM(D120:R120)</f>
        <v>#DIV/0!</v>
      </c>
      <c r="T120" s="661"/>
      <c r="U120" s="661"/>
    </row>
    <row r="121" spans="1:21" s="680" customFormat="1" ht="24.6" customHeight="1" thickBot="1">
      <c r="B121" s="2236" t="s">
        <v>1802</v>
      </c>
      <c r="C121" s="2237"/>
      <c r="D121" s="2238"/>
      <c r="E121" s="2238"/>
      <c r="F121" s="2238"/>
      <c r="G121" s="2238"/>
      <c r="H121" s="2238"/>
      <c r="I121" s="2238"/>
      <c r="J121" s="2238"/>
      <c r="K121" s="2238"/>
      <c r="L121" s="2238"/>
      <c r="M121" s="2238"/>
      <c r="N121" s="2238"/>
      <c r="O121" s="2238"/>
      <c r="P121" s="2238"/>
      <c r="Q121" s="2238"/>
      <c r="R121" s="2238"/>
      <c r="S121" s="2239"/>
      <c r="T121" s="661"/>
      <c r="U121" s="661"/>
    </row>
    <row r="122" spans="1:21" s="680" customFormat="1" ht="16.5" customHeight="1" thickBot="1">
      <c r="B122" s="2240" t="s">
        <v>1803</v>
      </c>
      <c r="C122" s="2241"/>
      <c r="D122" s="735" t="e">
        <f t="shared" ref="D122:R122" ca="1" si="24">D44*D$20</f>
        <v>#DIV/0!</v>
      </c>
      <c r="E122" s="735">
        <f t="shared" si="24"/>
        <v>0</v>
      </c>
      <c r="F122" s="735">
        <f t="shared" ca="1" si="24"/>
        <v>0</v>
      </c>
      <c r="G122" s="735">
        <f t="shared" si="24"/>
        <v>0</v>
      </c>
      <c r="H122" s="735">
        <f t="shared" ca="1" si="24"/>
        <v>0</v>
      </c>
      <c r="I122" s="735">
        <f t="shared" si="24"/>
        <v>0</v>
      </c>
      <c r="J122" s="735">
        <f t="shared" ca="1" si="24"/>
        <v>0</v>
      </c>
      <c r="K122" s="735">
        <f t="shared" si="24"/>
        <v>0</v>
      </c>
      <c r="L122" s="735">
        <f t="shared" si="24"/>
        <v>0</v>
      </c>
      <c r="M122" s="735">
        <f t="shared" si="24"/>
        <v>0</v>
      </c>
      <c r="N122" s="735">
        <f t="shared" si="24"/>
        <v>0</v>
      </c>
      <c r="O122" s="735">
        <f t="shared" ca="1" si="24"/>
        <v>0</v>
      </c>
      <c r="P122" s="735">
        <f t="shared" si="24"/>
        <v>0</v>
      </c>
      <c r="Q122" s="735">
        <f t="shared" si="24"/>
        <v>0</v>
      </c>
      <c r="R122" s="735">
        <f t="shared" si="24"/>
        <v>0</v>
      </c>
      <c r="S122" s="735" t="e">
        <f ca="1">SUM(D122:R122)</f>
        <v>#DIV/0!</v>
      </c>
      <c r="T122" s="661"/>
      <c r="U122" s="661"/>
    </row>
    <row r="123" spans="1:21" s="680" customFormat="1" ht="16.5" customHeight="1" thickBot="1">
      <c r="B123" s="2242" t="s">
        <v>107</v>
      </c>
      <c r="C123" s="2242"/>
      <c r="D123" s="737" t="e">
        <f ca="1">SUM(D113,D120,D122)</f>
        <v>#DIV/0!</v>
      </c>
      <c r="E123" s="737">
        <f t="shared" ref="E123:S123" ca="1" si="25">SUM(E113,E120,E122)</f>
        <v>0</v>
      </c>
      <c r="F123" s="737">
        <f t="shared" ca="1" si="25"/>
        <v>0</v>
      </c>
      <c r="G123" s="737">
        <f t="shared" ca="1" si="25"/>
        <v>0</v>
      </c>
      <c r="H123" s="737">
        <f t="shared" ca="1" si="25"/>
        <v>0</v>
      </c>
      <c r="I123" s="737">
        <f t="shared" ca="1" si="25"/>
        <v>0</v>
      </c>
      <c r="J123" s="737">
        <f t="shared" ca="1" si="25"/>
        <v>0</v>
      </c>
      <c r="K123" s="737">
        <f t="shared" si="25"/>
        <v>0</v>
      </c>
      <c r="L123" s="737">
        <f t="shared" ca="1" si="25"/>
        <v>0</v>
      </c>
      <c r="M123" s="737">
        <f t="shared" ca="1" si="25"/>
        <v>0</v>
      </c>
      <c r="N123" s="737">
        <f t="shared" si="25"/>
        <v>0</v>
      </c>
      <c r="O123" s="737">
        <f t="shared" ca="1" si="25"/>
        <v>0</v>
      </c>
      <c r="P123" s="737">
        <f t="shared" ca="1" si="25"/>
        <v>0</v>
      </c>
      <c r="Q123" s="737">
        <f t="shared" ca="1" si="25"/>
        <v>0</v>
      </c>
      <c r="R123" s="737">
        <f t="shared" ca="1" si="25"/>
        <v>0</v>
      </c>
      <c r="S123" s="737" t="e">
        <f t="shared" ca="1" si="25"/>
        <v>#DIV/0!</v>
      </c>
      <c r="T123" s="661"/>
      <c r="U123" s="661"/>
    </row>
    <row r="125" spans="1:21" s="686" customFormat="1" ht="24.75" customHeight="1">
      <c r="A125" s="662"/>
      <c r="B125" s="662"/>
      <c r="C125" s="662"/>
      <c r="D125" s="662"/>
      <c r="E125" s="662"/>
      <c r="F125" s="662"/>
      <c r="G125" s="662"/>
      <c r="H125" s="662"/>
      <c r="I125" s="662"/>
      <c r="J125" s="662"/>
      <c r="K125" s="662"/>
      <c r="L125" s="662"/>
      <c r="M125" s="662"/>
      <c r="N125" s="662"/>
      <c r="O125" s="662"/>
      <c r="P125" s="662"/>
      <c r="Q125" s="717"/>
      <c r="R125" s="718"/>
      <c r="S125" s="719"/>
      <c r="U125" s="720"/>
    </row>
  </sheetData>
  <sheetProtection algorithmName="SHA-512" hashValue="dcyp7oweDVkx5HfiliI6sB3Omk0hIWx2Kc1t+0YkDc7oQEgoVbmdiUFVShNWVl3slrpQ7M4SYD1VT/ISxldewg==" saltValue="R2iqYT7Ry/ftlTsxkAbgSA==" spinCount="100000" sheet="1" formatRows="0"/>
  <mergeCells count="105">
    <mergeCell ref="B16:C16"/>
    <mergeCell ref="I4:N4"/>
    <mergeCell ref="B23:C23"/>
    <mergeCell ref="B25:C27"/>
    <mergeCell ref="D25:S25"/>
    <mergeCell ref="D26:D27"/>
    <mergeCell ref="E26:E27"/>
    <mergeCell ref="F26:M26"/>
    <mergeCell ref="N26:R26"/>
    <mergeCell ref="C18:D18"/>
    <mergeCell ref="E18:E19"/>
    <mergeCell ref="F18:M18"/>
    <mergeCell ref="N18:R18"/>
    <mergeCell ref="B38:C38"/>
    <mergeCell ref="B41:C41"/>
    <mergeCell ref="B42:C42"/>
    <mergeCell ref="B44:C44"/>
    <mergeCell ref="B31:C31"/>
    <mergeCell ref="B35:C35"/>
    <mergeCell ref="B37:C37"/>
    <mergeCell ref="S26:S27"/>
    <mergeCell ref="B32:C32"/>
    <mergeCell ref="B30:C30"/>
    <mergeCell ref="B33:C33"/>
    <mergeCell ref="B28:S28"/>
    <mergeCell ref="B29:C29"/>
    <mergeCell ref="B34:C34"/>
    <mergeCell ref="B36:S36"/>
    <mergeCell ref="B39:C39"/>
    <mergeCell ref="B40:C40"/>
    <mergeCell ref="B43:S43"/>
    <mergeCell ref="B52:C52"/>
    <mergeCell ref="B53:C53"/>
    <mergeCell ref="B54:C54"/>
    <mergeCell ref="B58:C60"/>
    <mergeCell ref="D58:E59"/>
    <mergeCell ref="F58:O58"/>
    <mergeCell ref="B45:C45"/>
    <mergeCell ref="B49:C49"/>
    <mergeCell ref="B50:C50"/>
    <mergeCell ref="B51:C51"/>
    <mergeCell ref="B56:H56"/>
    <mergeCell ref="B47:M47"/>
    <mergeCell ref="B61:C61"/>
    <mergeCell ref="B62:C62"/>
    <mergeCell ref="B63:C63"/>
    <mergeCell ref="B67:C69"/>
    <mergeCell ref="D67:E68"/>
    <mergeCell ref="F67:O67"/>
    <mergeCell ref="P58:Q59"/>
    <mergeCell ref="F59:J59"/>
    <mergeCell ref="K59:K60"/>
    <mergeCell ref="L59:L60"/>
    <mergeCell ref="M59:M60"/>
    <mergeCell ref="N59:N60"/>
    <mergeCell ref="O59:O60"/>
    <mergeCell ref="B70:C70"/>
    <mergeCell ref="B71:C71"/>
    <mergeCell ref="B72:C72"/>
    <mergeCell ref="B73:C73"/>
    <mergeCell ref="C82:D82"/>
    <mergeCell ref="E82:E83"/>
    <mergeCell ref="P67:Q68"/>
    <mergeCell ref="F68:J68"/>
    <mergeCell ref="K68:K69"/>
    <mergeCell ref="L68:L69"/>
    <mergeCell ref="M68:M69"/>
    <mergeCell ref="N68:N69"/>
    <mergeCell ref="O68:O69"/>
    <mergeCell ref="F82:M82"/>
    <mergeCell ref="N82:R82"/>
    <mergeCell ref="B87:K87"/>
    <mergeCell ref="B91:C91"/>
    <mergeCell ref="B95:C95"/>
    <mergeCell ref="B116:C116"/>
    <mergeCell ref="B117:C117"/>
    <mergeCell ref="B96:C96"/>
    <mergeCell ref="B97:C97"/>
    <mergeCell ref="B115:C115"/>
    <mergeCell ref="B107:C107"/>
    <mergeCell ref="B108:C108"/>
    <mergeCell ref="B109:C109"/>
    <mergeCell ref="B110:C110"/>
    <mergeCell ref="B111:C111"/>
    <mergeCell ref="B112:C112"/>
    <mergeCell ref="B113:C113"/>
    <mergeCell ref="B114:S114"/>
    <mergeCell ref="B103:C105"/>
    <mergeCell ref="D103:S103"/>
    <mergeCell ref="D104:D105"/>
    <mergeCell ref="E104:E105"/>
    <mergeCell ref="F104:M104"/>
    <mergeCell ref="N104:R104"/>
    <mergeCell ref="S104:S105"/>
    <mergeCell ref="B118:C118"/>
    <mergeCell ref="B119:C119"/>
    <mergeCell ref="B120:C120"/>
    <mergeCell ref="B121:S121"/>
    <mergeCell ref="B122:C122"/>
    <mergeCell ref="B123:C123"/>
    <mergeCell ref="B106:S106"/>
    <mergeCell ref="B89:C89"/>
    <mergeCell ref="B90:C90"/>
    <mergeCell ref="B93:C93"/>
    <mergeCell ref="B94:C94"/>
  </mergeCells>
  <dataValidations xWindow="288" yWindow="722" count="18">
    <dataValidation allowBlank="1" showInputMessage="1" showErrorMessage="1" prompt="The table below will use the value inserted here to calculate your CO2 emissions. " sqref="D84 D20" xr:uid="{00000000-0002-0000-1300-000000000000}"/>
    <dataValidation allowBlank="1" showInputMessage="1" showErrorMessage="1" prompt="Tick the box corresponding to the emission reporting unit adopted for your emission inventory. " sqref="B13" xr:uid="{00000000-0002-0000-1300-000001000000}"/>
    <dataValidation allowBlank="1" showInputMessage="1" showErrorMessage="1" prompt="Emission factors are coefficients which quantify the emissions per unit of activity. Tick the box corresponding to your choice of emission factors." sqref="B9" xr:uid="{00000000-0002-0000-1300-000002000000}"/>
    <dataValidation allowBlank="1" showInputMessage="1" showErrorMessage="1" prompt="Same base year as indicated in the 'Strategy' part. " sqref="D3" xr:uid="{00000000-0002-0000-1300-000003000000}"/>
    <dataValidation allowBlank="1" showInputMessage="1" showErrorMessage="1" prompt="The base year is the reference year against which your target is compared to. If you have set more than one target in your action plan, it is highly recommended to keep the same base year." sqref="B3" xr:uid="{00000000-0002-0000-1300-000004000000}"/>
    <dataValidation allowBlank="1" showInputMessage="1" showErrorMessage="1" prompt="EFE - Emission factor adjusted for locally produced electricity and green electricity purchases. _x000a_This factor is used to calculate emissions when there is local electricity production." sqref="D83 D19" xr:uid="{00000000-0002-0000-1300-000005000000}"/>
    <dataValidation allowBlank="1" showInputMessage="1" showErrorMessage="1" prompt="NEEFE - Emission factor for not locally produced electricity. It refers to the energy mix used to produce electricity into the national or regional grid._x000a_This factor is used to calculate emissions when there is no local electricity production._x000a_" sqref="C83 C19" xr:uid="{00000000-0002-0000-1300-000006000000}"/>
    <dataValidation allowBlank="1" showInputMessage="1" showErrorMessage="1" prompt="Buildings and facilities owned by the local authority. Facilities refer to energy consuming entities that are not buildings, such as wastewater treatment plants." sqref="B30:C31 B108:C109" xr:uid="{00000000-0002-0000-1300-000007000000}"/>
    <dataValidation allowBlank="1" showInputMessage="1" showErrorMessage="1" prompt="Buildings that are primarily used as residential buildings. Social housing should be included in this sector." sqref="B33:C33 B111:C111" xr:uid="{00000000-0002-0000-1300-000009000000}"/>
    <dataValidation allowBlank="1" showInputMessage="1" showErrorMessage="1" prompt="Public lighting owned or operated by the local authority (e.g. street lighting and traffic lights). Non-municipal public lighting is included in the sector of “Tertiary buildings, equipment/facilities”." sqref="B31:C31 B109:C109" xr:uid="{00000000-0002-0000-1300-00000A000000}"/>
    <dataValidation allowBlank="1" showInputMessage="1" showErrorMessage="1" prompt="Vehicles owned and used by the local authority/administration." sqref="B37:C37 B115:C115" xr:uid="{00000000-0002-0000-1300-00000B000000}"/>
    <dataValidation allowBlank="1" showInputMessage="1" showErrorMessage="1" prompt="Bus, tramway, metro, urban rail transportation and local ferries used for passenger transport." sqref="B38:B40 C38 B116:B118 C116" xr:uid="{00000000-0002-0000-1300-00000C000000}"/>
    <dataValidation allowBlank="1" showInputMessage="1" showErrorMessage="1" prompt="Road, rail and boat transport in the territory of the local authority which refer to the transport of persons and goods not specified above (e.g. private passenger cars and freight transport)." sqref="B41:C41 B119:C119" xr:uid="{00000000-0002-0000-1300-00000D000000}"/>
    <dataValidation allowBlank="1" showInputMessage="1" showErrorMessage="1" prompt="Refers to manufacturing and construction industries." sqref="B34 B112" xr:uid="{00000000-0002-0000-1300-000010000000}"/>
    <dataValidation allowBlank="1" showInputMessage="1" showErrorMessage="1" prompt="Refers to emissions not related to energy, such as to CH4 and N2O emissions from wastewater treatment plants." sqref="B93:C93" xr:uid="{00000000-0002-0000-1300-000011000000}"/>
    <dataValidation allowBlank="1" showInputMessage="1" showErrorMessage="1" prompt="Refers to emissions not related to energy, such as CH4 from landfills." sqref="B90:B92 C90 C92 B96:B97 C96" xr:uid="{00000000-0002-0000-1300-000012000000}"/>
    <dataValidation allowBlank="1" showInputMessage="1" showErrorMessage="1" prompt="Buildings, facilities and machinery of the primary sector (agriculture, forestry, fisheries), for example greenhouses, livestock facilities, irrigation, farm machinery and fishing boats." sqref="B44:C44 B122:C122" xr:uid="{00000000-0002-0000-1300-000013000000}"/>
    <dataValidation allowBlank="1" showInputMessage="1" showErrorMessage="1" prompt="Refers to any other non-energy related sector. Negative numbers are allowed in this cell, in case you need to report emissions reduction achieved through e.g. green infrastructures." sqref="B94:C94" xr:uid="{00000000-0002-0000-1300-000016000000}"/>
  </dataValidations>
  <hyperlinks>
    <hyperlink ref="F81" location="EFs!A1" display="Click here to visualise fuel emission factors" xr:uid="{00000000-0004-0000-1300-000003000000}"/>
    <hyperlink ref="G81" location="EFs!A1" display="EFs!A1" xr:uid="{00000000-0004-0000-1300-000004000000}"/>
    <hyperlink ref="H81" location="EFs!A1" display="EFs!A1" xr:uid="{00000000-0004-0000-1300-000005000000}"/>
    <hyperlink ref="I81" location="EFs!A1" display="EFs!A1" xr:uid="{00000000-0004-0000-1300-000006000000}"/>
    <hyperlink ref="I17" location="EFs!A1" display="EFs!A1" xr:uid="{371DD810-B9FD-450F-98D0-0C51891A0582}"/>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12CAF-DD7D-4D02-8242-3543112B4F1F}">
  <sheetPr codeName="Feuil37">
    <tabColor theme="8" tint="0.79998168889431442"/>
  </sheetPr>
  <dimension ref="A1:CA125"/>
  <sheetViews>
    <sheetView showGridLines="0" zoomScale="80" zoomScaleNormal="80" workbookViewId="0">
      <pane ySplit="1" topLeftCell="A2" activePane="bottomLeft" state="frozen"/>
      <selection activeCell="D90" sqref="D90"/>
      <selection pane="bottomLeft" activeCell="D50" sqref="D50"/>
    </sheetView>
  </sheetViews>
  <sheetFormatPr baseColWidth="10" defaultColWidth="9.109375" defaultRowHeight="13.8" outlineLevelRow="5"/>
  <cols>
    <col min="1" max="1" width="3.44140625" style="661" customWidth="1"/>
    <col min="2" max="2" width="32.5546875" style="661" customWidth="1"/>
    <col min="3" max="3" width="18.44140625" style="661" customWidth="1"/>
    <col min="4" max="4" width="17.88671875" style="661" customWidth="1"/>
    <col min="5" max="5" width="15.44140625" style="661" customWidth="1"/>
    <col min="6" max="6" width="17.5546875" style="661" customWidth="1"/>
    <col min="7" max="7" width="11.44140625" style="661" customWidth="1"/>
    <col min="8" max="8" width="14.5546875" style="661" customWidth="1"/>
    <col min="9" max="9" width="9.5546875" style="661" customWidth="1"/>
    <col min="10" max="10" width="10.5546875" style="661" customWidth="1"/>
    <col min="11" max="11" width="8.5546875" style="661" customWidth="1"/>
    <col min="12" max="12" width="12.44140625" style="661" customWidth="1"/>
    <col min="13" max="13" width="14.5546875" style="661" customWidth="1"/>
    <col min="14" max="14" width="16.88671875" style="661" customWidth="1"/>
    <col min="15" max="15" width="12.109375" style="661" customWidth="1"/>
    <col min="16" max="16" width="11.44140625" style="661" customWidth="1"/>
    <col min="17" max="17" width="13.88671875" style="661" customWidth="1"/>
    <col min="18" max="18" width="15.5546875" style="661" customWidth="1"/>
    <col min="19" max="19" width="14.5546875" style="661" bestFit="1" customWidth="1"/>
    <col min="20" max="16384" width="9.109375" style="661"/>
  </cols>
  <sheetData>
    <row r="1" spans="1:79" ht="66" customHeight="1">
      <c r="A1" s="660"/>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0"/>
      <c r="BY1" s="660"/>
      <c r="BZ1" s="660"/>
      <c r="CA1" s="660"/>
    </row>
    <row r="2" spans="1:79" s="663" customFormat="1" ht="30.6" thickBot="1">
      <c r="A2" s="662"/>
      <c r="B2" s="655" t="s">
        <v>1760</v>
      </c>
      <c r="C2" s="662"/>
      <c r="D2" s="662"/>
      <c r="E2" s="662"/>
      <c r="F2" s="662"/>
      <c r="G2" s="662"/>
      <c r="H2" s="662"/>
      <c r="K2" s="662"/>
      <c r="L2" s="662"/>
      <c r="M2" s="662"/>
      <c r="N2" s="662"/>
      <c r="O2" s="662"/>
      <c r="P2" s="662"/>
      <c r="S2" s="662"/>
      <c r="T2" s="662"/>
    </row>
    <row r="3" spans="1:79" ht="14.4" thickBot="1">
      <c r="A3" s="664"/>
      <c r="B3" s="669" t="s">
        <v>1761</v>
      </c>
      <c r="D3" s="794">
        <f>Accueil!E29</f>
        <v>0</v>
      </c>
      <c r="K3" s="666"/>
      <c r="L3" s="666"/>
    </row>
    <row r="4" spans="1:79" ht="14.4" customHeight="1" thickBot="1">
      <c r="A4" s="664"/>
      <c r="B4" s="669"/>
      <c r="D4" s="667"/>
      <c r="E4" s="667"/>
      <c r="I4" s="2275" t="s">
        <v>1762</v>
      </c>
      <c r="J4" s="2276"/>
      <c r="K4" s="2276"/>
      <c r="L4" s="2277"/>
    </row>
    <row r="5" spans="1:79" ht="14.4" thickBot="1">
      <c r="A5" s="668"/>
      <c r="B5" s="669"/>
      <c r="D5" s="667"/>
      <c r="E5" s="667"/>
      <c r="K5" s="666"/>
      <c r="L5" s="666"/>
    </row>
    <row r="6" spans="1:79" ht="14.4" thickBot="1">
      <c r="A6" s="664"/>
      <c r="B6" s="669" t="s">
        <v>1763</v>
      </c>
      <c r="D6" s="795" t="e">
        <f ca="1">SUMIFS(INDIRECT("TabINPUT["&amp;D3&amp;"]"),TabINPUT[SECTEUR1],"Population")</f>
        <v>#REF!</v>
      </c>
      <c r="E6" s="667"/>
      <c r="K6" s="666"/>
      <c r="L6" s="666"/>
    </row>
    <row r="7" spans="1:79">
      <c r="B7" s="683"/>
      <c r="E7" s="667"/>
      <c r="K7" s="666"/>
      <c r="L7" s="666"/>
    </row>
    <row r="8" spans="1:79">
      <c r="A8" s="669"/>
      <c r="B8" s="721"/>
      <c r="D8" s="671"/>
      <c r="F8" s="670"/>
      <c r="G8" s="670"/>
      <c r="H8" s="670"/>
      <c r="I8" s="670"/>
      <c r="K8" s="666"/>
      <c r="L8" s="666"/>
    </row>
    <row r="9" spans="1:79">
      <c r="A9" s="664"/>
      <c r="B9" s="669" t="s">
        <v>1764</v>
      </c>
      <c r="D9" s="796"/>
      <c r="E9" s="797" t="s">
        <v>1765</v>
      </c>
      <c r="F9" s="798"/>
      <c r="G9" s="665"/>
      <c r="H9" s="666"/>
      <c r="I9" s="672"/>
      <c r="K9" s="666"/>
      <c r="L9" s="666"/>
    </row>
    <row r="10" spans="1:79">
      <c r="A10" s="669"/>
      <c r="B10" s="722"/>
      <c r="D10" s="796"/>
      <c r="E10" s="799" t="s">
        <v>1766</v>
      </c>
      <c r="F10" s="796"/>
      <c r="G10" s="665"/>
      <c r="H10" s="665"/>
      <c r="I10" s="665"/>
      <c r="J10" s="665"/>
      <c r="K10" s="665"/>
      <c r="L10" s="665"/>
      <c r="M10" s="665"/>
      <c r="N10" s="665"/>
      <c r="O10" s="665"/>
    </row>
    <row r="11" spans="1:79">
      <c r="A11" s="669"/>
      <c r="B11" s="722"/>
      <c r="D11" s="800" t="s">
        <v>1752</v>
      </c>
      <c r="E11" s="797" t="s">
        <v>1767</v>
      </c>
      <c r="F11" s="796"/>
      <c r="G11" s="665"/>
      <c r="H11" s="665"/>
      <c r="I11" s="665"/>
      <c r="J11" s="665"/>
      <c r="K11" s="665"/>
      <c r="L11" s="665"/>
      <c r="M11" s="665"/>
      <c r="N11" s="665"/>
      <c r="O11" s="665"/>
    </row>
    <row r="12" spans="1:79">
      <c r="A12" s="669"/>
      <c r="B12" s="675"/>
      <c r="E12" s="667"/>
      <c r="F12" s="665"/>
      <c r="G12" s="665"/>
      <c r="H12" s="665"/>
      <c r="I12" s="665"/>
      <c r="J12" s="665"/>
      <c r="K12" s="665"/>
      <c r="L12" s="665"/>
      <c r="M12" s="670"/>
      <c r="N12" s="670"/>
      <c r="O12" s="670"/>
      <c r="P12" s="670"/>
      <c r="Q12" s="670"/>
      <c r="R12" s="670"/>
    </row>
    <row r="13" spans="1:79" ht="16.2">
      <c r="A13" s="664"/>
      <c r="B13" s="669" t="s">
        <v>1768</v>
      </c>
      <c r="D13" s="796"/>
      <c r="E13" s="797" t="s">
        <v>1769</v>
      </c>
      <c r="F13" s="798"/>
      <c r="G13" s="676"/>
      <c r="H13" s="676"/>
      <c r="I13" s="676"/>
      <c r="J13" s="676"/>
      <c r="K13" s="676"/>
      <c r="L13" s="676"/>
      <c r="M13" s="670"/>
      <c r="N13" s="670"/>
      <c r="O13" s="670"/>
      <c r="P13" s="670"/>
      <c r="Q13" s="670"/>
      <c r="R13" s="670"/>
    </row>
    <row r="14" spans="1:79" ht="16.2">
      <c r="A14" s="669"/>
      <c r="B14" s="673"/>
      <c r="D14" s="800" t="s">
        <v>1752</v>
      </c>
      <c r="E14" s="801" t="s">
        <v>1770</v>
      </c>
      <c r="F14" s="796"/>
      <c r="G14" s="665"/>
      <c r="H14" s="665"/>
      <c r="I14" s="665"/>
      <c r="J14" s="665"/>
      <c r="K14" s="665"/>
      <c r="L14" s="665"/>
    </row>
    <row r="15" spans="1:79" ht="18" customHeight="1">
      <c r="A15" s="669"/>
      <c r="B15" s="673"/>
      <c r="H15" s="665"/>
      <c r="I15" s="665"/>
      <c r="J15" s="665"/>
      <c r="K15" s="665"/>
      <c r="L15" s="665"/>
    </row>
    <row r="16" spans="1:79" ht="18" customHeight="1">
      <c r="B16" s="2249" t="s">
        <v>1771</v>
      </c>
      <c r="C16" s="2249"/>
      <c r="D16" s="693"/>
      <c r="E16" s="693"/>
      <c r="F16" s="693"/>
      <c r="G16" s="693"/>
      <c r="H16" s="693"/>
      <c r="I16" s="693"/>
      <c r="J16" s="693"/>
      <c r="K16" s="693"/>
      <c r="L16" s="693"/>
      <c r="M16" s="693"/>
      <c r="N16" s="693"/>
      <c r="O16" s="693"/>
      <c r="P16" s="693"/>
      <c r="Q16" s="693"/>
      <c r="R16" s="693"/>
    </row>
    <row r="17" spans="1:19" ht="18" customHeight="1" thickBot="1">
      <c r="B17" s="693"/>
      <c r="C17" s="693"/>
      <c r="D17" s="693"/>
      <c r="E17" s="693"/>
      <c r="F17" s="693"/>
      <c r="G17" s="693"/>
      <c r="H17" s="693"/>
      <c r="I17" s="703"/>
      <c r="J17" s="704"/>
      <c r="K17" s="681"/>
      <c r="L17" s="693"/>
      <c r="M17" s="693"/>
      <c r="N17" s="693"/>
      <c r="O17" s="693"/>
      <c r="P17" s="693"/>
      <c r="Q17" s="693"/>
      <c r="R17" s="693"/>
    </row>
    <row r="18" spans="1:19" ht="18" customHeight="1" thickBot="1">
      <c r="B18" s="674"/>
      <c r="C18" s="2259" t="s">
        <v>93</v>
      </c>
      <c r="D18" s="2259"/>
      <c r="E18" s="2259" t="s">
        <v>1772</v>
      </c>
      <c r="F18" s="2259" t="s">
        <v>1773</v>
      </c>
      <c r="G18" s="2259"/>
      <c r="H18" s="2259"/>
      <c r="I18" s="2259"/>
      <c r="J18" s="2259"/>
      <c r="K18" s="2259"/>
      <c r="L18" s="2259"/>
      <c r="M18" s="2259"/>
      <c r="N18" s="2259" t="s">
        <v>912</v>
      </c>
      <c r="O18" s="2259"/>
      <c r="P18" s="2259"/>
      <c r="Q18" s="2259"/>
      <c r="R18" s="2259"/>
    </row>
    <row r="19" spans="1:19" ht="41.4" customHeight="1" thickBot="1">
      <c r="C19" s="725" t="s">
        <v>1774</v>
      </c>
      <c r="D19" s="726" t="s">
        <v>1775</v>
      </c>
      <c r="E19" s="2260"/>
      <c r="F19" s="726" t="s">
        <v>98</v>
      </c>
      <c r="G19" s="726" t="s">
        <v>232</v>
      </c>
      <c r="H19" s="726" t="s">
        <v>1776</v>
      </c>
      <c r="I19" s="726" t="s">
        <v>143</v>
      </c>
      <c r="J19" s="726" t="s">
        <v>94</v>
      </c>
      <c r="K19" s="726" t="s">
        <v>1777</v>
      </c>
      <c r="L19" s="726" t="s">
        <v>152</v>
      </c>
      <c r="M19" s="726" t="s">
        <v>1778</v>
      </c>
      <c r="N19" s="726" t="s">
        <v>1779</v>
      </c>
      <c r="O19" s="726" t="s">
        <v>1780</v>
      </c>
      <c r="P19" s="726" t="s">
        <v>1781</v>
      </c>
      <c r="Q19" s="726" t="s">
        <v>1782</v>
      </c>
      <c r="R19" s="726" t="s">
        <v>1783</v>
      </c>
    </row>
    <row r="20" spans="1:19" ht="18" customHeight="1" thickBot="1">
      <c r="C20" s="705" t="e">
        <f>C84</f>
        <v>#N/A</v>
      </c>
      <c r="D20" s="706" t="e">
        <f t="shared" ref="D20:R20" ca="1" si="0">D84</f>
        <v>#REF!</v>
      </c>
      <c r="E20" s="706">
        <f t="shared" si="0"/>
        <v>0</v>
      </c>
      <c r="F20" s="706">
        <f t="shared" si="0"/>
        <v>0.2026798378561297</v>
      </c>
      <c r="G20" s="707">
        <f t="shared" si="0"/>
        <v>0.23723981020815182</v>
      </c>
      <c r="H20" s="707">
        <f t="shared" si="0"/>
        <v>0.26819978544017159</v>
      </c>
      <c r="I20" s="706">
        <f t="shared" si="0"/>
        <v>0.26819978544017159</v>
      </c>
      <c r="J20" s="706">
        <f t="shared" si="0"/>
        <v>0.26135979091216727</v>
      </c>
      <c r="K20" s="706">
        <f t="shared" si="0"/>
        <v>0.36610920000000002</v>
      </c>
      <c r="L20" s="706">
        <f t="shared" si="0"/>
        <v>0.34307972553621952</v>
      </c>
      <c r="M20" s="706">
        <f t="shared" si="0"/>
        <v>0.26542368</v>
      </c>
      <c r="N20" s="706">
        <f t="shared" si="0"/>
        <v>1.5436799999999997E-3</v>
      </c>
      <c r="O20" s="706">
        <f t="shared" si="0"/>
        <v>0</v>
      </c>
      <c r="P20" s="706">
        <f t="shared" si="0"/>
        <v>3.1319974944020043E-2</v>
      </c>
      <c r="Q20" s="706">
        <f t="shared" si="0"/>
        <v>0</v>
      </c>
      <c r="R20" s="708">
        <f t="shared" si="0"/>
        <v>0</v>
      </c>
    </row>
    <row r="21" spans="1:19" ht="18" customHeight="1">
      <c r="A21" s="669"/>
      <c r="B21" s="677"/>
      <c r="D21" s="727"/>
      <c r="E21" s="727"/>
      <c r="F21" s="727"/>
      <c r="G21" s="728">
        <f>'Données territoriales'!E39</f>
        <v>0</v>
      </c>
      <c r="H21" s="728"/>
      <c r="I21" s="728"/>
      <c r="J21" s="728"/>
      <c r="K21" s="728"/>
      <c r="L21" s="728"/>
      <c r="M21" s="727"/>
      <c r="N21" s="727"/>
      <c r="O21" s="727"/>
      <c r="P21" s="727"/>
      <c r="Q21" s="727"/>
      <c r="R21" s="727"/>
    </row>
    <row r="22" spans="1:19" s="665" customFormat="1" ht="18" customHeight="1">
      <c r="D22" s="728"/>
      <c r="E22" s="728"/>
      <c r="F22" s="728"/>
      <c r="G22" s="729" t="s">
        <v>1784</v>
      </c>
      <c r="H22" s="728"/>
      <c r="I22" s="728"/>
      <c r="J22" s="730"/>
      <c r="K22" s="730"/>
      <c r="L22" s="728"/>
      <c r="M22" s="728"/>
      <c r="N22" s="728"/>
      <c r="O22" s="728"/>
      <c r="P22" s="728" t="s">
        <v>189</v>
      </c>
      <c r="Q22" s="728"/>
      <c r="R22" s="728"/>
    </row>
    <row r="23" spans="1:19" s="665" customFormat="1" ht="18" customHeight="1">
      <c r="B23" s="2249" t="s">
        <v>1785</v>
      </c>
      <c r="C23" s="2249"/>
      <c r="D23" s="728"/>
      <c r="E23" s="728"/>
      <c r="F23" s="728"/>
      <c r="G23" s="728" t="s">
        <v>1786</v>
      </c>
      <c r="H23" s="728" t="s">
        <v>1787</v>
      </c>
      <c r="I23" s="728" t="s">
        <v>144</v>
      </c>
      <c r="J23" s="730"/>
      <c r="K23" s="730"/>
      <c r="L23" s="728" t="s">
        <v>1788</v>
      </c>
      <c r="M23" s="728" t="s">
        <v>1789</v>
      </c>
      <c r="N23" s="728"/>
      <c r="O23" s="728" t="s">
        <v>1790</v>
      </c>
      <c r="P23" s="728" t="s">
        <v>157</v>
      </c>
      <c r="Q23" s="728"/>
      <c r="R23" s="728"/>
    </row>
    <row r="24" spans="1:19" ht="18" customHeight="1" thickBot="1">
      <c r="B24" s="678"/>
      <c r="D24" s="727" t="s">
        <v>93</v>
      </c>
      <c r="E24" s="728" t="s">
        <v>156</v>
      </c>
      <c r="F24" s="728" t="s">
        <v>98</v>
      </c>
      <c r="G24" s="727" t="s">
        <v>151</v>
      </c>
      <c r="H24" s="727" t="s">
        <v>150</v>
      </c>
      <c r="I24" s="727" t="s">
        <v>143</v>
      </c>
      <c r="J24" s="727" t="s">
        <v>94</v>
      </c>
      <c r="K24" s="727"/>
      <c r="L24" s="727" t="s">
        <v>152</v>
      </c>
      <c r="M24" s="727" t="s">
        <v>1791</v>
      </c>
      <c r="N24" s="727" t="s">
        <v>219</v>
      </c>
      <c r="O24" s="727" t="s">
        <v>145</v>
      </c>
      <c r="P24" s="727" t="s">
        <v>153</v>
      </c>
      <c r="Q24" s="727" t="s">
        <v>154</v>
      </c>
      <c r="R24" s="727" t="s">
        <v>155</v>
      </c>
    </row>
    <row r="25" spans="1:19" s="679" customFormat="1" ht="17.25" customHeight="1" thickBot="1">
      <c r="B25" s="2255" t="s">
        <v>103</v>
      </c>
      <c r="C25" s="2256"/>
      <c r="D25" s="2255" t="s">
        <v>1792</v>
      </c>
      <c r="E25" s="2255"/>
      <c r="F25" s="2255"/>
      <c r="G25" s="2255"/>
      <c r="H25" s="2255"/>
      <c r="I25" s="2255"/>
      <c r="J25" s="2255"/>
      <c r="K25" s="2255"/>
      <c r="L25" s="2255"/>
      <c r="M25" s="2255"/>
      <c r="N25" s="2255"/>
      <c r="O25" s="2255"/>
      <c r="P25" s="2255"/>
      <c r="Q25" s="2255"/>
      <c r="R25" s="2255"/>
      <c r="S25" s="2255"/>
    </row>
    <row r="26" spans="1:19" s="680" customFormat="1" ht="13.5" customHeight="1" thickBot="1">
      <c r="B26" s="2255"/>
      <c r="C26" s="2256"/>
      <c r="D26" s="2259" t="s">
        <v>93</v>
      </c>
      <c r="E26" s="2259" t="s">
        <v>1772</v>
      </c>
      <c r="F26" s="2259" t="s">
        <v>1793</v>
      </c>
      <c r="G26" s="2259"/>
      <c r="H26" s="2259"/>
      <c r="I26" s="2259"/>
      <c r="J26" s="2259"/>
      <c r="K26" s="2259"/>
      <c r="L26" s="2259"/>
      <c r="M26" s="2259"/>
      <c r="N26" s="2259" t="s">
        <v>912</v>
      </c>
      <c r="O26" s="2259"/>
      <c r="P26" s="2259"/>
      <c r="Q26" s="2259"/>
      <c r="R26" s="2259"/>
      <c r="S26" s="2255" t="s">
        <v>107</v>
      </c>
    </row>
    <row r="27" spans="1:19" s="680" customFormat="1" ht="52.5" customHeight="1" thickBot="1">
      <c r="B27" s="2255"/>
      <c r="C27" s="2256"/>
      <c r="D27" s="2259"/>
      <c r="E27" s="2259"/>
      <c r="F27" s="724" t="s">
        <v>98</v>
      </c>
      <c r="G27" s="724" t="s">
        <v>232</v>
      </c>
      <c r="H27" s="724" t="s">
        <v>1776</v>
      </c>
      <c r="I27" s="724" t="s">
        <v>143</v>
      </c>
      <c r="J27" s="724" t="s">
        <v>94</v>
      </c>
      <c r="K27" s="724" t="s">
        <v>1777</v>
      </c>
      <c r="L27" s="724" t="s">
        <v>152</v>
      </c>
      <c r="M27" s="724" t="s">
        <v>1778</v>
      </c>
      <c r="N27" s="724" t="s">
        <v>1779</v>
      </c>
      <c r="O27" s="724" t="s">
        <v>1780</v>
      </c>
      <c r="P27" s="724" t="s">
        <v>1781</v>
      </c>
      <c r="Q27" s="724" t="s">
        <v>1782</v>
      </c>
      <c r="R27" s="724" t="s">
        <v>1783</v>
      </c>
      <c r="S27" s="2255"/>
    </row>
    <row r="28" spans="1:19" s="680" customFormat="1" ht="26.4" customHeight="1" thickBot="1">
      <c r="B28" s="2243" t="s">
        <v>1794</v>
      </c>
      <c r="C28" s="2244"/>
      <c r="D28" s="2244"/>
      <c r="E28" s="2244"/>
      <c r="F28" s="2244"/>
      <c r="G28" s="2244"/>
      <c r="H28" s="2244"/>
      <c r="I28" s="2244"/>
      <c r="J28" s="2244"/>
      <c r="K28" s="2244"/>
      <c r="L28" s="2244"/>
      <c r="M28" s="2244"/>
      <c r="N28" s="2244"/>
      <c r="O28" s="2244"/>
      <c r="P28" s="2244"/>
      <c r="Q28" s="2244"/>
      <c r="R28" s="2244"/>
      <c r="S28" s="2245"/>
    </row>
    <row r="29" spans="1:19" s="680" customFormat="1" ht="26.4" customHeight="1" thickBot="1">
      <c r="B29" s="2252" t="s">
        <v>1795</v>
      </c>
      <c r="C29" s="2268"/>
      <c r="D29" s="751">
        <f ca="1">SUM(D30:D31)</f>
        <v>0</v>
      </c>
      <c r="E29" s="752">
        <f t="shared" ref="E29:S29" ca="1" si="1">SUM(E30:E31)</f>
        <v>0</v>
      </c>
      <c r="F29" s="752">
        <f t="shared" ca="1" si="1"/>
        <v>0</v>
      </c>
      <c r="G29" s="752">
        <f t="shared" ca="1" si="1"/>
        <v>0</v>
      </c>
      <c r="H29" s="752">
        <f t="shared" ca="1" si="1"/>
        <v>0</v>
      </c>
      <c r="I29" s="752">
        <f t="shared" si="1"/>
        <v>0</v>
      </c>
      <c r="J29" s="752">
        <f t="shared" si="1"/>
        <v>0</v>
      </c>
      <c r="K29" s="752">
        <f t="shared" si="1"/>
        <v>0</v>
      </c>
      <c r="L29" s="752">
        <f t="shared" ca="1" si="1"/>
        <v>0</v>
      </c>
      <c r="M29" s="752">
        <f t="shared" si="1"/>
        <v>0</v>
      </c>
      <c r="N29" s="752">
        <f t="shared" si="1"/>
        <v>0</v>
      </c>
      <c r="O29" s="752">
        <f t="shared" si="1"/>
        <v>0</v>
      </c>
      <c r="P29" s="752">
        <f t="shared" ca="1" si="1"/>
        <v>0</v>
      </c>
      <c r="Q29" s="752">
        <f t="shared" ca="1" si="1"/>
        <v>0</v>
      </c>
      <c r="R29" s="752">
        <f t="shared" ca="1" si="1"/>
        <v>0</v>
      </c>
      <c r="S29" s="753">
        <f t="shared" ca="1" si="1"/>
        <v>0</v>
      </c>
    </row>
    <row r="30" spans="1:19" s="680" customFormat="1" ht="16.5" customHeight="1" thickBot="1">
      <c r="B30" s="2240" t="str">
        <f>"- Bâtiments, équipements/installations municipaux"</f>
        <v>- Bâtiments, équipements/installations municipaux</v>
      </c>
      <c r="C30" s="2241"/>
      <c r="D30" s="746">
        <f ca="1">IFERROR(SUMIFS(INDIRECT("TabINPUT["&amp;$D$3&amp;"]"),TabINPUT[SECTEUR1],"PATRIMOINE",TabINPUT[VECTEUR],D$24)/1000,0)-D37-D31</f>
        <v>0</v>
      </c>
      <c r="E30" s="732">
        <f ca="1">IFERROR(SUMIFS(INDIRECT("TabINPUT["&amp;$D$3&amp;"]"),TabINPUT[SECTEUR1],"PATRIMOINE",TabINPUT[VECTEUR],E$24)/1000,0)</f>
        <v>0</v>
      </c>
      <c r="F30" s="732">
        <f ca="1">IFERROR(SUMIFS(INDIRECT("TabINPUT["&amp;$D$3&amp;"]"),TabINPUT[SECTEUR1],"PATRIMOINE",TabINPUT[VECTEUR],F$24)/1000,0)-F37</f>
        <v>0</v>
      </c>
      <c r="G30" s="732">
        <f ca="1">IFERROR(SUMIFS(INDIRECT("TabINPUT["&amp;$D$3&amp;"]"),TabINPUT[SECTEUR1],"PATRIMOINE",TabINPUT[VECTEUR],G$24)/1000,0)</f>
        <v>0</v>
      </c>
      <c r="H30" s="732">
        <f ca="1">IFERROR(SUMIFS(INDIRECT("TabINPUT["&amp;$D$3&amp;"]"),TabINPUT[SECTEUR1],"PATRIMOINE",TabINPUT[VECTEUR],H$24)/1000,0)</f>
        <v>0</v>
      </c>
      <c r="I30" s="732"/>
      <c r="J30" s="732"/>
      <c r="K30" s="732"/>
      <c r="L30" s="732">
        <f ca="1">IFERROR(SUMIFS(INDIRECT("TabINPUT["&amp;$D$3&amp;"]"),TabINPUT[SECTEUR1],"PATRIMOINE",TabINPUT[VECTEUR],L$24)/1000,0)</f>
        <v>0</v>
      </c>
      <c r="M30" s="732"/>
      <c r="N30" s="732"/>
      <c r="O30" s="732"/>
      <c r="P30" s="732">
        <f ca="1">IFERROR(SUMIFS(INDIRECT("TabINPUT["&amp;$D$3&amp;"]"),TabINPUT[SECTEUR1],"PATRIMOINE",TabINPUT[VECTEUR],P$24)/1000,0)</f>
        <v>0</v>
      </c>
      <c r="Q30" s="732">
        <f ca="1">IFERROR(SUMIFS(INDIRECT("TabINPUT["&amp;$D$3&amp;"]"),TabINPUT[SECTEUR1],"PATRIMOINE",TabINPUT[VECTEUR],Q$24)/1000,0)</f>
        <v>0</v>
      </c>
      <c r="R30" s="732">
        <f ca="1">IFERROR(SUMIFS(INDIRECT("TabINPUT["&amp;$D$3&amp;"]"),TabINPUT[SECTEUR1],"PATRIMOINE",TabINPUT[VECTEUR],R$24)/1000,0)</f>
        <v>0</v>
      </c>
      <c r="S30" s="754">
        <f t="shared" ref="S30:S34" ca="1" si="2">SUM(D30:R30)</f>
        <v>0</v>
      </c>
    </row>
    <row r="31" spans="1:19" s="680" customFormat="1" ht="16.5" customHeight="1" thickBot="1">
      <c r="B31" s="2240" t="str">
        <f>"-Eclairage public"</f>
        <v>-Eclairage public</v>
      </c>
      <c r="C31" s="2241"/>
      <c r="D31" s="746">
        <f ca="1">'Bilan patrimonial'!B11/1000</f>
        <v>0</v>
      </c>
      <c r="E31" s="732"/>
      <c r="F31" s="732"/>
      <c r="G31" s="732"/>
      <c r="H31" s="732"/>
      <c r="I31" s="732"/>
      <c r="J31" s="732"/>
      <c r="K31" s="732"/>
      <c r="L31" s="732"/>
      <c r="M31" s="732"/>
      <c r="N31" s="732"/>
      <c r="O31" s="732"/>
      <c r="P31" s="732"/>
      <c r="Q31" s="732"/>
      <c r="R31" s="732"/>
      <c r="S31" s="754">
        <f ca="1">SUM(D31:R31)</f>
        <v>0</v>
      </c>
    </row>
    <row r="32" spans="1:19" s="680" customFormat="1" ht="28.35" customHeight="1" thickBot="1">
      <c r="B32" s="2252" t="s">
        <v>1796</v>
      </c>
      <c r="C32" s="2268"/>
      <c r="D32" s="744" t="e">
        <f ca="1">'Bilan territorial'!I14*1000</f>
        <v>#REF!</v>
      </c>
      <c r="E32" s="733">
        <f ca="1">IFERROR(SUMIFS(INDIRECT("TabINPUT["&amp;$D$3&amp;"]"),TabINPUT[SECTEUR1],"TERTIAIRE",TabINPUT[VECTEUR],E$24)*1000,0)-E30</f>
        <v>0</v>
      </c>
      <c r="F32" s="733">
        <f ca="1">IF(IFERROR(SUMIFS(INDIRECT("TabINPUT["&amp;$D$3&amp;"]"),TabINPUT[SECTEUR1],"TERTIAIRE",TabINPUT[VECTEUR],F$24)*1000,0)-F30&lt;0,0,IFERROR(SUMIFS(INDIRECT("TabINPUT["&amp;$D$3&amp;"]"),TabINPUT[SECTEUR1],"TERTIAIRE",TabINPUT[VECTEUR],F$24)*1000,0)-F30)</f>
        <v>0</v>
      </c>
      <c r="G32" s="733">
        <f ca="1">IF(IFERROR(SUMIFS(INDIRECT("TabINPUT["&amp;$D$3&amp;"]"),TabINPUT[SECTEUR1],"TERTIAIRE",TabINPUT[VECTEUR],G$21)*1000,0)-G30&lt;0,0,IFERROR(SUMIFS(INDIRECT("TabINPUT["&amp;$D$3&amp;"]"),TabINPUT[SECTEUR1],"TERTIAIRE",TabINPUT[VECTEUR],G$21)*1000,0)-G30)</f>
        <v>0</v>
      </c>
      <c r="H32" s="733">
        <f ca="1">IFERROR(SUMIFS(INDIRECT("TabINPUT["&amp;$D$3&amp;"]"),TabINPUT[SECTEUR1],"TERTIAIRE",TabINPUT[VECTEUR],H$23)*1000,0)-H30</f>
        <v>0</v>
      </c>
      <c r="I32" s="733"/>
      <c r="J32" s="733"/>
      <c r="K32" s="733"/>
      <c r="L32" s="733">
        <f ca="1">IFERROR(SUMIFS(INDIRECT("TabINPUT["&amp;$D$3&amp;"]"),TabINPUT[SECTEUR1],"TERTIAIRE",TabINPUT[VECTEUR],L$23)*1000,0)-L30</f>
        <v>0</v>
      </c>
      <c r="M32" s="733"/>
      <c r="N32" s="733"/>
      <c r="O32" s="733">
        <v>0</v>
      </c>
      <c r="P32" s="733">
        <f ca="1">IF(IFERROR(SUMIFS(INDIRECT("TabINPUT["&amp;$D$3&amp;"]"),TabINPUT[SECTEUR1],"TERTIAIRE",TabINPUT[VECTEUR],P$23)*1000,0)-P30&lt;0,0,IFERROR(SUMIFS(INDIRECT("TabINPUT["&amp;$D$3&amp;"]"),TabINPUT[SECTEUR1],"TERTIAIRE",TabINPUT[VECTEUR],P$23)*1000,0)-P30)</f>
        <v>0</v>
      </c>
      <c r="Q32" s="733">
        <v>0</v>
      </c>
      <c r="R32" s="733">
        <v>0</v>
      </c>
      <c r="S32" s="755" t="e">
        <f t="shared" ca="1" si="2"/>
        <v>#REF!</v>
      </c>
    </row>
    <row r="33" spans="1:21" s="680" customFormat="1" ht="16.5" customHeight="1" thickBot="1">
      <c r="B33" s="2235" t="s">
        <v>929</v>
      </c>
      <c r="C33" s="2266"/>
      <c r="D33" s="744" t="e">
        <f ca="1">1000*'Bilan territorial'!I15</f>
        <v>#REF!</v>
      </c>
      <c r="E33" s="733">
        <f ca="1">IFERROR(SUMIFS(INDIRECT("TabINPUT["&amp;$D$3&amp;"]"),TabINPUT[SECTEUR1],"LOGEMENT",TabINPUT[VECTEUR],E$24)*1000,0)</f>
        <v>0</v>
      </c>
      <c r="F33" s="733">
        <f ca="1">IFERROR(SUMIFS(INDIRECT("TabINPUT["&amp;$D$3&amp;"]"),TabINPUT[SECTEUR1],"LOGEMENT",TabINPUT[VECTEUR],F$24)*1000,0)</f>
        <v>0</v>
      </c>
      <c r="G33" s="733">
        <f ca="1">IFERROR(SUMIFS(INDIRECT("TabINPUT["&amp;$D$3&amp;"]"),TabINPUT[SECTEUR1],"LOGEMENT",TabINPUT[VECTEUR],G$22)*1000,0)</f>
        <v>0</v>
      </c>
      <c r="H33" s="733">
        <f ca="1">IFERROR(SUMIFS(INDIRECT("TabINPUT["&amp;$D$3&amp;"]"),TabINPUT[SECTEUR1],"LOGEMENT",TabINPUT[VECTEUR],H$24)*1000,0)</f>
        <v>0</v>
      </c>
      <c r="I33" s="733"/>
      <c r="J33" s="733"/>
      <c r="K33" s="733"/>
      <c r="L33" s="733">
        <f ca="1">IFERROR(SUMIFS(INDIRECT("TabINPUT["&amp;$D$3&amp;"]"),TabINPUT[SECTEUR1],"LOGEMENT",TabINPUT[VECTEUR],L$24)*1000,0)</f>
        <v>0</v>
      </c>
      <c r="M33" s="733"/>
      <c r="N33" s="733"/>
      <c r="O33" s="733">
        <v>0</v>
      </c>
      <c r="P33" s="733">
        <f ca="1">IFERROR(SUMIFS(INDIRECT("TabINPUT["&amp;$D$3&amp;"]"),TabINPUT[SECTEUR1],"LOGEMENT",TabINPUT[VECTEUR],P$22)*1000,0)</f>
        <v>0</v>
      </c>
      <c r="Q33" s="733">
        <v>0</v>
      </c>
      <c r="R33" s="733">
        <v>0</v>
      </c>
      <c r="S33" s="755" t="e">
        <f t="shared" ca="1" si="2"/>
        <v>#REF!</v>
      </c>
    </row>
    <row r="34" spans="1:21" s="680" customFormat="1" ht="16.5" customHeight="1" thickBot="1">
      <c r="B34" s="2253" t="s">
        <v>1797</v>
      </c>
      <c r="C34" s="2269"/>
      <c r="D34" s="744" t="e">
        <f ca="1">'Bilan territorial'!I11*1000</f>
        <v>#REF!</v>
      </c>
      <c r="E34" s="733">
        <f ca="1">IFERROR(SUMIFS(INDIRECT("TabINPUT["&amp;$D$3&amp;"]"),TabINPUT[SECTEUR1],"Industrie non-ETS",TabINPUT[VECTEUR],E$24)*1000,0)</f>
        <v>0</v>
      </c>
      <c r="F34" s="733">
        <f ca="1">IFERROR(SUMIFS(INDIRECT("TabINPUT["&amp;$D$3&amp;"]"),TabINPUT[SECTEUR1],"Industrie non-ETS",TabINPUT[VECTEUR],F$24)*1000,0)</f>
        <v>0</v>
      </c>
      <c r="G34" s="733">
        <f ca="1">IFERROR(SUMIFS(INDIRECT("TabINPUT["&amp;$D$3&amp;"]"),TabINPUT[SECTEUR1],"Industrie non-ETS",TabINPUT[VECTEUR],G$23)*1000,0)</f>
        <v>0</v>
      </c>
      <c r="H34" s="733">
        <f ca="1">IFERROR(SUMIFS(INDIRECT("TabINPUT["&amp;$D$3&amp;"]"),TabINPUT[SECTEUR1],"Industrie non-ETS",TabINPUT[VECTEUR],H$23)*1000,0)</f>
        <v>0</v>
      </c>
      <c r="I34" s="733"/>
      <c r="J34" s="733"/>
      <c r="K34" s="733"/>
      <c r="L34" s="733">
        <f ca="1">IFERROR(SUMIFS(INDIRECT("TabINPUT["&amp;$D$3&amp;"]"),TabINPUT[SECTEUR1],"Industrie non-ETS",TabINPUT[VECTEUR],L$23)*1000,0)</f>
        <v>0</v>
      </c>
      <c r="M34" s="733">
        <f ca="1">IFERROR(SUMIFS(INDIRECT("TabINPUT["&amp;$D$3&amp;"]"),TabINPUT[SECTEUR1],"Industrie non-ETS",TabINPUT[VECTEUR],M$24)*1000,0)+IFERROR(SUMIFS(INDIRECT("TabINPUT["&amp;$D$3&amp;"]"),TabINPUT[SECTEUR1],"Industrie non-ETS",TabINPUT[VECTEUR],M$23)*1000,0)</f>
        <v>0</v>
      </c>
      <c r="N34" s="733"/>
      <c r="O34" s="733">
        <v>0</v>
      </c>
      <c r="P34" s="733">
        <f ca="1">IFERROR(SUMIFS(INDIRECT("TabINPUT["&amp;$D$3&amp;"]"),TabINPUT[SECTEUR1],"Industrie non-ETS",TabINPUT[VECTEUR],P$23)*1000,0)</f>
        <v>0</v>
      </c>
      <c r="Q34" s="733">
        <v>0</v>
      </c>
      <c r="R34" s="733">
        <v>0</v>
      </c>
      <c r="S34" s="745" t="e">
        <f t="shared" ca="1" si="2"/>
        <v>#REF!</v>
      </c>
    </row>
    <row r="35" spans="1:21" s="680" customFormat="1" ht="16.5" customHeight="1" thickBot="1">
      <c r="B35" s="2235" t="s">
        <v>1798</v>
      </c>
      <c r="C35" s="2266"/>
      <c r="D35" s="748" t="e">
        <f t="shared" ref="D35:R35" ca="1" si="3">SUM(D30:D34)</f>
        <v>#REF!</v>
      </c>
      <c r="E35" s="749">
        <f t="shared" ca="1" si="3"/>
        <v>0</v>
      </c>
      <c r="F35" s="749">
        <f t="shared" ca="1" si="3"/>
        <v>0</v>
      </c>
      <c r="G35" s="749">
        <f t="shared" ca="1" si="3"/>
        <v>0</v>
      </c>
      <c r="H35" s="749">
        <f t="shared" ca="1" si="3"/>
        <v>0</v>
      </c>
      <c r="I35" s="749">
        <f t="shared" si="3"/>
        <v>0</v>
      </c>
      <c r="J35" s="749">
        <f t="shared" si="3"/>
        <v>0</v>
      </c>
      <c r="K35" s="749">
        <f t="shared" si="3"/>
        <v>0</v>
      </c>
      <c r="L35" s="749">
        <f t="shared" ca="1" si="3"/>
        <v>0</v>
      </c>
      <c r="M35" s="749">
        <f t="shared" ca="1" si="3"/>
        <v>0</v>
      </c>
      <c r="N35" s="749">
        <f t="shared" si="3"/>
        <v>0</v>
      </c>
      <c r="O35" s="749">
        <f t="shared" si="3"/>
        <v>0</v>
      </c>
      <c r="P35" s="749">
        <f t="shared" ca="1" si="3"/>
        <v>0</v>
      </c>
      <c r="Q35" s="749">
        <f t="shared" ca="1" si="3"/>
        <v>0</v>
      </c>
      <c r="R35" s="749">
        <f t="shared" ca="1" si="3"/>
        <v>0</v>
      </c>
      <c r="S35" s="750" t="e">
        <f ca="1">SUM(D35:R35)</f>
        <v>#REF!</v>
      </c>
      <c r="T35" s="661"/>
      <c r="U35" s="661"/>
    </row>
    <row r="36" spans="1:21" s="680" customFormat="1" ht="27" customHeight="1" thickBot="1">
      <c r="B36" s="2270" t="s">
        <v>815</v>
      </c>
      <c r="C36" s="2271"/>
      <c r="D36" s="2238"/>
      <c r="E36" s="2238"/>
      <c r="F36" s="2238"/>
      <c r="G36" s="2238"/>
      <c r="H36" s="2238"/>
      <c r="I36" s="2238"/>
      <c r="J36" s="2238"/>
      <c r="K36" s="2238"/>
      <c r="L36" s="2238"/>
      <c r="M36" s="2238"/>
      <c r="N36" s="2238"/>
      <c r="O36" s="2238"/>
      <c r="P36" s="2238"/>
      <c r="Q36" s="2238"/>
      <c r="R36" s="2238"/>
      <c r="S36" s="2239"/>
      <c r="T36" s="669"/>
      <c r="U36" s="669"/>
    </row>
    <row r="37" spans="1:21" s="680" customFormat="1" ht="18" customHeight="1" thickBot="1">
      <c r="B37" s="2235" t="s">
        <v>1799</v>
      </c>
      <c r="C37" s="2266"/>
      <c r="D37" s="741">
        <f ca="1">'Bilan patrimonial'!B12/1000</f>
        <v>0</v>
      </c>
      <c r="E37" s="742"/>
      <c r="F37" s="742">
        <f ca="1">'Bilan patrimonial'!C12/1000</f>
        <v>0</v>
      </c>
      <c r="G37" s="742">
        <f ca="1">IFERROR(SUMIFS(INDIRECT("TabINPUT["&amp;$D$3&amp;"]"),TabINPUT[USAGE],"Matériel roulant",TabINPUT[VECTEUR],"LPG")/1000,0)</f>
        <v>0</v>
      </c>
      <c r="H37" s="742"/>
      <c r="I37" s="742">
        <f ca="1">IFERROR(SUMIFS(INDIRECT("TabINPUT["&amp;$D$3&amp;"]"),TabINPUT[USAGE],"Matériel roulant",TabINPUT[VECTEUR],I$24)/1000,0)</f>
        <v>0</v>
      </c>
      <c r="J37" s="742">
        <f ca="1">IFERROR(SUMIFS(INDIRECT("TabINPUT["&amp;$D$3&amp;"]"),TabINPUT[USAGE],"Matériel roulant",TabINPUT[VECTEUR],J$24)/1000,0)</f>
        <v>0</v>
      </c>
      <c r="K37" s="742"/>
      <c r="L37" s="742"/>
      <c r="M37" s="742"/>
      <c r="N37" s="742">
        <f ca="1">IFERROR(SUMIFS(INDIRECT("TabINPUT["&amp;$D$3&amp;"]"),TabINPUT[USAGE],"Matériel roulant",TabINPUT[VECTEUR],O$24)/1000,0)</f>
        <v>0</v>
      </c>
      <c r="O37" s="742"/>
      <c r="P37" s="742"/>
      <c r="Q37" s="742"/>
      <c r="R37" s="742"/>
      <c r="S37" s="743">
        <f ca="1">SUM(D37:R37)</f>
        <v>0</v>
      </c>
      <c r="T37" s="661"/>
      <c r="U37" s="661"/>
    </row>
    <row r="38" spans="1:21" s="680" customFormat="1" ht="16.5" customHeight="1" thickBot="1">
      <c r="B38" s="2235" t="s">
        <v>1800</v>
      </c>
      <c r="C38" s="2266"/>
      <c r="D38" s="744">
        <f ca="1">IFERROR(SUMIFS(INDIRECT("TabINPUT["&amp;$D$3&amp;"]"),TabINPUT[SECTEUR2],"FERROVIAIRE",TabINPUT[VECTEUR],D$24)*1000,0)</f>
        <v>0</v>
      </c>
      <c r="E38" s="733"/>
      <c r="F38" s="733">
        <f ca="1">IFERROR(SUMIFS(INDIRECT("TabINPUT["&amp;$D$3&amp;"]"),TabINPUT[SECTEUR2],"FERROVIAIRE",TabINPUT[VECTEUR],F$24)*1000,0)</f>
        <v>0</v>
      </c>
      <c r="G38" s="733">
        <f ca="1">IFERROR(SUMIFS(INDIRECT("TabINPUT["&amp;$D$3&amp;"]"),TabINPUT[SECTEUR2],"FERROVIAIRE",TabINPUT[VECTEUR],G$24)*1000,0)</f>
        <v>0</v>
      </c>
      <c r="H38" s="733"/>
      <c r="I38" s="733">
        <f ca="1">IFERROR(SUMIFS(INDIRECT("TabINPUT["&amp;$D$3&amp;"]"),TabINPUT[SECTEUR2],"FERROVIAIRE",TabINPUT[VECTEUR],I$23)*1000,0)</f>
        <v>0</v>
      </c>
      <c r="J38" s="733">
        <f ca="1">IFERROR(SUMIFS(INDIRECT("TabINPUT["&amp;$D$3&amp;"]"),TabINPUT[SECTEUR2],"FERROVIAIRE",TabINPUT[VECTEUR],J$24)*1000,0)</f>
        <v>0</v>
      </c>
      <c r="K38" s="733"/>
      <c r="L38" s="733"/>
      <c r="M38" s="733"/>
      <c r="N38" s="733">
        <v>0</v>
      </c>
      <c r="O38" s="733">
        <v>0</v>
      </c>
      <c r="P38" s="733"/>
      <c r="Q38" s="733"/>
      <c r="R38" s="733"/>
      <c r="S38" s="745">
        <f ca="1">SUM(D38:R38)</f>
        <v>0</v>
      </c>
      <c r="T38" s="661"/>
      <c r="U38" s="661"/>
    </row>
    <row r="39" spans="1:21" s="680" customFormat="1" ht="16.5" customHeight="1" thickBot="1">
      <c r="B39" s="2272" t="str">
        <f>"- Routes"</f>
        <v>- Routes</v>
      </c>
      <c r="C39" s="2273"/>
      <c r="D39" s="746"/>
      <c r="E39" s="732"/>
      <c r="F39" s="732"/>
      <c r="G39" s="732"/>
      <c r="H39" s="732"/>
      <c r="I39" s="732"/>
      <c r="J39" s="732"/>
      <c r="K39" s="732"/>
      <c r="L39" s="732"/>
      <c r="M39" s="732"/>
      <c r="N39" s="732"/>
      <c r="O39" s="732"/>
      <c r="P39" s="732"/>
      <c r="Q39" s="732"/>
      <c r="R39" s="732"/>
      <c r="S39" s="747"/>
      <c r="T39" s="661"/>
      <c r="U39" s="661"/>
    </row>
    <row r="40" spans="1:21" s="680" customFormat="1" ht="16.5" customHeight="1" thickBot="1">
      <c r="B40" s="2272" t="str">
        <f>"- Sur rail"</f>
        <v>- Sur rail</v>
      </c>
      <c r="C40" s="2273"/>
      <c r="D40" s="746"/>
      <c r="E40" s="732"/>
      <c r="F40" s="732"/>
      <c r="G40" s="732"/>
      <c r="H40" s="732"/>
      <c r="I40" s="732"/>
      <c r="J40" s="732"/>
      <c r="K40" s="732"/>
      <c r="L40" s="732"/>
      <c r="M40" s="732"/>
      <c r="N40" s="732"/>
      <c r="O40" s="732"/>
      <c r="P40" s="732"/>
      <c r="Q40" s="732"/>
      <c r="R40" s="732"/>
      <c r="S40" s="747"/>
      <c r="T40" s="661"/>
      <c r="U40" s="661"/>
    </row>
    <row r="41" spans="1:21" s="680" customFormat="1" ht="16.5" customHeight="1" thickBot="1">
      <c r="B41" s="2235" t="s">
        <v>1801</v>
      </c>
      <c r="C41" s="2266"/>
      <c r="D41" s="744">
        <f ca="1">IF('Bilan territorial'!B19*1000-ICE!D38-D37&lt;0,0,'Bilan territorial'!B19*1000-ICE!D38-D37)</f>
        <v>0</v>
      </c>
      <c r="E41" s="733"/>
      <c r="F41" s="733">
        <f ca="1">IF('Bilan territorial'!C19-F38-F37&lt;0,0,'Bilan territorial'!C19-F38-F37)</f>
        <v>0</v>
      </c>
      <c r="G41" s="733">
        <f ca="1">IFERROR(SUMIFS(INDIRECT("TabINPUT["&amp;$D$3&amp;"]"),TabINPUT[SECTEUR1],"TRANSPORT",TabINPUT[VECTEUR],"LPG")*1000,0)-G37-G38-IFERROR(SUMIFS(INDIRECT("TabINPUT["&amp;$D$3&amp;"]"),TabINPUT[SECTEUR3],"Autoroute",TabINPUT[VECTEUR],"LPG")*1000,0)*(1-'Bilan territorial'!B6)</f>
        <v>0</v>
      </c>
      <c r="H41" s="733"/>
      <c r="I41" s="733" t="e">
        <f ca="1">(SUMIFS(INDIRECT("TabINPUT["&amp;$D$3&amp;"]"),TabINPUT[SECTEUR1],"TRANSPORT",TabINPUT[VECTEUR],I$24)+SUMIFS(INDIRECT("TabINPUT["&amp;$D$3&amp;"]"),TabINPUT[SECTEUR1],"TRANSPORT",TabINPUT[VECTEUR],I$23,TabINPUT[SECTEUR2],"FERROVIAIRE"))*1000-I38-I37-IFERROR(SUMIFS(INDIRECT("TabINPUT["&amp;$D$3&amp;"]"),TabINPUT[SECTEUR3],"Autoroute",TabINPUT[VECTEUR],"Diesel")*1000,0)*(1-'Bilan territorial'!B6)</f>
        <v>#REF!</v>
      </c>
      <c r="J41" s="733" t="e">
        <f ca="1">SUMIFS(INDIRECT("TabINPUT["&amp;$D$3&amp;"]"),TabINPUT[SECTEUR1],"TRANSPORT",TabINPUT[VECTEUR],J$24)*1000-J38-J37-IFERROR(SUMIFS(INDIRECT("TabINPUT["&amp;$D$3&amp;"]"),TabINPUT[SECTEUR3],"Autoroute",TabINPUT[VECTEUR],J$24)*1000,0)*(1-'Bilan territorial'!B6)</f>
        <v>#REF!</v>
      </c>
      <c r="K41" s="733"/>
      <c r="L41" s="733"/>
      <c r="M41" s="733"/>
      <c r="N41" s="733" t="e">
        <f ca="1">SUMIFS(INDIRECT("TabINPUT["&amp;$D$3&amp;"]"),TabINPUT[SECTEUR1],"TRANSPORT",TabINPUT[VECTEUR],O$24)*1000-N38-N37</f>
        <v>#REF!</v>
      </c>
      <c r="O41" s="733"/>
      <c r="P41" s="733"/>
      <c r="Q41" s="733"/>
      <c r="R41" s="733"/>
      <c r="S41" s="745" t="e">
        <f ca="1">SUM(D41:R41)</f>
        <v>#REF!</v>
      </c>
      <c r="T41" s="661"/>
      <c r="U41" s="661"/>
    </row>
    <row r="42" spans="1:21" s="680" customFormat="1" ht="16.5" customHeight="1" thickBot="1">
      <c r="B42" s="2235" t="s">
        <v>1798</v>
      </c>
      <c r="C42" s="2266"/>
      <c r="D42" s="748">
        <f ca="1">SUM(D37:D41)</f>
        <v>0</v>
      </c>
      <c r="E42" s="749">
        <f t="shared" ref="E42:R42" si="4">SUM(E37:E41)</f>
        <v>0</v>
      </c>
      <c r="F42" s="749">
        <f t="shared" ca="1" si="4"/>
        <v>0</v>
      </c>
      <c r="G42" s="749">
        <f t="shared" ca="1" si="4"/>
        <v>0</v>
      </c>
      <c r="H42" s="749">
        <f t="shared" si="4"/>
        <v>0</v>
      </c>
      <c r="I42" s="749" t="e">
        <f t="shared" ca="1" si="4"/>
        <v>#REF!</v>
      </c>
      <c r="J42" s="749" t="e">
        <f t="shared" ca="1" si="4"/>
        <v>#REF!</v>
      </c>
      <c r="K42" s="749">
        <f t="shared" si="4"/>
        <v>0</v>
      </c>
      <c r="L42" s="749">
        <f t="shared" si="4"/>
        <v>0</v>
      </c>
      <c r="M42" s="749">
        <f t="shared" si="4"/>
        <v>0</v>
      </c>
      <c r="N42" s="749" t="e">
        <f t="shared" ca="1" si="4"/>
        <v>#REF!</v>
      </c>
      <c r="O42" s="749">
        <f t="shared" si="4"/>
        <v>0</v>
      </c>
      <c r="P42" s="749">
        <f t="shared" si="4"/>
        <v>0</v>
      </c>
      <c r="Q42" s="749">
        <f t="shared" si="4"/>
        <v>0</v>
      </c>
      <c r="R42" s="749">
        <f t="shared" si="4"/>
        <v>0</v>
      </c>
      <c r="S42" s="750" t="e">
        <f ca="1">SUM(D42:R42)</f>
        <v>#REF!</v>
      </c>
      <c r="T42" s="661"/>
      <c r="U42" s="661"/>
    </row>
    <row r="43" spans="1:21" s="680" customFormat="1" ht="24.6" customHeight="1" thickBot="1">
      <c r="B43" s="2274" t="s">
        <v>1802</v>
      </c>
      <c r="C43" s="2271"/>
      <c r="D43" s="2238"/>
      <c r="E43" s="2238"/>
      <c r="F43" s="2238"/>
      <c r="G43" s="2238"/>
      <c r="H43" s="2238"/>
      <c r="I43" s="2238"/>
      <c r="J43" s="2238"/>
      <c r="K43" s="2238"/>
      <c r="L43" s="2238"/>
      <c r="M43" s="2238"/>
      <c r="N43" s="2238"/>
      <c r="O43" s="2238"/>
      <c r="P43" s="2238"/>
      <c r="Q43" s="2238"/>
      <c r="R43" s="2238"/>
      <c r="S43" s="2239"/>
      <c r="T43" s="661"/>
      <c r="U43" s="661"/>
    </row>
    <row r="44" spans="1:21" s="680" customFormat="1" ht="16.5" customHeight="1" thickBot="1">
      <c r="B44" s="2240" t="s">
        <v>1803</v>
      </c>
      <c r="C44" s="2241"/>
      <c r="D44" s="738" t="e">
        <f ca="1">'Bilan territorial'!I16*1000</f>
        <v>#REF!</v>
      </c>
      <c r="E44" s="739">
        <v>0</v>
      </c>
      <c r="F44" s="739">
        <f ca="1">'Bilan territorial'!C19</f>
        <v>0</v>
      </c>
      <c r="G44" s="739">
        <v>0</v>
      </c>
      <c r="H44" s="739" t="e">
        <f ca="1">SUMIFS(INDIRECT("TabINPUT["&amp;$D$3&amp;"]"),TabINPUT[SECTEUR1],"AGRICULTURE",TabINPUT[VECTEUR],H$24)*1000</f>
        <v>#REF!</v>
      </c>
      <c r="I44" s="739"/>
      <c r="J44" s="739" t="e">
        <f ca="1">SUMIFS(INDIRECT("TabINPUT["&amp;$D$3&amp;"]"),TabINPUT[SECTEUR1],"AGRICULTURE",TabINPUT[VECTEUR],J$24)*1000-O44</f>
        <v>#REF!</v>
      </c>
      <c r="K44" s="739"/>
      <c r="L44" s="739"/>
      <c r="M44" s="739"/>
      <c r="N44" s="739">
        <v>0</v>
      </c>
      <c r="O44" s="739" t="e">
        <f ca="1">SUMIFS(INDIRECT("TabINPUT["&amp;$D$3&amp;"]"),TabINPUT[SECTEUR1],"AGRICULTURE",TabINPUT[VECTEUR],O$23)*1000</f>
        <v>#REF!</v>
      </c>
      <c r="P44" s="739"/>
      <c r="Q44" s="739"/>
      <c r="R44" s="739"/>
      <c r="S44" s="740" t="e">
        <f ca="1">SUM(D44:R44)</f>
        <v>#REF!</v>
      </c>
      <c r="T44" s="661"/>
      <c r="U44" s="661"/>
    </row>
    <row r="45" spans="1:21" s="680" customFormat="1" ht="16.5" customHeight="1" thickBot="1">
      <c r="B45" s="2242" t="s">
        <v>107</v>
      </c>
      <c r="C45" s="2242"/>
      <c r="D45" s="737" t="e">
        <f ca="1">SUM(D35,D42,D44)</f>
        <v>#REF!</v>
      </c>
      <c r="E45" s="737">
        <f t="shared" ref="E45:S45" ca="1" si="5">SUM(E35,E42,E44)</f>
        <v>0</v>
      </c>
      <c r="F45" s="737">
        <f t="shared" ca="1" si="5"/>
        <v>0</v>
      </c>
      <c r="G45" s="737">
        <f t="shared" ca="1" si="5"/>
        <v>0</v>
      </c>
      <c r="H45" s="737" t="e">
        <f t="shared" ca="1" si="5"/>
        <v>#REF!</v>
      </c>
      <c r="I45" s="737" t="e">
        <f t="shared" ca="1" si="5"/>
        <v>#REF!</v>
      </c>
      <c r="J45" s="737" t="e">
        <f t="shared" ca="1" si="5"/>
        <v>#REF!</v>
      </c>
      <c r="K45" s="737">
        <f t="shared" si="5"/>
        <v>0</v>
      </c>
      <c r="L45" s="737">
        <f t="shared" ca="1" si="5"/>
        <v>0</v>
      </c>
      <c r="M45" s="737">
        <f t="shared" ca="1" si="5"/>
        <v>0</v>
      </c>
      <c r="N45" s="737" t="e">
        <f t="shared" ca="1" si="5"/>
        <v>#REF!</v>
      </c>
      <c r="O45" s="737" t="e">
        <f t="shared" ca="1" si="5"/>
        <v>#REF!</v>
      </c>
      <c r="P45" s="737">
        <f t="shared" ca="1" si="5"/>
        <v>0</v>
      </c>
      <c r="Q45" s="737">
        <f t="shared" ca="1" si="5"/>
        <v>0</v>
      </c>
      <c r="R45" s="737">
        <f t="shared" ca="1" si="5"/>
        <v>0</v>
      </c>
      <c r="S45" s="737" t="e">
        <f t="shared" ca="1" si="5"/>
        <v>#REF!</v>
      </c>
      <c r="T45" s="661"/>
      <c r="U45" s="661"/>
    </row>
    <row r="46" spans="1:21" ht="18" customHeight="1" outlineLevel="5">
      <c r="A46" s="683"/>
      <c r="B46" s="687"/>
      <c r="C46" s="685"/>
      <c r="D46" s="685"/>
    </row>
    <row r="47" spans="1:21" s="683" customFormat="1" ht="18" customHeight="1" outlineLevel="2">
      <c r="B47" s="2249" t="s">
        <v>1804</v>
      </c>
      <c r="C47" s="2249"/>
      <c r="D47" s="2249"/>
      <c r="E47" s="2249"/>
      <c r="F47" s="2249"/>
      <c r="G47" s="2249"/>
      <c r="H47" s="2249"/>
      <c r="I47" s="2249"/>
      <c r="J47" s="2249"/>
      <c r="K47" s="2249"/>
      <c r="L47" s="2249"/>
      <c r="M47" s="2249"/>
      <c r="T47" s="661"/>
      <c r="U47" s="661"/>
    </row>
    <row r="48" spans="1:21" ht="9" customHeight="1" outlineLevel="2" thickBot="1">
      <c r="A48" s="683"/>
      <c r="C48" s="685"/>
      <c r="D48" s="685"/>
    </row>
    <row r="49" spans="1:21" s="680" customFormat="1" ht="54" customHeight="1" outlineLevel="2" thickBot="1">
      <c r="B49" s="2255" t="s">
        <v>1805</v>
      </c>
      <c r="C49" s="2255"/>
      <c r="D49" s="760" t="s">
        <v>1806</v>
      </c>
      <c r="E49" s="756" t="s">
        <v>1807</v>
      </c>
      <c r="F49" s="756" t="s">
        <v>1808</v>
      </c>
      <c r="G49" s="688"/>
      <c r="H49" s="688"/>
      <c r="I49" s="688"/>
      <c r="J49" s="688"/>
      <c r="K49" s="688"/>
      <c r="L49" s="688"/>
      <c r="M49" s="688"/>
      <c r="N49" s="688"/>
      <c r="O49" s="688"/>
      <c r="P49" s="688"/>
      <c r="R49" s="689"/>
      <c r="S49" s="689"/>
      <c r="T49" s="661"/>
      <c r="U49" s="661"/>
    </row>
    <row r="50" spans="1:21" s="680" customFormat="1" ht="16.5" customHeight="1" outlineLevel="2" thickBot="1">
      <c r="B50" s="2235" t="s">
        <v>213</v>
      </c>
      <c r="C50" s="2266"/>
      <c r="D50" s="802" t="e">
        <f ca="1">'Bilan territorial'!K49*1000</f>
        <v>#REF!</v>
      </c>
      <c r="E50" s="771">
        <f>'Hypothèses &amp; Méthodo'!B50</f>
        <v>7.0000000000000001E-3</v>
      </c>
      <c r="F50" s="757" t="e">
        <f ca="1">D50*E50</f>
        <v>#REF!</v>
      </c>
      <c r="G50" s="690"/>
      <c r="H50" s="690"/>
      <c r="I50" s="691"/>
      <c r="J50" s="690"/>
      <c r="K50" s="690"/>
      <c r="L50" s="690"/>
      <c r="M50" s="690"/>
      <c r="N50" s="690"/>
      <c r="O50" s="690"/>
      <c r="P50" s="690"/>
      <c r="R50" s="692"/>
      <c r="S50" s="692"/>
      <c r="T50" s="661"/>
      <c r="U50" s="661"/>
    </row>
    <row r="51" spans="1:21" s="680" customFormat="1" ht="16.5" customHeight="1" outlineLevel="2" thickBot="1">
      <c r="B51" s="2235" t="s">
        <v>1809</v>
      </c>
      <c r="C51" s="2266"/>
      <c r="D51" s="803" t="e">
        <f ca="1">'Bilan territorial'!K50*1000</f>
        <v>#REF!</v>
      </c>
      <c r="E51" s="771">
        <f>'Hypothèses &amp; Méthodo'!B51</f>
        <v>2.4E-2</v>
      </c>
      <c r="F51" s="757" t="e">
        <f ca="1">D51*E51</f>
        <v>#REF!</v>
      </c>
      <c r="G51" s="690"/>
      <c r="H51" s="690"/>
      <c r="I51" s="691"/>
      <c r="J51" s="690"/>
      <c r="K51" s="690"/>
      <c r="L51" s="690"/>
      <c r="M51" s="690"/>
      <c r="N51" s="690"/>
      <c r="O51" s="690"/>
      <c r="P51" s="690"/>
      <c r="R51" s="692"/>
      <c r="S51" s="692"/>
      <c r="T51" s="661"/>
      <c r="U51" s="661"/>
    </row>
    <row r="52" spans="1:21" s="680" customFormat="1" ht="16.5" customHeight="1" outlineLevel="2" thickBot="1">
      <c r="B52" s="2235" t="s">
        <v>261</v>
      </c>
      <c r="C52" s="2266"/>
      <c r="D52" s="803" t="e">
        <f ca="1">'Bilan territorial'!K51*1000</f>
        <v>#REF!</v>
      </c>
      <c r="E52" s="771">
        <f>'Hypothèses &amp; Méthodo'!B52</f>
        <v>0.03</v>
      </c>
      <c r="F52" s="757" t="e">
        <f ca="1">D52*E52</f>
        <v>#REF!</v>
      </c>
      <c r="G52" s="690"/>
      <c r="H52" s="690"/>
      <c r="I52" s="691"/>
      <c r="J52" s="690"/>
      <c r="K52" s="690"/>
      <c r="L52" s="690"/>
      <c r="M52" s="690"/>
      <c r="N52" s="690"/>
      <c r="O52" s="690"/>
      <c r="P52" s="690"/>
      <c r="R52" s="692"/>
      <c r="S52" s="692"/>
      <c r="T52" s="661"/>
      <c r="U52" s="661"/>
    </row>
    <row r="53" spans="1:21" s="680" customFormat="1" ht="16.5" customHeight="1" outlineLevel="2" thickBot="1">
      <c r="B53" s="2235" t="s">
        <v>1783</v>
      </c>
      <c r="C53" s="2267"/>
      <c r="D53" s="804">
        <v>0</v>
      </c>
      <c r="E53" s="771">
        <f>'Hypothèses &amp; Méthodo'!B53</f>
        <v>5.5727955417635654E-4</v>
      </c>
      <c r="F53" s="757">
        <f>D53*E53</f>
        <v>0</v>
      </c>
      <c r="G53" s="690"/>
      <c r="H53" s="690"/>
      <c r="I53" s="691"/>
      <c r="J53" s="690"/>
      <c r="K53" s="690"/>
      <c r="L53" s="690"/>
      <c r="M53" s="690"/>
      <c r="N53" s="690"/>
      <c r="O53" s="690"/>
      <c r="P53" s="690"/>
      <c r="R53" s="692"/>
      <c r="S53" s="692"/>
      <c r="T53" s="661"/>
      <c r="U53" s="661"/>
    </row>
    <row r="54" spans="1:21" s="680" customFormat="1" ht="16.5" customHeight="1" outlineLevel="2" thickBot="1">
      <c r="B54" s="2235" t="s">
        <v>1810</v>
      </c>
      <c r="C54" s="2235"/>
      <c r="D54" s="772" t="e">
        <f ca="1">SUM(D50:D53)</f>
        <v>#REF!</v>
      </c>
      <c r="E54" s="759"/>
      <c r="F54" s="758" t="e">
        <f ca="1">SUM(F50:F53)</f>
        <v>#REF!</v>
      </c>
      <c r="G54" s="692"/>
      <c r="H54" s="692"/>
      <c r="I54" s="692"/>
      <c r="J54" s="692"/>
      <c r="K54" s="692"/>
      <c r="L54" s="692"/>
      <c r="M54" s="692"/>
      <c r="N54" s="692"/>
      <c r="O54" s="692"/>
      <c r="P54" s="692"/>
      <c r="R54" s="690"/>
      <c r="S54" s="690"/>
      <c r="T54" s="661"/>
      <c r="U54" s="661"/>
    </row>
    <row r="55" spans="1:21" ht="18" customHeight="1" outlineLevel="1">
      <c r="A55" s="683"/>
      <c r="C55" s="685"/>
      <c r="D55" s="685"/>
    </row>
    <row r="56" spans="1:21" ht="15" customHeight="1" outlineLevel="2">
      <c r="B56" s="2249" t="s">
        <v>1811</v>
      </c>
      <c r="C56" s="2249"/>
      <c r="D56" s="2249"/>
      <c r="E56" s="2249"/>
      <c r="F56" s="2249"/>
      <c r="G56" s="2249"/>
      <c r="H56" s="2249"/>
      <c r="I56" s="693"/>
      <c r="J56" s="693"/>
      <c r="K56" s="693"/>
      <c r="L56" s="693"/>
      <c r="M56" s="693"/>
      <c r="N56" s="693"/>
      <c r="O56" s="693"/>
      <c r="P56" s="693"/>
      <c r="Q56" s="693"/>
      <c r="R56" s="693"/>
    </row>
    <row r="57" spans="1:21" ht="9" customHeight="1" outlineLevel="2" thickBot="1">
      <c r="B57" s="693"/>
      <c r="C57" s="693"/>
      <c r="D57" s="693"/>
      <c r="E57" s="693"/>
      <c r="F57" s="693"/>
      <c r="G57" s="693"/>
      <c r="H57" s="693"/>
      <c r="I57" s="693"/>
      <c r="J57" s="693"/>
      <c r="K57" s="693"/>
      <c r="L57" s="693"/>
      <c r="M57" s="693"/>
      <c r="N57" s="693"/>
      <c r="O57" s="693"/>
      <c r="P57" s="693"/>
      <c r="Q57" s="693"/>
      <c r="R57" s="693"/>
    </row>
    <row r="58" spans="1:21" ht="15" customHeight="1" outlineLevel="2" thickBot="1">
      <c r="B58" s="2255" t="s">
        <v>944</v>
      </c>
      <c r="C58" s="2255"/>
      <c r="D58" s="2255" t="s">
        <v>1812</v>
      </c>
      <c r="E58" s="2255"/>
      <c r="F58" s="2256" t="s">
        <v>1813</v>
      </c>
      <c r="G58" s="2256"/>
      <c r="H58" s="2256"/>
      <c r="I58" s="2256"/>
      <c r="J58" s="2256"/>
      <c r="K58" s="2256"/>
      <c r="L58" s="2256"/>
      <c r="M58" s="2256"/>
      <c r="N58" s="2256"/>
      <c r="O58" s="2256"/>
      <c r="P58" s="2255" t="s">
        <v>1814</v>
      </c>
      <c r="Q58" s="2255"/>
    </row>
    <row r="59" spans="1:21" ht="27" customHeight="1" outlineLevel="2" thickBot="1">
      <c r="B59" s="2255"/>
      <c r="C59" s="2255"/>
      <c r="D59" s="2255"/>
      <c r="E59" s="2255"/>
      <c r="F59" s="2255" t="s">
        <v>1793</v>
      </c>
      <c r="G59" s="2255"/>
      <c r="H59" s="2255"/>
      <c r="I59" s="2255"/>
      <c r="J59" s="2255"/>
      <c r="K59" s="2255" t="s">
        <v>884</v>
      </c>
      <c r="L59" s="2255" t="s">
        <v>1780</v>
      </c>
      <c r="M59" s="2255" t="s">
        <v>1815</v>
      </c>
      <c r="N59" s="2255" t="s">
        <v>1816</v>
      </c>
      <c r="O59" s="2255" t="s">
        <v>298</v>
      </c>
      <c r="P59" s="2255"/>
      <c r="Q59" s="2255"/>
    </row>
    <row r="60" spans="1:21" ht="39" customHeight="1" outlineLevel="2" thickBot="1">
      <c r="B60" s="2255"/>
      <c r="C60" s="2255"/>
      <c r="D60" s="760" t="s">
        <v>1817</v>
      </c>
      <c r="E60" s="760" t="s">
        <v>1818</v>
      </c>
      <c r="F60" s="760" t="s">
        <v>98</v>
      </c>
      <c r="G60" s="760" t="s">
        <v>232</v>
      </c>
      <c r="H60" s="760" t="s">
        <v>1776</v>
      </c>
      <c r="I60" s="760" t="s">
        <v>1777</v>
      </c>
      <c r="J60" s="760" t="s">
        <v>152</v>
      </c>
      <c r="K60" s="2257"/>
      <c r="L60" s="2257"/>
      <c r="M60" s="2257"/>
      <c r="N60" s="2257"/>
      <c r="O60" s="2257"/>
      <c r="P60" s="760" t="s">
        <v>1819</v>
      </c>
      <c r="Q60" s="760" t="s">
        <v>1820</v>
      </c>
    </row>
    <row r="61" spans="1:21" ht="18" customHeight="1" outlineLevel="2" thickBot="1">
      <c r="B61" s="2240" t="s">
        <v>1821</v>
      </c>
      <c r="C61" s="2241"/>
      <c r="D61" s="1367" t="e">
        <f ca="1">SUMIFS(INDIRECT("TabINPUT["&amp;$D$3&amp;"]"),TabINPUT[SECTEUR2],"COGEN hors ETS",TabINPUT[VECTEUR],"Electricité SER")*1000</f>
        <v>#REF!</v>
      </c>
      <c r="E61" s="1368" t="e">
        <f ca="1">SUMIFS(INDIRECT("TabINPUT["&amp;$D$3&amp;"]"),TabINPUT[SECTEUR2],"COGEN hors ETS",TabINPUT[VECTEUR],"Electricité nonSER")*1000</f>
        <v>#REF!</v>
      </c>
      <c r="F61" s="1369">
        <f ca="1">IFERROR(SUMIFS(INDIRECT("TabINPUT["&amp;$D$3&amp;"]"),TabINPUT[SECTEUR2],"COGEN hors ETS",TabINPUT[VECTEUR],"gaz naturel")/($E$61+$E$70)*$E$61,0)*1000</f>
        <v>0</v>
      </c>
      <c r="G61" s="1369">
        <f ca="1">IFERROR(SUMIFS(INDIRECT("TabINPUT["&amp;$D$3&amp;"]"),TabINPUT[SECTEUR2],"COGEN hors ETS",TabINPUT[VECTEUR],"gaz liquide")/($E$61+$E$70)*$E$61,0)*1000</f>
        <v>0</v>
      </c>
      <c r="H61" s="1369">
        <f ca="1">IFERROR(SUMIFS(INDIRECT("TabINPUT["&amp;$D$3&amp;"]"),TabINPUT[SECTEUR2],"COGEN hors ETS",TabINPUT[VECTEUR],"mazout")/($E$61+$E$70)*$E$61,0)*1000</f>
        <v>0</v>
      </c>
      <c r="I61" s="1369"/>
      <c r="J61" s="1369">
        <f ca="1">IFERROR(SUMIFS(INDIRECT("TabINPUT["&amp;$D$3&amp;"]"),TabINPUT[SECTEUR2],"COGEN hors ETS",TabINPUT[VECTEUR],"charbon")/($E$61+$E$70)*$E$61,0)*1000</f>
        <v>0</v>
      </c>
      <c r="K61" s="1369"/>
      <c r="L61" s="1369">
        <f ca="1">IFERROR(SUMIFS(INDIRECT("TabINPUT["&amp;$D$3&amp;"]"),TabINPUT[SECTEUR2],"COGEN hors ETS",TabINPUT[VECTEUR],"huile vég")/($D$61+$D$70)*$D$61,0)*1000</f>
        <v>0</v>
      </c>
      <c r="M61" s="1369">
        <f ca="1">IFERROR((SUMIFS(INDIRECT("TabINPUT["&amp;$D$3&amp;"]"),TabINPUT[SECTEUR2],"COGEN hors ETS",TabINPUT[VECTEUR],"biomasse solide")+SUMIFS(INDIRECT("TabINPUT["&amp;$D$3&amp;"]"),TabINPUT[SECTEUR2],"COGEN hors ETS",TabINPUT[VECTEUR],"Biogaz"))/($D$61+$D$70)*$D$61,0)*1000</f>
        <v>0</v>
      </c>
      <c r="N61" s="1369">
        <f ca="1">IFERROR(SUMIFS(INDIRECT("TabINPUT["&amp;$D$3&amp;"]"),TabINPUT[SECTEUR2],"COGEN hors ETS",TabINPUT[VECTEUR],"biogaz")/($E$61+$E$70)*$E$61,0)*1000</f>
        <v>0</v>
      </c>
      <c r="O61" s="1369">
        <f ca="1">IFERROR(SUMIFS(INDIRECT("TabINPUT["&amp;$D$3&amp;"]"),TabINPUT[SECTEUR2],"COGEN hors ETS",TabINPUT[VECTEUR],"autres")/($E$61+$E$70)*$E$61,0)*1000</f>
        <v>0</v>
      </c>
      <c r="P61" s="1370">
        <f ca="1">F61*$F$84+G61*$G$84+$H$84*H61+J61*$L$84</f>
        <v>0</v>
      </c>
      <c r="Q61" s="1371">
        <f ca="1">L61*$O$84+$P$84*M61+N61*$R$84</f>
        <v>0</v>
      </c>
    </row>
    <row r="62" spans="1:21" ht="18" customHeight="1" outlineLevel="2" thickBot="1">
      <c r="B62" s="2240" t="s">
        <v>298</v>
      </c>
      <c r="C62" s="2240"/>
      <c r="D62" s="761"/>
      <c r="E62" s="761"/>
      <c r="F62" s="762"/>
      <c r="G62" s="762"/>
      <c r="H62" s="762"/>
      <c r="I62" s="763"/>
      <c r="J62" s="762"/>
      <c r="K62" s="762"/>
      <c r="L62" s="762"/>
      <c r="M62" s="762"/>
      <c r="N62" s="762"/>
      <c r="O62" s="762"/>
      <c r="P62" s="764"/>
      <c r="Q62" s="764"/>
    </row>
    <row r="63" spans="1:21" ht="18" customHeight="1" outlineLevel="2" thickBot="1">
      <c r="B63" s="2235" t="s">
        <v>1810</v>
      </c>
      <c r="C63" s="2235"/>
      <c r="D63" s="733" t="e">
        <f ca="1">SUM(D61:D62)</f>
        <v>#REF!</v>
      </c>
      <c r="E63" s="733" t="e">
        <f t="shared" ref="E63:Q63" ca="1" si="6">SUM(E61:E62)</f>
        <v>#REF!</v>
      </c>
      <c r="F63" s="733">
        <f t="shared" ca="1" si="6"/>
        <v>0</v>
      </c>
      <c r="G63" s="733">
        <f t="shared" ca="1" si="6"/>
        <v>0</v>
      </c>
      <c r="H63" s="733">
        <f t="shared" ca="1" si="6"/>
        <v>0</v>
      </c>
      <c r="I63" s="733">
        <f t="shared" si="6"/>
        <v>0</v>
      </c>
      <c r="J63" s="733">
        <f t="shared" ca="1" si="6"/>
        <v>0</v>
      </c>
      <c r="K63" s="733">
        <f t="shared" si="6"/>
        <v>0</v>
      </c>
      <c r="L63" s="733">
        <f t="shared" ca="1" si="6"/>
        <v>0</v>
      </c>
      <c r="M63" s="733">
        <f t="shared" ca="1" si="6"/>
        <v>0</v>
      </c>
      <c r="N63" s="733">
        <f t="shared" ca="1" si="6"/>
        <v>0</v>
      </c>
      <c r="O63" s="733">
        <f t="shared" ca="1" si="6"/>
        <v>0</v>
      </c>
      <c r="P63" s="733">
        <f t="shared" ca="1" si="6"/>
        <v>0</v>
      </c>
      <c r="Q63" s="733">
        <f t="shared" ca="1" si="6"/>
        <v>0</v>
      </c>
    </row>
    <row r="64" spans="1:21" ht="18" customHeight="1" outlineLevel="1">
      <c r="B64" s="693"/>
      <c r="C64" s="693"/>
      <c r="D64" s="693"/>
      <c r="E64" s="693"/>
      <c r="F64" s="693"/>
      <c r="G64" s="693"/>
      <c r="H64" s="693"/>
      <c r="I64" s="693"/>
      <c r="J64" s="693"/>
      <c r="K64" s="693"/>
      <c r="L64" s="693"/>
      <c r="M64" s="693"/>
      <c r="N64" s="693"/>
      <c r="O64" s="693"/>
      <c r="P64" s="693"/>
      <c r="Q64" s="693"/>
      <c r="R64" s="693"/>
    </row>
    <row r="65" spans="1:79" ht="15" customHeight="1" outlineLevel="2">
      <c r="B65" s="683" t="s">
        <v>1822</v>
      </c>
      <c r="C65" s="693"/>
      <c r="D65" s="693"/>
      <c r="E65" s="693"/>
      <c r="F65" s="693"/>
      <c r="G65" s="693"/>
      <c r="H65" s="693"/>
      <c r="I65" s="693"/>
      <c r="J65" s="693"/>
      <c r="K65" s="693"/>
      <c r="L65" s="693"/>
      <c r="M65" s="693"/>
      <c r="N65" s="693"/>
      <c r="O65" s="693"/>
      <c r="P65" s="693"/>
      <c r="Q65" s="693"/>
      <c r="R65" s="693"/>
    </row>
    <row r="66" spans="1:79" ht="9" customHeight="1" outlineLevel="2" thickBot="1">
      <c r="B66" s="693"/>
      <c r="C66" s="693"/>
      <c r="D66" s="693"/>
      <c r="E66" s="693"/>
      <c r="F66" s="693"/>
      <c r="G66" s="693"/>
      <c r="H66" s="693"/>
      <c r="I66" s="693"/>
      <c r="J66" s="693"/>
      <c r="K66" s="693"/>
      <c r="L66" s="693"/>
      <c r="M66" s="693"/>
      <c r="N66" s="693"/>
      <c r="O66" s="693"/>
      <c r="P66" s="693"/>
      <c r="Q66" s="693"/>
      <c r="R66" s="693"/>
    </row>
    <row r="67" spans="1:79" ht="15" customHeight="1" outlineLevel="2" thickBot="1">
      <c r="B67" s="2255" t="s">
        <v>949</v>
      </c>
      <c r="C67" s="2255"/>
      <c r="D67" s="2255" t="s">
        <v>1823</v>
      </c>
      <c r="E67" s="2255"/>
      <c r="F67" s="2256" t="s">
        <v>1813</v>
      </c>
      <c r="G67" s="2256"/>
      <c r="H67" s="2256"/>
      <c r="I67" s="2256"/>
      <c r="J67" s="2256"/>
      <c r="K67" s="2256"/>
      <c r="L67" s="2256"/>
      <c r="M67" s="2256"/>
      <c r="N67" s="2256"/>
      <c r="O67" s="2256"/>
      <c r="P67" s="2255" t="s">
        <v>1814</v>
      </c>
      <c r="Q67" s="2255"/>
    </row>
    <row r="68" spans="1:79" ht="15" customHeight="1" outlineLevel="2" thickBot="1">
      <c r="B68" s="2255"/>
      <c r="C68" s="2255"/>
      <c r="D68" s="2255"/>
      <c r="E68" s="2255"/>
      <c r="F68" s="2255" t="s">
        <v>1793</v>
      </c>
      <c r="G68" s="2255"/>
      <c r="H68" s="2255"/>
      <c r="I68" s="2255"/>
      <c r="J68" s="2255"/>
      <c r="K68" s="2255" t="s">
        <v>884</v>
      </c>
      <c r="L68" s="2255" t="s">
        <v>1780</v>
      </c>
      <c r="M68" s="2255" t="s">
        <v>1815</v>
      </c>
      <c r="N68" s="2255" t="s">
        <v>1816</v>
      </c>
      <c r="O68" s="2255" t="s">
        <v>298</v>
      </c>
      <c r="P68" s="2255"/>
      <c r="Q68" s="2255"/>
    </row>
    <row r="69" spans="1:79" ht="42.75" customHeight="1" outlineLevel="2" thickBot="1">
      <c r="B69" s="2255"/>
      <c r="C69" s="2255"/>
      <c r="D69" s="756" t="s">
        <v>1824</v>
      </c>
      <c r="E69" s="756" t="s">
        <v>1825</v>
      </c>
      <c r="F69" s="756" t="s">
        <v>98</v>
      </c>
      <c r="G69" s="756" t="s">
        <v>232</v>
      </c>
      <c r="H69" s="756" t="s">
        <v>1776</v>
      </c>
      <c r="I69" s="756" t="s">
        <v>1777</v>
      </c>
      <c r="J69" s="756" t="s">
        <v>152</v>
      </c>
      <c r="K69" s="2255"/>
      <c r="L69" s="2255"/>
      <c r="M69" s="2255"/>
      <c r="N69" s="2255"/>
      <c r="O69" s="2255"/>
      <c r="P69" s="756" t="s">
        <v>1819</v>
      </c>
      <c r="Q69" s="756" t="s">
        <v>1820</v>
      </c>
    </row>
    <row r="70" spans="1:79" ht="18" customHeight="1" outlineLevel="2" thickBot="1">
      <c r="B70" s="2261" t="s">
        <v>1826</v>
      </c>
      <c r="C70" s="2262"/>
      <c r="D70" s="1372" t="e">
        <f ca="1">SUMIFS(INDIRECT("TabINPUT["&amp;$D$3&amp;"]"),TabINPUT[SECTEUR2],"COGEN hors ETS",TabINPUT[VECTEUR],"chaleur SER")*1000</f>
        <v>#REF!</v>
      </c>
      <c r="E70" s="1373" t="e">
        <f ca="1">SUMIFS(INDIRECT("TabINPUT["&amp;$D$3&amp;"]"),TabINPUT[SECTEUR2],"COGEN hors ETS",TabINPUT[VECTEUR],"Chaleur nonSER")*1000</f>
        <v>#REF!</v>
      </c>
      <c r="F70" s="1374">
        <f ca="1">IFERROR(SUMIFS(INDIRECT("TabINPUT["&amp;$D$3&amp;"]"),TabINPUT[SECTEUR2],"COGEN hors ETS",TabINPUT[VECTEUR],"gaz naturel")/($E$61+$E$70)*$E$70,0)*1000</f>
        <v>0</v>
      </c>
      <c r="G70" s="1374">
        <f ca="1">IFERROR(SUMIFS(INDIRECT("TabINPUT["&amp;$D$3&amp;"]"),TabINPUT[SECTEUR2],"COGEN hors ETS",TabINPUT[VECTEUR],"gaz liquide")/($E$61+$E$70)*$E$70,0)*1000</f>
        <v>0</v>
      </c>
      <c r="H70" s="1374">
        <f ca="1">IFERROR(SUMIFS(INDIRECT("TabINPUT["&amp;$D$3&amp;"]"),TabINPUT[SECTEUR2],"COGEN hors ETS",TabINPUT[VECTEUR],"mazout")/($E$61+$E$70)*$E$70,0)*1000</f>
        <v>0</v>
      </c>
      <c r="I70" s="1374"/>
      <c r="J70" s="1374">
        <f ca="1">IFERROR(SUMIFS(INDIRECT("TabINPUT["&amp;$D$3&amp;"]"),TabINPUT[SECTEUR2],"COGEN hors ETS",TabINPUT[VECTEUR],"charbon")/($E$61+$E$70)*$E$70,0)*1000</f>
        <v>0</v>
      </c>
      <c r="K70" s="1374"/>
      <c r="L70" s="1374">
        <f ca="1">IFERROR(SUMIFS(INDIRECT("TabINPUT["&amp;$D$3&amp;"]"),TabINPUT[SECTEUR2],"COGEN hors ETS",TabINPUT[VECTEUR],"huile veg")/($D$61+$D$70)*$D$70,0)*1000</f>
        <v>0</v>
      </c>
      <c r="M70" s="1374">
        <f ca="1">IFERROR((SUMIFS(INDIRECT("TabINPUT["&amp;$D$3&amp;"]"),TabINPUT[SECTEUR2],"COGEN hors ETS",TabINPUT[VECTEUR],"biomasse solide")+SUMIFS(INDIRECT("TabINPUT["&amp;$D$3&amp;"]"),TabINPUT[SECTEUR2],"COGEN hors ETS",TabINPUT[VECTEUR],"Biogaz"))/($D$61+$D$70)*$D$70,0)*1000</f>
        <v>0</v>
      </c>
      <c r="N70" s="1374">
        <f ca="1">IFERROR(SUMIFS(INDIRECT("TabINPUT["&amp;$D$3&amp;"]"),TabINPUT[SECTEUR2],"COGEN hors ETS",TabINPUT[VECTEUR],"biogaz")/($E$61+$E$70)*$E$70,0)*1000</f>
        <v>0</v>
      </c>
      <c r="O70" s="1374">
        <f ca="1">IFERROR(SUMIFS(INDIRECT("TabINPUT["&amp;$D$3&amp;"]"),TabINPUT[SECTEUR2],"COGEN hors ETS",TabINPUT[VECTEUR],"autres")/($E$61+$E$70)*$E$70,0)*1000</f>
        <v>0</v>
      </c>
      <c r="P70" s="1375">
        <f ca="1">F70*$F$84+G70*$G$84+$H$84*H70+J70*$L$84</f>
        <v>0</v>
      </c>
      <c r="Q70" s="698">
        <f ca="1">L70*$O$84+$P$84*M70+N70*$R$84</f>
        <v>0</v>
      </c>
    </row>
    <row r="71" spans="1:79" ht="18" customHeight="1" outlineLevel="2">
      <c r="B71" s="2262" t="s">
        <v>1827</v>
      </c>
      <c r="C71" s="2263"/>
      <c r="D71" s="694"/>
      <c r="E71" s="699"/>
      <c r="F71" s="695"/>
      <c r="G71" s="695"/>
      <c r="H71" s="695"/>
      <c r="I71" s="696"/>
      <c r="J71" s="695"/>
      <c r="K71" s="695"/>
      <c r="L71" s="695"/>
      <c r="M71" s="695"/>
      <c r="N71" s="695"/>
      <c r="O71" s="695"/>
      <c r="P71" s="697"/>
      <c r="Q71" s="697"/>
    </row>
    <row r="72" spans="1:79" ht="18" customHeight="1" outlineLevel="2">
      <c r="B72" s="2261" t="s">
        <v>852</v>
      </c>
      <c r="C72" s="2261"/>
      <c r="D72" s="1358"/>
      <c r="E72" s="1359"/>
      <c r="F72" s="1360"/>
      <c r="G72" s="1360"/>
      <c r="H72" s="1360"/>
      <c r="I72" s="1361"/>
      <c r="J72" s="1360"/>
      <c r="K72" s="1360"/>
      <c r="L72" s="1360"/>
      <c r="M72" s="1360"/>
      <c r="N72" s="1360"/>
      <c r="O72" s="1360"/>
      <c r="P72" s="1362"/>
      <c r="Q72" s="1362"/>
    </row>
    <row r="73" spans="1:79" ht="18" customHeight="1" outlineLevel="2">
      <c r="B73" s="2261" t="s">
        <v>1810</v>
      </c>
      <c r="C73" s="2261"/>
      <c r="D73" s="1363" t="e">
        <f ca="1">SUM(D70:D72)</f>
        <v>#REF!</v>
      </c>
      <c r="E73" s="1363" t="e">
        <f t="shared" ref="E73:Q73" ca="1" si="7">SUM(E70:E72)</f>
        <v>#REF!</v>
      </c>
      <c r="F73" s="1363">
        <f t="shared" ca="1" si="7"/>
        <v>0</v>
      </c>
      <c r="G73" s="1363">
        <f t="shared" ca="1" si="7"/>
        <v>0</v>
      </c>
      <c r="H73" s="1363">
        <f t="shared" ca="1" si="7"/>
        <v>0</v>
      </c>
      <c r="I73" s="1363">
        <f t="shared" si="7"/>
        <v>0</v>
      </c>
      <c r="J73" s="1363">
        <f t="shared" ca="1" si="7"/>
        <v>0</v>
      </c>
      <c r="K73" s="1363">
        <f t="shared" si="7"/>
        <v>0</v>
      </c>
      <c r="L73" s="1363">
        <f t="shared" ca="1" si="7"/>
        <v>0</v>
      </c>
      <c r="M73" s="1363">
        <f t="shared" ca="1" si="7"/>
        <v>0</v>
      </c>
      <c r="N73" s="1363">
        <f t="shared" ca="1" si="7"/>
        <v>0</v>
      </c>
      <c r="O73" s="1363">
        <f t="shared" ca="1" si="7"/>
        <v>0</v>
      </c>
      <c r="P73" s="1363">
        <f t="shared" ca="1" si="7"/>
        <v>0</v>
      </c>
      <c r="Q73" s="1363">
        <f t="shared" ca="1" si="7"/>
        <v>0</v>
      </c>
    </row>
    <row r="74" spans="1:79" ht="18" customHeight="1" outlineLevel="2">
      <c r="B74" s="693"/>
      <c r="C74" s="693"/>
      <c r="D74" s="693"/>
      <c r="E74" s="693"/>
      <c r="F74" s="693"/>
      <c r="G74" s="693"/>
      <c r="H74" s="693"/>
      <c r="I74" s="693"/>
      <c r="J74" s="693"/>
      <c r="K74" s="693"/>
      <c r="L74" s="693"/>
      <c r="M74" s="693"/>
      <c r="N74" s="693"/>
      <c r="O74" s="693"/>
      <c r="P74" s="693"/>
      <c r="Q74" s="693"/>
      <c r="R74" s="693"/>
      <c r="T74" s="680"/>
      <c r="U74" s="680"/>
    </row>
    <row r="75" spans="1:79" ht="18" customHeight="1">
      <c r="B75" s="693"/>
      <c r="C75" s="693"/>
      <c r="D75" s="693"/>
      <c r="E75" s="693"/>
      <c r="F75" s="693"/>
      <c r="G75" s="693"/>
      <c r="H75" s="693"/>
      <c r="I75" s="693"/>
      <c r="J75" s="693"/>
      <c r="K75" s="693"/>
      <c r="L75" s="693"/>
      <c r="M75" s="693"/>
      <c r="N75" s="693"/>
      <c r="O75" s="693"/>
      <c r="P75" s="693"/>
      <c r="Q75" s="693"/>
      <c r="R75" s="693"/>
      <c r="T75" s="680"/>
      <c r="U75" s="680"/>
    </row>
    <row r="76" spans="1:79" ht="18" customHeight="1">
      <c r="A76" s="660"/>
      <c r="B76" s="700"/>
      <c r="C76" s="700"/>
      <c r="D76" s="700"/>
      <c r="E76" s="700"/>
      <c r="F76" s="700"/>
      <c r="G76" s="700"/>
      <c r="H76" s="700"/>
      <c r="I76" s="700"/>
      <c r="J76" s="700"/>
      <c r="K76" s="700"/>
      <c r="L76" s="700"/>
      <c r="M76" s="700"/>
      <c r="N76" s="700"/>
      <c r="O76" s="700"/>
      <c r="P76" s="700"/>
      <c r="Q76" s="700"/>
      <c r="R76" s="70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c r="BA76" s="660"/>
      <c r="BB76" s="660"/>
      <c r="BC76" s="660"/>
      <c r="BD76" s="660"/>
      <c r="BE76" s="660"/>
      <c r="BF76" s="660"/>
      <c r="BG76" s="660"/>
      <c r="BH76" s="660"/>
      <c r="BI76" s="660"/>
      <c r="BJ76" s="660"/>
      <c r="BK76" s="660"/>
      <c r="BL76" s="660"/>
      <c r="BM76" s="660"/>
      <c r="BN76" s="660"/>
      <c r="BO76" s="660"/>
      <c r="BP76" s="660"/>
      <c r="BQ76" s="660"/>
      <c r="BR76" s="660"/>
      <c r="BS76" s="660"/>
      <c r="BT76" s="660"/>
      <c r="BU76" s="660"/>
      <c r="BV76" s="660"/>
      <c r="BW76" s="660"/>
      <c r="BX76" s="660"/>
      <c r="BY76" s="660"/>
      <c r="BZ76" s="660"/>
      <c r="CA76" s="660"/>
    </row>
    <row r="77" spans="1:79" ht="18" customHeight="1">
      <c r="B77" s="682" t="s">
        <v>1828</v>
      </c>
      <c r="C77" s="693"/>
      <c r="D77" s="693"/>
      <c r="E77" s="693"/>
      <c r="F77" s="693"/>
      <c r="G77" s="693"/>
      <c r="H77" s="693"/>
      <c r="I77" s="693"/>
      <c r="J77" s="693"/>
      <c r="K77" s="693"/>
      <c r="L77" s="693"/>
      <c r="M77" s="693"/>
      <c r="N77" s="693"/>
      <c r="O77" s="693"/>
      <c r="P77" s="693"/>
      <c r="Q77" s="693"/>
      <c r="R77" s="693"/>
    </row>
    <row r="78" spans="1:79" ht="18" customHeight="1">
      <c r="B78" s="684"/>
      <c r="C78" s="693"/>
      <c r="D78" s="693"/>
      <c r="E78" s="693"/>
      <c r="F78" s="693"/>
      <c r="G78" s="693"/>
      <c r="H78" s="693"/>
      <c r="I78" s="693"/>
      <c r="J78" s="693"/>
      <c r="K78" s="693"/>
      <c r="L78" s="693"/>
      <c r="M78" s="693"/>
      <c r="N78" s="693"/>
      <c r="O78" s="693"/>
      <c r="P78" s="693"/>
      <c r="Q78" s="693"/>
      <c r="R78" s="693"/>
    </row>
    <row r="79" spans="1:79" ht="18" customHeight="1">
      <c r="B79" s="669" t="s">
        <v>1829</v>
      </c>
      <c r="C79" s="683"/>
      <c r="D79" s="669"/>
      <c r="E79" s="701"/>
      <c r="F79" s="693"/>
      <c r="G79" s="693"/>
      <c r="I79" s="693"/>
      <c r="J79" s="693"/>
      <c r="K79" s="693"/>
      <c r="L79" s="693"/>
      <c r="M79" s="693"/>
      <c r="N79" s="693"/>
      <c r="O79" s="693"/>
      <c r="P79" s="693"/>
      <c r="Q79" s="693"/>
      <c r="R79" s="693"/>
    </row>
    <row r="80" spans="1:79" ht="18" customHeight="1">
      <c r="B80" s="686"/>
      <c r="C80" s="686"/>
      <c r="D80" s="686"/>
      <c r="E80" s="686"/>
      <c r="F80" s="686"/>
      <c r="G80" s="686"/>
      <c r="H80" s="686"/>
      <c r="I80" s="686"/>
      <c r="J80" s="686"/>
      <c r="K80" s="686"/>
      <c r="L80" s="686"/>
      <c r="M80" s="686"/>
      <c r="N80" s="686"/>
      <c r="O80" s="686"/>
      <c r="P80" s="686"/>
      <c r="Q80" s="686"/>
      <c r="R80" s="686"/>
    </row>
    <row r="81" spans="2:21" ht="18" customHeight="1">
      <c r="B81" s="693"/>
      <c r="C81" s="693"/>
      <c r="D81" s="693"/>
      <c r="E81" s="693"/>
      <c r="F81" s="702" t="s">
        <v>1830</v>
      </c>
      <c r="G81" s="703"/>
      <c r="H81" s="703"/>
      <c r="I81" s="703"/>
      <c r="J81" s="704"/>
      <c r="K81" s="681"/>
      <c r="L81" s="693"/>
      <c r="M81" s="693"/>
      <c r="N81" s="693"/>
      <c r="O81" s="693"/>
      <c r="P81" s="693"/>
      <c r="Q81" s="693"/>
      <c r="R81" s="693"/>
    </row>
    <row r="82" spans="2:21" ht="18" customHeight="1">
      <c r="B82" s="674"/>
      <c r="C82" s="2264" t="s">
        <v>1831</v>
      </c>
      <c r="D82" s="2264"/>
      <c r="E82" s="2264" t="s">
        <v>1832</v>
      </c>
      <c r="F82" s="2264" t="s">
        <v>1833</v>
      </c>
      <c r="G82" s="2264"/>
      <c r="H82" s="2264"/>
      <c r="I82" s="2264"/>
      <c r="J82" s="2264"/>
      <c r="K82" s="2264"/>
      <c r="L82" s="2264"/>
      <c r="M82" s="2264"/>
      <c r="N82" s="2264" t="s">
        <v>1834</v>
      </c>
      <c r="O82" s="2264"/>
      <c r="P82" s="2264"/>
      <c r="Q82" s="2264"/>
      <c r="R82" s="2264"/>
    </row>
    <row r="83" spans="2:21" ht="27.75" customHeight="1" thickBot="1">
      <c r="C83" s="1431" t="s">
        <v>1774</v>
      </c>
      <c r="D83" s="1432" t="s">
        <v>1775</v>
      </c>
      <c r="E83" s="2265"/>
      <c r="F83" s="1433" t="s">
        <v>1835</v>
      </c>
      <c r="G83" s="1433" t="s">
        <v>1836</v>
      </c>
      <c r="H83" s="1433" t="s">
        <v>1837</v>
      </c>
      <c r="I83" s="1433" t="s">
        <v>143</v>
      </c>
      <c r="J83" s="1433" t="s">
        <v>1838</v>
      </c>
      <c r="K83" s="1433" t="s">
        <v>1777</v>
      </c>
      <c r="L83" s="1433" t="s">
        <v>1839</v>
      </c>
      <c r="M83" s="1433" t="s">
        <v>1840</v>
      </c>
      <c r="N83" s="1433" t="s">
        <v>1841</v>
      </c>
      <c r="O83" s="1433" t="s">
        <v>1842</v>
      </c>
      <c r="P83" s="1433" t="s">
        <v>1843</v>
      </c>
      <c r="Q83" s="1433" t="s">
        <v>1844</v>
      </c>
      <c r="R83" s="1433" t="s">
        <v>1845</v>
      </c>
    </row>
    <row r="84" spans="2:21" ht="18" customHeight="1" thickBot="1">
      <c r="C84" s="705" t="e">
        <f>'Bilan territorial'!K62</f>
        <v>#N/A</v>
      </c>
      <c r="D84" s="706" t="e">
        <f ca="1">'Bilan territorial'!K61</f>
        <v>#REF!</v>
      </c>
      <c r="E84" s="706">
        <v>0</v>
      </c>
      <c r="F84" s="706">
        <f>Hypothèses!B9</f>
        <v>0.2026798378561297</v>
      </c>
      <c r="G84" s="707">
        <f>Hypothèses!B8</f>
        <v>0.23723981020815182</v>
      </c>
      <c r="H84" s="707">
        <f>Hypothèses!B6</f>
        <v>0.26819978544017159</v>
      </c>
      <c r="I84" s="706">
        <f>H84</f>
        <v>0.26819978544017159</v>
      </c>
      <c r="J84" s="706">
        <f>Hypothèses!B5</f>
        <v>0.26135979091216727</v>
      </c>
      <c r="K84" s="706">
        <f>Hypothèses!B2</f>
        <v>0.36610920000000002</v>
      </c>
      <c r="L84" s="706">
        <f>Hypothèses!B4</f>
        <v>0.34307972553621952</v>
      </c>
      <c r="M84" s="706">
        <f>Hypothèses!B12</f>
        <v>0.26542368</v>
      </c>
      <c r="N84" s="706">
        <f>Hypothèses!B18</f>
        <v>1.5436799999999997E-3</v>
      </c>
      <c r="O84" s="706">
        <v>0</v>
      </c>
      <c r="P84" s="706">
        <f>Hypothèses!B17</f>
        <v>3.1319974944020043E-2</v>
      </c>
      <c r="Q84" s="706">
        <v>0</v>
      </c>
      <c r="R84" s="708">
        <v>0</v>
      </c>
    </row>
    <row r="85" spans="2:21" s="680" customFormat="1" ht="18" customHeight="1">
      <c r="B85" s="661"/>
      <c r="C85" s="709"/>
      <c r="T85" s="661"/>
      <c r="U85" s="661"/>
    </row>
    <row r="86" spans="2:21" ht="18" customHeight="1"/>
    <row r="87" spans="2:21" ht="18" customHeight="1" outlineLevel="1">
      <c r="B87" s="2249" t="s">
        <v>1846</v>
      </c>
      <c r="C87" s="2249"/>
      <c r="D87" s="2249"/>
      <c r="E87" s="2249"/>
      <c r="F87" s="2249"/>
      <c r="G87" s="2249"/>
      <c r="H87" s="2249"/>
      <c r="I87" s="2249"/>
      <c r="J87" s="2249"/>
      <c r="K87" s="2249"/>
      <c r="L87" s="710"/>
      <c r="M87" s="710"/>
      <c r="N87" s="710"/>
      <c r="O87" s="710"/>
      <c r="P87" s="710"/>
      <c r="Q87" s="710"/>
      <c r="R87" s="710"/>
    </row>
    <row r="88" spans="2:21" ht="18" customHeight="1" outlineLevel="1" thickBot="1">
      <c r="B88" s="684"/>
      <c r="C88" s="684"/>
      <c r="D88" s="684"/>
      <c r="E88" s="684"/>
      <c r="F88" s="684"/>
      <c r="G88" s="684"/>
      <c r="H88" s="684"/>
      <c r="I88" s="684"/>
      <c r="J88" s="684"/>
      <c r="K88" s="710"/>
      <c r="L88" s="710"/>
      <c r="M88" s="710"/>
      <c r="N88" s="710"/>
      <c r="O88" s="710"/>
      <c r="P88" s="710"/>
      <c r="Q88" s="710"/>
      <c r="R88" s="710"/>
    </row>
    <row r="89" spans="2:21" ht="40.200000000000003" outlineLevel="1" thickBot="1">
      <c r="B89" s="2246" t="s">
        <v>1847</v>
      </c>
      <c r="C89" s="2246"/>
      <c r="D89" s="765" t="s">
        <v>1848</v>
      </c>
      <c r="E89" s="765" t="s">
        <v>1849</v>
      </c>
      <c r="F89" s="684"/>
      <c r="G89" s="684"/>
      <c r="H89" s="684"/>
      <c r="I89" s="684"/>
      <c r="J89" s="684"/>
      <c r="K89" s="710"/>
      <c r="L89" s="710"/>
      <c r="M89" s="710"/>
      <c r="N89" s="710"/>
      <c r="O89" s="710"/>
      <c r="P89" s="710"/>
      <c r="Q89" s="710"/>
      <c r="R89" s="710"/>
    </row>
    <row r="90" spans="2:21" ht="18" customHeight="1" outlineLevel="1" thickBot="1">
      <c r="B90" s="2247" t="s">
        <v>104</v>
      </c>
      <c r="C90" s="2247"/>
      <c r="D90" s="766" t="e">
        <f>SUM(D91:D94)</f>
        <v>#N/A</v>
      </c>
      <c r="E90" s="766"/>
      <c r="F90" s="684"/>
      <c r="G90" s="684"/>
      <c r="H90" s="684"/>
      <c r="I90" s="684"/>
      <c r="J90" s="684"/>
      <c r="K90" s="710"/>
      <c r="L90" s="710"/>
      <c r="M90" s="710"/>
      <c r="N90" s="710"/>
      <c r="O90" s="710"/>
      <c r="P90" s="710"/>
      <c r="Q90" s="710"/>
      <c r="R90" s="710"/>
    </row>
    <row r="91" spans="2:21" ht="18" customHeight="1" outlineLevel="1" thickBot="1">
      <c r="B91" s="2247" t="str">
        <f>"- Elimination des déchets solides"</f>
        <v>- Elimination des déchets solides</v>
      </c>
      <c r="C91" s="2247"/>
      <c r="D91" s="766"/>
      <c r="E91" s="766"/>
      <c r="F91" s="684"/>
      <c r="G91" s="684"/>
      <c r="H91" s="684"/>
      <c r="I91" s="684"/>
      <c r="J91" s="684"/>
      <c r="K91" s="710"/>
      <c r="L91" s="710"/>
      <c r="M91" s="710"/>
      <c r="N91" s="710"/>
      <c r="O91" s="710"/>
      <c r="P91" s="710"/>
      <c r="Q91" s="710"/>
      <c r="R91" s="710"/>
    </row>
    <row r="92" spans="2:21" ht="18" customHeight="1" outlineLevel="1" thickBot="1">
      <c r="B92" s="736" t="str">
        <f>"- Traitement biologique des déchets solides"</f>
        <v>- Traitement biologique des déchets solides</v>
      </c>
      <c r="C92" s="736"/>
      <c r="D92" s="768"/>
      <c r="E92" s="766"/>
      <c r="F92" s="684"/>
      <c r="G92" s="684"/>
      <c r="H92" s="684"/>
      <c r="I92" s="684"/>
      <c r="J92" s="684"/>
      <c r="K92" s="710"/>
      <c r="L92" s="710"/>
      <c r="M92" s="710"/>
      <c r="N92" s="710"/>
      <c r="O92" s="710"/>
      <c r="P92" s="710"/>
      <c r="Q92" s="710"/>
      <c r="R92" s="710"/>
    </row>
    <row r="93" spans="2:21" ht="18" customHeight="1" outlineLevel="1" thickBot="1">
      <c r="B93" s="2247" t="str">
        <f>"- Incinération et combustion à l'air libre des déchets"</f>
        <v>- Incinération et combustion à l'air libre des déchets</v>
      </c>
      <c r="C93" s="2248"/>
      <c r="D93" s="770" t="e">
        <f>HLOOKUP($D$3,'Données territoriales'!$K$5:$AF$8,2,0)</f>
        <v>#N/A</v>
      </c>
      <c r="E93" s="767"/>
      <c r="F93" s="684"/>
      <c r="G93" s="684"/>
      <c r="H93" s="684"/>
      <c r="I93" s="684"/>
      <c r="J93" s="684"/>
      <c r="K93" s="710"/>
      <c r="L93" s="710"/>
      <c r="M93" s="710"/>
      <c r="N93" s="710"/>
      <c r="O93" s="710"/>
      <c r="P93" s="710"/>
      <c r="Q93" s="710"/>
      <c r="R93" s="710"/>
      <c r="T93" s="711"/>
      <c r="U93" s="711"/>
    </row>
    <row r="94" spans="2:21" ht="18" customHeight="1" outlineLevel="1" thickBot="1">
      <c r="B94" s="2247" t="str">
        <f>"- Autres"</f>
        <v>- Autres</v>
      </c>
      <c r="C94" s="2247"/>
      <c r="D94" s="769"/>
      <c r="E94" s="766"/>
      <c r="F94" s="684"/>
      <c r="G94" s="684"/>
      <c r="H94" s="684"/>
      <c r="I94" s="684"/>
      <c r="J94" s="684"/>
      <c r="K94" s="710"/>
      <c r="L94" s="710"/>
      <c r="M94" s="710"/>
      <c r="N94" s="710"/>
      <c r="O94" s="710"/>
      <c r="P94" s="710"/>
      <c r="Q94" s="710"/>
      <c r="R94" s="710"/>
      <c r="T94" s="711"/>
      <c r="U94" s="711"/>
    </row>
    <row r="95" spans="2:21" ht="27" outlineLevel="1" thickBot="1">
      <c r="B95" s="2246"/>
      <c r="C95" s="2246"/>
      <c r="D95" s="773" t="s">
        <v>1848</v>
      </c>
      <c r="E95" s="765" t="s">
        <v>1850</v>
      </c>
      <c r="F95" s="684"/>
      <c r="G95" s="684"/>
      <c r="H95" s="684"/>
      <c r="I95" s="684"/>
      <c r="J95" s="684"/>
      <c r="K95" s="710"/>
      <c r="L95" s="710"/>
      <c r="M95" s="710"/>
      <c r="N95" s="710"/>
      <c r="O95" s="710"/>
      <c r="P95" s="710"/>
      <c r="Q95" s="710"/>
      <c r="R95" s="710"/>
    </row>
    <row r="96" spans="2:21" ht="18" customHeight="1" outlineLevel="1" thickBot="1">
      <c r="B96" s="2247" t="s">
        <v>1851</v>
      </c>
      <c r="C96" s="2248"/>
      <c r="D96" s="774" t="e">
        <f>HLOOKUP($D$3,'Données territoriales'!$K$5:$AF$8,3,0)</f>
        <v>#N/A</v>
      </c>
      <c r="E96" s="767"/>
      <c r="F96" s="684"/>
      <c r="G96" s="684"/>
      <c r="H96" s="684"/>
      <c r="I96" s="684"/>
      <c r="J96" s="684"/>
      <c r="K96" s="710"/>
      <c r="L96" s="710"/>
      <c r="M96" s="710"/>
      <c r="N96" s="710"/>
      <c r="O96" s="710"/>
      <c r="P96" s="710"/>
      <c r="Q96" s="710"/>
      <c r="R96" s="710"/>
    </row>
    <row r="97" spans="1:79" ht="32.1" customHeight="1" outlineLevel="1" thickBot="1">
      <c r="B97" s="2250" t="s">
        <v>1852</v>
      </c>
      <c r="C97" s="2251"/>
      <c r="D97" s="775" t="e">
        <f>HLOOKUP($D$3,'Données territoriales'!$K$5:$AF$8,4,0)</f>
        <v>#N/A</v>
      </c>
      <c r="E97" s="767"/>
      <c r="F97" s="684"/>
      <c r="G97" s="684"/>
      <c r="H97" s="684"/>
      <c r="I97" s="684"/>
      <c r="J97" s="684"/>
      <c r="K97" s="710"/>
      <c r="L97" s="710"/>
      <c r="M97" s="710"/>
      <c r="N97" s="710"/>
      <c r="O97" s="710"/>
      <c r="P97" s="710"/>
      <c r="Q97" s="710"/>
      <c r="R97" s="710"/>
    </row>
    <row r="98" spans="1:79" ht="18" customHeight="1" outlineLevel="1">
      <c r="B98" s="712"/>
      <c r="C98" s="686"/>
      <c r="D98" s="684"/>
      <c r="E98" s="684"/>
      <c r="F98" s="684"/>
      <c r="G98" s="684"/>
      <c r="H98" s="684"/>
      <c r="I98" s="684"/>
      <c r="J98" s="684"/>
      <c r="K98" s="710"/>
      <c r="L98" s="710"/>
      <c r="M98" s="710"/>
      <c r="N98" s="710"/>
      <c r="O98" s="710"/>
      <c r="P98" s="710"/>
      <c r="Q98" s="710"/>
      <c r="R98" s="710"/>
      <c r="T98" s="711"/>
      <c r="U98" s="711"/>
    </row>
    <row r="99" spans="1:79" ht="18" customHeight="1">
      <c r="B99" s="712"/>
      <c r="C99" s="686"/>
      <c r="D99" s="684"/>
      <c r="E99" s="684"/>
      <c r="F99" s="684"/>
      <c r="G99" s="684"/>
      <c r="H99" s="684"/>
      <c r="I99" s="684"/>
      <c r="J99" s="684"/>
      <c r="K99" s="710"/>
      <c r="L99" s="710"/>
      <c r="M99" s="710"/>
      <c r="N99" s="710"/>
      <c r="O99" s="710"/>
      <c r="P99" s="710"/>
      <c r="Q99" s="710"/>
      <c r="R99" s="710"/>
      <c r="T99" s="713"/>
      <c r="U99" s="713"/>
    </row>
    <row r="100" spans="1:79" ht="18" customHeight="1">
      <c r="A100" s="660"/>
      <c r="B100" s="714"/>
      <c r="C100" s="714"/>
      <c r="D100" s="714"/>
      <c r="E100" s="714"/>
      <c r="F100" s="714"/>
      <c r="G100" s="714"/>
      <c r="H100" s="714"/>
      <c r="I100" s="714"/>
      <c r="J100" s="714"/>
      <c r="K100" s="715"/>
      <c r="L100" s="715"/>
      <c r="M100" s="715"/>
      <c r="N100" s="715"/>
      <c r="O100" s="715"/>
      <c r="P100" s="715"/>
      <c r="Q100" s="715"/>
      <c r="R100" s="715"/>
      <c r="S100" s="660"/>
      <c r="T100" s="716"/>
      <c r="U100" s="716"/>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0"/>
      <c r="AY100" s="660"/>
      <c r="AZ100" s="660"/>
      <c r="BA100" s="660"/>
      <c r="BB100" s="660"/>
      <c r="BC100" s="660"/>
      <c r="BD100" s="660"/>
      <c r="BE100" s="660"/>
      <c r="BF100" s="660"/>
      <c r="BG100" s="660"/>
      <c r="BH100" s="660"/>
      <c r="BI100" s="660"/>
      <c r="BJ100" s="660"/>
      <c r="BK100" s="660"/>
      <c r="BL100" s="660"/>
      <c r="BM100" s="660"/>
      <c r="BN100" s="660"/>
      <c r="BO100" s="660"/>
      <c r="BP100" s="660"/>
      <c r="BQ100" s="660"/>
      <c r="BR100" s="660"/>
      <c r="BS100" s="660"/>
      <c r="BT100" s="660"/>
      <c r="BU100" s="660"/>
      <c r="BV100" s="660"/>
      <c r="BW100" s="660"/>
      <c r="BX100" s="660"/>
      <c r="BY100" s="660"/>
      <c r="BZ100" s="660"/>
      <c r="CA100" s="660"/>
    </row>
    <row r="101" spans="1:79" ht="18" customHeight="1">
      <c r="B101" s="682" t="s">
        <v>1853</v>
      </c>
      <c r="C101" s="684"/>
      <c r="D101" s="684"/>
      <c r="E101" s="684"/>
      <c r="F101" s="684"/>
      <c r="G101" s="684"/>
      <c r="H101" s="684"/>
      <c r="I101" s="684"/>
      <c r="J101" s="684"/>
      <c r="K101" s="710"/>
      <c r="L101" s="710"/>
      <c r="M101" s="710"/>
      <c r="N101" s="710"/>
      <c r="O101" s="710"/>
      <c r="P101" s="710"/>
      <c r="Q101" s="710"/>
      <c r="R101" s="710"/>
      <c r="T101" s="713"/>
      <c r="U101" s="713"/>
    </row>
    <row r="102" spans="1:79" ht="15" customHeight="1" thickBot="1">
      <c r="B102" s="684"/>
      <c r="C102" s="684"/>
      <c r="D102" s="684"/>
      <c r="E102" s="684"/>
      <c r="F102" s="684"/>
      <c r="G102" s="684"/>
      <c r="H102" s="684"/>
      <c r="I102" s="684"/>
      <c r="J102" s="684"/>
      <c r="K102" s="710"/>
      <c r="L102" s="710"/>
      <c r="M102" s="710"/>
      <c r="N102" s="710"/>
      <c r="O102" s="710"/>
      <c r="P102" s="710"/>
      <c r="Q102" s="710"/>
      <c r="R102" s="710"/>
      <c r="T102" s="713"/>
      <c r="U102" s="713"/>
    </row>
    <row r="103" spans="1:79" s="711" customFormat="1" ht="17.25" customHeight="1" thickBot="1">
      <c r="B103" s="2255" t="s">
        <v>103</v>
      </c>
      <c r="C103" s="2256"/>
      <c r="D103" s="2255" t="s">
        <v>1854</v>
      </c>
      <c r="E103" s="2255"/>
      <c r="F103" s="2255"/>
      <c r="G103" s="2255"/>
      <c r="H103" s="2255"/>
      <c r="I103" s="2255"/>
      <c r="J103" s="2255"/>
      <c r="K103" s="2255"/>
      <c r="L103" s="2255"/>
      <c r="M103" s="2255"/>
      <c r="N103" s="2255"/>
      <c r="O103" s="2255"/>
      <c r="P103" s="2255"/>
      <c r="Q103" s="2255"/>
      <c r="R103" s="2255"/>
      <c r="S103" s="2255"/>
      <c r="T103" s="713"/>
      <c r="U103" s="713"/>
    </row>
    <row r="104" spans="1:79" s="711" customFormat="1" ht="13.5" customHeight="1" thickBot="1">
      <c r="B104" s="2255"/>
      <c r="C104" s="2256"/>
      <c r="D104" s="2259" t="s">
        <v>93</v>
      </c>
      <c r="E104" s="2259" t="s">
        <v>1772</v>
      </c>
      <c r="F104" s="2259" t="s">
        <v>1793</v>
      </c>
      <c r="G104" s="2259"/>
      <c r="H104" s="2259"/>
      <c r="I104" s="2259"/>
      <c r="J104" s="2259"/>
      <c r="K104" s="2259"/>
      <c r="L104" s="2259"/>
      <c r="M104" s="2259"/>
      <c r="N104" s="2259" t="s">
        <v>912</v>
      </c>
      <c r="O104" s="2259"/>
      <c r="P104" s="2259"/>
      <c r="Q104" s="2259"/>
      <c r="R104" s="2259"/>
      <c r="S104" s="2255" t="s">
        <v>107</v>
      </c>
      <c r="T104" s="713"/>
      <c r="U104" s="713"/>
    </row>
    <row r="105" spans="1:79" s="711" customFormat="1" ht="52.5" customHeight="1" thickBot="1">
      <c r="B105" s="2257"/>
      <c r="C105" s="2258"/>
      <c r="D105" s="2260"/>
      <c r="E105" s="2260"/>
      <c r="F105" s="726" t="s">
        <v>98</v>
      </c>
      <c r="G105" s="726" t="s">
        <v>232</v>
      </c>
      <c r="H105" s="726" t="s">
        <v>1776</v>
      </c>
      <c r="I105" s="726" t="s">
        <v>143</v>
      </c>
      <c r="J105" s="726" t="s">
        <v>94</v>
      </c>
      <c r="K105" s="726" t="s">
        <v>1777</v>
      </c>
      <c r="L105" s="726" t="s">
        <v>152</v>
      </c>
      <c r="M105" s="726" t="s">
        <v>1778</v>
      </c>
      <c r="N105" s="726" t="s">
        <v>1779</v>
      </c>
      <c r="O105" s="726" t="s">
        <v>1780</v>
      </c>
      <c r="P105" s="726" t="s">
        <v>1781</v>
      </c>
      <c r="Q105" s="726" t="s">
        <v>1782</v>
      </c>
      <c r="R105" s="726" t="s">
        <v>1783</v>
      </c>
      <c r="S105" s="2257"/>
      <c r="T105" s="713"/>
      <c r="U105" s="713"/>
    </row>
    <row r="106" spans="1:79" s="680" customFormat="1" ht="26.4" customHeight="1" thickBot="1">
      <c r="B106" s="2243" t="s">
        <v>1794</v>
      </c>
      <c r="C106" s="2244"/>
      <c r="D106" s="2244"/>
      <c r="E106" s="2244"/>
      <c r="F106" s="2244"/>
      <c r="G106" s="2244"/>
      <c r="H106" s="2244"/>
      <c r="I106" s="2244"/>
      <c r="J106" s="2244"/>
      <c r="K106" s="2244"/>
      <c r="L106" s="2244"/>
      <c r="M106" s="2244"/>
      <c r="N106" s="2244"/>
      <c r="O106" s="2244"/>
      <c r="P106" s="2244"/>
      <c r="Q106" s="2244"/>
      <c r="R106" s="2244"/>
      <c r="S106" s="2245"/>
    </row>
    <row r="107" spans="1:79" s="680" customFormat="1" ht="26.4" customHeight="1" thickBot="1">
      <c r="B107" s="2252" t="s">
        <v>1795</v>
      </c>
      <c r="C107" s="2252"/>
      <c r="D107" s="731" t="e">
        <f ca="1">D29*D$20</f>
        <v>#REF!</v>
      </c>
      <c r="E107" s="731">
        <f t="shared" ref="E107:R107" ca="1" si="8">E29*E$20</f>
        <v>0</v>
      </c>
      <c r="F107" s="731">
        <f t="shared" ca="1" si="8"/>
        <v>0</v>
      </c>
      <c r="G107" s="731">
        <f t="shared" ca="1" si="8"/>
        <v>0</v>
      </c>
      <c r="H107" s="731">
        <f t="shared" ca="1" si="8"/>
        <v>0</v>
      </c>
      <c r="I107" s="731">
        <f t="shared" si="8"/>
        <v>0</v>
      </c>
      <c r="J107" s="731">
        <f t="shared" si="8"/>
        <v>0</v>
      </c>
      <c r="K107" s="731">
        <f t="shared" si="8"/>
        <v>0</v>
      </c>
      <c r="L107" s="731">
        <f t="shared" ca="1" si="8"/>
        <v>0</v>
      </c>
      <c r="M107" s="731">
        <f t="shared" si="8"/>
        <v>0</v>
      </c>
      <c r="N107" s="731">
        <f t="shared" si="8"/>
        <v>0</v>
      </c>
      <c r="O107" s="731">
        <f t="shared" si="8"/>
        <v>0</v>
      </c>
      <c r="P107" s="731">
        <f t="shared" ca="1" si="8"/>
        <v>0</v>
      </c>
      <c r="Q107" s="731">
        <f t="shared" ca="1" si="8"/>
        <v>0</v>
      </c>
      <c r="R107" s="731">
        <f t="shared" ca="1" si="8"/>
        <v>0</v>
      </c>
      <c r="S107" s="731" t="e">
        <f t="shared" ref="S107" ca="1" si="9">SUM(S108:S109)</f>
        <v>#REF!</v>
      </c>
    </row>
    <row r="108" spans="1:79" s="680" customFormat="1" ht="16.5" customHeight="1" thickBot="1">
      <c r="B108" s="2240" t="str">
        <f>"- Bâtiments, équipements/installations municipaux"</f>
        <v>- Bâtiments, équipements/installations municipaux</v>
      </c>
      <c r="C108" s="2240"/>
      <c r="D108" s="732" t="e">
        <f t="shared" ref="D108:R113" ca="1" si="10">D30*D$20</f>
        <v>#REF!</v>
      </c>
      <c r="E108" s="732">
        <f t="shared" ca="1" si="10"/>
        <v>0</v>
      </c>
      <c r="F108" s="732">
        <f t="shared" ca="1" si="10"/>
        <v>0</v>
      </c>
      <c r="G108" s="732">
        <f t="shared" ca="1" si="10"/>
        <v>0</v>
      </c>
      <c r="H108" s="732">
        <f t="shared" ca="1" si="10"/>
        <v>0</v>
      </c>
      <c r="I108" s="732">
        <f t="shared" si="10"/>
        <v>0</v>
      </c>
      <c r="J108" s="732">
        <f t="shared" si="10"/>
        <v>0</v>
      </c>
      <c r="K108" s="732">
        <f t="shared" si="10"/>
        <v>0</v>
      </c>
      <c r="L108" s="732">
        <f t="shared" ca="1" si="10"/>
        <v>0</v>
      </c>
      <c r="M108" s="732">
        <f t="shared" si="10"/>
        <v>0</v>
      </c>
      <c r="N108" s="732">
        <f t="shared" si="10"/>
        <v>0</v>
      </c>
      <c r="O108" s="732">
        <f t="shared" si="10"/>
        <v>0</v>
      </c>
      <c r="P108" s="732">
        <f t="shared" ca="1" si="10"/>
        <v>0</v>
      </c>
      <c r="Q108" s="732">
        <f t="shared" ca="1" si="10"/>
        <v>0</v>
      </c>
      <c r="R108" s="732">
        <f t="shared" ca="1" si="10"/>
        <v>0</v>
      </c>
      <c r="S108" s="732" t="e">
        <f t="shared" ref="S108" ca="1" si="11">SUM(D108:R108)</f>
        <v>#REF!</v>
      </c>
    </row>
    <row r="109" spans="1:79" s="680" customFormat="1" ht="16.5" customHeight="1" thickBot="1">
      <c r="B109" s="2240" t="str">
        <f>"-Eclairage public"</f>
        <v>-Eclairage public</v>
      </c>
      <c r="C109" s="2240"/>
      <c r="D109" s="732" t="e">
        <f t="shared" ca="1" si="10"/>
        <v>#REF!</v>
      </c>
      <c r="E109" s="732">
        <f t="shared" si="10"/>
        <v>0</v>
      </c>
      <c r="F109" s="732">
        <f t="shared" si="10"/>
        <v>0</v>
      </c>
      <c r="G109" s="732">
        <f t="shared" si="10"/>
        <v>0</v>
      </c>
      <c r="H109" s="732">
        <f t="shared" si="10"/>
        <v>0</v>
      </c>
      <c r="I109" s="732">
        <f t="shared" si="10"/>
        <v>0</v>
      </c>
      <c r="J109" s="732">
        <f t="shared" si="10"/>
        <v>0</v>
      </c>
      <c r="K109" s="732">
        <f t="shared" si="10"/>
        <v>0</v>
      </c>
      <c r="L109" s="732">
        <f t="shared" si="10"/>
        <v>0</v>
      </c>
      <c r="M109" s="732">
        <f t="shared" si="10"/>
        <v>0</v>
      </c>
      <c r="N109" s="732">
        <f t="shared" si="10"/>
        <v>0</v>
      </c>
      <c r="O109" s="732">
        <f t="shared" si="10"/>
        <v>0</v>
      </c>
      <c r="P109" s="732">
        <f t="shared" si="10"/>
        <v>0</v>
      </c>
      <c r="Q109" s="732">
        <f t="shared" si="10"/>
        <v>0</v>
      </c>
      <c r="R109" s="732">
        <f t="shared" si="10"/>
        <v>0</v>
      </c>
      <c r="S109" s="732" t="e">
        <f ca="1">SUM(D109:R109)</f>
        <v>#REF!</v>
      </c>
    </row>
    <row r="110" spans="1:79" s="680" customFormat="1" ht="28.35" customHeight="1" thickBot="1">
      <c r="B110" s="2252" t="s">
        <v>1796</v>
      </c>
      <c r="C110" s="2252"/>
      <c r="D110" s="733" t="e">
        <f t="shared" ca="1" si="10"/>
        <v>#REF!</v>
      </c>
      <c r="E110" s="733">
        <f t="shared" ca="1" si="10"/>
        <v>0</v>
      </c>
      <c r="F110" s="733">
        <f t="shared" ca="1" si="10"/>
        <v>0</v>
      </c>
      <c r="G110" s="733">
        <f t="shared" ca="1" si="10"/>
        <v>0</v>
      </c>
      <c r="H110" s="733">
        <f t="shared" ca="1" si="10"/>
        <v>0</v>
      </c>
      <c r="I110" s="733">
        <f t="shared" si="10"/>
        <v>0</v>
      </c>
      <c r="J110" s="733">
        <f t="shared" si="10"/>
        <v>0</v>
      </c>
      <c r="K110" s="733">
        <f t="shared" si="10"/>
        <v>0</v>
      </c>
      <c r="L110" s="733">
        <f t="shared" ca="1" si="10"/>
        <v>0</v>
      </c>
      <c r="M110" s="733">
        <f t="shared" si="10"/>
        <v>0</v>
      </c>
      <c r="N110" s="733">
        <f t="shared" si="10"/>
        <v>0</v>
      </c>
      <c r="O110" s="733">
        <f t="shared" si="10"/>
        <v>0</v>
      </c>
      <c r="P110" s="733">
        <f t="shared" ca="1" si="10"/>
        <v>0</v>
      </c>
      <c r="Q110" s="733">
        <f t="shared" si="10"/>
        <v>0</v>
      </c>
      <c r="R110" s="733">
        <f t="shared" si="10"/>
        <v>0</v>
      </c>
      <c r="S110" s="733" t="e">
        <f t="shared" ref="S110:S112" ca="1" si="12">SUM(D110:R110)</f>
        <v>#REF!</v>
      </c>
    </row>
    <row r="111" spans="1:79" s="680" customFormat="1" ht="16.5" customHeight="1" thickBot="1">
      <c r="B111" s="2235" t="s">
        <v>929</v>
      </c>
      <c r="C111" s="2235"/>
      <c r="D111" s="733" t="e">
        <f t="shared" ca="1" si="10"/>
        <v>#REF!</v>
      </c>
      <c r="E111" s="733">
        <f t="shared" ca="1" si="10"/>
        <v>0</v>
      </c>
      <c r="F111" s="733">
        <f t="shared" ca="1" si="10"/>
        <v>0</v>
      </c>
      <c r="G111" s="733">
        <f t="shared" ca="1" si="10"/>
        <v>0</v>
      </c>
      <c r="H111" s="733">
        <f t="shared" ca="1" si="10"/>
        <v>0</v>
      </c>
      <c r="I111" s="733">
        <f t="shared" si="10"/>
        <v>0</v>
      </c>
      <c r="J111" s="733">
        <f t="shared" si="10"/>
        <v>0</v>
      </c>
      <c r="K111" s="733">
        <f t="shared" si="10"/>
        <v>0</v>
      </c>
      <c r="L111" s="733">
        <f t="shared" ca="1" si="10"/>
        <v>0</v>
      </c>
      <c r="M111" s="733">
        <f t="shared" si="10"/>
        <v>0</v>
      </c>
      <c r="N111" s="733">
        <f t="shared" si="10"/>
        <v>0</v>
      </c>
      <c r="O111" s="733">
        <f t="shared" si="10"/>
        <v>0</v>
      </c>
      <c r="P111" s="733">
        <f t="shared" ca="1" si="10"/>
        <v>0</v>
      </c>
      <c r="Q111" s="733">
        <f t="shared" si="10"/>
        <v>0</v>
      </c>
      <c r="R111" s="733">
        <f t="shared" si="10"/>
        <v>0</v>
      </c>
      <c r="S111" s="733" t="e">
        <f t="shared" ca="1" si="12"/>
        <v>#REF!</v>
      </c>
    </row>
    <row r="112" spans="1:79" s="680" customFormat="1" ht="16.5" customHeight="1" thickBot="1">
      <c r="B112" s="2253" t="s">
        <v>1797</v>
      </c>
      <c r="C112" s="2253"/>
      <c r="D112" s="733" t="e">
        <f t="shared" ca="1" si="10"/>
        <v>#REF!</v>
      </c>
      <c r="E112" s="733">
        <f t="shared" ca="1" si="10"/>
        <v>0</v>
      </c>
      <c r="F112" s="733">
        <f t="shared" ca="1" si="10"/>
        <v>0</v>
      </c>
      <c r="G112" s="733">
        <f t="shared" ca="1" si="10"/>
        <v>0</v>
      </c>
      <c r="H112" s="733">
        <f t="shared" ca="1" si="10"/>
        <v>0</v>
      </c>
      <c r="I112" s="733">
        <f t="shared" si="10"/>
        <v>0</v>
      </c>
      <c r="J112" s="733">
        <f t="shared" si="10"/>
        <v>0</v>
      </c>
      <c r="K112" s="733">
        <f t="shared" si="10"/>
        <v>0</v>
      </c>
      <c r="L112" s="733">
        <f t="shared" ca="1" si="10"/>
        <v>0</v>
      </c>
      <c r="M112" s="733">
        <f t="shared" ca="1" si="10"/>
        <v>0</v>
      </c>
      <c r="N112" s="733">
        <f t="shared" si="10"/>
        <v>0</v>
      </c>
      <c r="O112" s="733">
        <f t="shared" si="10"/>
        <v>0</v>
      </c>
      <c r="P112" s="733">
        <f t="shared" ca="1" si="10"/>
        <v>0</v>
      </c>
      <c r="Q112" s="733">
        <f t="shared" si="10"/>
        <v>0</v>
      </c>
      <c r="R112" s="733">
        <f t="shared" si="10"/>
        <v>0</v>
      </c>
      <c r="S112" s="734" t="e">
        <f t="shared" ca="1" si="12"/>
        <v>#REF!</v>
      </c>
    </row>
    <row r="113" spans="1:21" s="680" customFormat="1" ht="16.5" customHeight="1" thickBot="1">
      <c r="B113" s="2235" t="s">
        <v>1798</v>
      </c>
      <c r="C113" s="2235"/>
      <c r="D113" s="733" t="e">
        <f t="shared" ca="1" si="10"/>
        <v>#REF!</v>
      </c>
      <c r="E113" s="733">
        <f t="shared" ca="1" si="10"/>
        <v>0</v>
      </c>
      <c r="F113" s="733">
        <f t="shared" ca="1" si="10"/>
        <v>0</v>
      </c>
      <c r="G113" s="733">
        <f t="shared" ca="1" si="10"/>
        <v>0</v>
      </c>
      <c r="H113" s="733">
        <f t="shared" ca="1" si="10"/>
        <v>0</v>
      </c>
      <c r="I113" s="733">
        <f t="shared" si="10"/>
        <v>0</v>
      </c>
      <c r="J113" s="733">
        <f t="shared" si="10"/>
        <v>0</v>
      </c>
      <c r="K113" s="733">
        <f t="shared" si="10"/>
        <v>0</v>
      </c>
      <c r="L113" s="733">
        <f t="shared" ca="1" si="10"/>
        <v>0</v>
      </c>
      <c r="M113" s="733">
        <f t="shared" ca="1" si="10"/>
        <v>0</v>
      </c>
      <c r="N113" s="733">
        <f t="shared" si="10"/>
        <v>0</v>
      </c>
      <c r="O113" s="733">
        <f t="shared" si="10"/>
        <v>0</v>
      </c>
      <c r="P113" s="733">
        <f t="shared" ca="1" si="10"/>
        <v>0</v>
      </c>
      <c r="Q113" s="733">
        <f t="shared" ca="1" si="10"/>
        <v>0</v>
      </c>
      <c r="R113" s="733">
        <f t="shared" ca="1" si="10"/>
        <v>0</v>
      </c>
      <c r="S113" s="733" t="e">
        <f ca="1">SUM(D113:R113)</f>
        <v>#REF!</v>
      </c>
      <c r="T113" s="661"/>
      <c r="U113" s="661"/>
    </row>
    <row r="114" spans="1:21" s="680" customFormat="1" ht="27" customHeight="1" thickBot="1">
      <c r="B114" s="2254" t="s">
        <v>815</v>
      </c>
      <c r="C114" s="2254"/>
      <c r="D114" s="2254"/>
      <c r="E114" s="2254"/>
      <c r="F114" s="2254"/>
      <c r="G114" s="2254"/>
      <c r="H114" s="2254"/>
      <c r="I114" s="2254"/>
      <c r="J114" s="2254"/>
      <c r="K114" s="2254"/>
      <c r="L114" s="2254"/>
      <c r="M114" s="2254"/>
      <c r="N114" s="2254"/>
      <c r="O114" s="2254"/>
      <c r="P114" s="2254"/>
      <c r="Q114" s="2254"/>
      <c r="R114" s="2254"/>
      <c r="S114" s="2254"/>
      <c r="T114" s="669"/>
      <c r="U114" s="669"/>
    </row>
    <row r="115" spans="1:21" s="680" customFormat="1" ht="18" customHeight="1" thickBot="1">
      <c r="B115" s="2235" t="s">
        <v>1799</v>
      </c>
      <c r="C115" s="2235"/>
      <c r="D115" s="733" t="e">
        <f t="shared" ref="D115:R120" ca="1" si="13">D37*D$20</f>
        <v>#REF!</v>
      </c>
      <c r="E115" s="733">
        <f t="shared" si="13"/>
        <v>0</v>
      </c>
      <c r="F115" s="733">
        <f t="shared" ca="1" si="13"/>
        <v>0</v>
      </c>
      <c r="G115" s="733">
        <f t="shared" ca="1" si="13"/>
        <v>0</v>
      </c>
      <c r="H115" s="733">
        <f t="shared" si="13"/>
        <v>0</v>
      </c>
      <c r="I115" s="733">
        <f t="shared" ca="1" si="13"/>
        <v>0</v>
      </c>
      <c r="J115" s="733">
        <f t="shared" ca="1" si="13"/>
        <v>0</v>
      </c>
      <c r="K115" s="733">
        <f t="shared" si="13"/>
        <v>0</v>
      </c>
      <c r="L115" s="733">
        <f t="shared" si="13"/>
        <v>0</v>
      </c>
      <c r="M115" s="733">
        <f t="shared" si="13"/>
        <v>0</v>
      </c>
      <c r="N115" s="733">
        <f t="shared" ca="1" si="13"/>
        <v>0</v>
      </c>
      <c r="O115" s="733">
        <f t="shared" si="13"/>
        <v>0</v>
      </c>
      <c r="P115" s="733">
        <f t="shared" si="13"/>
        <v>0</v>
      </c>
      <c r="Q115" s="733">
        <f t="shared" si="13"/>
        <v>0</v>
      </c>
      <c r="R115" s="733">
        <f t="shared" si="13"/>
        <v>0</v>
      </c>
      <c r="S115" s="734" t="e">
        <f ca="1">SUM(D115:R115)</f>
        <v>#REF!</v>
      </c>
      <c r="T115" s="661"/>
      <c r="U115" s="661"/>
    </row>
    <row r="116" spans="1:21" s="680" customFormat="1" ht="16.5" customHeight="1" thickBot="1">
      <c r="B116" s="2235" t="s">
        <v>1800</v>
      </c>
      <c r="C116" s="2235"/>
      <c r="D116" s="733" t="e">
        <f t="shared" ca="1" si="13"/>
        <v>#REF!</v>
      </c>
      <c r="E116" s="733">
        <f t="shared" si="13"/>
        <v>0</v>
      </c>
      <c r="F116" s="733">
        <f t="shared" ca="1" si="13"/>
        <v>0</v>
      </c>
      <c r="G116" s="733">
        <f t="shared" ca="1" si="13"/>
        <v>0</v>
      </c>
      <c r="H116" s="733">
        <f t="shared" si="13"/>
        <v>0</v>
      </c>
      <c r="I116" s="733">
        <f t="shared" ca="1" si="13"/>
        <v>0</v>
      </c>
      <c r="J116" s="733">
        <f t="shared" ca="1" si="13"/>
        <v>0</v>
      </c>
      <c r="K116" s="733">
        <f t="shared" si="13"/>
        <v>0</v>
      </c>
      <c r="L116" s="733">
        <f t="shared" si="13"/>
        <v>0</v>
      </c>
      <c r="M116" s="733">
        <f t="shared" si="13"/>
        <v>0</v>
      </c>
      <c r="N116" s="733">
        <f t="shared" si="13"/>
        <v>0</v>
      </c>
      <c r="O116" s="733">
        <f t="shared" si="13"/>
        <v>0</v>
      </c>
      <c r="P116" s="733">
        <f t="shared" si="13"/>
        <v>0</v>
      </c>
      <c r="Q116" s="733">
        <f t="shared" si="13"/>
        <v>0</v>
      </c>
      <c r="R116" s="733">
        <f t="shared" si="13"/>
        <v>0</v>
      </c>
      <c r="S116" s="734" t="e">
        <f ca="1">SUM(D116:R116)</f>
        <v>#REF!</v>
      </c>
      <c r="T116" s="661"/>
      <c r="U116" s="661"/>
    </row>
    <row r="117" spans="1:21" s="680" customFormat="1" ht="16.5" customHeight="1" thickBot="1">
      <c r="B117" s="2234" t="str">
        <f>"- Routes"</f>
        <v>- Routes</v>
      </c>
      <c r="C117" s="2234"/>
      <c r="D117" s="732" t="e">
        <f t="shared" ca="1" si="13"/>
        <v>#REF!</v>
      </c>
      <c r="E117" s="732">
        <f t="shared" si="13"/>
        <v>0</v>
      </c>
      <c r="F117" s="732">
        <f t="shared" si="13"/>
        <v>0</v>
      </c>
      <c r="G117" s="732">
        <f t="shared" si="13"/>
        <v>0</v>
      </c>
      <c r="H117" s="732">
        <f t="shared" si="13"/>
        <v>0</v>
      </c>
      <c r="I117" s="732">
        <f t="shared" si="13"/>
        <v>0</v>
      </c>
      <c r="J117" s="732">
        <f t="shared" si="13"/>
        <v>0</v>
      </c>
      <c r="K117" s="732">
        <f t="shared" si="13"/>
        <v>0</v>
      </c>
      <c r="L117" s="732">
        <f t="shared" si="13"/>
        <v>0</v>
      </c>
      <c r="M117" s="732">
        <f t="shared" si="13"/>
        <v>0</v>
      </c>
      <c r="N117" s="732">
        <f t="shared" si="13"/>
        <v>0</v>
      </c>
      <c r="O117" s="732">
        <f t="shared" si="13"/>
        <v>0</v>
      </c>
      <c r="P117" s="732">
        <f t="shared" si="13"/>
        <v>0</v>
      </c>
      <c r="Q117" s="732">
        <f t="shared" si="13"/>
        <v>0</v>
      </c>
      <c r="R117" s="732">
        <f t="shared" si="13"/>
        <v>0</v>
      </c>
      <c r="S117" s="735"/>
      <c r="T117" s="661"/>
      <c r="U117" s="661"/>
    </row>
    <row r="118" spans="1:21" s="680" customFormat="1" ht="16.5" customHeight="1" thickBot="1">
      <c r="B118" s="2234" t="str">
        <f>"- Sur rail"</f>
        <v>- Sur rail</v>
      </c>
      <c r="C118" s="2234"/>
      <c r="D118" s="732" t="e">
        <f t="shared" ca="1" si="13"/>
        <v>#REF!</v>
      </c>
      <c r="E118" s="732">
        <f t="shared" si="13"/>
        <v>0</v>
      </c>
      <c r="F118" s="732">
        <f t="shared" si="13"/>
        <v>0</v>
      </c>
      <c r="G118" s="732">
        <f t="shared" si="13"/>
        <v>0</v>
      </c>
      <c r="H118" s="732">
        <f t="shared" si="13"/>
        <v>0</v>
      </c>
      <c r="I118" s="732">
        <f t="shared" si="13"/>
        <v>0</v>
      </c>
      <c r="J118" s="732">
        <f t="shared" si="13"/>
        <v>0</v>
      </c>
      <c r="K118" s="732">
        <f t="shared" si="13"/>
        <v>0</v>
      </c>
      <c r="L118" s="732">
        <f t="shared" si="13"/>
        <v>0</v>
      </c>
      <c r="M118" s="732">
        <f t="shared" si="13"/>
        <v>0</v>
      </c>
      <c r="N118" s="732">
        <f t="shared" si="13"/>
        <v>0</v>
      </c>
      <c r="O118" s="732">
        <f t="shared" si="13"/>
        <v>0</v>
      </c>
      <c r="P118" s="732">
        <f t="shared" si="13"/>
        <v>0</v>
      </c>
      <c r="Q118" s="732">
        <f t="shared" si="13"/>
        <v>0</v>
      </c>
      <c r="R118" s="732">
        <f t="shared" si="13"/>
        <v>0</v>
      </c>
      <c r="S118" s="735"/>
      <c r="T118" s="661"/>
      <c r="U118" s="661"/>
    </row>
    <row r="119" spans="1:21" s="680" customFormat="1" ht="16.5" customHeight="1" thickBot="1">
      <c r="B119" s="2235" t="s">
        <v>1801</v>
      </c>
      <c r="C119" s="2235"/>
      <c r="D119" s="733" t="e">
        <f t="shared" ca="1" si="13"/>
        <v>#REF!</v>
      </c>
      <c r="E119" s="733">
        <f t="shared" si="13"/>
        <v>0</v>
      </c>
      <c r="F119" s="733">
        <f t="shared" ca="1" si="13"/>
        <v>0</v>
      </c>
      <c r="G119" s="733">
        <f t="shared" ca="1" si="13"/>
        <v>0</v>
      </c>
      <c r="H119" s="733">
        <f t="shared" si="13"/>
        <v>0</v>
      </c>
      <c r="I119" s="733" t="e">
        <f t="shared" ca="1" si="13"/>
        <v>#REF!</v>
      </c>
      <c r="J119" s="733" t="e">
        <f t="shared" ca="1" si="13"/>
        <v>#REF!</v>
      </c>
      <c r="K119" s="733">
        <f t="shared" si="13"/>
        <v>0</v>
      </c>
      <c r="L119" s="733">
        <f t="shared" si="13"/>
        <v>0</v>
      </c>
      <c r="M119" s="733">
        <f t="shared" si="13"/>
        <v>0</v>
      </c>
      <c r="N119" s="733" t="e">
        <f t="shared" ca="1" si="13"/>
        <v>#REF!</v>
      </c>
      <c r="O119" s="733">
        <f t="shared" si="13"/>
        <v>0</v>
      </c>
      <c r="P119" s="733">
        <f t="shared" si="13"/>
        <v>0</v>
      </c>
      <c r="Q119" s="733">
        <f t="shared" si="13"/>
        <v>0</v>
      </c>
      <c r="R119" s="733">
        <f t="shared" si="13"/>
        <v>0</v>
      </c>
      <c r="S119" s="734" t="e">
        <f ca="1">SUM(D119:R119)</f>
        <v>#REF!</v>
      </c>
      <c r="T119" s="661"/>
      <c r="U119" s="661"/>
    </row>
    <row r="120" spans="1:21" s="680" customFormat="1" ht="16.5" customHeight="1" thickBot="1">
      <c r="B120" s="2235" t="s">
        <v>1798</v>
      </c>
      <c r="C120" s="2235"/>
      <c r="D120" s="733" t="e">
        <f t="shared" ca="1" si="13"/>
        <v>#REF!</v>
      </c>
      <c r="E120" s="733">
        <f t="shared" si="13"/>
        <v>0</v>
      </c>
      <c r="F120" s="733">
        <f t="shared" ca="1" si="13"/>
        <v>0</v>
      </c>
      <c r="G120" s="733">
        <f t="shared" ca="1" si="13"/>
        <v>0</v>
      </c>
      <c r="H120" s="733">
        <f t="shared" si="13"/>
        <v>0</v>
      </c>
      <c r="I120" s="733" t="e">
        <f t="shared" ca="1" si="13"/>
        <v>#REF!</v>
      </c>
      <c r="J120" s="733" t="e">
        <f t="shared" ca="1" si="13"/>
        <v>#REF!</v>
      </c>
      <c r="K120" s="733">
        <f t="shared" si="13"/>
        <v>0</v>
      </c>
      <c r="L120" s="733">
        <f t="shared" si="13"/>
        <v>0</v>
      </c>
      <c r="M120" s="733">
        <f t="shared" si="13"/>
        <v>0</v>
      </c>
      <c r="N120" s="733" t="e">
        <f t="shared" ca="1" si="13"/>
        <v>#REF!</v>
      </c>
      <c r="O120" s="733">
        <f t="shared" si="13"/>
        <v>0</v>
      </c>
      <c r="P120" s="733">
        <f t="shared" si="13"/>
        <v>0</v>
      </c>
      <c r="Q120" s="733">
        <f t="shared" si="13"/>
        <v>0</v>
      </c>
      <c r="R120" s="733">
        <f t="shared" si="13"/>
        <v>0</v>
      </c>
      <c r="S120" s="733" t="e">
        <f ca="1">SUM(D120:R120)</f>
        <v>#REF!</v>
      </c>
      <c r="T120" s="661"/>
      <c r="U120" s="661"/>
    </row>
    <row r="121" spans="1:21" s="680" customFormat="1" ht="24.6" customHeight="1" thickBot="1">
      <c r="B121" s="2236" t="s">
        <v>1802</v>
      </c>
      <c r="C121" s="2237"/>
      <c r="D121" s="2238"/>
      <c r="E121" s="2238"/>
      <c r="F121" s="2238"/>
      <c r="G121" s="2238"/>
      <c r="H121" s="2238"/>
      <c r="I121" s="2238"/>
      <c r="J121" s="2238"/>
      <c r="K121" s="2238"/>
      <c r="L121" s="2238"/>
      <c r="M121" s="2238"/>
      <c r="N121" s="2238"/>
      <c r="O121" s="2238"/>
      <c r="P121" s="2238"/>
      <c r="Q121" s="2238"/>
      <c r="R121" s="2238"/>
      <c r="S121" s="2239"/>
      <c r="T121" s="661"/>
      <c r="U121" s="661"/>
    </row>
    <row r="122" spans="1:21" s="680" customFormat="1" ht="16.5" customHeight="1" thickBot="1">
      <c r="B122" s="2240" t="s">
        <v>1803</v>
      </c>
      <c r="C122" s="2241"/>
      <c r="D122" s="735" t="e">
        <f t="shared" ref="D122:R122" ca="1" si="14">D44*D$20</f>
        <v>#REF!</v>
      </c>
      <c r="E122" s="735">
        <f t="shared" si="14"/>
        <v>0</v>
      </c>
      <c r="F122" s="735">
        <f t="shared" ca="1" si="14"/>
        <v>0</v>
      </c>
      <c r="G122" s="735">
        <f t="shared" si="14"/>
        <v>0</v>
      </c>
      <c r="H122" s="735" t="e">
        <f t="shared" ca="1" si="14"/>
        <v>#REF!</v>
      </c>
      <c r="I122" s="735">
        <f t="shared" si="14"/>
        <v>0</v>
      </c>
      <c r="J122" s="735" t="e">
        <f t="shared" ca="1" si="14"/>
        <v>#REF!</v>
      </c>
      <c r="K122" s="735">
        <f t="shared" si="14"/>
        <v>0</v>
      </c>
      <c r="L122" s="735">
        <f t="shared" si="14"/>
        <v>0</v>
      </c>
      <c r="M122" s="735">
        <f t="shared" si="14"/>
        <v>0</v>
      </c>
      <c r="N122" s="735">
        <f t="shared" si="14"/>
        <v>0</v>
      </c>
      <c r="O122" s="735" t="e">
        <f t="shared" ca="1" si="14"/>
        <v>#REF!</v>
      </c>
      <c r="P122" s="735">
        <f t="shared" si="14"/>
        <v>0</v>
      </c>
      <c r="Q122" s="735">
        <f t="shared" si="14"/>
        <v>0</v>
      </c>
      <c r="R122" s="735">
        <f t="shared" si="14"/>
        <v>0</v>
      </c>
      <c r="S122" s="735" t="e">
        <f ca="1">SUM(D122:R122)</f>
        <v>#REF!</v>
      </c>
      <c r="T122" s="661"/>
      <c r="U122" s="661"/>
    </row>
    <row r="123" spans="1:21" s="680" customFormat="1" ht="16.5" customHeight="1" thickBot="1">
      <c r="B123" s="2242" t="s">
        <v>107</v>
      </c>
      <c r="C123" s="2242"/>
      <c r="D123" s="737" t="e">
        <f ca="1">SUM(D113,D120,D122)</f>
        <v>#REF!</v>
      </c>
      <c r="E123" s="737">
        <f t="shared" ref="E123:S123" ca="1" si="15">SUM(E113,E120,E122)</f>
        <v>0</v>
      </c>
      <c r="F123" s="737">
        <f t="shared" ca="1" si="15"/>
        <v>0</v>
      </c>
      <c r="G123" s="737">
        <f t="shared" ca="1" si="15"/>
        <v>0</v>
      </c>
      <c r="H123" s="737" t="e">
        <f t="shared" ca="1" si="15"/>
        <v>#REF!</v>
      </c>
      <c r="I123" s="737" t="e">
        <f t="shared" ca="1" si="15"/>
        <v>#REF!</v>
      </c>
      <c r="J123" s="737" t="e">
        <f t="shared" ca="1" si="15"/>
        <v>#REF!</v>
      </c>
      <c r="K123" s="737">
        <f t="shared" si="15"/>
        <v>0</v>
      </c>
      <c r="L123" s="737">
        <f t="shared" ca="1" si="15"/>
        <v>0</v>
      </c>
      <c r="M123" s="737">
        <f t="shared" ca="1" si="15"/>
        <v>0</v>
      </c>
      <c r="N123" s="737" t="e">
        <f t="shared" ca="1" si="15"/>
        <v>#REF!</v>
      </c>
      <c r="O123" s="737" t="e">
        <f t="shared" ca="1" si="15"/>
        <v>#REF!</v>
      </c>
      <c r="P123" s="737">
        <f t="shared" ca="1" si="15"/>
        <v>0</v>
      </c>
      <c r="Q123" s="737">
        <f t="shared" ca="1" si="15"/>
        <v>0</v>
      </c>
      <c r="R123" s="737">
        <f t="shared" ca="1" si="15"/>
        <v>0</v>
      </c>
      <c r="S123" s="737" t="e">
        <f t="shared" ca="1" si="15"/>
        <v>#REF!</v>
      </c>
      <c r="T123" s="661"/>
      <c r="U123" s="661"/>
    </row>
    <row r="125" spans="1:21" s="686" customFormat="1" ht="24.75" customHeight="1">
      <c r="A125" s="662"/>
      <c r="B125" s="662"/>
      <c r="C125" s="662"/>
      <c r="D125" s="662"/>
      <c r="E125" s="662"/>
      <c r="F125" s="662"/>
      <c r="G125" s="662"/>
      <c r="H125" s="662"/>
      <c r="I125" s="662"/>
      <c r="J125" s="662"/>
      <c r="K125" s="662"/>
      <c r="L125" s="662"/>
      <c r="M125" s="662"/>
      <c r="N125" s="662"/>
      <c r="O125" s="662"/>
      <c r="P125" s="662"/>
      <c r="Q125" s="717"/>
      <c r="R125" s="718"/>
      <c r="S125" s="719"/>
      <c r="U125" s="720"/>
    </row>
  </sheetData>
  <sheetProtection algorithmName="SHA-512" hashValue="Y3XcoX9hnGnYOOZLaV7qJwViy7vdeXY2lj9+nq4p8Y+H8q9tnJYMhs0NMDdU6BuEvVXmzW6t9zwnhrt0CgmZKw==" saltValue="9C6YBPy+6I4hQMMz5O98Ow==" spinCount="100000" sheet="1" formatRows="0"/>
  <mergeCells count="105">
    <mergeCell ref="B16:C16"/>
    <mergeCell ref="C18:D18"/>
    <mergeCell ref="E18:E19"/>
    <mergeCell ref="F18:M18"/>
    <mergeCell ref="N18:R18"/>
    <mergeCell ref="B28:S28"/>
    <mergeCell ref="B29:C29"/>
    <mergeCell ref="B30:C30"/>
    <mergeCell ref="I4:L4"/>
    <mergeCell ref="B31:C31"/>
    <mergeCell ref="B32:C32"/>
    <mergeCell ref="B33:C33"/>
    <mergeCell ref="B23:C23"/>
    <mergeCell ref="B25:C27"/>
    <mergeCell ref="D25:S25"/>
    <mergeCell ref="D26:D27"/>
    <mergeCell ref="E26:E27"/>
    <mergeCell ref="F26:M26"/>
    <mergeCell ref="N26:R26"/>
    <mergeCell ref="S26:S27"/>
    <mergeCell ref="B40:C40"/>
    <mergeCell ref="B41:C41"/>
    <mergeCell ref="B42:C42"/>
    <mergeCell ref="B43:S43"/>
    <mergeCell ref="B44:C44"/>
    <mergeCell ref="B45:C45"/>
    <mergeCell ref="B34:C34"/>
    <mergeCell ref="B35:C35"/>
    <mergeCell ref="B36:S36"/>
    <mergeCell ref="B37:C37"/>
    <mergeCell ref="B38:C38"/>
    <mergeCell ref="B39:C39"/>
    <mergeCell ref="P58:Q59"/>
    <mergeCell ref="F59:J59"/>
    <mergeCell ref="K59:K60"/>
    <mergeCell ref="L59:L60"/>
    <mergeCell ref="M59:M60"/>
    <mergeCell ref="B47:M47"/>
    <mergeCell ref="B49:C49"/>
    <mergeCell ref="B50:C50"/>
    <mergeCell ref="B51:C51"/>
    <mergeCell ref="B52:C52"/>
    <mergeCell ref="B53:C53"/>
    <mergeCell ref="N59:N60"/>
    <mergeCell ref="O59:O60"/>
    <mergeCell ref="B61:C61"/>
    <mergeCell ref="B62:C62"/>
    <mergeCell ref="B63:C63"/>
    <mergeCell ref="B67:C69"/>
    <mergeCell ref="D67:E68"/>
    <mergeCell ref="F67:O67"/>
    <mergeCell ref="B54:C54"/>
    <mergeCell ref="B56:H56"/>
    <mergeCell ref="B58:C60"/>
    <mergeCell ref="D58:E59"/>
    <mergeCell ref="F58:O58"/>
    <mergeCell ref="B70:C70"/>
    <mergeCell ref="B71:C71"/>
    <mergeCell ref="B72:C72"/>
    <mergeCell ref="B73:C73"/>
    <mergeCell ref="C82:D82"/>
    <mergeCell ref="E82:E83"/>
    <mergeCell ref="P67:Q68"/>
    <mergeCell ref="F68:J68"/>
    <mergeCell ref="K68:K69"/>
    <mergeCell ref="L68:L69"/>
    <mergeCell ref="M68:M69"/>
    <mergeCell ref="N68:N69"/>
    <mergeCell ref="O68:O69"/>
    <mergeCell ref="B93:C93"/>
    <mergeCell ref="B94:C94"/>
    <mergeCell ref="B95:C95"/>
    <mergeCell ref="B96:C96"/>
    <mergeCell ref="B97:C97"/>
    <mergeCell ref="B103:C105"/>
    <mergeCell ref="F82:M82"/>
    <mergeCell ref="N82:R82"/>
    <mergeCell ref="B87:K87"/>
    <mergeCell ref="B89:C89"/>
    <mergeCell ref="B90:C90"/>
    <mergeCell ref="B91:C91"/>
    <mergeCell ref="B106:S106"/>
    <mergeCell ref="B107:C107"/>
    <mergeCell ref="B108:C108"/>
    <mergeCell ref="B109:C109"/>
    <mergeCell ref="B110:C110"/>
    <mergeCell ref="B111:C111"/>
    <mergeCell ref="D103:S103"/>
    <mergeCell ref="D104:D105"/>
    <mergeCell ref="E104:E105"/>
    <mergeCell ref="F104:M104"/>
    <mergeCell ref="N104:R104"/>
    <mergeCell ref="S104:S105"/>
    <mergeCell ref="B118:C118"/>
    <mergeCell ref="B119:C119"/>
    <mergeCell ref="B120:C120"/>
    <mergeCell ref="B121:S121"/>
    <mergeCell ref="B122:C122"/>
    <mergeCell ref="B123:C123"/>
    <mergeCell ref="B112:C112"/>
    <mergeCell ref="B113:C113"/>
    <mergeCell ref="B114:S114"/>
    <mergeCell ref="B115:C115"/>
    <mergeCell ref="B116:C116"/>
    <mergeCell ref="B117:C117"/>
  </mergeCells>
  <dataValidations count="18">
    <dataValidation allowBlank="1" showInputMessage="1" showErrorMessage="1" prompt="Refers to any other non-energy related sector. Negative numbers are allowed in this cell, in case you need to report emissions reduction achieved through e.g. green infrastructures." sqref="B94:C94" xr:uid="{2953BC66-DA4B-451B-A864-5F00916A6A4E}"/>
    <dataValidation allowBlank="1" showInputMessage="1" showErrorMessage="1" prompt="Buildings, facilities and machinery of the primary sector (agriculture, forestry, fisheries), for example greenhouses, livestock facilities, irrigation, farm machinery and fishing boats." sqref="B44:C44 B122:C122" xr:uid="{D0CF7599-F41E-4A69-91ED-621C7FE3860C}"/>
    <dataValidation allowBlank="1" showInputMessage="1" showErrorMessage="1" prompt="Refers to emissions not related to energy, such as CH4 from landfills." sqref="B90:B92 C90 C92 B96:B97 C96" xr:uid="{3ED48038-D430-4E18-BB60-020580C14DBE}"/>
    <dataValidation allowBlank="1" showInputMessage="1" showErrorMessage="1" prompt="Refers to emissions not related to energy, such as to CH4 and N2O emissions from wastewater treatment plants." sqref="B93:C93" xr:uid="{59D94F7C-03FF-4F6F-BE7E-F2854BB1A610}"/>
    <dataValidation allowBlank="1" showInputMessage="1" showErrorMessage="1" prompt="Refers to manufacturing and construction industries." sqref="B34 B112" xr:uid="{E4F07EF4-9E61-44A4-9142-DE69D4B49818}"/>
    <dataValidation allowBlank="1" showInputMessage="1" showErrorMessage="1" prompt="Road, rail and boat transport in the territory of the local authority which refer to the transport of persons and goods not specified above (e.g. private passenger cars and freight transport)." sqref="B41:C41 B119:C119" xr:uid="{95DD84D6-1718-4148-97E0-DAE20B032517}"/>
    <dataValidation allowBlank="1" showInputMessage="1" showErrorMessage="1" prompt="Bus, tramway, metro, urban rail transportation and local ferries used for passenger transport." sqref="B38:B40 C38 B116:B118 C116" xr:uid="{2EAF212A-FE62-42F4-973B-ADC14DB914EE}"/>
    <dataValidation allowBlank="1" showInputMessage="1" showErrorMessage="1" prompt="Vehicles owned and used by the local authority/administration." sqref="B37:C37 B115:C115" xr:uid="{21E3625C-52F9-4085-9581-4AAA70496ECE}"/>
    <dataValidation allowBlank="1" showInputMessage="1" showErrorMessage="1" prompt="Public lighting owned or operated by the local authority (e.g. street lighting and traffic lights). Non-municipal public lighting is included in the sector of “Tertiary buildings, equipment/facilities”." sqref="B31:C31 B109:C109" xr:uid="{7673553F-8067-4831-AF80-3DE80852B586}"/>
    <dataValidation allowBlank="1" showInputMessage="1" showErrorMessage="1" prompt="Buildings that are primarily used as residential buildings. Social housing should be included in this sector." sqref="B33:C33 B111:C111" xr:uid="{3F63F112-682F-4622-85BF-792CCE009368}"/>
    <dataValidation allowBlank="1" showInputMessage="1" showErrorMessage="1" prompt="Buildings and facilities owned by the local authority. Facilities refer to energy consuming entities that are not buildings, such as wastewater treatment plants." sqref="B30:C31 B108:C109" xr:uid="{BBB0F79C-85B7-4C14-8E35-CB56AA48853E}"/>
    <dataValidation allowBlank="1" showInputMessage="1" showErrorMessage="1" prompt="NEEFE - Emission factor for not locally produced electricity. It refers to the energy mix used to produce electricity into the national or regional grid._x000a_This factor is used to calculate emissions when there is no local electricity production._x000a_" sqref="C83 C19" xr:uid="{01DFF5C5-6DEC-404D-809C-C515F2CE7C1E}"/>
    <dataValidation allowBlank="1" showInputMessage="1" showErrorMessage="1" prompt="EFE - Emission factor adjusted for locally produced electricity and green electricity purchases. _x000a_This factor is used to calculate emissions when there is local electricity production." sqref="D83 D19" xr:uid="{BE96D732-A25A-4841-882C-A84219F65E9D}"/>
    <dataValidation allowBlank="1" showInputMessage="1" showErrorMessage="1" prompt="The base year is the reference year against which your target is compared to. If you have set more than one target in your action plan, it is highly recommended to keep the same base year." sqref="B3" xr:uid="{5994D871-DF00-4B98-95ED-51A23BC68E34}"/>
    <dataValidation allowBlank="1" showInputMessage="1" showErrorMessage="1" prompt="Same base year as indicated in the 'Strategy' part. " sqref="D3" xr:uid="{09206A4B-C309-41FE-84E5-AA6456ED1169}"/>
    <dataValidation allowBlank="1" showInputMessage="1" showErrorMessage="1" prompt="Emission factors are coefficients which quantify the emissions per unit of activity. Tick the box corresponding to your choice of emission factors." sqref="B9" xr:uid="{A4FE6AE8-5EAD-4E02-A571-669D7127E9CD}"/>
    <dataValidation allowBlank="1" showInputMessage="1" showErrorMessage="1" prompt="Tick the box corresponding to the emission reporting unit adopted for your emission inventory. " sqref="B13" xr:uid="{301D9523-029A-44D2-8299-E4F998A4E771}"/>
    <dataValidation allowBlank="1" showInputMessage="1" showErrorMessage="1" prompt="The table below will use the value inserted here to calculate your CO2 emissions. " sqref="D84 D20" xr:uid="{0CE394E9-5227-460D-BA3E-C5C2DAAD453A}"/>
  </dataValidations>
  <hyperlinks>
    <hyperlink ref="F81" location="EFs!A1" display="Click here to visualise fuel emission factors" xr:uid="{298772ED-ECC2-489F-B4D2-D2051349FA36}"/>
    <hyperlink ref="G81" location="EFs!A1" display="EFs!A1" xr:uid="{57B65C05-26DD-4305-B23E-01A99D471F64}"/>
    <hyperlink ref="H81" location="EFs!A1" display="EFs!A1" xr:uid="{961AB1EC-BC64-47AE-A56D-2702F016C9E1}"/>
    <hyperlink ref="I81" location="EFs!A1" display="EFs!A1" xr:uid="{9EB372D3-2306-4C52-8BAB-B264D50EC98A}"/>
    <hyperlink ref="I17" location="EFs!A1" display="EFs!A1" xr:uid="{C981CE4B-460D-455E-A4FD-AB674F176C53}"/>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5B6F7-D517-45AB-8673-E4CCF1666B6B}">
  <sheetPr codeName="Feuil5">
    <tabColor theme="8" tint="0.79998168889431442"/>
  </sheetPr>
  <dimension ref="C8:J46"/>
  <sheetViews>
    <sheetView showGridLines="0" zoomScale="90" zoomScaleNormal="90" workbookViewId="0">
      <selection activeCell="D15" sqref="D15"/>
    </sheetView>
  </sheetViews>
  <sheetFormatPr baseColWidth="10" defaultColWidth="11.44140625" defaultRowHeight="14.4"/>
  <cols>
    <col min="1" max="1" width="23" customWidth="1"/>
    <col min="2" max="2" width="6.5546875" customWidth="1"/>
    <col min="3" max="3" width="46.88671875" bestFit="1" customWidth="1"/>
    <col min="4" max="4" width="14.5546875" customWidth="1"/>
    <col min="5" max="6" width="24.88671875" customWidth="1"/>
    <col min="7" max="7" width="13.5546875" customWidth="1"/>
    <col min="8" max="8" width="13.44140625" customWidth="1"/>
    <col min="9" max="9" width="16" customWidth="1"/>
  </cols>
  <sheetData>
    <row r="8" spans="3:10" ht="12" customHeight="1"/>
    <row r="9" spans="3:10" ht="17.399999999999999" customHeight="1"/>
    <row r="10" spans="3:10">
      <c r="F10" s="2278" t="s">
        <v>1855</v>
      </c>
      <c r="G10" s="2279"/>
      <c r="H10" s="2279"/>
      <c r="I10" s="2279"/>
      <c r="J10" s="2280"/>
    </row>
    <row r="11" spans="3:10" ht="72" customHeight="1">
      <c r="C11" s="2249" t="s">
        <v>1856</v>
      </c>
      <c r="D11" s="2249"/>
      <c r="E11" s="2249"/>
      <c r="F11" s="2249"/>
      <c r="G11" s="2249"/>
      <c r="H11" s="2249"/>
      <c r="I11" s="2249"/>
    </row>
    <row r="12" spans="3:10" ht="15" thickBot="1">
      <c r="C12" s="2284" t="s">
        <v>708</v>
      </c>
      <c r="D12" s="2284"/>
      <c r="E12" s="2284"/>
      <c r="F12" s="2284"/>
      <c r="G12" s="2284"/>
      <c r="H12" s="2284"/>
      <c r="I12" s="2284"/>
      <c r="J12" s="2285"/>
    </row>
    <row r="13" spans="3:10" ht="43.8" thickBot="1">
      <c r="C13" s="723"/>
      <c r="D13" s="650" t="s">
        <v>1857</v>
      </c>
      <c r="E13" s="650" t="s">
        <v>80</v>
      </c>
      <c r="F13" s="650" t="s">
        <v>1858</v>
      </c>
      <c r="G13" s="650" t="s">
        <v>4</v>
      </c>
      <c r="H13" s="650" t="s">
        <v>1859</v>
      </c>
      <c r="I13" s="650" t="s">
        <v>1860</v>
      </c>
      <c r="J13" s="650" t="s">
        <v>1861</v>
      </c>
    </row>
    <row r="14" spans="3:10" ht="15" thickBot="1">
      <c r="C14" s="658" t="s">
        <v>1862</v>
      </c>
      <c r="D14" s="1059"/>
      <c r="E14" s="658" t="s">
        <v>1863</v>
      </c>
      <c r="F14" s="658">
        <v>2020</v>
      </c>
      <c r="G14" s="1058"/>
      <c r="H14" s="1059"/>
      <c r="I14" s="1060"/>
      <c r="J14" s="1060"/>
    </row>
    <row r="15" spans="3:10" ht="15" thickBot="1">
      <c r="C15" s="1056" t="s">
        <v>1864</v>
      </c>
      <c r="D15" s="1063" t="e">
        <f ca="1">-Objectifs!G5*100</f>
        <v>#REF!</v>
      </c>
      <c r="E15" s="1057" t="s">
        <v>1863</v>
      </c>
      <c r="F15" s="1056">
        <v>2030</v>
      </c>
      <c r="G15" s="1061">
        <v>2006</v>
      </c>
      <c r="H15" s="1062" t="str">
        <f>IF(Objectifs!C3="Absolu","absolue","par habitant")</f>
        <v>absolue</v>
      </c>
      <c r="I15" s="1064" t="e">
        <f>'Calcul obj relatif'!C2</f>
        <v>#N/A</v>
      </c>
      <c r="J15" s="1065" t="s">
        <v>1752</v>
      </c>
    </row>
    <row r="17" spans="3:10" ht="15" thickBot="1">
      <c r="C17" s="2284" t="s">
        <v>327</v>
      </c>
      <c r="D17" s="2284"/>
      <c r="E17" s="2284"/>
      <c r="F17" s="2284"/>
      <c r="G17" s="2284"/>
      <c r="H17" s="2284"/>
      <c r="I17" s="2284"/>
      <c r="J17" s="2285"/>
    </row>
    <row r="18" spans="3:10" ht="43.8" thickBot="1">
      <c r="C18" s="650" t="s">
        <v>325</v>
      </c>
      <c r="D18" s="650" t="s">
        <v>1865</v>
      </c>
      <c r="E18" s="650" t="s">
        <v>1866</v>
      </c>
      <c r="F18" s="650" t="s">
        <v>1858</v>
      </c>
      <c r="G18" s="650" t="s">
        <v>1867</v>
      </c>
      <c r="H18" s="650" t="s">
        <v>4</v>
      </c>
      <c r="I18" s="650" t="s">
        <v>1868</v>
      </c>
      <c r="J18" s="650" t="s">
        <v>1869</v>
      </c>
    </row>
    <row r="19" spans="3:10" ht="15" thickBot="1">
      <c r="C19" s="1067" t="str">
        <f>IF(Objectifs!C65=0,"",Objectifs!C65)</f>
        <v/>
      </c>
      <c r="D19" s="1066"/>
      <c r="E19" s="651"/>
      <c r="F19" s="793"/>
      <c r="G19" s="651"/>
      <c r="H19" s="793"/>
      <c r="I19" s="651"/>
      <c r="J19" s="651"/>
    </row>
    <row r="20" spans="3:10" ht="15" thickBot="1">
      <c r="C20" s="1068" t="str">
        <f>IF(Objectifs!C66=0,"",Objectifs!C66)</f>
        <v/>
      </c>
      <c r="D20" s="1066"/>
      <c r="E20" s="651"/>
      <c r="F20" s="793"/>
      <c r="G20" s="651"/>
      <c r="H20" s="793"/>
      <c r="I20" s="651"/>
      <c r="J20" s="651"/>
    </row>
    <row r="21" spans="3:10" ht="15" thickBot="1">
      <c r="C21" s="1068" t="str">
        <f>IF(Objectifs!C73=0,"",Objectifs!C73)</f>
        <v/>
      </c>
      <c r="D21" s="1066"/>
      <c r="E21" s="651"/>
      <c r="F21" s="793"/>
      <c r="G21" s="651"/>
      <c r="H21" s="793"/>
      <c r="I21" s="651"/>
      <c r="J21" s="651"/>
    </row>
    <row r="22" spans="3:10" ht="15" thickBot="1">
      <c r="C22" s="1069" t="str">
        <f>IF(Objectifs!C74=0,"",Objectifs!C74)</f>
        <v/>
      </c>
      <c r="D22" s="1066"/>
      <c r="E22" s="651"/>
      <c r="F22" s="793"/>
      <c r="G22" s="651"/>
      <c r="H22" s="793"/>
      <c r="I22" s="651"/>
      <c r="J22" s="651"/>
    </row>
    <row r="24" spans="3:10" ht="36" customHeight="1">
      <c r="C24" s="2249" t="s">
        <v>1870</v>
      </c>
      <c r="D24" s="2249"/>
      <c r="E24" s="2249"/>
      <c r="F24" s="2249"/>
      <c r="G24" s="2249"/>
      <c r="H24" s="2249"/>
      <c r="I24" s="2249"/>
    </row>
    <row r="25" spans="3:10" ht="15" thickBot="1">
      <c r="C25" s="2286" t="s">
        <v>1079</v>
      </c>
      <c r="D25" s="2287" t="s">
        <v>1871</v>
      </c>
      <c r="E25" s="2284"/>
      <c r="F25" s="2285"/>
      <c r="G25" s="2287" t="s">
        <v>1872</v>
      </c>
      <c r="H25" s="2284"/>
      <c r="I25" s="2285"/>
    </row>
    <row r="26" spans="3:10" ht="72.599999999999994" thickBot="1">
      <c r="C26" s="2286"/>
      <c r="D26" s="650" t="s">
        <v>708</v>
      </c>
      <c r="E26" s="650" t="s">
        <v>327</v>
      </c>
      <c r="F26" s="650" t="s">
        <v>1873</v>
      </c>
      <c r="G26" s="650" t="s">
        <v>708</v>
      </c>
      <c r="H26" s="650" t="s">
        <v>327</v>
      </c>
      <c r="I26" s="650" t="s">
        <v>1873</v>
      </c>
    </row>
    <row r="27" spans="3:10" ht="16.2" thickBot="1">
      <c r="C27" s="652" t="s">
        <v>773</v>
      </c>
      <c r="D27" s="793"/>
      <c r="E27" s="793"/>
      <c r="F27" s="1070"/>
      <c r="G27" s="1073" t="s">
        <v>1752</v>
      </c>
      <c r="H27" s="1074" t="s">
        <v>1752</v>
      </c>
      <c r="I27" s="1075">
        <f ca="1">IF(SUM(Planning!C79:BC79)=0,,AVERAGEIF(Planning!C79:BC79,"&gt;0",Planning!C79:BC79))/220</f>
        <v>0</v>
      </c>
    </row>
    <row r="28" spans="3:10" ht="29.4" thickBot="1">
      <c r="C28" s="653" t="s">
        <v>1874</v>
      </c>
      <c r="D28" s="793"/>
      <c r="E28" s="793"/>
      <c r="F28" s="651"/>
      <c r="G28" s="1071"/>
      <c r="H28" s="1071"/>
      <c r="I28" s="1072"/>
    </row>
    <row r="29" spans="3:10" ht="15" thickBot="1">
      <c r="C29" s="652" t="s">
        <v>1875</v>
      </c>
      <c r="D29" s="793"/>
      <c r="E29" s="793"/>
      <c r="F29" s="651"/>
      <c r="G29" s="793"/>
      <c r="H29" s="793"/>
      <c r="I29" s="651"/>
    </row>
    <row r="30" spans="3:10" ht="15" thickBot="1">
      <c r="C30" s="652" t="s">
        <v>298</v>
      </c>
      <c r="D30" s="793"/>
      <c r="E30" s="793"/>
      <c r="F30" s="651"/>
      <c r="G30" s="793"/>
      <c r="H30" s="793"/>
      <c r="I30" s="651"/>
    </row>
    <row r="31" spans="3:10" ht="15" thickBot="1">
      <c r="C31" s="652" t="s">
        <v>107</v>
      </c>
      <c r="D31" s="659"/>
      <c r="E31" s="659"/>
      <c r="F31" s="654"/>
      <c r="G31" s="659"/>
      <c r="H31" s="659"/>
      <c r="I31" s="654"/>
    </row>
    <row r="34" spans="3:8" ht="18">
      <c r="C34" s="655" t="s">
        <v>1715</v>
      </c>
    </row>
    <row r="35" spans="3:8" ht="15" customHeight="1" thickBot="1">
      <c r="C35" s="2281" t="s">
        <v>1876</v>
      </c>
      <c r="D35" s="2281"/>
      <c r="E35" s="2282"/>
      <c r="F35" s="2283" t="s">
        <v>1877</v>
      </c>
      <c r="G35" s="2281"/>
      <c r="H35" s="2282"/>
    </row>
    <row r="36" spans="3:8" ht="15" thickBot="1">
      <c r="C36" s="1078" t="s">
        <v>1878</v>
      </c>
      <c r="D36" s="1076" t="s">
        <v>708</v>
      </c>
      <c r="E36" s="1084">
        <f ca="1">1-E37</f>
        <v>1</v>
      </c>
      <c r="F36" s="1082" t="s">
        <v>1878</v>
      </c>
      <c r="G36" s="1076" t="s">
        <v>708</v>
      </c>
      <c r="H36" s="1080">
        <f ca="1">1-H37</f>
        <v>1</v>
      </c>
    </row>
    <row r="37" spans="3:8" ht="15" thickBot="1">
      <c r="C37" s="1079">
        <f ca="1">Budget!E19-Budget!E18</f>
        <v>0</v>
      </c>
      <c r="D37" s="1077" t="s">
        <v>327</v>
      </c>
      <c r="E37" s="1081">
        <f ca="1">IF(SUM(Budget!$E$5:$E$6,Budget!$E$10:$E$11,Budget!$E$15:$E$17)=0,,Budget!$E$17/SUM(Budget!$E$5:$E$6,Budget!$E$10:$E$11,Budget!$E$15:$E$17))</f>
        <v>0</v>
      </c>
      <c r="F37" s="1083">
        <f ca="1">SUM(Actions!AB2:AB70)</f>
        <v>0</v>
      </c>
      <c r="G37" s="1077" t="s">
        <v>327</v>
      </c>
      <c r="H37" s="1081">
        <f ca="1">IF(F37=0,,SUMIF(Actions!D2:D46,'Ma stratégie '!G37,Actions!AB2:AB46)/F37)</f>
        <v>0</v>
      </c>
    </row>
    <row r="38" spans="3:8" ht="15" thickBot="1"/>
    <row r="39" spans="3:8" ht="15" thickBot="1">
      <c r="C39" s="656" t="s">
        <v>1879</v>
      </c>
      <c r="D39" s="1088">
        <f t="array" aca="1" ref="D39" ca="1">MIN(IF(Actions!Y2:Y70&lt;&gt;0,Actions!Y2:Y70))</f>
        <v>0</v>
      </c>
      <c r="E39" s="1089">
        <f ca="1">MAX(Actions!Z2:Z70)</f>
        <v>0</v>
      </c>
      <c r="F39" s="545">
        <f ca="1">IF(D39=E39,1,E39-D39)</f>
        <v>1</v>
      </c>
      <c r="G39" s="545" t="s">
        <v>1880</v>
      </c>
    </row>
    <row r="41" spans="3:8" ht="29.4" thickBot="1">
      <c r="C41" s="657" t="s">
        <v>1881</v>
      </c>
      <c r="D41" s="1017"/>
      <c r="E41" s="1017" t="s">
        <v>1882</v>
      </c>
    </row>
    <row r="42" spans="3:8" ht="15" thickBot="1">
      <c r="C42" s="1076" t="s">
        <v>1292</v>
      </c>
      <c r="D42" s="1086">
        <f ca="1">SUM(Budget!$G$5:$G$6,Budget!$G$10:$G$12,Budget!$G$15:$G$17)</f>
        <v>0</v>
      </c>
      <c r="E42" s="1087">
        <f ca="1">IF(D42=0,0,D42/SUM(D42,D44))</f>
        <v>0</v>
      </c>
    </row>
    <row r="43" spans="3:8" ht="15" thickBot="1">
      <c r="C43" s="653" t="s">
        <v>1883</v>
      </c>
      <c r="D43" s="1085"/>
      <c r="E43" s="1085"/>
    </row>
    <row r="44" spans="3:8" ht="15" thickBot="1">
      <c r="C44" s="1076" t="s">
        <v>1884</v>
      </c>
      <c r="D44" s="1086">
        <f ca="1">Budget!$F$19</f>
        <v>0</v>
      </c>
      <c r="E44" s="1087">
        <f ca="1">IF(D44=0,0,1-E42)</f>
        <v>0</v>
      </c>
    </row>
    <row r="45" spans="3:8" ht="15" thickBot="1">
      <c r="C45" s="652" t="s">
        <v>1885</v>
      </c>
      <c r="D45" s="1071"/>
      <c r="E45" s="1072"/>
    </row>
    <row r="46" spans="3:8" ht="15" thickBot="1">
      <c r="C46" s="652" t="s">
        <v>1886</v>
      </c>
      <c r="D46" s="793"/>
      <c r="E46" s="651"/>
    </row>
  </sheetData>
  <sheetProtection algorithmName="SHA-512" hashValue="iqL5KflLqh2knU2fSYawqH4Qb95B7TQF88E+JjPrt5IVOq5ZggdjbfFcZyccOPkbQev9Z4sq5J8BRmNKxu8gbA==" saltValue="co27ZZURXEhPJ+Hq0CT3dg==" spinCount="100000" sheet="1" objects="1" scenarios="1"/>
  <mergeCells count="10">
    <mergeCell ref="F10:J10"/>
    <mergeCell ref="C35:E35"/>
    <mergeCell ref="F35:H35"/>
    <mergeCell ref="C12:J12"/>
    <mergeCell ref="C11:I11"/>
    <mergeCell ref="C17:J17"/>
    <mergeCell ref="C25:C26"/>
    <mergeCell ref="D25:F25"/>
    <mergeCell ref="G25:I25"/>
    <mergeCell ref="C24:I24"/>
  </mergeCells>
  <pageMargins left="0.7" right="0.7" top="0.75" bottom="0.75" header="0.3" footer="0.3"/>
  <pageSetup paperSize="9"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7"/>
  <dimension ref="A1:K22"/>
  <sheetViews>
    <sheetView zoomScale="70" zoomScaleNormal="70" workbookViewId="0">
      <selection activeCell="C7" sqref="C7"/>
    </sheetView>
  </sheetViews>
  <sheetFormatPr baseColWidth="10" defaultColWidth="9.109375" defaultRowHeight="14.4"/>
  <cols>
    <col min="1" max="1" width="9.109375" customWidth="1"/>
    <col min="2" max="2" width="40" customWidth="1"/>
    <col min="3" max="3" width="25.44140625" bestFit="1" customWidth="1"/>
    <col min="4" max="4" width="16.5546875" customWidth="1"/>
    <col min="5" max="5" width="9.109375" customWidth="1"/>
    <col min="6" max="6" width="14.44140625" customWidth="1"/>
    <col min="7" max="7" width="9.109375" customWidth="1"/>
    <col min="8" max="8" width="65.44140625" bestFit="1" customWidth="1"/>
    <col min="9" max="9" width="9.109375" customWidth="1"/>
    <col min="10" max="10" width="16.5546875" customWidth="1"/>
    <col min="11" max="11" width="9.109375" customWidth="1"/>
    <col min="12" max="12" width="255.5546875" bestFit="1" customWidth="1"/>
  </cols>
  <sheetData>
    <row r="1" spans="1:11" s="77" customFormat="1" ht="86.4">
      <c r="C1" s="214" t="s">
        <v>103</v>
      </c>
      <c r="D1" s="214" t="s">
        <v>1052</v>
      </c>
      <c r="E1" s="214" t="s">
        <v>721</v>
      </c>
      <c r="F1" s="214" t="s">
        <v>722</v>
      </c>
      <c r="G1" s="214" t="s">
        <v>723</v>
      </c>
      <c r="H1" s="214" t="s">
        <v>724</v>
      </c>
      <c r="I1" s="214" t="s">
        <v>725</v>
      </c>
      <c r="J1" s="214" t="s">
        <v>91</v>
      </c>
      <c r="K1" s="214" t="s">
        <v>727</v>
      </c>
    </row>
    <row r="3" spans="1:11">
      <c r="A3">
        <v>1</v>
      </c>
      <c r="B3" t="s">
        <v>1887</v>
      </c>
      <c r="C3" t="s">
        <v>201</v>
      </c>
      <c r="D3" t="s">
        <v>829</v>
      </c>
      <c r="E3" t="s">
        <v>781</v>
      </c>
      <c r="F3" t="s">
        <v>180</v>
      </c>
      <c r="G3" t="s">
        <v>3</v>
      </c>
      <c r="H3" t="s">
        <v>1888</v>
      </c>
      <c r="I3" t="s">
        <v>1889</v>
      </c>
      <c r="J3" t="s">
        <v>1890</v>
      </c>
      <c r="K3" t="s">
        <v>3</v>
      </c>
    </row>
    <row r="4" spans="1:11">
      <c r="A4">
        <v>2</v>
      </c>
      <c r="B4" t="s">
        <v>1891</v>
      </c>
      <c r="C4" t="s">
        <v>824</v>
      </c>
      <c r="D4" t="s">
        <v>215</v>
      </c>
      <c r="E4" t="s">
        <v>841</v>
      </c>
      <c r="F4" t="s">
        <v>1099</v>
      </c>
      <c r="G4" t="s">
        <v>3</v>
      </c>
      <c r="H4" t="s">
        <v>1892</v>
      </c>
      <c r="I4" t="s">
        <v>1893</v>
      </c>
      <c r="J4" t="s">
        <v>1894</v>
      </c>
      <c r="K4" t="s">
        <v>3</v>
      </c>
    </row>
    <row r="5" spans="1:11">
      <c r="A5">
        <v>3</v>
      </c>
      <c r="B5" t="s">
        <v>1895</v>
      </c>
      <c r="C5" t="s">
        <v>661</v>
      </c>
      <c r="D5" t="s">
        <v>853</v>
      </c>
      <c r="E5" t="s">
        <v>781</v>
      </c>
      <c r="F5" t="s">
        <v>180</v>
      </c>
      <c r="G5" t="s">
        <v>3</v>
      </c>
      <c r="H5" t="s">
        <v>1896</v>
      </c>
      <c r="I5" t="s">
        <v>1897</v>
      </c>
      <c r="J5" t="s">
        <v>1898</v>
      </c>
      <c r="K5" t="s">
        <v>3</v>
      </c>
    </row>
    <row r="6" spans="1:11">
      <c r="A6">
        <v>4</v>
      </c>
      <c r="B6" t="s">
        <v>1899</v>
      </c>
      <c r="C6" t="s">
        <v>661</v>
      </c>
      <c r="D6" t="s">
        <v>829</v>
      </c>
      <c r="E6" t="s">
        <v>781</v>
      </c>
      <c r="F6" t="s">
        <v>1099</v>
      </c>
      <c r="G6" t="s">
        <v>3</v>
      </c>
      <c r="H6" t="s">
        <v>1900</v>
      </c>
      <c r="I6" t="s">
        <v>1901</v>
      </c>
      <c r="J6" t="s">
        <v>1902</v>
      </c>
      <c r="K6" t="s">
        <v>1903</v>
      </c>
    </row>
    <row r="7" spans="1:11" ht="86.25" customHeight="1">
      <c r="A7">
        <v>5</v>
      </c>
      <c r="B7" t="s">
        <v>1904</v>
      </c>
      <c r="C7" t="s">
        <v>200</v>
      </c>
      <c r="D7" t="s">
        <v>1063</v>
      </c>
      <c r="E7" t="s">
        <v>791</v>
      </c>
      <c r="F7" t="s">
        <v>180</v>
      </c>
      <c r="G7" t="s">
        <v>3</v>
      </c>
      <c r="H7" t="s">
        <v>1905</v>
      </c>
      <c r="I7" s="227" t="s">
        <v>1906</v>
      </c>
      <c r="J7" t="s">
        <v>1907</v>
      </c>
      <c r="K7" t="s">
        <v>3</v>
      </c>
    </row>
    <row r="8" spans="1:11" ht="409.6">
      <c r="A8">
        <v>6</v>
      </c>
      <c r="B8" t="s">
        <v>1908</v>
      </c>
      <c r="C8" t="s">
        <v>200</v>
      </c>
      <c r="D8" t="s">
        <v>846</v>
      </c>
      <c r="E8" t="s">
        <v>781</v>
      </c>
      <c r="F8" t="s">
        <v>180</v>
      </c>
      <c r="G8" t="s">
        <v>3</v>
      </c>
      <c r="H8" t="s">
        <v>1908</v>
      </c>
      <c r="I8" s="227" t="s">
        <v>1909</v>
      </c>
      <c r="J8" t="s">
        <v>1910</v>
      </c>
      <c r="K8" t="s">
        <v>3</v>
      </c>
    </row>
    <row r="9" spans="1:11" ht="409.6">
      <c r="A9">
        <v>7</v>
      </c>
      <c r="B9" t="s">
        <v>1911</v>
      </c>
      <c r="C9" t="s">
        <v>200</v>
      </c>
      <c r="D9" t="s">
        <v>846</v>
      </c>
      <c r="E9" t="s">
        <v>781</v>
      </c>
      <c r="F9" t="s">
        <v>180</v>
      </c>
      <c r="G9" t="s">
        <v>1903</v>
      </c>
      <c r="H9" t="s">
        <v>1912</v>
      </c>
      <c r="I9" s="227" t="s">
        <v>1913</v>
      </c>
      <c r="J9" t="s">
        <v>1914</v>
      </c>
      <c r="K9" t="s">
        <v>3</v>
      </c>
    </row>
    <row r="10" spans="1:11" ht="409.6">
      <c r="A10">
        <v>8</v>
      </c>
      <c r="B10" t="s">
        <v>1915</v>
      </c>
      <c r="C10" t="s">
        <v>160</v>
      </c>
      <c r="D10" t="s">
        <v>811</v>
      </c>
      <c r="E10" t="s">
        <v>814</v>
      </c>
      <c r="F10" t="s">
        <v>1099</v>
      </c>
      <c r="G10" t="s">
        <v>3</v>
      </c>
      <c r="H10" t="s">
        <v>1916</v>
      </c>
      <c r="I10" s="227" t="s">
        <v>1917</v>
      </c>
      <c r="J10" t="s">
        <v>1907</v>
      </c>
      <c r="K10" t="s">
        <v>3</v>
      </c>
    </row>
    <row r="11" spans="1:11">
      <c r="A11">
        <v>9</v>
      </c>
      <c r="B11" t="s">
        <v>1918</v>
      </c>
      <c r="C11" t="s">
        <v>203</v>
      </c>
      <c r="D11" t="s">
        <v>846</v>
      </c>
      <c r="E11" t="s">
        <v>849</v>
      </c>
      <c r="G11" t="s">
        <v>3</v>
      </c>
      <c r="H11" t="s">
        <v>1918</v>
      </c>
      <c r="I11" t="s">
        <v>1919</v>
      </c>
      <c r="J11" t="s">
        <v>1920</v>
      </c>
      <c r="K11" t="s">
        <v>3</v>
      </c>
    </row>
    <row r="12" spans="1:11" ht="409.6">
      <c r="A12">
        <v>10</v>
      </c>
      <c r="B12" t="s">
        <v>1921</v>
      </c>
      <c r="C12" t="s">
        <v>824</v>
      </c>
      <c r="D12" t="s">
        <v>853</v>
      </c>
      <c r="E12" t="s">
        <v>849</v>
      </c>
      <c r="F12" t="s">
        <v>1099</v>
      </c>
      <c r="G12" t="s">
        <v>3</v>
      </c>
      <c r="H12" t="s">
        <v>1922</v>
      </c>
      <c r="I12" s="227" t="s">
        <v>1923</v>
      </c>
      <c r="K12" t="s">
        <v>3</v>
      </c>
    </row>
    <row r="13" spans="1:11">
      <c r="A13">
        <v>11</v>
      </c>
      <c r="B13" t="s">
        <v>1924</v>
      </c>
      <c r="C13" t="s">
        <v>157</v>
      </c>
      <c r="D13" t="s">
        <v>829</v>
      </c>
      <c r="E13" t="s">
        <v>781</v>
      </c>
      <c r="F13" t="s">
        <v>180</v>
      </c>
      <c r="G13" t="s">
        <v>3</v>
      </c>
      <c r="H13" t="s">
        <v>1925</v>
      </c>
      <c r="I13" t="s">
        <v>1926</v>
      </c>
      <c r="J13" t="s">
        <v>1927</v>
      </c>
      <c r="K13" t="s">
        <v>3</v>
      </c>
    </row>
    <row r="14" spans="1:11">
      <c r="A14">
        <v>12</v>
      </c>
      <c r="B14" t="s">
        <v>1928</v>
      </c>
      <c r="C14" t="s">
        <v>157</v>
      </c>
      <c r="D14" t="s">
        <v>829</v>
      </c>
      <c r="E14" t="s">
        <v>841</v>
      </c>
      <c r="F14" t="s">
        <v>180</v>
      </c>
      <c r="G14" t="s">
        <v>805</v>
      </c>
      <c r="H14" t="s">
        <v>1928</v>
      </c>
      <c r="I14" t="s">
        <v>1929</v>
      </c>
      <c r="J14" t="s">
        <v>1930</v>
      </c>
      <c r="K14" t="s">
        <v>805</v>
      </c>
    </row>
    <row r="15" spans="1:11">
      <c r="A15">
        <v>13</v>
      </c>
      <c r="B15" t="s">
        <v>1931</v>
      </c>
      <c r="C15" t="s">
        <v>203</v>
      </c>
      <c r="D15" t="s">
        <v>853</v>
      </c>
      <c r="E15" t="s">
        <v>849</v>
      </c>
      <c r="F15" t="s">
        <v>1099</v>
      </c>
      <c r="G15" t="s">
        <v>3</v>
      </c>
      <c r="H15" t="s">
        <v>1932</v>
      </c>
      <c r="I15" t="s">
        <v>1933</v>
      </c>
      <c r="K15" t="s">
        <v>3</v>
      </c>
    </row>
    <row r="16" spans="1:11">
      <c r="A16">
        <v>14</v>
      </c>
      <c r="B16" t="s">
        <v>1934</v>
      </c>
      <c r="C16" t="s">
        <v>203</v>
      </c>
      <c r="D16" t="s">
        <v>853</v>
      </c>
      <c r="E16" t="s">
        <v>849</v>
      </c>
      <c r="F16" t="s">
        <v>1099</v>
      </c>
      <c r="G16" t="s">
        <v>3</v>
      </c>
      <c r="H16" t="s">
        <v>1935</v>
      </c>
      <c r="I16" t="s">
        <v>1936</v>
      </c>
      <c r="J16" t="s">
        <v>1937</v>
      </c>
      <c r="K16" t="s">
        <v>3</v>
      </c>
    </row>
    <row r="17" spans="1:11">
      <c r="A17">
        <v>15</v>
      </c>
      <c r="B17" t="s">
        <v>1938</v>
      </c>
      <c r="C17" t="s">
        <v>203</v>
      </c>
      <c r="D17" t="s">
        <v>853</v>
      </c>
      <c r="E17" t="s">
        <v>849</v>
      </c>
      <c r="F17" t="s">
        <v>1099</v>
      </c>
      <c r="G17" t="s">
        <v>3</v>
      </c>
      <c r="H17" t="s">
        <v>1938</v>
      </c>
      <c r="I17" t="s">
        <v>1939</v>
      </c>
      <c r="J17" t="s">
        <v>1940</v>
      </c>
      <c r="K17" t="s">
        <v>3</v>
      </c>
    </row>
    <row r="18" spans="1:11">
      <c r="A18">
        <v>17</v>
      </c>
      <c r="B18" t="s">
        <v>1941</v>
      </c>
      <c r="C18" t="s">
        <v>1942</v>
      </c>
      <c r="D18" t="s">
        <v>788</v>
      </c>
      <c r="E18" t="s">
        <v>791</v>
      </c>
      <c r="F18" t="s">
        <v>180</v>
      </c>
      <c r="G18" t="s">
        <v>3</v>
      </c>
      <c r="J18" t="s">
        <v>1907</v>
      </c>
      <c r="K18" t="s">
        <v>3</v>
      </c>
    </row>
    <row r="19" spans="1:11">
      <c r="A19">
        <v>18</v>
      </c>
      <c r="B19" t="s">
        <v>1943</v>
      </c>
      <c r="C19" t="s">
        <v>824</v>
      </c>
      <c r="D19" t="s">
        <v>853</v>
      </c>
      <c r="E19" t="s">
        <v>841</v>
      </c>
      <c r="F19" t="s">
        <v>1099</v>
      </c>
      <c r="G19" t="s">
        <v>805</v>
      </c>
      <c r="H19" t="s">
        <v>1944</v>
      </c>
      <c r="I19" t="s">
        <v>1945</v>
      </c>
      <c r="J19" t="s">
        <v>1946</v>
      </c>
      <c r="K19" t="s">
        <v>805</v>
      </c>
    </row>
    <row r="20" spans="1:11">
      <c r="A20">
        <v>19</v>
      </c>
      <c r="B20" t="s">
        <v>1947</v>
      </c>
      <c r="C20" t="s">
        <v>203</v>
      </c>
      <c r="D20" t="s">
        <v>846</v>
      </c>
      <c r="E20" t="s">
        <v>781</v>
      </c>
      <c r="F20" t="s">
        <v>1099</v>
      </c>
      <c r="G20" t="s">
        <v>3</v>
      </c>
      <c r="H20" t="s">
        <v>1948</v>
      </c>
      <c r="I20" t="s">
        <v>1949</v>
      </c>
      <c r="J20" t="s">
        <v>1950</v>
      </c>
      <c r="K20" t="s">
        <v>3</v>
      </c>
    </row>
    <row r="21" spans="1:11">
      <c r="A21">
        <v>20</v>
      </c>
      <c r="B21" t="s">
        <v>1951</v>
      </c>
      <c r="C21" t="s">
        <v>203</v>
      </c>
      <c r="D21" t="s">
        <v>846</v>
      </c>
      <c r="E21" t="s">
        <v>781</v>
      </c>
      <c r="F21" t="s">
        <v>1099</v>
      </c>
      <c r="G21" t="s">
        <v>3</v>
      </c>
      <c r="H21" t="s">
        <v>1952</v>
      </c>
      <c r="I21" t="s">
        <v>1953</v>
      </c>
      <c r="J21" t="s">
        <v>1954</v>
      </c>
      <c r="K21" t="s">
        <v>3</v>
      </c>
    </row>
    <row r="22" spans="1:11">
      <c r="A22">
        <v>21</v>
      </c>
      <c r="B22" t="s">
        <v>1955</v>
      </c>
      <c r="C22" t="s">
        <v>203</v>
      </c>
      <c r="D22" t="s">
        <v>846</v>
      </c>
      <c r="E22" t="s">
        <v>781</v>
      </c>
      <c r="F22" t="s">
        <v>180</v>
      </c>
      <c r="G22" t="s">
        <v>3</v>
      </c>
      <c r="H22" t="s">
        <v>1956</v>
      </c>
      <c r="I22" t="s">
        <v>1957</v>
      </c>
      <c r="J22" t="s">
        <v>1958</v>
      </c>
      <c r="K22" t="s">
        <v>3</v>
      </c>
    </row>
  </sheetData>
  <sheetProtection formatRows="0"/>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48"/>
  <dimension ref="A1:C22"/>
  <sheetViews>
    <sheetView workbookViewId="0">
      <selection activeCell="B19" sqref="B19"/>
    </sheetView>
  </sheetViews>
  <sheetFormatPr baseColWidth="10" defaultColWidth="9.109375" defaultRowHeight="14.4"/>
  <cols>
    <col min="1" max="1" width="76.5546875" customWidth="1"/>
    <col min="2" max="2" width="59.5546875" bestFit="1" customWidth="1"/>
    <col min="3" max="3" width="19" bestFit="1" customWidth="1"/>
  </cols>
  <sheetData>
    <row r="1" spans="1:3" ht="20.100000000000001" customHeight="1">
      <c r="A1" s="228"/>
      <c r="B1" s="228" t="s">
        <v>1959</v>
      </c>
      <c r="C1" s="228" t="s">
        <v>1960</v>
      </c>
    </row>
    <row r="2" spans="1:3" ht="20.100000000000001" customHeight="1">
      <c r="A2" s="229" t="s">
        <v>2140</v>
      </c>
      <c r="B2" t="s">
        <v>829</v>
      </c>
      <c r="C2" t="str">
        <f>VLOOKUP(B2,Categories!$B$84:$D$119,2,0)</f>
        <v>Integrated action (all above)</v>
      </c>
    </row>
    <row r="3" spans="1:3" ht="20.100000000000001" customHeight="1">
      <c r="A3" s="229" t="s">
        <v>2151</v>
      </c>
      <c r="B3" t="s">
        <v>829</v>
      </c>
      <c r="C3" t="str">
        <f>VLOOKUP(B3,Categories!$B$84:$D$119,2,0)</f>
        <v>Integrated action (all above)</v>
      </c>
    </row>
    <row r="4" spans="1:3" ht="20.100000000000001" customHeight="1">
      <c r="A4" s="229" t="s">
        <v>2152</v>
      </c>
      <c r="B4" t="s">
        <v>829</v>
      </c>
      <c r="C4" t="str">
        <f>VLOOKUP(B4,Categories!$B$84:$D$119,2,0)</f>
        <v>Integrated action (all above)</v>
      </c>
    </row>
    <row r="5" spans="1:3" ht="20.100000000000001" customHeight="1">
      <c r="A5" s="229" t="s">
        <v>1904</v>
      </c>
      <c r="B5" t="s">
        <v>811</v>
      </c>
      <c r="C5" t="str">
        <f>VLOOKUP(B5,Categories!$B$84:$D$119,2,0)</f>
        <v>Energy efficient lighting systems</v>
      </c>
    </row>
    <row r="6" spans="1:3" ht="20.100000000000001" customHeight="1">
      <c r="A6" s="436" t="s">
        <v>2133</v>
      </c>
      <c r="B6" t="s">
        <v>778</v>
      </c>
      <c r="C6" t="str">
        <f>VLOOKUP(B6,Categories!$B$84:$D$119,2,0)</f>
        <v>Building envelope</v>
      </c>
    </row>
    <row r="7" spans="1:3" ht="20.100000000000001" customHeight="1">
      <c r="A7" s="436" t="s">
        <v>2134</v>
      </c>
      <c r="B7" t="s">
        <v>778</v>
      </c>
      <c r="C7" t="str">
        <f>VLOOKUP(B7,Categories!$B$84:$D$119,2,0)</f>
        <v>Building envelope</v>
      </c>
    </row>
    <row r="8" spans="1:3" ht="20.100000000000001" customHeight="1">
      <c r="A8" s="436" t="s">
        <v>2135</v>
      </c>
      <c r="B8" t="s">
        <v>778</v>
      </c>
      <c r="C8" t="str">
        <f>VLOOKUP(B8,Categories!$B$84:$D$119,2,0)</f>
        <v>Building envelope</v>
      </c>
    </row>
    <row r="9" spans="1:3" ht="20.100000000000001" customHeight="1">
      <c r="A9" s="436" t="s">
        <v>2136</v>
      </c>
      <c r="B9" t="s">
        <v>778</v>
      </c>
      <c r="C9" t="str">
        <f>VLOOKUP(B9,Categories!$B$84:$D$119,2,0)</f>
        <v>Building envelope</v>
      </c>
    </row>
    <row r="10" spans="1:3" ht="20.100000000000001" customHeight="1">
      <c r="A10" s="436" t="s">
        <v>2137</v>
      </c>
      <c r="B10" t="s">
        <v>778</v>
      </c>
      <c r="C10" t="str">
        <f>VLOOKUP(B10,Categories!$B$84:$D$119,2,0)</f>
        <v>Building envelope</v>
      </c>
    </row>
    <row r="11" spans="1:3" ht="20.100000000000001" customHeight="1">
      <c r="A11" s="436" t="s">
        <v>2138</v>
      </c>
      <c r="B11" t="s">
        <v>778</v>
      </c>
      <c r="C11" t="str">
        <f>VLOOKUP(B11,Categories!$B$84:$D$119,2,0)</f>
        <v>Building envelope</v>
      </c>
    </row>
    <row r="12" spans="1:3" ht="20.100000000000001" customHeight="1">
      <c r="A12" s="436" t="s">
        <v>2139</v>
      </c>
      <c r="B12" t="s">
        <v>778</v>
      </c>
      <c r="C12" t="str">
        <f>VLOOKUP(B12,Categories!$B$84:$D$119,2,0)</f>
        <v>Building envelope</v>
      </c>
    </row>
    <row r="13" spans="1:3" ht="20.100000000000001" customHeight="1">
      <c r="A13" s="436" t="s">
        <v>2141</v>
      </c>
      <c r="B13" t="s">
        <v>778</v>
      </c>
      <c r="C13" t="str">
        <f>VLOOKUP(B13,Categories!$B$84:$D$119,2,0)</f>
        <v>Building envelope</v>
      </c>
    </row>
    <row r="14" spans="1:3" ht="20.100000000000001" customHeight="1">
      <c r="A14" s="436" t="s">
        <v>2142</v>
      </c>
      <c r="B14" t="s">
        <v>799</v>
      </c>
      <c r="C14" t="str">
        <f>VLOOKUP(B14,Categories!$B$84:$D$119,2,0)</f>
        <v>Energy efficiency in space heating and hot water</v>
      </c>
    </row>
    <row r="15" spans="1:3" ht="20.100000000000001" customHeight="1">
      <c r="A15" s="436" t="s">
        <v>2143</v>
      </c>
      <c r="B15" t="s">
        <v>788</v>
      </c>
      <c r="C15" t="str">
        <f>VLOOKUP(B15,Categories!$B$84:$D$119,2,0)</f>
        <v>Renewable energy for space heating and hot water</v>
      </c>
    </row>
    <row r="16" spans="1:3" ht="20.100000000000001" customHeight="1">
      <c r="A16" s="436" t="s">
        <v>2144</v>
      </c>
      <c r="B16" t="s">
        <v>788</v>
      </c>
      <c r="C16" t="str">
        <f>VLOOKUP(B16,Categories!$B$84:$D$119,2,0)</f>
        <v>Renewable energy for space heating and hot water</v>
      </c>
    </row>
    <row r="17" spans="1:3" ht="20.100000000000001" customHeight="1">
      <c r="A17" s="436" t="s">
        <v>2145</v>
      </c>
      <c r="B17" t="s">
        <v>788</v>
      </c>
      <c r="C17" t="str">
        <f>VLOOKUP(B17,Categories!$B$84:$D$119,2,0)</f>
        <v>Renewable energy for space heating and hot water</v>
      </c>
    </row>
    <row r="18" spans="1:3" ht="20.100000000000001" customHeight="1">
      <c r="A18" s="436" t="s">
        <v>2146</v>
      </c>
      <c r="B18" t="s">
        <v>811</v>
      </c>
      <c r="C18" t="str">
        <f>VLOOKUP(B18,Categories!$B$84:$D$119,2,0)</f>
        <v>Energy efficient lighting systems</v>
      </c>
    </row>
    <row r="19" spans="1:3" ht="20.100000000000001" customHeight="1">
      <c r="A19" s="436" t="s">
        <v>2147</v>
      </c>
      <c r="B19" t="s">
        <v>1002</v>
      </c>
      <c r="C19" t="str">
        <f>VLOOKUP(B19,Categories!$B$84:$D$119,2,0)</f>
        <v>Combined Heat and Power</v>
      </c>
    </row>
    <row r="20" spans="1:3" ht="20.100000000000001" customHeight="1">
      <c r="A20" s="436" t="s">
        <v>2148</v>
      </c>
      <c r="B20" t="s">
        <v>853</v>
      </c>
      <c r="C20" t="str">
        <f>VLOOKUP(B20,Categories!$B$84:$D$119,2,0)</f>
        <v>Other</v>
      </c>
    </row>
    <row r="21" spans="1:3" ht="20.100000000000001" customHeight="1">
      <c r="A21" s="436" t="s">
        <v>2149</v>
      </c>
      <c r="B21" t="s">
        <v>853</v>
      </c>
      <c r="C21" t="str">
        <f>VLOOKUP(B21,Categories!$B$84:$D$119,2,0)</f>
        <v>Other</v>
      </c>
    </row>
    <row r="22" spans="1:3" ht="20.100000000000001" customHeight="1">
      <c r="A22" s="436" t="s">
        <v>2150</v>
      </c>
      <c r="B22" t="s">
        <v>853</v>
      </c>
      <c r="C22" t="str">
        <f>VLOOKUP(B22,Categories!$B$84:$D$119,2,0)</f>
        <v>Other</v>
      </c>
    </row>
  </sheetData>
  <sheetProtection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12"/>
  <dimension ref="A1:O265"/>
  <sheetViews>
    <sheetView workbookViewId="0">
      <selection activeCell="E11" sqref="E11"/>
    </sheetView>
  </sheetViews>
  <sheetFormatPr baseColWidth="10" defaultColWidth="9.109375" defaultRowHeight="14.4"/>
  <cols>
    <col min="1" max="1" width="25" customWidth="1"/>
    <col min="3" max="3" width="16" customWidth="1"/>
  </cols>
  <sheetData>
    <row r="1" spans="1:15">
      <c r="D1">
        <v>12</v>
      </c>
      <c r="E1">
        <v>11</v>
      </c>
      <c r="F1">
        <v>10</v>
      </c>
      <c r="G1">
        <v>9</v>
      </c>
      <c r="H1">
        <v>8</v>
      </c>
      <c r="I1">
        <v>7</v>
      </c>
      <c r="J1">
        <v>6</v>
      </c>
      <c r="K1">
        <v>5</v>
      </c>
      <c r="L1">
        <v>4</v>
      </c>
      <c r="M1">
        <v>3</v>
      </c>
      <c r="N1">
        <v>2</v>
      </c>
    </row>
    <row r="2" spans="1:15" ht="27.6">
      <c r="A2" s="225" t="s">
        <v>3</v>
      </c>
      <c r="B2" s="225" t="s">
        <v>1961</v>
      </c>
      <c r="C2" s="225">
        <v>2006</v>
      </c>
      <c r="D2" s="225">
        <v>2014</v>
      </c>
      <c r="E2">
        <v>2015</v>
      </c>
      <c r="F2">
        <v>2016</v>
      </c>
      <c r="G2" s="225">
        <v>2017</v>
      </c>
      <c r="H2">
        <v>2018</v>
      </c>
      <c r="I2">
        <v>2019</v>
      </c>
      <c r="J2">
        <v>2020</v>
      </c>
      <c r="K2">
        <v>2021</v>
      </c>
      <c r="L2">
        <v>2022</v>
      </c>
      <c r="M2">
        <v>2023</v>
      </c>
      <c r="N2">
        <v>2024</v>
      </c>
      <c r="O2" t="s">
        <v>2158</v>
      </c>
    </row>
    <row r="3" spans="1:15">
      <c r="A3" s="225">
        <v>1</v>
      </c>
      <c r="B3" s="225">
        <v>2</v>
      </c>
      <c r="C3" s="225">
        <v>3</v>
      </c>
      <c r="D3" s="225">
        <v>4</v>
      </c>
      <c r="E3" s="225">
        <v>5</v>
      </c>
      <c r="F3" s="225">
        <v>6</v>
      </c>
      <c r="G3" s="225">
        <v>7</v>
      </c>
      <c r="H3" s="225">
        <v>8</v>
      </c>
      <c r="I3" s="225">
        <v>9</v>
      </c>
      <c r="J3" s="225">
        <v>10</v>
      </c>
      <c r="K3" s="225">
        <v>11</v>
      </c>
      <c r="L3" s="225">
        <v>12</v>
      </c>
      <c r="M3" s="225">
        <v>13</v>
      </c>
      <c r="N3" s="225">
        <v>14</v>
      </c>
    </row>
    <row r="4" spans="1:15">
      <c r="A4" s="226" t="s">
        <v>2221</v>
      </c>
      <c r="B4" s="226">
        <v>52074</v>
      </c>
      <c r="C4" s="226"/>
      <c r="D4" s="226">
        <v>5219</v>
      </c>
      <c r="E4" s="226">
        <v>5307</v>
      </c>
      <c r="F4" s="226">
        <v>5312</v>
      </c>
      <c r="G4" s="226">
        <v>5389</v>
      </c>
      <c r="H4" s="226">
        <v>5365</v>
      </c>
      <c r="I4" s="226">
        <v>5374</v>
      </c>
      <c r="J4" s="226">
        <v>5447</v>
      </c>
      <c r="K4" s="226">
        <v>5524</v>
      </c>
      <c r="L4" s="226">
        <v>5604</v>
      </c>
      <c r="M4" s="226">
        <v>5640</v>
      </c>
      <c r="N4" s="226">
        <v>5729</v>
      </c>
    </row>
    <row r="5" spans="1:15">
      <c r="A5" s="226" t="s">
        <v>2222</v>
      </c>
      <c r="B5" s="226">
        <v>61003</v>
      </c>
      <c r="C5" s="226"/>
      <c r="D5" s="226">
        <v>6913</v>
      </c>
      <c r="E5" s="226">
        <v>7007</v>
      </c>
      <c r="F5" s="226">
        <v>7133</v>
      </c>
      <c r="G5" s="226">
        <v>7209</v>
      </c>
      <c r="H5" s="226">
        <v>7275</v>
      </c>
      <c r="I5" s="226">
        <v>7219</v>
      </c>
      <c r="J5" s="226">
        <v>7256</v>
      </c>
      <c r="K5" s="226">
        <v>7325</v>
      </c>
      <c r="L5" s="226">
        <v>7422</v>
      </c>
      <c r="M5" s="226">
        <v>7488</v>
      </c>
      <c r="N5" s="226">
        <v>7573</v>
      </c>
    </row>
    <row r="6" spans="1:15">
      <c r="A6" s="226" t="s">
        <v>2223</v>
      </c>
      <c r="B6" s="226">
        <v>63001</v>
      </c>
      <c r="C6" s="226"/>
      <c r="D6" s="226">
        <v>2906</v>
      </c>
      <c r="E6" s="226">
        <v>2985</v>
      </c>
      <c r="F6" s="226">
        <v>3074</v>
      </c>
      <c r="G6" s="226">
        <v>3048</v>
      </c>
      <c r="H6" s="226">
        <v>3096</v>
      </c>
      <c r="I6" s="226">
        <v>3111</v>
      </c>
      <c r="J6" s="226">
        <v>3134</v>
      </c>
      <c r="K6" s="226">
        <v>3153</v>
      </c>
      <c r="L6" s="226">
        <v>3168</v>
      </c>
      <c r="M6" s="226">
        <v>3207</v>
      </c>
      <c r="N6" s="226">
        <v>3229</v>
      </c>
    </row>
    <row r="7" spans="1:15">
      <c r="A7" s="226" t="s">
        <v>2224</v>
      </c>
      <c r="B7" s="226">
        <v>92003</v>
      </c>
      <c r="C7" s="226"/>
      <c r="D7" s="226">
        <v>11778</v>
      </c>
      <c r="E7" s="226">
        <v>12031</v>
      </c>
      <c r="F7" s="226">
        <v>12280</v>
      </c>
      <c r="G7" s="226">
        <v>12546</v>
      </c>
      <c r="H7" s="226">
        <v>12842</v>
      </c>
      <c r="I7" s="226">
        <v>13054</v>
      </c>
      <c r="J7" s="226">
        <v>13182</v>
      </c>
      <c r="K7" s="226">
        <v>13360</v>
      </c>
      <c r="L7" s="226">
        <v>13529</v>
      </c>
      <c r="M7" s="226">
        <v>13764</v>
      </c>
      <c r="N7" s="226">
        <v>14044</v>
      </c>
    </row>
    <row r="8" spans="1:15">
      <c r="A8" s="226" t="s">
        <v>2225</v>
      </c>
      <c r="B8" s="226">
        <v>56001</v>
      </c>
      <c r="C8" s="226"/>
      <c r="D8" s="226">
        <v>5669</v>
      </c>
      <c r="E8" s="226">
        <v>5749</v>
      </c>
      <c r="F8" s="226">
        <v>5873</v>
      </c>
      <c r="G8" s="226">
        <v>5977</v>
      </c>
      <c r="H8" s="226">
        <v>6042</v>
      </c>
      <c r="I8" s="226">
        <v>6013</v>
      </c>
      <c r="J8" s="226">
        <v>6035</v>
      </c>
      <c r="K8" s="226">
        <v>6167</v>
      </c>
      <c r="L8" s="226">
        <v>6249</v>
      </c>
      <c r="M8" s="226">
        <v>6300</v>
      </c>
      <c r="N8" s="226">
        <v>6418</v>
      </c>
    </row>
    <row r="9" spans="1:15">
      <c r="A9" s="226" t="s">
        <v>2226</v>
      </c>
      <c r="B9" s="226">
        <v>91005</v>
      </c>
      <c r="C9" s="226"/>
      <c r="D9" s="226">
        <v>3644</v>
      </c>
      <c r="E9" s="226">
        <v>3696</v>
      </c>
      <c r="F9" s="226">
        <v>3727</v>
      </c>
      <c r="G9" s="226">
        <v>3749</v>
      </c>
      <c r="H9" s="226">
        <v>3758</v>
      </c>
      <c r="I9" s="226">
        <v>3780</v>
      </c>
      <c r="J9" s="226">
        <v>3841</v>
      </c>
      <c r="K9" s="226">
        <v>3913</v>
      </c>
      <c r="L9" s="226">
        <v>3912</v>
      </c>
      <c r="M9" s="226">
        <v>3950</v>
      </c>
      <c r="N9" s="226">
        <v>3987</v>
      </c>
    </row>
    <row r="10" spans="1:15">
      <c r="A10" s="226" t="s">
        <v>2227</v>
      </c>
      <c r="B10" s="226">
        <v>62003</v>
      </c>
      <c r="C10" s="226"/>
      <c r="D10" s="226">
        <v>12946</v>
      </c>
      <c r="E10" s="226">
        <v>13069</v>
      </c>
      <c r="F10" s="226">
        <v>13154</v>
      </c>
      <c r="G10" s="226">
        <v>13194</v>
      </c>
      <c r="H10" s="226">
        <v>13396</v>
      </c>
      <c r="I10" s="226">
        <v>13438</v>
      </c>
      <c r="J10" s="226">
        <v>13400</v>
      </c>
      <c r="K10" s="226">
        <v>13689</v>
      </c>
      <c r="L10" s="226">
        <v>13826</v>
      </c>
      <c r="M10" s="226">
        <v>14003</v>
      </c>
      <c r="N10" s="226">
        <v>14085</v>
      </c>
    </row>
    <row r="11" spans="1:15">
      <c r="A11" s="226" t="s">
        <v>2228</v>
      </c>
      <c r="B11" s="226">
        <v>61079</v>
      </c>
      <c r="C11" s="226"/>
      <c r="D11" s="226">
        <v>2277</v>
      </c>
      <c r="E11" s="226">
        <v>2276</v>
      </c>
      <c r="F11" s="226">
        <v>2296</v>
      </c>
      <c r="G11" s="226">
        <v>2338</v>
      </c>
      <c r="H11" s="226">
        <v>2340</v>
      </c>
      <c r="I11" s="226">
        <v>2343</v>
      </c>
      <c r="J11" s="226">
        <v>2334</v>
      </c>
      <c r="K11" s="226">
        <v>2361</v>
      </c>
      <c r="L11" s="226">
        <v>2444</v>
      </c>
      <c r="M11" s="226">
        <v>2460</v>
      </c>
      <c r="N11" s="226">
        <v>2501</v>
      </c>
    </row>
    <row r="12" spans="1:15">
      <c r="A12" s="226" t="s">
        <v>2229</v>
      </c>
      <c r="B12" s="226">
        <v>57003</v>
      </c>
      <c r="C12" s="226"/>
      <c r="D12" s="226">
        <v>3601</v>
      </c>
      <c r="E12" s="226">
        <v>3616</v>
      </c>
      <c r="F12" s="226">
        <v>3674</v>
      </c>
      <c r="G12" s="226">
        <v>3738</v>
      </c>
      <c r="H12" s="226">
        <v>3723</v>
      </c>
      <c r="I12" s="226">
        <v>3766</v>
      </c>
      <c r="J12" s="226">
        <v>3723</v>
      </c>
      <c r="K12" s="226">
        <v>3766</v>
      </c>
      <c r="L12" s="226">
        <v>3767</v>
      </c>
      <c r="M12" s="226">
        <v>3711</v>
      </c>
      <c r="N12" s="226">
        <v>3806</v>
      </c>
    </row>
    <row r="13" spans="1:15">
      <c r="A13" s="226" t="s">
        <v>2230</v>
      </c>
      <c r="B13" s="226">
        <v>81001</v>
      </c>
      <c r="C13" s="226"/>
      <c r="D13" s="226">
        <v>14299</v>
      </c>
      <c r="E13" s="226">
        <v>14664</v>
      </c>
      <c r="F13" s="226">
        <v>14933</v>
      </c>
      <c r="G13" s="226">
        <v>15148</v>
      </c>
      <c r="H13" s="226">
        <v>15373</v>
      </c>
      <c r="I13" s="226">
        <v>15451</v>
      </c>
      <c r="J13" s="226">
        <v>15488</v>
      </c>
      <c r="K13" s="226">
        <v>15670</v>
      </c>
      <c r="L13" s="226">
        <v>15855</v>
      </c>
      <c r="M13" s="226">
        <v>15868</v>
      </c>
      <c r="N13" s="226">
        <v>15856</v>
      </c>
    </row>
    <row r="14" spans="1:15">
      <c r="A14" s="226" t="s">
        <v>2231</v>
      </c>
      <c r="B14" s="226">
        <v>92006</v>
      </c>
      <c r="C14" s="226"/>
      <c r="D14" s="226">
        <v>3470</v>
      </c>
      <c r="E14" s="226">
        <v>3539</v>
      </c>
      <c r="F14" s="226">
        <v>3622</v>
      </c>
      <c r="G14" s="226">
        <v>3705</v>
      </c>
      <c r="H14" s="226">
        <v>3772</v>
      </c>
      <c r="I14" s="226">
        <v>3783</v>
      </c>
      <c r="J14" s="226">
        <v>3834</v>
      </c>
      <c r="K14" s="226">
        <v>3906</v>
      </c>
      <c r="L14" s="226">
        <v>3871</v>
      </c>
      <c r="M14" s="226">
        <v>3937</v>
      </c>
      <c r="N14" s="226">
        <v>4024</v>
      </c>
    </row>
    <row r="15" spans="1:15">
      <c r="A15" s="226" t="s">
        <v>2232</v>
      </c>
      <c r="B15" s="226">
        <v>51004</v>
      </c>
      <c r="C15" s="226"/>
      <c r="D15" s="226">
        <v>13727</v>
      </c>
      <c r="E15" s="226">
        <v>13873</v>
      </c>
      <c r="F15" s="226">
        <v>14108</v>
      </c>
      <c r="G15" s="226">
        <v>14225</v>
      </c>
      <c r="H15" s="226">
        <v>14546</v>
      </c>
      <c r="I15" s="226">
        <v>14672</v>
      </c>
      <c r="J15" s="226">
        <v>14821</v>
      </c>
      <c r="K15" s="226">
        <v>15001</v>
      </c>
      <c r="L15" s="226">
        <v>15078</v>
      </c>
      <c r="M15" s="226">
        <v>15381</v>
      </c>
      <c r="N15" s="226">
        <v>15691</v>
      </c>
    </row>
    <row r="16" spans="1:15">
      <c r="A16" s="226" t="s">
        <v>2233</v>
      </c>
      <c r="B16" s="226">
        <v>81003</v>
      </c>
      <c r="C16" s="226"/>
      <c r="D16" s="226">
        <v>2537</v>
      </c>
      <c r="E16" s="226">
        <v>2614</v>
      </c>
      <c r="F16" s="226">
        <v>2679</v>
      </c>
      <c r="G16" s="226">
        <v>2723</v>
      </c>
      <c r="H16" s="226">
        <v>2767</v>
      </c>
      <c r="I16" s="226">
        <v>2854</v>
      </c>
      <c r="J16" s="226">
        <v>2865</v>
      </c>
      <c r="K16" s="226">
        <v>2877</v>
      </c>
      <c r="L16" s="226">
        <v>2890</v>
      </c>
      <c r="M16" s="226">
        <v>2986</v>
      </c>
      <c r="N16" s="226">
        <v>3013</v>
      </c>
    </row>
    <row r="17" spans="1:14">
      <c r="A17" s="226" t="s">
        <v>2234</v>
      </c>
      <c r="B17" s="226">
        <v>81004</v>
      </c>
      <c r="C17" s="226"/>
      <c r="D17" s="226">
        <v>7773</v>
      </c>
      <c r="E17" s="226">
        <v>7950</v>
      </c>
      <c r="F17" s="226">
        <v>8139</v>
      </c>
      <c r="G17" s="226">
        <v>8284</v>
      </c>
      <c r="H17" s="226">
        <v>8419</v>
      </c>
      <c r="I17" s="226">
        <v>8446</v>
      </c>
      <c r="J17" s="226">
        <v>8489</v>
      </c>
      <c r="K17" s="226">
        <v>8614</v>
      </c>
      <c r="L17" s="226">
        <v>8672</v>
      </c>
      <c r="M17" s="226">
        <v>8728</v>
      </c>
      <c r="N17" s="226">
        <v>8882</v>
      </c>
    </row>
    <row r="18" spans="1:14">
      <c r="A18" s="226" t="s">
        <v>2235</v>
      </c>
      <c r="B18" s="226">
        <v>63003</v>
      </c>
      <c r="C18" s="226"/>
      <c r="D18" s="226">
        <v>2311</v>
      </c>
      <c r="E18" s="226">
        <v>2381</v>
      </c>
      <c r="F18" s="226">
        <v>2413</v>
      </c>
      <c r="G18" s="226">
        <v>2443</v>
      </c>
      <c r="H18" s="226">
        <v>2442</v>
      </c>
      <c r="I18" s="226">
        <v>2456</v>
      </c>
      <c r="J18" s="226">
        <v>2415</v>
      </c>
      <c r="K18" s="226">
        <v>2417</v>
      </c>
      <c r="L18" s="226">
        <v>2379</v>
      </c>
      <c r="M18" s="226">
        <v>2428</v>
      </c>
      <c r="N18" s="226">
        <v>2464</v>
      </c>
    </row>
    <row r="19" spans="1:14">
      <c r="A19" s="226" t="s">
        <v>2236</v>
      </c>
      <c r="B19" s="226">
        <v>62006</v>
      </c>
      <c r="C19" s="226"/>
      <c r="D19" s="226">
        <v>4968</v>
      </c>
      <c r="E19" s="226">
        <v>5048</v>
      </c>
      <c r="F19" s="226">
        <v>5096</v>
      </c>
      <c r="G19" s="226">
        <v>5190</v>
      </c>
      <c r="H19" s="226">
        <v>5274</v>
      </c>
      <c r="I19" s="226">
        <v>5225</v>
      </c>
      <c r="J19" s="226">
        <v>5231</v>
      </c>
      <c r="K19" s="226">
        <v>5262</v>
      </c>
      <c r="L19" s="226">
        <v>5349</v>
      </c>
      <c r="M19" s="226">
        <v>5462</v>
      </c>
      <c r="N19" s="226">
        <v>5425</v>
      </c>
    </row>
    <row r="20" spans="1:14">
      <c r="A20" s="226" t="s">
        <v>2237</v>
      </c>
      <c r="B20" s="226">
        <v>62009</v>
      </c>
      <c r="C20" s="226"/>
      <c r="D20" s="226">
        <v>6022</v>
      </c>
      <c r="E20" s="226">
        <v>6161</v>
      </c>
      <c r="F20" s="226">
        <v>6293</v>
      </c>
      <c r="G20" s="226">
        <v>6357</v>
      </c>
      <c r="H20" s="226">
        <v>6350</v>
      </c>
      <c r="I20" s="226">
        <v>6488</v>
      </c>
      <c r="J20" s="226">
        <v>6534</v>
      </c>
      <c r="K20" s="226">
        <v>6748</v>
      </c>
      <c r="L20" s="226">
        <v>6797</v>
      </c>
      <c r="M20" s="226">
        <v>6940</v>
      </c>
      <c r="N20" s="226">
        <v>7045</v>
      </c>
    </row>
    <row r="21" spans="1:14">
      <c r="A21" s="226" t="s">
        <v>2238</v>
      </c>
      <c r="B21" s="226">
        <v>63004</v>
      </c>
      <c r="C21" s="226"/>
      <c r="D21" s="226">
        <v>2323</v>
      </c>
      <c r="E21" s="226">
        <v>2405</v>
      </c>
      <c r="F21" s="226">
        <v>2411</v>
      </c>
      <c r="G21" s="226">
        <v>2452</v>
      </c>
      <c r="H21" s="226">
        <v>2503</v>
      </c>
      <c r="I21" s="226">
        <v>2484</v>
      </c>
      <c r="J21" s="226">
        <v>2474</v>
      </c>
      <c r="K21" s="226">
        <v>2531</v>
      </c>
      <c r="L21" s="226">
        <v>2533</v>
      </c>
      <c r="M21" s="226">
        <v>2584</v>
      </c>
      <c r="N21" s="226">
        <v>2598</v>
      </c>
    </row>
    <row r="22" spans="1:14">
      <c r="A22" s="226" t="s">
        <v>2239</v>
      </c>
      <c r="B22" s="226">
        <v>62011</v>
      </c>
      <c r="C22" s="226"/>
      <c r="D22" s="226">
        <v>4585</v>
      </c>
      <c r="E22" s="226">
        <v>4663</v>
      </c>
      <c r="F22" s="226">
        <v>4739</v>
      </c>
      <c r="G22" s="226">
        <v>4789</v>
      </c>
      <c r="H22" s="226">
        <v>4782</v>
      </c>
      <c r="I22" s="226">
        <v>4820</v>
      </c>
      <c r="J22" s="226">
        <v>4863</v>
      </c>
      <c r="K22" s="226">
        <v>4877</v>
      </c>
      <c r="L22" s="226">
        <v>4848</v>
      </c>
      <c r="M22" s="226">
        <v>4830</v>
      </c>
      <c r="N22" s="226">
        <v>4876</v>
      </c>
    </row>
    <row r="23" spans="1:14">
      <c r="A23" s="226" t="s">
        <v>2240</v>
      </c>
      <c r="B23" s="226">
        <v>82003</v>
      </c>
      <c r="C23" s="226"/>
      <c r="D23" s="226">
        <v>7588</v>
      </c>
      <c r="E23" s="226">
        <v>7750</v>
      </c>
      <c r="F23" s="226">
        <v>7872</v>
      </c>
      <c r="G23" s="226">
        <v>8049</v>
      </c>
      <c r="H23" s="226">
        <v>8256</v>
      </c>
      <c r="I23" s="226">
        <v>8391</v>
      </c>
      <c r="J23" s="226">
        <v>8437</v>
      </c>
      <c r="K23" s="226">
        <v>8545</v>
      </c>
      <c r="L23" s="226">
        <v>8678</v>
      </c>
      <c r="M23" s="226">
        <v>8824</v>
      </c>
      <c r="N23" s="226">
        <v>8957</v>
      </c>
    </row>
    <row r="24" spans="1:14">
      <c r="A24" s="226" t="s">
        <v>2241</v>
      </c>
      <c r="B24" s="226">
        <v>56005</v>
      </c>
      <c r="C24" s="226"/>
      <c r="D24" s="226">
        <v>3654</v>
      </c>
      <c r="E24" s="226">
        <v>3687</v>
      </c>
      <c r="F24" s="226">
        <v>3729</v>
      </c>
      <c r="G24" s="226">
        <v>3733</v>
      </c>
      <c r="H24" s="226">
        <v>3784</v>
      </c>
      <c r="I24" s="226">
        <v>3815</v>
      </c>
      <c r="J24" s="226">
        <v>3844</v>
      </c>
      <c r="K24" s="226">
        <v>3901</v>
      </c>
      <c r="L24" s="226">
        <v>3945</v>
      </c>
      <c r="M24" s="226">
        <v>3986</v>
      </c>
      <c r="N24" s="226">
        <v>4015</v>
      </c>
    </row>
    <row r="25" spans="1:14">
      <c r="A25" s="226" t="s">
        <v>2242</v>
      </c>
      <c r="B25" s="226">
        <v>91013</v>
      </c>
      <c r="C25" s="226"/>
      <c r="D25" s="226">
        <v>4210</v>
      </c>
      <c r="E25" s="226">
        <v>4337</v>
      </c>
      <c r="F25" s="226">
        <v>4433</v>
      </c>
      <c r="G25" s="226">
        <v>4559</v>
      </c>
      <c r="H25" s="226">
        <v>4524</v>
      </c>
      <c r="I25" s="226">
        <v>4548</v>
      </c>
      <c r="J25" s="226">
        <v>4595</v>
      </c>
      <c r="K25" s="226">
        <v>4759</v>
      </c>
      <c r="L25" s="226">
        <v>4798</v>
      </c>
      <c r="M25" s="226">
        <v>4854</v>
      </c>
      <c r="N25" s="226">
        <v>4971</v>
      </c>
    </row>
    <row r="26" spans="1:14">
      <c r="A26" s="226" t="s">
        <v>2243</v>
      </c>
      <c r="B26" s="226">
        <v>25005</v>
      </c>
      <c r="C26" s="226"/>
      <c r="D26" s="226">
        <v>3586</v>
      </c>
      <c r="E26" s="226">
        <v>3629</v>
      </c>
      <c r="F26" s="226">
        <v>3702</v>
      </c>
      <c r="G26" s="226">
        <v>3717</v>
      </c>
      <c r="H26" s="226">
        <v>3783</v>
      </c>
      <c r="I26" s="226">
        <v>3794</v>
      </c>
      <c r="J26" s="226">
        <v>3828</v>
      </c>
      <c r="K26" s="226">
        <v>3875</v>
      </c>
      <c r="L26" s="226">
        <v>3847</v>
      </c>
      <c r="M26" s="226">
        <v>3885</v>
      </c>
      <c r="N26" s="226">
        <v>3888</v>
      </c>
    </row>
    <row r="27" spans="1:14">
      <c r="A27" s="226" t="s">
        <v>2244</v>
      </c>
      <c r="B27" s="226">
        <v>51008</v>
      </c>
      <c r="C27" s="226"/>
      <c r="D27" s="226">
        <v>7018</v>
      </c>
      <c r="E27" s="226">
        <v>7105</v>
      </c>
      <c r="F27" s="226">
        <v>7215</v>
      </c>
      <c r="G27" s="226">
        <v>7397</v>
      </c>
      <c r="H27" s="226">
        <v>7408</v>
      </c>
      <c r="I27" s="226">
        <v>7438</v>
      </c>
      <c r="J27" s="226">
        <v>7465</v>
      </c>
      <c r="K27" s="226">
        <v>7484</v>
      </c>
      <c r="L27" s="226">
        <v>7608</v>
      </c>
      <c r="M27" s="226">
        <v>7708</v>
      </c>
      <c r="N27" s="226">
        <v>7778</v>
      </c>
    </row>
    <row r="28" spans="1:14">
      <c r="A28" s="226" t="s">
        <v>2245</v>
      </c>
      <c r="B28" s="226">
        <v>64008</v>
      </c>
      <c r="C28" s="226"/>
      <c r="D28" s="226">
        <v>1532</v>
      </c>
      <c r="E28" s="226">
        <v>1536</v>
      </c>
      <c r="F28" s="226">
        <v>1535</v>
      </c>
      <c r="G28" s="226">
        <v>1571</v>
      </c>
      <c r="H28" s="226">
        <v>1591</v>
      </c>
      <c r="I28" s="226">
        <v>1637</v>
      </c>
      <c r="J28" s="226">
        <v>1661</v>
      </c>
      <c r="K28" s="226">
        <v>1690</v>
      </c>
      <c r="L28" s="226">
        <v>1729</v>
      </c>
      <c r="M28" s="226">
        <v>1771</v>
      </c>
      <c r="N28" s="226">
        <v>1801</v>
      </c>
    </row>
    <row r="29" spans="1:14">
      <c r="A29" s="226" t="s">
        <v>2246</v>
      </c>
      <c r="B29" s="226">
        <v>51009</v>
      </c>
      <c r="C29" s="226"/>
      <c r="D29" s="226">
        <v>5772</v>
      </c>
      <c r="E29" s="226">
        <v>5880</v>
      </c>
      <c r="F29" s="226">
        <v>5947</v>
      </c>
      <c r="G29" s="226">
        <v>5968</v>
      </c>
      <c r="H29" s="226">
        <v>6056</v>
      </c>
      <c r="I29" s="226">
        <v>6083</v>
      </c>
      <c r="J29" s="226">
        <v>6082</v>
      </c>
      <c r="K29" s="226">
        <v>6163</v>
      </c>
      <c r="L29" s="226">
        <v>6170</v>
      </c>
      <c r="M29" s="226">
        <v>6312</v>
      </c>
      <c r="N29" s="226">
        <v>6477</v>
      </c>
    </row>
    <row r="30" spans="1:14">
      <c r="A30" s="226" t="s">
        <v>2247</v>
      </c>
      <c r="B30" s="226">
        <v>82005</v>
      </c>
      <c r="C30" s="226"/>
      <c r="D30" s="226">
        <v>1651</v>
      </c>
      <c r="E30" s="226">
        <v>1759</v>
      </c>
      <c r="F30" s="226">
        <v>1789</v>
      </c>
      <c r="G30" s="226">
        <v>1842</v>
      </c>
      <c r="H30" s="226">
        <v>1867</v>
      </c>
      <c r="I30" s="226">
        <v>1875</v>
      </c>
      <c r="J30" s="226">
        <v>1926</v>
      </c>
      <c r="K30" s="226">
        <v>1977</v>
      </c>
      <c r="L30" s="226">
        <v>2023</v>
      </c>
      <c r="M30" s="226">
        <v>2033</v>
      </c>
      <c r="N30" s="226">
        <v>2093</v>
      </c>
    </row>
    <row r="31" spans="1:14">
      <c r="A31" s="226" t="s">
        <v>2248</v>
      </c>
      <c r="B31" s="226">
        <v>84009</v>
      </c>
      <c r="C31" s="226"/>
      <c r="D31" s="226">
        <v>4001</v>
      </c>
      <c r="E31" s="226">
        <v>4058</v>
      </c>
      <c r="F31" s="226">
        <v>4144</v>
      </c>
      <c r="G31" s="226">
        <v>4176</v>
      </c>
      <c r="H31" s="226">
        <v>4246</v>
      </c>
      <c r="I31" s="226">
        <v>4294</v>
      </c>
      <c r="J31" s="226">
        <v>4318</v>
      </c>
      <c r="K31" s="226">
        <v>4401</v>
      </c>
      <c r="L31" s="226">
        <v>4426</v>
      </c>
      <c r="M31" s="226">
        <v>4484</v>
      </c>
      <c r="N31" s="226">
        <v>4551</v>
      </c>
    </row>
    <row r="32" spans="1:14">
      <c r="A32" s="226" t="s">
        <v>2249</v>
      </c>
      <c r="B32" s="226">
        <v>62015</v>
      </c>
      <c r="C32" s="226"/>
      <c r="D32" s="226">
        <v>5622</v>
      </c>
      <c r="E32" s="226">
        <v>5626</v>
      </c>
      <c r="F32" s="226">
        <v>5687</v>
      </c>
      <c r="G32" s="226">
        <v>5712</v>
      </c>
      <c r="H32" s="226">
        <v>5705</v>
      </c>
      <c r="I32" s="226">
        <v>5713</v>
      </c>
      <c r="J32" s="226">
        <v>5712</v>
      </c>
      <c r="K32" s="226">
        <v>5801</v>
      </c>
      <c r="L32" s="226">
        <v>5766</v>
      </c>
      <c r="M32" s="226">
        <v>5832</v>
      </c>
      <c r="N32" s="226">
        <v>5773</v>
      </c>
    </row>
    <row r="33" spans="1:14">
      <c r="A33" s="226" t="s">
        <v>2250</v>
      </c>
      <c r="B33" s="226">
        <v>91015</v>
      </c>
      <c r="C33" s="226"/>
      <c r="D33" s="226">
        <v>1694</v>
      </c>
      <c r="E33" s="226">
        <v>1682</v>
      </c>
      <c r="F33" s="226">
        <v>1698</v>
      </c>
      <c r="G33" s="226">
        <v>1701</v>
      </c>
      <c r="H33" s="226">
        <v>1740</v>
      </c>
      <c r="I33" s="226">
        <v>1759</v>
      </c>
      <c r="J33" s="226">
        <v>1743</v>
      </c>
      <c r="K33" s="226">
        <v>1771</v>
      </c>
      <c r="L33" s="226">
        <v>1791</v>
      </c>
      <c r="M33" s="226">
        <v>1814</v>
      </c>
      <c r="N33" s="226">
        <v>1832</v>
      </c>
    </row>
    <row r="34" spans="1:14">
      <c r="A34" s="226" t="s">
        <v>2251</v>
      </c>
      <c r="B34" s="226">
        <v>56011</v>
      </c>
      <c r="C34" s="226"/>
      <c r="D34" s="226">
        <v>15802</v>
      </c>
      <c r="E34" s="226">
        <v>15973</v>
      </c>
      <c r="F34" s="226">
        <v>16299</v>
      </c>
      <c r="G34" s="226">
        <v>16490</v>
      </c>
      <c r="H34" s="226">
        <v>16699</v>
      </c>
      <c r="I34" s="226">
        <v>16428</v>
      </c>
      <c r="J34" s="226">
        <v>16928</v>
      </c>
      <c r="K34" s="226">
        <v>17048</v>
      </c>
      <c r="L34" s="226">
        <v>16998</v>
      </c>
      <c r="M34" s="226">
        <v>17130</v>
      </c>
      <c r="N34" s="226">
        <v>17315</v>
      </c>
    </row>
    <row r="35" spans="1:14">
      <c r="A35" s="226" t="s">
        <v>2252</v>
      </c>
      <c r="B35" s="226">
        <v>62119</v>
      </c>
      <c r="C35" s="226"/>
      <c r="D35" s="226">
        <v>7257</v>
      </c>
      <c r="E35" s="226">
        <v>7303</v>
      </c>
      <c r="F35" s="226">
        <v>7375</v>
      </c>
      <c r="G35" s="226">
        <v>7431</v>
      </c>
      <c r="H35" s="226">
        <v>7520</v>
      </c>
      <c r="I35" s="226">
        <v>7572</v>
      </c>
      <c r="J35" s="226">
        <v>7621</v>
      </c>
      <c r="K35" s="226">
        <v>7731</v>
      </c>
      <c r="L35" s="226">
        <v>7737</v>
      </c>
      <c r="M35" s="226">
        <v>7788</v>
      </c>
      <c r="N35" s="226">
        <v>7929</v>
      </c>
    </row>
    <row r="36" spans="1:14">
      <c r="A36" s="226" t="s">
        <v>2253</v>
      </c>
      <c r="B36" s="226">
        <v>84010</v>
      </c>
      <c r="C36" s="226"/>
      <c r="D36" s="226">
        <v>2736</v>
      </c>
      <c r="E36" s="226">
        <v>2707</v>
      </c>
      <c r="F36" s="226">
        <v>2769</v>
      </c>
      <c r="G36" s="226">
        <v>2829</v>
      </c>
      <c r="H36" s="226">
        <v>2815</v>
      </c>
      <c r="I36" s="226">
        <v>2812</v>
      </c>
      <c r="J36" s="226">
        <v>2776</v>
      </c>
      <c r="K36" s="226">
        <v>2781</v>
      </c>
      <c r="L36" s="226">
        <v>2767</v>
      </c>
      <c r="M36" s="226">
        <v>2740</v>
      </c>
      <c r="N36" s="226">
        <v>2780</v>
      </c>
    </row>
    <row r="37" spans="1:14">
      <c r="A37" s="226" t="s">
        <v>2254</v>
      </c>
      <c r="B37" s="226">
        <v>53014</v>
      </c>
      <c r="C37" s="226"/>
      <c r="D37" s="226">
        <v>8579</v>
      </c>
      <c r="E37" s="226">
        <v>8620</v>
      </c>
      <c r="F37" s="226">
        <v>8778</v>
      </c>
      <c r="G37" s="226">
        <v>8854</v>
      </c>
      <c r="H37" s="226">
        <v>8879</v>
      </c>
      <c r="I37" s="226">
        <v>8922</v>
      </c>
      <c r="J37" s="226">
        <v>8908</v>
      </c>
      <c r="K37" s="226">
        <v>8987</v>
      </c>
      <c r="L37" s="226">
        <v>9038</v>
      </c>
      <c r="M37" s="226">
        <v>9143</v>
      </c>
      <c r="N37" s="226">
        <v>9275</v>
      </c>
    </row>
    <row r="38" spans="1:14">
      <c r="A38" s="226" t="s">
        <v>2255</v>
      </c>
      <c r="B38" s="226">
        <v>25014</v>
      </c>
      <c r="C38" s="226"/>
      <c r="D38" s="226">
        <v>20674</v>
      </c>
      <c r="E38" s="226">
        <v>20864</v>
      </c>
      <c r="F38" s="226">
        <v>27004</v>
      </c>
      <c r="G38" s="226">
        <v>27579</v>
      </c>
      <c r="H38" s="226">
        <v>28825</v>
      </c>
      <c r="I38" s="226">
        <v>29282</v>
      </c>
      <c r="J38" s="226">
        <v>20642</v>
      </c>
      <c r="K38" s="226">
        <v>20641</v>
      </c>
      <c r="L38" s="226">
        <v>20611</v>
      </c>
      <c r="M38" s="226">
        <v>20615</v>
      </c>
      <c r="N38" s="226">
        <v>20614</v>
      </c>
    </row>
    <row r="39" spans="1:14">
      <c r="A39" s="226" t="s">
        <v>2256</v>
      </c>
      <c r="B39" s="226">
        <v>25015</v>
      </c>
      <c r="C39" s="226"/>
      <c r="D39" s="226">
        <v>5502</v>
      </c>
      <c r="E39" s="226">
        <v>5639</v>
      </c>
      <c r="F39" s="226">
        <v>5706</v>
      </c>
      <c r="G39" s="226">
        <v>5854</v>
      </c>
      <c r="H39" s="226">
        <v>5973</v>
      </c>
      <c r="I39" s="226">
        <v>5977</v>
      </c>
      <c r="J39" s="226">
        <v>5882</v>
      </c>
      <c r="K39" s="226">
        <v>5897</v>
      </c>
      <c r="L39" s="226">
        <v>6037</v>
      </c>
      <c r="M39" s="226">
        <v>6040</v>
      </c>
      <c r="N39" s="226">
        <v>6052</v>
      </c>
    </row>
    <row r="40" spans="1:14">
      <c r="A40" s="226" t="s">
        <v>2257</v>
      </c>
      <c r="B40" s="226">
        <v>55004</v>
      </c>
      <c r="C40" s="226"/>
      <c r="D40" s="226">
        <v>9893</v>
      </c>
      <c r="E40" s="226">
        <v>9944</v>
      </c>
      <c r="F40" s="226">
        <v>10008</v>
      </c>
      <c r="G40" s="226">
        <v>10073</v>
      </c>
      <c r="H40" s="226">
        <v>10324</v>
      </c>
      <c r="I40" s="226">
        <v>10362</v>
      </c>
      <c r="J40" s="226">
        <v>10416</v>
      </c>
      <c r="K40" s="226">
        <v>10604</v>
      </c>
      <c r="L40" s="226">
        <v>10729</v>
      </c>
      <c r="M40" s="226">
        <v>10894</v>
      </c>
      <c r="N40" s="226">
        <v>11100</v>
      </c>
    </row>
    <row r="41" spans="1:14">
      <c r="A41" s="226" t="s">
        <v>2258</v>
      </c>
      <c r="B41" s="226">
        <v>64015</v>
      </c>
      <c r="C41" s="226"/>
      <c r="D41" s="226">
        <v>3068</v>
      </c>
      <c r="E41" s="226">
        <v>3155</v>
      </c>
      <c r="F41" s="226">
        <v>3212</v>
      </c>
      <c r="G41" s="226">
        <v>3298</v>
      </c>
      <c r="H41" s="226">
        <v>3351</v>
      </c>
      <c r="I41" s="226">
        <v>3359</v>
      </c>
      <c r="J41" s="226">
        <v>3380</v>
      </c>
      <c r="K41" s="226">
        <v>3428</v>
      </c>
      <c r="L41" s="226">
        <v>3457</v>
      </c>
      <c r="M41" s="226">
        <v>3506</v>
      </c>
      <c r="N41" s="226">
        <v>3537</v>
      </c>
    </row>
    <row r="42" spans="1:14">
      <c r="A42" s="226" t="s">
        <v>2259</v>
      </c>
      <c r="B42" s="226">
        <v>51012</v>
      </c>
      <c r="C42" s="226"/>
      <c r="D42" s="226">
        <v>1726</v>
      </c>
      <c r="E42" s="226">
        <v>1757</v>
      </c>
      <c r="F42" s="226">
        <v>1786</v>
      </c>
      <c r="G42" s="226">
        <v>1808</v>
      </c>
      <c r="H42" s="226">
        <v>1843</v>
      </c>
      <c r="I42" s="226">
        <v>1866</v>
      </c>
      <c r="J42" s="226">
        <v>1893</v>
      </c>
      <c r="K42" s="226">
        <v>1915</v>
      </c>
      <c r="L42" s="226">
        <v>1908</v>
      </c>
      <c r="M42" s="226">
        <v>1909</v>
      </c>
      <c r="N42" s="226">
        <v>1911</v>
      </c>
    </row>
    <row r="43" spans="1:14">
      <c r="A43" s="226" t="s">
        <v>2260</v>
      </c>
      <c r="B43" s="226">
        <v>57093</v>
      </c>
      <c r="C43" s="226"/>
      <c r="D43" s="226">
        <v>3921</v>
      </c>
      <c r="E43" s="226">
        <v>3987</v>
      </c>
      <c r="F43" s="226">
        <v>4059</v>
      </c>
      <c r="G43" s="226">
        <v>4115</v>
      </c>
      <c r="H43" s="226">
        <v>4195</v>
      </c>
      <c r="I43" s="226">
        <v>4193</v>
      </c>
      <c r="J43" s="226">
        <v>4217</v>
      </c>
      <c r="K43" s="226">
        <v>4305</v>
      </c>
      <c r="L43" s="226">
        <v>4329</v>
      </c>
      <c r="M43" s="226">
        <v>4349</v>
      </c>
      <c r="N43" s="226">
        <v>4377</v>
      </c>
    </row>
    <row r="44" spans="1:14">
      <c r="A44" s="226" t="s">
        <v>2261</v>
      </c>
      <c r="B44" s="226">
        <v>63012</v>
      </c>
      <c r="C44" s="226"/>
      <c r="D44" s="226">
        <v>2810</v>
      </c>
      <c r="E44" s="226">
        <v>2840</v>
      </c>
      <c r="F44" s="226">
        <v>2905</v>
      </c>
      <c r="G44" s="226">
        <v>2943</v>
      </c>
      <c r="H44" s="226">
        <v>2983</v>
      </c>
      <c r="I44" s="226">
        <v>2980</v>
      </c>
      <c r="J44" s="226">
        <v>2985</v>
      </c>
      <c r="K44" s="226">
        <v>3040</v>
      </c>
      <c r="L44" s="226">
        <v>3041</v>
      </c>
      <c r="M44" s="226">
        <v>3084</v>
      </c>
      <c r="N44" s="226">
        <v>3109</v>
      </c>
    </row>
    <row r="45" spans="1:14">
      <c r="A45" s="226" t="s">
        <v>2262</v>
      </c>
      <c r="B45" s="226">
        <v>61010</v>
      </c>
      <c r="C45" s="226"/>
      <c r="D45" s="226">
        <v>1620</v>
      </c>
      <c r="E45" s="226">
        <v>1675</v>
      </c>
      <c r="F45" s="226">
        <v>1719</v>
      </c>
      <c r="G45" s="226">
        <v>1746</v>
      </c>
      <c r="H45" s="226">
        <v>1749</v>
      </c>
      <c r="I45" s="226">
        <v>1754</v>
      </c>
      <c r="J45" s="226">
        <v>1768</v>
      </c>
      <c r="K45" s="226">
        <v>1789</v>
      </c>
      <c r="L45" s="226">
        <v>1787</v>
      </c>
      <c r="M45" s="226">
        <v>1827</v>
      </c>
      <c r="N45" s="226">
        <v>1858</v>
      </c>
    </row>
    <row r="46" spans="1:14">
      <c r="A46" s="226" t="s">
        <v>2263</v>
      </c>
      <c r="B46" s="226">
        <v>63087</v>
      </c>
      <c r="C46" s="226"/>
      <c r="D46" s="226">
        <v>2111</v>
      </c>
      <c r="E46" s="226">
        <v>2113</v>
      </c>
      <c r="F46" s="226">
        <v>2121</v>
      </c>
      <c r="G46" s="226">
        <v>2183</v>
      </c>
      <c r="H46" s="226">
        <v>2183</v>
      </c>
      <c r="I46" s="226">
        <v>2217</v>
      </c>
      <c r="J46" s="226">
        <v>2211</v>
      </c>
      <c r="K46" s="226">
        <v>2235</v>
      </c>
      <c r="L46" s="226">
        <v>2240</v>
      </c>
      <c r="M46" s="226">
        <v>2265</v>
      </c>
      <c r="N46" s="226">
        <v>2303</v>
      </c>
    </row>
    <row r="47" spans="1:14">
      <c r="A47" s="226" t="s">
        <v>2264</v>
      </c>
      <c r="B47" s="226">
        <v>63013</v>
      </c>
      <c r="C47" s="226"/>
      <c r="D47" s="226">
        <v>2922</v>
      </c>
      <c r="E47" s="226">
        <v>2937</v>
      </c>
      <c r="F47" s="226">
        <v>2956</v>
      </c>
      <c r="G47" s="226">
        <v>3041</v>
      </c>
      <c r="H47" s="226">
        <v>3072</v>
      </c>
      <c r="I47" s="226">
        <v>3096</v>
      </c>
      <c r="J47" s="226">
        <v>3125</v>
      </c>
      <c r="K47" s="226">
        <v>3133</v>
      </c>
      <c r="L47" s="226">
        <v>3115</v>
      </c>
      <c r="M47" s="226">
        <v>3135</v>
      </c>
      <c r="N47" s="226">
        <v>3120</v>
      </c>
    </row>
    <row r="48" spans="1:14">
      <c r="A48" s="226" t="s">
        <v>2265</v>
      </c>
      <c r="B48" s="226">
        <v>57018</v>
      </c>
      <c r="C48" s="226"/>
      <c r="D48" s="226">
        <v>2825</v>
      </c>
      <c r="E48" s="226">
        <v>2882</v>
      </c>
      <c r="F48" s="226">
        <v>2892</v>
      </c>
      <c r="G48" s="226">
        <v>2922</v>
      </c>
      <c r="H48" s="226">
        <v>2968</v>
      </c>
      <c r="I48" s="226">
        <v>2990</v>
      </c>
      <c r="J48" s="226">
        <v>2959</v>
      </c>
      <c r="K48" s="226">
        <v>3005</v>
      </c>
      <c r="L48" s="226">
        <v>3030</v>
      </c>
      <c r="M48" s="226">
        <v>3080</v>
      </c>
      <c r="N48" s="226">
        <v>3133</v>
      </c>
    </row>
    <row r="49" spans="1:14">
      <c r="A49" s="226" t="s">
        <v>2266</v>
      </c>
      <c r="B49" s="226">
        <v>93010</v>
      </c>
      <c r="C49" s="226"/>
      <c r="D49" s="226">
        <v>2460</v>
      </c>
      <c r="E49" s="226">
        <v>2488</v>
      </c>
      <c r="F49" s="226">
        <v>2541</v>
      </c>
      <c r="G49" s="226">
        <v>2589</v>
      </c>
      <c r="H49" s="226">
        <v>2605</v>
      </c>
      <c r="I49" s="226">
        <v>2638</v>
      </c>
      <c r="J49" s="226">
        <v>2655</v>
      </c>
      <c r="K49" s="226">
        <v>2712</v>
      </c>
      <c r="L49" s="226">
        <v>2727</v>
      </c>
      <c r="M49" s="226">
        <v>2753</v>
      </c>
      <c r="N49" s="226">
        <v>2773</v>
      </c>
    </row>
    <row r="50" spans="1:14">
      <c r="A50" s="226" t="s">
        <v>2267</v>
      </c>
      <c r="B50" s="226">
        <v>52010</v>
      </c>
      <c r="C50" s="226"/>
      <c r="D50" s="226">
        <v>6910</v>
      </c>
      <c r="E50" s="226">
        <v>6989</v>
      </c>
      <c r="F50" s="226">
        <v>7123</v>
      </c>
      <c r="G50" s="226">
        <v>7204</v>
      </c>
      <c r="H50" s="226">
        <v>7210</v>
      </c>
      <c r="I50" s="226">
        <v>7241</v>
      </c>
      <c r="J50" s="226">
        <v>7275</v>
      </c>
      <c r="K50" s="226">
        <v>7319</v>
      </c>
      <c r="L50" s="226">
        <v>7257</v>
      </c>
      <c r="M50" s="226">
        <v>7372</v>
      </c>
      <c r="N50" s="226">
        <v>7473</v>
      </c>
    </row>
    <row r="51" spans="1:14">
      <c r="A51" s="226" t="s">
        <v>2268</v>
      </c>
      <c r="B51" s="226">
        <v>52011</v>
      </c>
      <c r="C51" s="226"/>
      <c r="D51" s="226">
        <v>83712</v>
      </c>
      <c r="E51" s="226">
        <v>83782</v>
      </c>
      <c r="F51" s="226">
        <v>84322</v>
      </c>
      <c r="G51" s="226">
        <v>84839</v>
      </c>
      <c r="H51" s="226">
        <v>85585</v>
      </c>
      <c r="I51" s="226">
        <v>85522</v>
      </c>
      <c r="J51" s="226">
        <v>85361</v>
      </c>
      <c r="K51" s="226">
        <v>85903</v>
      </c>
      <c r="L51" s="226">
        <v>86751</v>
      </c>
      <c r="M51" s="226">
        <v>87361</v>
      </c>
      <c r="N51" s="226">
        <v>88122</v>
      </c>
    </row>
    <row r="52" spans="1:14">
      <c r="A52" s="226" t="s">
        <v>2269</v>
      </c>
      <c r="B52" s="226">
        <v>25117</v>
      </c>
      <c r="C52" s="226"/>
      <c r="D52" s="226">
        <v>3458</v>
      </c>
      <c r="E52" s="226">
        <v>3516</v>
      </c>
      <c r="F52" s="226">
        <v>3642</v>
      </c>
      <c r="G52" s="226">
        <v>3675</v>
      </c>
      <c r="H52" s="226">
        <v>3773</v>
      </c>
      <c r="I52" s="226">
        <v>3798</v>
      </c>
      <c r="J52" s="226">
        <v>3818</v>
      </c>
      <c r="K52" s="226">
        <v>3813</v>
      </c>
      <c r="L52" s="226">
        <v>3802</v>
      </c>
      <c r="M52" s="226">
        <v>3821</v>
      </c>
      <c r="N52" s="226">
        <v>3898</v>
      </c>
    </row>
    <row r="53" spans="1:14">
      <c r="A53" s="226" t="s">
        <v>2270</v>
      </c>
      <c r="B53" s="226">
        <v>52012</v>
      </c>
      <c r="C53" s="226"/>
      <c r="D53" s="226">
        <v>15648</v>
      </c>
      <c r="E53" s="226">
        <v>15701</v>
      </c>
      <c r="F53" s="226">
        <v>15837</v>
      </c>
      <c r="G53" s="226">
        <v>15889</v>
      </c>
      <c r="H53" s="226">
        <v>15906</v>
      </c>
      <c r="I53" s="226">
        <v>15899</v>
      </c>
      <c r="J53" s="226">
        <v>15917</v>
      </c>
      <c r="K53" s="226">
        <v>16029</v>
      </c>
      <c r="L53" s="226">
        <v>15990</v>
      </c>
      <c r="M53" s="226">
        <v>16081</v>
      </c>
      <c r="N53" s="226">
        <v>16324</v>
      </c>
    </row>
    <row r="54" spans="1:14">
      <c r="A54" s="226" t="s">
        <v>2271</v>
      </c>
      <c r="B54" s="226">
        <v>62022</v>
      </c>
      <c r="C54" s="226"/>
      <c r="D54" s="226">
        <v>11296</v>
      </c>
      <c r="E54" s="226">
        <v>11420</v>
      </c>
      <c r="F54" s="226">
        <v>11438</v>
      </c>
      <c r="G54" s="226">
        <v>11626</v>
      </c>
      <c r="H54" s="226">
        <v>11673</v>
      </c>
      <c r="I54" s="226">
        <v>11590</v>
      </c>
      <c r="J54" s="226">
        <v>11644</v>
      </c>
      <c r="K54" s="226">
        <v>11707</v>
      </c>
      <c r="L54" s="226">
        <v>11564</v>
      </c>
      <c r="M54" s="226">
        <v>11685</v>
      </c>
      <c r="N54" s="226">
        <v>11923</v>
      </c>
    </row>
    <row r="55" spans="1:14">
      <c r="A55" s="226" t="s">
        <v>2272</v>
      </c>
      <c r="B55" s="226">
        <v>25018</v>
      </c>
      <c r="C55" s="226"/>
      <c r="D55" s="226">
        <v>6456</v>
      </c>
      <c r="E55" s="226">
        <v>6559</v>
      </c>
      <c r="F55" s="226">
        <v>6667</v>
      </c>
      <c r="G55" s="226">
        <v>6709</v>
      </c>
      <c r="H55" s="226">
        <v>6799</v>
      </c>
      <c r="I55" s="226">
        <v>6767</v>
      </c>
      <c r="J55" s="226">
        <v>6722</v>
      </c>
      <c r="K55" s="226">
        <v>6744</v>
      </c>
      <c r="L55" s="226">
        <v>6766</v>
      </c>
      <c r="M55" s="226">
        <v>6739</v>
      </c>
      <c r="N55" s="226">
        <v>6829</v>
      </c>
    </row>
    <row r="56" spans="1:14">
      <c r="A56" s="226" t="s">
        <v>2273</v>
      </c>
      <c r="B56" s="226">
        <v>51014</v>
      </c>
      <c r="C56" s="226"/>
      <c r="D56" s="226">
        <v>3367</v>
      </c>
      <c r="E56" s="226">
        <v>3401</v>
      </c>
      <c r="F56" s="226">
        <v>3484</v>
      </c>
      <c r="G56" s="226">
        <v>3521</v>
      </c>
      <c r="H56" s="226">
        <v>3555</v>
      </c>
      <c r="I56" s="226">
        <v>3548</v>
      </c>
      <c r="J56" s="226">
        <v>3519</v>
      </c>
      <c r="K56" s="226">
        <v>3535</v>
      </c>
      <c r="L56" s="226">
        <v>3575</v>
      </c>
      <c r="M56" s="226">
        <v>3658</v>
      </c>
      <c r="N56" s="226">
        <v>3735</v>
      </c>
    </row>
    <row r="57" spans="1:14">
      <c r="A57" s="226" t="s">
        <v>2274</v>
      </c>
      <c r="B57" s="226">
        <v>56016</v>
      </c>
      <c r="C57" s="226"/>
      <c r="D57" s="226">
        <v>4880</v>
      </c>
      <c r="E57" s="226">
        <v>4940</v>
      </c>
      <c r="F57" s="226">
        <v>4944</v>
      </c>
      <c r="G57" s="226">
        <v>5019</v>
      </c>
      <c r="H57" s="226">
        <v>5045</v>
      </c>
      <c r="I57" s="226">
        <v>5032</v>
      </c>
      <c r="J57" s="226">
        <v>4993</v>
      </c>
      <c r="K57" s="226">
        <v>4957</v>
      </c>
      <c r="L57" s="226">
        <v>5131</v>
      </c>
      <c r="M57" s="226">
        <v>5144</v>
      </c>
      <c r="N57" s="226">
        <v>5150</v>
      </c>
    </row>
    <row r="58" spans="1:14">
      <c r="A58" s="226" t="s">
        <v>2275</v>
      </c>
      <c r="B58" s="226">
        <v>85007</v>
      </c>
      <c r="C58" s="226"/>
      <c r="D58" s="226">
        <v>2648</v>
      </c>
      <c r="E58" s="226">
        <v>2713</v>
      </c>
      <c r="F58" s="226">
        <v>2736</v>
      </c>
      <c r="G58" s="226">
        <v>2733</v>
      </c>
      <c r="H58" s="226">
        <v>2749</v>
      </c>
      <c r="I58" s="226">
        <v>2757</v>
      </c>
      <c r="J58" s="226">
        <v>2774</v>
      </c>
      <c r="K58" s="226">
        <v>2820</v>
      </c>
      <c r="L58" s="226">
        <v>2856</v>
      </c>
      <c r="M58" s="226">
        <v>2877</v>
      </c>
      <c r="N58" s="226">
        <v>2915</v>
      </c>
    </row>
    <row r="59" spans="1:14">
      <c r="A59" s="226" t="s">
        <v>2276</v>
      </c>
      <c r="B59" s="226">
        <v>91030</v>
      </c>
      <c r="C59" s="226"/>
      <c r="D59" s="226">
        <v>7549</v>
      </c>
      <c r="E59" s="226">
        <v>7652</v>
      </c>
      <c r="F59" s="226">
        <v>7853</v>
      </c>
      <c r="G59" s="226">
        <v>7993</v>
      </c>
      <c r="H59" s="226">
        <v>8195</v>
      </c>
      <c r="I59" s="226">
        <v>8294</v>
      </c>
      <c r="J59" s="226">
        <v>8386</v>
      </c>
      <c r="K59" s="226">
        <v>8520</v>
      </c>
      <c r="L59" s="226">
        <v>8628</v>
      </c>
      <c r="M59" s="226">
        <v>8529</v>
      </c>
      <c r="N59" s="226">
        <v>8614</v>
      </c>
    </row>
    <row r="60" spans="1:14">
      <c r="A60" s="226" t="s">
        <v>2277</v>
      </c>
      <c r="B60" s="226">
        <v>61012</v>
      </c>
      <c r="C60" s="226"/>
      <c r="D60" s="226">
        <v>2386</v>
      </c>
      <c r="E60" s="226">
        <v>2415</v>
      </c>
      <c r="F60" s="226">
        <v>2447</v>
      </c>
      <c r="G60" s="226">
        <v>2439</v>
      </c>
      <c r="H60" s="226">
        <v>2469</v>
      </c>
      <c r="I60" s="226">
        <v>2491</v>
      </c>
      <c r="J60" s="226">
        <v>2533</v>
      </c>
      <c r="K60" s="226">
        <v>2605</v>
      </c>
      <c r="L60" s="226">
        <v>2625</v>
      </c>
      <c r="M60" s="226">
        <v>2671</v>
      </c>
      <c r="N60" s="226">
        <v>2718</v>
      </c>
    </row>
    <row r="61" spans="1:14">
      <c r="A61" s="226" t="s">
        <v>2278</v>
      </c>
      <c r="B61" s="226">
        <v>53082</v>
      </c>
      <c r="C61" s="226"/>
      <c r="D61" s="226">
        <v>8769</v>
      </c>
      <c r="E61" s="226">
        <v>8840</v>
      </c>
      <c r="F61" s="226">
        <v>8945</v>
      </c>
      <c r="G61" s="226">
        <v>9128</v>
      </c>
      <c r="H61" s="226">
        <v>9261</v>
      </c>
      <c r="I61" s="226">
        <v>9264</v>
      </c>
      <c r="J61" s="226">
        <v>9220</v>
      </c>
      <c r="K61" s="226">
        <v>9315</v>
      </c>
      <c r="L61" s="226">
        <v>9323</v>
      </c>
      <c r="M61" s="226">
        <v>9455</v>
      </c>
      <c r="N61" s="226">
        <v>9580</v>
      </c>
    </row>
    <row r="62" spans="1:14">
      <c r="A62" s="226" t="s">
        <v>2279</v>
      </c>
      <c r="B62" s="226">
        <v>62026</v>
      </c>
      <c r="C62" s="226"/>
      <c r="D62" s="226">
        <v>2551</v>
      </c>
      <c r="E62" s="226">
        <v>2563</v>
      </c>
      <c r="F62" s="226">
        <v>2617</v>
      </c>
      <c r="G62" s="226">
        <v>2617</v>
      </c>
      <c r="H62" s="226">
        <v>2644</v>
      </c>
      <c r="I62" s="226">
        <v>2649</v>
      </c>
      <c r="J62" s="226">
        <v>2694</v>
      </c>
      <c r="K62" s="226">
        <v>2699</v>
      </c>
      <c r="L62" s="226">
        <v>2700</v>
      </c>
      <c r="M62" s="226">
        <v>2705</v>
      </c>
      <c r="N62" s="226">
        <v>2757</v>
      </c>
    </row>
    <row r="63" spans="1:14">
      <c r="A63" s="226" t="s">
        <v>2280</v>
      </c>
      <c r="B63" s="226">
        <v>54010</v>
      </c>
      <c r="C63" s="226"/>
      <c r="D63" s="226">
        <v>8811</v>
      </c>
      <c r="E63" s="226">
        <v>8895</v>
      </c>
      <c r="F63" s="226">
        <v>9011</v>
      </c>
      <c r="G63" s="226">
        <v>9096</v>
      </c>
      <c r="H63" s="226">
        <v>9136</v>
      </c>
      <c r="I63" s="226">
        <v>8969</v>
      </c>
      <c r="J63" s="226">
        <v>9155</v>
      </c>
      <c r="K63" s="226">
        <v>9175</v>
      </c>
      <c r="L63" s="226">
        <v>9128</v>
      </c>
      <c r="M63" s="226">
        <v>9175</v>
      </c>
      <c r="N63" s="226">
        <v>9247</v>
      </c>
    </row>
    <row r="64" spans="1:14">
      <c r="A64" s="226" t="s">
        <v>2281</v>
      </c>
      <c r="B64" s="226">
        <v>52015</v>
      </c>
      <c r="C64" s="226"/>
      <c r="D64" s="226">
        <v>14556</v>
      </c>
      <c r="E64" s="226">
        <v>14695</v>
      </c>
      <c r="F64" s="226">
        <v>14937</v>
      </c>
      <c r="G64" s="226">
        <v>14950</v>
      </c>
      <c r="H64" s="226">
        <v>14980</v>
      </c>
      <c r="I64" s="226">
        <v>15113</v>
      </c>
      <c r="J64" s="226">
        <v>15067</v>
      </c>
      <c r="K64" s="226">
        <v>15272</v>
      </c>
      <c r="L64" s="226">
        <v>15269</v>
      </c>
      <c r="M64" s="226">
        <v>15354</v>
      </c>
      <c r="N64" s="226">
        <v>15596</v>
      </c>
    </row>
    <row r="65" spans="1:14">
      <c r="A65" s="226" t="s">
        <v>2282</v>
      </c>
      <c r="B65" s="226">
        <v>25023</v>
      </c>
      <c r="C65" s="226"/>
      <c r="D65" s="226">
        <v>5020</v>
      </c>
      <c r="E65" s="226">
        <v>5153</v>
      </c>
      <c r="F65" s="226">
        <v>5200</v>
      </c>
      <c r="G65" s="226">
        <v>5287</v>
      </c>
      <c r="H65" s="226">
        <v>5354</v>
      </c>
      <c r="I65" s="226">
        <v>5323</v>
      </c>
      <c r="J65" s="226">
        <v>5324</v>
      </c>
      <c r="K65" s="226">
        <v>5361</v>
      </c>
      <c r="L65" s="226">
        <v>5296</v>
      </c>
      <c r="M65" s="226">
        <v>5341</v>
      </c>
      <c r="N65" s="226">
        <v>5418</v>
      </c>
    </row>
    <row r="66" spans="1:14">
      <c r="A66" s="226" t="s">
        <v>2283</v>
      </c>
      <c r="B66" s="226">
        <v>93014</v>
      </c>
      <c r="C66" s="226"/>
      <c r="D66" s="226">
        <v>6782</v>
      </c>
      <c r="E66" s="226">
        <v>6820</v>
      </c>
      <c r="F66" s="226">
        <v>6923</v>
      </c>
      <c r="G66" s="226">
        <v>6993</v>
      </c>
      <c r="H66" s="226">
        <v>7037</v>
      </c>
      <c r="I66" s="226">
        <v>7024</v>
      </c>
      <c r="J66" s="226">
        <v>7043</v>
      </c>
      <c r="K66" s="226">
        <v>7145</v>
      </c>
      <c r="L66" s="226">
        <v>7217</v>
      </c>
      <c r="M66" s="226">
        <v>7311</v>
      </c>
      <c r="N66" s="226">
        <v>7393</v>
      </c>
    </row>
    <row r="67" spans="1:14">
      <c r="A67" s="226" t="s">
        <v>2284</v>
      </c>
      <c r="B67" s="226">
        <v>64021</v>
      </c>
      <c r="C67" s="226"/>
      <c r="D67" s="226">
        <v>1696</v>
      </c>
      <c r="E67" s="226">
        <v>1758</v>
      </c>
      <c r="F67" s="226">
        <v>1768</v>
      </c>
      <c r="G67" s="226">
        <v>1826</v>
      </c>
      <c r="H67" s="226">
        <v>1860</v>
      </c>
      <c r="I67" s="226">
        <v>1888</v>
      </c>
      <c r="J67" s="226">
        <v>1927</v>
      </c>
      <c r="K67" s="226">
        <v>1962</v>
      </c>
      <c r="L67" s="226">
        <v>1959</v>
      </c>
      <c r="M67" s="226">
        <v>2005</v>
      </c>
      <c r="N67" s="226">
        <v>2090</v>
      </c>
    </row>
    <row r="68" spans="1:14">
      <c r="A68" s="226" t="s">
        <v>2285</v>
      </c>
      <c r="B68" s="226">
        <v>62027</v>
      </c>
      <c r="C68" s="226"/>
      <c r="D68" s="226">
        <v>3933</v>
      </c>
      <c r="E68" s="226">
        <v>4002</v>
      </c>
      <c r="F68" s="226">
        <v>4047</v>
      </c>
      <c r="G68" s="226">
        <v>4122</v>
      </c>
      <c r="H68" s="226">
        <v>4181</v>
      </c>
      <c r="I68" s="226">
        <v>4178</v>
      </c>
      <c r="J68" s="226">
        <v>4217</v>
      </c>
      <c r="K68" s="226">
        <v>4307</v>
      </c>
      <c r="L68" s="226">
        <v>4307</v>
      </c>
      <c r="M68" s="226">
        <v>4338</v>
      </c>
      <c r="N68" s="226">
        <v>4395</v>
      </c>
    </row>
    <row r="69" spans="1:14">
      <c r="A69" s="226" t="s">
        <v>2286</v>
      </c>
      <c r="B69" s="226">
        <v>84016</v>
      </c>
      <c r="C69" s="226"/>
      <c r="D69" s="226">
        <v>699</v>
      </c>
      <c r="E69" s="226">
        <v>705</v>
      </c>
      <c r="F69" s="226">
        <v>708</v>
      </c>
      <c r="G69" s="226">
        <v>717</v>
      </c>
      <c r="H69" s="226">
        <v>726</v>
      </c>
      <c r="I69" s="226">
        <v>723</v>
      </c>
      <c r="J69" s="226">
        <v>725</v>
      </c>
      <c r="K69" s="226">
        <v>719</v>
      </c>
      <c r="L69" s="226">
        <v>722</v>
      </c>
      <c r="M69" s="226">
        <v>725</v>
      </c>
      <c r="N69" s="226">
        <v>727</v>
      </c>
    </row>
    <row r="70" spans="1:14">
      <c r="A70" s="226" t="s">
        <v>2287</v>
      </c>
      <c r="B70" s="226">
        <v>91034</v>
      </c>
      <c r="C70" s="226"/>
      <c r="D70" s="226">
        <v>6285</v>
      </c>
      <c r="E70" s="226">
        <v>6373</v>
      </c>
      <c r="F70" s="226">
        <v>6372</v>
      </c>
      <c r="G70" s="226">
        <v>6441</v>
      </c>
      <c r="H70" s="226">
        <v>6371</v>
      </c>
      <c r="I70" s="226">
        <v>6313</v>
      </c>
      <c r="J70" s="226">
        <v>6214</v>
      </c>
      <c r="K70" s="226">
        <v>6286</v>
      </c>
      <c r="L70" s="226">
        <v>6368</v>
      </c>
      <c r="M70" s="226">
        <v>6375</v>
      </c>
      <c r="N70" s="226">
        <v>6440</v>
      </c>
    </row>
    <row r="71" spans="1:14">
      <c r="A71" s="226" t="s">
        <v>2288</v>
      </c>
      <c r="B71" s="226">
        <v>63020</v>
      </c>
      <c r="C71" s="226"/>
      <c r="D71" s="226">
        <v>5866</v>
      </c>
      <c r="E71" s="226">
        <v>5864</v>
      </c>
      <c r="F71" s="226">
        <v>5927</v>
      </c>
      <c r="G71" s="226">
        <v>6006</v>
      </c>
      <c r="H71" s="226">
        <v>6128</v>
      </c>
      <c r="I71" s="226">
        <v>6112</v>
      </c>
      <c r="J71" s="226">
        <v>6063</v>
      </c>
      <c r="K71" s="226">
        <v>6151</v>
      </c>
      <c r="L71" s="226">
        <v>6159</v>
      </c>
      <c r="M71" s="226">
        <v>6189</v>
      </c>
      <c r="N71" s="226">
        <v>6261</v>
      </c>
    </row>
    <row r="72" spans="1:14">
      <c r="A72" s="226" t="s">
        <v>2289</v>
      </c>
      <c r="B72" s="226">
        <v>93018</v>
      </c>
      <c r="C72" s="226"/>
      <c r="D72" s="226">
        <v>1438</v>
      </c>
      <c r="E72" s="226">
        <v>1499</v>
      </c>
      <c r="F72" s="226">
        <v>1506</v>
      </c>
      <c r="G72" s="226">
        <v>1533</v>
      </c>
      <c r="H72" s="226">
        <v>1563</v>
      </c>
      <c r="I72" s="226">
        <v>1597</v>
      </c>
      <c r="J72" s="226">
        <v>1601</v>
      </c>
      <c r="K72" s="226">
        <v>1594</v>
      </c>
      <c r="L72" s="226">
        <v>1617</v>
      </c>
      <c r="M72" s="226">
        <v>1643</v>
      </c>
      <c r="N72" s="226">
        <v>1674</v>
      </c>
    </row>
    <row r="73" spans="1:14">
      <c r="A73" s="226" t="s">
        <v>2290</v>
      </c>
      <c r="B73" s="226">
        <v>64023</v>
      </c>
      <c r="C73" s="226"/>
      <c r="D73" s="226">
        <v>1665</v>
      </c>
      <c r="E73" s="226">
        <v>1702</v>
      </c>
      <c r="F73" s="226">
        <v>1744</v>
      </c>
      <c r="G73" s="226">
        <v>1784</v>
      </c>
      <c r="H73" s="226">
        <v>1815</v>
      </c>
      <c r="I73" s="226">
        <v>1815</v>
      </c>
      <c r="J73" s="226">
        <v>1813</v>
      </c>
      <c r="K73" s="226">
        <v>1838</v>
      </c>
      <c r="L73" s="226">
        <v>1823</v>
      </c>
      <c r="M73" s="226">
        <v>1823</v>
      </c>
      <c r="N73" s="226">
        <v>1814</v>
      </c>
    </row>
    <row r="74" spans="1:14">
      <c r="A74" s="226" t="s">
        <v>2291</v>
      </c>
      <c r="B74" s="226">
        <v>53020</v>
      </c>
      <c r="C74" s="226"/>
      <c r="D74" s="226">
        <v>7488</v>
      </c>
      <c r="E74" s="226">
        <v>7555</v>
      </c>
      <c r="F74" s="226">
        <v>7718</v>
      </c>
      <c r="G74" s="226">
        <v>7741</v>
      </c>
      <c r="H74" s="226">
        <v>7829</v>
      </c>
      <c r="I74" s="226">
        <v>7826</v>
      </c>
      <c r="J74" s="226">
        <v>7795</v>
      </c>
      <c r="K74" s="226">
        <v>7896</v>
      </c>
      <c r="L74" s="226">
        <v>7906</v>
      </c>
      <c r="M74" s="226">
        <v>7975</v>
      </c>
      <c r="N74" s="226">
        <v>8098</v>
      </c>
    </row>
    <row r="75" spans="1:14">
      <c r="A75" s="226" t="s">
        <v>2292</v>
      </c>
      <c r="B75" s="226">
        <v>83012</v>
      </c>
      <c r="C75" s="226"/>
      <c r="D75" s="226">
        <v>5616</v>
      </c>
      <c r="E75" s="226">
        <v>5745</v>
      </c>
      <c r="F75" s="226">
        <v>5787</v>
      </c>
      <c r="G75" s="226">
        <v>5842</v>
      </c>
      <c r="H75" s="226">
        <v>5897</v>
      </c>
      <c r="I75" s="226">
        <v>5950</v>
      </c>
      <c r="J75" s="226">
        <v>6002</v>
      </c>
      <c r="K75" s="226">
        <v>6083</v>
      </c>
      <c r="L75" s="226">
        <v>6068</v>
      </c>
      <c r="M75" s="226">
        <v>6098</v>
      </c>
      <c r="N75" s="226">
        <v>6194</v>
      </c>
    </row>
    <row r="76" spans="1:14">
      <c r="A76" s="226" t="s">
        <v>2293</v>
      </c>
      <c r="B76" s="226">
        <v>55050</v>
      </c>
      <c r="C76" s="226"/>
      <c r="D76" s="226">
        <v>5011</v>
      </c>
      <c r="E76" s="226">
        <v>5061</v>
      </c>
      <c r="F76" s="226">
        <v>5191</v>
      </c>
      <c r="G76" s="226">
        <v>5291</v>
      </c>
      <c r="H76" s="226">
        <v>5393</v>
      </c>
      <c r="I76" s="226">
        <v>5436</v>
      </c>
      <c r="J76" s="226">
        <v>5437</v>
      </c>
      <c r="K76" s="226">
        <v>5538</v>
      </c>
      <c r="L76" s="226">
        <v>5603</v>
      </c>
      <c r="M76" s="226">
        <v>5702</v>
      </c>
      <c r="N76" s="226">
        <v>5834</v>
      </c>
    </row>
    <row r="77" spans="1:14">
      <c r="A77" s="226" t="s">
        <v>2294</v>
      </c>
      <c r="B77" s="226">
        <v>92035</v>
      </c>
      <c r="C77" s="226"/>
      <c r="D77" s="226">
        <v>7947</v>
      </c>
      <c r="E77" s="226">
        <v>8092</v>
      </c>
      <c r="F77" s="226">
        <v>8243</v>
      </c>
      <c r="G77" s="226">
        <v>8345</v>
      </c>
      <c r="H77" s="226">
        <v>8434</v>
      </c>
      <c r="I77" s="226">
        <v>8491</v>
      </c>
      <c r="J77" s="226">
        <v>8479</v>
      </c>
      <c r="K77" s="226">
        <v>8574</v>
      </c>
      <c r="L77" s="226">
        <v>8641</v>
      </c>
      <c r="M77" s="226">
        <v>8795</v>
      </c>
      <c r="N77" s="226">
        <v>8945</v>
      </c>
    </row>
    <row r="78" spans="1:14">
      <c r="A78" s="226" t="s">
        <v>2295</v>
      </c>
      <c r="B78" s="226">
        <v>51017</v>
      </c>
      <c r="C78" s="226"/>
      <c r="D78" s="226">
        <v>3073</v>
      </c>
      <c r="E78" s="226">
        <v>3079</v>
      </c>
      <c r="F78" s="226">
        <v>3137</v>
      </c>
      <c r="G78" s="226">
        <v>3179</v>
      </c>
      <c r="H78" s="226">
        <v>3170</v>
      </c>
      <c r="I78" s="226">
        <v>3180</v>
      </c>
      <c r="J78" s="226">
        <v>3204</v>
      </c>
      <c r="K78" s="226">
        <v>3211</v>
      </c>
      <c r="L78" s="226">
        <v>3208</v>
      </c>
      <c r="M78" s="226">
        <v>3202</v>
      </c>
      <c r="N78" s="226">
        <v>3206</v>
      </c>
    </row>
    <row r="79" spans="1:14">
      <c r="A79" s="226" t="s">
        <v>2296</v>
      </c>
      <c r="B79" s="226">
        <v>55010</v>
      </c>
      <c r="C79" s="226"/>
      <c r="D79" s="226">
        <v>6031</v>
      </c>
      <c r="E79" s="226">
        <v>6029</v>
      </c>
      <c r="F79" s="226">
        <v>6269</v>
      </c>
      <c r="G79" s="226">
        <v>6265</v>
      </c>
      <c r="H79" s="226">
        <v>6359</v>
      </c>
      <c r="I79" s="226">
        <v>6475</v>
      </c>
      <c r="J79" s="226">
        <v>6406</v>
      </c>
      <c r="K79" s="226">
        <v>6440</v>
      </c>
      <c r="L79" s="226">
        <v>6501</v>
      </c>
      <c r="M79" s="226">
        <v>6514</v>
      </c>
      <c r="N79" s="226">
        <v>6600</v>
      </c>
    </row>
    <row r="80" spans="1:14">
      <c r="A80" s="226" t="s">
        <v>2297</v>
      </c>
      <c r="B80" s="226">
        <v>61080</v>
      </c>
      <c r="C80" s="226"/>
      <c r="D80" s="226">
        <v>2946</v>
      </c>
      <c r="E80" s="226">
        <v>2963</v>
      </c>
      <c r="F80" s="226">
        <v>3042</v>
      </c>
      <c r="G80" s="226">
        <v>3060</v>
      </c>
      <c r="H80" s="226">
        <v>3144</v>
      </c>
      <c r="I80" s="226">
        <v>3132</v>
      </c>
      <c r="J80" s="226">
        <v>3164</v>
      </c>
      <c r="K80" s="226">
        <v>3202</v>
      </c>
      <c r="L80" s="226">
        <v>3305</v>
      </c>
      <c r="M80" s="226">
        <v>3318</v>
      </c>
      <c r="N80" s="226">
        <v>3393</v>
      </c>
    </row>
    <row r="81" spans="1:14">
      <c r="A81" s="226" t="s">
        <v>2298</v>
      </c>
      <c r="B81" s="226">
        <v>83013</v>
      </c>
      <c r="C81" s="226"/>
      <c r="D81" s="226">
        <v>1728</v>
      </c>
      <c r="E81" s="226">
        <v>1745</v>
      </c>
      <c r="F81" s="226">
        <v>1776</v>
      </c>
      <c r="G81" s="226">
        <v>1784</v>
      </c>
      <c r="H81" s="226">
        <v>1792</v>
      </c>
      <c r="I81" s="226">
        <v>1840</v>
      </c>
      <c r="J81" s="226">
        <v>1854</v>
      </c>
      <c r="K81" s="226">
        <v>1870</v>
      </c>
      <c r="L81" s="226">
        <v>1906</v>
      </c>
      <c r="M81" s="226">
        <v>1940</v>
      </c>
      <c r="N81" s="226">
        <v>1990</v>
      </c>
    </row>
    <row r="82" spans="1:14">
      <c r="A82" s="226" t="s">
        <v>2299</v>
      </c>
      <c r="B82" s="226">
        <v>56022</v>
      </c>
      <c r="C82" s="226"/>
      <c r="D82" s="226">
        <v>4675</v>
      </c>
      <c r="E82" s="226">
        <v>4778</v>
      </c>
      <c r="F82" s="226">
        <v>4829</v>
      </c>
      <c r="G82" s="226">
        <v>4843</v>
      </c>
      <c r="H82" s="226">
        <v>4950</v>
      </c>
      <c r="I82" s="226">
        <v>5011</v>
      </c>
      <c r="J82" s="226">
        <v>4961</v>
      </c>
      <c r="K82" s="226">
        <v>5018</v>
      </c>
      <c r="L82" s="226">
        <v>5040</v>
      </c>
      <c r="M82" s="226">
        <v>5082</v>
      </c>
      <c r="N82" s="226">
        <v>5167</v>
      </c>
    </row>
    <row r="83" spans="1:14">
      <c r="A83" s="226" t="s">
        <v>2300</v>
      </c>
      <c r="B83" s="226">
        <v>62032</v>
      </c>
      <c r="C83" s="226"/>
      <c r="D83" s="226">
        <v>6994</v>
      </c>
      <c r="E83" s="226">
        <v>7134</v>
      </c>
      <c r="F83" s="226">
        <v>7175</v>
      </c>
      <c r="G83" s="226">
        <v>7152</v>
      </c>
      <c r="H83" s="226">
        <v>7210</v>
      </c>
      <c r="I83" s="226">
        <v>7236</v>
      </c>
      <c r="J83" s="226">
        <v>7256</v>
      </c>
      <c r="K83" s="226">
        <v>7390</v>
      </c>
      <c r="L83" s="226">
        <v>7208</v>
      </c>
      <c r="M83" s="226">
        <v>7215</v>
      </c>
      <c r="N83" s="226">
        <v>7242</v>
      </c>
    </row>
    <row r="84" spans="1:14">
      <c r="A84" s="226" t="s">
        <v>2301</v>
      </c>
      <c r="B84" s="226">
        <v>57027</v>
      </c>
      <c r="C84" s="226"/>
      <c r="D84" s="226">
        <v>5002</v>
      </c>
      <c r="E84" s="226">
        <v>5128</v>
      </c>
      <c r="F84" s="226">
        <v>5242</v>
      </c>
      <c r="G84" s="226">
        <v>5277</v>
      </c>
      <c r="H84" s="226">
        <v>5385</v>
      </c>
      <c r="I84" s="226">
        <v>5464</v>
      </c>
      <c r="J84" s="226">
        <v>5533</v>
      </c>
      <c r="K84" s="226">
        <v>5660</v>
      </c>
      <c r="L84" s="226">
        <v>5670</v>
      </c>
      <c r="M84" s="226">
        <v>5666</v>
      </c>
      <c r="N84" s="226">
        <v>5766</v>
      </c>
    </row>
    <row r="85" spans="1:14">
      <c r="A85" s="226" t="s">
        <v>2302</v>
      </c>
      <c r="B85" s="226">
        <v>56085</v>
      </c>
      <c r="C85" s="226"/>
      <c r="D85" s="226">
        <v>3938</v>
      </c>
      <c r="E85" s="226">
        <v>4025</v>
      </c>
      <c r="F85" s="226">
        <v>4050</v>
      </c>
      <c r="G85" s="226">
        <v>4090</v>
      </c>
      <c r="H85" s="226">
        <v>4215</v>
      </c>
      <c r="I85" s="226">
        <v>4129</v>
      </c>
      <c r="J85" s="226">
        <v>4207</v>
      </c>
      <c r="K85" s="226">
        <v>4294</v>
      </c>
      <c r="L85" s="226">
        <v>4324</v>
      </c>
      <c r="M85" s="226">
        <v>4376</v>
      </c>
      <c r="N85" s="226">
        <v>4439</v>
      </c>
    </row>
    <row r="86" spans="1:14">
      <c r="A86" s="226" t="s">
        <v>2303</v>
      </c>
      <c r="B86" s="226">
        <v>85009</v>
      </c>
      <c r="C86" s="226"/>
      <c r="D86" s="226">
        <v>2938</v>
      </c>
      <c r="E86" s="226">
        <v>3011</v>
      </c>
      <c r="F86" s="226">
        <v>3121</v>
      </c>
      <c r="G86" s="226">
        <v>3202</v>
      </c>
      <c r="H86" s="226">
        <v>3253</v>
      </c>
      <c r="I86" s="226">
        <v>3275</v>
      </c>
      <c r="J86" s="226">
        <v>3342</v>
      </c>
      <c r="K86" s="226">
        <v>3421</v>
      </c>
      <c r="L86" s="226">
        <v>3437</v>
      </c>
      <c r="M86" s="226">
        <v>3456</v>
      </c>
      <c r="N86" s="226">
        <v>3505</v>
      </c>
    </row>
    <row r="87" spans="1:14">
      <c r="A87" s="226" t="s">
        <v>2304</v>
      </c>
      <c r="B87" s="226">
        <v>63023</v>
      </c>
      <c r="C87" s="226"/>
      <c r="D87" s="226">
        <v>9774</v>
      </c>
      <c r="E87" s="226">
        <v>10057</v>
      </c>
      <c r="F87" s="226">
        <v>10199</v>
      </c>
      <c r="G87" s="226">
        <v>10233</v>
      </c>
      <c r="H87" s="226">
        <v>10389</v>
      </c>
      <c r="I87" s="226">
        <v>10517</v>
      </c>
      <c r="J87" s="226">
        <v>10457</v>
      </c>
      <c r="K87" s="226">
        <v>10545</v>
      </c>
      <c r="L87" s="226">
        <v>10576</v>
      </c>
      <c r="M87" s="226">
        <v>10701</v>
      </c>
      <c r="N87" s="226">
        <v>10795</v>
      </c>
    </row>
    <row r="88" spans="1:14">
      <c r="A88" s="226" t="s">
        <v>2305</v>
      </c>
      <c r="B88" s="226">
        <v>64076</v>
      </c>
      <c r="C88" s="226"/>
      <c r="D88" s="226">
        <v>2015</v>
      </c>
      <c r="E88" s="226">
        <v>2063</v>
      </c>
      <c r="F88" s="226">
        <v>2101</v>
      </c>
      <c r="G88" s="226">
        <v>2104</v>
      </c>
      <c r="H88" s="226">
        <v>2147</v>
      </c>
      <c r="I88" s="226">
        <v>2150</v>
      </c>
      <c r="J88" s="226">
        <v>2146</v>
      </c>
      <c r="K88" s="226">
        <v>2172</v>
      </c>
      <c r="L88" s="226">
        <v>2205</v>
      </c>
      <c r="M88" s="226">
        <v>2243</v>
      </c>
      <c r="N88" s="226">
        <v>2318</v>
      </c>
    </row>
    <row r="89" spans="1:14">
      <c r="A89" s="226" t="s">
        <v>2306</v>
      </c>
      <c r="B89" s="226">
        <v>52018</v>
      </c>
      <c r="C89" s="226"/>
      <c r="D89" s="226">
        <v>4489</v>
      </c>
      <c r="E89" s="226">
        <v>4502</v>
      </c>
      <c r="F89" s="226">
        <v>4579</v>
      </c>
      <c r="G89" s="226">
        <v>4601</v>
      </c>
      <c r="H89" s="226">
        <v>4658</v>
      </c>
      <c r="I89" s="226">
        <v>4696</v>
      </c>
      <c r="J89" s="226">
        <v>4707</v>
      </c>
      <c r="K89" s="226">
        <v>4717</v>
      </c>
      <c r="L89" s="226">
        <v>4743</v>
      </c>
      <c r="M89" s="226">
        <v>4819</v>
      </c>
      <c r="N89" s="226">
        <v>4914</v>
      </c>
    </row>
    <row r="90" spans="1:14">
      <c r="A90" s="226" t="s">
        <v>2307</v>
      </c>
      <c r="B90" s="226">
        <v>82009</v>
      </c>
      <c r="C90" s="226"/>
      <c r="D90" s="226">
        <v>1137</v>
      </c>
      <c r="E90" s="226">
        <v>1153</v>
      </c>
      <c r="F90" s="226">
        <v>1179</v>
      </c>
      <c r="G90" s="226">
        <v>1187</v>
      </c>
      <c r="H90" s="226">
        <v>1228</v>
      </c>
      <c r="I90" s="226">
        <v>1242</v>
      </c>
      <c r="J90" s="226">
        <v>1252</v>
      </c>
      <c r="K90" s="226">
        <v>1266</v>
      </c>
      <c r="L90" s="226">
        <v>1307</v>
      </c>
      <c r="M90" s="226">
        <v>1328</v>
      </c>
      <c r="N90" s="226">
        <v>1375</v>
      </c>
    </row>
    <row r="91" spans="1:14">
      <c r="A91" s="226" t="s">
        <v>2308</v>
      </c>
      <c r="B91" s="226">
        <v>92138</v>
      </c>
      <c r="C91" s="226"/>
      <c r="D91" s="226">
        <v>3859</v>
      </c>
      <c r="E91" s="226">
        <v>4092</v>
      </c>
      <c r="F91" s="226">
        <v>4221</v>
      </c>
      <c r="G91" s="226">
        <v>4231</v>
      </c>
      <c r="H91" s="226">
        <v>4368</v>
      </c>
      <c r="I91" s="226">
        <v>4467</v>
      </c>
      <c r="J91" s="226">
        <v>4390</v>
      </c>
      <c r="K91" s="226">
        <v>4478</v>
      </c>
      <c r="L91" s="226">
        <v>4538</v>
      </c>
      <c r="M91" s="226">
        <v>4588</v>
      </c>
      <c r="N91" s="226">
        <v>4692</v>
      </c>
    </row>
    <row r="92" spans="1:14">
      <c r="A92" s="226" t="s">
        <v>2309</v>
      </c>
      <c r="B92" s="226">
        <v>61019</v>
      </c>
      <c r="C92" s="226"/>
      <c r="D92" s="226">
        <v>2564</v>
      </c>
      <c r="E92" s="226">
        <v>2611</v>
      </c>
      <c r="F92" s="226">
        <v>2687</v>
      </c>
      <c r="G92" s="226">
        <v>2707</v>
      </c>
      <c r="H92" s="226">
        <v>2744</v>
      </c>
      <c r="I92" s="226">
        <v>2773</v>
      </c>
      <c r="J92" s="226">
        <v>2805</v>
      </c>
      <c r="K92" s="226">
        <v>2864</v>
      </c>
      <c r="L92" s="226">
        <v>2888</v>
      </c>
      <c r="M92" s="226">
        <v>2929</v>
      </c>
      <c r="N92" s="226">
        <v>2998</v>
      </c>
    </row>
    <row r="93" spans="1:14">
      <c r="A93" s="226" t="s">
        <v>2310</v>
      </c>
      <c r="B93" s="226">
        <v>64025</v>
      </c>
      <c r="C93" s="226"/>
      <c r="D93" s="226">
        <v>1815</v>
      </c>
      <c r="E93" s="226">
        <v>1836</v>
      </c>
      <c r="F93" s="226">
        <v>1832</v>
      </c>
      <c r="G93" s="226">
        <v>1863</v>
      </c>
      <c r="H93" s="226">
        <v>1883</v>
      </c>
      <c r="I93" s="226">
        <v>1896</v>
      </c>
      <c r="J93" s="226">
        <v>1883</v>
      </c>
      <c r="K93" s="226">
        <v>1906</v>
      </c>
      <c r="L93" s="226">
        <v>1942</v>
      </c>
      <c r="M93" s="226">
        <v>1973</v>
      </c>
      <c r="N93" s="226">
        <v>1979</v>
      </c>
    </row>
    <row r="94" spans="1:14">
      <c r="A94" s="226" t="s">
        <v>2311</v>
      </c>
      <c r="B94" s="226">
        <v>62120</v>
      </c>
      <c r="C94" s="226"/>
      <c r="D94" s="226">
        <v>12572</v>
      </c>
      <c r="E94" s="226">
        <v>12648</v>
      </c>
      <c r="F94" s="226">
        <v>12829</v>
      </c>
      <c r="G94" s="226">
        <v>12957</v>
      </c>
      <c r="H94" s="226">
        <v>13100</v>
      </c>
      <c r="I94" s="226">
        <v>13165</v>
      </c>
      <c r="J94" s="226">
        <v>13123</v>
      </c>
      <c r="K94" s="226">
        <v>13284</v>
      </c>
      <c r="L94" s="226">
        <v>13320</v>
      </c>
      <c r="M94" s="226">
        <v>13439</v>
      </c>
      <c r="N94" s="226">
        <v>13554</v>
      </c>
    </row>
    <row r="95" spans="1:14">
      <c r="A95" s="226" t="s">
        <v>2312</v>
      </c>
      <c r="B95" s="226">
        <v>62038</v>
      </c>
      <c r="C95" s="226"/>
      <c r="D95" s="226">
        <v>7812</v>
      </c>
      <c r="E95" s="226">
        <v>7943</v>
      </c>
      <c r="F95" s="226">
        <v>8011</v>
      </c>
      <c r="G95" s="226">
        <v>8057</v>
      </c>
      <c r="H95" s="226">
        <v>8175</v>
      </c>
      <c r="I95" s="226">
        <v>8160</v>
      </c>
      <c r="J95" s="226">
        <v>8211</v>
      </c>
      <c r="K95" s="226">
        <v>8278</v>
      </c>
      <c r="L95" s="226">
        <v>8313</v>
      </c>
      <c r="M95" s="226">
        <v>8429</v>
      </c>
      <c r="N95" s="226">
        <v>8529</v>
      </c>
    </row>
    <row r="96" spans="1:14">
      <c r="A96" s="226" t="s">
        <v>2313</v>
      </c>
      <c r="B96" s="226">
        <v>52021</v>
      </c>
      <c r="C96" s="226"/>
      <c r="D96" s="226">
        <v>11532</v>
      </c>
      <c r="E96" s="226">
        <v>11520</v>
      </c>
      <c r="F96" s="226">
        <v>11706</v>
      </c>
      <c r="G96" s="226">
        <v>11646</v>
      </c>
      <c r="H96" s="226">
        <v>11829</v>
      </c>
      <c r="I96" s="226">
        <v>11923</v>
      </c>
      <c r="J96" s="226">
        <v>11981</v>
      </c>
      <c r="K96" s="226">
        <v>12212</v>
      </c>
      <c r="L96" s="226">
        <v>11961</v>
      </c>
      <c r="M96" s="226">
        <v>12070</v>
      </c>
      <c r="N96" s="226">
        <v>12217</v>
      </c>
    </row>
    <row r="97" spans="1:14">
      <c r="A97" s="226" t="s">
        <v>2314</v>
      </c>
      <c r="B97" s="226">
        <v>51019</v>
      </c>
      <c r="C97" s="226"/>
      <c r="D97" s="226">
        <v>1816</v>
      </c>
      <c r="E97" s="226">
        <v>1802</v>
      </c>
      <c r="F97" s="226">
        <v>1823</v>
      </c>
      <c r="G97" s="226">
        <v>1847</v>
      </c>
      <c r="H97" s="226">
        <v>1854</v>
      </c>
      <c r="I97" s="226">
        <v>1859</v>
      </c>
      <c r="J97" s="226">
        <v>1859</v>
      </c>
      <c r="K97" s="226">
        <v>1904</v>
      </c>
      <c r="L97" s="226">
        <v>1875</v>
      </c>
      <c r="M97" s="226">
        <v>1881</v>
      </c>
      <c r="N97" s="226">
        <v>1911</v>
      </c>
    </row>
    <row r="98" spans="1:14">
      <c r="A98" s="226" t="s">
        <v>2315</v>
      </c>
      <c r="B98" s="226">
        <v>92045</v>
      </c>
      <c r="C98" s="226"/>
      <c r="D98" s="226">
        <v>4029</v>
      </c>
      <c r="E98" s="226">
        <v>4074</v>
      </c>
      <c r="F98" s="226">
        <v>4130</v>
      </c>
      <c r="G98" s="226">
        <v>4198</v>
      </c>
      <c r="H98" s="226">
        <v>4283</v>
      </c>
      <c r="I98" s="226">
        <v>4304</v>
      </c>
      <c r="J98" s="226">
        <v>4334</v>
      </c>
      <c r="K98" s="226">
        <v>4313</v>
      </c>
      <c r="L98" s="226">
        <v>4337</v>
      </c>
      <c r="M98" s="226">
        <v>4380</v>
      </c>
      <c r="N98" s="226">
        <v>4429</v>
      </c>
    </row>
    <row r="99" spans="1:14">
      <c r="A99" s="226" t="s">
        <v>2316</v>
      </c>
      <c r="B99" s="226">
        <v>93022</v>
      </c>
      <c r="C99" s="226"/>
      <c r="D99" s="226">
        <v>5491</v>
      </c>
      <c r="E99" s="226">
        <v>5525</v>
      </c>
      <c r="F99" s="226">
        <v>5547</v>
      </c>
      <c r="G99" s="226">
        <v>5625</v>
      </c>
      <c r="H99" s="226">
        <v>5658</v>
      </c>
      <c r="I99" s="226">
        <v>5668</v>
      </c>
      <c r="J99" s="226">
        <v>5682</v>
      </c>
      <c r="K99" s="226">
        <v>5691</v>
      </c>
      <c r="L99" s="226">
        <v>5739</v>
      </c>
      <c r="M99" s="226">
        <v>5826</v>
      </c>
      <c r="N99" s="226">
        <v>5927</v>
      </c>
    </row>
    <row r="100" spans="1:14">
      <c r="A100" s="226" t="s">
        <v>2317</v>
      </c>
      <c r="B100" s="226">
        <v>85011</v>
      </c>
      <c r="C100" s="226"/>
      <c r="D100" s="226">
        <v>2748</v>
      </c>
      <c r="E100" s="226">
        <v>2778</v>
      </c>
      <c r="F100" s="226">
        <v>2814</v>
      </c>
      <c r="G100" s="226">
        <v>2821</v>
      </c>
      <c r="H100" s="226">
        <v>2804</v>
      </c>
      <c r="I100" s="226">
        <v>2803</v>
      </c>
      <c r="J100" s="226">
        <v>2817</v>
      </c>
      <c r="K100" s="226">
        <v>2878</v>
      </c>
      <c r="L100" s="226">
        <v>2870</v>
      </c>
      <c r="M100" s="226">
        <v>2936</v>
      </c>
      <c r="N100" s="226">
        <v>3012</v>
      </c>
    </row>
    <row r="101" spans="1:14">
      <c r="A101" s="226" t="s">
        <v>2621</v>
      </c>
      <c r="B101" s="226">
        <v>52022</v>
      </c>
      <c r="C101" s="226"/>
      <c r="D101" s="226">
        <v>8147</v>
      </c>
      <c r="E101" s="226">
        <v>8265</v>
      </c>
      <c r="F101" s="226">
        <v>8344</v>
      </c>
      <c r="G101" s="226">
        <v>8478</v>
      </c>
      <c r="H101" s="226">
        <v>8586</v>
      </c>
      <c r="I101" s="226">
        <v>8643</v>
      </c>
      <c r="J101" s="226">
        <v>8657</v>
      </c>
      <c r="K101" s="226">
        <v>8770</v>
      </c>
      <c r="L101" s="226">
        <v>8862</v>
      </c>
      <c r="M101" s="226">
        <v>9031</v>
      </c>
      <c r="N101" s="226">
        <v>9094</v>
      </c>
    </row>
    <row r="102" spans="1:14">
      <c r="A102" s="226" t="s">
        <v>2318</v>
      </c>
      <c r="B102" s="226">
        <v>92048</v>
      </c>
      <c r="C102" s="226"/>
      <c r="D102" s="226">
        <v>5289</v>
      </c>
      <c r="E102" s="226">
        <v>5454</v>
      </c>
      <c r="F102" s="226">
        <v>5553</v>
      </c>
      <c r="G102" s="226">
        <v>5631</v>
      </c>
      <c r="H102" s="226">
        <v>5731</v>
      </c>
      <c r="I102" s="226">
        <v>5774</v>
      </c>
      <c r="J102" s="226">
        <v>5816</v>
      </c>
      <c r="K102" s="226">
        <v>5938</v>
      </c>
      <c r="L102" s="226">
        <v>5967</v>
      </c>
      <c r="M102" s="226">
        <v>5965</v>
      </c>
      <c r="N102" s="226">
        <v>6119</v>
      </c>
    </row>
    <row r="103" spans="1:14">
      <c r="A103" s="226" t="s">
        <v>2319</v>
      </c>
      <c r="B103" s="226">
        <v>53028</v>
      </c>
      <c r="C103" s="226"/>
      <c r="D103" s="226">
        <v>9877</v>
      </c>
      <c r="E103" s="226">
        <v>10011</v>
      </c>
      <c r="F103" s="226">
        <v>10218</v>
      </c>
      <c r="G103" s="226">
        <v>10224</v>
      </c>
      <c r="H103" s="226">
        <v>10345</v>
      </c>
      <c r="I103" s="226">
        <v>10319</v>
      </c>
      <c r="J103" s="226">
        <v>10291</v>
      </c>
      <c r="K103" s="226">
        <v>10344</v>
      </c>
      <c r="L103" s="226">
        <v>10376</v>
      </c>
      <c r="M103" s="226">
        <v>10439</v>
      </c>
      <c r="N103" s="226">
        <v>10493</v>
      </c>
    </row>
    <row r="104" spans="1:14">
      <c r="A104" s="226" t="s">
        <v>2320</v>
      </c>
      <c r="B104" s="226">
        <v>51065</v>
      </c>
      <c r="C104" s="226"/>
      <c r="D104" s="226">
        <v>5908</v>
      </c>
      <c r="E104" s="226">
        <v>6020</v>
      </c>
      <c r="F104" s="226">
        <v>6133</v>
      </c>
      <c r="G104" s="226">
        <v>6233</v>
      </c>
      <c r="H104" s="226">
        <v>6294</v>
      </c>
      <c r="I104" s="226">
        <v>6328</v>
      </c>
      <c r="J104" s="226">
        <v>6344</v>
      </c>
      <c r="K104" s="226">
        <v>6414</v>
      </c>
      <c r="L104" s="226">
        <v>6458</v>
      </c>
      <c r="M104" s="226">
        <v>6540</v>
      </c>
      <c r="N104" s="226">
        <v>6571</v>
      </c>
    </row>
    <row r="105" spans="1:14">
      <c r="A105" s="226" t="s">
        <v>2321</v>
      </c>
      <c r="B105" s="226">
        <v>56029</v>
      </c>
      <c r="C105" s="226"/>
      <c r="D105" s="226">
        <v>1985</v>
      </c>
      <c r="E105" s="226">
        <v>2021</v>
      </c>
      <c r="F105" s="226">
        <v>2046</v>
      </c>
      <c r="G105" s="226">
        <v>2083</v>
      </c>
      <c r="H105" s="226">
        <v>2100</v>
      </c>
      <c r="I105" s="226">
        <v>2143</v>
      </c>
      <c r="J105" s="226">
        <v>2126</v>
      </c>
      <c r="K105" s="226">
        <v>2178</v>
      </c>
      <c r="L105" s="226">
        <v>2212</v>
      </c>
      <c r="M105" s="226">
        <v>2254</v>
      </c>
      <c r="N105" s="226">
        <v>2318</v>
      </c>
    </row>
    <row r="106" spans="1:14">
      <c r="A106" s="226" t="s">
        <v>2322</v>
      </c>
      <c r="B106" s="226">
        <v>91054</v>
      </c>
      <c r="C106" s="226"/>
      <c r="D106" s="226">
        <v>2281</v>
      </c>
      <c r="E106" s="226">
        <v>2296</v>
      </c>
      <c r="F106" s="226">
        <v>2306</v>
      </c>
      <c r="G106" s="226">
        <v>2336</v>
      </c>
      <c r="H106" s="226">
        <v>2364</v>
      </c>
      <c r="I106" s="226">
        <v>2363</v>
      </c>
      <c r="J106" s="226">
        <v>2402</v>
      </c>
      <c r="K106" s="226">
        <v>2471</v>
      </c>
      <c r="L106" s="226">
        <v>2511</v>
      </c>
      <c r="M106" s="226">
        <v>2532</v>
      </c>
      <c r="N106" s="226">
        <v>2559</v>
      </c>
    </row>
    <row r="107" spans="1:14">
      <c r="A107" s="226" t="s">
        <v>2323</v>
      </c>
      <c r="B107" s="226">
        <v>64029</v>
      </c>
      <c r="C107" s="226"/>
      <c r="D107" s="226">
        <v>1684</v>
      </c>
      <c r="E107" s="226">
        <v>1736</v>
      </c>
      <c r="F107" s="226">
        <v>1781</v>
      </c>
      <c r="G107" s="226">
        <v>1810</v>
      </c>
      <c r="H107" s="226">
        <v>1872</v>
      </c>
      <c r="I107" s="226">
        <v>1902</v>
      </c>
      <c r="J107" s="226">
        <v>1892</v>
      </c>
      <c r="K107" s="226">
        <v>1941</v>
      </c>
      <c r="L107" s="226">
        <v>1990</v>
      </c>
      <c r="M107" s="226">
        <v>2006</v>
      </c>
      <c r="N107" s="226">
        <v>2055</v>
      </c>
    </row>
    <row r="108" spans="1:14">
      <c r="A108" s="226" t="s">
        <v>2324</v>
      </c>
      <c r="B108" s="226">
        <v>92142</v>
      </c>
      <c r="C108" s="226"/>
      <c r="D108" s="226">
        <v>12222</v>
      </c>
      <c r="E108" s="226">
        <v>12536</v>
      </c>
      <c r="F108" s="226">
        <v>12827</v>
      </c>
      <c r="G108" s="226">
        <v>13046</v>
      </c>
      <c r="H108" s="226">
        <v>13098</v>
      </c>
      <c r="I108" s="226">
        <v>13262</v>
      </c>
      <c r="J108" s="226">
        <v>13237</v>
      </c>
      <c r="K108" s="226">
        <v>13387</v>
      </c>
      <c r="L108" s="226">
        <v>13451</v>
      </c>
      <c r="M108" s="226">
        <v>13576</v>
      </c>
      <c r="N108" s="226">
        <v>13777</v>
      </c>
    </row>
    <row r="109" spans="1:14">
      <c r="A109" s="226" t="s">
        <v>2325</v>
      </c>
      <c r="B109" s="226">
        <v>25031</v>
      </c>
      <c r="C109" s="226"/>
      <c r="D109" s="226">
        <v>8295</v>
      </c>
      <c r="E109" s="226">
        <v>8568</v>
      </c>
      <c r="F109" s="226">
        <v>9559</v>
      </c>
      <c r="G109" s="226">
        <v>9241</v>
      </c>
      <c r="H109" s="226">
        <v>8985</v>
      </c>
      <c r="I109" s="226">
        <v>9605</v>
      </c>
      <c r="J109" s="226">
        <v>9651</v>
      </c>
      <c r="K109" s="226">
        <v>8756</v>
      </c>
      <c r="L109" s="226">
        <v>8738</v>
      </c>
      <c r="M109" s="226">
        <v>8874</v>
      </c>
      <c r="N109" s="226">
        <v>9029</v>
      </c>
    </row>
    <row r="110" spans="1:14">
      <c r="A110" s="226" t="s">
        <v>2326</v>
      </c>
      <c r="B110" s="226">
        <v>52025</v>
      </c>
      <c r="C110" s="226"/>
      <c r="D110" s="226">
        <v>6892</v>
      </c>
      <c r="E110" s="226">
        <v>6963</v>
      </c>
      <c r="F110" s="226">
        <v>7141</v>
      </c>
      <c r="G110" s="226">
        <v>7210</v>
      </c>
      <c r="H110" s="226">
        <v>7211</v>
      </c>
      <c r="I110" s="226">
        <v>7243</v>
      </c>
      <c r="J110" s="226">
        <v>7271</v>
      </c>
      <c r="K110" s="226">
        <v>7369</v>
      </c>
      <c r="L110" s="226">
        <v>7377</v>
      </c>
      <c r="M110" s="226">
        <v>7393</v>
      </c>
      <c r="N110" s="226">
        <v>7463</v>
      </c>
    </row>
    <row r="111" spans="1:14">
      <c r="A111" s="226" t="s">
        <v>2327</v>
      </c>
      <c r="B111" s="226">
        <v>92054</v>
      </c>
      <c r="C111" s="226"/>
      <c r="D111" s="226">
        <v>3560</v>
      </c>
      <c r="E111" s="226">
        <v>3623</v>
      </c>
      <c r="F111" s="226">
        <v>3701</v>
      </c>
      <c r="G111" s="226">
        <v>3718</v>
      </c>
      <c r="H111" s="226">
        <v>3801</v>
      </c>
      <c r="I111" s="226">
        <v>3849</v>
      </c>
      <c r="J111" s="226">
        <v>3855</v>
      </c>
      <c r="K111" s="226">
        <v>3955</v>
      </c>
      <c r="L111" s="226">
        <v>3963</v>
      </c>
      <c r="M111" s="226">
        <v>4026</v>
      </c>
      <c r="N111" s="226">
        <v>4052</v>
      </c>
    </row>
    <row r="112" spans="1:14">
      <c r="A112" s="226" t="s">
        <v>2328</v>
      </c>
      <c r="B112" s="226">
        <v>82037</v>
      </c>
      <c r="C112" s="226"/>
      <c r="D112" s="226">
        <v>2569</v>
      </c>
      <c r="E112" s="226">
        <v>2622</v>
      </c>
      <c r="F112" s="226">
        <v>2676</v>
      </c>
      <c r="G112" s="226">
        <v>2717</v>
      </c>
      <c r="H112" s="226">
        <v>2795</v>
      </c>
      <c r="I112" s="226">
        <v>2839</v>
      </c>
      <c r="J112" s="226">
        <v>2829</v>
      </c>
      <c r="K112" s="226">
        <v>2843</v>
      </c>
      <c r="L112" s="226">
        <v>2915</v>
      </c>
      <c r="M112" s="226">
        <v>2939</v>
      </c>
      <c r="N112" s="226">
        <v>3012</v>
      </c>
    </row>
    <row r="113" spans="1:14">
      <c r="A113" s="226" t="s">
        <v>2329</v>
      </c>
      <c r="B113" s="226">
        <v>62118</v>
      </c>
      <c r="C113" s="226"/>
      <c r="D113" s="226">
        <v>10749</v>
      </c>
      <c r="E113" s="226">
        <v>10832</v>
      </c>
      <c r="F113" s="226">
        <v>10977</v>
      </c>
      <c r="G113" s="226">
        <v>11142</v>
      </c>
      <c r="H113" s="226">
        <v>11259</v>
      </c>
      <c r="I113" s="226">
        <v>11441</v>
      </c>
      <c r="J113" s="226">
        <v>11505</v>
      </c>
      <c r="K113" s="226">
        <v>11581</v>
      </c>
      <c r="L113" s="226">
        <v>11583</v>
      </c>
      <c r="M113" s="226">
        <v>11614</v>
      </c>
      <c r="N113" s="226">
        <v>11892</v>
      </c>
    </row>
    <row r="114" spans="1:14">
      <c r="A114" s="226" t="s">
        <v>2330</v>
      </c>
      <c r="B114" s="226">
        <v>25037</v>
      </c>
      <c r="C114" s="226"/>
      <c r="D114" s="226">
        <v>6879</v>
      </c>
      <c r="E114" s="226">
        <v>7101</v>
      </c>
      <c r="F114" s="226">
        <v>7177</v>
      </c>
      <c r="G114" s="226">
        <v>7235</v>
      </c>
      <c r="H114" s="226">
        <v>7481</v>
      </c>
      <c r="I114" s="226">
        <v>7559</v>
      </c>
      <c r="J114" s="226">
        <v>7587</v>
      </c>
      <c r="K114" s="226">
        <v>7598</v>
      </c>
      <c r="L114" s="226">
        <v>7573</v>
      </c>
      <c r="M114" s="226">
        <v>7627</v>
      </c>
      <c r="N114" s="226">
        <v>7677</v>
      </c>
    </row>
    <row r="115" spans="1:14">
      <c r="A115" s="226" t="s">
        <v>2331</v>
      </c>
      <c r="B115" s="226">
        <v>85046</v>
      </c>
      <c r="C115" s="226"/>
      <c r="D115" s="226">
        <v>4003</v>
      </c>
      <c r="E115" s="226">
        <v>4079</v>
      </c>
      <c r="F115" s="226">
        <v>4113</v>
      </c>
      <c r="G115" s="226">
        <v>4181</v>
      </c>
      <c r="H115" s="226">
        <v>4259</v>
      </c>
      <c r="I115" s="226">
        <v>4314</v>
      </c>
      <c r="J115" s="226">
        <v>4325</v>
      </c>
      <c r="K115" s="226">
        <v>4371</v>
      </c>
      <c r="L115" s="226">
        <v>4477</v>
      </c>
      <c r="M115" s="226">
        <v>4520</v>
      </c>
      <c r="N115" s="226">
        <v>4587</v>
      </c>
    </row>
    <row r="116" spans="1:14">
      <c r="A116" s="226" t="s">
        <v>2332</v>
      </c>
      <c r="B116" s="226">
        <v>61024</v>
      </c>
      <c r="C116" s="226"/>
      <c r="D116" s="226">
        <v>1938</v>
      </c>
      <c r="E116" s="226">
        <v>1939</v>
      </c>
      <c r="F116" s="226">
        <v>1973</v>
      </c>
      <c r="G116" s="226">
        <v>1995</v>
      </c>
      <c r="H116" s="226">
        <v>1999</v>
      </c>
      <c r="I116" s="226">
        <v>1998</v>
      </c>
      <c r="J116" s="226">
        <v>1989</v>
      </c>
      <c r="K116" s="226">
        <v>2025</v>
      </c>
      <c r="L116" s="226">
        <v>1997</v>
      </c>
      <c r="M116" s="226">
        <v>2021</v>
      </c>
      <c r="N116" s="226">
        <v>2038</v>
      </c>
    </row>
    <row r="117" spans="1:14">
      <c r="A117" s="226" t="s">
        <v>2333</v>
      </c>
      <c r="B117" s="226">
        <v>91059</v>
      </c>
      <c r="C117" s="226"/>
      <c r="D117" s="226">
        <v>3509</v>
      </c>
      <c r="E117" s="226">
        <v>3585</v>
      </c>
      <c r="F117" s="226">
        <v>3606</v>
      </c>
      <c r="G117" s="226">
        <v>3680</v>
      </c>
      <c r="H117" s="226">
        <v>3745</v>
      </c>
      <c r="I117" s="226">
        <v>3702</v>
      </c>
      <c r="J117" s="226">
        <v>3677</v>
      </c>
      <c r="K117" s="226">
        <v>3701</v>
      </c>
      <c r="L117" s="226">
        <v>3729</v>
      </c>
      <c r="M117" s="226">
        <v>3817</v>
      </c>
      <c r="N117" s="226">
        <v>3863</v>
      </c>
    </row>
    <row r="118" spans="1:14">
      <c r="A118" s="226" t="s">
        <v>2334</v>
      </c>
      <c r="B118" s="226">
        <v>56086</v>
      </c>
      <c r="C118" s="226"/>
      <c r="D118" s="226">
        <v>7656</v>
      </c>
      <c r="E118" s="226">
        <v>7734</v>
      </c>
      <c r="F118" s="226">
        <v>7760</v>
      </c>
      <c r="G118" s="226">
        <v>7834</v>
      </c>
      <c r="H118" s="226">
        <v>7890</v>
      </c>
      <c r="I118" s="226">
        <v>7937</v>
      </c>
      <c r="J118" s="226">
        <v>7968</v>
      </c>
      <c r="K118" s="226">
        <v>8016</v>
      </c>
      <c r="L118" s="226">
        <v>8023</v>
      </c>
      <c r="M118" s="226">
        <v>8092</v>
      </c>
      <c r="N118" s="226">
        <v>8153</v>
      </c>
    </row>
    <row r="119" spans="1:14">
      <c r="A119" s="226" t="s">
        <v>2335</v>
      </c>
      <c r="B119" s="226">
        <v>64034</v>
      </c>
      <c r="C119" s="226"/>
      <c r="D119" s="226">
        <v>8012</v>
      </c>
      <c r="E119" s="226">
        <v>8141</v>
      </c>
      <c r="F119" s="226">
        <v>8323</v>
      </c>
      <c r="G119" s="226">
        <v>8463</v>
      </c>
      <c r="H119" s="226">
        <v>8654</v>
      </c>
      <c r="I119" s="226">
        <v>8800</v>
      </c>
      <c r="J119" s="226">
        <v>8808</v>
      </c>
      <c r="K119" s="226">
        <v>8969</v>
      </c>
      <c r="L119" s="226">
        <v>8989</v>
      </c>
      <c r="M119" s="226">
        <v>9061</v>
      </c>
      <c r="N119" s="226">
        <v>9272</v>
      </c>
    </row>
    <row r="120" spans="1:14">
      <c r="A120" s="226" t="s">
        <v>2336</v>
      </c>
      <c r="B120" s="226">
        <v>91142</v>
      </c>
      <c r="C120" s="226"/>
      <c r="D120" s="226">
        <v>2836</v>
      </c>
      <c r="E120" s="226">
        <v>2909</v>
      </c>
      <c r="F120" s="226">
        <v>2929</v>
      </c>
      <c r="G120" s="226">
        <v>2943</v>
      </c>
      <c r="H120" s="226">
        <v>3025</v>
      </c>
      <c r="I120" s="226">
        <v>3047</v>
      </c>
      <c r="J120" s="226">
        <v>3075</v>
      </c>
      <c r="K120" s="226">
        <v>3124</v>
      </c>
      <c r="L120" s="226">
        <v>3161</v>
      </c>
      <c r="M120" s="226">
        <v>3184</v>
      </c>
      <c r="N120" s="226">
        <v>3248</v>
      </c>
    </row>
    <row r="121" spans="1:14">
      <c r="A121" s="226" t="s">
        <v>2337</v>
      </c>
      <c r="B121" s="226">
        <v>91064</v>
      </c>
      <c r="C121" s="226"/>
      <c r="D121" s="226">
        <v>2505</v>
      </c>
      <c r="E121" s="226">
        <v>2566</v>
      </c>
      <c r="F121" s="226">
        <v>2607</v>
      </c>
      <c r="G121" s="226">
        <v>2654</v>
      </c>
      <c r="H121" s="226">
        <v>2717</v>
      </c>
      <c r="I121" s="226">
        <v>2750</v>
      </c>
      <c r="J121" s="226">
        <v>2780</v>
      </c>
      <c r="K121" s="226">
        <v>2806</v>
      </c>
      <c r="L121" s="226">
        <v>2825</v>
      </c>
      <c r="M121" s="226">
        <v>2857</v>
      </c>
      <c r="N121" s="226">
        <v>2920</v>
      </c>
    </row>
    <row r="122" spans="1:14">
      <c r="A122" s="226" t="s">
        <v>2338</v>
      </c>
      <c r="B122" s="226">
        <v>25118</v>
      </c>
      <c r="C122" s="226"/>
      <c r="D122" s="226">
        <v>1654</v>
      </c>
      <c r="E122" s="226">
        <v>1663</v>
      </c>
      <c r="F122" s="226">
        <v>1718</v>
      </c>
      <c r="G122" s="226">
        <v>1774</v>
      </c>
      <c r="H122" s="226">
        <v>1814</v>
      </c>
      <c r="I122" s="226">
        <v>1822</v>
      </c>
      <c r="J122" s="226">
        <v>1809</v>
      </c>
      <c r="K122" s="226">
        <v>1826</v>
      </c>
      <c r="L122" s="226">
        <v>1916</v>
      </c>
      <c r="M122" s="226">
        <v>1961</v>
      </c>
      <c r="N122" s="226">
        <v>2004</v>
      </c>
    </row>
    <row r="123" spans="1:14">
      <c r="A123" s="226" t="s">
        <v>2339</v>
      </c>
      <c r="B123" s="226">
        <v>53039</v>
      </c>
      <c r="C123" s="226"/>
      <c r="D123" s="226">
        <v>3167</v>
      </c>
      <c r="E123" s="226">
        <v>3189</v>
      </c>
      <c r="F123" s="226">
        <v>3251</v>
      </c>
      <c r="G123" s="226">
        <v>3294</v>
      </c>
      <c r="H123" s="226">
        <v>3344</v>
      </c>
      <c r="I123" s="226">
        <v>3345</v>
      </c>
      <c r="J123" s="226">
        <v>3383</v>
      </c>
      <c r="K123" s="226">
        <v>3446</v>
      </c>
      <c r="L123" s="226">
        <v>3483</v>
      </c>
      <c r="M123" s="226">
        <v>3524</v>
      </c>
      <c r="N123" s="226">
        <v>3611</v>
      </c>
    </row>
    <row r="124" spans="1:14">
      <c r="A124" s="226" t="s">
        <v>2340</v>
      </c>
      <c r="B124" s="226">
        <v>84029</v>
      </c>
      <c r="C124" s="226"/>
      <c r="D124" s="226">
        <v>759</v>
      </c>
      <c r="E124" s="226">
        <v>768</v>
      </c>
      <c r="F124" s="226">
        <v>801</v>
      </c>
      <c r="G124" s="226">
        <v>835</v>
      </c>
      <c r="H124" s="226">
        <v>851</v>
      </c>
      <c r="I124" s="226">
        <v>864</v>
      </c>
      <c r="J124" s="226">
        <v>861</v>
      </c>
      <c r="K124" s="226">
        <v>867</v>
      </c>
      <c r="L124" s="226">
        <v>867</v>
      </c>
      <c r="M124" s="226">
        <v>886</v>
      </c>
      <c r="N124" s="226">
        <v>890</v>
      </c>
    </row>
    <row r="125" spans="1:14">
      <c r="A125" s="226" t="s">
        <v>2341</v>
      </c>
      <c r="B125" s="226">
        <v>61028</v>
      </c>
      <c r="C125" s="226"/>
      <c r="D125" s="226">
        <v>2609</v>
      </c>
      <c r="E125" s="226">
        <v>2645</v>
      </c>
      <c r="F125" s="226">
        <v>2710</v>
      </c>
      <c r="G125" s="226">
        <v>2730</v>
      </c>
      <c r="H125" s="226">
        <v>2784</v>
      </c>
      <c r="I125" s="226">
        <v>2879</v>
      </c>
      <c r="J125" s="226">
        <v>2874</v>
      </c>
      <c r="K125" s="226">
        <v>2945</v>
      </c>
      <c r="L125" s="226">
        <v>2941</v>
      </c>
      <c r="M125" s="226">
        <v>2936</v>
      </c>
      <c r="N125" s="226">
        <v>3001</v>
      </c>
    </row>
    <row r="126" spans="1:14">
      <c r="A126" s="226" t="s">
        <v>2342</v>
      </c>
      <c r="B126" s="226">
        <v>62051</v>
      </c>
      <c r="C126" s="226"/>
      <c r="D126" s="226">
        <v>17384</v>
      </c>
      <c r="E126" s="226">
        <v>17502</v>
      </c>
      <c r="F126" s="226">
        <v>17737</v>
      </c>
      <c r="G126" s="226">
        <v>18073</v>
      </c>
      <c r="H126" s="226">
        <v>18240</v>
      </c>
      <c r="I126" s="226">
        <v>18375</v>
      </c>
      <c r="J126" s="226">
        <v>18411</v>
      </c>
      <c r="K126" s="226">
        <v>18686</v>
      </c>
      <c r="L126" s="226">
        <v>18827</v>
      </c>
      <c r="M126" s="226">
        <v>18991</v>
      </c>
      <c r="N126" s="226">
        <v>19245</v>
      </c>
    </row>
    <row r="127" spans="1:14">
      <c r="A127" s="226" t="s">
        <v>2343</v>
      </c>
      <c r="B127" s="226">
        <v>63035</v>
      </c>
      <c r="C127" s="226"/>
      <c r="D127" s="226">
        <v>9416</v>
      </c>
      <c r="E127" s="226">
        <v>9592</v>
      </c>
      <c r="F127" s="226">
        <v>9768</v>
      </c>
      <c r="G127" s="226">
        <v>9868</v>
      </c>
      <c r="H127" s="226">
        <v>9945</v>
      </c>
      <c r="I127" s="226">
        <v>10026</v>
      </c>
      <c r="J127" s="226">
        <v>10028</v>
      </c>
      <c r="K127" s="226">
        <v>10114</v>
      </c>
      <c r="L127" s="226">
        <v>10308</v>
      </c>
      <c r="M127" s="226">
        <v>10450</v>
      </c>
      <c r="N127" s="226">
        <v>10556</v>
      </c>
    </row>
    <row r="128" spans="1:14">
      <c r="A128" s="226" t="s">
        <v>2344</v>
      </c>
      <c r="B128" s="226">
        <v>53083</v>
      </c>
      <c r="C128" s="226"/>
      <c r="D128" s="226">
        <v>2760</v>
      </c>
      <c r="E128" s="226">
        <v>2761</v>
      </c>
      <c r="F128" s="226">
        <v>2826</v>
      </c>
      <c r="G128" s="226">
        <v>2832</v>
      </c>
      <c r="H128" s="226">
        <v>2827</v>
      </c>
      <c r="I128" s="226">
        <v>2834</v>
      </c>
      <c r="J128" s="226">
        <v>2843</v>
      </c>
      <c r="K128" s="226">
        <v>2848</v>
      </c>
      <c r="L128" s="226">
        <v>2879</v>
      </c>
      <c r="M128" s="226">
        <v>2918</v>
      </c>
      <c r="N128" s="226">
        <v>2943</v>
      </c>
    </row>
    <row r="129" spans="1:14">
      <c r="A129" s="226" t="s">
        <v>2345</v>
      </c>
      <c r="B129" s="226">
        <v>83028</v>
      </c>
      <c r="C129" s="226"/>
      <c r="D129" s="226">
        <v>2594</v>
      </c>
      <c r="E129" s="226">
        <v>2647</v>
      </c>
      <c r="F129" s="226">
        <v>2682</v>
      </c>
      <c r="G129" s="226">
        <v>2726</v>
      </c>
      <c r="H129" s="226">
        <v>2753</v>
      </c>
      <c r="I129" s="226">
        <v>2802</v>
      </c>
      <c r="J129" s="226">
        <v>2851</v>
      </c>
      <c r="K129" s="226">
        <v>2876</v>
      </c>
      <c r="L129" s="226">
        <v>2876</v>
      </c>
      <c r="M129" s="226">
        <v>2894</v>
      </c>
      <c r="N129" s="226">
        <v>2888</v>
      </c>
    </row>
    <row r="130" spans="1:14">
      <c r="A130" s="226" t="s">
        <v>2346</v>
      </c>
      <c r="B130" s="226">
        <v>82014</v>
      </c>
      <c r="C130" s="226"/>
      <c r="D130" s="226">
        <v>2597</v>
      </c>
      <c r="E130" s="226">
        <v>2644</v>
      </c>
      <c r="F130" s="226">
        <v>2702</v>
      </c>
      <c r="G130" s="226">
        <v>2747</v>
      </c>
      <c r="H130" s="226">
        <v>2761</v>
      </c>
      <c r="I130" s="226">
        <v>2787</v>
      </c>
      <c r="J130" s="226">
        <v>2775</v>
      </c>
      <c r="K130" s="226">
        <v>2786</v>
      </c>
      <c r="L130" s="226">
        <v>2798</v>
      </c>
      <c r="M130" s="226">
        <v>2828</v>
      </c>
      <c r="N130" s="226">
        <v>2838</v>
      </c>
    </row>
    <row r="131" spans="1:14">
      <c r="A131" s="226" t="s">
        <v>2347</v>
      </c>
      <c r="B131" s="226">
        <v>91072</v>
      </c>
      <c r="C131" s="226"/>
      <c r="D131" s="226">
        <v>2383</v>
      </c>
      <c r="E131" s="226">
        <v>2397</v>
      </c>
      <c r="F131" s="226">
        <v>2462</v>
      </c>
      <c r="G131" s="226">
        <v>2516</v>
      </c>
      <c r="H131" s="226">
        <v>2558</v>
      </c>
      <c r="I131" s="226">
        <v>2589</v>
      </c>
      <c r="J131" s="226">
        <v>2628</v>
      </c>
      <c r="K131" s="226">
        <v>2674</v>
      </c>
      <c r="L131" s="226">
        <v>2703</v>
      </c>
      <c r="M131" s="226">
        <v>2749</v>
      </c>
      <c r="N131" s="226">
        <v>2803</v>
      </c>
    </row>
    <row r="132" spans="1:14">
      <c r="A132" s="226" t="s">
        <v>2348</v>
      </c>
      <c r="B132" s="226">
        <v>61031</v>
      </c>
      <c r="C132" s="226"/>
      <c r="D132" s="226">
        <v>9734</v>
      </c>
      <c r="E132" s="226">
        <v>9888</v>
      </c>
      <c r="F132" s="226">
        <v>9986</v>
      </c>
      <c r="G132" s="226">
        <v>10042</v>
      </c>
      <c r="H132" s="226">
        <v>10223</v>
      </c>
      <c r="I132" s="226">
        <v>10158</v>
      </c>
      <c r="J132" s="226">
        <v>10177</v>
      </c>
      <c r="K132" s="226">
        <v>10250</v>
      </c>
      <c r="L132" s="226">
        <v>10327</v>
      </c>
      <c r="M132" s="226">
        <v>10404</v>
      </c>
      <c r="N132" s="226">
        <v>10488</v>
      </c>
    </row>
    <row r="133" spans="1:14">
      <c r="A133" s="226" t="s">
        <v>2349</v>
      </c>
      <c r="B133" s="226">
        <v>25043</v>
      </c>
      <c r="C133" s="226"/>
      <c r="D133" s="226">
        <v>2771</v>
      </c>
      <c r="E133" s="226">
        <v>2831</v>
      </c>
      <c r="F133" s="226">
        <v>2890</v>
      </c>
      <c r="G133" s="226">
        <v>2887</v>
      </c>
      <c r="H133" s="226">
        <v>2909</v>
      </c>
      <c r="I133" s="226">
        <v>2962</v>
      </c>
      <c r="J133" s="226">
        <v>2991</v>
      </c>
      <c r="K133" s="226">
        <v>3013</v>
      </c>
      <c r="L133" s="226">
        <v>3030</v>
      </c>
      <c r="M133" s="226">
        <v>3041</v>
      </c>
      <c r="N133" s="226">
        <v>3073</v>
      </c>
    </row>
    <row r="134" spans="1:14">
      <c r="A134" s="226" t="s">
        <v>2350</v>
      </c>
      <c r="B134" s="226">
        <v>25044</v>
      </c>
      <c r="C134" s="226"/>
      <c r="D134" s="226">
        <v>4216</v>
      </c>
      <c r="E134" s="226">
        <v>4051</v>
      </c>
      <c r="F134" s="226">
        <v>4418</v>
      </c>
      <c r="G134" s="226">
        <v>4399</v>
      </c>
      <c r="H134" s="226">
        <v>4047</v>
      </c>
      <c r="I134" s="226">
        <v>4535</v>
      </c>
      <c r="J134" s="226">
        <v>3757</v>
      </c>
      <c r="K134" s="226">
        <v>3770</v>
      </c>
      <c r="L134" s="226">
        <v>3773</v>
      </c>
      <c r="M134" s="226">
        <v>3813</v>
      </c>
      <c r="N134" s="226">
        <v>3836</v>
      </c>
    </row>
    <row r="135" spans="1:14">
      <c r="A135" s="226" t="s">
        <v>2351</v>
      </c>
      <c r="B135" s="226">
        <v>63038</v>
      </c>
      <c r="C135" s="226"/>
      <c r="D135" s="226">
        <v>4582</v>
      </c>
      <c r="E135" s="226">
        <v>4685</v>
      </c>
      <c r="F135" s="226">
        <v>4695</v>
      </c>
      <c r="G135" s="226">
        <v>4745</v>
      </c>
      <c r="H135" s="226">
        <v>4802</v>
      </c>
      <c r="I135" s="226">
        <v>4918</v>
      </c>
      <c r="J135" s="226">
        <v>4961</v>
      </c>
      <c r="K135" s="226">
        <v>5003</v>
      </c>
      <c r="L135" s="226">
        <v>4984</v>
      </c>
      <c r="M135" s="226">
        <v>5022</v>
      </c>
      <c r="N135" s="226">
        <v>5033</v>
      </c>
    </row>
    <row r="136" spans="1:14">
      <c r="A136" s="226" t="s">
        <v>2352</v>
      </c>
      <c r="B136" s="226">
        <v>92140</v>
      </c>
      <c r="C136" s="226"/>
      <c r="D136" s="226">
        <v>9143</v>
      </c>
      <c r="E136" s="226">
        <v>9322</v>
      </c>
      <c r="F136" s="226">
        <v>9514</v>
      </c>
      <c r="G136" s="226">
        <v>9586</v>
      </c>
      <c r="H136" s="226">
        <v>9816</v>
      </c>
      <c r="I136" s="226">
        <v>9816</v>
      </c>
      <c r="J136" s="226">
        <v>9850</v>
      </c>
      <c r="K136" s="226">
        <v>9963</v>
      </c>
      <c r="L136" s="226">
        <v>10041</v>
      </c>
      <c r="M136" s="226">
        <v>10220</v>
      </c>
      <c r="N136" s="226">
        <v>10294</v>
      </c>
    </row>
    <row r="137" spans="1:14">
      <c r="A137" s="226" t="s">
        <v>2353</v>
      </c>
      <c r="B137" s="226">
        <v>25048</v>
      </c>
      <c r="C137" s="226"/>
      <c r="D137" s="226">
        <v>6753</v>
      </c>
      <c r="E137" s="226">
        <v>6864</v>
      </c>
      <c r="F137" s="226">
        <v>7013</v>
      </c>
      <c r="G137" s="226">
        <v>7086</v>
      </c>
      <c r="H137" s="226">
        <v>7124</v>
      </c>
      <c r="I137" s="226">
        <v>7222</v>
      </c>
      <c r="J137" s="226">
        <v>7294</v>
      </c>
      <c r="K137" s="226">
        <v>7326</v>
      </c>
      <c r="L137" s="226">
        <v>7296</v>
      </c>
      <c r="M137" s="226">
        <v>7437</v>
      </c>
      <c r="N137" s="226">
        <v>7582</v>
      </c>
    </row>
    <row r="138" spans="1:14">
      <c r="A138" s="226" t="s">
        <v>2354</v>
      </c>
      <c r="B138" s="226">
        <v>62060</v>
      </c>
      <c r="C138" s="226"/>
      <c r="D138" s="226">
        <v>4703</v>
      </c>
      <c r="E138" s="226">
        <v>4807</v>
      </c>
      <c r="F138" s="226">
        <v>4826</v>
      </c>
      <c r="G138" s="226">
        <v>4962</v>
      </c>
      <c r="H138" s="226">
        <v>5052</v>
      </c>
      <c r="I138" s="226">
        <v>5041</v>
      </c>
      <c r="J138" s="226">
        <v>5090</v>
      </c>
      <c r="K138" s="226">
        <v>5200</v>
      </c>
      <c r="L138" s="226">
        <v>5225</v>
      </c>
      <c r="M138" s="226">
        <v>5307</v>
      </c>
      <c r="N138" s="226">
        <v>5389</v>
      </c>
    </row>
    <row r="139" spans="1:14">
      <c r="A139" s="226" t="s">
        <v>2355</v>
      </c>
      <c r="B139" s="226">
        <v>53044</v>
      </c>
      <c r="C139" s="226"/>
      <c r="D139" s="226">
        <v>5271</v>
      </c>
      <c r="E139" s="226">
        <v>5394</v>
      </c>
      <c r="F139" s="226">
        <v>5493</v>
      </c>
      <c r="G139" s="226">
        <v>5538</v>
      </c>
      <c r="H139" s="226">
        <v>5560</v>
      </c>
      <c r="I139" s="226">
        <v>5540</v>
      </c>
      <c r="J139" s="226">
        <v>5589</v>
      </c>
      <c r="K139" s="226">
        <v>5651</v>
      </c>
      <c r="L139" s="226">
        <v>5623</v>
      </c>
      <c r="M139" s="226">
        <v>5684</v>
      </c>
      <c r="N139" s="226">
        <v>5787</v>
      </c>
    </row>
    <row r="140" spans="1:14">
      <c r="A140" s="226" t="s">
        <v>2356</v>
      </c>
      <c r="B140" s="226">
        <v>92141</v>
      </c>
      <c r="C140" s="226"/>
      <c r="D140" s="226">
        <v>4536</v>
      </c>
      <c r="E140" s="226">
        <v>4612</v>
      </c>
      <c r="F140" s="226">
        <v>4681</v>
      </c>
      <c r="G140" s="226">
        <v>4755</v>
      </c>
      <c r="H140" s="226">
        <v>4861</v>
      </c>
      <c r="I140" s="226">
        <v>4835</v>
      </c>
      <c r="J140" s="226">
        <v>4847</v>
      </c>
      <c r="K140" s="226">
        <v>4929</v>
      </c>
      <c r="L140" s="226">
        <v>4935</v>
      </c>
      <c r="M140" s="226">
        <v>4969</v>
      </c>
      <c r="N140" s="226">
        <v>5033</v>
      </c>
    </row>
    <row r="141" spans="1:14">
      <c r="A141" s="226" t="s">
        <v>2357</v>
      </c>
      <c r="B141" s="226">
        <v>63040</v>
      </c>
      <c r="C141" s="226"/>
      <c r="D141" s="226">
        <v>5144</v>
      </c>
      <c r="E141" s="226">
        <v>5265</v>
      </c>
      <c r="F141" s="226">
        <v>5347</v>
      </c>
      <c r="G141" s="226">
        <v>5422</v>
      </c>
      <c r="H141" s="226">
        <v>5472</v>
      </c>
      <c r="I141" s="226">
        <v>5505</v>
      </c>
      <c r="J141" s="226">
        <v>5462</v>
      </c>
      <c r="K141" s="226">
        <v>5486</v>
      </c>
      <c r="L141" s="226">
        <v>5522</v>
      </c>
      <c r="M141" s="226">
        <v>5562</v>
      </c>
      <c r="N141" s="226">
        <v>5635</v>
      </c>
    </row>
    <row r="142" spans="1:14">
      <c r="A142" s="226" t="s">
        <v>2358</v>
      </c>
      <c r="B142" s="226">
        <v>25050</v>
      </c>
      <c r="C142" s="226"/>
      <c r="D142" s="226">
        <v>3989</v>
      </c>
      <c r="E142" s="226">
        <v>4055</v>
      </c>
      <c r="F142" s="226">
        <v>4094</v>
      </c>
      <c r="G142" s="226">
        <v>4088</v>
      </c>
      <c r="H142" s="226">
        <v>4123</v>
      </c>
      <c r="I142" s="226">
        <v>4125</v>
      </c>
      <c r="J142" s="226">
        <v>4140</v>
      </c>
      <c r="K142" s="226">
        <v>4208</v>
      </c>
      <c r="L142" s="226">
        <v>4146</v>
      </c>
      <c r="M142" s="226">
        <v>4093</v>
      </c>
      <c r="N142" s="226">
        <v>4125</v>
      </c>
    </row>
    <row r="143" spans="1:14">
      <c r="A143" s="226" t="s">
        <v>2359</v>
      </c>
      <c r="B143" s="226">
        <v>55022</v>
      </c>
      <c r="C143" s="226"/>
      <c r="D143" s="226">
        <v>35269</v>
      </c>
      <c r="E143" s="226">
        <v>35469</v>
      </c>
      <c r="F143" s="226">
        <v>35915</v>
      </c>
      <c r="G143" s="226">
        <v>36286</v>
      </c>
      <c r="H143" s="226">
        <v>36692</v>
      </c>
      <c r="I143" s="226">
        <v>35943</v>
      </c>
      <c r="J143" s="226">
        <v>36810</v>
      </c>
      <c r="K143" s="226">
        <v>36981</v>
      </c>
      <c r="L143" s="226">
        <v>37124</v>
      </c>
      <c r="M143" s="226">
        <v>37147</v>
      </c>
      <c r="N143" s="226">
        <v>37564</v>
      </c>
    </row>
    <row r="144" spans="1:14">
      <c r="A144" s="226" t="s">
        <v>2360</v>
      </c>
      <c r="B144" s="226">
        <v>83031</v>
      </c>
      <c r="C144" s="226"/>
      <c r="D144" s="226">
        <v>1971</v>
      </c>
      <c r="E144" s="226">
        <v>2044</v>
      </c>
      <c r="F144" s="226">
        <v>2076</v>
      </c>
      <c r="G144" s="226">
        <v>2116</v>
      </c>
      <c r="H144" s="226">
        <v>2156</v>
      </c>
      <c r="I144" s="226">
        <v>2197</v>
      </c>
      <c r="J144" s="226">
        <v>2156</v>
      </c>
      <c r="K144" s="226">
        <v>2194</v>
      </c>
      <c r="L144" s="226">
        <v>2168</v>
      </c>
      <c r="M144" s="226">
        <v>2140</v>
      </c>
      <c r="N144" s="226">
        <v>2169</v>
      </c>
    </row>
    <row r="145" spans="1:14">
      <c r="A145" s="226" t="s">
        <v>2361</v>
      </c>
      <c r="B145" s="226">
        <v>25119</v>
      </c>
      <c r="C145" s="226"/>
      <c r="D145" s="226">
        <v>9134</v>
      </c>
      <c r="E145" s="226">
        <v>9273</v>
      </c>
      <c r="F145" s="226">
        <v>9460</v>
      </c>
      <c r="G145" s="226">
        <v>9570</v>
      </c>
      <c r="H145" s="226">
        <v>9643</v>
      </c>
      <c r="I145" s="226">
        <v>9636</v>
      </c>
      <c r="J145" s="226">
        <v>9599</v>
      </c>
      <c r="K145" s="226">
        <v>9764</v>
      </c>
      <c r="L145" s="226">
        <v>9773</v>
      </c>
      <c r="M145" s="226">
        <v>9868</v>
      </c>
      <c r="N145" s="226">
        <v>9857</v>
      </c>
    </row>
    <row r="146" spans="1:14">
      <c r="A146" s="226" t="s">
        <v>2362</v>
      </c>
      <c r="B146" s="226">
        <v>55035</v>
      </c>
      <c r="C146" s="226"/>
      <c r="D146" s="226">
        <v>4440</v>
      </c>
      <c r="E146" s="226">
        <v>4521</v>
      </c>
      <c r="F146" s="226">
        <v>4561</v>
      </c>
      <c r="G146" s="226">
        <v>4582</v>
      </c>
      <c r="H146" s="226">
        <v>4691</v>
      </c>
      <c r="I146" s="226">
        <v>4738</v>
      </c>
      <c r="J146" s="226">
        <v>4742</v>
      </c>
      <c r="K146" s="226">
        <v>4768</v>
      </c>
      <c r="L146" s="226">
        <v>4792</v>
      </c>
      <c r="M146" s="226">
        <v>4767</v>
      </c>
      <c r="N146" s="226">
        <v>4816</v>
      </c>
    </row>
    <row r="147" spans="1:14">
      <c r="A147" s="226" t="s">
        <v>2363</v>
      </c>
      <c r="B147" s="226">
        <v>84033</v>
      </c>
      <c r="C147" s="226"/>
      <c r="D147" s="226">
        <v>2416</v>
      </c>
      <c r="E147" s="226">
        <v>2476</v>
      </c>
      <c r="F147" s="226">
        <v>2539</v>
      </c>
      <c r="G147" s="226">
        <v>2583</v>
      </c>
      <c r="H147" s="226">
        <v>2654</v>
      </c>
      <c r="I147" s="226">
        <v>2715</v>
      </c>
      <c r="J147" s="226">
        <v>2764</v>
      </c>
      <c r="K147" s="226">
        <v>2820</v>
      </c>
      <c r="L147" s="226">
        <v>2892</v>
      </c>
      <c r="M147" s="226">
        <v>2964</v>
      </c>
      <c r="N147" s="226">
        <v>3042</v>
      </c>
    </row>
    <row r="148" spans="1:14">
      <c r="A148" s="226" t="s">
        <v>2364</v>
      </c>
      <c r="B148" s="226">
        <v>53046</v>
      </c>
      <c r="C148" s="226"/>
      <c r="D148" s="226">
        <v>2210</v>
      </c>
      <c r="E148" s="226">
        <v>2260</v>
      </c>
      <c r="F148" s="226">
        <v>2304</v>
      </c>
      <c r="G148" s="226">
        <v>2370</v>
      </c>
      <c r="H148" s="226">
        <v>2373</v>
      </c>
      <c r="I148" s="226">
        <v>2348</v>
      </c>
      <c r="J148" s="226">
        <v>2377</v>
      </c>
      <c r="K148" s="226">
        <v>2407</v>
      </c>
      <c r="L148" s="226">
        <v>2419</v>
      </c>
      <c r="M148" s="226">
        <v>2454</v>
      </c>
      <c r="N148" s="226">
        <v>2466</v>
      </c>
    </row>
    <row r="149" spans="1:14">
      <c r="A149" s="226" t="s">
        <v>2365</v>
      </c>
      <c r="B149" s="226">
        <v>52075</v>
      </c>
      <c r="C149" s="226"/>
      <c r="D149" s="226">
        <v>4766</v>
      </c>
      <c r="E149" s="226">
        <v>4878</v>
      </c>
      <c r="F149" s="226">
        <v>4955</v>
      </c>
      <c r="G149" s="226">
        <v>4987</v>
      </c>
      <c r="H149" s="226">
        <v>5013</v>
      </c>
      <c r="I149" s="226">
        <v>5018</v>
      </c>
      <c r="J149" s="226">
        <v>5040</v>
      </c>
      <c r="K149" s="226">
        <v>5144</v>
      </c>
      <c r="L149" s="226">
        <v>5231</v>
      </c>
      <c r="M149" s="226">
        <v>5232</v>
      </c>
      <c r="N149" s="226">
        <v>5283</v>
      </c>
    </row>
    <row r="150" spans="1:14">
      <c r="A150" s="226" t="s">
        <v>2366</v>
      </c>
      <c r="B150" s="226">
        <v>55023</v>
      </c>
      <c r="C150" s="226"/>
      <c r="D150" s="226">
        <v>8616</v>
      </c>
      <c r="E150" s="226">
        <v>8664</v>
      </c>
      <c r="F150" s="226">
        <v>8721</v>
      </c>
      <c r="G150" s="226">
        <v>8796</v>
      </c>
      <c r="H150" s="226">
        <v>8864</v>
      </c>
      <c r="I150" s="226">
        <v>8833</v>
      </c>
      <c r="J150" s="226">
        <v>8941</v>
      </c>
      <c r="K150" s="226">
        <v>8967</v>
      </c>
      <c r="L150" s="226">
        <v>9007</v>
      </c>
      <c r="M150" s="226">
        <v>9000</v>
      </c>
      <c r="N150" s="226">
        <v>9153</v>
      </c>
    </row>
    <row r="151" spans="1:14">
      <c r="A151" s="226" t="s">
        <v>2367</v>
      </c>
      <c r="B151" s="226">
        <v>57094</v>
      </c>
      <c r="C151" s="226"/>
      <c r="D151" s="226">
        <v>6556</v>
      </c>
      <c r="E151" s="226">
        <v>6699</v>
      </c>
      <c r="F151" s="226">
        <v>6874</v>
      </c>
      <c r="G151" s="226">
        <v>6941</v>
      </c>
      <c r="H151" s="226">
        <v>7003</v>
      </c>
      <c r="I151" s="226">
        <v>7036</v>
      </c>
      <c r="J151" s="226">
        <v>7142</v>
      </c>
      <c r="K151" s="226">
        <v>7197</v>
      </c>
      <c r="L151" s="226">
        <v>7324</v>
      </c>
      <c r="M151" s="226">
        <v>7246</v>
      </c>
      <c r="N151" s="226">
        <v>7395</v>
      </c>
    </row>
    <row r="152" spans="1:14">
      <c r="A152" s="226" t="s">
        <v>2368</v>
      </c>
      <c r="B152" s="226">
        <v>84035</v>
      </c>
      <c r="C152" s="226"/>
      <c r="D152" s="226">
        <v>2557</v>
      </c>
      <c r="E152" s="226">
        <v>2581</v>
      </c>
      <c r="F152" s="226">
        <v>2616</v>
      </c>
      <c r="G152" s="226">
        <v>2674</v>
      </c>
      <c r="H152" s="226">
        <v>2737</v>
      </c>
      <c r="I152" s="226">
        <v>2764</v>
      </c>
      <c r="J152" s="226">
        <v>2782</v>
      </c>
      <c r="K152" s="226">
        <v>2803</v>
      </c>
      <c r="L152" s="226">
        <v>2848</v>
      </c>
      <c r="M152" s="226">
        <v>2872</v>
      </c>
      <c r="N152" s="226">
        <v>2897</v>
      </c>
    </row>
    <row r="153" spans="1:14">
      <c r="A153" s="226" t="s">
        <v>2369</v>
      </c>
      <c r="B153" s="226">
        <v>84077</v>
      </c>
      <c r="C153" s="226"/>
      <c r="D153" s="226">
        <v>5456</v>
      </c>
      <c r="E153" s="226">
        <v>5490</v>
      </c>
      <c r="F153" s="226">
        <v>5643</v>
      </c>
      <c r="G153" s="226">
        <v>5681</v>
      </c>
      <c r="H153" s="226">
        <v>5774</v>
      </c>
      <c r="I153" s="226">
        <v>5841</v>
      </c>
      <c r="J153" s="226">
        <v>5943</v>
      </c>
      <c r="K153" s="226">
        <v>6065</v>
      </c>
      <c r="L153" s="226">
        <v>6141</v>
      </c>
      <c r="M153" s="226">
        <v>6289</v>
      </c>
      <c r="N153" s="226">
        <v>6321</v>
      </c>
    </row>
    <row r="154" spans="1:14">
      <c r="A154" s="226" t="s">
        <v>2370</v>
      </c>
      <c r="B154" s="226">
        <v>62063</v>
      </c>
      <c r="C154" s="226"/>
      <c r="D154" s="226">
        <v>75461</v>
      </c>
      <c r="E154" s="226">
        <v>75645</v>
      </c>
      <c r="F154" s="226">
        <v>76662</v>
      </c>
      <c r="G154" s="226">
        <v>77332</v>
      </c>
      <c r="H154" s="226">
        <v>78102</v>
      </c>
      <c r="I154" s="226">
        <v>77980</v>
      </c>
      <c r="J154" s="226">
        <v>77646</v>
      </c>
      <c r="K154" s="226">
        <v>78151</v>
      </c>
      <c r="L154" s="226">
        <v>77535</v>
      </c>
      <c r="M154" s="226">
        <v>77169</v>
      </c>
      <c r="N154" s="226">
        <v>77911</v>
      </c>
    </row>
    <row r="155" spans="1:14">
      <c r="A155" s="226" t="s">
        <v>2371</v>
      </c>
      <c r="B155" s="226">
        <v>63045</v>
      </c>
      <c r="C155" s="226"/>
      <c r="D155" s="226">
        <v>1748</v>
      </c>
      <c r="E155" s="226">
        <v>1793</v>
      </c>
      <c r="F155" s="226">
        <v>1821</v>
      </c>
      <c r="G155" s="226">
        <v>1828</v>
      </c>
      <c r="H155" s="226">
        <v>1876</v>
      </c>
      <c r="I155" s="226">
        <v>1878</v>
      </c>
      <c r="J155" s="226">
        <v>1881</v>
      </c>
      <c r="K155" s="226">
        <v>1922</v>
      </c>
      <c r="L155" s="226">
        <v>1958</v>
      </c>
      <c r="M155" s="226">
        <v>1997</v>
      </c>
      <c r="N155" s="226">
        <v>2018</v>
      </c>
    </row>
    <row r="156" spans="1:14">
      <c r="A156" s="226" t="s">
        <v>2372</v>
      </c>
      <c r="B156" s="226">
        <v>63046</v>
      </c>
      <c r="C156" s="226"/>
      <c r="D156" s="226">
        <v>2724</v>
      </c>
      <c r="E156" s="226">
        <v>2791</v>
      </c>
      <c r="F156" s="226">
        <v>2836</v>
      </c>
      <c r="G156" s="226">
        <v>2874</v>
      </c>
      <c r="H156" s="226">
        <v>2884</v>
      </c>
      <c r="I156" s="226">
        <v>2897</v>
      </c>
      <c r="J156" s="226">
        <v>2919</v>
      </c>
      <c r="K156" s="226">
        <v>2934</v>
      </c>
      <c r="L156" s="226">
        <v>2884</v>
      </c>
      <c r="M156" s="226">
        <v>2877</v>
      </c>
      <c r="N156" s="226">
        <v>2884</v>
      </c>
    </row>
    <row r="157" spans="1:14">
      <c r="A157" s="226" t="s">
        <v>2373</v>
      </c>
      <c r="B157" s="226">
        <v>64047</v>
      </c>
      <c r="C157" s="226"/>
      <c r="D157" s="226">
        <v>1633</v>
      </c>
      <c r="E157" s="226">
        <v>1653</v>
      </c>
      <c r="F157" s="226">
        <v>1643</v>
      </c>
      <c r="G157" s="226">
        <v>1647</v>
      </c>
      <c r="H157" s="226">
        <v>1683</v>
      </c>
      <c r="I157" s="226">
        <v>1694</v>
      </c>
      <c r="J157" s="226">
        <v>1689</v>
      </c>
      <c r="K157" s="226">
        <v>1663</v>
      </c>
      <c r="L157" s="226">
        <v>1682</v>
      </c>
      <c r="M157" s="226">
        <v>1708</v>
      </c>
      <c r="N157" s="226">
        <v>1719</v>
      </c>
    </row>
    <row r="158" spans="1:14">
      <c r="A158" s="226" t="s">
        <v>2374</v>
      </c>
      <c r="B158" s="226">
        <v>56044</v>
      </c>
      <c r="C158" s="226"/>
      <c r="D158" s="226">
        <v>2961</v>
      </c>
      <c r="E158" s="226">
        <v>3003</v>
      </c>
      <c r="F158" s="226">
        <v>3052</v>
      </c>
      <c r="G158" s="226">
        <v>3083</v>
      </c>
      <c r="H158" s="226">
        <v>3123</v>
      </c>
      <c r="I158" s="226">
        <v>3133</v>
      </c>
      <c r="J158" s="226">
        <v>3133</v>
      </c>
      <c r="K158" s="226">
        <v>3185</v>
      </c>
      <c r="L158" s="226">
        <v>3212</v>
      </c>
      <c r="M158" s="226">
        <v>3233</v>
      </c>
      <c r="N158" s="226">
        <v>3279</v>
      </c>
    </row>
    <row r="159" spans="1:14">
      <c r="A159" s="226" t="s">
        <v>2375</v>
      </c>
      <c r="B159" s="226">
        <v>63048</v>
      </c>
      <c r="C159" s="226"/>
      <c r="D159" s="226">
        <v>2894</v>
      </c>
      <c r="E159" s="226">
        <v>2944</v>
      </c>
      <c r="F159" s="226">
        <v>3017</v>
      </c>
      <c r="G159" s="226">
        <v>3108</v>
      </c>
      <c r="H159" s="226">
        <v>3223</v>
      </c>
      <c r="I159" s="226">
        <v>3241</v>
      </c>
      <c r="J159" s="226">
        <v>3255</v>
      </c>
      <c r="K159" s="226">
        <v>3332</v>
      </c>
      <c r="L159" s="226">
        <v>3389</v>
      </c>
      <c r="M159" s="226">
        <v>3461</v>
      </c>
      <c r="N159" s="226">
        <v>3528</v>
      </c>
    </row>
    <row r="160" spans="1:14">
      <c r="A160" s="226" t="s">
        <v>2376</v>
      </c>
      <c r="B160" s="226">
        <v>63049</v>
      </c>
      <c r="C160" s="226"/>
      <c r="D160" s="226">
        <v>6128</v>
      </c>
      <c r="E160" s="226">
        <v>6135</v>
      </c>
      <c r="F160" s="226">
        <v>6235</v>
      </c>
      <c r="G160" s="226">
        <v>6379</v>
      </c>
      <c r="H160" s="226">
        <v>6445</v>
      </c>
      <c r="I160" s="226">
        <v>6520</v>
      </c>
      <c r="J160" s="226">
        <v>6624</v>
      </c>
      <c r="K160" s="226">
        <v>6670</v>
      </c>
      <c r="L160" s="226">
        <v>6786</v>
      </c>
      <c r="M160" s="226">
        <v>6872</v>
      </c>
      <c r="N160" s="226">
        <v>6981</v>
      </c>
    </row>
    <row r="161" spans="1:14">
      <c r="A161" s="226" t="s">
        <v>2377</v>
      </c>
      <c r="B161" s="226">
        <v>52043</v>
      </c>
      <c r="C161" s="226"/>
      <c r="D161" s="226">
        <v>10248</v>
      </c>
      <c r="E161" s="226">
        <v>10361</v>
      </c>
      <c r="F161" s="226">
        <v>10503</v>
      </c>
      <c r="G161" s="226">
        <v>10698</v>
      </c>
      <c r="H161" s="226">
        <v>10827</v>
      </c>
      <c r="I161" s="226">
        <v>10768</v>
      </c>
      <c r="J161" s="226">
        <v>11025</v>
      </c>
      <c r="K161" s="226">
        <v>11137</v>
      </c>
      <c r="L161" s="226">
        <v>11254</v>
      </c>
      <c r="M161" s="226">
        <v>11333</v>
      </c>
      <c r="N161" s="226">
        <v>11555</v>
      </c>
    </row>
    <row r="162" spans="1:14">
      <c r="A162" s="226" t="s">
        <v>2378</v>
      </c>
      <c r="B162" s="226">
        <v>83055</v>
      </c>
      <c r="C162" s="226"/>
      <c r="D162" s="226">
        <v>1725</v>
      </c>
      <c r="E162" s="226">
        <v>1780</v>
      </c>
      <c r="F162" s="226">
        <v>1824</v>
      </c>
      <c r="G162" s="226">
        <v>1824</v>
      </c>
      <c r="H162" s="226">
        <v>1880</v>
      </c>
      <c r="I162" s="226">
        <v>1902</v>
      </c>
      <c r="J162" s="226">
        <v>1948</v>
      </c>
      <c r="K162" s="226">
        <v>1990</v>
      </c>
      <c r="L162" s="226">
        <v>2027</v>
      </c>
      <c r="M162" s="226">
        <v>2052</v>
      </c>
      <c r="N162" s="226">
        <v>2123</v>
      </c>
    </row>
    <row r="163" spans="1:14">
      <c r="A163" s="226" t="s">
        <v>2379</v>
      </c>
      <c r="B163" s="226">
        <v>83034</v>
      </c>
      <c r="C163" s="226"/>
      <c r="D163" s="226">
        <v>8468</v>
      </c>
      <c r="E163" s="226">
        <v>8486</v>
      </c>
      <c r="F163" s="226">
        <v>8712</v>
      </c>
      <c r="G163" s="226">
        <v>8866</v>
      </c>
      <c r="H163" s="226">
        <v>9031</v>
      </c>
      <c r="I163" s="226">
        <v>9121</v>
      </c>
      <c r="J163" s="226">
        <v>9116</v>
      </c>
      <c r="K163" s="226">
        <v>9287</v>
      </c>
      <c r="L163" s="226">
        <v>9348</v>
      </c>
      <c r="M163" s="226">
        <v>9531</v>
      </c>
      <c r="N163" s="226">
        <v>9554</v>
      </c>
    </row>
    <row r="164" spans="1:14">
      <c r="A164" s="226" t="s">
        <v>2380</v>
      </c>
      <c r="B164" s="226">
        <v>61039</v>
      </c>
      <c r="C164" s="226"/>
      <c r="D164" s="226">
        <v>2833</v>
      </c>
      <c r="E164" s="226">
        <v>2855</v>
      </c>
      <c r="F164" s="226">
        <v>2873</v>
      </c>
      <c r="G164" s="226">
        <v>2889</v>
      </c>
      <c r="H164" s="226">
        <v>2893</v>
      </c>
      <c r="I164" s="226">
        <v>2897</v>
      </c>
      <c r="J164" s="226">
        <v>2920</v>
      </c>
      <c r="K164" s="226">
        <v>3000</v>
      </c>
      <c r="L164" s="226">
        <v>3046</v>
      </c>
      <c r="M164" s="226">
        <v>3117</v>
      </c>
      <c r="N164" s="226">
        <v>3130</v>
      </c>
    </row>
    <row r="165" spans="1:14">
      <c r="A165" s="226" t="s">
        <v>2381</v>
      </c>
      <c r="B165" s="226">
        <v>81013</v>
      </c>
      <c r="C165" s="226"/>
      <c r="D165" s="226">
        <v>872</v>
      </c>
      <c r="E165" s="226">
        <v>880</v>
      </c>
      <c r="F165" s="226">
        <v>869</v>
      </c>
      <c r="G165" s="226">
        <v>911</v>
      </c>
      <c r="H165" s="226">
        <v>882</v>
      </c>
      <c r="I165" s="226">
        <v>918</v>
      </c>
      <c r="J165" s="226">
        <v>957</v>
      </c>
      <c r="K165" s="226">
        <v>979</v>
      </c>
      <c r="L165" s="226">
        <v>980</v>
      </c>
      <c r="M165" s="226">
        <v>993</v>
      </c>
      <c r="N165" s="226">
        <v>1060</v>
      </c>
    </row>
    <row r="166" spans="1:14">
      <c r="A166" s="226" t="s">
        <v>2382</v>
      </c>
      <c r="B166" s="226">
        <v>85024</v>
      </c>
      <c r="C166" s="226"/>
      <c r="D166" s="226">
        <v>1427</v>
      </c>
      <c r="E166" s="226">
        <v>1442</v>
      </c>
      <c r="F166" s="226">
        <v>1462</v>
      </c>
      <c r="G166" s="226">
        <v>1475</v>
      </c>
      <c r="H166" s="226">
        <v>1504</v>
      </c>
      <c r="I166" s="226">
        <v>1515</v>
      </c>
      <c r="J166" s="226">
        <v>1498</v>
      </c>
      <c r="K166" s="226">
        <v>1556</v>
      </c>
      <c r="L166" s="226">
        <v>1536</v>
      </c>
      <c r="M166" s="226">
        <v>1589</v>
      </c>
      <c r="N166" s="226">
        <v>1603</v>
      </c>
    </row>
    <row r="167" spans="1:14">
      <c r="A167" s="226" t="s">
        <v>2383</v>
      </c>
      <c r="B167" s="226">
        <v>56049</v>
      </c>
      <c r="C167" s="226"/>
      <c r="D167" s="226">
        <v>2245</v>
      </c>
      <c r="E167" s="226">
        <v>2265</v>
      </c>
      <c r="F167" s="226">
        <v>2271</v>
      </c>
      <c r="G167" s="226">
        <v>2266</v>
      </c>
      <c r="H167" s="226">
        <v>2296</v>
      </c>
      <c r="I167" s="226">
        <v>2276</v>
      </c>
      <c r="J167" s="226">
        <v>2258</v>
      </c>
      <c r="K167" s="226">
        <v>2269</v>
      </c>
      <c r="L167" s="226">
        <v>2261</v>
      </c>
      <c r="M167" s="226">
        <v>2253</v>
      </c>
      <c r="N167" s="226">
        <v>2242</v>
      </c>
    </row>
    <row r="168" spans="1:14">
      <c r="A168" s="226" t="s">
        <v>2384</v>
      </c>
      <c r="B168" s="226">
        <v>81015</v>
      </c>
      <c r="C168" s="226"/>
      <c r="D168" s="226">
        <v>4218</v>
      </c>
      <c r="E168" s="226">
        <v>4253</v>
      </c>
      <c r="F168" s="226">
        <v>4269</v>
      </c>
      <c r="G168" s="226">
        <v>4349</v>
      </c>
      <c r="H168" s="226">
        <v>4429</v>
      </c>
      <c r="I168" s="226">
        <v>4429</v>
      </c>
      <c r="J168" s="226">
        <v>4398</v>
      </c>
      <c r="K168" s="226">
        <v>4454</v>
      </c>
      <c r="L168" s="226">
        <v>4484</v>
      </c>
      <c r="M168" s="226">
        <v>4555</v>
      </c>
      <c r="N168" s="226">
        <v>4581</v>
      </c>
    </row>
    <row r="169" spans="1:14">
      <c r="A169" s="226" t="s">
        <v>2385</v>
      </c>
      <c r="B169" s="226">
        <v>92087</v>
      </c>
      <c r="C169" s="226"/>
      <c r="D169" s="226">
        <v>6705</v>
      </c>
      <c r="E169" s="226">
        <v>6751</v>
      </c>
      <c r="F169" s="226">
        <v>6964</v>
      </c>
      <c r="G169" s="226">
        <v>7039</v>
      </c>
      <c r="H169" s="226">
        <v>7103</v>
      </c>
      <c r="I169" s="226">
        <v>7168</v>
      </c>
      <c r="J169" s="226">
        <v>7177</v>
      </c>
      <c r="K169" s="226">
        <v>7320</v>
      </c>
      <c r="L169" s="226">
        <v>7431</v>
      </c>
      <c r="M169" s="226">
        <v>7516</v>
      </c>
      <c r="N169" s="226">
        <v>7700</v>
      </c>
    </row>
    <row r="170" spans="1:14">
      <c r="A170" s="226" t="s">
        <v>2386</v>
      </c>
      <c r="B170" s="226">
        <v>61041</v>
      </c>
      <c r="C170" s="226"/>
      <c r="D170" s="226">
        <v>2468</v>
      </c>
      <c r="E170" s="226">
        <v>2464</v>
      </c>
      <c r="F170" s="226">
        <v>2534</v>
      </c>
      <c r="G170" s="226">
        <v>2603</v>
      </c>
      <c r="H170" s="226">
        <v>2641</v>
      </c>
      <c r="I170" s="226">
        <v>2701</v>
      </c>
      <c r="J170" s="226">
        <v>2707</v>
      </c>
      <c r="K170" s="226">
        <v>2755</v>
      </c>
      <c r="L170" s="226">
        <v>2779</v>
      </c>
      <c r="M170" s="226">
        <v>2802</v>
      </c>
      <c r="N170" s="226">
        <v>2770</v>
      </c>
    </row>
    <row r="171" spans="1:14">
      <c r="A171" s="226" t="s">
        <v>2387</v>
      </c>
      <c r="B171" s="226">
        <v>56051</v>
      </c>
      <c r="C171" s="226"/>
      <c r="D171" s="226">
        <v>2575</v>
      </c>
      <c r="E171" s="226">
        <v>2618</v>
      </c>
      <c r="F171" s="226">
        <v>2663</v>
      </c>
      <c r="G171" s="226">
        <v>2672</v>
      </c>
      <c r="H171" s="226">
        <v>2728</v>
      </c>
      <c r="I171" s="226">
        <v>2716</v>
      </c>
      <c r="J171" s="226">
        <v>2693</v>
      </c>
      <c r="K171" s="226">
        <v>2726</v>
      </c>
      <c r="L171" s="226">
        <v>2776</v>
      </c>
      <c r="M171" s="226">
        <v>2770</v>
      </c>
      <c r="N171" s="226">
        <v>2825</v>
      </c>
    </row>
    <row r="172" spans="1:14">
      <c r="A172" s="226" t="s">
        <v>2388</v>
      </c>
      <c r="B172" s="226">
        <v>53053</v>
      </c>
      <c r="C172" s="226"/>
      <c r="D172" s="226">
        <v>49427</v>
      </c>
      <c r="E172" s="226">
        <v>50282</v>
      </c>
      <c r="F172" s="226">
        <v>51330</v>
      </c>
      <c r="G172" s="226">
        <v>52039</v>
      </c>
      <c r="H172" s="226">
        <v>52765</v>
      </c>
      <c r="I172" s="226">
        <v>52832</v>
      </c>
      <c r="J172" s="226">
        <v>52852</v>
      </c>
      <c r="K172" s="226">
        <v>53324</v>
      </c>
      <c r="L172" s="226">
        <v>53438</v>
      </c>
      <c r="M172" s="226">
        <v>53846</v>
      </c>
      <c r="N172" s="226">
        <v>54615</v>
      </c>
    </row>
    <row r="173" spans="1:14">
      <c r="A173" s="226" t="s">
        <v>2389</v>
      </c>
      <c r="B173" s="226">
        <v>57095</v>
      </c>
      <c r="C173" s="226"/>
      <c r="D173" s="226">
        <v>1872</v>
      </c>
      <c r="E173" s="226">
        <v>1900</v>
      </c>
      <c r="F173" s="226">
        <v>1891</v>
      </c>
      <c r="G173" s="226">
        <v>1917</v>
      </c>
      <c r="H173" s="226">
        <v>1953</v>
      </c>
      <c r="I173" s="226">
        <v>1960</v>
      </c>
      <c r="J173" s="226">
        <v>1987</v>
      </c>
      <c r="K173" s="226">
        <v>2040</v>
      </c>
      <c r="L173" s="226">
        <v>2028</v>
      </c>
      <c r="M173" s="226">
        <v>2010</v>
      </c>
      <c r="N173" s="226">
        <v>2054</v>
      </c>
    </row>
    <row r="174" spans="1:14">
      <c r="A174" s="226" t="s">
        <v>2390</v>
      </c>
      <c r="B174" s="226">
        <v>52048</v>
      </c>
      <c r="C174" s="226"/>
      <c r="D174" s="226">
        <v>5530</v>
      </c>
      <c r="E174" s="226">
        <v>5563</v>
      </c>
      <c r="F174" s="226">
        <v>5625</v>
      </c>
      <c r="G174" s="226">
        <v>5652</v>
      </c>
      <c r="H174" s="226">
        <v>5689</v>
      </c>
      <c r="I174" s="226">
        <v>5654</v>
      </c>
      <c r="J174" s="226">
        <v>5700</v>
      </c>
      <c r="K174" s="226">
        <v>5772</v>
      </c>
      <c r="L174" s="226">
        <v>5755</v>
      </c>
      <c r="M174" s="226">
        <v>5744</v>
      </c>
      <c r="N174" s="226">
        <v>5809</v>
      </c>
    </row>
    <row r="175" spans="1:14">
      <c r="A175" s="226" t="s">
        <v>2391</v>
      </c>
      <c r="B175" s="226">
        <v>25068</v>
      </c>
      <c r="C175" s="226"/>
      <c r="D175" s="226">
        <v>3738</v>
      </c>
      <c r="E175" s="226">
        <v>3824</v>
      </c>
      <c r="F175" s="226">
        <v>3832</v>
      </c>
      <c r="G175" s="226">
        <v>3931</v>
      </c>
      <c r="H175" s="226">
        <v>3983</v>
      </c>
      <c r="I175" s="226">
        <v>4064</v>
      </c>
      <c r="J175" s="226">
        <v>4121</v>
      </c>
      <c r="K175" s="226">
        <v>4199</v>
      </c>
      <c r="L175" s="226">
        <v>4302</v>
      </c>
      <c r="M175" s="226">
        <v>4390</v>
      </c>
      <c r="N175" s="226">
        <v>4500</v>
      </c>
    </row>
    <row r="176" spans="1:14">
      <c r="A176" s="226" t="s">
        <v>2392</v>
      </c>
      <c r="B176" s="226">
        <v>56087</v>
      </c>
      <c r="C176" s="226"/>
      <c r="D176" s="226">
        <v>8876</v>
      </c>
      <c r="E176" s="226">
        <v>8970</v>
      </c>
      <c r="F176" s="226">
        <v>8992</v>
      </c>
      <c r="G176" s="226">
        <v>9047</v>
      </c>
      <c r="H176" s="226">
        <v>9144</v>
      </c>
      <c r="I176" s="226">
        <v>9028</v>
      </c>
      <c r="J176" s="226">
        <v>9284</v>
      </c>
      <c r="K176" s="226">
        <v>9461</v>
      </c>
      <c r="L176" s="226">
        <v>9435</v>
      </c>
      <c r="M176" s="226">
        <v>9419</v>
      </c>
      <c r="N176" s="226">
        <v>9492</v>
      </c>
    </row>
    <row r="177" spans="1:14">
      <c r="A177" s="226" t="s">
        <v>2393</v>
      </c>
      <c r="B177" s="226">
        <v>54007</v>
      </c>
      <c r="C177" s="226"/>
      <c r="D177" s="226">
        <v>26385</v>
      </c>
      <c r="E177" s="226">
        <v>26722</v>
      </c>
      <c r="F177" s="226">
        <v>27209</v>
      </c>
      <c r="G177" s="226">
        <v>27712</v>
      </c>
      <c r="H177" s="226">
        <v>28180</v>
      </c>
      <c r="I177" s="226">
        <v>27936</v>
      </c>
      <c r="J177" s="226">
        <v>27948</v>
      </c>
      <c r="K177" s="226">
        <v>28220</v>
      </c>
      <c r="L177" s="226">
        <v>28191</v>
      </c>
      <c r="M177" s="226">
        <v>28213</v>
      </c>
      <c r="N177" s="226">
        <v>28490</v>
      </c>
    </row>
    <row r="178" spans="1:14">
      <c r="A178" s="226" t="s">
        <v>2394</v>
      </c>
      <c r="B178" s="226">
        <v>85026</v>
      </c>
      <c r="C178" s="226"/>
      <c r="D178" s="226">
        <v>2254</v>
      </c>
      <c r="E178" s="226">
        <v>2317</v>
      </c>
      <c r="F178" s="226">
        <v>2384</v>
      </c>
      <c r="G178" s="226">
        <v>2397</v>
      </c>
      <c r="H178" s="226">
        <v>2442</v>
      </c>
      <c r="I178" s="226">
        <v>2479</v>
      </c>
      <c r="J178" s="226">
        <v>2492</v>
      </c>
      <c r="K178" s="226">
        <v>2519</v>
      </c>
      <c r="L178" s="226">
        <v>2521</v>
      </c>
      <c r="M178" s="226">
        <v>2524</v>
      </c>
      <c r="N178" s="226">
        <v>2553</v>
      </c>
    </row>
    <row r="179" spans="1:14">
      <c r="A179" s="226" t="s">
        <v>2395</v>
      </c>
      <c r="B179" s="226">
        <v>92094</v>
      </c>
      <c r="C179" s="226"/>
      <c r="D179" s="226">
        <v>49935</v>
      </c>
      <c r="E179" s="226">
        <v>50113</v>
      </c>
      <c r="F179" s="226">
        <v>50845</v>
      </c>
      <c r="G179" s="226">
        <v>51270</v>
      </c>
      <c r="H179" s="226">
        <v>51620</v>
      </c>
      <c r="I179" s="226">
        <v>51907</v>
      </c>
      <c r="J179" s="226">
        <v>51818</v>
      </c>
      <c r="K179" s="226">
        <v>52847</v>
      </c>
      <c r="L179" s="226">
        <v>53094</v>
      </c>
      <c r="M179" s="226">
        <v>53456</v>
      </c>
      <c r="N179" s="226">
        <v>54168</v>
      </c>
    </row>
    <row r="180" spans="1:14">
      <c r="A180" s="226" t="s">
        <v>2396</v>
      </c>
      <c r="B180" s="226">
        <v>61043</v>
      </c>
      <c r="C180" s="226"/>
      <c r="D180" s="226">
        <v>3403</v>
      </c>
      <c r="E180" s="226">
        <v>3413</v>
      </c>
      <c r="F180" s="226">
        <v>3473</v>
      </c>
      <c r="G180" s="226">
        <v>3512</v>
      </c>
      <c r="H180" s="226">
        <v>3500</v>
      </c>
      <c r="I180" s="226">
        <v>3493</v>
      </c>
      <c r="J180" s="226">
        <v>3472</v>
      </c>
      <c r="K180" s="226">
        <v>3518</v>
      </c>
      <c r="L180" s="226">
        <v>3518</v>
      </c>
      <c r="M180" s="226">
        <v>3584</v>
      </c>
      <c r="N180" s="226">
        <v>3574</v>
      </c>
    </row>
    <row r="181" spans="1:14">
      <c r="A181" s="226" t="s">
        <v>2397</v>
      </c>
      <c r="B181" s="226">
        <v>83040</v>
      </c>
      <c r="C181" s="226"/>
      <c r="D181" s="226">
        <v>2598</v>
      </c>
      <c r="E181" s="226">
        <v>2639</v>
      </c>
      <c r="F181" s="226">
        <v>2688</v>
      </c>
      <c r="G181" s="226">
        <v>2728</v>
      </c>
      <c r="H181" s="226">
        <v>2792</v>
      </c>
      <c r="I181" s="226">
        <v>2782</v>
      </c>
      <c r="J181" s="226">
        <v>2829</v>
      </c>
      <c r="K181" s="226">
        <v>2862</v>
      </c>
      <c r="L181" s="226">
        <v>2889</v>
      </c>
      <c r="M181" s="226">
        <v>2962</v>
      </c>
      <c r="N181" s="226">
        <v>2985</v>
      </c>
    </row>
    <row r="182" spans="1:14">
      <c r="A182" s="226" t="s">
        <v>2398</v>
      </c>
      <c r="B182" s="226">
        <v>84043</v>
      </c>
      <c r="C182" s="226"/>
      <c r="D182" s="226">
        <v>3579</v>
      </c>
      <c r="E182" s="226">
        <v>3664</v>
      </c>
      <c r="F182" s="226">
        <v>3760</v>
      </c>
      <c r="G182" s="226">
        <v>3826</v>
      </c>
      <c r="H182" s="226">
        <v>3924</v>
      </c>
      <c r="I182" s="226">
        <v>3925</v>
      </c>
      <c r="J182" s="226">
        <v>3962</v>
      </c>
      <c r="K182" s="226">
        <v>4054</v>
      </c>
      <c r="L182" s="226">
        <v>4163</v>
      </c>
      <c r="M182" s="226">
        <v>4243</v>
      </c>
      <c r="N182" s="226">
        <v>4342</v>
      </c>
    </row>
    <row r="183" spans="1:14">
      <c r="A183" s="226" t="s">
        <v>2399</v>
      </c>
      <c r="B183" s="226">
        <v>62121</v>
      </c>
      <c r="C183" s="226"/>
      <c r="D183" s="226">
        <v>5808</v>
      </c>
      <c r="E183" s="226">
        <v>5874</v>
      </c>
      <c r="F183" s="226">
        <v>5955</v>
      </c>
      <c r="G183" s="226">
        <v>6038</v>
      </c>
      <c r="H183" s="226">
        <v>6115</v>
      </c>
      <c r="I183" s="226">
        <v>6063</v>
      </c>
      <c r="J183" s="226">
        <v>6059</v>
      </c>
      <c r="K183" s="226">
        <v>6089</v>
      </c>
      <c r="L183" s="226">
        <v>6010</v>
      </c>
      <c r="M183" s="226">
        <v>6037</v>
      </c>
      <c r="N183" s="226">
        <v>6074</v>
      </c>
    </row>
    <row r="184" spans="1:14">
      <c r="A184" s="226" t="s">
        <v>2400</v>
      </c>
      <c r="B184" s="226">
        <v>25072</v>
      </c>
      <c r="C184" s="226"/>
      <c r="D184" s="226">
        <v>13315</v>
      </c>
      <c r="E184" s="226">
        <v>13581</v>
      </c>
      <c r="F184" s="226">
        <v>13861</v>
      </c>
      <c r="G184" s="226">
        <v>14216</v>
      </c>
      <c r="H184" s="226">
        <v>14441</v>
      </c>
      <c r="I184" s="226">
        <v>14584</v>
      </c>
      <c r="J184" s="226">
        <v>14797</v>
      </c>
      <c r="K184" s="226">
        <v>14992</v>
      </c>
      <c r="L184" s="226">
        <v>14928</v>
      </c>
      <c r="M184" s="226">
        <v>14993</v>
      </c>
      <c r="N184" s="226">
        <v>15211</v>
      </c>
    </row>
    <row r="185" spans="1:14">
      <c r="A185" s="226" t="s">
        <v>2401</v>
      </c>
      <c r="B185" s="226">
        <v>92097</v>
      </c>
      <c r="C185" s="226"/>
      <c r="D185" s="226">
        <v>2548</v>
      </c>
      <c r="E185" s="226">
        <v>2593</v>
      </c>
      <c r="F185" s="226">
        <v>2641</v>
      </c>
      <c r="G185" s="226">
        <v>2683</v>
      </c>
      <c r="H185" s="226">
        <v>2724</v>
      </c>
      <c r="I185" s="226">
        <v>2789</v>
      </c>
      <c r="J185" s="226">
        <v>2822</v>
      </c>
      <c r="K185" s="226">
        <v>2877</v>
      </c>
      <c r="L185" s="226">
        <v>2889</v>
      </c>
      <c r="M185" s="226">
        <v>2891</v>
      </c>
      <c r="N185" s="226">
        <v>2970</v>
      </c>
    </row>
    <row r="186" spans="1:14">
      <c r="A186" s="226" t="s">
        <v>2402</v>
      </c>
      <c r="B186" s="226">
        <v>63057</v>
      </c>
      <c r="C186" s="226"/>
      <c r="D186" s="226">
        <v>2171</v>
      </c>
      <c r="E186" s="226">
        <v>2234</v>
      </c>
      <c r="F186" s="226">
        <v>2299</v>
      </c>
      <c r="G186" s="226">
        <v>2346</v>
      </c>
      <c r="H186" s="226">
        <v>2393</v>
      </c>
      <c r="I186" s="226">
        <v>2399</v>
      </c>
      <c r="J186" s="226">
        <v>2431</v>
      </c>
      <c r="K186" s="226">
        <v>2463</v>
      </c>
      <c r="L186" s="226">
        <v>2442</v>
      </c>
      <c r="M186" s="226">
        <v>2488</v>
      </c>
      <c r="N186" s="226">
        <v>2502</v>
      </c>
    </row>
    <row r="187" spans="1:14">
      <c r="A187" s="226" t="s">
        <v>2403</v>
      </c>
      <c r="B187" s="226">
        <v>91103</v>
      </c>
      <c r="C187" s="226"/>
      <c r="D187" s="226">
        <v>1644</v>
      </c>
      <c r="E187" s="226">
        <v>1666</v>
      </c>
      <c r="F187" s="226">
        <v>1680</v>
      </c>
      <c r="G187" s="226">
        <v>1700</v>
      </c>
      <c r="H187" s="226">
        <v>1728</v>
      </c>
      <c r="I187" s="226">
        <v>1728</v>
      </c>
      <c r="J187" s="226">
        <v>1740</v>
      </c>
      <c r="K187" s="226">
        <v>1760</v>
      </c>
      <c r="L187" s="226">
        <v>1819</v>
      </c>
      <c r="M187" s="226">
        <v>1821</v>
      </c>
      <c r="N187" s="226">
        <v>1819</v>
      </c>
    </row>
    <row r="188" spans="1:14">
      <c r="A188" s="226" t="s">
        <v>2404</v>
      </c>
      <c r="B188" s="226">
        <v>64056</v>
      </c>
      <c r="C188" s="226"/>
      <c r="D188" s="226">
        <v>1990</v>
      </c>
      <c r="E188" s="226">
        <v>2009</v>
      </c>
      <c r="F188" s="226">
        <v>2036</v>
      </c>
      <c r="G188" s="226">
        <v>2108</v>
      </c>
      <c r="H188" s="226">
        <v>2145</v>
      </c>
      <c r="I188" s="226">
        <v>2141</v>
      </c>
      <c r="J188" s="226">
        <v>2119</v>
      </c>
      <c r="K188" s="226">
        <v>2145</v>
      </c>
      <c r="L188" s="226">
        <v>2202</v>
      </c>
      <c r="M188" s="226">
        <v>2224</v>
      </c>
      <c r="N188" s="226">
        <v>2253</v>
      </c>
    </row>
    <row r="189" spans="1:14">
      <c r="A189" s="226" t="s">
        <v>2405</v>
      </c>
      <c r="B189" s="226">
        <v>25120</v>
      </c>
      <c r="C189" s="226"/>
      <c r="D189" s="226">
        <v>4384</v>
      </c>
      <c r="E189" s="226">
        <v>4468</v>
      </c>
      <c r="F189" s="226">
        <v>4548</v>
      </c>
      <c r="G189" s="226">
        <v>4640</v>
      </c>
      <c r="H189" s="226">
        <v>4667</v>
      </c>
      <c r="I189" s="226">
        <v>4745</v>
      </c>
      <c r="J189" s="226">
        <v>4743</v>
      </c>
      <c r="K189" s="226">
        <v>4796</v>
      </c>
      <c r="L189" s="226">
        <v>4889</v>
      </c>
      <c r="M189" s="226">
        <v>4912</v>
      </c>
      <c r="N189" s="226">
        <v>4901</v>
      </c>
    </row>
    <row r="190" spans="1:14">
      <c r="A190" s="226" t="s">
        <v>2406</v>
      </c>
      <c r="B190" s="226">
        <v>25121</v>
      </c>
      <c r="C190" s="226"/>
      <c r="D190" s="226">
        <v>13965</v>
      </c>
      <c r="E190" s="226">
        <v>14195</v>
      </c>
      <c r="F190" s="226">
        <v>14232</v>
      </c>
      <c r="G190" s="226">
        <v>14267</v>
      </c>
      <c r="H190" s="226">
        <v>14265</v>
      </c>
      <c r="I190" s="226">
        <v>14341</v>
      </c>
      <c r="J190" s="226">
        <v>14178</v>
      </c>
      <c r="K190" s="226">
        <v>14260</v>
      </c>
      <c r="L190" s="226">
        <v>14289</v>
      </c>
      <c r="M190" s="226">
        <v>14237</v>
      </c>
      <c r="N190" s="226">
        <v>14356</v>
      </c>
    </row>
    <row r="191" spans="1:14">
      <c r="A191" s="226" t="s">
        <v>2407</v>
      </c>
      <c r="B191" s="226">
        <v>61048</v>
      </c>
      <c r="C191" s="226"/>
      <c r="D191" s="226">
        <v>1479</v>
      </c>
      <c r="E191" s="226">
        <v>1496</v>
      </c>
      <c r="F191" s="226">
        <v>1515</v>
      </c>
      <c r="G191" s="226">
        <v>1526</v>
      </c>
      <c r="H191" s="226">
        <v>1504</v>
      </c>
      <c r="I191" s="226">
        <v>1497</v>
      </c>
      <c r="J191" s="226">
        <v>1519</v>
      </c>
      <c r="K191" s="226">
        <v>1534</v>
      </c>
      <c r="L191" s="226">
        <v>1552</v>
      </c>
      <c r="M191" s="226">
        <v>1563</v>
      </c>
      <c r="N191" s="226">
        <v>1579</v>
      </c>
    </row>
    <row r="192" spans="1:14">
      <c r="A192" s="226" t="s">
        <v>2408</v>
      </c>
      <c r="B192" s="226">
        <v>62079</v>
      </c>
      <c r="C192" s="226"/>
      <c r="D192" s="226">
        <v>12189</v>
      </c>
      <c r="E192" s="226">
        <v>12400</v>
      </c>
      <c r="F192" s="226">
        <v>12587</v>
      </c>
      <c r="G192" s="226">
        <v>12817</v>
      </c>
      <c r="H192" s="226">
        <v>12885</v>
      </c>
      <c r="I192" s="226">
        <v>12948</v>
      </c>
      <c r="J192" s="226">
        <v>12923</v>
      </c>
      <c r="K192" s="226">
        <v>13089</v>
      </c>
      <c r="L192" s="226">
        <v>13111</v>
      </c>
      <c r="M192" s="226">
        <v>13243</v>
      </c>
      <c r="N192" s="226">
        <v>13437</v>
      </c>
    </row>
    <row r="193" spans="1:14">
      <c r="A193" s="226" t="s">
        <v>2409</v>
      </c>
      <c r="B193" s="226">
        <v>84050</v>
      </c>
      <c r="C193" s="226"/>
      <c r="D193" s="226">
        <v>2725</v>
      </c>
      <c r="E193" s="226">
        <v>2799</v>
      </c>
      <c r="F193" s="226">
        <v>2828</v>
      </c>
      <c r="G193" s="226">
        <v>2827</v>
      </c>
      <c r="H193" s="226">
        <v>2782</v>
      </c>
      <c r="I193" s="226">
        <v>2793</v>
      </c>
      <c r="J193" s="226">
        <v>2796</v>
      </c>
      <c r="K193" s="226">
        <v>2848</v>
      </c>
      <c r="L193" s="226">
        <v>2879</v>
      </c>
      <c r="M193" s="226">
        <v>2924</v>
      </c>
      <c r="N193" s="226">
        <v>2982</v>
      </c>
    </row>
    <row r="194" spans="1:14">
      <c r="A194" s="226" t="s">
        <v>2410</v>
      </c>
      <c r="B194" s="226">
        <v>57062</v>
      </c>
      <c r="C194" s="226"/>
      <c r="D194" s="226">
        <v>2875</v>
      </c>
      <c r="E194" s="226">
        <v>2861</v>
      </c>
      <c r="F194" s="226">
        <v>2918</v>
      </c>
      <c r="G194" s="226">
        <v>2973</v>
      </c>
      <c r="H194" s="226">
        <v>3069</v>
      </c>
      <c r="I194" s="226">
        <v>3094</v>
      </c>
      <c r="J194" s="226">
        <v>3135</v>
      </c>
      <c r="K194" s="226">
        <v>3147</v>
      </c>
      <c r="L194" s="226">
        <v>3154</v>
      </c>
      <c r="M194" s="226">
        <v>3170</v>
      </c>
      <c r="N194" s="226">
        <v>3212</v>
      </c>
    </row>
    <row r="195" spans="1:14">
      <c r="A195" s="226" t="s">
        <v>2411</v>
      </c>
      <c r="B195" s="226">
        <v>63058</v>
      </c>
      <c r="C195" s="226"/>
      <c r="D195" s="226">
        <v>4600</v>
      </c>
      <c r="E195" s="226">
        <v>4613</v>
      </c>
      <c r="F195" s="226">
        <v>4662</v>
      </c>
      <c r="G195" s="226">
        <v>4751</v>
      </c>
      <c r="H195" s="226">
        <v>4791</v>
      </c>
      <c r="I195" s="226">
        <v>4817</v>
      </c>
      <c r="J195" s="226">
        <v>4826</v>
      </c>
      <c r="K195" s="226">
        <v>4821</v>
      </c>
      <c r="L195" s="226">
        <v>4706</v>
      </c>
      <c r="M195" s="226">
        <v>4731</v>
      </c>
      <c r="N195" s="226">
        <v>4812</v>
      </c>
    </row>
    <row r="196" spans="1:14">
      <c r="A196" s="226" t="s">
        <v>2412</v>
      </c>
      <c r="B196" s="226">
        <v>57064</v>
      </c>
      <c r="C196" s="226"/>
      <c r="D196" s="226">
        <v>8426</v>
      </c>
      <c r="E196" s="226">
        <v>8560</v>
      </c>
      <c r="F196" s="226">
        <v>8688</v>
      </c>
      <c r="G196" s="226">
        <v>8825</v>
      </c>
      <c r="H196" s="226">
        <v>8919</v>
      </c>
      <c r="I196" s="226">
        <v>8986</v>
      </c>
      <c r="J196" s="226">
        <v>9004</v>
      </c>
      <c r="K196" s="226">
        <v>9021</v>
      </c>
      <c r="L196" s="226">
        <v>9183</v>
      </c>
      <c r="M196" s="226">
        <v>9259</v>
      </c>
      <c r="N196" s="226">
        <v>9448</v>
      </c>
    </row>
    <row r="197" spans="1:14">
      <c r="A197" s="226" t="s">
        <v>2413</v>
      </c>
      <c r="B197" s="226">
        <v>25084</v>
      </c>
      <c r="C197" s="226"/>
      <c r="D197" s="226">
        <v>4304</v>
      </c>
      <c r="E197" s="226">
        <v>4487</v>
      </c>
      <c r="F197" s="226">
        <v>4597</v>
      </c>
      <c r="G197" s="226">
        <v>4723</v>
      </c>
      <c r="H197" s="226">
        <v>4720</v>
      </c>
      <c r="I197" s="226">
        <v>4767</v>
      </c>
      <c r="J197" s="226">
        <v>4880</v>
      </c>
      <c r="K197" s="226">
        <v>4909</v>
      </c>
      <c r="L197" s="226">
        <v>5005</v>
      </c>
      <c r="M197" s="226">
        <v>4996</v>
      </c>
      <c r="N197" s="226">
        <v>5101</v>
      </c>
    </row>
    <row r="198" spans="1:14">
      <c r="A198" s="226" t="s">
        <v>2414</v>
      </c>
      <c r="B198" s="226">
        <v>93056</v>
      </c>
      <c r="C198" s="226"/>
      <c r="D198" s="226">
        <v>4653</v>
      </c>
      <c r="E198" s="226">
        <v>4713</v>
      </c>
      <c r="F198" s="226">
        <v>4844</v>
      </c>
      <c r="G198" s="226">
        <v>4894</v>
      </c>
      <c r="H198" s="226">
        <v>4884</v>
      </c>
      <c r="I198" s="226">
        <v>4890</v>
      </c>
      <c r="J198" s="226">
        <v>4864</v>
      </c>
      <c r="K198" s="226">
        <v>4923</v>
      </c>
      <c r="L198" s="226">
        <v>4988</v>
      </c>
      <c r="M198" s="226">
        <v>5057</v>
      </c>
      <c r="N198" s="226">
        <v>5147</v>
      </c>
    </row>
    <row r="199" spans="1:14">
      <c r="A199" s="226" t="s">
        <v>2415</v>
      </c>
      <c r="B199" s="226">
        <v>63088</v>
      </c>
      <c r="C199" s="226"/>
      <c r="D199" s="226">
        <v>5136</v>
      </c>
      <c r="E199" s="226">
        <v>5218</v>
      </c>
      <c r="F199" s="226">
        <v>5335</v>
      </c>
      <c r="G199" s="226">
        <v>5407</v>
      </c>
      <c r="H199" s="226">
        <v>5464</v>
      </c>
      <c r="I199" s="226">
        <v>5530</v>
      </c>
      <c r="J199" s="226">
        <v>5584</v>
      </c>
      <c r="K199" s="226">
        <v>5646</v>
      </c>
      <c r="L199" s="226">
        <v>5697</v>
      </c>
      <c r="M199" s="226">
        <v>5692</v>
      </c>
      <c r="N199" s="226">
        <v>5752</v>
      </c>
    </row>
    <row r="200" spans="1:14">
      <c r="A200" s="226" t="s">
        <v>2416</v>
      </c>
      <c r="B200" s="226">
        <v>52055</v>
      </c>
      <c r="C200" s="226"/>
      <c r="D200" s="226">
        <v>8251</v>
      </c>
      <c r="E200" s="226">
        <v>8376</v>
      </c>
      <c r="F200" s="226">
        <v>8424</v>
      </c>
      <c r="G200" s="226">
        <v>8606</v>
      </c>
      <c r="H200" s="226">
        <v>8657</v>
      </c>
      <c r="I200" s="226">
        <v>8600</v>
      </c>
      <c r="J200" s="226">
        <v>8585</v>
      </c>
      <c r="K200" s="226">
        <v>8745</v>
      </c>
      <c r="L200" s="226">
        <v>8855</v>
      </c>
      <c r="M200" s="226">
        <v>8955</v>
      </c>
      <c r="N200" s="226">
        <v>9088</v>
      </c>
    </row>
    <row r="201" spans="1:14">
      <c r="A201" s="226" t="s">
        <v>2417</v>
      </c>
      <c r="B201" s="226">
        <v>92101</v>
      </c>
      <c r="C201" s="226"/>
      <c r="D201" s="226">
        <v>6270</v>
      </c>
      <c r="E201" s="226">
        <v>6349</v>
      </c>
      <c r="F201" s="226">
        <v>6504</v>
      </c>
      <c r="G201" s="226">
        <v>6615</v>
      </c>
      <c r="H201" s="226">
        <v>6701</v>
      </c>
      <c r="I201" s="226">
        <v>6750</v>
      </c>
      <c r="J201" s="226">
        <v>6751</v>
      </c>
      <c r="K201" s="226">
        <v>6771</v>
      </c>
      <c r="L201" s="226">
        <v>6793</v>
      </c>
      <c r="M201" s="226">
        <v>6876</v>
      </c>
      <c r="N201" s="226">
        <v>6939</v>
      </c>
    </row>
    <row r="202" spans="1:14">
      <c r="A202" s="226" t="s">
        <v>2418</v>
      </c>
      <c r="B202" s="226">
        <v>53065</v>
      </c>
      <c r="C202" s="226"/>
      <c r="D202" s="226">
        <v>8137</v>
      </c>
      <c r="E202" s="226">
        <v>8258</v>
      </c>
      <c r="F202" s="226">
        <v>8376</v>
      </c>
      <c r="G202" s="226">
        <v>8531</v>
      </c>
      <c r="H202" s="226">
        <v>8597</v>
      </c>
      <c r="I202" s="226">
        <v>8625</v>
      </c>
      <c r="J202" s="226">
        <v>8610</v>
      </c>
      <c r="K202" s="226">
        <v>8683</v>
      </c>
      <c r="L202" s="226">
        <v>8669</v>
      </c>
      <c r="M202" s="226">
        <v>8722</v>
      </c>
      <c r="N202" s="226">
        <v>8878</v>
      </c>
    </row>
    <row r="203" spans="1:14">
      <c r="A203" s="226" t="s">
        <v>2419</v>
      </c>
      <c r="B203" s="226">
        <v>53084</v>
      </c>
      <c r="C203" s="226"/>
      <c r="D203" s="226">
        <v>4202</v>
      </c>
      <c r="E203" s="226">
        <v>4271</v>
      </c>
      <c r="F203" s="226">
        <v>4390</v>
      </c>
      <c r="G203" s="226">
        <v>4437</v>
      </c>
      <c r="H203" s="226">
        <v>4415</v>
      </c>
      <c r="I203" s="226">
        <v>4404</v>
      </c>
      <c r="J203" s="226">
        <v>4447</v>
      </c>
      <c r="K203" s="226">
        <v>4508</v>
      </c>
      <c r="L203" s="226">
        <v>4531</v>
      </c>
      <c r="M203" s="226">
        <v>4590</v>
      </c>
      <c r="N203" s="226">
        <v>4733</v>
      </c>
    </row>
    <row r="204" spans="1:14">
      <c r="A204" s="226" t="s">
        <v>2420</v>
      </c>
      <c r="B204" s="226">
        <v>53068</v>
      </c>
      <c r="C204" s="226"/>
      <c r="D204" s="226">
        <v>2973</v>
      </c>
      <c r="E204" s="226">
        <v>2987</v>
      </c>
      <c r="F204" s="226">
        <v>3022</v>
      </c>
      <c r="G204" s="226">
        <v>3076</v>
      </c>
      <c r="H204" s="226">
        <v>3119</v>
      </c>
      <c r="I204" s="226">
        <v>3126</v>
      </c>
      <c r="J204" s="226">
        <v>3151</v>
      </c>
      <c r="K204" s="226">
        <v>3189</v>
      </c>
      <c r="L204" s="226">
        <v>3205</v>
      </c>
      <c r="M204" s="226">
        <v>3239</v>
      </c>
      <c r="N204" s="226">
        <v>3245</v>
      </c>
    </row>
    <row r="205" spans="1:14">
      <c r="A205" s="226" t="s">
        <v>2421</v>
      </c>
      <c r="B205" s="226">
        <v>63061</v>
      </c>
      <c r="C205" s="226"/>
      <c r="D205" s="226">
        <v>5434</v>
      </c>
      <c r="E205" s="226">
        <v>5514</v>
      </c>
      <c r="F205" s="226">
        <v>5632</v>
      </c>
      <c r="G205" s="226">
        <v>5661</v>
      </c>
      <c r="H205" s="226">
        <v>5768</v>
      </c>
      <c r="I205" s="226">
        <v>5793</v>
      </c>
      <c r="J205" s="226">
        <v>5828</v>
      </c>
      <c r="K205" s="226">
        <v>5901</v>
      </c>
      <c r="L205" s="226">
        <v>5951</v>
      </c>
      <c r="M205" s="226">
        <v>5979</v>
      </c>
      <c r="N205" s="226">
        <v>6026</v>
      </c>
    </row>
    <row r="206" spans="1:14">
      <c r="A206" s="226" t="s">
        <v>2422</v>
      </c>
      <c r="B206" s="226">
        <v>25122</v>
      </c>
      <c r="C206" s="226"/>
      <c r="D206" s="226">
        <v>3169</v>
      </c>
      <c r="E206" s="226">
        <v>3217</v>
      </c>
      <c r="F206" s="226">
        <v>3313</v>
      </c>
      <c r="G206" s="226">
        <v>3345</v>
      </c>
      <c r="H206" s="226">
        <v>3427</v>
      </c>
      <c r="I206" s="226">
        <v>3537</v>
      </c>
      <c r="J206" s="226">
        <v>3702</v>
      </c>
      <c r="K206" s="226">
        <v>3920</v>
      </c>
      <c r="L206" s="226">
        <v>4173</v>
      </c>
      <c r="M206" s="226">
        <v>4352</v>
      </c>
      <c r="N206" s="226">
        <v>4595</v>
      </c>
    </row>
    <row r="207" spans="1:14">
      <c r="A207" s="226" t="s">
        <v>2423</v>
      </c>
      <c r="B207" s="226">
        <v>25123</v>
      </c>
      <c r="C207" s="226"/>
      <c r="D207" s="226">
        <v>5416</v>
      </c>
      <c r="E207" s="226">
        <v>5519</v>
      </c>
      <c r="F207" s="226">
        <v>5535</v>
      </c>
      <c r="G207" s="226">
        <v>5600</v>
      </c>
      <c r="H207" s="226">
        <v>5582</v>
      </c>
      <c r="I207" s="226">
        <v>5578</v>
      </c>
      <c r="J207" s="226">
        <v>5621</v>
      </c>
      <c r="K207" s="226">
        <v>5678</v>
      </c>
      <c r="L207" s="226">
        <v>5687</v>
      </c>
      <c r="M207" s="226">
        <v>5718</v>
      </c>
      <c r="N207" s="226">
        <v>5784</v>
      </c>
    </row>
    <row r="208" spans="1:14">
      <c r="A208" s="226" t="s">
        <v>2424</v>
      </c>
      <c r="B208" s="226">
        <v>64063</v>
      </c>
      <c r="C208" s="226"/>
      <c r="D208" s="226">
        <v>2981</v>
      </c>
      <c r="E208" s="226">
        <v>3055</v>
      </c>
      <c r="F208" s="226">
        <v>3118</v>
      </c>
      <c r="G208" s="226">
        <v>3132</v>
      </c>
      <c r="H208" s="226">
        <v>3136</v>
      </c>
      <c r="I208" s="226">
        <v>3163</v>
      </c>
      <c r="J208" s="226">
        <v>3208</v>
      </c>
      <c r="K208" s="226">
        <v>3262</v>
      </c>
      <c r="L208" s="226">
        <v>3272</v>
      </c>
      <c r="M208" s="226">
        <v>3267</v>
      </c>
      <c r="N208" s="226">
        <v>3317</v>
      </c>
    </row>
    <row r="209" spans="1:14">
      <c r="A209" s="226" t="s">
        <v>2425</v>
      </c>
      <c r="B209" s="226">
        <v>83044</v>
      </c>
      <c r="C209" s="226"/>
      <c r="D209" s="226">
        <v>1302</v>
      </c>
      <c r="E209" s="226">
        <v>1308</v>
      </c>
      <c r="F209" s="226">
        <v>1286</v>
      </c>
      <c r="G209" s="226">
        <v>1307</v>
      </c>
      <c r="H209" s="226">
        <v>1333</v>
      </c>
      <c r="I209" s="226">
        <v>1336</v>
      </c>
      <c r="J209" s="226">
        <v>1351</v>
      </c>
      <c r="K209" s="226">
        <v>1387</v>
      </c>
      <c r="L209" s="226">
        <v>1418</v>
      </c>
      <c r="M209" s="226">
        <v>1414</v>
      </c>
      <c r="N209" s="226">
        <v>1384</v>
      </c>
    </row>
    <row r="210" spans="1:14">
      <c r="A210" s="226" t="s">
        <v>2426</v>
      </c>
      <c r="B210" s="226">
        <v>25091</v>
      </c>
      <c r="C210" s="226"/>
      <c r="D210" s="226">
        <v>11383</v>
      </c>
      <c r="E210" s="226">
        <v>11490</v>
      </c>
      <c r="F210" s="226">
        <v>11565</v>
      </c>
      <c r="G210" s="226">
        <v>11766</v>
      </c>
      <c r="H210" s="226">
        <v>11902</v>
      </c>
      <c r="I210" s="226">
        <v>11892</v>
      </c>
      <c r="J210" s="226">
        <v>11839</v>
      </c>
      <c r="K210" s="226">
        <v>11971</v>
      </c>
      <c r="L210" s="226">
        <v>11972</v>
      </c>
      <c r="M210" s="226">
        <v>11964</v>
      </c>
      <c r="N210" s="226">
        <v>11991</v>
      </c>
    </row>
    <row r="211" spans="1:14">
      <c r="A211" s="226" t="s">
        <v>2427</v>
      </c>
      <c r="B211" s="226">
        <v>91114</v>
      </c>
      <c r="C211" s="226"/>
      <c r="D211" s="226">
        <v>5996</v>
      </c>
      <c r="E211" s="226">
        <v>6101</v>
      </c>
      <c r="F211" s="226">
        <v>6149</v>
      </c>
      <c r="G211" s="226">
        <v>6265</v>
      </c>
      <c r="H211" s="226">
        <v>6416</v>
      </c>
      <c r="I211" s="226">
        <v>6462</v>
      </c>
      <c r="J211" s="226">
        <v>6509</v>
      </c>
      <c r="K211" s="226">
        <v>6504</v>
      </c>
      <c r="L211" s="226">
        <v>6526</v>
      </c>
      <c r="M211" s="226">
        <v>6627</v>
      </c>
      <c r="N211" s="226">
        <v>6724</v>
      </c>
    </row>
    <row r="212" spans="1:14">
      <c r="A212" s="226" t="s">
        <v>2428</v>
      </c>
      <c r="B212" s="226">
        <v>85047</v>
      </c>
      <c r="C212" s="226"/>
      <c r="D212" s="226">
        <v>1011</v>
      </c>
      <c r="E212" s="226">
        <v>1046</v>
      </c>
      <c r="F212" s="226">
        <v>1075</v>
      </c>
      <c r="G212" s="226">
        <v>1091</v>
      </c>
      <c r="H212" s="226">
        <v>1089</v>
      </c>
      <c r="I212" s="226">
        <v>1121</v>
      </c>
      <c r="J212" s="226">
        <v>1106</v>
      </c>
      <c r="K212" s="226">
        <v>1135</v>
      </c>
      <c r="L212" s="226">
        <v>1130</v>
      </c>
      <c r="M212" s="226">
        <v>1155</v>
      </c>
      <c r="N212" s="226">
        <v>1167</v>
      </c>
    </row>
    <row r="213" spans="1:14">
      <c r="A213" s="226" t="s">
        <v>2429</v>
      </c>
      <c r="B213" s="226">
        <v>57072</v>
      </c>
      <c r="C213" s="226"/>
      <c r="D213" s="226">
        <v>2638</v>
      </c>
      <c r="E213" s="226">
        <v>2664</v>
      </c>
      <c r="F213" s="226">
        <v>2680</v>
      </c>
      <c r="G213" s="226">
        <v>2692</v>
      </c>
      <c r="H213" s="226">
        <v>2726</v>
      </c>
      <c r="I213" s="226">
        <v>2727</v>
      </c>
      <c r="J213" s="226">
        <v>2721</v>
      </c>
      <c r="K213" s="226">
        <v>2750</v>
      </c>
      <c r="L213" s="226">
        <v>2757</v>
      </c>
      <c r="M213" s="226">
        <v>2759</v>
      </c>
      <c r="N213" s="226">
        <v>2795</v>
      </c>
    </row>
    <row r="214" spans="1:14">
      <c r="A214" s="226" t="s">
        <v>2430</v>
      </c>
      <c r="B214" s="226">
        <v>82038</v>
      </c>
      <c r="C214" s="226"/>
      <c r="D214" s="226">
        <v>1214</v>
      </c>
      <c r="E214" s="226">
        <v>1231</v>
      </c>
      <c r="F214" s="226">
        <v>1241</v>
      </c>
      <c r="G214" s="226">
        <v>1258</v>
      </c>
      <c r="H214" s="226">
        <v>1270</v>
      </c>
      <c r="I214" s="226">
        <v>1287</v>
      </c>
      <c r="J214" s="226">
        <v>1304</v>
      </c>
      <c r="K214" s="226">
        <v>1325</v>
      </c>
      <c r="L214" s="226">
        <v>1378</v>
      </c>
      <c r="M214" s="226">
        <v>1400</v>
      </c>
      <c r="N214" s="226">
        <v>1401</v>
      </c>
    </row>
    <row r="215" spans="1:14">
      <c r="A215" s="226" t="s">
        <v>2431</v>
      </c>
      <c r="B215" s="226">
        <v>64065</v>
      </c>
      <c r="C215" s="226"/>
      <c r="D215" s="226">
        <v>3409</v>
      </c>
      <c r="E215" s="226">
        <v>3487</v>
      </c>
      <c r="F215" s="226">
        <v>3543</v>
      </c>
      <c r="G215" s="226">
        <v>3585</v>
      </c>
      <c r="H215" s="226">
        <v>3596</v>
      </c>
      <c r="I215" s="226">
        <v>3635</v>
      </c>
      <c r="J215" s="226">
        <v>3681</v>
      </c>
      <c r="K215" s="226">
        <v>3745</v>
      </c>
      <c r="L215" s="226">
        <v>3810</v>
      </c>
      <c r="M215" s="226">
        <v>3912</v>
      </c>
      <c r="N215" s="226">
        <v>3986</v>
      </c>
    </row>
    <row r="216" spans="1:14">
      <c r="A216" s="226" t="s">
        <v>2432</v>
      </c>
      <c r="B216" s="226">
        <v>53070</v>
      </c>
      <c r="C216" s="226"/>
      <c r="D216" s="226">
        <v>11677</v>
      </c>
      <c r="E216" s="226">
        <v>11832</v>
      </c>
      <c r="F216" s="226">
        <v>11878</v>
      </c>
      <c r="G216" s="226">
        <v>12082</v>
      </c>
      <c r="H216" s="226">
        <v>12301</v>
      </c>
      <c r="I216" s="226">
        <v>12383</v>
      </c>
      <c r="J216" s="226">
        <v>12383</v>
      </c>
      <c r="K216" s="226">
        <v>12382</v>
      </c>
      <c r="L216" s="226">
        <v>12533</v>
      </c>
      <c r="M216" s="226">
        <v>12648</v>
      </c>
      <c r="N216" s="226">
        <v>12831</v>
      </c>
    </row>
    <row r="217" spans="1:14">
      <c r="A217" s="226" t="s">
        <v>2433</v>
      </c>
      <c r="B217" s="226">
        <v>84059</v>
      </c>
      <c r="C217" s="226"/>
      <c r="D217" s="226">
        <v>2723</v>
      </c>
      <c r="E217" s="226">
        <v>2704</v>
      </c>
      <c r="F217" s="226">
        <v>2718</v>
      </c>
      <c r="G217" s="226">
        <v>2745</v>
      </c>
      <c r="H217" s="226">
        <v>2767</v>
      </c>
      <c r="I217" s="226">
        <v>2804</v>
      </c>
      <c r="J217" s="226">
        <v>2846</v>
      </c>
      <c r="K217" s="226">
        <v>2868</v>
      </c>
      <c r="L217" s="226">
        <v>2854</v>
      </c>
      <c r="M217" s="226">
        <v>2880</v>
      </c>
      <c r="N217" s="226">
        <v>2902</v>
      </c>
    </row>
    <row r="218" spans="1:14">
      <c r="A218" s="226" t="s">
        <v>2434</v>
      </c>
      <c r="B218" s="226">
        <v>85034</v>
      </c>
      <c r="C218" s="226"/>
      <c r="D218" s="226">
        <v>1763</v>
      </c>
      <c r="E218" s="226">
        <v>1787</v>
      </c>
      <c r="F218" s="226">
        <v>1838</v>
      </c>
      <c r="G218" s="226">
        <v>1855</v>
      </c>
      <c r="H218" s="226">
        <v>1844</v>
      </c>
      <c r="I218" s="226">
        <v>1855</v>
      </c>
      <c r="J218" s="226">
        <v>1888</v>
      </c>
      <c r="K218" s="226">
        <v>1949</v>
      </c>
      <c r="L218" s="226">
        <v>1940</v>
      </c>
      <c r="M218" s="226">
        <v>1985</v>
      </c>
      <c r="N218" s="226">
        <v>2015</v>
      </c>
    </row>
    <row r="219" spans="1:14">
      <c r="A219" s="226" t="s">
        <v>2435</v>
      </c>
      <c r="B219" s="226">
        <v>62093</v>
      </c>
      <c r="C219" s="226"/>
      <c r="D219" s="226">
        <v>9826</v>
      </c>
      <c r="E219" s="226">
        <v>9975</v>
      </c>
      <c r="F219" s="226">
        <v>10004</v>
      </c>
      <c r="G219" s="226">
        <v>10117</v>
      </c>
      <c r="H219" s="226">
        <v>10283</v>
      </c>
      <c r="I219" s="226">
        <v>10271</v>
      </c>
      <c r="J219" s="226">
        <v>10250</v>
      </c>
      <c r="K219" s="226">
        <v>10346</v>
      </c>
      <c r="L219" s="226">
        <v>10280</v>
      </c>
      <c r="M219" s="226">
        <v>10339</v>
      </c>
      <c r="N219" s="226">
        <v>10505</v>
      </c>
    </row>
    <row r="220" spans="1:14">
      <c r="A220" s="226" t="s">
        <v>2436</v>
      </c>
      <c r="B220" s="226">
        <v>63067</v>
      </c>
      <c r="C220" s="226"/>
      <c r="D220" s="226">
        <v>5221</v>
      </c>
      <c r="E220" s="226">
        <v>5316</v>
      </c>
      <c r="F220" s="226">
        <v>5375</v>
      </c>
      <c r="G220" s="226">
        <v>5442</v>
      </c>
      <c r="H220" s="226">
        <v>5454</v>
      </c>
      <c r="I220" s="226">
        <v>5508</v>
      </c>
      <c r="J220" s="226">
        <v>5508</v>
      </c>
      <c r="K220" s="226">
        <v>5615</v>
      </c>
      <c r="L220" s="226">
        <v>5649</v>
      </c>
      <c r="M220" s="226">
        <v>5730</v>
      </c>
      <c r="N220" s="226">
        <v>5824</v>
      </c>
    </row>
    <row r="221" spans="1:14">
      <c r="A221" s="226" t="s">
        <v>2437</v>
      </c>
      <c r="B221" s="226">
        <v>92137</v>
      </c>
      <c r="C221" s="226"/>
      <c r="D221" s="226">
        <v>12584</v>
      </c>
      <c r="E221" s="226">
        <v>12723</v>
      </c>
      <c r="F221" s="226">
        <v>12888</v>
      </c>
      <c r="G221" s="226">
        <v>13077</v>
      </c>
      <c r="H221" s="226">
        <v>13209</v>
      </c>
      <c r="I221" s="226">
        <v>13418</v>
      </c>
      <c r="J221" s="226">
        <v>13318</v>
      </c>
      <c r="K221" s="226">
        <v>13472</v>
      </c>
      <c r="L221" s="226">
        <v>13592</v>
      </c>
      <c r="M221" s="226">
        <v>13766</v>
      </c>
      <c r="N221" s="226">
        <v>13958</v>
      </c>
    </row>
    <row r="222" spans="1:14">
      <c r="A222" s="226" t="s">
        <v>2438</v>
      </c>
      <c r="B222" s="226">
        <v>52063</v>
      </c>
      <c r="C222" s="226"/>
      <c r="D222" s="226">
        <v>5647</v>
      </c>
      <c r="E222" s="226">
        <v>5693</v>
      </c>
      <c r="F222" s="226">
        <v>5793</v>
      </c>
      <c r="G222" s="226">
        <v>5884</v>
      </c>
      <c r="H222" s="226">
        <v>6012</v>
      </c>
      <c r="I222" s="226">
        <v>6007</v>
      </c>
      <c r="J222" s="226">
        <v>6077</v>
      </c>
      <c r="K222" s="226">
        <v>6111</v>
      </c>
      <c r="L222" s="226">
        <v>6190</v>
      </c>
      <c r="M222" s="226">
        <v>6268</v>
      </c>
      <c r="N222" s="226">
        <v>6321</v>
      </c>
    </row>
    <row r="223" spans="1:14">
      <c r="A223" s="226" t="s">
        <v>2439</v>
      </c>
      <c r="B223" s="226">
        <v>62096</v>
      </c>
      <c r="C223" s="226"/>
      <c r="D223" s="226">
        <v>27222</v>
      </c>
      <c r="E223" s="226">
        <v>27390</v>
      </c>
      <c r="F223" s="226">
        <v>27574</v>
      </c>
      <c r="G223" s="226">
        <v>27871</v>
      </c>
      <c r="H223" s="226">
        <v>28170</v>
      </c>
      <c r="I223" s="226">
        <v>27964</v>
      </c>
      <c r="J223" s="226">
        <v>27812</v>
      </c>
      <c r="K223" s="226">
        <v>27941</v>
      </c>
      <c r="L223" s="226">
        <v>28036</v>
      </c>
      <c r="M223" s="226">
        <v>28251</v>
      </c>
      <c r="N223" s="226">
        <v>28717</v>
      </c>
    </row>
    <row r="224" spans="1:14">
      <c r="A224" s="226" t="s">
        <v>2440</v>
      </c>
      <c r="B224" s="226">
        <v>55039</v>
      </c>
      <c r="C224" s="226"/>
      <c r="D224" s="226">
        <v>4363</v>
      </c>
      <c r="E224" s="226">
        <v>4371</v>
      </c>
      <c r="F224" s="226">
        <v>4435</v>
      </c>
      <c r="G224" s="226">
        <v>4432</v>
      </c>
      <c r="H224" s="226">
        <v>4417</v>
      </c>
      <c r="I224" s="226">
        <v>4389</v>
      </c>
      <c r="J224" s="226">
        <v>4438</v>
      </c>
      <c r="K224" s="226">
        <v>4486</v>
      </c>
      <c r="L224" s="226">
        <v>4455</v>
      </c>
      <c r="M224" s="226">
        <v>4541</v>
      </c>
      <c r="N224" s="226">
        <v>4595</v>
      </c>
    </row>
    <row r="225" spans="1:14">
      <c r="A225" s="226" t="s">
        <v>2441</v>
      </c>
      <c r="B225" s="226">
        <v>56088</v>
      </c>
      <c r="C225" s="226"/>
      <c r="D225" s="226">
        <v>2624</v>
      </c>
      <c r="E225" s="226">
        <v>2606</v>
      </c>
      <c r="F225" s="226">
        <v>2621</v>
      </c>
      <c r="G225" s="226">
        <v>2644</v>
      </c>
      <c r="H225" s="226">
        <v>2653</v>
      </c>
      <c r="I225" s="226">
        <v>2647</v>
      </c>
      <c r="J225" s="226">
        <v>2616</v>
      </c>
      <c r="K225" s="226">
        <v>2671</v>
      </c>
      <c r="L225" s="226">
        <v>2725</v>
      </c>
      <c r="M225" s="226">
        <v>2744</v>
      </c>
      <c r="N225" s="226">
        <v>2712</v>
      </c>
    </row>
    <row r="226" spans="1:14">
      <c r="A226" s="226" t="s">
        <v>2442</v>
      </c>
      <c r="B226" s="226">
        <v>55040</v>
      </c>
      <c r="C226" s="226"/>
      <c r="D226" s="226">
        <v>12444</v>
      </c>
      <c r="E226" s="226">
        <v>12596</v>
      </c>
      <c r="F226" s="226">
        <v>12757</v>
      </c>
      <c r="G226" s="226">
        <v>12899</v>
      </c>
      <c r="H226" s="226">
        <v>13077</v>
      </c>
      <c r="I226" s="226">
        <v>13138</v>
      </c>
      <c r="J226" s="226">
        <v>13243</v>
      </c>
      <c r="K226" s="226">
        <v>13393</v>
      </c>
      <c r="L226" s="226">
        <v>13472</v>
      </c>
      <c r="M226" s="226">
        <v>13616</v>
      </c>
      <c r="N226" s="226">
        <v>13875</v>
      </c>
    </row>
    <row r="227" spans="1:14">
      <c r="A227" s="226" t="s">
        <v>2443</v>
      </c>
      <c r="B227" s="226">
        <v>92114</v>
      </c>
      <c r="C227" s="226"/>
      <c r="D227" s="226">
        <v>4248</v>
      </c>
      <c r="E227" s="226">
        <v>4254</v>
      </c>
      <c r="F227" s="226">
        <v>4302</v>
      </c>
      <c r="G227" s="226">
        <v>4359</v>
      </c>
      <c r="H227" s="226">
        <v>4460</v>
      </c>
      <c r="I227" s="226">
        <v>4462</v>
      </c>
      <c r="J227" s="226">
        <v>4448</v>
      </c>
      <c r="K227" s="226">
        <v>4472</v>
      </c>
      <c r="L227" s="226">
        <v>4478</v>
      </c>
      <c r="M227" s="226">
        <v>4480</v>
      </c>
      <c r="N227" s="226">
        <v>4532</v>
      </c>
    </row>
    <row r="228" spans="1:14">
      <c r="A228" s="226" t="s">
        <v>2444</v>
      </c>
      <c r="B228" s="226">
        <v>91120</v>
      </c>
      <c r="C228" s="226"/>
      <c r="D228" s="226">
        <v>2764</v>
      </c>
      <c r="E228" s="226">
        <v>2860</v>
      </c>
      <c r="F228" s="226">
        <v>2966</v>
      </c>
      <c r="G228" s="226">
        <v>2983</v>
      </c>
      <c r="H228" s="226">
        <v>3039</v>
      </c>
      <c r="I228" s="226">
        <v>3129</v>
      </c>
      <c r="J228" s="226">
        <v>3213</v>
      </c>
      <c r="K228" s="226">
        <v>3275</v>
      </c>
      <c r="L228" s="226">
        <v>3279</v>
      </c>
      <c r="M228" s="226">
        <v>3397</v>
      </c>
      <c r="N228" s="226">
        <v>3471</v>
      </c>
    </row>
    <row r="229" spans="1:14">
      <c r="A229" s="226" t="s">
        <v>2445</v>
      </c>
      <c r="B229" s="226">
        <v>62099</v>
      </c>
      <c r="C229" s="226"/>
      <c r="D229" s="226">
        <v>8499</v>
      </c>
      <c r="E229" s="226">
        <v>8625</v>
      </c>
      <c r="F229" s="226">
        <v>8762</v>
      </c>
      <c r="G229" s="226">
        <v>8974</v>
      </c>
      <c r="H229" s="226">
        <v>9137</v>
      </c>
      <c r="I229" s="226">
        <v>9196</v>
      </c>
      <c r="J229" s="226">
        <v>9192</v>
      </c>
      <c r="K229" s="226">
        <v>9419</v>
      </c>
      <c r="L229" s="226">
        <v>9537</v>
      </c>
      <c r="M229" s="226">
        <v>9580</v>
      </c>
      <c r="N229" s="226">
        <v>9705</v>
      </c>
    </row>
    <row r="230" spans="1:14">
      <c r="A230" s="226" t="s">
        <v>2446</v>
      </c>
      <c r="B230" s="226">
        <v>63072</v>
      </c>
      <c r="C230" s="226"/>
      <c r="D230" s="226">
        <v>4871</v>
      </c>
      <c r="E230" s="226">
        <v>4841</v>
      </c>
      <c r="F230" s="226">
        <v>4835</v>
      </c>
      <c r="G230" s="226">
        <v>4859</v>
      </c>
      <c r="H230" s="226">
        <v>4843</v>
      </c>
      <c r="I230" s="226">
        <v>4856</v>
      </c>
      <c r="J230" s="226">
        <v>4850</v>
      </c>
      <c r="K230" s="226">
        <v>4885</v>
      </c>
      <c r="L230" s="226">
        <v>4846</v>
      </c>
      <c r="M230" s="226">
        <v>4771</v>
      </c>
      <c r="N230" s="226">
        <v>4925</v>
      </c>
    </row>
    <row r="231" spans="1:14">
      <c r="A231" s="226" t="s">
        <v>2447</v>
      </c>
      <c r="B231" s="226">
        <v>62100</v>
      </c>
      <c r="C231" s="226"/>
      <c r="D231" s="226">
        <v>7867</v>
      </c>
      <c r="E231" s="226">
        <v>8020</v>
      </c>
      <c r="F231" s="226">
        <v>8088</v>
      </c>
      <c r="G231" s="226">
        <v>8243</v>
      </c>
      <c r="H231" s="226">
        <v>8360</v>
      </c>
      <c r="I231" s="226">
        <v>8508</v>
      </c>
      <c r="J231" s="226">
        <v>8629</v>
      </c>
      <c r="K231" s="226">
        <v>8684</v>
      </c>
      <c r="L231" s="226">
        <v>8891</v>
      </c>
      <c r="M231" s="226">
        <v>8936</v>
      </c>
      <c r="N231" s="226">
        <v>9016</v>
      </c>
    </row>
    <row r="232" spans="1:14">
      <c r="A232" s="226" t="s">
        <v>2448</v>
      </c>
      <c r="B232" s="226">
        <v>63073</v>
      </c>
      <c r="C232" s="226"/>
      <c r="D232" s="226">
        <v>3576</v>
      </c>
      <c r="E232" s="226">
        <v>3625</v>
      </c>
      <c r="F232" s="226">
        <v>3728</v>
      </c>
      <c r="G232" s="226">
        <v>3681</v>
      </c>
      <c r="H232" s="226">
        <v>3769</v>
      </c>
      <c r="I232" s="226">
        <v>3762</v>
      </c>
      <c r="J232" s="226">
        <v>3756</v>
      </c>
      <c r="K232" s="226">
        <v>3807</v>
      </c>
      <c r="L232" s="226">
        <v>3793</v>
      </c>
      <c r="M232" s="226">
        <v>3847</v>
      </c>
      <c r="N232" s="226">
        <v>3859</v>
      </c>
    </row>
    <row r="233" spans="1:14">
      <c r="A233" s="226" t="s">
        <v>2449</v>
      </c>
      <c r="B233" s="226">
        <v>63075</v>
      </c>
      <c r="C233" s="226"/>
      <c r="D233" s="226">
        <v>1634</v>
      </c>
      <c r="E233" s="226">
        <v>1672</v>
      </c>
      <c r="F233" s="226">
        <v>1694</v>
      </c>
      <c r="G233" s="226">
        <v>1698</v>
      </c>
      <c r="H233" s="226">
        <v>1712</v>
      </c>
      <c r="I233" s="226">
        <v>1736</v>
      </c>
      <c r="J233" s="226">
        <v>1774</v>
      </c>
      <c r="K233" s="226">
        <v>1812</v>
      </c>
      <c r="L233" s="226">
        <v>1791</v>
      </c>
      <c r="M233" s="226">
        <v>1853</v>
      </c>
      <c r="N233" s="226">
        <v>1871</v>
      </c>
    </row>
    <row r="234" spans="1:14">
      <c r="A234" s="226" t="s">
        <v>2450</v>
      </c>
      <c r="B234" s="226">
        <v>84068</v>
      </c>
      <c r="C234" s="226"/>
      <c r="D234" s="226">
        <v>1241</v>
      </c>
      <c r="E234" s="226">
        <v>1243</v>
      </c>
      <c r="F234" s="226">
        <v>1259</v>
      </c>
      <c r="G234" s="226">
        <v>1271</v>
      </c>
      <c r="H234" s="226">
        <v>1271</v>
      </c>
      <c r="I234" s="226">
        <v>1285</v>
      </c>
      <c r="J234" s="226">
        <v>1306</v>
      </c>
      <c r="K234" s="226">
        <v>1335</v>
      </c>
      <c r="L234" s="226">
        <v>1368</v>
      </c>
      <c r="M234" s="226">
        <v>1404</v>
      </c>
      <c r="N234" s="226">
        <v>1436</v>
      </c>
    </row>
    <row r="235" spans="1:14">
      <c r="A235" s="226" t="s">
        <v>2451</v>
      </c>
      <c r="B235" s="226">
        <v>83049</v>
      </c>
      <c r="C235" s="226"/>
      <c r="D235" s="226">
        <v>1483</v>
      </c>
      <c r="E235" s="226">
        <v>1492</v>
      </c>
      <c r="F235" s="226">
        <v>1499</v>
      </c>
      <c r="G235" s="226">
        <v>1510</v>
      </c>
      <c r="H235" s="226">
        <v>1509</v>
      </c>
      <c r="I235" s="226">
        <v>1546</v>
      </c>
      <c r="J235" s="226">
        <v>1550</v>
      </c>
      <c r="K235" s="226">
        <v>1587</v>
      </c>
      <c r="L235" s="226">
        <v>1601</v>
      </c>
      <c r="M235" s="226">
        <v>1586</v>
      </c>
      <c r="N235" s="226">
        <v>1612</v>
      </c>
    </row>
    <row r="236" spans="1:14">
      <c r="A236" s="226" t="s">
        <v>2452</v>
      </c>
      <c r="B236" s="226">
        <v>63076</v>
      </c>
      <c r="C236" s="226"/>
      <c r="D236" s="226">
        <v>6384</v>
      </c>
      <c r="E236" s="226">
        <v>6497</v>
      </c>
      <c r="F236" s="226">
        <v>6574</v>
      </c>
      <c r="G236" s="226">
        <v>6635</v>
      </c>
      <c r="H236" s="226">
        <v>6744</v>
      </c>
      <c r="I236" s="226">
        <v>6724</v>
      </c>
      <c r="J236" s="226">
        <v>6753</v>
      </c>
      <c r="K236" s="226">
        <v>6785</v>
      </c>
      <c r="L236" s="226">
        <v>6827</v>
      </c>
      <c r="M236" s="226">
        <v>6827</v>
      </c>
      <c r="N236" s="226">
        <v>6935</v>
      </c>
    </row>
    <row r="237" spans="1:14">
      <c r="A237" s="226" t="s">
        <v>2453</v>
      </c>
      <c r="B237" s="226">
        <v>63089</v>
      </c>
      <c r="C237" s="226"/>
      <c r="D237" s="226">
        <v>3165</v>
      </c>
      <c r="E237" s="226">
        <v>3240</v>
      </c>
      <c r="F237" s="226">
        <v>3299</v>
      </c>
      <c r="G237" s="226">
        <v>3394</v>
      </c>
      <c r="H237" s="226">
        <v>3488</v>
      </c>
      <c r="I237" s="226">
        <v>3523</v>
      </c>
      <c r="J237" s="226">
        <v>3488</v>
      </c>
      <c r="K237" s="226">
        <v>3508</v>
      </c>
      <c r="L237" s="226">
        <v>3524</v>
      </c>
      <c r="M237" s="226">
        <v>3589</v>
      </c>
      <c r="N237" s="226">
        <v>3680</v>
      </c>
    </row>
    <row r="238" spans="1:14">
      <c r="A238" s="226" t="s">
        <v>2454</v>
      </c>
      <c r="B238" s="226">
        <v>56078</v>
      </c>
      <c r="C238" s="226"/>
      <c r="D238" s="226">
        <v>7850</v>
      </c>
      <c r="E238" s="226">
        <v>7934</v>
      </c>
      <c r="F238" s="226">
        <v>8150</v>
      </c>
      <c r="G238" s="226">
        <v>8206</v>
      </c>
      <c r="H238" s="226">
        <v>8251</v>
      </c>
      <c r="I238" s="226">
        <v>8280</v>
      </c>
      <c r="J238" s="226">
        <v>8413</v>
      </c>
      <c r="K238" s="226">
        <v>8486</v>
      </c>
      <c r="L238" s="226">
        <v>8464</v>
      </c>
      <c r="M238" s="226">
        <v>8607</v>
      </c>
      <c r="N238" s="226">
        <v>8701</v>
      </c>
    </row>
    <row r="239" spans="1:14">
      <c r="A239" s="226" t="s">
        <v>2455</v>
      </c>
      <c r="B239" s="226">
        <v>61081</v>
      </c>
      <c r="C239" s="226"/>
      <c r="D239" s="226">
        <v>1438</v>
      </c>
      <c r="E239" s="226">
        <v>1448</v>
      </c>
      <c r="F239" s="226">
        <v>1464</v>
      </c>
      <c r="G239" s="226">
        <v>1509</v>
      </c>
      <c r="H239" s="226">
        <v>1528</v>
      </c>
      <c r="I239" s="226">
        <v>1688</v>
      </c>
      <c r="J239" s="226">
        <v>1698</v>
      </c>
      <c r="K239" s="226">
        <v>1742</v>
      </c>
      <c r="L239" s="226">
        <v>1744</v>
      </c>
      <c r="M239" s="226">
        <v>1772</v>
      </c>
      <c r="N239" s="226">
        <v>1792</v>
      </c>
    </row>
    <row r="240" spans="1:14">
      <c r="A240" s="226" t="s">
        <v>2456</v>
      </c>
      <c r="B240" s="226">
        <v>85039</v>
      </c>
      <c r="C240" s="226"/>
      <c r="D240" s="226">
        <v>2069</v>
      </c>
      <c r="E240" s="226">
        <v>2165</v>
      </c>
      <c r="F240" s="226">
        <v>2185</v>
      </c>
      <c r="G240" s="226">
        <v>2215</v>
      </c>
      <c r="H240" s="226">
        <v>2242</v>
      </c>
      <c r="I240" s="226">
        <v>2259</v>
      </c>
      <c r="J240" s="226">
        <v>2276</v>
      </c>
      <c r="K240" s="226">
        <v>2353</v>
      </c>
      <c r="L240" s="226">
        <v>2415</v>
      </c>
      <c r="M240" s="226">
        <v>2465</v>
      </c>
      <c r="N240" s="226">
        <v>2523</v>
      </c>
    </row>
    <row r="241" spans="1:14">
      <c r="A241" s="226" t="s">
        <v>2457</v>
      </c>
      <c r="B241" s="226">
        <v>57081</v>
      </c>
      <c r="C241" s="226"/>
      <c r="D241" s="226">
        <v>33266</v>
      </c>
      <c r="E241" s="226">
        <v>33587</v>
      </c>
      <c r="F241" s="226">
        <v>33750</v>
      </c>
      <c r="G241" s="226">
        <v>34028</v>
      </c>
      <c r="H241" s="226">
        <v>34293</v>
      </c>
      <c r="I241" s="226">
        <v>34365</v>
      </c>
      <c r="J241" s="226">
        <v>34311</v>
      </c>
      <c r="K241" s="226">
        <v>34320</v>
      </c>
      <c r="L241" s="226">
        <v>34227</v>
      </c>
      <c r="M241" s="226">
        <v>34258</v>
      </c>
      <c r="N241" s="226">
        <v>34483</v>
      </c>
    </row>
    <row r="242" spans="1:14">
      <c r="A242" s="226" t="s">
        <v>2458</v>
      </c>
      <c r="B242" s="226">
        <v>63086</v>
      </c>
      <c r="C242" s="226"/>
      <c r="D242" s="226">
        <v>1343</v>
      </c>
      <c r="E242" s="226">
        <v>1349</v>
      </c>
      <c r="F242" s="226">
        <v>1370</v>
      </c>
      <c r="G242" s="226">
        <v>1355</v>
      </c>
      <c r="H242" s="226">
        <v>1383</v>
      </c>
      <c r="I242" s="226">
        <v>1427</v>
      </c>
      <c r="J242" s="226">
        <v>1407</v>
      </c>
      <c r="K242" s="226">
        <v>1438</v>
      </c>
      <c r="L242" s="226">
        <v>1442</v>
      </c>
      <c r="M242" s="226">
        <v>1450</v>
      </c>
      <c r="N242" s="226">
        <v>1480</v>
      </c>
    </row>
    <row r="243" spans="1:14">
      <c r="A243" s="226" t="s">
        <v>2459</v>
      </c>
      <c r="B243" s="226">
        <v>62122</v>
      </c>
      <c r="C243" s="226"/>
      <c r="D243" s="226">
        <v>4181</v>
      </c>
      <c r="E243" s="226">
        <v>4258</v>
      </c>
      <c r="F243" s="226">
        <v>4306</v>
      </c>
      <c r="G243" s="226">
        <v>4345</v>
      </c>
      <c r="H243" s="226">
        <v>4362</v>
      </c>
      <c r="I243" s="226">
        <v>4398</v>
      </c>
      <c r="J243" s="226">
        <v>4444</v>
      </c>
      <c r="K243" s="226">
        <v>4401</v>
      </c>
      <c r="L243" s="226">
        <v>4241</v>
      </c>
      <c r="M243" s="226">
        <v>4418</v>
      </c>
      <c r="N243" s="226">
        <v>4472</v>
      </c>
    </row>
    <row r="244" spans="1:14">
      <c r="A244" s="226" t="s">
        <v>2460</v>
      </c>
      <c r="B244" s="226">
        <v>25105</v>
      </c>
      <c r="C244" s="226"/>
      <c r="D244" s="226">
        <v>11567</v>
      </c>
      <c r="E244" s="226">
        <v>11703</v>
      </c>
      <c r="F244" s="226">
        <v>11941</v>
      </c>
      <c r="G244" s="226">
        <v>12092</v>
      </c>
      <c r="H244" s="226">
        <v>12326</v>
      </c>
      <c r="I244" s="226">
        <v>12498</v>
      </c>
      <c r="J244" s="226">
        <v>12711</v>
      </c>
      <c r="K244" s="226">
        <v>13061</v>
      </c>
      <c r="L244" s="226">
        <v>12956</v>
      </c>
      <c r="M244" s="226">
        <v>13137</v>
      </c>
      <c r="N244" s="226">
        <v>13438</v>
      </c>
    </row>
    <row r="245" spans="1:14">
      <c r="A245" s="226" t="s">
        <v>2461</v>
      </c>
      <c r="B245" s="226">
        <v>82036</v>
      </c>
      <c r="C245" s="226"/>
      <c r="D245" s="226">
        <v>2622</v>
      </c>
      <c r="E245" s="226">
        <v>2696</v>
      </c>
      <c r="F245" s="226">
        <v>2801</v>
      </c>
      <c r="G245" s="226">
        <v>2871</v>
      </c>
      <c r="H245" s="226">
        <v>2918</v>
      </c>
      <c r="I245" s="226">
        <v>2929</v>
      </c>
      <c r="J245" s="226">
        <v>2957</v>
      </c>
      <c r="K245" s="226">
        <v>3069</v>
      </c>
      <c r="L245" s="226">
        <v>3113</v>
      </c>
      <c r="M245" s="226">
        <v>3198</v>
      </c>
      <c r="N245" s="226">
        <v>3299</v>
      </c>
    </row>
    <row r="246" spans="1:14">
      <c r="A246" s="226" t="s">
        <v>2462</v>
      </c>
      <c r="B246" s="226">
        <v>61063</v>
      </c>
      <c r="C246" s="226"/>
      <c r="D246" s="226">
        <v>2168</v>
      </c>
      <c r="E246" s="226">
        <v>2281</v>
      </c>
      <c r="F246" s="226">
        <v>2314</v>
      </c>
      <c r="G246" s="226">
        <v>2382</v>
      </c>
      <c r="H246" s="226">
        <v>2440</v>
      </c>
      <c r="I246" s="226">
        <v>2487</v>
      </c>
      <c r="J246" s="226">
        <v>2467</v>
      </c>
      <c r="K246" s="226">
        <v>2537</v>
      </c>
      <c r="L246" s="226">
        <v>2634</v>
      </c>
      <c r="M246" s="226">
        <v>2625</v>
      </c>
      <c r="N246" s="226">
        <v>2680</v>
      </c>
    </row>
    <row r="247" spans="1:14">
      <c r="A247" s="226" t="s">
        <v>2463</v>
      </c>
      <c r="B247" s="226">
        <v>63079</v>
      </c>
      <c r="C247" s="226"/>
      <c r="D247" s="226">
        <v>22526</v>
      </c>
      <c r="E247" s="226">
        <v>22548</v>
      </c>
      <c r="F247" s="226">
        <v>22911</v>
      </c>
      <c r="G247" s="226">
        <v>23105</v>
      </c>
      <c r="H247" s="226">
        <v>23278</v>
      </c>
      <c r="I247" s="226">
        <v>23308</v>
      </c>
      <c r="J247" s="226">
        <v>23228</v>
      </c>
      <c r="K247" s="226">
        <v>23512</v>
      </c>
      <c r="L247" s="226">
        <v>23446</v>
      </c>
      <c r="M247" s="226">
        <v>23795</v>
      </c>
      <c r="N247" s="226">
        <v>23981</v>
      </c>
    </row>
    <row r="248" spans="1:14">
      <c r="A248" s="226" t="s">
        <v>2464</v>
      </c>
      <c r="B248" s="226">
        <v>82032</v>
      </c>
      <c r="C248" s="226"/>
      <c r="D248" s="226">
        <v>3700</v>
      </c>
      <c r="E248" s="226">
        <v>3727</v>
      </c>
      <c r="F248" s="226">
        <v>3793</v>
      </c>
      <c r="G248" s="226">
        <v>3867</v>
      </c>
      <c r="H248" s="226">
        <v>3928</v>
      </c>
      <c r="I248" s="226">
        <v>3960</v>
      </c>
      <c r="J248" s="226">
        <v>4003</v>
      </c>
      <c r="K248" s="226">
        <v>4056</v>
      </c>
      <c r="L248" s="226">
        <v>4117</v>
      </c>
      <c r="M248" s="226">
        <v>4173</v>
      </c>
      <c r="N248" s="226">
        <v>4184</v>
      </c>
    </row>
    <row r="249" spans="1:14">
      <c r="A249" s="226" t="s">
        <v>2465</v>
      </c>
      <c r="B249" s="226">
        <v>25107</v>
      </c>
      <c r="C249" s="226"/>
      <c r="D249" s="226">
        <v>5233</v>
      </c>
      <c r="E249" s="226">
        <v>5351</v>
      </c>
      <c r="F249" s="226">
        <v>5404</v>
      </c>
      <c r="G249" s="226">
        <v>5407</v>
      </c>
      <c r="H249" s="226">
        <v>5508</v>
      </c>
      <c r="I249" s="226">
        <v>5537</v>
      </c>
      <c r="J249" s="226">
        <v>5558</v>
      </c>
      <c r="K249" s="226">
        <v>5681</v>
      </c>
      <c r="L249" s="226">
        <v>5715</v>
      </c>
      <c r="M249" s="226">
        <v>5758</v>
      </c>
      <c r="N249" s="226">
        <v>5839</v>
      </c>
    </row>
    <row r="250" spans="1:14">
      <c r="A250" s="226" t="s">
        <v>2466</v>
      </c>
      <c r="B250" s="226">
        <v>61068</v>
      </c>
      <c r="C250" s="226"/>
      <c r="D250" s="226">
        <v>3482</v>
      </c>
      <c r="E250" s="226">
        <v>3531</v>
      </c>
      <c r="F250" s="226">
        <v>3580</v>
      </c>
      <c r="G250" s="226">
        <v>3605</v>
      </c>
      <c r="H250" s="226">
        <v>3667</v>
      </c>
      <c r="I250" s="226">
        <v>3702</v>
      </c>
      <c r="J250" s="226">
        <v>3680</v>
      </c>
      <c r="K250" s="226">
        <v>3727</v>
      </c>
      <c r="L250" s="226">
        <v>3819</v>
      </c>
      <c r="M250" s="226">
        <v>3901</v>
      </c>
      <c r="N250" s="226">
        <v>3976</v>
      </c>
    </row>
    <row r="251" spans="1:14">
      <c r="A251" s="226" t="s">
        <v>2467</v>
      </c>
      <c r="B251" s="226">
        <v>93090</v>
      </c>
      <c r="C251" s="226"/>
      <c r="D251" s="226">
        <v>2816</v>
      </c>
      <c r="E251" s="226">
        <v>2885</v>
      </c>
      <c r="F251" s="226">
        <v>2900</v>
      </c>
      <c r="G251" s="226">
        <v>2918</v>
      </c>
      <c r="H251" s="226">
        <v>2907</v>
      </c>
      <c r="I251" s="226">
        <v>2953</v>
      </c>
      <c r="J251" s="226">
        <v>2948</v>
      </c>
      <c r="K251" s="226">
        <v>2996</v>
      </c>
      <c r="L251" s="226">
        <v>3023</v>
      </c>
      <c r="M251" s="226">
        <v>3022</v>
      </c>
      <c r="N251" s="226">
        <v>3028</v>
      </c>
    </row>
    <row r="252" spans="1:14">
      <c r="A252" s="226" t="s">
        <v>2468</v>
      </c>
      <c r="B252" s="226">
        <v>85045</v>
      </c>
      <c r="C252" s="226"/>
      <c r="D252" s="226">
        <v>5715</v>
      </c>
      <c r="E252" s="226">
        <v>5752</v>
      </c>
      <c r="F252" s="226">
        <v>5859</v>
      </c>
      <c r="G252" s="226">
        <v>5862</v>
      </c>
      <c r="H252" s="226">
        <v>5900</v>
      </c>
      <c r="I252" s="226">
        <v>5859</v>
      </c>
      <c r="J252" s="226">
        <v>5885</v>
      </c>
      <c r="K252" s="226">
        <v>5899</v>
      </c>
      <c r="L252" s="226">
        <v>5951</v>
      </c>
      <c r="M252" s="226">
        <v>5976</v>
      </c>
      <c r="N252" s="226">
        <v>6003</v>
      </c>
    </row>
    <row r="253" spans="1:14">
      <c r="A253" s="226" t="s">
        <v>2469</v>
      </c>
      <c r="B253" s="226">
        <v>62108</v>
      </c>
      <c r="C253" s="226"/>
      <c r="D253" s="226">
        <v>8414</v>
      </c>
      <c r="E253" s="226">
        <v>8545</v>
      </c>
      <c r="F253" s="226">
        <v>8709</v>
      </c>
      <c r="G253" s="226">
        <v>8760</v>
      </c>
      <c r="H253" s="226">
        <v>8931</v>
      </c>
      <c r="I253" s="226">
        <v>8918</v>
      </c>
      <c r="J253" s="226">
        <v>8947</v>
      </c>
      <c r="K253" s="226">
        <v>9032</v>
      </c>
      <c r="L253" s="226">
        <v>9170</v>
      </c>
      <c r="M253" s="226">
        <v>9278</v>
      </c>
      <c r="N253" s="226">
        <v>9342</v>
      </c>
    </row>
    <row r="254" spans="1:14">
      <c r="A254" s="226" t="s">
        <v>2470</v>
      </c>
      <c r="B254" s="226">
        <v>91143</v>
      </c>
      <c r="C254" s="226"/>
      <c r="D254" s="226">
        <v>1296</v>
      </c>
      <c r="E254" s="226">
        <v>1296</v>
      </c>
      <c r="F254" s="226">
        <v>1296</v>
      </c>
      <c r="G254" s="226">
        <v>1340</v>
      </c>
      <c r="H254" s="226">
        <v>1335</v>
      </c>
      <c r="I254" s="226">
        <v>1337</v>
      </c>
      <c r="J254" s="226">
        <v>1338</v>
      </c>
      <c r="K254" s="226">
        <v>1351</v>
      </c>
      <c r="L254" s="226">
        <v>1346</v>
      </c>
      <c r="M254" s="226">
        <v>1344</v>
      </c>
      <c r="N254" s="226">
        <v>1350</v>
      </c>
    </row>
    <row r="255" spans="1:14">
      <c r="A255" s="226" t="s">
        <v>2471</v>
      </c>
      <c r="B255" s="226">
        <v>63080</v>
      </c>
      <c r="C255" s="226"/>
      <c r="D255" s="226">
        <v>3624</v>
      </c>
      <c r="E255" s="226">
        <v>3716</v>
      </c>
      <c r="F255" s="226">
        <v>3751</v>
      </c>
      <c r="G255" s="226">
        <v>3804</v>
      </c>
      <c r="H255" s="226">
        <v>3869</v>
      </c>
      <c r="I255" s="226">
        <v>3882</v>
      </c>
      <c r="J255" s="226">
        <v>3882</v>
      </c>
      <c r="K255" s="226">
        <v>3954</v>
      </c>
      <c r="L255" s="226">
        <v>3966</v>
      </c>
      <c r="M255" s="226">
        <v>4054</v>
      </c>
      <c r="N255" s="226">
        <v>4064</v>
      </c>
    </row>
    <row r="256" spans="1:14">
      <c r="A256" s="226" t="s">
        <v>2472</v>
      </c>
      <c r="B256" s="226">
        <v>93088</v>
      </c>
      <c r="C256" s="226"/>
      <c r="D256" s="226">
        <v>9524</v>
      </c>
      <c r="E256" s="226">
        <v>9661</v>
      </c>
      <c r="F256" s="226">
        <v>9707</v>
      </c>
      <c r="G256" s="226">
        <v>9830</v>
      </c>
      <c r="H256" s="226">
        <v>9934</v>
      </c>
      <c r="I256" s="226">
        <v>10005</v>
      </c>
      <c r="J256" s="226">
        <v>9966</v>
      </c>
      <c r="K256" s="226">
        <v>9977</v>
      </c>
      <c r="L256" s="226">
        <v>10116</v>
      </c>
      <c r="M256" s="226">
        <v>10229</v>
      </c>
      <c r="N256" s="226">
        <v>10382</v>
      </c>
    </row>
    <row r="257" spans="1:14">
      <c r="A257" s="226" t="s">
        <v>2473</v>
      </c>
      <c r="B257" s="226">
        <v>25124</v>
      </c>
      <c r="C257" s="226"/>
      <c r="D257" s="226">
        <v>3495</v>
      </c>
      <c r="E257" s="226">
        <v>3495</v>
      </c>
      <c r="F257" s="226">
        <v>3600</v>
      </c>
      <c r="G257" s="226">
        <v>3601</v>
      </c>
      <c r="H257" s="226">
        <v>3697</v>
      </c>
      <c r="I257" s="226">
        <v>3734</v>
      </c>
      <c r="J257" s="226">
        <v>3774</v>
      </c>
      <c r="K257" s="226">
        <v>3827</v>
      </c>
      <c r="L257" s="226">
        <v>3837</v>
      </c>
      <c r="M257" s="226">
        <v>3857</v>
      </c>
      <c r="N257" s="226">
        <v>3949</v>
      </c>
    </row>
    <row r="258" spans="1:14">
      <c r="A258" s="226" t="s">
        <v>2474</v>
      </c>
      <c r="B258" s="226">
        <v>61072</v>
      </c>
      <c r="C258" s="226"/>
      <c r="D258" s="226">
        <v>6952</v>
      </c>
      <c r="E258" s="226">
        <v>7038</v>
      </c>
      <c r="F258" s="226">
        <v>7173</v>
      </c>
      <c r="G258" s="226">
        <v>7254</v>
      </c>
      <c r="H258" s="226">
        <v>7349</v>
      </c>
      <c r="I258" s="226">
        <v>7375</v>
      </c>
      <c r="J258" s="226">
        <v>7383</v>
      </c>
      <c r="K258" s="226">
        <v>7426</v>
      </c>
      <c r="L258" s="226">
        <v>7552</v>
      </c>
      <c r="M258" s="226">
        <v>7553</v>
      </c>
      <c r="N258" s="226">
        <v>7638</v>
      </c>
    </row>
    <row r="259" spans="1:14">
      <c r="A259" s="226" t="s">
        <v>2475</v>
      </c>
      <c r="B259" s="226">
        <v>64074</v>
      </c>
      <c r="C259" s="226"/>
      <c r="D259" s="226">
        <v>7110</v>
      </c>
      <c r="E259" s="226">
        <v>7311</v>
      </c>
      <c r="F259" s="226">
        <v>7412</v>
      </c>
      <c r="G259" s="226">
        <v>7447</v>
      </c>
      <c r="H259" s="226">
        <v>7560</v>
      </c>
      <c r="I259" s="226">
        <v>7617</v>
      </c>
      <c r="J259" s="226">
        <v>7551</v>
      </c>
      <c r="K259" s="226">
        <v>7550</v>
      </c>
      <c r="L259" s="226">
        <v>7596</v>
      </c>
      <c r="M259" s="226">
        <v>7647</v>
      </c>
      <c r="N259" s="226">
        <v>7717</v>
      </c>
    </row>
    <row r="260" spans="1:14">
      <c r="A260" s="226" t="s">
        <v>2476</v>
      </c>
      <c r="B260" s="226">
        <v>64075</v>
      </c>
      <c r="C260" s="226"/>
      <c r="D260" s="226">
        <v>1374</v>
      </c>
      <c r="E260" s="226">
        <v>1418</v>
      </c>
      <c r="F260" s="226">
        <v>1431</v>
      </c>
      <c r="G260" s="226">
        <v>1456</v>
      </c>
      <c r="H260" s="226">
        <v>1487</v>
      </c>
      <c r="I260" s="226">
        <v>1496</v>
      </c>
      <c r="J260" s="226">
        <v>1493</v>
      </c>
      <c r="K260" s="226">
        <v>1560</v>
      </c>
      <c r="L260" s="226">
        <v>1593</v>
      </c>
      <c r="M260" s="226">
        <v>1650</v>
      </c>
      <c r="N260" s="226">
        <v>1699</v>
      </c>
    </row>
    <row r="261" spans="1:14">
      <c r="A261" s="226" t="s">
        <v>2477</v>
      </c>
      <c r="B261" s="226">
        <v>25110</v>
      </c>
      <c r="C261" s="226"/>
      <c r="D261" s="226">
        <v>16665</v>
      </c>
      <c r="E261" s="226">
        <v>16897</v>
      </c>
      <c r="F261" s="226">
        <v>17112</v>
      </c>
      <c r="G261" s="226">
        <v>17274</v>
      </c>
      <c r="H261" s="226">
        <v>17459</v>
      </c>
      <c r="I261" s="226">
        <v>17346</v>
      </c>
      <c r="J261" s="226">
        <v>17626</v>
      </c>
      <c r="K261" s="226">
        <v>17464</v>
      </c>
      <c r="L261" s="226">
        <v>17303</v>
      </c>
      <c r="M261" s="226">
        <v>17250</v>
      </c>
      <c r="N261" s="226">
        <v>17349</v>
      </c>
    </row>
    <row r="262" spans="1:14">
      <c r="A262" s="226" t="s">
        <v>2478</v>
      </c>
      <c r="B262" s="226">
        <v>25112</v>
      </c>
      <c r="C262" s="226"/>
      <c r="D262" s="226">
        <v>18193</v>
      </c>
      <c r="E262" s="226">
        <v>18402</v>
      </c>
      <c r="F262" s="226">
        <v>18690</v>
      </c>
      <c r="G262" s="226">
        <v>18884</v>
      </c>
      <c r="H262" s="226">
        <v>19071</v>
      </c>
      <c r="I262" s="226">
        <v>19091</v>
      </c>
      <c r="J262" s="226">
        <v>19038</v>
      </c>
      <c r="K262" s="226">
        <v>19164</v>
      </c>
      <c r="L262" s="226">
        <v>19351</v>
      </c>
      <c r="M262" s="226">
        <v>19430</v>
      </c>
      <c r="N262" s="226">
        <v>19404</v>
      </c>
    </row>
    <row r="263" spans="1:14">
      <c r="A263" s="226" t="s">
        <v>2479</v>
      </c>
      <c r="B263" s="226">
        <v>63084</v>
      </c>
      <c r="C263" s="226"/>
      <c r="D263" s="226">
        <v>4859</v>
      </c>
      <c r="E263" s="226">
        <v>4918</v>
      </c>
      <c r="F263" s="226">
        <v>5006</v>
      </c>
      <c r="G263" s="226">
        <v>5051</v>
      </c>
      <c r="H263" s="226">
        <v>5165</v>
      </c>
      <c r="I263" s="226">
        <v>5164</v>
      </c>
      <c r="J263" s="226">
        <v>5229</v>
      </c>
      <c r="K263" s="226">
        <v>5300</v>
      </c>
      <c r="L263" s="226">
        <v>5419</v>
      </c>
      <c r="M263" s="226">
        <v>5438</v>
      </c>
      <c r="N263" s="226">
        <v>5492</v>
      </c>
    </row>
    <row r="264" spans="1:14">
      <c r="A264" s="226" t="s">
        <v>2480</v>
      </c>
      <c r="B264" s="226">
        <v>84075</v>
      </c>
      <c r="C264" s="226"/>
      <c r="D264" s="226">
        <v>1480</v>
      </c>
      <c r="E264" s="226">
        <v>1478</v>
      </c>
      <c r="F264" s="226">
        <v>1502</v>
      </c>
      <c r="G264" s="226">
        <v>1507</v>
      </c>
      <c r="H264" s="226">
        <v>1534</v>
      </c>
      <c r="I264" s="226">
        <v>1576</v>
      </c>
      <c r="J264" s="226">
        <v>1568</v>
      </c>
      <c r="K264" s="226">
        <v>1592</v>
      </c>
      <c r="L264" s="226">
        <v>1622</v>
      </c>
      <c r="M264" s="226">
        <v>1654</v>
      </c>
      <c r="N264" s="226">
        <v>1695</v>
      </c>
    </row>
    <row r="265" spans="1:14">
      <c r="A265" s="226" t="s">
        <v>2481</v>
      </c>
      <c r="B265" s="226">
        <v>91141</v>
      </c>
      <c r="C265" s="226"/>
      <c r="D265" s="226">
        <v>4558</v>
      </c>
      <c r="E265" s="226">
        <v>4655</v>
      </c>
      <c r="F265" s="226">
        <v>4677</v>
      </c>
      <c r="G265" s="226">
        <v>4728</v>
      </c>
      <c r="H265" s="226">
        <v>4802</v>
      </c>
      <c r="I265" s="226">
        <v>4810</v>
      </c>
      <c r="J265" s="226">
        <v>4831</v>
      </c>
      <c r="K265" s="226">
        <v>4857</v>
      </c>
      <c r="L265" s="226">
        <v>4917</v>
      </c>
      <c r="M265" s="226">
        <v>4966</v>
      </c>
      <c r="N265" s="226">
        <v>4993</v>
      </c>
    </row>
  </sheetData>
  <sheetProtection formatRows="0"/>
  <autoFilter ref="A3:K3" xr:uid="{00000000-0001-0000-1C00-000000000000}">
    <sortState xmlns:xlrd2="http://schemas.microsoft.com/office/spreadsheetml/2017/richdata2" ref="A4:K265">
      <sortCondition ref="A3"/>
    </sortState>
  </autoFilter>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EB984-D16B-46DD-A348-DD1A4CBE918F}">
  <sheetPr codeName="Feuil6">
    <tabColor theme="8" tint="0.79998168889431442"/>
  </sheetPr>
  <dimension ref="A1:S75"/>
  <sheetViews>
    <sheetView showGridLines="0" zoomScale="90" zoomScaleNormal="90" workbookViewId="0">
      <selection activeCell="L57" sqref="L57"/>
    </sheetView>
  </sheetViews>
  <sheetFormatPr baseColWidth="10" defaultColWidth="11.44140625" defaultRowHeight="14.4"/>
  <cols>
    <col min="1" max="1" width="28.5546875" customWidth="1"/>
    <col min="2" max="2" width="7.44140625" customWidth="1"/>
    <col min="3" max="3" width="37" customWidth="1"/>
    <col min="4" max="4" width="18.5546875" customWidth="1"/>
    <col min="5" max="5" width="16.5546875" customWidth="1"/>
    <col min="6" max="6" width="12.5546875" customWidth="1"/>
    <col min="7" max="7" width="12" customWidth="1"/>
    <col min="8" max="8" width="11.44140625" customWidth="1"/>
    <col min="9" max="9" width="11.88671875" bestFit="1" customWidth="1"/>
    <col min="10" max="10" width="14.88671875" customWidth="1"/>
    <col min="11" max="11" width="11.5546875" bestFit="1" customWidth="1"/>
    <col min="13" max="19" width="0" hidden="1" customWidth="1"/>
  </cols>
  <sheetData>
    <row r="1" spans="2:17" ht="155.4" customHeight="1"/>
    <row r="2" spans="2:17">
      <c r="G2" s="2278" t="s">
        <v>1855</v>
      </c>
      <c r="H2" s="2279"/>
      <c r="I2" s="2279"/>
      <c r="J2" s="2279"/>
      <c r="K2" s="2280"/>
    </row>
    <row r="3" spans="2:17" ht="54" customHeight="1">
      <c r="C3" s="2249" t="s">
        <v>1984</v>
      </c>
      <c r="D3" s="2249"/>
      <c r="E3" s="2249"/>
      <c r="F3" s="2249"/>
    </row>
    <row r="5" spans="2:17" ht="30.6" customHeight="1" thickBot="1">
      <c r="C5" s="2286" t="s">
        <v>1985</v>
      </c>
      <c r="D5" s="2294" t="s">
        <v>1986</v>
      </c>
      <c r="E5" s="2287" t="s">
        <v>1987</v>
      </c>
      <c r="F5" s="2284"/>
      <c r="G5" s="2284"/>
      <c r="H5" s="2285"/>
      <c r="I5" s="2287" t="s">
        <v>1988</v>
      </c>
      <c r="J5" s="2284"/>
      <c r="K5" s="2285"/>
      <c r="M5" s="2061">
        <v>2006</v>
      </c>
      <c r="N5" s="2061"/>
      <c r="O5" s="2061">
        <f>Accueil!E29</f>
        <v>0</v>
      </c>
      <c r="P5" s="2061"/>
      <c r="Q5">
        <v>2030</v>
      </c>
    </row>
    <row r="6" spans="2:17" ht="58.2" thickBot="1">
      <c r="C6" s="2286"/>
      <c r="D6" s="2294"/>
      <c r="E6" s="723" t="s">
        <v>1989</v>
      </c>
      <c r="F6" s="723" t="s">
        <v>1241</v>
      </c>
      <c r="G6" s="723" t="s">
        <v>1307</v>
      </c>
      <c r="H6" s="723" t="s">
        <v>1990</v>
      </c>
      <c r="I6" s="723" t="s">
        <v>1991</v>
      </c>
      <c r="J6" s="723" t="s">
        <v>1081</v>
      </c>
      <c r="K6" s="723" t="s">
        <v>1992</v>
      </c>
      <c r="M6" s="839" t="s">
        <v>237</v>
      </c>
      <c r="N6" s="839" t="s">
        <v>184</v>
      </c>
      <c r="O6" s="839" t="s">
        <v>237</v>
      </c>
      <c r="P6" s="839" t="s">
        <v>184</v>
      </c>
      <c r="Q6" s="839" t="s">
        <v>237</v>
      </c>
    </row>
    <row r="7" spans="2:17" ht="15" thickBot="1">
      <c r="C7" s="2285"/>
      <c r="D7" s="2294"/>
      <c r="E7" s="650" t="s">
        <v>1863</v>
      </c>
      <c r="F7" s="650" t="s">
        <v>1863</v>
      </c>
      <c r="G7" s="650" t="s">
        <v>1863</v>
      </c>
      <c r="H7" s="650" t="s">
        <v>1863</v>
      </c>
      <c r="I7" s="650" t="s">
        <v>1993</v>
      </c>
      <c r="J7" s="650" t="s">
        <v>1993</v>
      </c>
      <c r="K7" s="650" t="s">
        <v>1994</v>
      </c>
    </row>
    <row r="8" spans="2:17" ht="15" thickBot="1">
      <c r="B8" s="55" t="s">
        <v>200</v>
      </c>
      <c r="C8" s="1028" t="s">
        <v>925</v>
      </c>
      <c r="D8" s="1031">
        <f ca="1">COUNTIF(Actions!H2:H70,"Administration communale")+COUNTIF(Actions!H2:H70,"Eclairage public")</f>
        <v>0</v>
      </c>
      <c r="E8" s="1032">
        <f ca="1">IF(D8=0,0,(COUNTIFS(Actions!$H$2:$H$70,B8,Actions!$AA$2:$AA$70,"Finalisée")+COUNTIFS(Actions!$H$2:$H$70,"Eclairage public",Actions!$AA$2:$AA$70,"Finalisée"))/$D8*100)</f>
        <v>0</v>
      </c>
      <c r="F8" s="1032">
        <f ca="1">IF($D8=0,0,(COUNTIFS(Actions!$H$2:$H$70,$B8,Actions!$AA$2:$AA$70,F$6)+COUNTIFS(Actions!$H$2:$H$70,"Eclairage public",Actions!$AA$2:$AA$70,F$6))/$D8*100)</f>
        <v>0</v>
      </c>
      <c r="G8" s="1032">
        <f ca="1">IF($D8=0,0,(COUNTIFS(Actions!$H$2:$H$70,$B8,Actions!$AA$2:$AA$70,G$6)+COUNTIFS(Actions!$H$2:$H$70,"Eclairage public",Actions!$AA$2:$AA$70,G$6))/$D8*100)</f>
        <v>0</v>
      </c>
      <c r="H8" s="1032">
        <f ca="1">IF($D8=0,0,(COUNTIFS(Actions!$H$2:$H$70,$B8,Actions!$AA$2:$AA$70,"A faire")+COUNTIFS(Actions!$H$2:$H$70,"Eclairage public",Actions!$AA$2:$AA$70,"A faire"))/$D8*100)</f>
        <v>0</v>
      </c>
      <c r="I8" s="1033">
        <f ca="1">IF(D8=0,0,('Bilan territorial'!M13-'Bilan territorial'!AJ13)*1000)</f>
        <v>0</v>
      </c>
      <c r="J8" s="1033"/>
      <c r="K8" s="1034">
        <f ca="1">IF(D8=0,0,'Bilan territorial'!M31-'Bilan territorial'!CI31)</f>
        <v>0</v>
      </c>
      <c r="O8" t="e">
        <f ca="1">'Bilan territorial'!M13</f>
        <v>#REF!</v>
      </c>
      <c r="P8" t="e">
        <f ca="1">'Bilan territorial'!M31</f>
        <v>#REF!</v>
      </c>
    </row>
    <row r="9" spans="2:17" ht="29.4" thickBot="1">
      <c r="B9" s="55" t="s">
        <v>199</v>
      </c>
      <c r="C9" s="1028" t="s">
        <v>1995</v>
      </c>
      <c r="D9" s="1035">
        <f ca="1">COUNTIF(Actions!H2:H70,"Tertiaire")</f>
        <v>0</v>
      </c>
      <c r="E9" s="832">
        <f ca="1">IF(D9=0,0,COUNTIFS(Actions!$H$2:$H$70,B9,Actions!$AA$2:$AA$70,"Finalisée")/$D9*100)</f>
        <v>0</v>
      </c>
      <c r="F9" s="832">
        <f ca="1">IF($D9=0,0,COUNTIFS(Actions!$H$2:$H$70,$B9,Actions!$AA$2:$AA$70,F$6)/$D9*100)</f>
        <v>0</v>
      </c>
      <c r="G9" s="832">
        <f ca="1">IF($D9=0,0,COUNTIFS(Actions!$H$2:$H$70,$B9,Actions!$AA$2:$AA$70,G$6)/$D9*100)</f>
        <v>0</v>
      </c>
      <c r="H9" s="832">
        <f ca="1">IF($D9=0,0,COUNTIFS(Actions!$H$2:$H$70,$B9,Actions!$AA$2:$AA$70,"A faire")/$D9*100)</f>
        <v>0</v>
      </c>
      <c r="I9" s="838">
        <f ca="1">IF(D9=0,0,('Bilan territorial'!M14-'Bilan territorial'!AJ14)*1000)</f>
        <v>0</v>
      </c>
      <c r="J9" s="838"/>
      <c r="K9" s="1036">
        <f ca="1">IF(D9=0,0,'Bilan territorial'!M32-'Bilan territorial'!CI32)</f>
        <v>0</v>
      </c>
      <c r="O9" t="e">
        <f ca="1">'Bilan territorial'!M14</f>
        <v>#REF!</v>
      </c>
      <c r="P9" t="e">
        <f ca="1">'Bilan territorial'!M32</f>
        <v>#REF!</v>
      </c>
    </row>
    <row r="10" spans="2:17" ht="15" thickBot="1">
      <c r="B10" s="55" t="s">
        <v>201</v>
      </c>
      <c r="C10" s="1028" t="s">
        <v>929</v>
      </c>
      <c r="D10" s="1035">
        <f ca="1">COUNTIF(Actions!H2:H70,"Logement")</f>
        <v>0</v>
      </c>
      <c r="E10" s="832">
        <f ca="1">IF(D10=0,0,COUNTIFS(Actions!$H$2:$H$70,B10,Actions!$AA$2:$AA$70,"Finalisée")/$D10*100)</f>
        <v>0</v>
      </c>
      <c r="F10" s="832">
        <f ca="1">IF($D10=0,0,COUNTIFS(Actions!$H$2:$H$70,$B10,Actions!$AA$2:$AA$70,F$6)/$D10*100)</f>
        <v>0</v>
      </c>
      <c r="G10" s="832">
        <f ca="1">IF($D10=0,0,COUNTIFS(Actions!$H$2:$H$70,$B10,Actions!$AA$2:$AA$70,G$6)/$D10*100)</f>
        <v>0</v>
      </c>
      <c r="H10" s="832">
        <f ca="1">IF($D10=0,0,COUNTIFS(Actions!$H$2:$H$70,$B10,Actions!$AA$2:$AA$70,"A faire")/$D10*100)</f>
        <v>0</v>
      </c>
      <c r="I10" s="838">
        <f ca="1">IF(D10=0,0,('Bilan territorial'!M15-'Bilan territorial'!AJ15)*1000)</f>
        <v>0</v>
      </c>
      <c r="J10" s="838"/>
      <c r="K10" s="1036">
        <f ca="1">IF(D10=0,0,'Bilan territorial'!M33-'Bilan territorial'!CI33)</f>
        <v>0</v>
      </c>
      <c r="O10" t="e">
        <f ca="1">'Bilan territorial'!M15</f>
        <v>#REF!</v>
      </c>
      <c r="P10" t="e">
        <f ca="1">'Bilan territorial'!M33</f>
        <v>#REF!</v>
      </c>
    </row>
    <row r="11" spans="2:17" ht="15" thickBot="1">
      <c r="B11" s="55" t="s">
        <v>198</v>
      </c>
      <c r="C11" s="1028" t="s">
        <v>807</v>
      </c>
      <c r="D11" s="1035">
        <f ca="1">COUNTIF(Actions!H2:H70,"Industrie non-ETS")</f>
        <v>0</v>
      </c>
      <c r="E11" s="832">
        <f ca="1">IF(D11=0,0,COUNTIFS(Actions!$H$2:$H$70,B11,Actions!$AA$2:$AA$70,"Finalisée")/$D11*100)</f>
        <v>0</v>
      </c>
      <c r="F11" s="832">
        <f ca="1">IF($D11=0,0,COUNTIFS(Actions!$H$2:$H$70,$B11,Actions!$AA$2:$AA$70,F$6)/$D11*100)</f>
        <v>0</v>
      </c>
      <c r="G11" s="832">
        <f ca="1">IF($D11=0,0,COUNTIFS(Actions!$H$2:$H$70,$B11,Actions!$AA$2:$AA$70,G$6)/$D11*100)</f>
        <v>0</v>
      </c>
      <c r="H11" s="832">
        <f ca="1">IF($D11=0,0,COUNTIFS(Actions!$H$2:$H$70,$B11,Actions!$AA$2:$AA$70,"A faire")/$D11*100)</f>
        <v>0</v>
      </c>
      <c r="I11" s="838">
        <f ca="1">IF(D11=0,0,('Bilan territorial'!M11-'Bilan territorial'!AJ11)*1000)</f>
        <v>0</v>
      </c>
      <c r="J11" s="838"/>
      <c r="K11" s="1036">
        <f ca="1">IF(D11=0,0,'Bilan territorial'!M29-'Bilan territorial'!CI29)</f>
        <v>0</v>
      </c>
      <c r="O11" t="e">
        <f ca="1">'Bilan territorial'!M11</f>
        <v>#REF!</v>
      </c>
      <c r="P11" t="e">
        <f ca="1">'Bilan territorial'!M29</f>
        <v>#REF!</v>
      </c>
    </row>
    <row r="12" spans="2:17" ht="15" thickBot="1">
      <c r="B12" s="55" t="s">
        <v>203</v>
      </c>
      <c r="C12" s="1028" t="s">
        <v>870</v>
      </c>
      <c r="D12" s="1035">
        <f ca="1">COUNTIF(Actions!H2:H70,"Transport")</f>
        <v>0</v>
      </c>
      <c r="E12" s="832">
        <f ca="1">IF(D12=0,0,COUNTIFS(Actions!$H$2:$H$70,B12,Actions!$AA$2:$AA$70,"Finalisée")/$D12*100)</f>
        <v>0</v>
      </c>
      <c r="F12" s="832">
        <f ca="1">IF($D12=0,0,COUNTIFS(Actions!$H$2:$H$70,$B12,Actions!$AA$2:$AA$70,F$6)/$D12*100)</f>
        <v>0</v>
      </c>
      <c r="G12" s="832">
        <f ca="1">IF($D12=0,0,COUNTIFS(Actions!$H$2:$H$70,$B12,Actions!$AA$2:$AA$70,G$6)/$D12*100)</f>
        <v>0</v>
      </c>
      <c r="H12" s="832">
        <f ca="1">IF($D12=0,0,COUNTIFS(Actions!$H$2:$H$70,$B12,Actions!$AA$2:$AA$70,"A faire")/$D12*100)</f>
        <v>0</v>
      </c>
      <c r="I12" s="838">
        <f ca="1">IF(D12=0,0,('Bilan territorial'!M17-'Bilan territorial'!AJ17)*1000)</f>
        <v>0</v>
      </c>
      <c r="J12" s="838"/>
      <c r="K12" s="1036">
        <f ca="1">IF(D12=0,0,'Bilan territorial'!M35-'Bilan territorial'!CI35)</f>
        <v>0</v>
      </c>
      <c r="O12" t="e">
        <f ca="1">'Bilan territorial'!M17</f>
        <v>#REF!</v>
      </c>
      <c r="P12" t="e">
        <f ca="1">'Bilan territorial'!M35</f>
        <v>#REF!</v>
      </c>
    </row>
    <row r="13" spans="2:17" ht="15" thickBot="1">
      <c r="B13" s="55"/>
      <c r="C13" s="1028" t="s">
        <v>202</v>
      </c>
      <c r="D13" s="1035">
        <f ca="1">COUNTIF(Actions!H2:H70,C13)</f>
        <v>0</v>
      </c>
      <c r="E13" s="832">
        <f ca="1">IF(D13=0,0,COUNTIFS(Actions!$H$2:$H$70,B13,Actions!$AA$2:$AA$70,"Finalisée")/$D13*100)</f>
        <v>0</v>
      </c>
      <c r="F13" s="832">
        <f ca="1">IF($D13=0,0,COUNTIFS(Actions!$H$2:$H$70,$B13,Actions!$AA$2:$AA$70,F$6)/$D13*100)</f>
        <v>0</v>
      </c>
      <c r="G13" s="832">
        <f ca="1">IF($D13=0,0,COUNTIFS(Actions!$H$2:$H$70,$B13,Actions!$AA$2:$AA$70,G$6)/$D13*100)</f>
        <v>0</v>
      </c>
      <c r="H13" s="832">
        <f ca="1">IF($D13=0,0,COUNTIFS(Actions!$H$2:$H$70,$B13,Actions!$AA$2:$AA$70,"A faire")/$D13*100)</f>
        <v>0</v>
      </c>
      <c r="I13" s="838">
        <f ca="1">IF(D13=0,0,('Bilan territorial'!M16-'Bilan territorial'!A518)*1000)</f>
        <v>0</v>
      </c>
      <c r="J13" s="838"/>
      <c r="K13" s="1036">
        <f ca="1">IF(D13=0,0,'Bilan territorial'!M34-'Bilan territorial'!CI34)</f>
        <v>0</v>
      </c>
      <c r="O13" t="e">
        <f ca="1">'Bilan territorial'!M16</f>
        <v>#REF!</v>
      </c>
      <c r="P13" t="e">
        <f ca="1">'Bilan territorial'!M34</f>
        <v>#REF!</v>
      </c>
    </row>
    <row r="14" spans="2:17" ht="15" thickBot="1">
      <c r="B14" s="55" t="s">
        <v>824</v>
      </c>
      <c r="C14" s="1028" t="s">
        <v>944</v>
      </c>
      <c r="D14" s="1035">
        <f ca="1">COUNTIF(Actions!H2:H70,B14)+COUNTIF(Actions!H2:H70,"Cogénération")</f>
        <v>0</v>
      </c>
      <c r="E14" s="832">
        <f ca="1">IF(D14=0,0,COUNTIFS(Actions!$H$2:$H$70,B14,Actions!$AA$2:$AA$70,"Finalisée")/$D14*100)</f>
        <v>0</v>
      </c>
      <c r="F14" s="832">
        <f ca="1">IF($D14=0,0,COUNTIFS(Actions!$H$2:$H$70,$B14,Actions!$AA$2:$AA$70,F$6)/$D14*100)</f>
        <v>0</v>
      </c>
      <c r="G14" s="832">
        <f ca="1">IF($D14=0,0,COUNTIFS(Actions!$H$2:$H$70,$B14,Actions!$AA$2:$AA$70,G$6)/$D14*100)</f>
        <v>0</v>
      </c>
      <c r="H14" s="832">
        <f ca="1">IF($D14=0,0,COUNTIFS(Actions!$H$2:$H$70,$B14,Actions!$AA$2:$AA$70,"A faire")/$D14*100)</f>
        <v>0</v>
      </c>
      <c r="I14" s="838"/>
      <c r="J14" s="838">
        <f ca="1">IF(D14=0,0,IF(Q14&gt;=O20,('Bilan territorial'!AF59-'Bilan territorial'!I59)*1000,('Bilan territorial'!AF59-'Bilan territorial'!I59-O20+Q14)*1000))</f>
        <v>0</v>
      </c>
      <c r="K14" s="1036">
        <f ca="1">IF(D14=0,0,'Bilan territorial'!CE39-'Bilan territorial'!AM39)</f>
        <v>0</v>
      </c>
      <c r="M14">
        <f ca="1">'Bilan territorial'!B20</f>
        <v>0</v>
      </c>
      <c r="O14" t="e">
        <f ca="1">'Bilan territorial'!I20</f>
        <v>#REF!</v>
      </c>
      <c r="Q14" t="e">
        <f ca="1">'Bilan territorial'!AM20</f>
        <v>#REF!</v>
      </c>
    </row>
    <row r="15" spans="2:17" ht="15" thickBot="1">
      <c r="B15" s="55" t="s">
        <v>834</v>
      </c>
      <c r="C15" s="1028" t="s">
        <v>949</v>
      </c>
      <c r="D15" s="1035">
        <f ca="1">COUNTIF(Actions!H2:H70,B15)</f>
        <v>0</v>
      </c>
      <c r="E15" s="832">
        <f ca="1">IF(D15=0,0,COUNTIFS(Actions!$H$2:$H$70,B15,Actions!$AA$2:$AA$70,"Finalisée")/$D15*100)</f>
        <v>0</v>
      </c>
      <c r="F15" s="832">
        <f ca="1">IF($D15=0,0,COUNTIFS(Actions!$H$2:$H$70,$B15,Actions!$AA$2:$AA$70,F$6)/$D15*100)</f>
        <v>0</v>
      </c>
      <c r="G15" s="832">
        <f ca="1">IF($D15=0,0,COUNTIFS(Actions!$H$2:$H$70,$B15,Actions!$AA$2:$AA$70,G$6)/$D15*100)</f>
        <v>0</v>
      </c>
      <c r="H15" s="832">
        <f ca="1">IF($D15=0,0,COUNTIFS(Actions!$H$2:$H$70,$B15,Actions!$AA$2:$AA$70,"A faire")/$D15*100)</f>
        <v>0</v>
      </c>
      <c r="I15" s="838"/>
      <c r="J15" s="838">
        <f ca="1">IF(D15=0,0,'Bilan territorial'!AG59-'Bilan territorial'!J59)</f>
        <v>0</v>
      </c>
      <c r="K15" s="1036">
        <f ca="1">IF(D15=0,0,SUM('Bilan territorial'!CF39:CH39)-SUM('Bilan territorial'!AN39:AP39))</f>
        <v>0</v>
      </c>
    </row>
    <row r="16" spans="2:17" ht="15" thickBot="1">
      <c r="B16" s="55" t="s">
        <v>104</v>
      </c>
      <c r="C16" s="1028" t="s">
        <v>1996</v>
      </c>
      <c r="D16" s="1035">
        <f ca="1">COUNTIF(Actions!H2:H70,B16)</f>
        <v>0</v>
      </c>
      <c r="E16" s="832">
        <f ca="1">IF(D16=0,0,COUNTIFS(Actions!$H$2:$H$70,B16,Actions!$AA$2:$AA$70,"Finalisée")/$D16*100)</f>
        <v>0</v>
      </c>
      <c r="F16" s="832">
        <f ca="1">IF($D16=0,0,COUNTIFS(Actions!$H$2:$H$70,$B16,Actions!$AA$2:$AA$70,F$6)/$D16*100)</f>
        <v>0</v>
      </c>
      <c r="G16" s="832">
        <f ca="1">IF($D16=0,0,COUNTIFS(Actions!$H$2:$H$70,$B16,Actions!$AA$2:$AA$70,G$6)/$D16*100)</f>
        <v>0</v>
      </c>
      <c r="H16" s="832">
        <f ca="1">IF($D16=0,0,COUNTIFS(Actions!$H$2:$H$70,$B16,Actions!$AA$2:$AA$70,"A faire")/$D16*100)</f>
        <v>0</v>
      </c>
      <c r="I16" s="838"/>
      <c r="J16" s="838"/>
      <c r="K16" s="1036">
        <f ca="1">IF(D16=0,0,Objectifs!F58-(-'Données territoriales'!K6+HLOOKUP(Accueil!$E$29,'Données territoriales'!K5:AF6,2,0)))</f>
        <v>0</v>
      </c>
    </row>
    <row r="17" spans="1:19" ht="15" thickBot="1">
      <c r="B17" s="55" t="s">
        <v>105</v>
      </c>
      <c r="C17" s="1028" t="s">
        <v>157</v>
      </c>
      <c r="D17" s="1037">
        <f ca="1">COUNTIF(Actions!H2:H70,B17)+COUNTIF(Actions!H2:H70,B18)</f>
        <v>0</v>
      </c>
      <c r="E17" s="1038">
        <f ca="1">(IF($D17=0,0,COUNTIFS(Actions!$H$2:$H$70,$B17,Actions!$AA$2:$AA$70,"Finalisée")+IF($D17=0,0,COUNTIFS(Actions!$H$2:$H$70,$B18,Actions!$AA$2:$AA$70,"Finalisée"))/$D17*100))</f>
        <v>0</v>
      </c>
      <c r="F17" s="1038">
        <f ca="1">(IF($D17=0,0,COUNTIFS(Actions!$H$2:$H$70,$B17,Actions!$AA$2:$AA$70,F6)+IF($D17=0,0,COUNTIFS(Actions!$H$2:$H$70,$B18,Actions!$AA$2:$AA$70,F6))/$D17*100))</f>
        <v>0</v>
      </c>
      <c r="G17" s="1038">
        <f ca="1">(IF($D17=0,0,COUNTIFS(Actions!$H$2:$H$70,$B17,Actions!$AA$2:$AA$70,G6)+IF($D17=0,0,COUNTIFS(Actions!$H$2:$H$70,$B18,Actions!$AA$2:$AA$70,G6))/$D17*100))</f>
        <v>0</v>
      </c>
      <c r="H17" s="1038">
        <f ca="1">(IF($D17=0,0,COUNTIFS(Actions!$H$2:$H$70,$B17,Actions!$AA$2:$AA$70,"A faire")+IF($D17=0,0,COUNTIFS(Actions!$H$2:$H$70,$B18,Actions!$AA$2:$AA$70,"A faire"))/$D17*100))</f>
        <v>0</v>
      </c>
      <c r="I17" s="1039"/>
      <c r="J17" s="1039"/>
      <c r="K17" s="1040">
        <f ca="1">IF(D17=0,0,Objectifs!F61-(-'Données territoriales'!K10+HLOOKUP(Accueil!$E$29,'Données territoriales'!K5:AF10,6,0)))</f>
        <v>0</v>
      </c>
    </row>
    <row r="18" spans="1:19" ht="15" thickBot="1">
      <c r="B18" s="55" t="s">
        <v>106</v>
      </c>
      <c r="C18" s="831" t="s">
        <v>107</v>
      </c>
      <c r="D18" s="1029">
        <f ca="1">SUM(D8:D17)</f>
        <v>0</v>
      </c>
      <c r="E18" s="2291"/>
      <c r="F18" s="2292"/>
      <c r="G18" s="2292"/>
      <c r="H18" s="2293"/>
      <c r="I18" s="1030">
        <f ca="1">SUM(I8:I17)</f>
        <v>0</v>
      </c>
      <c r="J18" s="1030">
        <f t="shared" ref="J18" ca="1" si="0">SUM(J8:J17)</f>
        <v>0</v>
      </c>
      <c r="K18" s="1030">
        <f t="shared" ref="K18" ca="1" si="1">SUM(K8:K17)</f>
        <v>0</v>
      </c>
    </row>
    <row r="19" spans="1:19">
      <c r="I19" s="2295" t="str">
        <f>"Réalisé de 2006 à "&amp;Accueil!E29</f>
        <v xml:space="preserve">Réalisé de 2006 à </v>
      </c>
      <c r="J19" s="2295"/>
      <c r="K19" s="841" t="e">
        <f ca="1">K20-K18</f>
        <v>#DIV/0!</v>
      </c>
      <c r="O19" t="s">
        <v>1997</v>
      </c>
      <c r="P19" t="s">
        <v>184</v>
      </c>
      <c r="Q19" t="s">
        <v>1998</v>
      </c>
      <c r="R19" t="s">
        <v>675</v>
      </c>
      <c r="S19" t="s">
        <v>184</v>
      </c>
    </row>
    <row r="20" spans="1:19">
      <c r="I20" s="840"/>
      <c r="J20" s="842" t="s">
        <v>107</v>
      </c>
      <c r="K20" s="841" t="e">
        <f ca="1">K18+'Bilan territorial'!F39-'Bilan territorial'!M39</f>
        <v>#DIV/0!</v>
      </c>
      <c r="M20" t="s">
        <v>213</v>
      </c>
      <c r="O20">
        <f>Objectifs!E48</f>
        <v>0</v>
      </c>
      <c r="P20">
        <f>Objectifs!F48</f>
        <v>0</v>
      </c>
      <c r="Q20" t="e">
        <f ca="1">'Bilan territorial'!I49-'Bilan territorial'!B49</f>
        <v>#REF!</v>
      </c>
      <c r="R20">
        <f>IF(O20=0,0,O20-Q20)</f>
        <v>0</v>
      </c>
      <c r="S20">
        <f>IF(O20=0,,R20*P20/O20)</f>
        <v>0</v>
      </c>
    </row>
    <row r="21" spans="1:19">
      <c r="M21" t="s">
        <v>316</v>
      </c>
      <c r="O21">
        <f>Objectifs!E49</f>
        <v>0</v>
      </c>
      <c r="P21">
        <f>Objectifs!F49</f>
        <v>0</v>
      </c>
      <c r="Q21" t="e">
        <f ca="1">'Bilan territorial'!I51-'Bilan territorial'!B51</f>
        <v>#REF!</v>
      </c>
      <c r="R21">
        <f t="shared" ref="R21:R23" si="2">IF(O21=0,0,O21-Q21)</f>
        <v>0</v>
      </c>
      <c r="S21">
        <f t="shared" ref="S21:S23" si="3">IF(O21=0,,R21*P21/O21)</f>
        <v>0</v>
      </c>
    </row>
    <row r="22" spans="1:19">
      <c r="M22" t="s">
        <v>319</v>
      </c>
      <c r="O22">
        <f>Objectifs!E51</f>
        <v>0</v>
      </c>
      <c r="P22">
        <f>Objectifs!F51</f>
        <v>0</v>
      </c>
      <c r="Q22" t="e">
        <f ca="1">'Bilan territorial'!I55-'Bilan territorial'!B55</f>
        <v>#REF!</v>
      </c>
      <c r="R22">
        <f t="shared" si="2"/>
        <v>0</v>
      </c>
      <c r="S22">
        <f t="shared" si="3"/>
        <v>0</v>
      </c>
    </row>
    <row r="23" spans="1:19">
      <c r="M23" t="s">
        <v>323</v>
      </c>
      <c r="O23">
        <f>Objectifs!E54</f>
        <v>0</v>
      </c>
      <c r="P23">
        <f>Objectifs!F54</f>
        <v>0</v>
      </c>
      <c r="Q23" t="e">
        <f ca="1">'Bilan territorial'!I50-'Bilan territorial'!B50</f>
        <v>#REF!</v>
      </c>
      <c r="R23">
        <f t="shared" si="2"/>
        <v>0</v>
      </c>
      <c r="S23">
        <f t="shared" si="3"/>
        <v>0</v>
      </c>
    </row>
    <row r="24" spans="1:19" ht="17.399999999999999">
      <c r="C24" s="848" t="s">
        <v>1999</v>
      </c>
    </row>
    <row r="25" spans="1:19" ht="17.399999999999999">
      <c r="C25" s="848"/>
    </row>
    <row r="26" spans="1:19" ht="31.35" customHeight="1" thickBot="1">
      <c r="C26" s="2286" t="s">
        <v>2000</v>
      </c>
      <c r="D26" s="2294" t="s">
        <v>1986</v>
      </c>
      <c r="E26" s="2287" t="s">
        <v>1987</v>
      </c>
      <c r="F26" s="2284"/>
      <c r="G26" s="2284"/>
      <c r="H26" s="2285"/>
    </row>
    <row r="27" spans="1:19" ht="29.4" thickBot="1">
      <c r="C27" s="2286"/>
      <c r="D27" s="2294"/>
      <c r="E27" s="723" t="s">
        <v>1989</v>
      </c>
      <c r="F27" s="723" t="s">
        <v>1241</v>
      </c>
      <c r="G27" s="723" t="s">
        <v>1307</v>
      </c>
      <c r="H27" s="723" t="s">
        <v>1990</v>
      </c>
    </row>
    <row r="28" spans="1:19" ht="15" thickBot="1">
      <c r="C28" s="2285"/>
      <c r="D28" s="2294"/>
      <c r="E28" s="650" t="s">
        <v>1863</v>
      </c>
      <c r="F28" s="650" t="s">
        <v>1863</v>
      </c>
      <c r="G28" s="650" t="s">
        <v>1863</v>
      </c>
      <c r="H28" s="650" t="s">
        <v>1863</v>
      </c>
    </row>
    <row r="29" spans="1:19" ht="15" thickBot="1">
      <c r="A29" s="55"/>
      <c r="B29" s="55" t="str">
        <f>C29</f>
        <v>Bâtiments</v>
      </c>
      <c r="C29" s="1028" t="str">
        <f>ldv!AA2</f>
        <v>Bâtiments</v>
      </c>
      <c r="D29" s="1041">
        <f ca="1">COUNTIF(Actions!$H$2:$H$70,C29)</f>
        <v>0</v>
      </c>
      <c r="E29" s="1032">
        <f ca="1">IF(D29=0,0,COUNTIFS(Actions!$H$2:$H$70,B29,Actions!$AA$2:$AA$70,"Finalisée")/$D29*100)</f>
        <v>0</v>
      </c>
      <c r="F29" s="1032">
        <f ca="1">IF($D29=0,0,COUNTIFS(Actions!$H$2:$H$70,$B29,Actions!$AA$2:$AA$70,F$6)/$D29*100)</f>
        <v>0</v>
      </c>
      <c r="G29" s="1032">
        <f ca="1">IF($D29=0,0,COUNTIFS(Actions!$H$2:$H$70,$B29,Actions!$AA$2:$AA$70,G$6)/$D29*100)</f>
        <v>0</v>
      </c>
      <c r="H29" s="1042">
        <f ca="1">IF($D29=0,0,COUNTIFS(Actions!$H$2:$H$70,$B29,Actions!$AA$2:$AA$70,"A faire")/$D29*100)</f>
        <v>0</v>
      </c>
    </row>
    <row r="30" spans="1:19" ht="15" thickBot="1">
      <c r="A30" s="55"/>
      <c r="B30" s="55" t="str">
        <f t="shared" ref="B30:B41" si="4">C30</f>
        <v>Transports</v>
      </c>
      <c r="C30" s="1028" t="str">
        <f>ldv!AA3</f>
        <v>Transports</v>
      </c>
      <c r="D30" s="1043">
        <f ca="1">COUNTIF(Actions!$H$2:$H$70,C30)</f>
        <v>0</v>
      </c>
      <c r="E30" s="832">
        <f ca="1">IF(D30=0,0,COUNTIFS(Actions!$H$2:$H$70,B30,Actions!$AA$2:$AA$70,"Finalisée")/$D30*100)</f>
        <v>0</v>
      </c>
      <c r="F30" s="832">
        <f ca="1">IF($D30=0,0,COUNTIFS(Actions!$H$2:$H$70,$B30,Actions!$AA$2:$AA$70,F$6)/$D30*100)</f>
        <v>0</v>
      </c>
      <c r="G30" s="832">
        <f ca="1">IF($D30=0,0,COUNTIFS(Actions!$H$2:$H$70,$B30,Actions!$AA$2:$AA$70,G$6)/$D30*100)</f>
        <v>0</v>
      </c>
      <c r="H30" s="1044">
        <f ca="1">IF($D30=0,0,COUNTIFS(Actions!$H$2:$H$70,$B30,Actions!$AA$2:$AA$70,"A faire")/$D30*100)</f>
        <v>0</v>
      </c>
    </row>
    <row r="31" spans="1:19" ht="15" thickBot="1">
      <c r="A31" s="55"/>
      <c r="B31" s="55" t="str">
        <f t="shared" si="4"/>
        <v>Énergie</v>
      </c>
      <c r="C31" s="1028" t="str">
        <f>ldv!AA4</f>
        <v>Énergie</v>
      </c>
      <c r="D31" s="1043">
        <f ca="1">COUNTIF(Actions!$H$2:$H$70,C31)</f>
        <v>0</v>
      </c>
      <c r="E31" s="832">
        <f ca="1">IF(D31=0,0,COUNTIFS(Actions!$H$2:$H$70,B31,Actions!$AA$2:$AA$70,"Finalisée")/$D31*100)</f>
        <v>0</v>
      </c>
      <c r="F31" s="832">
        <f ca="1">IF($D31=0,0,COUNTIFS(Actions!$H$2:$H$70,$B31,Actions!$AA$2:$AA$70,F$6)/$D31*100)</f>
        <v>0</v>
      </c>
      <c r="G31" s="832">
        <f ca="1">IF($D31=0,0,COUNTIFS(Actions!$H$2:$H$70,$B31,Actions!$AA$2:$AA$70,G$6)/$D31*100)</f>
        <v>0</v>
      </c>
      <c r="H31" s="1044">
        <f ca="1">IF($D31=0,0,COUNTIFS(Actions!$H$2:$H$70,$B31,Actions!$AA$2:$AA$70,"A faire")/$D31*100)</f>
        <v>0</v>
      </c>
    </row>
    <row r="32" spans="1:19" ht="15" thickBot="1">
      <c r="A32" s="55"/>
      <c r="B32" s="55" t="str">
        <f t="shared" si="4"/>
        <v>Eau</v>
      </c>
      <c r="C32" s="1028" t="str">
        <f>ldv!AA5</f>
        <v>Eau</v>
      </c>
      <c r="D32" s="1043">
        <f ca="1">COUNTIF(Actions!$H$2:$H$70,C32)</f>
        <v>0</v>
      </c>
      <c r="E32" s="832">
        <f ca="1">IF(D32=0,0,COUNTIFS(Actions!$H$2:$H$70,B32,Actions!$AA$2:$AA$70,"Finalisée")/$D32*100)</f>
        <v>0</v>
      </c>
      <c r="F32" s="832">
        <f ca="1">IF($D32=0,0,COUNTIFS(Actions!$H$2:$H$70,$B32,Actions!$AA$2:$AA$70,F$6)/$D32*100)</f>
        <v>0</v>
      </c>
      <c r="G32" s="832">
        <f ca="1">IF($D32=0,0,COUNTIFS(Actions!$H$2:$H$70,$B32,Actions!$AA$2:$AA$70,G$6)/$D32*100)</f>
        <v>0</v>
      </c>
      <c r="H32" s="1044">
        <f ca="1">IF($D32=0,0,COUNTIFS(Actions!$H$2:$H$70,$B32,Actions!$AA$2:$AA$70,"A faire")/$D32*100)</f>
        <v>0</v>
      </c>
    </row>
    <row r="33" spans="1:9" ht="15" thickBot="1">
      <c r="A33" s="55"/>
      <c r="B33" s="55" t="str">
        <f t="shared" si="4"/>
        <v>Déchets</v>
      </c>
      <c r="C33" s="1028" t="str">
        <f>ldv!AA6</f>
        <v>Déchets</v>
      </c>
      <c r="D33" s="1043">
        <f ca="1">COUNTIF(Actions!$H$2:$H$70,C33)</f>
        <v>0</v>
      </c>
      <c r="E33" s="832">
        <f ca="1">IF(D33=0,0,COUNTIFS(Actions!$H$2:$H$70,B33,Actions!$AA$2:$AA$70,"Finalisée")/$D33*100)</f>
        <v>0</v>
      </c>
      <c r="F33" s="832">
        <f ca="1">IF($D33=0,0,COUNTIFS(Actions!$H$2:$H$70,$B33,Actions!$AA$2:$AA$70,F$6)/$D33*100)</f>
        <v>0</v>
      </c>
      <c r="G33" s="832">
        <f ca="1">IF($D33=0,0,COUNTIFS(Actions!$H$2:$H$70,$B33,Actions!$AA$2:$AA$70,G$6)/$D33*100)</f>
        <v>0</v>
      </c>
      <c r="H33" s="1044">
        <f ca="1">IF($D33=0,0,COUNTIFS(Actions!$H$2:$H$70,$B33,Actions!$AA$2:$AA$70,"A faire")/$D33*100)</f>
        <v>0</v>
      </c>
    </row>
    <row r="34" spans="1:9" ht="15" thickBot="1">
      <c r="A34" s="55"/>
      <c r="B34" s="55" t="str">
        <f t="shared" si="4"/>
        <v>Aménagement du territoire</v>
      </c>
      <c r="C34" s="1028" t="str">
        <f>ldv!AA7</f>
        <v>Aménagement du territoire</v>
      </c>
      <c r="D34" s="1043">
        <f ca="1">COUNTIF(Actions!$H$2:$H$70,C34)</f>
        <v>0</v>
      </c>
      <c r="E34" s="832">
        <f ca="1">IF(D34=0,0,COUNTIFS(Actions!$H$2:$H$70,B34,Actions!$AA$2:$AA$70,"Finalisée")/$D34*100)</f>
        <v>0</v>
      </c>
      <c r="F34" s="832">
        <f ca="1">IF($D34=0,0,COUNTIFS(Actions!$H$2:$H$70,$B34,Actions!$AA$2:$AA$70,F$6)/$D34*100)</f>
        <v>0</v>
      </c>
      <c r="G34" s="832">
        <f ca="1">IF($D34=0,0,COUNTIFS(Actions!$H$2:$H$70,$B34,Actions!$AA$2:$AA$70,G$6)/$D34*100)</f>
        <v>0</v>
      </c>
      <c r="H34" s="1044">
        <f ca="1">IF($D34=0,0,COUNTIFS(Actions!$H$2:$H$70,$B34,Actions!$AA$2:$AA$70,"A faire")/$D34*100)</f>
        <v>0</v>
      </c>
    </row>
    <row r="35" spans="1:9" ht="15" thickBot="1">
      <c r="A35" s="55"/>
      <c r="B35" s="55" t="str">
        <f t="shared" si="4"/>
        <v>Agriculture et sylviculture</v>
      </c>
      <c r="C35" s="1028" t="str">
        <f>ldv!AA8</f>
        <v>Agriculture et sylviculture</v>
      </c>
      <c r="D35" s="1043">
        <f ca="1">COUNTIF(Actions!$H$2:$H$70,C35)</f>
        <v>0</v>
      </c>
      <c r="E35" s="832">
        <f ca="1">IF(D35=0,0,COUNTIFS(Actions!$H$2:$H$70,B35,Actions!$AA$2:$AA$70,"Finalisée")/$D35*100)</f>
        <v>0</v>
      </c>
      <c r="F35" s="832">
        <f ca="1">IF($D35=0,0,COUNTIFS(Actions!$H$2:$H$70,$B35,Actions!$AA$2:$AA$70,F$6)/$D35*100)</f>
        <v>0</v>
      </c>
      <c r="G35" s="832">
        <f ca="1">IF($D35=0,0,COUNTIFS(Actions!$H$2:$H$70,$B35,Actions!$AA$2:$AA$70,G$6)/$D35*100)</f>
        <v>0</v>
      </c>
      <c r="H35" s="1044">
        <f ca="1">IF($D35=0,0,COUNTIFS(Actions!$H$2:$H$70,$B35,Actions!$AA$2:$AA$70,"A faire")/$D35*100)</f>
        <v>0</v>
      </c>
    </row>
    <row r="36" spans="1:9" ht="15" thickBot="1">
      <c r="A36" s="55"/>
      <c r="B36" s="55" t="str">
        <f t="shared" si="4"/>
        <v>Environnement et biodiversité</v>
      </c>
      <c r="C36" s="1028" t="str">
        <f>ldv!AA9</f>
        <v>Environnement et biodiversité</v>
      </c>
      <c r="D36" s="1043">
        <f ca="1">COUNTIF(Actions!$H$2:$H$70,C36)</f>
        <v>0</v>
      </c>
      <c r="E36" s="832">
        <f ca="1">IF(D36=0,0,COUNTIFS(Actions!$H$2:$H$70,B36,Actions!$AA$2:$AA$70,"Finalisée")/$D36*100)</f>
        <v>0</v>
      </c>
      <c r="F36" s="832">
        <f ca="1">IF($D36=0,0,COUNTIFS(Actions!$H$2:$H$70,$B36,Actions!$AA$2:$AA$70,F$6)/$D36*100)</f>
        <v>0</v>
      </c>
      <c r="G36" s="832">
        <f ca="1">IF($D36=0,0,COUNTIFS(Actions!$H$2:$H$70,$B36,Actions!$AA$2:$AA$70,G$6)/$D36*100)</f>
        <v>0</v>
      </c>
      <c r="H36" s="1044">
        <f ca="1">IF($D36=0,0,COUNTIFS(Actions!$H$2:$H$70,$B36,Actions!$AA$2:$AA$70,"A faire")/$D36*100)</f>
        <v>0</v>
      </c>
    </row>
    <row r="37" spans="1:9" ht="15" thickBot="1">
      <c r="A37" s="55"/>
      <c r="B37" s="55" t="str">
        <f t="shared" si="4"/>
        <v>Santé</v>
      </c>
      <c r="C37" s="1028" t="str">
        <f>ldv!AA10</f>
        <v>Santé</v>
      </c>
      <c r="D37" s="1043">
        <f ca="1">COUNTIF(Actions!$H$2:$H$70,C37)</f>
        <v>0</v>
      </c>
      <c r="E37" s="832">
        <f ca="1">IF(D37=0,0,COUNTIFS(Actions!$H$2:$H$70,B37,Actions!$AA$2:$AA$70,"Finalisée")/$D37*100)</f>
        <v>0</v>
      </c>
      <c r="F37" s="832">
        <f ca="1">IF($D37=0,0,COUNTIFS(Actions!$H$2:$H$70,$B37,Actions!$AA$2:$AA$70,F$6)/$D37*100)</f>
        <v>0</v>
      </c>
      <c r="G37" s="832">
        <f ca="1">IF($D37=0,0,COUNTIFS(Actions!$H$2:$H$70,$B37,Actions!$AA$2:$AA$70,G$6)/$D37*100)</f>
        <v>0</v>
      </c>
      <c r="H37" s="1044">
        <f ca="1">IF($D37=0,0,COUNTIFS(Actions!$H$2:$H$70,$B37,Actions!$AA$2:$AA$70,"A faire")/$D37*100)</f>
        <v>0</v>
      </c>
    </row>
    <row r="38" spans="1:9" ht="15" thickBot="1">
      <c r="A38" s="55"/>
      <c r="B38" s="55" t="str">
        <f t="shared" si="4"/>
        <v>Protection civile et services d'urgence</v>
      </c>
      <c r="C38" s="1028" t="str">
        <f>ldv!AA11</f>
        <v>Protection civile et services d'urgence</v>
      </c>
      <c r="D38" s="1043">
        <f ca="1">COUNTIF(Actions!$H$2:$H$70,C38)</f>
        <v>0</v>
      </c>
      <c r="E38" s="832">
        <f ca="1">IF(D38=0,0,COUNTIFS(Actions!$H$2:$H$70,B38,Actions!$AA$2:$AA$70,"Finalisée")/$D38*100)</f>
        <v>0</v>
      </c>
      <c r="F38" s="832">
        <f ca="1">IF($D38=0,0,COUNTIFS(Actions!$H$2:$H$70,$B38,Actions!$AA$2:$AA$70,F$6)/$D38*100)</f>
        <v>0</v>
      </c>
      <c r="G38" s="832">
        <f ca="1">IF($D38=0,0,COUNTIFS(Actions!$H$2:$H$70,$B38,Actions!$AA$2:$AA$70,G$6)/$D38*100)</f>
        <v>0</v>
      </c>
      <c r="H38" s="1044">
        <f ca="1">IF($D38=0,0,COUNTIFS(Actions!$H$2:$H$70,$B38,Actions!$AA$2:$AA$70,"A faire")/$D38*100)</f>
        <v>0</v>
      </c>
    </row>
    <row r="39" spans="1:9" ht="15" thickBot="1">
      <c r="A39" s="55"/>
      <c r="B39" s="55" t="str">
        <f t="shared" si="4"/>
        <v>Tourisme</v>
      </c>
      <c r="C39" s="1028" t="str">
        <f>ldv!AA12</f>
        <v>Tourisme</v>
      </c>
      <c r="D39" s="1043">
        <f ca="1">COUNTIF(Actions!$H$2:$H$70,C39)</f>
        <v>0</v>
      </c>
      <c r="E39" s="832">
        <f ca="1">IF(D39=0,0,COUNTIFS(Actions!$H$2:$H$70,B39,Actions!$AA$2:$AA$70,"Finalisée")/$D39*100)</f>
        <v>0</v>
      </c>
      <c r="F39" s="832">
        <f ca="1">IF($D39=0,0,COUNTIFS(Actions!$H$2:$H$70,$B39,Actions!$AA$2:$AA$70,F$6)/$D39*100)</f>
        <v>0</v>
      </c>
      <c r="G39" s="832">
        <f ca="1">IF($D39=0,0,COUNTIFS(Actions!$H$2:$H$70,$B39,Actions!$AA$2:$AA$70,G$6)/$D39*100)</f>
        <v>0</v>
      </c>
      <c r="H39" s="1044">
        <f ca="1">IF($D39=0,0,COUNTIFS(Actions!$H$2:$H$70,$B39,Actions!$AA$2:$AA$70,"A faire")/$D39*100)</f>
        <v>0</v>
      </c>
    </row>
    <row r="40" spans="1:9" ht="15" thickBot="1">
      <c r="A40" s="55"/>
      <c r="B40" s="55" t="str">
        <f t="shared" si="4"/>
        <v>Éducation</v>
      </c>
      <c r="C40" s="1028" t="str">
        <f>ldv!AA13</f>
        <v>Éducation</v>
      </c>
      <c r="D40" s="1043">
        <f ca="1">COUNTIF(Actions!$H$2:$H$70,C40)</f>
        <v>0</v>
      </c>
      <c r="E40" s="832">
        <f ca="1">IF(D40=0,0,COUNTIFS(Actions!$H$2:$H$70,B40,Actions!$AA$2:$AA$70,"Finalisée")/$D40*100)</f>
        <v>0</v>
      </c>
      <c r="F40" s="832">
        <f ca="1">IF($D40=0,0,COUNTIFS(Actions!$H$2:$H$70,$B40,Actions!$AA$2:$AA$70,F$6)/$D40*100)</f>
        <v>0</v>
      </c>
      <c r="G40" s="832">
        <f ca="1">IF($D40=0,0,COUNTIFS(Actions!$H$2:$H$70,$B40,Actions!$AA$2:$AA$70,G$6)/$D40*100)</f>
        <v>0</v>
      </c>
      <c r="H40" s="1044">
        <f ca="1">IF($D40=0,0,COUNTIFS(Actions!$H$2:$H$70,$B40,Actions!$AA$2:$AA$70,"A faire")/$D40*100)</f>
        <v>0</v>
      </c>
    </row>
    <row r="41" spans="1:9" ht="29.4" thickBot="1">
      <c r="A41" s="55"/>
      <c r="B41" s="55" t="str">
        <f t="shared" si="4"/>
        <v>Technologies de l'information et des communications (informatique)</v>
      </c>
      <c r="C41" s="1028" t="str">
        <f>ldv!AA14</f>
        <v>Technologies de l'information et des communications (informatique)</v>
      </c>
      <c r="D41" s="1045">
        <f ca="1">COUNTIF(Actions!$H$2:$H$70,C41)</f>
        <v>0</v>
      </c>
      <c r="E41" s="1038">
        <f ca="1">IF(D41=0,0,COUNTIFS(Actions!$H$2:$H$70,B41,Actions!$AA$2:$AA$70,"Finalisée")/$D41*100)</f>
        <v>0</v>
      </c>
      <c r="F41" s="1038">
        <f ca="1">IF($D41=0,0,COUNTIFS(Actions!$H$2:$H$70,$B41,Actions!$AA$2:$AA$70,F$6)/$D41*100)</f>
        <v>0</v>
      </c>
      <c r="G41" s="1038">
        <f ca="1">IF($D41=0,0,COUNTIFS(Actions!$H$2:$H$70,$B41,Actions!$AA$2:$AA$70,G$6)/$D41*100)</f>
        <v>0</v>
      </c>
      <c r="H41" s="1046">
        <f ca="1">IF($D41=0,0,COUNTIFS(Actions!$H$2:$H$70,$B41,Actions!$AA$2:$AA$70,"A faire")/$D41*100)</f>
        <v>0</v>
      </c>
    </row>
    <row r="42" spans="1:9" ht="15" thickBot="1">
      <c r="C42" s="831" t="s">
        <v>107</v>
      </c>
      <c r="D42" s="1029">
        <f ca="1">SUM(D29:D41)</f>
        <v>0</v>
      </c>
      <c r="E42" s="2291"/>
      <c r="F42" s="2292"/>
      <c r="G42" s="2292"/>
      <c r="H42" s="2293"/>
    </row>
    <row r="45" spans="1:9" ht="18">
      <c r="C45" s="655" t="s">
        <v>1276</v>
      </c>
    </row>
    <row r="46" spans="1:9" ht="10.35" customHeight="1">
      <c r="C46" s="655"/>
    </row>
    <row r="47" spans="1:9">
      <c r="C47" s="2299" t="s">
        <v>2001</v>
      </c>
      <c r="D47" s="2299"/>
      <c r="E47" s="2299"/>
      <c r="F47" s="2299"/>
      <c r="G47" s="2299"/>
      <c r="H47" s="2299"/>
      <c r="I47" s="2299"/>
    </row>
    <row r="48" spans="1:9">
      <c r="C48" s="849"/>
      <c r="D48" s="849"/>
      <c r="E48" s="849"/>
      <c r="F48" s="849"/>
      <c r="G48" s="849"/>
      <c r="H48" s="849"/>
      <c r="I48" s="849"/>
    </row>
    <row r="49" spans="2:10" ht="40.35" customHeight="1" thickBot="1">
      <c r="C49" s="2286" t="s">
        <v>2002</v>
      </c>
      <c r="D49" s="2294" t="s">
        <v>1986</v>
      </c>
      <c r="E49" s="2287" t="s">
        <v>1987</v>
      </c>
      <c r="F49" s="2284"/>
      <c r="G49" s="2284"/>
      <c r="H49" s="2285"/>
    </row>
    <row r="50" spans="2:10" ht="40.35" customHeight="1" thickBot="1">
      <c r="C50" s="2286"/>
      <c r="D50" s="2294"/>
      <c r="E50" s="723" t="s">
        <v>1989</v>
      </c>
      <c r="F50" s="723" t="s">
        <v>1241</v>
      </c>
      <c r="G50" s="723" t="s">
        <v>1307</v>
      </c>
      <c r="H50" s="723" t="s">
        <v>1990</v>
      </c>
    </row>
    <row r="51" spans="2:10" ht="40.35" customHeight="1" thickBot="1">
      <c r="C51" s="2285"/>
      <c r="D51" s="2294"/>
      <c r="E51" s="650" t="s">
        <v>1863</v>
      </c>
      <c r="F51" s="650" t="s">
        <v>1863</v>
      </c>
      <c r="G51" s="650" t="s">
        <v>1863</v>
      </c>
      <c r="H51" s="650" t="s">
        <v>1863</v>
      </c>
    </row>
    <row r="52" spans="2:10" ht="15" thickBot="1">
      <c r="B52" s="476">
        <v>2</v>
      </c>
      <c r="C52" s="1047" t="s">
        <v>1294</v>
      </c>
      <c r="D52" s="1048" cm="1">
        <f t="array" aca="1" ref="D52" ca="1">SUMPRODUCT((Actions!$AX$2:$AX$70=B52)*(Actions!$AL$2:$AL$70="X"))</f>
        <v>0</v>
      </c>
      <c r="E52" s="1049">
        <f ca="1">IF($D52=0,0,COUNTIFS(Actions!$AX$2:$AX$70,$B52,Actions!$AL$2:$AL$70,"X",Actions!$AA$2:$AA$70,"Finalisée")/$D52*100)</f>
        <v>0</v>
      </c>
      <c r="F52" s="1049">
        <f ca="1">IF($D52=0,0,COUNTIFS(Actions!$AX$2:$AX$70,$B52,Actions!$AL$2:$AL$70,"X",Actions!$AA$2:$AA$70,F$50)/$D52*100)</f>
        <v>0</v>
      </c>
      <c r="G52" s="1049">
        <f ca="1">IF($D52=0,0,COUNTIFS(Actions!$AX$2:$AX$70,$B52,Actions!$AL$2:$AL$70,"X",Actions!$AA$2:$AA$70,G$50)/$D52*100)</f>
        <v>0</v>
      </c>
      <c r="H52" s="1050">
        <f ca="1">IF($D52=0,0,COUNTIFS(Actions!$AX$2:$AX$70,$B52,Actions!$AL$2:$AL$70,"X",Actions!$AA$2:$AA$70,"A faire")/$D52*100)</f>
        <v>0</v>
      </c>
    </row>
    <row r="53" spans="2:10" ht="15" thickBot="1">
      <c r="B53" s="476"/>
      <c r="C53" s="1047" t="s">
        <v>2003</v>
      </c>
      <c r="D53" s="1051"/>
      <c r="E53" s="856"/>
      <c r="F53" s="856"/>
      <c r="G53" s="856"/>
      <c r="H53" s="1052"/>
    </row>
    <row r="54" spans="2:10" ht="15" thickBot="1">
      <c r="B54" s="476" t="s">
        <v>201</v>
      </c>
      <c r="C54" s="1047" t="s">
        <v>2004</v>
      </c>
      <c r="D54" s="1051" cm="1">
        <f t="array" aca="1" ref="D54" ca="1">SUMPRODUCT((Actions!$H$2:$H$70=B54)*(Actions!$AL$2:$AL$70="X"))</f>
        <v>0</v>
      </c>
      <c r="E54" s="856">
        <f ca="1">IF($D54=0,0,COUNTIFS(Actions!$H$2:$H$70,$B54,Actions!$AL$2:$AL$70,"X",Actions!$AA$2:$AA$70,"Finalisée")/$D54*100)</f>
        <v>0</v>
      </c>
      <c r="F54" s="856">
        <f ca="1">IF($D54=0,0,COUNTIFS(Actions!$H$2:$H$70,$B54,Actions!$AL$2:$AL$70,"X",Actions!$AA$2:$AA$70,F$50)/$D54*100)</f>
        <v>0</v>
      </c>
      <c r="G54" s="856">
        <f ca="1">IF($D54=0,0,COUNTIFS(Actions!$H$2:$H$70,$B54,Actions!$AL$2:$AL$70,"X",Actions!$AA$2:$AA$70,G$50)/$D54*100)</f>
        <v>0</v>
      </c>
      <c r="H54" s="1052">
        <f ca="1">IF($D54=0,0,COUNTIFS(Actions!$H$2:$H$70,$B54,Actions!$AL$2:$AL$70,"X",Actions!$AA$2:$AA$70,"A faire")/$D54*100)</f>
        <v>0</v>
      </c>
    </row>
    <row r="55" spans="2:10" ht="15" thickBot="1">
      <c r="B55" s="476" t="s">
        <v>203</v>
      </c>
      <c r="C55" s="1047" t="s">
        <v>1321</v>
      </c>
      <c r="D55" s="1051" cm="1">
        <f t="array" aca="1" ref="D55" ca="1">SUMPRODUCT((Actions!$H$2:$H$70=B55)*(Actions!$AL$2:$AL$70="X"))</f>
        <v>0</v>
      </c>
      <c r="E55" s="856">
        <f ca="1">IF($D55=0,0,COUNTIFS(Actions!$H$2:$H$70,$B55,Actions!$AL$2:$AL$70,"X",Actions!$AA$2:$AA$70,"Finalisée")/$D55*100)</f>
        <v>0</v>
      </c>
      <c r="F55" s="856">
        <f ca="1">IF($D55=0,0,COUNTIFS(Actions!$H$2:$H$70,$B55,Actions!$AL$2:$AL$70,"X",Actions!$AA$2:$AA$70,F$50)/$D55*100)</f>
        <v>0</v>
      </c>
      <c r="G55" s="856">
        <f ca="1">IF($D55=0,0,COUNTIFS(Actions!$H$2:$H$70,$B55,Actions!$AL$2:$AL$70,"X",Actions!$AA$2:$AA$70,G$50)/$D55*100)</f>
        <v>0</v>
      </c>
      <c r="H55" s="1052">
        <f ca="1">IF($D55=0,0,COUNTIFS(Actions!$H$2:$H$70,$B55,Actions!$AL$2:$AL$70,"X",Actions!$AA$2:$AA$70,"A faire")/$D55*100)</f>
        <v>0</v>
      </c>
    </row>
    <row r="56" spans="2:10" ht="15" thickBot="1">
      <c r="C56" s="1047" t="s">
        <v>1329</v>
      </c>
      <c r="D56" s="1051"/>
      <c r="E56" s="856"/>
      <c r="F56" s="856"/>
      <c r="G56" s="856"/>
      <c r="H56" s="1052"/>
    </row>
    <row r="57" spans="2:10" ht="15" thickBot="1">
      <c r="C57" s="1047" t="s">
        <v>2005</v>
      </c>
      <c r="D57" s="1053">
        <f ca="1">D58-SUM(D52:D56)</f>
        <v>0</v>
      </c>
      <c r="E57" s="1054"/>
      <c r="F57" s="1054"/>
      <c r="G57" s="1054"/>
      <c r="H57" s="1055"/>
    </row>
    <row r="58" spans="2:10" ht="15" thickBot="1">
      <c r="C58" s="831" t="s">
        <v>107</v>
      </c>
      <c r="D58" s="1029">
        <f ca="1">COUNTIF(Actions!AL2:AL46,"X")</f>
        <v>0</v>
      </c>
      <c r="E58" s="2296"/>
      <c r="F58" s="2297"/>
      <c r="G58" s="2297"/>
      <c r="H58" s="2298"/>
    </row>
    <row r="61" spans="2:10" ht="18">
      <c r="C61" s="655" t="s">
        <v>2006</v>
      </c>
    </row>
    <row r="63" spans="2:10" ht="28.8">
      <c r="C63" s="1015" t="s">
        <v>2007</v>
      </c>
      <c r="D63" s="1016" t="s">
        <v>1275</v>
      </c>
      <c r="E63" s="1016" t="s">
        <v>2008</v>
      </c>
      <c r="F63" s="1016" t="s">
        <v>1276</v>
      </c>
      <c r="G63" s="2289" t="s">
        <v>1177</v>
      </c>
      <c r="H63" s="2290"/>
      <c r="I63" s="2290"/>
      <c r="J63" s="2290"/>
    </row>
    <row r="64" spans="2:10" ht="39" customHeight="1">
      <c r="C64" s="888">
        <v>1</v>
      </c>
      <c r="D64" s="889" t="str" cm="1">
        <f t="array" aca="1" ref="D64" ca="1">IF(SUMPRODUCT((Actions!$BB$2:$BB$46=C64)*(Actions!$F$2:$F$46))=0,"","A"&amp;SUMPRODUCT((Actions!$BB$2:$BB$46=C64)*(Actions!$F$2:$F$46)))</f>
        <v/>
      </c>
      <c r="E64" s="889" t="str">
        <f ca="1">IF(ISNA(VLOOKUP(D64,Actions!$A$2:$AX$46,41,0)),"",IF(VLOOKUP(D64,Actions!$A$2:$AX$46,50,0)=1,"Atténuation","Adaptation"))</f>
        <v/>
      </c>
      <c r="F64" s="889" t="str">
        <f ca="1">IF(ISNA(VLOOKUP(D64,Actions!$A$2:$BA$46,46,0)),"",IF(VLOOKUP(D64,Actions!$A$2:$BA$46,53,0)=TRUE,"x",""))</f>
        <v/>
      </c>
      <c r="G64" s="2288" t="str">
        <f ca="1">IF(ISNA(VLOOKUP(D64,Actions!$A$2:$BA$46,7,0)),"",VLOOKUP(D64,Actions!$A$2:$BA$46,7,0))</f>
        <v/>
      </c>
      <c r="H64" s="2288"/>
      <c r="I64" s="2288"/>
      <c r="J64" s="2288"/>
    </row>
    <row r="65" spans="3:10" ht="37.65" customHeight="1">
      <c r="C65" s="59">
        <v>2</v>
      </c>
      <c r="D65" s="889" t="str" cm="1">
        <f t="array" aca="1" ref="D65" ca="1">IF(SUMPRODUCT((Actions!$BB$2:$BB$46=C65)*(Actions!$F$2:$F$46))=0,"","A"&amp;SUMPRODUCT((Actions!$BB$2:$BB$46=C65)*(Actions!$F$2:$F$46)))</f>
        <v/>
      </c>
      <c r="E65" s="889" t="str">
        <f ca="1">IF(ISNA(VLOOKUP(D65,Actions!$A$2:$AX$46,41,0)),"",IF(VLOOKUP(D65,Actions!$A$2:$AX$46,50,0)=1,"Atténuation","Adaptation"))</f>
        <v/>
      </c>
      <c r="F65" s="889" t="str">
        <f ca="1">IF(ISNA(VLOOKUP(D65,Actions!$A$2:$BA$46,46,0)),"",IF(VLOOKUP(D65,Actions!$A$2:$BA$46,53,0)=TRUE,"x",""))</f>
        <v/>
      </c>
      <c r="G65" s="2288" t="str">
        <f ca="1">IF(ISNA(VLOOKUP(D65,Actions!$A$2:$BA$46,7,0)),"",VLOOKUP(D65,Actions!$A$2:$BA$46,7,0))</f>
        <v/>
      </c>
      <c r="H65" s="2288"/>
      <c r="I65" s="2288"/>
      <c r="J65" s="2288"/>
    </row>
    <row r="66" spans="3:10" ht="27.6" customHeight="1">
      <c r="C66" s="59">
        <v>3</v>
      </c>
      <c r="D66" s="889" t="str" cm="1">
        <f t="array" aca="1" ref="D66" ca="1">IF(SUMPRODUCT((Actions!$BB$2:$BB$46=C66)*(Actions!$F$2:$F$46))=0,"","A"&amp;SUMPRODUCT((Actions!$BB$2:$BB$46=C66)*(Actions!$F$2:$F$46)))</f>
        <v/>
      </c>
      <c r="E66" s="889" t="str">
        <f ca="1">IF(ISNA(VLOOKUP(D66,Actions!$A$2:$AX$46,41,0)),"",IF(VLOOKUP(D66,Actions!$A$2:$AX$46,50,0)=1,"Atténuation","Adaptation"))</f>
        <v/>
      </c>
      <c r="F66" s="889" t="str">
        <f ca="1">IF(ISNA(VLOOKUP(D66,Actions!$A$2:$BA$46,46,0)),"",IF(VLOOKUP(D66,Actions!$A$2:$BA$46,53,0)=TRUE,"x",""))</f>
        <v/>
      </c>
      <c r="G66" s="2288" t="str">
        <f ca="1">IF(ISNA(VLOOKUP(D66,Actions!$A$2:$BA$46,7,0)),"",VLOOKUP(D66,Actions!$A$2:$BA$46,7,0))</f>
        <v/>
      </c>
      <c r="H66" s="2288"/>
      <c r="I66" s="2288"/>
      <c r="J66" s="2288"/>
    </row>
    <row r="67" spans="3:10" ht="30" customHeight="1">
      <c r="C67" s="59">
        <v>4</v>
      </c>
      <c r="D67" s="889" t="str" cm="1">
        <f t="array" aca="1" ref="D67" ca="1">IF(SUMPRODUCT((Actions!$BB$2:$BB$46=C67)*(Actions!$F$2:$F$46))=0,"","A"&amp;SUMPRODUCT((Actions!$BB$2:$BB$46=C67)*(Actions!$F$2:$F$46)))</f>
        <v/>
      </c>
      <c r="E67" s="889" t="str">
        <f ca="1">IF(ISNA(VLOOKUP(D67,Actions!$A$2:$AX$46,41,0)),"",IF(VLOOKUP(D67,Actions!$A$2:$AX$46,50,0)=1,"Atténuation","Adaptation"))</f>
        <v/>
      </c>
      <c r="F67" s="889" t="str">
        <f ca="1">IF(ISNA(VLOOKUP(D67,Actions!$A$2:$BA$46,46,0)),"",IF(VLOOKUP(D67,Actions!$A$2:$BA$46,53,0)=TRUE,"x",""))</f>
        <v/>
      </c>
      <c r="G67" s="2288" t="str">
        <f ca="1">IF(ISNA(VLOOKUP(D67,Actions!$A$2:$BA$46,7,0)),"",VLOOKUP(D67,Actions!$A$2:$BA$46,7,0))</f>
        <v/>
      </c>
      <c r="H67" s="2288"/>
      <c r="I67" s="2288"/>
      <c r="J67" s="2288"/>
    </row>
    <row r="68" spans="3:10" ht="37.65" customHeight="1">
      <c r="C68" s="59">
        <v>5</v>
      </c>
      <c r="D68" s="889" t="str" cm="1">
        <f t="array" aca="1" ref="D68" ca="1">IF(SUMPRODUCT((Actions!$BB$2:$BB$46=C68)*(Actions!$F$2:$F$46))=0,"","A"&amp;SUMPRODUCT((Actions!$BB$2:$BB$46=C68)*(Actions!$F$2:$F$46)))</f>
        <v/>
      </c>
      <c r="E68" s="889" t="str">
        <f ca="1">IF(ISNA(VLOOKUP(D68,Actions!$A$2:$AX$46,41,0)),"",IF(VLOOKUP(D68,Actions!$A$2:$AX$46,50,0)=1,"Atténuation","Adaptation"))</f>
        <v/>
      </c>
      <c r="F68" s="889" t="str">
        <f ca="1">IF(ISNA(VLOOKUP(D68,Actions!$A$2:$BA$46,46,0)),"",IF(VLOOKUP(D68,Actions!$A$2:$BA$46,53,0)=TRUE,"x",""))</f>
        <v/>
      </c>
      <c r="G68" s="2288" t="str">
        <f ca="1">IF(ISNA(VLOOKUP(D68,Actions!$A$2:$BA$46,7,0)),"",VLOOKUP(D68,Actions!$A$2:$BA$46,7,0))</f>
        <v/>
      </c>
      <c r="H68" s="2288"/>
      <c r="I68" s="2288"/>
      <c r="J68" s="2288"/>
    </row>
    <row r="69" spans="3:10" ht="36.6" customHeight="1">
      <c r="C69" s="59">
        <v>6</v>
      </c>
      <c r="D69" s="889" t="str" cm="1">
        <f t="array" aca="1" ref="D69" ca="1">IF(SUMPRODUCT((Actions!$BB$2:$BB$46=C69)*(Actions!$F$2:$F$46))=0,"","A"&amp;SUMPRODUCT((Actions!$BB$2:$BB$46=C69)*(Actions!$F$2:$F$46)))</f>
        <v/>
      </c>
      <c r="E69" s="889" t="str">
        <f ca="1">IF(ISNA(VLOOKUP(D69,Actions!$A$2:$AX$46,41,0)),"",IF(VLOOKUP(D69,Actions!$A$2:$AX$46,50,0)=1,"Atténuation","Adaptation"))</f>
        <v/>
      </c>
      <c r="F69" s="889" t="str">
        <f ca="1">IF(ISNA(VLOOKUP(D69,Actions!$A$2:$BA$46,46,0)),"",IF(VLOOKUP(D69,Actions!$A$2:$BA$46,53,0)=TRUE,"x",""))</f>
        <v/>
      </c>
      <c r="G69" s="2288" t="str">
        <f ca="1">IF(ISNA(VLOOKUP(D69,Actions!$A$2:$BA$46,7,0)),"",VLOOKUP(D69,Actions!$A$2:$BA$46,7,0))</f>
        <v/>
      </c>
      <c r="H69" s="2288"/>
      <c r="I69" s="2288"/>
      <c r="J69" s="2288"/>
    </row>
    <row r="70" spans="3:10">
      <c r="C70" s="888">
        <v>7</v>
      </c>
      <c r="D70" s="889" t="str" cm="1">
        <f t="array" aca="1" ref="D70" ca="1">IF(SUMPRODUCT((Actions!$BB$2:$BB$46=C70)*(Actions!$F$2:$F$46))=0,"","A"&amp;SUMPRODUCT((Actions!$BB$2:$BB$46=C70)*(Actions!$F$2:$F$46)))</f>
        <v/>
      </c>
      <c r="E70" s="889" t="str">
        <f ca="1">IF(ISNA(VLOOKUP(D70,Actions!$A$2:$AX$46,41,0)),"",IF(VLOOKUP(D70,Actions!$A$2:$AX$46,50,0)=1,"Atténuation","Adaptation"))</f>
        <v/>
      </c>
      <c r="F70" s="889" t="str">
        <f ca="1">IF(ISNA(VLOOKUP(D70,Actions!$A$2:$BA$46,46,0)),"",IF(VLOOKUP(D70,Actions!$A$2:$BA$46,53,0)=TRUE,"x",""))</f>
        <v/>
      </c>
      <c r="G70" s="2288" t="str">
        <f ca="1">IF(ISNA(VLOOKUP(D70,Actions!$A$2:$BA$46,7,0)),"",VLOOKUP(D70,Actions!$A$2:$BA$46,7,0))</f>
        <v/>
      </c>
      <c r="H70" s="2288"/>
      <c r="I70" s="2288"/>
      <c r="J70" s="2288"/>
    </row>
    <row r="71" spans="3:10">
      <c r="C71" s="59">
        <v>8</v>
      </c>
      <c r="D71" s="889" t="str" cm="1">
        <f t="array" aca="1" ref="D71" ca="1">IF(SUMPRODUCT((Actions!$BB$2:$BB$46=C71)*(Actions!$F$2:$F$46))=0,"","A"&amp;SUMPRODUCT((Actions!$BB$2:$BB$46=C71)*(Actions!$F$2:$F$46)))</f>
        <v/>
      </c>
      <c r="E71" s="889" t="str">
        <f ca="1">IF(ISNA(VLOOKUP(D71,Actions!$A$2:$AX$46,41,0)),"",IF(VLOOKUP(D71,Actions!$A$2:$AX$46,50,0)=1,"Atténuation","Adaptation"))</f>
        <v/>
      </c>
      <c r="F71" s="889" t="str">
        <f ca="1">IF(ISNA(VLOOKUP(D71,Actions!$A$2:$BA$46,46,0)),"",IF(VLOOKUP(D71,Actions!$A$2:$BA$46,53,0)=TRUE,"x",""))</f>
        <v/>
      </c>
      <c r="G71" s="2288" t="str">
        <f ca="1">IF(ISNA(VLOOKUP(D71,Actions!$A$2:$BA$46,7,0)),"",VLOOKUP(D71,Actions!$A$2:$BA$46,7,0))</f>
        <v/>
      </c>
      <c r="H71" s="2288"/>
      <c r="I71" s="2288"/>
      <c r="J71" s="2288"/>
    </row>
    <row r="72" spans="3:10">
      <c r="C72" s="59">
        <v>9</v>
      </c>
      <c r="D72" s="889" t="str" cm="1">
        <f t="array" aca="1" ref="D72" ca="1">IF(SUMPRODUCT((Actions!$BB$2:$BB$46=C72)*(Actions!$F$2:$F$46))=0,"","A"&amp;SUMPRODUCT((Actions!$BB$2:$BB$46=C72)*(Actions!$F$2:$F$46)))</f>
        <v/>
      </c>
      <c r="E72" s="889" t="str">
        <f ca="1">IF(ISNA(VLOOKUP(D72,Actions!$A$2:$AX$46,41,0)),"",IF(VLOOKUP(D72,Actions!$A$2:$AX$46,50,0)=1,"Atténuation","Adaptation"))</f>
        <v/>
      </c>
      <c r="F72" s="889" t="str">
        <f ca="1">IF(ISNA(VLOOKUP(D72,Actions!$A$2:$BA$46,46,0)),"",IF(VLOOKUP(D72,Actions!$A$2:$BA$46,53,0)=TRUE,"x",""))</f>
        <v/>
      </c>
      <c r="G72" s="2288" t="str">
        <f ca="1">IF(ISNA(VLOOKUP(D72,Actions!$A$2:$BA$46,7,0)),"",VLOOKUP(D72,Actions!$A$2:$BA$46,7,0))</f>
        <v/>
      </c>
      <c r="H72" s="2288"/>
      <c r="I72" s="2288"/>
      <c r="J72" s="2288"/>
    </row>
    <row r="73" spans="3:10">
      <c r="C73" s="59">
        <v>10</v>
      </c>
      <c r="D73" s="889" t="str" cm="1">
        <f t="array" aca="1" ref="D73" ca="1">IF(SUMPRODUCT((Actions!$BB$2:$BB$46=C73)*(Actions!$F$2:$F$46))=0,"","A"&amp;SUMPRODUCT((Actions!$BB$2:$BB$46=C73)*(Actions!$F$2:$F$46)))</f>
        <v/>
      </c>
      <c r="E73" s="889" t="str">
        <f ca="1">IF(ISNA(VLOOKUP(D73,Actions!$A$2:$AX$46,41,0)),"",IF(VLOOKUP(D73,Actions!$A$2:$AX$46,50,0)=1,"Atténuation","Adaptation"))</f>
        <v/>
      </c>
      <c r="F73" s="889" t="str">
        <f ca="1">IF(ISNA(VLOOKUP(D73,Actions!$A$2:$BA$46,46,0)),"",IF(VLOOKUP(D73,Actions!$A$2:$BA$46,53,0)=TRUE,"x",""))</f>
        <v/>
      </c>
      <c r="G73" s="2288" t="str">
        <f ca="1">IF(ISNA(VLOOKUP(D73,Actions!$A$2:$BA$46,7,0)),"",VLOOKUP(D73,Actions!$A$2:$BA$46,7,0))</f>
        <v/>
      </c>
      <c r="H73" s="2288"/>
      <c r="I73" s="2288"/>
      <c r="J73" s="2288"/>
    </row>
    <row r="74" spans="3:10">
      <c r="C74" s="59">
        <v>11</v>
      </c>
      <c r="D74" s="889" t="str" cm="1">
        <f t="array" aca="1" ref="D74" ca="1">IF(SUMPRODUCT((Actions!$BB$2:$BB$46=C74)*(Actions!$F$2:$F$46))=0,"","A"&amp;SUMPRODUCT((Actions!$BB$2:$BB$46=C74)*(Actions!$F$2:$F$46)))</f>
        <v/>
      </c>
      <c r="E74" s="889" t="str">
        <f ca="1">IF(ISNA(VLOOKUP(D74,Actions!$A$2:$AX$46,41,0)),"",IF(VLOOKUP(D74,Actions!$A$2:$AX$46,50,0)=1,"Atténuation","Adaptation"))</f>
        <v/>
      </c>
      <c r="F74" s="889" t="str">
        <f ca="1">IF(ISNA(VLOOKUP(D74,Actions!$A$2:$BA$46,46,0)),"",IF(VLOOKUP(D74,Actions!$A$2:$BA$46,53,0)=TRUE,"x",""))</f>
        <v/>
      </c>
      <c r="G74" s="2288" t="str">
        <f ca="1">IF(ISNA(VLOOKUP(D74,Actions!$A$2:$BA$46,7,0)),"",VLOOKUP(D74,Actions!$A$2:$BA$46,7,0))</f>
        <v/>
      </c>
      <c r="H74" s="2288"/>
      <c r="I74" s="2288"/>
      <c r="J74" s="2288"/>
    </row>
    <row r="75" spans="3:10">
      <c r="C75" s="59">
        <v>12</v>
      </c>
      <c r="D75" s="889" t="str" cm="1">
        <f t="array" aca="1" ref="D75" ca="1">IF(SUMPRODUCT((Actions!$BB$2:$BB$46=C75)*(Actions!$F$2:$F$46))=0,"","A"&amp;SUMPRODUCT((Actions!$BB$2:$BB$46=C75)*(Actions!$F$2:$F$46)))</f>
        <v/>
      </c>
      <c r="E75" s="889" t="str">
        <f ca="1">IF(ISNA(VLOOKUP(D75,Actions!$A$2:$AX$46,41,0)),"",IF(VLOOKUP(D75,Actions!$A$2:$AX$46,50,0)=1,"Atténuation","Adaptation"))</f>
        <v/>
      </c>
      <c r="F75" s="889" t="str">
        <f ca="1">IF(ISNA(VLOOKUP(D75,Actions!$A$2:$BA$46,46,0)),"",IF(VLOOKUP(D75,Actions!$A$2:$BA$46,53,0)=TRUE,"x",""))</f>
        <v/>
      </c>
      <c r="G75" s="2288" t="str">
        <f ca="1">IF(ISNA(VLOOKUP(D75,Actions!$A$2:$BA$46,7,0)),"",VLOOKUP(D75,Actions!$A$2:$BA$46,7,0))</f>
        <v/>
      </c>
      <c r="H75" s="2288"/>
      <c r="I75" s="2288"/>
      <c r="J75" s="2288"/>
    </row>
  </sheetData>
  <sheetProtection algorithmName="SHA-512" hashValue="kxd2Eu+NDP4l37h2mCFP2RAT7eLQamz8jJxk4gQml1PMbqtltcGHzQesSqIf6rk6hgMjm1h8ltLSRrTl1lSX4Q==" saltValue="XmH9cJh2KkBHTFo+PsPC2w==" spinCount="100000" sheet="1" objects="1" scenarios="1"/>
  <mergeCells count="32">
    <mergeCell ref="C49:C51"/>
    <mergeCell ref="D49:D51"/>
    <mergeCell ref="E49:H49"/>
    <mergeCell ref="E58:H58"/>
    <mergeCell ref="C47:I47"/>
    <mergeCell ref="O5:P5"/>
    <mergeCell ref="I19:J19"/>
    <mergeCell ref="I5:K5"/>
    <mergeCell ref="E18:H18"/>
    <mergeCell ref="E26:H26"/>
    <mergeCell ref="M5:N5"/>
    <mergeCell ref="C26:C28"/>
    <mergeCell ref="D26:D28"/>
    <mergeCell ref="C3:F3"/>
    <mergeCell ref="C5:C7"/>
    <mergeCell ref="D5:D7"/>
    <mergeCell ref="E5:H5"/>
    <mergeCell ref="G2:K2"/>
    <mergeCell ref="G73:J73"/>
    <mergeCell ref="G74:J74"/>
    <mergeCell ref="G75:J75"/>
    <mergeCell ref="G68:J68"/>
    <mergeCell ref="G69:J69"/>
    <mergeCell ref="G70:J70"/>
    <mergeCell ref="G71:J71"/>
    <mergeCell ref="G72:J72"/>
    <mergeCell ref="G63:J63"/>
    <mergeCell ref="G64:J64"/>
    <mergeCell ref="G65:J65"/>
    <mergeCell ref="G66:J66"/>
    <mergeCell ref="G67:J67"/>
    <mergeCell ref="E42:H42"/>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8779A-3A81-4794-A383-6C179429113F}">
  <sheetPr codeName="Feuil25">
    <tabColor theme="8" tint="0.79998168889431442"/>
  </sheetPr>
  <dimension ref="C1:L151"/>
  <sheetViews>
    <sheetView showGridLines="0" zoomScale="90" zoomScaleNormal="90" workbookViewId="0">
      <selection activeCell="M97" sqref="M97"/>
    </sheetView>
  </sheetViews>
  <sheetFormatPr baseColWidth="10" defaultColWidth="11.44140625" defaultRowHeight="14.4" outlineLevelRow="1"/>
  <cols>
    <col min="1" max="1" width="28.5546875" customWidth="1"/>
    <col min="2" max="2" width="7.44140625" customWidth="1"/>
    <col min="3" max="3" width="29.5546875" customWidth="1"/>
    <col min="4" max="4" width="6.88671875" style="902" bestFit="1" customWidth="1"/>
    <col min="5" max="5" width="3.5546875" customWidth="1"/>
    <col min="6" max="6" width="21.109375" customWidth="1"/>
    <col min="7" max="7" width="14.44140625" customWidth="1"/>
    <col min="8" max="8" width="12" customWidth="1"/>
    <col min="9" max="9" width="11.44140625" customWidth="1"/>
    <col min="10" max="10" width="13.5546875" customWidth="1"/>
    <col min="11" max="11" width="14.88671875" customWidth="1"/>
    <col min="12" max="12" width="11.5546875" bestFit="1" customWidth="1"/>
    <col min="14" max="20" width="0" hidden="1" customWidth="1"/>
  </cols>
  <sheetData>
    <row r="1" spans="3:12" ht="111" customHeight="1"/>
    <row r="2" spans="3:12" ht="18">
      <c r="C2" s="2249" t="s">
        <v>2009</v>
      </c>
      <c r="D2" s="2249"/>
      <c r="E2" s="2249"/>
      <c r="F2" s="2249"/>
      <c r="G2" s="2249"/>
      <c r="H2" s="2278" t="s">
        <v>1855</v>
      </c>
      <c r="I2" s="2279"/>
      <c r="J2" s="2279"/>
      <c r="K2" s="2279"/>
      <c r="L2" s="2280"/>
    </row>
    <row r="3" spans="3:12" ht="56.4" customHeight="1"/>
    <row r="4" spans="3:12" ht="17.399999999999999">
      <c r="C4" s="880" t="s">
        <v>2010</v>
      </c>
      <c r="D4" s="1018" t="str">
        <f ca="1">IF(ISERROR(INDIRECT("'"&amp;$K10&amp;"'!e$2")),"-",IF(INDIRECT("'"&amp;$K10&amp;"'!e$2")=1,"X",""))</f>
        <v>-</v>
      </c>
      <c r="F4" s="882" t="s">
        <v>708</v>
      </c>
    </row>
    <row r="5" spans="3:12" ht="15.6">
      <c r="D5" s="903"/>
      <c r="F5" s="881"/>
    </row>
    <row r="6" spans="3:12" ht="15.6" customHeight="1">
      <c r="D6" s="1018" t="str">
        <f ca="1">IF(D4="X","","X")</f>
        <v>X</v>
      </c>
      <c r="F6" s="882" t="s">
        <v>327</v>
      </c>
    </row>
    <row r="7" spans="3:12" ht="15.6">
      <c r="D7" s="903"/>
      <c r="F7" s="881"/>
    </row>
    <row r="8" spans="3:12" ht="16.350000000000001" customHeight="1">
      <c r="D8" s="1018" t="str">
        <f ca="1">IF(ISERROR(INDIRECT("'"&amp;$K10&amp;"'!e$3")),"-",IF(INDIRECT("'"&amp;$K10&amp;"'!e$3")=TRUE,"X",""))</f>
        <v>-</v>
      </c>
      <c r="F8" s="882" t="s">
        <v>1276</v>
      </c>
    </row>
    <row r="10" spans="3:12" ht="17.399999999999999">
      <c r="C10" s="880" t="s">
        <v>724</v>
      </c>
      <c r="D10" s="2336" t="str">
        <f ca="1">IF(ISERROR(INDIRECT("'"&amp;$K10&amp;"'!b$13")),"-",INDIRECT("'"&amp;$K10&amp;"'!b$13"))</f>
        <v>-</v>
      </c>
      <c r="E10" s="2337"/>
      <c r="F10" s="2337"/>
      <c r="G10" s="2337"/>
      <c r="H10" s="2337"/>
      <c r="I10" s="2337"/>
      <c r="J10" s="2338"/>
      <c r="K10" s="55" t="str">
        <f ca="1">'Mes actions'!D64</f>
        <v/>
      </c>
    </row>
    <row r="11" spans="3:12">
      <c r="D11" s="2339"/>
      <c r="E11" s="2340"/>
      <c r="F11" s="2340"/>
      <c r="G11" s="2340"/>
      <c r="H11" s="2340"/>
      <c r="I11" s="2340"/>
      <c r="J11" s="2341"/>
    </row>
    <row r="14" spans="3:12" ht="17.399999999999999">
      <c r="C14" s="880" t="s">
        <v>2011</v>
      </c>
    </row>
    <row r="16" spans="3:12" ht="17.399999999999999" customHeight="1">
      <c r="C16" s="2353" t="s">
        <v>1073</v>
      </c>
      <c r="D16" s="2336" t="str">
        <f ca="1">IF(ISERROR(INDIRECT("'"&amp;$K10&amp;"'!b$11")),"-",INDIRECT("'"&amp;$K10&amp;"'!b$11"))</f>
        <v>-</v>
      </c>
      <c r="E16" s="2337"/>
      <c r="F16" s="2337"/>
      <c r="G16" s="2337"/>
      <c r="H16" s="2337"/>
      <c r="I16" s="2337"/>
      <c r="J16" s="2338"/>
    </row>
    <row r="17" spans="3:10">
      <c r="C17" s="2353"/>
      <c r="D17" s="2339"/>
      <c r="E17" s="2340"/>
      <c r="F17" s="2340"/>
      <c r="G17" s="2340"/>
      <c r="H17" s="2340"/>
      <c r="I17" s="2340"/>
      <c r="J17" s="2341"/>
    </row>
    <row r="19" spans="3:10" ht="34.799999999999997">
      <c r="C19" s="883" t="s">
        <v>2012</v>
      </c>
      <c r="D19" s="2332" t="str">
        <f ca="1">D16</f>
        <v>-</v>
      </c>
      <c r="E19" s="2333"/>
      <c r="F19" s="2333"/>
      <c r="G19" s="2333"/>
      <c r="H19" s="2333"/>
      <c r="I19" s="2333"/>
      <c r="J19" s="2334"/>
    </row>
    <row r="22" spans="3:10" ht="34.799999999999997">
      <c r="C22" s="883" t="s">
        <v>2013</v>
      </c>
      <c r="D22" s="2343" t="str">
        <f ca="1">IF(ISERROR(INDIRECT("'"&amp;$K10&amp;"'!b$14")),"-",INDIRECT("'"&amp;$K10&amp;"'!b$14"))</f>
        <v>-</v>
      </c>
      <c r="E22" s="2344"/>
      <c r="F22" s="2344"/>
      <c r="G22" s="2344"/>
      <c r="H22" s="2344"/>
      <c r="I22" s="2344"/>
      <c r="J22" s="2345"/>
    </row>
    <row r="23" spans="3:10">
      <c r="D23" s="2346"/>
      <c r="E23" s="2347"/>
      <c r="F23" s="2347"/>
      <c r="G23" s="2347"/>
      <c r="H23" s="2347"/>
      <c r="I23" s="2347"/>
      <c r="J23" s="2348"/>
    </row>
    <row r="24" spans="3:10">
      <c r="D24" s="2346"/>
      <c r="E24" s="2347"/>
      <c r="F24" s="2347"/>
      <c r="G24" s="2347"/>
      <c r="H24" s="2347"/>
      <c r="I24" s="2347"/>
      <c r="J24" s="2348"/>
    </row>
    <row r="25" spans="3:10">
      <c r="D25" s="2346"/>
      <c r="E25" s="2347"/>
      <c r="F25" s="2347"/>
      <c r="G25" s="2347"/>
      <c r="H25" s="2347"/>
      <c r="I25" s="2347"/>
      <c r="J25" s="2348"/>
    </row>
    <row r="26" spans="3:10">
      <c r="D26" s="2346"/>
      <c r="E26" s="2347"/>
      <c r="F26" s="2347"/>
      <c r="G26" s="2347"/>
      <c r="H26" s="2347"/>
      <c r="I26" s="2347"/>
      <c r="J26" s="2348"/>
    </row>
    <row r="27" spans="3:10">
      <c r="D27" s="2346"/>
      <c r="E27" s="2347"/>
      <c r="F27" s="2347"/>
      <c r="G27" s="2347"/>
      <c r="H27" s="2347"/>
      <c r="I27" s="2347"/>
      <c r="J27" s="2348"/>
    </row>
    <row r="28" spans="3:10">
      <c r="D28" s="2346"/>
      <c r="E28" s="2347"/>
      <c r="F28" s="2347"/>
      <c r="G28" s="2347"/>
      <c r="H28" s="2347"/>
      <c r="I28" s="2347"/>
      <c r="J28" s="2348"/>
    </row>
    <row r="29" spans="3:10">
      <c r="D29" s="2349"/>
      <c r="E29" s="2350"/>
      <c r="F29" s="2350"/>
      <c r="G29" s="2350"/>
      <c r="H29" s="2350"/>
      <c r="I29" s="2350"/>
      <c r="J29" s="2351"/>
    </row>
    <row r="31" spans="3:10" ht="31.35" customHeight="1">
      <c r="C31" s="884" t="s">
        <v>2014</v>
      </c>
      <c r="D31" s="2352"/>
      <c r="E31" s="2352"/>
      <c r="F31" s="2352"/>
      <c r="G31" s="2352"/>
      <c r="H31" s="2352"/>
      <c r="I31" s="2352"/>
      <c r="J31" s="2352"/>
    </row>
    <row r="33" spans="3:10" ht="28.35" customHeight="1">
      <c r="C33" s="884" t="s">
        <v>2015</v>
      </c>
      <c r="D33" s="2352"/>
      <c r="E33" s="2352"/>
      <c r="F33" s="2352"/>
      <c r="G33" s="2352"/>
      <c r="H33" s="2352"/>
      <c r="I33" s="2352"/>
      <c r="J33" s="2352"/>
    </row>
    <row r="35" spans="3:10" ht="17.399999999999999">
      <c r="C35" s="880" t="s">
        <v>2016</v>
      </c>
    </row>
    <row r="41" spans="3:10" ht="24" customHeight="1"/>
    <row r="42" spans="3:10" ht="34.799999999999997">
      <c r="C42" s="883" t="s">
        <v>2017</v>
      </c>
      <c r="D42" s="2332" t="str">
        <f ca="1">IF(ISERROR(INDIRECT("'"&amp;$K10&amp;"'!b$19")),"-",INDIRECT("'"&amp;$K10&amp;"'!b$20"))</f>
        <v>-</v>
      </c>
      <c r="E42" s="2333"/>
      <c r="F42" s="2333"/>
      <c r="G42" s="2333"/>
      <c r="H42" s="2333"/>
      <c r="I42" s="2333"/>
      <c r="J42" s="2334"/>
    </row>
    <row r="43" spans="3:10">
      <c r="E43" s="902"/>
      <c r="F43" s="902"/>
      <c r="G43" s="902"/>
      <c r="H43" s="902"/>
      <c r="I43" s="902"/>
      <c r="J43" s="902"/>
    </row>
    <row r="44" spans="3:10" ht="33.6" customHeight="1">
      <c r="C44" s="883" t="s">
        <v>2018</v>
      </c>
      <c r="D44" s="2332" t="str">
        <f ca="1">IF(ISERROR(INDIRECT("'"&amp;$K10&amp;"'!b$20")),"-",INDIRECT("'"&amp;$K10&amp;"'!b$21"))</f>
        <v>-</v>
      </c>
      <c r="E44" s="2333"/>
      <c r="F44" s="2333"/>
      <c r="G44" s="2333"/>
      <c r="H44" s="2333"/>
      <c r="I44" s="2333"/>
      <c r="J44" s="2334"/>
    </row>
    <row r="45" spans="3:10">
      <c r="E45" s="902"/>
      <c r="F45" s="902"/>
      <c r="G45" s="902"/>
      <c r="H45" s="902"/>
      <c r="I45" s="902"/>
      <c r="J45" s="902"/>
    </row>
    <row r="46" spans="3:10" ht="34.799999999999997">
      <c r="C46" s="883" t="s">
        <v>2019</v>
      </c>
      <c r="D46" s="2332" t="str">
        <f ca="1">IF(ISERROR(INDIRECT("'"&amp;$K10&amp;"'!e$6")),"-",INDIRECT("'"&amp;$K10&amp;"'!e$6"))</f>
        <v>-</v>
      </c>
      <c r="E46" s="2333"/>
      <c r="F46" s="2333"/>
      <c r="G46" s="2333"/>
      <c r="H46" s="2333"/>
      <c r="I46" s="2333"/>
      <c r="J46" s="2334"/>
    </row>
    <row r="49" spans="3:10" ht="36">
      <c r="C49" s="655" t="s">
        <v>2020</v>
      </c>
    </row>
    <row r="51" spans="3:10" ht="23.4" customHeight="1" thickBot="1">
      <c r="C51" s="2322" t="s">
        <v>1282</v>
      </c>
      <c r="D51" s="2322"/>
      <c r="E51" s="2322"/>
      <c r="F51" s="2322"/>
      <c r="G51" s="2322"/>
      <c r="H51" s="2322"/>
      <c r="I51" s="2342"/>
      <c r="J51" s="885" t="s">
        <v>2021</v>
      </c>
    </row>
    <row r="52" spans="3:10" ht="32.4" customHeight="1" thickBot="1">
      <c r="C52" s="2335" t="s">
        <v>1291</v>
      </c>
      <c r="D52" s="2335"/>
      <c r="E52" s="2335"/>
      <c r="F52" s="2335"/>
      <c r="G52" s="2335"/>
      <c r="H52" s="2335"/>
      <c r="I52" s="2335"/>
      <c r="J52" s="904"/>
    </row>
    <row r="53" spans="3:10" ht="32.4" customHeight="1" thickBot="1">
      <c r="C53" s="2335" t="s">
        <v>1300</v>
      </c>
      <c r="D53" s="2335"/>
      <c r="E53" s="2335"/>
      <c r="F53" s="2335"/>
      <c r="G53" s="2335"/>
      <c r="H53" s="2335"/>
      <c r="I53" s="2335"/>
      <c r="J53" s="904"/>
    </row>
    <row r="54" spans="3:10" ht="32.4" customHeight="1" thickBot="1">
      <c r="C54" s="2335" t="s">
        <v>1310</v>
      </c>
      <c r="D54" s="2335"/>
      <c r="E54" s="2335"/>
      <c r="F54" s="2335"/>
      <c r="G54" s="2335"/>
      <c r="H54" s="2335"/>
      <c r="I54" s="2335"/>
      <c r="J54" s="904"/>
    </row>
    <row r="55" spans="3:10" ht="32.4" customHeight="1" thickBot="1">
      <c r="C55" s="2335" t="s">
        <v>1318</v>
      </c>
      <c r="D55" s="2335"/>
      <c r="E55" s="2335"/>
      <c r="F55" s="2335"/>
      <c r="G55" s="2335"/>
      <c r="H55" s="2335"/>
      <c r="I55" s="2335"/>
      <c r="J55" s="904"/>
    </row>
    <row r="56" spans="3:10" ht="32.4" customHeight="1" thickBot="1">
      <c r="C56" s="2335" t="s">
        <v>1326</v>
      </c>
      <c r="D56" s="2335"/>
      <c r="E56" s="2335"/>
      <c r="F56" s="2335"/>
      <c r="G56" s="2335"/>
      <c r="H56" s="2335"/>
      <c r="I56" s="2335"/>
      <c r="J56" s="904"/>
    </row>
    <row r="57" spans="3:10" ht="32.4" customHeight="1" thickBot="1">
      <c r="C57" s="2335" t="s">
        <v>1331</v>
      </c>
      <c r="D57" s="2335"/>
      <c r="E57" s="2335"/>
      <c r="F57" s="2335"/>
      <c r="G57" s="2335"/>
      <c r="H57" s="2335"/>
      <c r="I57" s="2335"/>
      <c r="J57" s="904"/>
    </row>
    <row r="58" spans="3:10" ht="32.4" customHeight="1" thickBot="1">
      <c r="C58" s="2335" t="s">
        <v>1336</v>
      </c>
      <c r="D58" s="2335"/>
      <c r="E58" s="2335"/>
      <c r="F58" s="2335"/>
      <c r="G58" s="2335"/>
      <c r="H58" s="2335"/>
      <c r="I58" s="2335"/>
      <c r="J58" s="904"/>
    </row>
    <row r="59" spans="3:10" ht="32.4" customHeight="1" thickBot="1">
      <c r="C59" s="2335" t="s">
        <v>775</v>
      </c>
      <c r="D59" s="2335"/>
      <c r="E59" s="2335"/>
      <c r="F59" s="2335"/>
      <c r="G59" s="2335"/>
      <c r="H59" s="2335"/>
      <c r="I59" s="2335"/>
      <c r="J59" s="904"/>
    </row>
    <row r="61" spans="3:10" ht="17.399999999999999">
      <c r="C61" s="880" t="s">
        <v>91</v>
      </c>
      <c r="D61" s="2354"/>
      <c r="E61" s="2354"/>
      <c r="F61" s="2354"/>
      <c r="G61" s="2354"/>
      <c r="H61" s="2354"/>
      <c r="I61" s="2354"/>
    </row>
    <row r="62" spans="3:10">
      <c r="D62" s="2354"/>
      <c r="E62" s="2354"/>
      <c r="F62" s="2354"/>
      <c r="G62" s="2354"/>
      <c r="H62" s="2354"/>
      <c r="I62" s="2354"/>
    </row>
    <row r="63" spans="3:10">
      <c r="D63" s="2354"/>
      <c r="E63" s="2354"/>
      <c r="F63" s="2354"/>
      <c r="G63" s="2354"/>
      <c r="H63" s="2354"/>
      <c r="I63" s="2354"/>
    </row>
    <row r="64" spans="3:10">
      <c r="D64" s="2354"/>
      <c r="E64" s="2354"/>
      <c r="F64" s="2354"/>
      <c r="G64" s="2354"/>
      <c r="H64" s="2354"/>
      <c r="I64" s="2354"/>
    </row>
    <row r="65" spans="3:10">
      <c r="D65" s="2354"/>
      <c r="E65" s="2354"/>
      <c r="F65" s="2354"/>
      <c r="G65" s="2354"/>
      <c r="H65" s="2354"/>
      <c r="I65" s="2354"/>
    </row>
    <row r="66" spans="3:10">
      <c r="D66" s="2354"/>
      <c r="E66" s="2354"/>
      <c r="F66" s="2354"/>
      <c r="G66" s="2354"/>
      <c r="H66" s="2354"/>
      <c r="I66" s="2354"/>
    </row>
    <row r="67" spans="3:10">
      <c r="D67" s="2354"/>
      <c r="E67" s="2354"/>
      <c r="F67" s="2354"/>
      <c r="G67" s="2354"/>
      <c r="H67" s="2354"/>
      <c r="I67" s="2354"/>
    </row>
    <row r="69" spans="3:10" ht="55.35" customHeight="1">
      <c r="C69" s="886" t="s">
        <v>2022</v>
      </c>
    </row>
    <row r="70" spans="3:10" ht="33.6" customHeight="1">
      <c r="C70" s="883" t="s">
        <v>2023</v>
      </c>
      <c r="D70" s="2355" t="str">
        <f ca="1">IF(ISERROR(INDIRECT("'"&amp;$K10&amp;"'!b$22")),"-",INDIRECT("'"&amp;$K10&amp;"'!b$23"))</f>
        <v>-</v>
      </c>
      <c r="E70" s="2355"/>
      <c r="F70" s="2355"/>
      <c r="G70" s="2355"/>
      <c r="H70" s="2355"/>
      <c r="I70" s="2355"/>
    </row>
    <row r="72" spans="3:10" ht="28.35" customHeight="1" thickBot="1">
      <c r="C72" s="2322" t="s">
        <v>1283</v>
      </c>
      <c r="D72" s="2322"/>
      <c r="E72" s="2322"/>
      <c r="F72" s="2322"/>
      <c r="G72" s="2322"/>
      <c r="H72" s="2322"/>
      <c r="I72" s="2342"/>
      <c r="J72" s="885" t="s">
        <v>2021</v>
      </c>
    </row>
    <row r="73" spans="3:10" ht="28.35" customHeight="1" thickBot="1">
      <c r="C73" s="2335" t="s">
        <v>1292</v>
      </c>
      <c r="D73" s="2335"/>
      <c r="E73" s="2335"/>
      <c r="F73" s="2335"/>
      <c r="G73" s="2335"/>
      <c r="H73" s="2335"/>
      <c r="I73" s="2356"/>
      <c r="J73" s="1020" t="s">
        <v>1304</v>
      </c>
    </row>
    <row r="74" spans="3:10" ht="28.35" customHeight="1" thickBot="1">
      <c r="C74" s="2335" t="s">
        <v>1301</v>
      </c>
      <c r="D74" s="2335"/>
      <c r="E74" s="2335"/>
      <c r="F74" s="2335"/>
      <c r="G74" s="2335"/>
      <c r="H74" s="2335"/>
      <c r="I74" s="2356"/>
      <c r="J74" s="1021" t="str">
        <f ca="1">IF(ISERROR(INDIRECT("'"&amp;$K10&amp;"'!f$25")),"-",IF(INDIRECT("'"&amp;$K10&amp;"'!f$25")="Subvention nationale/régionale","X",""))</f>
        <v>-</v>
      </c>
    </row>
    <row r="75" spans="3:10" ht="28.35" customHeight="1" thickBot="1">
      <c r="C75" s="2335" t="s">
        <v>1311</v>
      </c>
      <c r="D75" s="2335"/>
      <c r="E75" s="2335"/>
      <c r="F75" s="2335"/>
      <c r="G75" s="2335"/>
      <c r="H75" s="2335"/>
      <c r="I75" s="2356"/>
      <c r="J75" s="1021"/>
    </row>
    <row r="76" spans="3:10" ht="28.35" customHeight="1" thickBot="1">
      <c r="C76" s="2335" t="s">
        <v>1319</v>
      </c>
      <c r="D76" s="2335"/>
      <c r="E76" s="2335"/>
      <c r="F76" s="2335"/>
      <c r="G76" s="2335"/>
      <c r="H76" s="2335"/>
      <c r="I76" s="2356"/>
      <c r="J76" s="1022" t="str">
        <f ca="1">IF(ISERROR(INDIRECT("'"&amp;$K10&amp;"'!f$25")),"-",IF(INDIRECT("'"&amp;$K10&amp;"'!f$25")="Programme européen","X",""))</f>
        <v>-</v>
      </c>
    </row>
    <row r="77" spans="3:10" ht="28.35" customHeight="1" thickBot="1">
      <c r="C77" s="2335" t="s">
        <v>1327</v>
      </c>
      <c r="D77" s="2335"/>
      <c r="E77" s="2335"/>
      <c r="F77" s="2335"/>
      <c r="G77" s="2335"/>
      <c r="H77" s="2335"/>
      <c r="I77" s="2335"/>
      <c r="J77" s="1019"/>
    </row>
    <row r="78" spans="3:10" ht="28.35" customHeight="1" thickBot="1">
      <c r="C78" s="2335" t="s">
        <v>1332</v>
      </c>
      <c r="D78" s="2335"/>
      <c r="E78" s="2335"/>
      <c r="F78" s="2335"/>
      <c r="G78" s="2335"/>
      <c r="H78" s="2335"/>
      <c r="I78" s="2335"/>
      <c r="J78" s="905"/>
    </row>
    <row r="79" spans="3:10" ht="28.35" customHeight="1" thickBot="1">
      <c r="C79" s="2335" t="s">
        <v>157</v>
      </c>
      <c r="D79" s="2335"/>
      <c r="E79" s="2335"/>
      <c r="F79" s="2335"/>
      <c r="G79" s="2335"/>
      <c r="H79" s="2335"/>
      <c r="I79" s="2335"/>
      <c r="J79" s="905"/>
    </row>
    <row r="82" spans="3:10" ht="34.799999999999997">
      <c r="C82" s="883" t="s">
        <v>2024</v>
      </c>
      <c r="D82" s="2357" t="str">
        <f ca="1">IF(ISERROR(INDIRECT("'"&amp;$K10&amp;"'!d$22")),"-",IF(INDIRECT("'"&amp;$K10&amp;"'!d$23")="Investissement",D70,""))</f>
        <v>-</v>
      </c>
      <c r="E82" s="2358"/>
      <c r="F82" s="2358"/>
      <c r="G82" s="2358"/>
      <c r="H82" s="2358"/>
      <c r="I82" s="2359"/>
    </row>
    <row r="83" spans="3:10">
      <c r="D83" s="906"/>
      <c r="E83" s="906"/>
      <c r="F83" s="906"/>
      <c r="G83" s="906"/>
      <c r="H83" s="906"/>
      <c r="I83" s="906"/>
    </row>
    <row r="84" spans="3:10" ht="34.799999999999997">
      <c r="C84" s="883" t="s">
        <v>2025</v>
      </c>
      <c r="D84" s="2357" t="str">
        <f ca="1">IF(ISERROR(INDIRECT("'"&amp;$K10&amp;"'!d$22")),"-",IF(INDIRECT("'"&amp;$K10&amp;"'!d$23")="Non-investissement",D70,""))</f>
        <v>-</v>
      </c>
      <c r="E84" s="2358"/>
      <c r="F84" s="2358"/>
      <c r="G84" s="2358"/>
      <c r="H84" s="2358"/>
      <c r="I84" s="2359"/>
    </row>
    <row r="91" spans="3:10" ht="36" customHeight="1">
      <c r="C91" s="2249" t="s">
        <v>2026</v>
      </c>
      <c r="D91" s="2249"/>
      <c r="E91" s="2249"/>
      <c r="F91" s="2249"/>
    </row>
    <row r="92" spans="3:10" outlineLevel="1"/>
    <row r="93" spans="3:10" ht="17.399999999999999" outlineLevel="1">
      <c r="C93" s="883" t="s">
        <v>103</v>
      </c>
      <c r="D93" s="2332" t="str">
        <f ca="1">IF(D4="X",VLOOKUP(INDIRECT("'"&amp;$K10&amp;"'!A$5"),Categories!X35:Y45,2,0),"")</f>
        <v/>
      </c>
      <c r="E93" s="2333"/>
      <c r="F93" s="2333"/>
      <c r="G93" s="2333"/>
      <c r="H93" s="2333"/>
      <c r="I93" s="2333"/>
      <c r="J93" s="2334"/>
    </row>
    <row r="94" spans="3:10" outlineLevel="1"/>
    <row r="95" spans="3:10" ht="34.799999999999997" outlineLevel="1">
      <c r="C95" s="883" t="s">
        <v>2027</v>
      </c>
      <c r="D95" s="2332" t="str">
        <f ca="1">IF(D4="X",IF(ISERROR(INDIRECT("'"&amp;$K10&amp;"'!b$9")),"-",INDIRECT("'"&amp;$K10&amp;"'!b$9")),"")</f>
        <v/>
      </c>
      <c r="E95" s="2333"/>
      <c r="F95" s="2333"/>
      <c r="G95" s="2333"/>
      <c r="H95" s="2333"/>
      <c r="I95" s="2333"/>
      <c r="J95" s="2334"/>
    </row>
    <row r="96" spans="3:10" outlineLevel="1"/>
    <row r="97" spans="3:10" ht="17.399999999999999" outlineLevel="1">
      <c r="C97" s="883" t="s">
        <v>2028</v>
      </c>
      <c r="D97" s="2332" t="str">
        <f ca="1">IF(D4="X",IF(ISERROR(INDIRECT("'"&amp;$K10&amp;"'!d$9")),"-",INDIRECT("'"&amp;$K10&amp;"'!d$9")),"")</f>
        <v/>
      </c>
      <c r="E97" s="2333"/>
      <c r="F97" s="2333"/>
      <c r="G97" s="2333"/>
      <c r="H97" s="2333"/>
      <c r="I97" s="2333"/>
      <c r="J97" s="2334"/>
    </row>
    <row r="98" spans="3:10" outlineLevel="1"/>
    <row r="99" spans="3:10" outlineLevel="1"/>
    <row r="100" spans="3:10" ht="18" outlineLevel="1">
      <c r="C100" s="2249" t="s">
        <v>2029</v>
      </c>
      <c r="D100" s="2249"/>
      <c r="E100" s="2249"/>
      <c r="F100" s="2249"/>
    </row>
    <row r="101" spans="3:10" outlineLevel="1"/>
    <row r="102" spans="3:10" outlineLevel="1">
      <c r="C102" s="907"/>
      <c r="D102" s="2322">
        <v>2030</v>
      </c>
      <c r="E102" s="2322"/>
      <c r="F102" s="2322"/>
    </row>
    <row r="103" spans="3:10" ht="28.8" outlineLevel="1">
      <c r="C103" s="1023" t="s">
        <v>1991</v>
      </c>
      <c r="D103" s="2323" t="e">
        <f ca="1">VLOOKUP(D10,Actions!G2:AL70,27,0)</f>
        <v>#N/A</v>
      </c>
      <c r="E103" s="2324"/>
      <c r="F103" s="2325"/>
    </row>
    <row r="104" spans="3:10" ht="28.8" outlineLevel="1">
      <c r="C104" s="1024" t="s">
        <v>1081</v>
      </c>
      <c r="D104" s="2326" t="e">
        <f ca="1">VLOOKUP(D10,Actions!G2:AL70,28,0)</f>
        <v>#N/A</v>
      </c>
      <c r="E104" s="2327"/>
      <c r="F104" s="2328"/>
    </row>
    <row r="105" spans="3:10" outlineLevel="1">
      <c r="C105" s="1025" t="s">
        <v>2030</v>
      </c>
      <c r="D105" s="2329" t="e">
        <f ca="1">VLOOKUP(D10,Actions!G2:AL70,29,0)</f>
        <v>#N/A</v>
      </c>
      <c r="E105" s="2330"/>
      <c r="F105" s="2331"/>
    </row>
    <row r="108" spans="3:10" ht="18">
      <c r="C108" s="2249" t="s">
        <v>2031</v>
      </c>
      <c r="D108" s="2249"/>
      <c r="E108" s="2249"/>
      <c r="F108" s="2249"/>
    </row>
    <row r="109" spans="3:10" ht="18">
      <c r="C109" s="2249"/>
      <c r="D109" s="2249"/>
      <c r="E109" s="2249"/>
      <c r="F109" s="2249"/>
    </row>
    <row r="110" spans="3:10" ht="29.4" customHeight="1" outlineLevel="1" thickBot="1">
      <c r="C110" s="657" t="s">
        <v>1284</v>
      </c>
      <c r="D110" s="2306" t="s">
        <v>2032</v>
      </c>
      <c r="E110" s="2307"/>
      <c r="F110" s="2307"/>
    </row>
    <row r="111" spans="3:10" ht="15" outlineLevel="1" thickBot="1">
      <c r="C111" s="1026" t="s">
        <v>1293</v>
      </c>
      <c r="D111" s="2319" t="str">
        <f ca="1">IF(ISNA(VLOOKUP($K$10,Actions!$A$2:$O$46,15,0)),"",IF(VLOOKUP($K$10,Actions!$A$2:$O$46,15,0)='Détails action 1'!C111,"X",""))</f>
        <v/>
      </c>
      <c r="E111" s="2320"/>
      <c r="F111" s="2321"/>
    </row>
    <row r="112" spans="3:10" ht="15" outlineLevel="1" thickBot="1">
      <c r="C112" s="1026" t="s">
        <v>1302</v>
      </c>
      <c r="D112" s="2317" t="str">
        <f ca="1">IF(ISNA(VLOOKUP($K$10,Actions!$A$2:$O$46,15,0)),"",IF(VLOOKUP($K$10,Actions!$A$2:$O$46,15,0)='Détails action 1'!C112,"X",""))</f>
        <v/>
      </c>
      <c r="E112" s="2301"/>
      <c r="F112" s="2318"/>
    </row>
    <row r="113" spans="3:6" ht="15" outlineLevel="1" thickBot="1">
      <c r="C113" s="1026" t="s">
        <v>1312</v>
      </c>
      <c r="D113" s="2317" t="str">
        <f ca="1">IF(ISNA(VLOOKUP($K$10,Actions!$A$2:$O$46,15,0)),"",IF(VLOOKUP($K$10,Actions!$A$2:$O$46,15,0)='Détails action 1'!C113,"X",""))</f>
        <v/>
      </c>
      <c r="E113" s="2301"/>
      <c r="F113" s="2318"/>
    </row>
    <row r="114" spans="3:6" ht="28.35" customHeight="1" outlineLevel="1" thickBot="1">
      <c r="C114" s="1026" t="s">
        <v>1320</v>
      </c>
      <c r="D114" s="2317" t="str">
        <f ca="1">IF(ISNA(VLOOKUP($K$10,Actions!$A$2:$O$46,15,0)),"",IF(VLOOKUP($K$10,Actions!$A$2:$O$46,15,0)='Détails action 1'!C114,"X",""))</f>
        <v/>
      </c>
      <c r="E114" s="2301"/>
      <c r="F114" s="2318"/>
    </row>
    <row r="115" spans="3:6" ht="15" outlineLevel="1" thickBot="1">
      <c r="C115" s="1026" t="s">
        <v>1328</v>
      </c>
      <c r="D115" s="2317" t="str">
        <f ca="1">IF(ISNA(VLOOKUP($K$10,Actions!$A$2:$O$46,15,0)),"",IF(VLOOKUP($K$10,Actions!$A$2:$O$46,15,0)='Détails action 1'!C115,"X",""))</f>
        <v/>
      </c>
      <c r="E115" s="2301"/>
      <c r="F115" s="2318"/>
    </row>
    <row r="116" spans="3:6" ht="15" outlineLevel="1" thickBot="1">
      <c r="C116" s="1026" t="s">
        <v>1333</v>
      </c>
      <c r="D116" s="2317" t="str">
        <f ca="1">IF(ISNA(VLOOKUP($K$10,Actions!$A$2:$O$46,15,0)),"",IF(VLOOKUP($K$10,Actions!$A$2:$O$46,15,0)='Détails action 1'!C116,"X",""))</f>
        <v/>
      </c>
      <c r="E116" s="2301"/>
      <c r="F116" s="2318"/>
    </row>
    <row r="117" spans="3:6" ht="15" outlineLevel="1" thickBot="1">
      <c r="C117" s="1026" t="s">
        <v>1337</v>
      </c>
      <c r="D117" s="2317" t="str">
        <f ca="1">IF(ISNA(VLOOKUP($K$10,Actions!$A$2:$O$46,15,0)),"",IF(VLOOKUP($K$10,Actions!$A$2:$O$46,15,0)='Détails action 1'!C117,"X",""))</f>
        <v/>
      </c>
      <c r="E117" s="2301"/>
      <c r="F117" s="2318"/>
    </row>
    <row r="118" spans="3:6" ht="15" outlineLevel="1" thickBot="1">
      <c r="C118" s="1026" t="s">
        <v>1339</v>
      </c>
      <c r="D118" s="2317" t="str">
        <f ca="1">IF(ISNA(VLOOKUP($K$10,Actions!$A$2:$O$46,15,0)),"",IF(VLOOKUP($K$10,Actions!$A$2:$O$46,15,0)='Détails action 1'!C118,"X",""))</f>
        <v/>
      </c>
      <c r="E118" s="2301"/>
      <c r="F118" s="2318"/>
    </row>
    <row r="119" spans="3:6" ht="15" outlineLevel="1" thickBot="1">
      <c r="C119" s="1026" t="s">
        <v>1342</v>
      </c>
      <c r="D119" s="2317" t="str">
        <f ca="1">IF(ISNA(VLOOKUP($K$10,Actions!$A$2:$O$46,15,0)),"",IF(VLOOKUP($K$10,Actions!$A$2:$O$46,15,0)='Détails action 1'!C119,"X",""))</f>
        <v/>
      </c>
      <c r="E119" s="2301"/>
      <c r="F119" s="2318"/>
    </row>
    <row r="120" spans="3:6" ht="15" outlineLevel="1" thickBot="1">
      <c r="C120" s="1026" t="s">
        <v>1345</v>
      </c>
      <c r="D120" s="2317" t="str">
        <f ca="1">IF(ISNA(VLOOKUP($K$10,Actions!$A$2:$O$46,15,0)),"",IF(VLOOKUP($K$10,Actions!$A$2:$O$46,15,0)='Détails action 1'!C120,"X",""))</f>
        <v/>
      </c>
      <c r="E120" s="2301"/>
      <c r="F120" s="2318"/>
    </row>
    <row r="121" spans="3:6" ht="15" outlineLevel="1" thickBot="1">
      <c r="C121" s="1026" t="s">
        <v>157</v>
      </c>
      <c r="D121" s="2314" t="str">
        <f ca="1">IF(ISNA(VLOOKUP($K$10,Actions!$A$2:$O$46,15,0)),"",IF(VLOOKUP($K$10,Actions!$A$2:$O$46,15,0)='Détails action 1'!C121,"X",""))</f>
        <v/>
      </c>
      <c r="E121" s="2315"/>
      <c r="F121" s="2316"/>
    </row>
    <row r="122" spans="3:6" outlineLevel="1">
      <c r="C122" s="909"/>
      <c r="D122" s="910"/>
    </row>
    <row r="123" spans="3:6" ht="15" outlineLevel="1" thickBot="1">
      <c r="C123" s="657" t="s">
        <v>2033</v>
      </c>
      <c r="D123" s="2306" t="s">
        <v>2032</v>
      </c>
      <c r="E123" s="2307"/>
      <c r="F123" s="2307"/>
    </row>
    <row r="124" spans="3:6" ht="15" outlineLevel="1" thickBot="1">
      <c r="C124" s="1026" t="s">
        <v>866</v>
      </c>
      <c r="D124" s="2311" t="str">
        <f ca="1">IF(ISNA(VLOOKUP($K$10,Actions!$A$2:$O$46,15,0)),"",IF(VLOOKUP($K$10,Actions!$A$2:$O$46,8,0)='Détails action 1'!C124,"X",""))</f>
        <v/>
      </c>
      <c r="E124" s="2312"/>
      <c r="F124" s="2313"/>
    </row>
    <row r="125" spans="3:6" ht="15" outlineLevel="1" thickBot="1">
      <c r="C125" s="1026" t="s">
        <v>870</v>
      </c>
      <c r="D125" s="2308" t="str">
        <f ca="1">IF(ISNA(VLOOKUP($K$10,Actions!$A$2:$O$46,15,0)),"",IF(VLOOKUP($K$10,Actions!$A$2:$O$46,8,0)='Détails action 1'!C125,"X",""))</f>
        <v/>
      </c>
      <c r="E125" s="2309"/>
      <c r="F125" s="2310"/>
    </row>
    <row r="126" spans="3:6" ht="15" outlineLevel="1" thickBot="1">
      <c r="C126" s="1026" t="s">
        <v>876</v>
      </c>
      <c r="D126" s="2308" t="str">
        <f ca="1">IF(ISNA(VLOOKUP($K$10,Actions!$A$2:$O$46,15,0)),"",IF(VLOOKUP($K$10,Actions!$A$2:$O$46,8,0)='Détails action 1'!C126,"X",""))</f>
        <v/>
      </c>
      <c r="E126" s="2309"/>
      <c r="F126" s="2310"/>
    </row>
    <row r="127" spans="3:6" ht="15" outlineLevel="1" thickBot="1">
      <c r="C127" s="1026" t="s">
        <v>881</v>
      </c>
      <c r="D127" s="2308" t="str">
        <f ca="1">IF(ISNA(VLOOKUP($K$10,Actions!$A$2:$O$46,15,0)),"",IF(VLOOKUP($K$10,Actions!$A$2:$O$46,8,0)='Détails action 1'!C127,"X",""))</f>
        <v/>
      </c>
      <c r="E127" s="2309"/>
      <c r="F127" s="2310"/>
    </row>
    <row r="128" spans="3:6" ht="15" outlineLevel="1" thickBot="1">
      <c r="C128" s="1026" t="s">
        <v>884</v>
      </c>
      <c r="D128" s="2308" t="str">
        <f ca="1">IF(ISNA(VLOOKUP($K$10,Actions!$A$2:$O$46,15,0)),"",IF(VLOOKUP($K$10,Actions!$A$2:$O$46,8,0)='Détails action 1'!C128,"X",""))</f>
        <v/>
      </c>
      <c r="E128" s="2309"/>
      <c r="F128" s="2310"/>
    </row>
    <row r="129" spans="3:6" ht="15" outlineLevel="1" thickBot="1">
      <c r="C129" s="1026" t="s">
        <v>887</v>
      </c>
      <c r="D129" s="2308" t="str">
        <f ca="1">IF(ISNA(VLOOKUP($K$10,Actions!$A$2:$O$46,15,0)),"",IF(VLOOKUP($K$10,Actions!$A$2:$O$46,8,0)='Détails action 1'!C129,"X",""))</f>
        <v/>
      </c>
      <c r="E129" s="2309"/>
      <c r="F129" s="2310"/>
    </row>
    <row r="130" spans="3:6" ht="15" outlineLevel="1" thickBot="1">
      <c r="C130" s="1026" t="s">
        <v>889</v>
      </c>
      <c r="D130" s="2308" t="str">
        <f ca="1">IF(ISNA(VLOOKUP($K$10,Actions!$A$2:$O$46,15,0)),"",IF(VLOOKUP($K$10,Actions!$A$2:$O$46,8,0)='Détails action 1'!C130,"X",""))</f>
        <v/>
      </c>
      <c r="E130" s="2309"/>
      <c r="F130" s="2310"/>
    </row>
    <row r="131" spans="3:6" ht="30.6" customHeight="1" outlineLevel="1" thickBot="1">
      <c r="C131" s="1026" t="s">
        <v>891</v>
      </c>
      <c r="D131" s="2308" t="str">
        <f ca="1">IF(ISNA(VLOOKUP($K$10,Actions!$A$2:$O$46,15,0)),"",IF(VLOOKUP($K$10,Actions!$A$2:$O$46,8,0)='Détails action 1'!C131,"X",""))</f>
        <v/>
      </c>
      <c r="E131" s="2309"/>
      <c r="F131" s="2310"/>
    </row>
    <row r="132" spans="3:6" ht="15" outlineLevel="1" thickBot="1">
      <c r="C132" s="1026" t="s">
        <v>892</v>
      </c>
      <c r="D132" s="2308" t="str">
        <f ca="1">IF(ISNA(VLOOKUP($K$10,Actions!$A$2:$O$46,15,0)),"",IF(VLOOKUP($K$10,Actions!$A$2:$O$46,8,0)='Détails action 1'!C132,"X",""))</f>
        <v/>
      </c>
      <c r="E132" s="2309"/>
      <c r="F132" s="2310"/>
    </row>
    <row r="133" spans="3:6" ht="28.35" customHeight="1" outlineLevel="1" thickBot="1">
      <c r="C133" s="1026" t="s">
        <v>898</v>
      </c>
      <c r="D133" s="2308" t="str">
        <f ca="1">IF(ISNA(VLOOKUP($K$10,Actions!$A$2:$O$46,15,0)),"",IF(VLOOKUP($K$10,Actions!$A$2:$O$46,8,0)='Détails action 1'!C133,"X",""))</f>
        <v/>
      </c>
      <c r="E133" s="2309"/>
      <c r="F133" s="2310"/>
    </row>
    <row r="134" spans="3:6" ht="15" outlineLevel="1" thickBot="1">
      <c r="C134" s="1026" t="s">
        <v>904</v>
      </c>
      <c r="D134" s="2308" t="str">
        <f ca="1">IF(ISNA(VLOOKUP($K$10,Actions!$A$2:$O$46,15,0)),"",IF(VLOOKUP($K$10,Actions!$A$2:$O$46,8,0)='Détails action 1'!C134,"X",""))</f>
        <v/>
      </c>
      <c r="E134" s="2309"/>
      <c r="F134" s="2310"/>
    </row>
    <row r="135" spans="3:6" ht="15" outlineLevel="1" thickBot="1">
      <c r="C135" s="1026" t="s">
        <v>909</v>
      </c>
      <c r="D135" s="2308" t="str">
        <f ca="1">IF(ISNA(VLOOKUP($K$10,Actions!$A$2:$O$46,15,0)),"",IF(VLOOKUP($K$10,Actions!$A$2:$O$46,8,0)='Détails action 1'!C135,"X",""))</f>
        <v/>
      </c>
      <c r="E135" s="2309"/>
      <c r="F135" s="2310"/>
    </row>
    <row r="136" spans="3:6" ht="42" customHeight="1" outlineLevel="1" thickBot="1">
      <c r="C136" s="1026" t="s">
        <v>914</v>
      </c>
      <c r="D136" s="2303" t="str">
        <f ca="1">IF(ISNA(VLOOKUP($K$10,Actions!$A$2:$O$46,15,0)),"",IF(VLOOKUP($K$10,Actions!$A$2:$O$46,8,0)='Détails action 1'!C136,"X",""))</f>
        <v/>
      </c>
      <c r="E136" s="2304"/>
      <c r="F136" s="2305"/>
    </row>
    <row r="138" spans="3:6" ht="29.4" thickBot="1">
      <c r="C138" s="657" t="s">
        <v>2034</v>
      </c>
      <c r="D138" s="2306" t="s">
        <v>2032</v>
      </c>
      <c r="E138" s="2307"/>
      <c r="F138" s="2307"/>
    </row>
    <row r="139" spans="3:6" ht="15" thickBot="1">
      <c r="C139" s="908" t="s">
        <v>1694</v>
      </c>
      <c r="D139" s="2300"/>
      <c r="E139" s="2301"/>
      <c r="F139" s="2302"/>
    </row>
    <row r="140" spans="3:6" ht="15" thickBot="1">
      <c r="C140" s="908" t="s">
        <v>1695</v>
      </c>
      <c r="D140" s="2300"/>
      <c r="E140" s="2301"/>
      <c r="F140" s="2302"/>
    </row>
    <row r="141" spans="3:6" ht="15" thickBot="1">
      <c r="C141" s="908" t="s">
        <v>1696</v>
      </c>
      <c r="D141" s="2300"/>
      <c r="E141" s="2301"/>
      <c r="F141" s="2302"/>
    </row>
    <row r="142" spans="3:6" ht="15" thickBot="1">
      <c r="C142" s="908" t="s">
        <v>1697</v>
      </c>
      <c r="D142" s="2300"/>
      <c r="E142" s="2301"/>
      <c r="F142" s="2302"/>
    </row>
    <row r="143" spans="3:6" ht="15" thickBot="1">
      <c r="C143" s="908" t="s">
        <v>1698</v>
      </c>
      <c r="D143" s="2300"/>
      <c r="E143" s="2301"/>
      <c r="F143" s="2302"/>
    </row>
    <row r="144" spans="3:6" ht="15" thickBot="1">
      <c r="C144" s="908" t="s">
        <v>1699</v>
      </c>
      <c r="D144" s="2300"/>
      <c r="E144" s="2301"/>
      <c r="F144" s="2302"/>
    </row>
    <row r="145" spans="3:6" ht="28.35" customHeight="1" thickBot="1">
      <c r="C145" s="908" t="s">
        <v>1700</v>
      </c>
      <c r="D145" s="2300"/>
      <c r="E145" s="2301"/>
      <c r="F145" s="2302"/>
    </row>
    <row r="146" spans="3:6" ht="15" thickBot="1">
      <c r="C146" s="908" t="s">
        <v>1701</v>
      </c>
      <c r="D146" s="2300"/>
      <c r="E146" s="2301"/>
      <c r="F146" s="2302"/>
    </row>
    <row r="147" spans="3:6" ht="15" thickBot="1">
      <c r="C147" s="908" t="s">
        <v>1702</v>
      </c>
      <c r="D147" s="2300"/>
      <c r="E147" s="2301"/>
      <c r="F147" s="2302"/>
    </row>
    <row r="148" spans="3:6" ht="28.35" customHeight="1" thickBot="1">
      <c r="C148" s="908" t="s">
        <v>1703</v>
      </c>
      <c r="D148" s="2300"/>
      <c r="E148" s="2301"/>
      <c r="F148" s="2302"/>
    </row>
    <row r="149" spans="3:6" ht="28.35" customHeight="1" thickBot="1">
      <c r="C149" s="908" t="s">
        <v>1704</v>
      </c>
      <c r="D149" s="2300"/>
      <c r="E149" s="2301"/>
      <c r="F149" s="2302"/>
    </row>
    <row r="150" spans="3:6" ht="15" thickBot="1">
      <c r="C150" s="908" t="s">
        <v>157</v>
      </c>
      <c r="D150" s="2300"/>
      <c r="E150" s="2301"/>
      <c r="F150" s="2302"/>
    </row>
    <row r="151" spans="3:6" ht="15" thickBot="1">
      <c r="C151" s="908" t="s">
        <v>661</v>
      </c>
      <c r="D151" s="2300"/>
      <c r="E151" s="2301"/>
      <c r="F151" s="2302"/>
    </row>
  </sheetData>
  <sheetProtection sheet="1" objects="1" scenarios="1"/>
  <mergeCells count="84">
    <mergeCell ref="C91:F91"/>
    <mergeCell ref="C78:I78"/>
    <mergeCell ref="C79:I79"/>
    <mergeCell ref="D82:I82"/>
    <mergeCell ref="D84:I84"/>
    <mergeCell ref="C77:I77"/>
    <mergeCell ref="C56:I56"/>
    <mergeCell ref="C57:I57"/>
    <mergeCell ref="C58:I58"/>
    <mergeCell ref="C59:I59"/>
    <mergeCell ref="D61:I67"/>
    <mergeCell ref="D70:I70"/>
    <mergeCell ref="C72:I72"/>
    <mergeCell ref="C73:I73"/>
    <mergeCell ref="C74:I74"/>
    <mergeCell ref="C75:I75"/>
    <mergeCell ref="C76:I76"/>
    <mergeCell ref="C2:G2"/>
    <mergeCell ref="C53:I53"/>
    <mergeCell ref="C54:I54"/>
    <mergeCell ref="C55:I55"/>
    <mergeCell ref="D10:J11"/>
    <mergeCell ref="D16:J17"/>
    <mergeCell ref="C51:I51"/>
    <mergeCell ref="D19:J19"/>
    <mergeCell ref="D22:J29"/>
    <mergeCell ref="D31:J31"/>
    <mergeCell ref="C52:I52"/>
    <mergeCell ref="C16:C17"/>
    <mergeCell ref="D33:J33"/>
    <mergeCell ref="D42:J42"/>
    <mergeCell ref="D44:J44"/>
    <mergeCell ref="D46:J46"/>
    <mergeCell ref="D102:F102"/>
    <mergeCell ref="D103:F103"/>
    <mergeCell ref="D104:F104"/>
    <mergeCell ref="D105:F105"/>
    <mergeCell ref="D93:J93"/>
    <mergeCell ref="D95:J95"/>
    <mergeCell ref="D97:J97"/>
    <mergeCell ref="C100:F100"/>
    <mergeCell ref="D121:F121"/>
    <mergeCell ref="D120:F120"/>
    <mergeCell ref="C108:F108"/>
    <mergeCell ref="D116:F116"/>
    <mergeCell ref="D117:F117"/>
    <mergeCell ref="D118:F118"/>
    <mergeCell ref="D119:F119"/>
    <mergeCell ref="D111:F111"/>
    <mergeCell ref="D112:F112"/>
    <mergeCell ref="D113:F113"/>
    <mergeCell ref="D114:F114"/>
    <mergeCell ref="D115:F115"/>
    <mergeCell ref="C109:F109"/>
    <mergeCell ref="D110:F110"/>
    <mergeCell ref="D127:F127"/>
    <mergeCell ref="D128:F128"/>
    <mergeCell ref="D129:F129"/>
    <mergeCell ref="D130:F130"/>
    <mergeCell ref="D123:F123"/>
    <mergeCell ref="D124:F124"/>
    <mergeCell ref="D125:F125"/>
    <mergeCell ref="D151:F151"/>
    <mergeCell ref="D142:F142"/>
    <mergeCell ref="D143:F143"/>
    <mergeCell ref="D144:F144"/>
    <mergeCell ref="D145:F145"/>
    <mergeCell ref="D146:F146"/>
    <mergeCell ref="H2:L2"/>
    <mergeCell ref="D147:F147"/>
    <mergeCell ref="D148:F148"/>
    <mergeCell ref="D149:F149"/>
    <mergeCell ref="D150:F150"/>
    <mergeCell ref="D136:F136"/>
    <mergeCell ref="D138:F138"/>
    <mergeCell ref="D139:F139"/>
    <mergeCell ref="D140:F140"/>
    <mergeCell ref="D141:F141"/>
    <mergeCell ref="D131:F131"/>
    <mergeCell ref="D132:F132"/>
    <mergeCell ref="D133:F133"/>
    <mergeCell ref="D134:F134"/>
    <mergeCell ref="D135:F135"/>
    <mergeCell ref="D126:F126"/>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7DD6-5B67-4873-9E13-393F69C10371}">
  <sheetPr codeName="Feuil35">
    <tabColor theme="8" tint="0.79998168889431442"/>
  </sheetPr>
  <dimension ref="C1:L151"/>
  <sheetViews>
    <sheetView showGridLines="0" topLeftCell="A48" zoomScale="90" zoomScaleNormal="90" workbookViewId="0">
      <selection activeCell="D71" sqref="D71"/>
    </sheetView>
  </sheetViews>
  <sheetFormatPr baseColWidth="10" defaultColWidth="11.44140625" defaultRowHeight="14.4" outlineLevelRow="1"/>
  <cols>
    <col min="1" max="1" width="28.5546875" customWidth="1"/>
    <col min="2" max="2" width="7.44140625" customWidth="1"/>
    <col min="3" max="3" width="29.5546875" customWidth="1"/>
    <col min="4" max="4" width="6.88671875" style="902" bestFit="1" customWidth="1"/>
    <col min="5" max="5" width="3.5546875" customWidth="1"/>
    <col min="6" max="6" width="21.109375" customWidth="1"/>
    <col min="7" max="7" width="14.44140625" customWidth="1"/>
    <col min="8" max="8" width="12" customWidth="1"/>
    <col min="9" max="9" width="11.44140625" customWidth="1"/>
    <col min="10" max="10" width="13.5546875" customWidth="1"/>
    <col min="11" max="11" width="14.88671875" customWidth="1"/>
    <col min="12" max="12" width="11.5546875" bestFit="1" customWidth="1"/>
    <col min="14" max="20" width="0" hidden="1" customWidth="1"/>
  </cols>
  <sheetData>
    <row r="1" spans="3:12" ht="111" customHeight="1"/>
    <row r="2" spans="3:12" ht="18">
      <c r="C2" s="2249" t="s">
        <v>2009</v>
      </c>
      <c r="D2" s="2249"/>
      <c r="E2" s="2249"/>
      <c r="F2" s="2249"/>
      <c r="G2" s="2249"/>
      <c r="H2" s="2278" t="s">
        <v>1855</v>
      </c>
      <c r="I2" s="2279"/>
      <c r="J2" s="2279"/>
      <c r="K2" s="2279"/>
      <c r="L2" s="2280"/>
    </row>
    <row r="3" spans="3:12" ht="56.4" customHeight="1"/>
    <row r="4" spans="3:12" ht="17.399999999999999">
      <c r="C4" s="880" t="s">
        <v>2010</v>
      </c>
      <c r="D4" s="1018" t="str">
        <f ca="1">IF(ISERROR(INDIRECT("'"&amp;$K10&amp;"'!e$2")),"-",IF(INDIRECT("'"&amp;$K10&amp;"'!e$2")=1,"X",""))</f>
        <v>-</v>
      </c>
      <c r="F4" s="882" t="s">
        <v>708</v>
      </c>
    </row>
    <row r="5" spans="3:12" ht="15.6">
      <c r="D5" s="903"/>
      <c r="F5" s="881"/>
    </row>
    <row r="6" spans="3:12" ht="15.6" customHeight="1">
      <c r="D6" s="1018" t="str">
        <f ca="1">IF(D4="X","","X")</f>
        <v>X</v>
      </c>
      <c r="F6" s="882" t="s">
        <v>327</v>
      </c>
    </row>
    <row r="7" spans="3:12" ht="15.6">
      <c r="D7" s="903"/>
      <c r="F7" s="881"/>
    </row>
    <row r="8" spans="3:12" ht="16.350000000000001" customHeight="1">
      <c r="D8" s="1018" t="str">
        <f ca="1">IF(ISERROR(INDIRECT("'"&amp;$K10&amp;"'!e$3")),"-",IF(INDIRECT("'"&amp;$K10&amp;"'!e$3")=TRUE,"X",""))</f>
        <v>-</v>
      </c>
      <c r="F8" s="882" t="s">
        <v>1276</v>
      </c>
    </row>
    <row r="10" spans="3:12" ht="17.399999999999999">
      <c r="C10" s="880" t="s">
        <v>724</v>
      </c>
      <c r="D10" s="2336" t="str">
        <f ca="1">IF(ISERROR(INDIRECT("'"&amp;$K10&amp;"'!b$13")),"-",INDIRECT("'"&amp;$K10&amp;"'!b$13"))</f>
        <v>-</v>
      </c>
      <c r="E10" s="2337"/>
      <c r="F10" s="2337"/>
      <c r="G10" s="2337"/>
      <c r="H10" s="2337"/>
      <c r="I10" s="2337"/>
      <c r="J10" s="2338"/>
      <c r="K10" s="55" t="str">
        <f ca="1">'Mes actions'!D65</f>
        <v/>
      </c>
    </row>
    <row r="11" spans="3:12">
      <c r="D11" s="2339"/>
      <c r="E11" s="2340"/>
      <c r="F11" s="2340"/>
      <c r="G11" s="2340"/>
      <c r="H11" s="2340"/>
      <c r="I11" s="2340"/>
      <c r="J11" s="2341"/>
    </row>
    <row r="14" spans="3:12" ht="17.399999999999999">
      <c r="C14" s="880" t="s">
        <v>2011</v>
      </c>
    </row>
    <row r="16" spans="3:12" ht="17.399999999999999" customHeight="1">
      <c r="C16" s="2353" t="s">
        <v>1073</v>
      </c>
      <c r="D16" s="2336" t="str">
        <f ca="1">IF(ISERROR(INDIRECT("'"&amp;$K10&amp;"'!b$11")),"-",INDIRECT("'"&amp;$K10&amp;"'!b$11"))</f>
        <v>-</v>
      </c>
      <c r="E16" s="2337"/>
      <c r="F16" s="2337"/>
      <c r="G16" s="2337"/>
      <c r="H16" s="2337"/>
      <c r="I16" s="2337"/>
      <c r="J16" s="2338"/>
    </row>
    <row r="17" spans="3:10">
      <c r="C17" s="2353"/>
      <c r="D17" s="2339"/>
      <c r="E17" s="2340"/>
      <c r="F17" s="2340"/>
      <c r="G17" s="2340"/>
      <c r="H17" s="2340"/>
      <c r="I17" s="2340"/>
      <c r="J17" s="2341"/>
    </row>
    <row r="19" spans="3:10" ht="34.799999999999997">
      <c r="C19" s="883" t="s">
        <v>2012</v>
      </c>
      <c r="D19" s="2332" t="str">
        <f ca="1">D16</f>
        <v>-</v>
      </c>
      <c r="E19" s="2333"/>
      <c r="F19" s="2333"/>
      <c r="G19" s="2333"/>
      <c r="H19" s="2333"/>
      <c r="I19" s="2333"/>
      <c r="J19" s="2334"/>
    </row>
    <row r="22" spans="3:10" ht="34.799999999999997">
      <c r="C22" s="883" t="s">
        <v>2013</v>
      </c>
      <c r="D22" s="2343" t="str">
        <f ca="1">IF(ISERROR(INDIRECT("'"&amp;$K10&amp;"'!b$14")),"-",INDIRECT("'"&amp;$K10&amp;"'!b$14"))</f>
        <v>-</v>
      </c>
      <c r="E22" s="2344"/>
      <c r="F22" s="2344"/>
      <c r="G22" s="2344"/>
      <c r="H22" s="2344"/>
      <c r="I22" s="2344"/>
      <c r="J22" s="2345"/>
    </row>
    <row r="23" spans="3:10">
      <c r="D23" s="2346"/>
      <c r="E23" s="2347"/>
      <c r="F23" s="2347"/>
      <c r="G23" s="2347"/>
      <c r="H23" s="2347"/>
      <c r="I23" s="2347"/>
      <c r="J23" s="2348"/>
    </row>
    <row r="24" spans="3:10">
      <c r="D24" s="2346"/>
      <c r="E24" s="2347"/>
      <c r="F24" s="2347"/>
      <c r="G24" s="2347"/>
      <c r="H24" s="2347"/>
      <c r="I24" s="2347"/>
      <c r="J24" s="2348"/>
    </row>
    <row r="25" spans="3:10">
      <c r="D25" s="2346"/>
      <c r="E25" s="2347"/>
      <c r="F25" s="2347"/>
      <c r="G25" s="2347"/>
      <c r="H25" s="2347"/>
      <c r="I25" s="2347"/>
      <c r="J25" s="2348"/>
    </row>
    <row r="26" spans="3:10">
      <c r="D26" s="2346"/>
      <c r="E26" s="2347"/>
      <c r="F26" s="2347"/>
      <c r="G26" s="2347"/>
      <c r="H26" s="2347"/>
      <c r="I26" s="2347"/>
      <c r="J26" s="2348"/>
    </row>
    <row r="27" spans="3:10">
      <c r="D27" s="2346"/>
      <c r="E27" s="2347"/>
      <c r="F27" s="2347"/>
      <c r="G27" s="2347"/>
      <c r="H27" s="2347"/>
      <c r="I27" s="2347"/>
      <c r="J27" s="2348"/>
    </row>
    <row r="28" spans="3:10">
      <c r="D28" s="2346"/>
      <c r="E28" s="2347"/>
      <c r="F28" s="2347"/>
      <c r="G28" s="2347"/>
      <c r="H28" s="2347"/>
      <c r="I28" s="2347"/>
      <c r="J28" s="2348"/>
    </row>
    <row r="29" spans="3:10">
      <c r="D29" s="2349"/>
      <c r="E29" s="2350"/>
      <c r="F29" s="2350"/>
      <c r="G29" s="2350"/>
      <c r="H29" s="2350"/>
      <c r="I29" s="2350"/>
      <c r="J29" s="2351"/>
    </row>
    <row r="31" spans="3:10" ht="31.35" customHeight="1">
      <c r="C31" s="884" t="s">
        <v>2014</v>
      </c>
      <c r="D31" s="2352"/>
      <c r="E31" s="2352"/>
      <c r="F31" s="2352"/>
      <c r="G31" s="2352"/>
      <c r="H31" s="2352"/>
      <c r="I31" s="2352"/>
      <c r="J31" s="2352"/>
    </row>
    <row r="33" spans="3:10" ht="28.35" customHeight="1">
      <c r="C33" s="884" t="s">
        <v>2015</v>
      </c>
      <c r="D33" s="2352"/>
      <c r="E33" s="2352"/>
      <c r="F33" s="2352"/>
      <c r="G33" s="2352"/>
      <c r="H33" s="2352"/>
      <c r="I33" s="2352"/>
      <c r="J33" s="2352"/>
    </row>
    <row r="35" spans="3:10" ht="17.399999999999999">
      <c r="C35" s="880" t="s">
        <v>2016</v>
      </c>
    </row>
    <row r="41" spans="3:10" ht="24" customHeight="1"/>
    <row r="42" spans="3:10" ht="34.799999999999997">
      <c r="C42" s="883" t="s">
        <v>2017</v>
      </c>
      <c r="D42" s="2332" t="str">
        <f ca="1">IF(ISERROR(INDIRECT("'"&amp;$K10&amp;"'!b$19")),"-",INDIRECT("'"&amp;$K10&amp;"'!b$20"))</f>
        <v>-</v>
      </c>
      <c r="E42" s="2333"/>
      <c r="F42" s="2333"/>
      <c r="G42" s="2333"/>
      <c r="H42" s="2333"/>
      <c r="I42" s="2333"/>
      <c r="J42" s="2334"/>
    </row>
    <row r="43" spans="3:10">
      <c r="E43" s="902"/>
      <c r="F43" s="902"/>
      <c r="G43" s="902"/>
      <c r="H43" s="902"/>
      <c r="I43" s="902"/>
      <c r="J43" s="902"/>
    </row>
    <row r="44" spans="3:10" ht="33.6" customHeight="1">
      <c r="C44" s="883" t="s">
        <v>2018</v>
      </c>
      <c r="D44" s="2332" t="str">
        <f ca="1">IF(ISERROR(INDIRECT("'"&amp;$K10&amp;"'!b$20")),"-",INDIRECT("'"&amp;$K10&amp;"'!b$21"))</f>
        <v>-</v>
      </c>
      <c r="E44" s="2333"/>
      <c r="F44" s="2333"/>
      <c r="G44" s="2333"/>
      <c r="H44" s="2333"/>
      <c r="I44" s="2333"/>
      <c r="J44" s="2334"/>
    </row>
    <row r="45" spans="3:10">
      <c r="E45" s="902"/>
      <c r="F45" s="902"/>
      <c r="G45" s="902"/>
      <c r="H45" s="902"/>
      <c r="I45" s="902"/>
      <c r="J45" s="902"/>
    </row>
    <row r="46" spans="3:10" ht="34.799999999999997">
      <c r="C46" s="883" t="s">
        <v>2019</v>
      </c>
      <c r="D46" s="2332" t="str">
        <f ca="1">IF(ISERROR(INDIRECT("'"&amp;$K10&amp;"'!e$6")),"-",INDIRECT("'"&amp;$K10&amp;"'!e$6"))</f>
        <v>-</v>
      </c>
      <c r="E46" s="2333"/>
      <c r="F46" s="2333"/>
      <c r="G46" s="2333"/>
      <c r="H46" s="2333"/>
      <c r="I46" s="2333"/>
      <c r="J46" s="2334"/>
    </row>
    <row r="49" spans="3:10" ht="36">
      <c r="C49" s="655" t="s">
        <v>2020</v>
      </c>
    </row>
    <row r="51" spans="3:10" ht="23.4" customHeight="1" thickBot="1">
      <c r="C51" s="2322" t="s">
        <v>1282</v>
      </c>
      <c r="D51" s="2322"/>
      <c r="E51" s="2322"/>
      <c r="F51" s="2322"/>
      <c r="G51" s="2322"/>
      <c r="H51" s="2322"/>
      <c r="I51" s="2342"/>
      <c r="J51" s="885" t="s">
        <v>2021</v>
      </c>
    </row>
    <row r="52" spans="3:10" ht="32.4" customHeight="1" thickBot="1">
      <c r="C52" s="2335" t="s">
        <v>1291</v>
      </c>
      <c r="D52" s="2335"/>
      <c r="E52" s="2335"/>
      <c r="F52" s="2335"/>
      <c r="G52" s="2335"/>
      <c r="H52" s="2335"/>
      <c r="I52" s="2335"/>
      <c r="J52" s="904"/>
    </row>
    <row r="53" spans="3:10" ht="32.4" customHeight="1" thickBot="1">
      <c r="C53" s="2335" t="s">
        <v>1300</v>
      </c>
      <c r="D53" s="2335"/>
      <c r="E53" s="2335"/>
      <c r="F53" s="2335"/>
      <c r="G53" s="2335"/>
      <c r="H53" s="2335"/>
      <c r="I53" s="2335"/>
      <c r="J53" s="904"/>
    </row>
    <row r="54" spans="3:10" ht="32.4" customHeight="1" thickBot="1">
      <c r="C54" s="2335" t="s">
        <v>1310</v>
      </c>
      <c r="D54" s="2335"/>
      <c r="E54" s="2335"/>
      <c r="F54" s="2335"/>
      <c r="G54" s="2335"/>
      <c r="H54" s="2335"/>
      <c r="I54" s="2335"/>
      <c r="J54" s="904"/>
    </row>
    <row r="55" spans="3:10" ht="32.4" customHeight="1" thickBot="1">
      <c r="C55" s="2335" t="s">
        <v>1318</v>
      </c>
      <c r="D55" s="2335"/>
      <c r="E55" s="2335"/>
      <c r="F55" s="2335"/>
      <c r="G55" s="2335"/>
      <c r="H55" s="2335"/>
      <c r="I55" s="2335"/>
      <c r="J55" s="904"/>
    </row>
    <row r="56" spans="3:10" ht="32.4" customHeight="1" thickBot="1">
      <c r="C56" s="2335" t="s">
        <v>1326</v>
      </c>
      <c r="D56" s="2335"/>
      <c r="E56" s="2335"/>
      <c r="F56" s="2335"/>
      <c r="G56" s="2335"/>
      <c r="H56" s="2335"/>
      <c r="I56" s="2335"/>
      <c r="J56" s="904"/>
    </row>
    <row r="57" spans="3:10" ht="32.4" customHeight="1" thickBot="1">
      <c r="C57" s="2335" t="s">
        <v>1331</v>
      </c>
      <c r="D57" s="2335"/>
      <c r="E57" s="2335"/>
      <c r="F57" s="2335"/>
      <c r="G57" s="2335"/>
      <c r="H57" s="2335"/>
      <c r="I57" s="2335"/>
      <c r="J57" s="904"/>
    </row>
    <row r="58" spans="3:10" ht="32.4" customHeight="1" thickBot="1">
      <c r="C58" s="2335" t="s">
        <v>1336</v>
      </c>
      <c r="D58" s="2335"/>
      <c r="E58" s="2335"/>
      <c r="F58" s="2335"/>
      <c r="G58" s="2335"/>
      <c r="H58" s="2335"/>
      <c r="I58" s="2335"/>
      <c r="J58" s="904"/>
    </row>
    <row r="59" spans="3:10" ht="32.4" customHeight="1" thickBot="1">
      <c r="C59" s="2335" t="s">
        <v>775</v>
      </c>
      <c r="D59" s="2335"/>
      <c r="E59" s="2335"/>
      <c r="F59" s="2335"/>
      <c r="G59" s="2335"/>
      <c r="H59" s="2335"/>
      <c r="I59" s="2335"/>
      <c r="J59" s="904"/>
    </row>
    <row r="61" spans="3:10" ht="17.399999999999999">
      <c r="C61" s="880" t="s">
        <v>91</v>
      </c>
      <c r="D61" s="2354"/>
      <c r="E61" s="2354"/>
      <c r="F61" s="2354"/>
      <c r="G61" s="2354"/>
      <c r="H61" s="2354"/>
      <c r="I61" s="2354"/>
    </row>
    <row r="62" spans="3:10">
      <c r="D62" s="2354"/>
      <c r="E62" s="2354"/>
      <c r="F62" s="2354"/>
      <c r="G62" s="2354"/>
      <c r="H62" s="2354"/>
      <c r="I62" s="2354"/>
    </row>
    <row r="63" spans="3:10">
      <c r="D63" s="2354"/>
      <c r="E63" s="2354"/>
      <c r="F63" s="2354"/>
      <c r="G63" s="2354"/>
      <c r="H63" s="2354"/>
      <c r="I63" s="2354"/>
    </row>
    <row r="64" spans="3:10">
      <c r="D64" s="2354"/>
      <c r="E64" s="2354"/>
      <c r="F64" s="2354"/>
      <c r="G64" s="2354"/>
      <c r="H64" s="2354"/>
      <c r="I64" s="2354"/>
    </row>
    <row r="65" spans="3:10">
      <c r="D65" s="2354"/>
      <c r="E65" s="2354"/>
      <c r="F65" s="2354"/>
      <c r="G65" s="2354"/>
      <c r="H65" s="2354"/>
      <c r="I65" s="2354"/>
    </row>
    <row r="66" spans="3:10">
      <c r="D66" s="2354"/>
      <c r="E66" s="2354"/>
      <c r="F66" s="2354"/>
      <c r="G66" s="2354"/>
      <c r="H66" s="2354"/>
      <c r="I66" s="2354"/>
    </row>
    <row r="67" spans="3:10">
      <c r="D67" s="2354"/>
      <c r="E67" s="2354"/>
      <c r="F67" s="2354"/>
      <c r="G67" s="2354"/>
      <c r="H67" s="2354"/>
      <c r="I67" s="2354"/>
    </row>
    <row r="69" spans="3:10" ht="55.35" customHeight="1">
      <c r="C69" s="886" t="s">
        <v>2022</v>
      </c>
    </row>
    <row r="70" spans="3:10" ht="33.6" customHeight="1">
      <c r="C70" s="883" t="s">
        <v>2023</v>
      </c>
      <c r="D70" s="2355" t="str">
        <f ca="1">IF(ISERROR(INDIRECT("'"&amp;$K10&amp;"'!b$22")),"-",INDIRECT("'"&amp;$K10&amp;"'!b$23"))</f>
        <v>-</v>
      </c>
      <c r="E70" s="2355"/>
      <c r="F70" s="2355"/>
      <c r="G70" s="2355"/>
      <c r="H70" s="2355"/>
      <c r="I70" s="2355"/>
    </row>
    <row r="72" spans="3:10" ht="28.35" customHeight="1" thickBot="1">
      <c r="C72" s="2322" t="s">
        <v>1283</v>
      </c>
      <c r="D72" s="2322"/>
      <c r="E72" s="2322"/>
      <c r="F72" s="2322"/>
      <c r="G72" s="2322"/>
      <c r="H72" s="2322"/>
      <c r="I72" s="2342"/>
      <c r="J72" s="885" t="s">
        <v>2021</v>
      </c>
    </row>
    <row r="73" spans="3:10" ht="28.35" customHeight="1" thickBot="1">
      <c r="C73" s="2335" t="s">
        <v>1292</v>
      </c>
      <c r="D73" s="2335"/>
      <c r="E73" s="2335"/>
      <c r="F73" s="2335"/>
      <c r="G73" s="2335"/>
      <c r="H73" s="2335"/>
      <c r="I73" s="2356"/>
      <c r="J73" s="1020" t="s">
        <v>1304</v>
      </c>
    </row>
    <row r="74" spans="3:10" ht="28.35" customHeight="1" thickBot="1">
      <c r="C74" s="2335" t="s">
        <v>1301</v>
      </c>
      <c r="D74" s="2335"/>
      <c r="E74" s="2335"/>
      <c r="F74" s="2335"/>
      <c r="G74" s="2335"/>
      <c r="H74" s="2335"/>
      <c r="I74" s="2356"/>
      <c r="J74" s="1021" t="str">
        <f ca="1">IF(ISERROR(INDIRECT("'"&amp;$K10&amp;"'!f$25")),"-",IF(INDIRECT("'"&amp;$K10&amp;"'!f$25")="Subvention nationale/régionale","X",""))</f>
        <v>-</v>
      </c>
    </row>
    <row r="75" spans="3:10" ht="28.35" customHeight="1" thickBot="1">
      <c r="C75" s="2335" t="s">
        <v>1311</v>
      </c>
      <c r="D75" s="2335"/>
      <c r="E75" s="2335"/>
      <c r="F75" s="2335"/>
      <c r="G75" s="2335"/>
      <c r="H75" s="2335"/>
      <c r="I75" s="2356"/>
      <c r="J75" s="1021"/>
    </row>
    <row r="76" spans="3:10" ht="28.35" customHeight="1" thickBot="1">
      <c r="C76" s="2335" t="s">
        <v>1319</v>
      </c>
      <c r="D76" s="2335"/>
      <c r="E76" s="2335"/>
      <c r="F76" s="2335"/>
      <c r="G76" s="2335"/>
      <c r="H76" s="2335"/>
      <c r="I76" s="2356"/>
      <c r="J76" s="1022" t="str">
        <f ca="1">IF(ISERROR(INDIRECT("'"&amp;$K10&amp;"'!f$25")),"-",IF(INDIRECT("'"&amp;$K10&amp;"'!f$25")="Programme européen","X",""))</f>
        <v>-</v>
      </c>
    </row>
    <row r="77" spans="3:10" ht="28.35" customHeight="1" thickBot="1">
      <c r="C77" s="2335" t="s">
        <v>1327</v>
      </c>
      <c r="D77" s="2335"/>
      <c r="E77" s="2335"/>
      <c r="F77" s="2335"/>
      <c r="G77" s="2335"/>
      <c r="H77" s="2335"/>
      <c r="I77" s="2335"/>
      <c r="J77" s="1019"/>
    </row>
    <row r="78" spans="3:10" ht="28.35" customHeight="1" thickBot="1">
      <c r="C78" s="2335" t="s">
        <v>1332</v>
      </c>
      <c r="D78" s="2335"/>
      <c r="E78" s="2335"/>
      <c r="F78" s="2335"/>
      <c r="G78" s="2335"/>
      <c r="H78" s="2335"/>
      <c r="I78" s="2335"/>
      <c r="J78" s="905"/>
    </row>
    <row r="79" spans="3:10" ht="28.35" customHeight="1" thickBot="1">
      <c r="C79" s="2335" t="s">
        <v>157</v>
      </c>
      <c r="D79" s="2335"/>
      <c r="E79" s="2335"/>
      <c r="F79" s="2335"/>
      <c r="G79" s="2335"/>
      <c r="H79" s="2335"/>
      <c r="I79" s="2335"/>
      <c r="J79" s="905"/>
    </row>
    <row r="82" spans="3:10" ht="34.799999999999997">
      <c r="C82" s="883" t="s">
        <v>2024</v>
      </c>
      <c r="D82" s="2357" t="str">
        <f ca="1">IF(ISERROR(INDIRECT("'"&amp;$K10&amp;"'!d$22")),"-",IF(INDIRECT("'"&amp;$K10&amp;"'!d$23")="Investissement",D70,""))</f>
        <v>-</v>
      </c>
      <c r="E82" s="2358"/>
      <c r="F82" s="2358"/>
      <c r="G82" s="2358"/>
      <c r="H82" s="2358"/>
      <c r="I82" s="2359"/>
    </row>
    <row r="83" spans="3:10">
      <c r="D83" s="906"/>
      <c r="E83" s="906"/>
      <c r="F83" s="906"/>
      <c r="G83" s="906"/>
      <c r="H83" s="906"/>
      <c r="I83" s="906"/>
    </row>
    <row r="84" spans="3:10" ht="34.799999999999997">
      <c r="C84" s="883" t="s">
        <v>2025</v>
      </c>
      <c r="D84" s="2357" t="str">
        <f ca="1">IF(ISERROR(INDIRECT("'"&amp;$K10&amp;"'!d$22")),"-",IF(INDIRECT("'"&amp;$K10&amp;"'!d$23")="Non-investissement",D70,""))</f>
        <v>-</v>
      </c>
      <c r="E84" s="2358"/>
      <c r="F84" s="2358"/>
      <c r="G84" s="2358"/>
      <c r="H84" s="2358"/>
      <c r="I84" s="2359"/>
    </row>
    <row r="91" spans="3:10" ht="36" customHeight="1">
      <c r="C91" s="2249" t="s">
        <v>2026</v>
      </c>
      <c r="D91" s="2249"/>
      <c r="E91" s="2249"/>
      <c r="F91" s="2249"/>
    </row>
    <row r="92" spans="3:10" outlineLevel="1"/>
    <row r="93" spans="3:10" ht="17.399999999999999" outlineLevel="1">
      <c r="C93" s="883" t="s">
        <v>103</v>
      </c>
      <c r="D93" s="2332" t="str">
        <f ca="1">IF(D4="X",IF(ISNA(VLOOKUP(INDIRECT("'"&amp;$K10&amp;"'!A$5"),Categories!X35:Y45,2,0)),"",VLOOKUP(INDIRECT("'"&amp;$K10&amp;"'!A$5"),Categories!X35:Y45,2,0)),"")</f>
        <v/>
      </c>
      <c r="E93" s="2333"/>
      <c r="F93" s="2333"/>
      <c r="G93" s="2333"/>
      <c r="H93" s="2333"/>
      <c r="I93" s="2333"/>
      <c r="J93" s="2334"/>
    </row>
    <row r="94" spans="3:10" outlineLevel="1"/>
    <row r="95" spans="3:10" ht="34.799999999999997" outlineLevel="1">
      <c r="C95" s="883" t="s">
        <v>2027</v>
      </c>
      <c r="D95" s="2332" t="str">
        <f ca="1">IF(D4="X",IF(ISERROR(INDIRECT("'"&amp;$K10&amp;"'!b$9")),"-",INDIRECT("'"&amp;$K10&amp;"'!b$9")),"")</f>
        <v/>
      </c>
      <c r="E95" s="2333"/>
      <c r="F95" s="2333"/>
      <c r="G95" s="2333"/>
      <c r="H95" s="2333"/>
      <c r="I95" s="2333"/>
      <c r="J95" s="2334"/>
    </row>
    <row r="96" spans="3:10" outlineLevel="1"/>
    <row r="97" spans="3:10" ht="17.399999999999999" outlineLevel="1">
      <c r="C97" s="883" t="s">
        <v>2028</v>
      </c>
      <c r="D97" s="2332" t="str">
        <f ca="1">IF(D4="X",IF(ISERROR(INDIRECT("'"&amp;$K10&amp;"'!d$9")),"-",INDIRECT("'"&amp;$K10&amp;"'!d$9")),"")</f>
        <v/>
      </c>
      <c r="E97" s="2333"/>
      <c r="F97" s="2333"/>
      <c r="G97" s="2333"/>
      <c r="H97" s="2333"/>
      <c r="I97" s="2333"/>
      <c r="J97" s="2334"/>
    </row>
    <row r="98" spans="3:10" outlineLevel="1"/>
    <row r="99" spans="3:10" outlineLevel="1"/>
    <row r="100" spans="3:10" ht="18" outlineLevel="1">
      <c r="C100" s="2249" t="s">
        <v>2029</v>
      </c>
      <c r="D100" s="2249"/>
      <c r="E100" s="2249"/>
      <c r="F100" s="2249"/>
    </row>
    <row r="101" spans="3:10" outlineLevel="1"/>
    <row r="102" spans="3:10" outlineLevel="1">
      <c r="C102" s="907"/>
      <c r="D102" s="2322">
        <v>2030</v>
      </c>
      <c r="E102" s="2322"/>
      <c r="F102" s="2322"/>
    </row>
    <row r="103" spans="3:10" ht="28.8" outlineLevel="1">
      <c r="C103" s="1023" t="s">
        <v>1991</v>
      </c>
      <c r="D103" s="2323" t="str">
        <f ca="1">IF(ISNA(VLOOKUP(D10,Actions!G2:AL70,22,0)),"",VLOOKUP(D10,Actions!G2:AL70,27,0))</f>
        <v/>
      </c>
      <c r="E103" s="2324"/>
      <c r="F103" s="2325"/>
    </row>
    <row r="104" spans="3:10" ht="28.8" outlineLevel="1">
      <c r="C104" s="1024" t="s">
        <v>1081</v>
      </c>
      <c r="D104" s="2363" t="str">
        <f ca="1">IF(ISNA(VLOOKUP(D10,Actions!G2:AL70,22,0)),"",VLOOKUP(D10,Actions!G2:AL70,28,0))</f>
        <v/>
      </c>
      <c r="E104" s="2364"/>
      <c r="F104" s="2365"/>
    </row>
    <row r="105" spans="3:10" outlineLevel="1">
      <c r="C105" s="1025" t="s">
        <v>2030</v>
      </c>
      <c r="D105" s="2360" t="str">
        <f ca="1">IF(ISNA(VLOOKUP(D10,Actions!G2:AL70,22,0)),"",VLOOKUP(D10,Actions!G2:AL70,29,0))</f>
        <v/>
      </c>
      <c r="E105" s="2361"/>
      <c r="F105" s="2362"/>
    </row>
    <row r="108" spans="3:10" ht="18">
      <c r="C108" s="2249" t="s">
        <v>2031</v>
      </c>
      <c r="D108" s="2249"/>
      <c r="E108" s="2249"/>
      <c r="F108" s="2249"/>
    </row>
    <row r="109" spans="3:10" ht="18">
      <c r="C109" s="2249"/>
      <c r="D109" s="2249"/>
      <c r="E109" s="2249"/>
      <c r="F109" s="2249"/>
    </row>
    <row r="110" spans="3:10" ht="29.4" customHeight="1" outlineLevel="1" thickBot="1">
      <c r="C110" s="657" t="s">
        <v>1284</v>
      </c>
      <c r="D110" s="2306" t="s">
        <v>2032</v>
      </c>
      <c r="E110" s="2307"/>
      <c r="F110" s="2307"/>
    </row>
    <row r="111" spans="3:10" ht="15" outlineLevel="1" thickBot="1">
      <c r="C111" s="1026" t="s">
        <v>1293</v>
      </c>
      <c r="D111" s="2319" t="str">
        <f ca="1">IF(ISNA(VLOOKUP($K$10,Actions!$A$2:$O$46,15,0)),"",IF(VLOOKUP($K$10,Actions!$A$2:$O$46,15,0)='Détails action 2'!C111,"X",""))</f>
        <v/>
      </c>
      <c r="E111" s="2320"/>
      <c r="F111" s="2321"/>
    </row>
    <row r="112" spans="3:10" ht="15" outlineLevel="1" thickBot="1">
      <c r="C112" s="1026" t="s">
        <v>1302</v>
      </c>
      <c r="D112" s="2317" t="str">
        <f ca="1">IF(ISNA(VLOOKUP($K$10,Actions!$A$2:$O$46,15,0)),"",IF(VLOOKUP($K$10,Actions!$A$2:$O$46,15,0)='Détails action 2'!C112,"X",""))</f>
        <v/>
      </c>
      <c r="E112" s="2301"/>
      <c r="F112" s="2318"/>
    </row>
    <row r="113" spans="3:6" ht="15" outlineLevel="1" thickBot="1">
      <c r="C113" s="1026" t="s">
        <v>1312</v>
      </c>
      <c r="D113" s="2317" t="str">
        <f ca="1">IF(ISNA(VLOOKUP($K$10,Actions!$A$2:$O$46,15,0)),"",IF(VLOOKUP($K$10,Actions!$A$2:$O$46,15,0)='Détails action 2'!C113,"X",""))</f>
        <v/>
      </c>
      <c r="E113" s="2301"/>
      <c r="F113" s="2318"/>
    </row>
    <row r="114" spans="3:6" ht="28.35" customHeight="1" outlineLevel="1" thickBot="1">
      <c r="C114" s="1026" t="s">
        <v>1320</v>
      </c>
      <c r="D114" s="2317" t="str">
        <f ca="1">IF(ISNA(VLOOKUP($K$10,Actions!$A$2:$O$46,15,0)),"",IF(VLOOKUP($K$10,Actions!$A$2:$O$46,15,0)='Détails action 2'!C114,"X",""))</f>
        <v/>
      </c>
      <c r="E114" s="2301"/>
      <c r="F114" s="2318"/>
    </row>
    <row r="115" spans="3:6" ht="15" outlineLevel="1" thickBot="1">
      <c r="C115" s="1026" t="s">
        <v>1328</v>
      </c>
      <c r="D115" s="2317" t="str">
        <f ca="1">IF(ISNA(VLOOKUP($K$10,Actions!$A$2:$O$46,15,0)),"",IF(VLOOKUP($K$10,Actions!$A$2:$O$46,15,0)='Détails action 2'!C115,"X",""))</f>
        <v/>
      </c>
      <c r="E115" s="2301"/>
      <c r="F115" s="2318"/>
    </row>
    <row r="116" spans="3:6" ht="15" outlineLevel="1" thickBot="1">
      <c r="C116" s="1026" t="s">
        <v>1333</v>
      </c>
      <c r="D116" s="2317" t="str">
        <f ca="1">IF(ISNA(VLOOKUP($K$10,Actions!$A$2:$O$46,15,0)),"",IF(VLOOKUP($K$10,Actions!$A$2:$O$46,15,0)='Détails action 2'!C116,"X",""))</f>
        <v/>
      </c>
      <c r="E116" s="2301"/>
      <c r="F116" s="2318"/>
    </row>
    <row r="117" spans="3:6" ht="15" outlineLevel="1" thickBot="1">
      <c r="C117" s="1026" t="s">
        <v>1337</v>
      </c>
      <c r="D117" s="2317" t="str">
        <f ca="1">IF(ISNA(VLOOKUP($K$10,Actions!$A$2:$O$46,15,0)),"",IF(VLOOKUP($K$10,Actions!$A$2:$O$46,15,0)='Détails action 2'!C117,"X",""))</f>
        <v/>
      </c>
      <c r="E117" s="2301"/>
      <c r="F117" s="2318"/>
    </row>
    <row r="118" spans="3:6" ht="15" outlineLevel="1" thickBot="1">
      <c r="C118" s="1026" t="s">
        <v>1339</v>
      </c>
      <c r="D118" s="2317" t="str">
        <f ca="1">IF(ISNA(VLOOKUP($K$10,Actions!$A$2:$O$46,15,0)),"",IF(VLOOKUP($K$10,Actions!$A$2:$O$46,15,0)='Détails action 2'!C118,"X",""))</f>
        <v/>
      </c>
      <c r="E118" s="2301"/>
      <c r="F118" s="2318"/>
    </row>
    <row r="119" spans="3:6" ht="15" outlineLevel="1" thickBot="1">
      <c r="C119" s="1026" t="s">
        <v>1342</v>
      </c>
      <c r="D119" s="2317" t="str">
        <f ca="1">IF(ISNA(VLOOKUP($K$10,Actions!$A$2:$O$46,15,0)),"",IF(VLOOKUP($K$10,Actions!$A$2:$O$46,15,0)='Détails action 2'!C119,"X",""))</f>
        <v/>
      </c>
      <c r="E119" s="2301"/>
      <c r="F119" s="2318"/>
    </row>
    <row r="120" spans="3:6" ht="15" outlineLevel="1" thickBot="1">
      <c r="C120" s="1026" t="s">
        <v>1345</v>
      </c>
      <c r="D120" s="2317" t="str">
        <f ca="1">IF(ISNA(VLOOKUP($K$10,Actions!$A$2:$O$46,15,0)),"",IF(VLOOKUP($K$10,Actions!$A$2:$O$46,15,0)='Détails action 2'!C120,"X",""))</f>
        <v/>
      </c>
      <c r="E120" s="2301"/>
      <c r="F120" s="2318"/>
    </row>
    <row r="121" spans="3:6" ht="15" outlineLevel="1" thickBot="1">
      <c r="C121" s="1026" t="s">
        <v>157</v>
      </c>
      <c r="D121" s="2314" t="str">
        <f ca="1">IF(ISNA(VLOOKUP($K$10,Actions!$A$2:$O$46,15,0)),"",IF(VLOOKUP($K$10,Actions!$A$2:$O$46,15,0)='Détails action 2'!C121,"X",""))</f>
        <v/>
      </c>
      <c r="E121" s="2315"/>
      <c r="F121" s="2316"/>
    </row>
    <row r="122" spans="3:6" outlineLevel="1">
      <c r="C122" s="909"/>
      <c r="D122" s="910"/>
    </row>
    <row r="123" spans="3:6" ht="15" outlineLevel="1" thickBot="1">
      <c r="C123" s="657" t="s">
        <v>2033</v>
      </c>
      <c r="D123" s="2306" t="s">
        <v>2032</v>
      </c>
      <c r="E123" s="2307"/>
      <c r="F123" s="2307"/>
    </row>
    <row r="124" spans="3:6" ht="15" outlineLevel="1" thickBot="1">
      <c r="C124" s="1026" t="s">
        <v>866</v>
      </c>
      <c r="D124" s="2311" t="str">
        <f ca="1">IF(ISNA(VLOOKUP($K$10,Actions!$A$2:$O$46,15,0)),"",IF(VLOOKUP($K$10,Actions!$A$2:$O$46,8,0)='Détails action 2'!C124,"X",""))</f>
        <v/>
      </c>
      <c r="E124" s="2312"/>
      <c r="F124" s="2313"/>
    </row>
    <row r="125" spans="3:6" ht="15" outlineLevel="1" thickBot="1">
      <c r="C125" s="1026" t="s">
        <v>870</v>
      </c>
      <c r="D125" s="2308" t="str">
        <f ca="1">IF(ISNA(VLOOKUP($K$10,Actions!$A$2:$O$46,15,0)),"",IF(VLOOKUP($K$10,Actions!$A$2:$O$46,8,0)='Détails action 2'!C125,"X",""))</f>
        <v/>
      </c>
      <c r="E125" s="2309"/>
      <c r="F125" s="2310"/>
    </row>
    <row r="126" spans="3:6" ht="15" outlineLevel="1" thickBot="1">
      <c r="C126" s="1026" t="s">
        <v>876</v>
      </c>
      <c r="D126" s="2308" t="str">
        <f ca="1">IF(ISNA(VLOOKUP($K$10,Actions!$A$2:$O$46,15,0)),"",IF(VLOOKUP($K$10,Actions!$A$2:$O$46,8,0)='Détails action 2'!C126,"X",""))</f>
        <v/>
      </c>
      <c r="E126" s="2309"/>
      <c r="F126" s="2310"/>
    </row>
    <row r="127" spans="3:6" ht="15" outlineLevel="1" thickBot="1">
      <c r="C127" s="1026" t="s">
        <v>881</v>
      </c>
      <c r="D127" s="2308" t="str">
        <f ca="1">IF(ISNA(VLOOKUP($K$10,Actions!$A$2:$O$46,15,0)),"",IF(VLOOKUP($K$10,Actions!$A$2:$O$46,8,0)='Détails action 2'!C127,"X",""))</f>
        <v/>
      </c>
      <c r="E127" s="2309"/>
      <c r="F127" s="2310"/>
    </row>
    <row r="128" spans="3:6" ht="15" outlineLevel="1" thickBot="1">
      <c r="C128" s="1026" t="s">
        <v>884</v>
      </c>
      <c r="D128" s="2308" t="str">
        <f ca="1">IF(ISNA(VLOOKUP($K$10,Actions!$A$2:$O$46,15,0)),"",IF(VLOOKUP($K$10,Actions!$A$2:$O$46,8,0)='Détails action 2'!C128,"X",""))</f>
        <v/>
      </c>
      <c r="E128" s="2309"/>
      <c r="F128" s="2310"/>
    </row>
    <row r="129" spans="3:6" ht="15" outlineLevel="1" thickBot="1">
      <c r="C129" s="1026" t="s">
        <v>887</v>
      </c>
      <c r="D129" s="2308" t="str">
        <f ca="1">IF(ISNA(VLOOKUP($K$10,Actions!$A$2:$O$46,15,0)),"",IF(VLOOKUP($K$10,Actions!$A$2:$O$46,8,0)='Détails action 2'!C129,"X",""))</f>
        <v/>
      </c>
      <c r="E129" s="2309"/>
      <c r="F129" s="2310"/>
    </row>
    <row r="130" spans="3:6" ht="15" outlineLevel="1" thickBot="1">
      <c r="C130" s="1026" t="s">
        <v>889</v>
      </c>
      <c r="D130" s="2308" t="str">
        <f ca="1">IF(ISNA(VLOOKUP($K$10,Actions!$A$2:$O$46,15,0)),"",IF(VLOOKUP($K$10,Actions!$A$2:$O$46,8,0)='Détails action 2'!C130,"X",""))</f>
        <v/>
      </c>
      <c r="E130" s="2309"/>
      <c r="F130" s="2310"/>
    </row>
    <row r="131" spans="3:6" ht="30.6" customHeight="1" outlineLevel="1" thickBot="1">
      <c r="C131" s="1026" t="s">
        <v>891</v>
      </c>
      <c r="D131" s="2308" t="str">
        <f ca="1">IF(ISNA(VLOOKUP($K$10,Actions!$A$2:$O$46,15,0)),"",IF(VLOOKUP($K$10,Actions!$A$2:$O$46,8,0)='Détails action 2'!C131,"X",""))</f>
        <v/>
      </c>
      <c r="E131" s="2309"/>
      <c r="F131" s="2310"/>
    </row>
    <row r="132" spans="3:6" ht="15" outlineLevel="1" thickBot="1">
      <c r="C132" s="1026" t="s">
        <v>892</v>
      </c>
      <c r="D132" s="2308" t="str">
        <f ca="1">IF(ISNA(VLOOKUP($K$10,Actions!$A$2:$O$46,15,0)),"",IF(VLOOKUP($K$10,Actions!$A$2:$O$46,8,0)='Détails action 2'!C132,"X",""))</f>
        <v/>
      </c>
      <c r="E132" s="2309"/>
      <c r="F132" s="2310"/>
    </row>
    <row r="133" spans="3:6" ht="28.35" customHeight="1" outlineLevel="1" thickBot="1">
      <c r="C133" s="1026" t="s">
        <v>898</v>
      </c>
      <c r="D133" s="2308" t="str">
        <f ca="1">IF(ISNA(VLOOKUP($K$10,Actions!$A$2:$O$46,15,0)),"",IF(VLOOKUP($K$10,Actions!$A$2:$O$46,8,0)='Détails action 2'!C133,"X",""))</f>
        <v/>
      </c>
      <c r="E133" s="2309"/>
      <c r="F133" s="2310"/>
    </row>
    <row r="134" spans="3:6" ht="15" outlineLevel="1" thickBot="1">
      <c r="C134" s="1026" t="s">
        <v>904</v>
      </c>
      <c r="D134" s="2308" t="str">
        <f ca="1">IF(ISNA(VLOOKUP($K$10,Actions!$A$2:$O$46,15,0)),"",IF(VLOOKUP($K$10,Actions!$A$2:$O$46,8,0)='Détails action 2'!C134,"X",""))</f>
        <v/>
      </c>
      <c r="E134" s="2309"/>
      <c r="F134" s="2310"/>
    </row>
    <row r="135" spans="3:6" ht="15" outlineLevel="1" thickBot="1">
      <c r="C135" s="1026" t="s">
        <v>909</v>
      </c>
      <c r="D135" s="2308" t="str">
        <f ca="1">IF(ISNA(VLOOKUP($K$10,Actions!$A$2:$O$46,15,0)),"",IF(VLOOKUP($K$10,Actions!$A$2:$O$46,8,0)='Détails action 2'!C135,"X",""))</f>
        <v/>
      </c>
      <c r="E135" s="2309"/>
      <c r="F135" s="2310"/>
    </row>
    <row r="136" spans="3:6" ht="42" customHeight="1" outlineLevel="1" thickBot="1">
      <c r="C136" s="1026" t="s">
        <v>914</v>
      </c>
      <c r="D136" s="2303" t="str">
        <f ca="1">IF(ISNA(VLOOKUP($K$10,Actions!$A$2:$O$46,15,0)),"",IF(VLOOKUP($K$10,Actions!$A$2:$O$46,8,0)='Détails action 2'!C136,"X",""))</f>
        <v/>
      </c>
      <c r="E136" s="2304"/>
      <c r="F136" s="2305"/>
    </row>
    <row r="138" spans="3:6" ht="29.4" thickBot="1">
      <c r="C138" s="657" t="s">
        <v>2034</v>
      </c>
      <c r="D138" s="2306" t="s">
        <v>2032</v>
      </c>
      <c r="E138" s="2307"/>
      <c r="F138" s="2307"/>
    </row>
    <row r="139" spans="3:6" ht="15" thickBot="1">
      <c r="C139" s="908" t="s">
        <v>1694</v>
      </c>
      <c r="D139" s="2300"/>
      <c r="E139" s="2301"/>
      <c r="F139" s="2302"/>
    </row>
    <row r="140" spans="3:6" ht="15" thickBot="1">
      <c r="C140" s="908" t="s">
        <v>1695</v>
      </c>
      <c r="D140" s="2300"/>
      <c r="E140" s="2301"/>
      <c r="F140" s="2302"/>
    </row>
    <row r="141" spans="3:6" ht="15" thickBot="1">
      <c r="C141" s="908" t="s">
        <v>1696</v>
      </c>
      <c r="D141" s="2300"/>
      <c r="E141" s="2301"/>
      <c r="F141" s="2302"/>
    </row>
    <row r="142" spans="3:6" ht="15" thickBot="1">
      <c r="C142" s="908" t="s">
        <v>1697</v>
      </c>
      <c r="D142" s="2300"/>
      <c r="E142" s="2301"/>
      <c r="F142" s="2302"/>
    </row>
    <row r="143" spans="3:6" ht="15" thickBot="1">
      <c r="C143" s="908" t="s">
        <v>1698</v>
      </c>
      <c r="D143" s="2300"/>
      <c r="E143" s="2301"/>
      <c r="F143" s="2302"/>
    </row>
    <row r="144" spans="3:6" ht="15" thickBot="1">
      <c r="C144" s="908" t="s">
        <v>1699</v>
      </c>
      <c r="D144" s="2300"/>
      <c r="E144" s="2301"/>
      <c r="F144" s="2302"/>
    </row>
    <row r="145" spans="3:6" ht="28.35" customHeight="1" thickBot="1">
      <c r="C145" s="908" t="s">
        <v>1700</v>
      </c>
      <c r="D145" s="2300"/>
      <c r="E145" s="2301"/>
      <c r="F145" s="2302"/>
    </row>
    <row r="146" spans="3:6" ht="15" thickBot="1">
      <c r="C146" s="908" t="s">
        <v>1701</v>
      </c>
      <c r="D146" s="2300"/>
      <c r="E146" s="2301"/>
      <c r="F146" s="2302"/>
    </row>
    <row r="147" spans="3:6" ht="15" thickBot="1">
      <c r="C147" s="908" t="s">
        <v>1702</v>
      </c>
      <c r="D147" s="2300"/>
      <c r="E147" s="2301"/>
      <c r="F147" s="2302"/>
    </row>
    <row r="148" spans="3:6" ht="28.35" customHeight="1" thickBot="1">
      <c r="C148" s="908" t="s">
        <v>1703</v>
      </c>
      <c r="D148" s="2300"/>
      <c r="E148" s="2301"/>
      <c r="F148" s="2302"/>
    </row>
    <row r="149" spans="3:6" ht="28.35" customHeight="1" thickBot="1">
      <c r="C149" s="908" t="s">
        <v>1704</v>
      </c>
      <c r="D149" s="2300"/>
      <c r="E149" s="2301"/>
      <c r="F149" s="2302"/>
    </row>
    <row r="150" spans="3:6" ht="15" thickBot="1">
      <c r="C150" s="908" t="s">
        <v>157</v>
      </c>
      <c r="D150" s="2300"/>
      <c r="E150" s="2301"/>
      <c r="F150" s="2302"/>
    </row>
    <row r="151" spans="3:6" ht="15" thickBot="1">
      <c r="C151" s="908" t="s">
        <v>661</v>
      </c>
      <c r="D151" s="2300"/>
      <c r="E151" s="2301"/>
      <c r="F151" s="2302"/>
    </row>
  </sheetData>
  <sheetProtection sheet="1" objects="1" scenarios="1"/>
  <mergeCells count="84">
    <mergeCell ref="D46:J46"/>
    <mergeCell ref="C2:G2"/>
    <mergeCell ref="H2:L2"/>
    <mergeCell ref="D10:J11"/>
    <mergeCell ref="C16:C17"/>
    <mergeCell ref="D16:J17"/>
    <mergeCell ref="D19:J19"/>
    <mergeCell ref="D22:J29"/>
    <mergeCell ref="D31:J31"/>
    <mergeCell ref="D33:J33"/>
    <mergeCell ref="D42:J42"/>
    <mergeCell ref="D44:J44"/>
    <mergeCell ref="C72:I72"/>
    <mergeCell ref="C51:I51"/>
    <mergeCell ref="C52:I52"/>
    <mergeCell ref="C53:I53"/>
    <mergeCell ref="C54:I54"/>
    <mergeCell ref="C55:I55"/>
    <mergeCell ref="C56:I56"/>
    <mergeCell ref="C57:I57"/>
    <mergeCell ref="C58:I58"/>
    <mergeCell ref="C59:I59"/>
    <mergeCell ref="D61:I67"/>
    <mergeCell ref="D70:I70"/>
    <mergeCell ref="D95:J95"/>
    <mergeCell ref="C73:I73"/>
    <mergeCell ref="C74:I74"/>
    <mergeCell ref="C75:I75"/>
    <mergeCell ref="C76:I76"/>
    <mergeCell ref="C77:I77"/>
    <mergeCell ref="C78:I78"/>
    <mergeCell ref="C79:I79"/>
    <mergeCell ref="D82:I82"/>
    <mergeCell ref="D84:I84"/>
    <mergeCell ref="C91:F91"/>
    <mergeCell ref="D93:J93"/>
    <mergeCell ref="D97:J97"/>
    <mergeCell ref="C100:F100"/>
    <mergeCell ref="D102:F102"/>
    <mergeCell ref="D103:F103"/>
    <mergeCell ref="D104:F104"/>
    <mergeCell ref="D119:F119"/>
    <mergeCell ref="C108:F108"/>
    <mergeCell ref="C109:F109"/>
    <mergeCell ref="D110:F110"/>
    <mergeCell ref="D111:F111"/>
    <mergeCell ref="D112:F112"/>
    <mergeCell ref="D113:F113"/>
    <mergeCell ref="D114:F114"/>
    <mergeCell ref="D115:F115"/>
    <mergeCell ref="D116:F116"/>
    <mergeCell ref="D117:F117"/>
    <mergeCell ref="D118:F118"/>
    <mergeCell ref="D132:F132"/>
    <mergeCell ref="D120:F120"/>
    <mergeCell ref="D121:F121"/>
    <mergeCell ref="D123:F123"/>
    <mergeCell ref="D124:F124"/>
    <mergeCell ref="D125:F125"/>
    <mergeCell ref="D126:F126"/>
    <mergeCell ref="D150:F150"/>
    <mergeCell ref="D151:F151"/>
    <mergeCell ref="D140:F140"/>
    <mergeCell ref="D141:F141"/>
    <mergeCell ref="D142:F142"/>
    <mergeCell ref="D143:F143"/>
    <mergeCell ref="D144:F144"/>
    <mergeCell ref="D145:F145"/>
    <mergeCell ref="D105:F105"/>
    <mergeCell ref="D146:F146"/>
    <mergeCell ref="D147:F147"/>
    <mergeCell ref="D148:F148"/>
    <mergeCell ref="D149:F149"/>
    <mergeCell ref="D133:F133"/>
    <mergeCell ref="D134:F134"/>
    <mergeCell ref="D135:F135"/>
    <mergeCell ref="D136:F136"/>
    <mergeCell ref="D138:F138"/>
    <mergeCell ref="D139:F139"/>
    <mergeCell ref="D127:F127"/>
    <mergeCell ref="D128:F128"/>
    <mergeCell ref="D129:F129"/>
    <mergeCell ref="D130:F130"/>
    <mergeCell ref="D131:F131"/>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36EE8-8534-44EA-83F5-A78DBB46958E}">
  <sheetPr codeName="Feuil39">
    <tabColor theme="8" tint="0.79998168889431442"/>
  </sheetPr>
  <dimension ref="C1:L151"/>
  <sheetViews>
    <sheetView showGridLines="0" topLeftCell="A58" zoomScale="90" zoomScaleNormal="90" workbookViewId="0">
      <selection activeCell="D71" sqref="D71"/>
    </sheetView>
  </sheetViews>
  <sheetFormatPr baseColWidth="10" defaultColWidth="11.44140625" defaultRowHeight="14.4" outlineLevelRow="1"/>
  <cols>
    <col min="1" max="1" width="28.5546875" customWidth="1"/>
    <col min="2" max="2" width="7.44140625" customWidth="1"/>
    <col min="3" max="3" width="29.5546875" customWidth="1"/>
    <col min="4" max="4" width="6.88671875" style="902" bestFit="1" customWidth="1"/>
    <col min="5" max="5" width="3.5546875" customWidth="1"/>
    <col min="6" max="6" width="21.109375" customWidth="1"/>
    <col min="7" max="7" width="14.44140625" customWidth="1"/>
    <col min="8" max="8" width="12" customWidth="1"/>
    <col min="9" max="9" width="11.44140625" customWidth="1"/>
    <col min="10" max="10" width="13.5546875" customWidth="1"/>
    <col min="11" max="11" width="14.88671875" customWidth="1"/>
    <col min="12" max="12" width="11.5546875" bestFit="1" customWidth="1"/>
    <col min="14" max="20" width="0" hidden="1" customWidth="1"/>
  </cols>
  <sheetData>
    <row r="1" spans="3:12" ht="111" customHeight="1"/>
    <row r="2" spans="3:12" ht="18">
      <c r="C2" s="2249" t="s">
        <v>2009</v>
      </c>
      <c r="D2" s="2249"/>
      <c r="E2" s="2249"/>
      <c r="F2" s="2249"/>
      <c r="G2" s="2249"/>
      <c r="H2" s="2278" t="s">
        <v>1855</v>
      </c>
      <c r="I2" s="2279"/>
      <c r="J2" s="2279"/>
      <c r="K2" s="2279"/>
      <c r="L2" s="2280"/>
    </row>
    <row r="3" spans="3:12" ht="56.4" customHeight="1"/>
    <row r="4" spans="3:12" ht="17.399999999999999">
      <c r="C4" s="880" t="s">
        <v>2010</v>
      </c>
      <c r="D4" s="1018" t="str">
        <f ca="1">IF(ISERROR(INDIRECT("'"&amp;$K10&amp;"'!e$2")),"-",IF(INDIRECT("'"&amp;$K10&amp;"'!e$2")=1,"X",""))</f>
        <v>-</v>
      </c>
      <c r="F4" s="882" t="s">
        <v>708</v>
      </c>
    </row>
    <row r="5" spans="3:12" ht="15.6">
      <c r="D5" s="903"/>
      <c r="F5" s="881"/>
    </row>
    <row r="6" spans="3:12" ht="15.6" customHeight="1">
      <c r="D6" s="1018" t="str">
        <f ca="1">IF(D4="X","","X")</f>
        <v>X</v>
      </c>
      <c r="F6" s="882" t="s">
        <v>327</v>
      </c>
    </row>
    <row r="7" spans="3:12" ht="15.6">
      <c r="D7" s="903"/>
      <c r="F7" s="881"/>
    </row>
    <row r="8" spans="3:12" ht="16.350000000000001" customHeight="1">
      <c r="D8" s="1018" t="str">
        <f ca="1">IF(ISERROR(INDIRECT("'"&amp;$K10&amp;"'!e$3")),"-",IF(INDIRECT("'"&amp;$K10&amp;"'!e$3")=TRUE,"X",""))</f>
        <v>-</v>
      </c>
      <c r="F8" s="882" t="s">
        <v>1276</v>
      </c>
    </row>
    <row r="10" spans="3:12" ht="17.399999999999999">
      <c r="C10" s="880" t="s">
        <v>724</v>
      </c>
      <c r="D10" s="2336" t="str">
        <f ca="1">IF(ISERROR(INDIRECT("'"&amp;$K10&amp;"'!b$13")),"-",INDIRECT("'"&amp;$K10&amp;"'!b$13"))</f>
        <v>-</v>
      </c>
      <c r="E10" s="2337"/>
      <c r="F10" s="2337"/>
      <c r="G10" s="2337"/>
      <c r="H10" s="2337"/>
      <c r="I10" s="2337"/>
      <c r="J10" s="2338"/>
      <c r="K10" s="55" t="str">
        <f ca="1">'Mes actions'!D66</f>
        <v/>
      </c>
    </row>
    <row r="11" spans="3:12">
      <c r="D11" s="2339"/>
      <c r="E11" s="2340"/>
      <c r="F11" s="2340"/>
      <c r="G11" s="2340"/>
      <c r="H11" s="2340"/>
      <c r="I11" s="2340"/>
      <c r="J11" s="2341"/>
    </row>
    <row r="14" spans="3:12" ht="17.399999999999999">
      <c r="C14" s="880" t="s">
        <v>2011</v>
      </c>
    </row>
    <row r="16" spans="3:12" ht="17.399999999999999" customHeight="1">
      <c r="C16" s="2353" t="s">
        <v>1073</v>
      </c>
      <c r="D16" s="2336" t="str">
        <f ca="1">IF(ISERROR(INDIRECT("'"&amp;$K10&amp;"'!b$11")),"-",INDIRECT("'"&amp;$K10&amp;"'!b$11"))</f>
        <v>-</v>
      </c>
      <c r="E16" s="2337"/>
      <c r="F16" s="2337"/>
      <c r="G16" s="2337"/>
      <c r="H16" s="2337"/>
      <c r="I16" s="2337"/>
      <c r="J16" s="2338"/>
    </row>
    <row r="17" spans="3:10">
      <c r="C17" s="2353"/>
      <c r="D17" s="2339"/>
      <c r="E17" s="2340"/>
      <c r="F17" s="2340"/>
      <c r="G17" s="2340"/>
      <c r="H17" s="2340"/>
      <c r="I17" s="2340"/>
      <c r="J17" s="2341"/>
    </row>
    <row r="19" spans="3:10" ht="34.799999999999997">
      <c r="C19" s="883" t="s">
        <v>2012</v>
      </c>
      <c r="D19" s="2332" t="str">
        <f ca="1">D16</f>
        <v>-</v>
      </c>
      <c r="E19" s="2333"/>
      <c r="F19" s="2333"/>
      <c r="G19" s="2333"/>
      <c r="H19" s="2333"/>
      <c r="I19" s="2333"/>
      <c r="J19" s="2334"/>
    </row>
    <row r="22" spans="3:10" ht="34.799999999999997">
      <c r="C22" s="883" t="s">
        <v>2013</v>
      </c>
      <c r="D22" s="2343" t="str">
        <f ca="1">IF(ISERROR(INDIRECT("'"&amp;$K10&amp;"'!b$14")),"-",INDIRECT("'"&amp;$K10&amp;"'!b$14"))</f>
        <v>-</v>
      </c>
      <c r="E22" s="2344"/>
      <c r="F22" s="2344"/>
      <c r="G22" s="2344"/>
      <c r="H22" s="2344"/>
      <c r="I22" s="2344"/>
      <c r="J22" s="2345"/>
    </row>
    <row r="23" spans="3:10">
      <c r="D23" s="2346"/>
      <c r="E23" s="2347"/>
      <c r="F23" s="2347"/>
      <c r="G23" s="2347"/>
      <c r="H23" s="2347"/>
      <c r="I23" s="2347"/>
      <c r="J23" s="2348"/>
    </row>
    <row r="24" spans="3:10">
      <c r="D24" s="2346"/>
      <c r="E24" s="2347"/>
      <c r="F24" s="2347"/>
      <c r="G24" s="2347"/>
      <c r="H24" s="2347"/>
      <c r="I24" s="2347"/>
      <c r="J24" s="2348"/>
    </row>
    <row r="25" spans="3:10">
      <c r="D25" s="2346"/>
      <c r="E25" s="2347"/>
      <c r="F25" s="2347"/>
      <c r="G25" s="2347"/>
      <c r="H25" s="2347"/>
      <c r="I25" s="2347"/>
      <c r="J25" s="2348"/>
    </row>
    <row r="26" spans="3:10">
      <c r="D26" s="2346"/>
      <c r="E26" s="2347"/>
      <c r="F26" s="2347"/>
      <c r="G26" s="2347"/>
      <c r="H26" s="2347"/>
      <c r="I26" s="2347"/>
      <c r="J26" s="2348"/>
    </row>
    <row r="27" spans="3:10">
      <c r="D27" s="2346"/>
      <c r="E27" s="2347"/>
      <c r="F27" s="2347"/>
      <c r="G27" s="2347"/>
      <c r="H27" s="2347"/>
      <c r="I27" s="2347"/>
      <c r="J27" s="2348"/>
    </row>
    <row r="28" spans="3:10">
      <c r="D28" s="2346"/>
      <c r="E28" s="2347"/>
      <c r="F28" s="2347"/>
      <c r="G28" s="2347"/>
      <c r="H28" s="2347"/>
      <c r="I28" s="2347"/>
      <c r="J28" s="2348"/>
    </row>
    <row r="29" spans="3:10">
      <c r="D29" s="2349"/>
      <c r="E29" s="2350"/>
      <c r="F29" s="2350"/>
      <c r="G29" s="2350"/>
      <c r="H29" s="2350"/>
      <c r="I29" s="2350"/>
      <c r="J29" s="2351"/>
    </row>
    <row r="31" spans="3:10" ht="31.35" customHeight="1">
      <c r="C31" s="884" t="s">
        <v>2014</v>
      </c>
      <c r="D31" s="2352"/>
      <c r="E31" s="2352"/>
      <c r="F31" s="2352"/>
      <c r="G31" s="2352"/>
      <c r="H31" s="2352"/>
      <c r="I31" s="2352"/>
      <c r="J31" s="2352"/>
    </row>
    <row r="33" spans="3:10" ht="28.35" customHeight="1">
      <c r="C33" s="884" t="s">
        <v>2015</v>
      </c>
      <c r="D33" s="2352"/>
      <c r="E33" s="2352"/>
      <c r="F33" s="2352"/>
      <c r="G33" s="2352"/>
      <c r="H33" s="2352"/>
      <c r="I33" s="2352"/>
      <c r="J33" s="2352"/>
    </row>
    <row r="35" spans="3:10" ht="17.399999999999999">
      <c r="C35" s="880" t="s">
        <v>2016</v>
      </c>
    </row>
    <row r="41" spans="3:10" ht="24" customHeight="1"/>
    <row r="42" spans="3:10" ht="34.799999999999997">
      <c r="C42" s="883" t="s">
        <v>2017</v>
      </c>
      <c r="D42" s="2332" t="str">
        <f ca="1">IF(ISERROR(INDIRECT("'"&amp;$K10&amp;"'!b$19")),"-",INDIRECT("'"&amp;$K10&amp;"'!b$20"))</f>
        <v>-</v>
      </c>
      <c r="E42" s="2333"/>
      <c r="F42" s="2333"/>
      <c r="G42" s="2333"/>
      <c r="H42" s="2333"/>
      <c r="I42" s="2333"/>
      <c r="J42" s="2334"/>
    </row>
    <row r="43" spans="3:10">
      <c r="E43" s="902"/>
      <c r="F43" s="902"/>
      <c r="G43" s="902"/>
      <c r="H43" s="902"/>
      <c r="I43" s="902"/>
      <c r="J43" s="902"/>
    </row>
    <row r="44" spans="3:10" ht="33.6" customHeight="1">
      <c r="C44" s="883" t="s">
        <v>2018</v>
      </c>
      <c r="D44" s="2332" t="str">
        <f ca="1">IF(ISERROR(INDIRECT("'"&amp;$K10&amp;"'!b$20")),"-",INDIRECT("'"&amp;$K10&amp;"'!b$21"))</f>
        <v>-</v>
      </c>
      <c r="E44" s="2333"/>
      <c r="F44" s="2333"/>
      <c r="G44" s="2333"/>
      <c r="H44" s="2333"/>
      <c r="I44" s="2333"/>
      <c r="J44" s="2334"/>
    </row>
    <row r="45" spans="3:10">
      <c r="E45" s="902"/>
      <c r="F45" s="902"/>
      <c r="G45" s="902"/>
      <c r="H45" s="902"/>
      <c r="I45" s="902"/>
      <c r="J45" s="902"/>
    </row>
    <row r="46" spans="3:10" ht="34.799999999999997">
      <c r="C46" s="883" t="s">
        <v>2019</v>
      </c>
      <c r="D46" s="2332" t="str">
        <f ca="1">IF(ISERROR(INDIRECT("'"&amp;$K10&amp;"'!e$6")),"-",INDIRECT("'"&amp;$K10&amp;"'!e$6"))</f>
        <v>-</v>
      </c>
      <c r="E46" s="2333"/>
      <c r="F46" s="2333"/>
      <c r="G46" s="2333"/>
      <c r="H46" s="2333"/>
      <c r="I46" s="2333"/>
      <c r="J46" s="2334"/>
    </row>
    <row r="49" spans="3:10" ht="36">
      <c r="C49" s="655" t="s">
        <v>2020</v>
      </c>
    </row>
    <row r="51" spans="3:10" ht="23.4" customHeight="1" thickBot="1">
      <c r="C51" s="2322" t="s">
        <v>1282</v>
      </c>
      <c r="D51" s="2322"/>
      <c r="E51" s="2322"/>
      <c r="F51" s="2322"/>
      <c r="G51" s="2322"/>
      <c r="H51" s="2322"/>
      <c r="I51" s="2342"/>
      <c r="J51" s="885" t="s">
        <v>2021</v>
      </c>
    </row>
    <row r="52" spans="3:10" ht="32.4" customHeight="1" thickBot="1">
      <c r="C52" s="2335" t="s">
        <v>1291</v>
      </c>
      <c r="D52" s="2335"/>
      <c r="E52" s="2335"/>
      <c r="F52" s="2335"/>
      <c r="G52" s="2335"/>
      <c r="H52" s="2335"/>
      <c r="I52" s="2335"/>
      <c r="J52" s="904"/>
    </row>
    <row r="53" spans="3:10" ht="32.4" customHeight="1" thickBot="1">
      <c r="C53" s="2335" t="s">
        <v>1300</v>
      </c>
      <c r="D53" s="2335"/>
      <c r="E53" s="2335"/>
      <c r="F53" s="2335"/>
      <c r="G53" s="2335"/>
      <c r="H53" s="2335"/>
      <c r="I53" s="2335"/>
      <c r="J53" s="904"/>
    </row>
    <row r="54" spans="3:10" ht="32.4" customHeight="1" thickBot="1">
      <c r="C54" s="2335" t="s">
        <v>1310</v>
      </c>
      <c r="D54" s="2335"/>
      <c r="E54" s="2335"/>
      <c r="F54" s="2335"/>
      <c r="G54" s="2335"/>
      <c r="H54" s="2335"/>
      <c r="I54" s="2335"/>
      <c r="J54" s="904"/>
    </row>
    <row r="55" spans="3:10" ht="32.4" customHeight="1" thickBot="1">
      <c r="C55" s="2335" t="s">
        <v>1318</v>
      </c>
      <c r="D55" s="2335"/>
      <c r="E55" s="2335"/>
      <c r="F55" s="2335"/>
      <c r="G55" s="2335"/>
      <c r="H55" s="2335"/>
      <c r="I55" s="2335"/>
      <c r="J55" s="904"/>
    </row>
    <row r="56" spans="3:10" ht="32.4" customHeight="1" thickBot="1">
      <c r="C56" s="2335" t="s">
        <v>1326</v>
      </c>
      <c r="D56" s="2335"/>
      <c r="E56" s="2335"/>
      <c r="F56" s="2335"/>
      <c r="G56" s="2335"/>
      <c r="H56" s="2335"/>
      <c r="I56" s="2335"/>
      <c r="J56" s="904"/>
    </row>
    <row r="57" spans="3:10" ht="32.4" customHeight="1" thickBot="1">
      <c r="C57" s="2335" t="s">
        <v>1331</v>
      </c>
      <c r="D57" s="2335"/>
      <c r="E57" s="2335"/>
      <c r="F57" s="2335"/>
      <c r="G57" s="2335"/>
      <c r="H57" s="2335"/>
      <c r="I57" s="2335"/>
      <c r="J57" s="904"/>
    </row>
    <row r="58" spans="3:10" ht="32.4" customHeight="1" thickBot="1">
      <c r="C58" s="2335" t="s">
        <v>1336</v>
      </c>
      <c r="D58" s="2335"/>
      <c r="E58" s="2335"/>
      <c r="F58" s="2335"/>
      <c r="G58" s="2335"/>
      <c r="H58" s="2335"/>
      <c r="I58" s="2335"/>
      <c r="J58" s="904"/>
    </row>
    <row r="59" spans="3:10" ht="32.4" customHeight="1" thickBot="1">
      <c r="C59" s="2335" t="s">
        <v>775</v>
      </c>
      <c r="D59" s="2335"/>
      <c r="E59" s="2335"/>
      <c r="F59" s="2335"/>
      <c r="G59" s="2335"/>
      <c r="H59" s="2335"/>
      <c r="I59" s="2335"/>
      <c r="J59" s="904"/>
    </row>
    <row r="61" spans="3:10" ht="17.399999999999999">
      <c r="C61" s="880" t="s">
        <v>91</v>
      </c>
      <c r="D61" s="2354"/>
      <c r="E61" s="2354"/>
      <c r="F61" s="2354"/>
      <c r="G61" s="2354"/>
      <c r="H61" s="2354"/>
      <c r="I61" s="2354"/>
    </row>
    <row r="62" spans="3:10">
      <c r="D62" s="2354"/>
      <c r="E62" s="2354"/>
      <c r="F62" s="2354"/>
      <c r="G62" s="2354"/>
      <c r="H62" s="2354"/>
      <c r="I62" s="2354"/>
    </row>
    <row r="63" spans="3:10">
      <c r="D63" s="2354"/>
      <c r="E63" s="2354"/>
      <c r="F63" s="2354"/>
      <c r="G63" s="2354"/>
      <c r="H63" s="2354"/>
      <c r="I63" s="2354"/>
    </row>
    <row r="64" spans="3:10">
      <c r="D64" s="2354"/>
      <c r="E64" s="2354"/>
      <c r="F64" s="2354"/>
      <c r="G64" s="2354"/>
      <c r="H64" s="2354"/>
      <c r="I64" s="2354"/>
    </row>
    <row r="65" spans="3:10">
      <c r="D65" s="2354"/>
      <c r="E65" s="2354"/>
      <c r="F65" s="2354"/>
      <c r="G65" s="2354"/>
      <c r="H65" s="2354"/>
      <c r="I65" s="2354"/>
    </row>
    <row r="66" spans="3:10">
      <c r="D66" s="2354"/>
      <c r="E66" s="2354"/>
      <c r="F66" s="2354"/>
      <c r="G66" s="2354"/>
      <c r="H66" s="2354"/>
      <c r="I66" s="2354"/>
    </row>
    <row r="67" spans="3:10">
      <c r="D67" s="2354"/>
      <c r="E67" s="2354"/>
      <c r="F67" s="2354"/>
      <c r="G67" s="2354"/>
      <c r="H67" s="2354"/>
      <c r="I67" s="2354"/>
    </row>
    <row r="69" spans="3:10" ht="55.35" customHeight="1">
      <c r="C69" s="886" t="s">
        <v>2022</v>
      </c>
    </row>
    <row r="70" spans="3:10" ht="33.6" customHeight="1">
      <c r="C70" s="883" t="s">
        <v>2023</v>
      </c>
      <c r="D70" s="2355" t="str">
        <f ca="1">IF(ISERROR(INDIRECT("'"&amp;$K10&amp;"'!b$22")),"-",INDIRECT("'"&amp;$K10&amp;"'!b$23"))</f>
        <v>-</v>
      </c>
      <c r="E70" s="2355"/>
      <c r="F70" s="2355"/>
      <c r="G70" s="2355"/>
      <c r="H70" s="2355"/>
      <c r="I70" s="2355"/>
    </row>
    <row r="72" spans="3:10" ht="28.35" customHeight="1" thickBot="1">
      <c r="C72" s="2322" t="s">
        <v>1283</v>
      </c>
      <c r="D72" s="2322"/>
      <c r="E72" s="2322"/>
      <c r="F72" s="2322"/>
      <c r="G72" s="2322"/>
      <c r="H72" s="2322"/>
      <c r="I72" s="2342"/>
      <c r="J72" s="885" t="s">
        <v>2021</v>
      </c>
    </row>
    <row r="73" spans="3:10" ht="28.35" customHeight="1" thickBot="1">
      <c r="C73" s="2335" t="s">
        <v>1292</v>
      </c>
      <c r="D73" s="2335"/>
      <c r="E73" s="2335"/>
      <c r="F73" s="2335"/>
      <c r="G73" s="2335"/>
      <c r="H73" s="2335"/>
      <c r="I73" s="2356"/>
      <c r="J73" s="1020" t="s">
        <v>1304</v>
      </c>
    </row>
    <row r="74" spans="3:10" ht="28.35" customHeight="1" thickBot="1">
      <c r="C74" s="2335" t="s">
        <v>1301</v>
      </c>
      <c r="D74" s="2335"/>
      <c r="E74" s="2335"/>
      <c r="F74" s="2335"/>
      <c r="G74" s="2335"/>
      <c r="H74" s="2335"/>
      <c r="I74" s="2356"/>
      <c r="J74" s="1021" t="str">
        <f ca="1">IF(ISERROR(INDIRECT("'"&amp;$K10&amp;"'!f$25")),"-",IF(INDIRECT("'"&amp;$K10&amp;"'!f$25")="Subvention nationale/régionale","X",""))</f>
        <v>-</v>
      </c>
    </row>
    <row r="75" spans="3:10" ht="28.35" customHeight="1" thickBot="1">
      <c r="C75" s="2335" t="s">
        <v>1311</v>
      </c>
      <c r="D75" s="2335"/>
      <c r="E75" s="2335"/>
      <c r="F75" s="2335"/>
      <c r="G75" s="2335"/>
      <c r="H75" s="2335"/>
      <c r="I75" s="2356"/>
      <c r="J75" s="1021"/>
    </row>
    <row r="76" spans="3:10" ht="28.35" customHeight="1" thickBot="1">
      <c r="C76" s="2335" t="s">
        <v>1319</v>
      </c>
      <c r="D76" s="2335"/>
      <c r="E76" s="2335"/>
      <c r="F76" s="2335"/>
      <c r="G76" s="2335"/>
      <c r="H76" s="2335"/>
      <c r="I76" s="2356"/>
      <c r="J76" s="1022" t="str">
        <f ca="1">IF(ISERROR(INDIRECT("'"&amp;$K10&amp;"'!f$25")),"-",IF(INDIRECT("'"&amp;$K10&amp;"'!f$25")="Programme européen","X",""))</f>
        <v>-</v>
      </c>
    </row>
    <row r="77" spans="3:10" ht="28.35" customHeight="1" thickBot="1">
      <c r="C77" s="2335" t="s">
        <v>1327</v>
      </c>
      <c r="D77" s="2335"/>
      <c r="E77" s="2335"/>
      <c r="F77" s="2335"/>
      <c r="G77" s="2335"/>
      <c r="H77" s="2335"/>
      <c r="I77" s="2335"/>
      <c r="J77" s="1019"/>
    </row>
    <row r="78" spans="3:10" ht="28.35" customHeight="1" thickBot="1">
      <c r="C78" s="2335" t="s">
        <v>1332</v>
      </c>
      <c r="D78" s="2335"/>
      <c r="E78" s="2335"/>
      <c r="F78" s="2335"/>
      <c r="G78" s="2335"/>
      <c r="H78" s="2335"/>
      <c r="I78" s="2335"/>
      <c r="J78" s="905"/>
    </row>
    <row r="79" spans="3:10" ht="28.35" customHeight="1" thickBot="1">
      <c r="C79" s="2335" t="s">
        <v>157</v>
      </c>
      <c r="D79" s="2335"/>
      <c r="E79" s="2335"/>
      <c r="F79" s="2335"/>
      <c r="G79" s="2335"/>
      <c r="H79" s="2335"/>
      <c r="I79" s="2335"/>
      <c r="J79" s="905"/>
    </row>
    <row r="82" spans="3:10" ht="34.799999999999997">
      <c r="C82" s="883" t="s">
        <v>2024</v>
      </c>
      <c r="D82" s="2357" t="str">
        <f ca="1">IF(ISERROR(INDIRECT("'"&amp;$K10&amp;"'!d$22")),"-",IF(INDIRECT("'"&amp;$K10&amp;"'!d$23")="Investissement",D70,""))</f>
        <v>-</v>
      </c>
      <c r="E82" s="2358"/>
      <c r="F82" s="2358"/>
      <c r="G82" s="2358"/>
      <c r="H82" s="2358"/>
      <c r="I82" s="2359"/>
    </row>
    <row r="83" spans="3:10">
      <c r="D83" s="906"/>
      <c r="E83" s="906"/>
      <c r="F83" s="906"/>
      <c r="G83" s="906"/>
      <c r="H83" s="906"/>
      <c r="I83" s="906"/>
    </row>
    <row r="84" spans="3:10" ht="34.799999999999997">
      <c r="C84" s="883" t="s">
        <v>2025</v>
      </c>
      <c r="D84" s="2357" t="str">
        <f ca="1">IF(ISERROR(INDIRECT("'"&amp;$K10&amp;"'!d$22")),"-",IF(INDIRECT("'"&amp;$K10&amp;"'!d$23")="Non-investissement",D70,""))</f>
        <v>-</v>
      </c>
      <c r="E84" s="2358"/>
      <c r="F84" s="2358"/>
      <c r="G84" s="2358"/>
      <c r="H84" s="2358"/>
      <c r="I84" s="2359"/>
    </row>
    <row r="91" spans="3:10" ht="36" customHeight="1">
      <c r="C91" s="2249" t="s">
        <v>2026</v>
      </c>
      <c r="D91" s="2249"/>
      <c r="E91" s="2249"/>
      <c r="F91" s="2249"/>
    </row>
    <row r="92" spans="3:10" outlineLevel="1"/>
    <row r="93" spans="3:10" ht="17.399999999999999" outlineLevel="1">
      <c r="C93" s="883" t="s">
        <v>103</v>
      </c>
      <c r="D93" s="2332" t="str">
        <f ca="1">IF(D4="X",IF(ISNA(VLOOKUP(INDIRECT("'"&amp;$K10&amp;"'!A$5"),Categories!X35:Y45,2,0)),"",VLOOKUP(INDIRECT("'"&amp;$K10&amp;"'!A$5"),Categories!X35:Y45,2,0)),"")</f>
        <v/>
      </c>
      <c r="E93" s="2333"/>
      <c r="F93" s="2333"/>
      <c r="G93" s="2333"/>
      <c r="H93" s="2333"/>
      <c r="I93" s="2333"/>
      <c r="J93" s="2334"/>
    </row>
    <row r="94" spans="3:10" outlineLevel="1"/>
    <row r="95" spans="3:10" ht="34.799999999999997" outlineLevel="1">
      <c r="C95" s="883" t="s">
        <v>2027</v>
      </c>
      <c r="D95" s="2332" t="str">
        <f ca="1">IF(D4="X",IF(ISERROR(INDIRECT("'"&amp;$K10&amp;"'!b$9")),"-",INDIRECT("'"&amp;$K10&amp;"'!b$9")),"")</f>
        <v/>
      </c>
      <c r="E95" s="2333"/>
      <c r="F95" s="2333"/>
      <c r="G95" s="2333"/>
      <c r="H95" s="2333"/>
      <c r="I95" s="2333"/>
      <c r="J95" s="2334"/>
    </row>
    <row r="96" spans="3:10" outlineLevel="1"/>
    <row r="97" spans="3:10" ht="17.399999999999999" outlineLevel="1">
      <c r="C97" s="883" t="s">
        <v>2028</v>
      </c>
      <c r="D97" s="2332" t="str">
        <f ca="1">IF(D4="X",IF(ISERROR(INDIRECT("'"&amp;$K10&amp;"'!d$9")),"-",INDIRECT("'"&amp;$K10&amp;"'!d$9")),"")</f>
        <v/>
      </c>
      <c r="E97" s="2333"/>
      <c r="F97" s="2333"/>
      <c r="G97" s="2333"/>
      <c r="H97" s="2333"/>
      <c r="I97" s="2333"/>
      <c r="J97" s="2334"/>
    </row>
    <row r="98" spans="3:10" outlineLevel="1"/>
    <row r="99" spans="3:10" outlineLevel="1"/>
    <row r="100" spans="3:10" ht="18" outlineLevel="1">
      <c r="C100" s="2249" t="s">
        <v>2029</v>
      </c>
      <c r="D100" s="2249"/>
      <c r="E100" s="2249"/>
      <c r="F100" s="2249"/>
    </row>
    <row r="101" spans="3:10" outlineLevel="1"/>
    <row r="102" spans="3:10" outlineLevel="1">
      <c r="C102" s="907"/>
      <c r="D102" s="2322">
        <v>2030</v>
      </c>
      <c r="E102" s="2322"/>
      <c r="F102" s="2322"/>
    </row>
    <row r="103" spans="3:10" ht="28.8" outlineLevel="1">
      <c r="C103" s="1023" t="s">
        <v>1991</v>
      </c>
      <c r="D103" s="2323" t="str">
        <f ca="1">IF(ISNA(VLOOKUP(D10,Actions!G2:AL70,22,0)),"",VLOOKUP(D10,Actions!G2:AL70,27,0))</f>
        <v/>
      </c>
      <c r="E103" s="2324"/>
      <c r="F103" s="2325"/>
    </row>
    <row r="104" spans="3:10" ht="28.8" outlineLevel="1">
      <c r="C104" s="1024" t="s">
        <v>1081</v>
      </c>
      <c r="D104" s="2363" t="str">
        <f ca="1">IF(ISNA(VLOOKUP(D10,Actions!G2:AL70,22,0)),"",VLOOKUP(D10,Actions!G2:AL70,28,0))</f>
        <v/>
      </c>
      <c r="E104" s="2364"/>
      <c r="F104" s="2365"/>
    </row>
    <row r="105" spans="3:10" outlineLevel="1">
      <c r="C105" s="1025" t="s">
        <v>2030</v>
      </c>
      <c r="D105" s="2360" t="str">
        <f ca="1">IF(ISNA(VLOOKUP(D10,Actions!G2:AL70,22,0)),"",VLOOKUP(D10,Actions!G2:AL70,29,0))</f>
        <v/>
      </c>
      <c r="E105" s="2361"/>
      <c r="F105" s="2362"/>
    </row>
    <row r="108" spans="3:10" ht="18">
      <c r="C108" s="2249" t="s">
        <v>2031</v>
      </c>
      <c r="D108" s="2249"/>
      <c r="E108" s="2249"/>
      <c r="F108" s="2249"/>
    </row>
    <row r="109" spans="3:10" ht="18">
      <c r="C109" s="2249"/>
      <c r="D109" s="2249"/>
      <c r="E109" s="2249"/>
      <c r="F109" s="2249"/>
    </row>
    <row r="110" spans="3:10" ht="29.4" customHeight="1" outlineLevel="1" thickBot="1">
      <c r="C110" s="657" t="s">
        <v>1284</v>
      </c>
      <c r="D110" s="2306" t="s">
        <v>2032</v>
      </c>
      <c r="E110" s="2307"/>
      <c r="F110" s="2307"/>
    </row>
    <row r="111" spans="3:10" ht="15" outlineLevel="1" thickBot="1">
      <c r="C111" s="1026" t="s">
        <v>1293</v>
      </c>
      <c r="D111" s="2319" t="str">
        <f ca="1">IF(ISNA(VLOOKUP($K$10,Actions!$A$2:$O$46,15,0)),"",IF(VLOOKUP($K$10,Actions!$A$2:$O$46,15,0)='Détails action 3'!C111,"X",""))</f>
        <v/>
      </c>
      <c r="E111" s="2320"/>
      <c r="F111" s="2321"/>
    </row>
    <row r="112" spans="3:10" ht="15" outlineLevel="1" thickBot="1">
      <c r="C112" s="1026" t="s">
        <v>1302</v>
      </c>
      <c r="D112" s="2317" t="str">
        <f ca="1">IF(ISNA(VLOOKUP($K$10,Actions!$A$2:$O$46,15,0)),"",IF(VLOOKUP($K$10,Actions!$A$2:$O$46,15,0)='Détails action 3'!C112,"X",""))</f>
        <v/>
      </c>
      <c r="E112" s="2301"/>
      <c r="F112" s="2318"/>
    </row>
    <row r="113" spans="3:6" ht="15" outlineLevel="1" thickBot="1">
      <c r="C113" s="1026" t="s">
        <v>1312</v>
      </c>
      <c r="D113" s="2317" t="str">
        <f ca="1">IF(ISNA(VLOOKUP($K$10,Actions!$A$2:$O$46,15,0)),"",IF(VLOOKUP($K$10,Actions!$A$2:$O$46,15,0)='Détails action 3'!C113,"X",""))</f>
        <v/>
      </c>
      <c r="E113" s="2301"/>
      <c r="F113" s="2318"/>
    </row>
    <row r="114" spans="3:6" ht="28.35" customHeight="1" outlineLevel="1" thickBot="1">
      <c r="C114" s="1026" t="s">
        <v>1320</v>
      </c>
      <c r="D114" s="2317" t="str">
        <f ca="1">IF(ISNA(VLOOKUP($K$10,Actions!$A$2:$O$46,15,0)),"",IF(VLOOKUP($K$10,Actions!$A$2:$O$46,15,0)='Détails action 3'!C114,"X",""))</f>
        <v/>
      </c>
      <c r="E114" s="2301"/>
      <c r="F114" s="2318"/>
    </row>
    <row r="115" spans="3:6" ht="15" outlineLevel="1" thickBot="1">
      <c r="C115" s="1026" t="s">
        <v>1328</v>
      </c>
      <c r="D115" s="2317" t="str">
        <f ca="1">IF(ISNA(VLOOKUP($K$10,Actions!$A$2:$O$46,15,0)),"",IF(VLOOKUP($K$10,Actions!$A$2:$O$46,15,0)='Détails action 3'!C115,"X",""))</f>
        <v/>
      </c>
      <c r="E115" s="2301"/>
      <c r="F115" s="2318"/>
    </row>
    <row r="116" spans="3:6" ht="15" outlineLevel="1" thickBot="1">
      <c r="C116" s="1026" t="s">
        <v>1333</v>
      </c>
      <c r="D116" s="2317" t="str">
        <f ca="1">IF(ISNA(VLOOKUP($K$10,Actions!$A$2:$O$46,15,0)),"",IF(VLOOKUP($K$10,Actions!$A$2:$O$46,15,0)='Détails action 3'!C116,"X",""))</f>
        <v/>
      </c>
      <c r="E116" s="2301"/>
      <c r="F116" s="2318"/>
    </row>
    <row r="117" spans="3:6" ht="15" outlineLevel="1" thickBot="1">
      <c r="C117" s="1026" t="s">
        <v>1337</v>
      </c>
      <c r="D117" s="2317" t="str">
        <f ca="1">IF(ISNA(VLOOKUP($K$10,Actions!$A$2:$O$46,15,0)),"",IF(VLOOKUP($K$10,Actions!$A$2:$O$46,15,0)='Détails action 3'!C117,"X",""))</f>
        <v/>
      </c>
      <c r="E117" s="2301"/>
      <c r="F117" s="2318"/>
    </row>
    <row r="118" spans="3:6" ht="15" outlineLevel="1" thickBot="1">
      <c r="C118" s="1026" t="s">
        <v>1339</v>
      </c>
      <c r="D118" s="2317" t="str">
        <f ca="1">IF(ISNA(VLOOKUP($K$10,Actions!$A$2:$O$46,15,0)),"",IF(VLOOKUP($K$10,Actions!$A$2:$O$46,15,0)='Détails action 3'!C118,"X",""))</f>
        <v/>
      </c>
      <c r="E118" s="2301"/>
      <c r="F118" s="2318"/>
    </row>
    <row r="119" spans="3:6" ht="15" outlineLevel="1" thickBot="1">
      <c r="C119" s="1026" t="s">
        <v>1342</v>
      </c>
      <c r="D119" s="2317" t="str">
        <f ca="1">IF(ISNA(VLOOKUP($K$10,Actions!$A$2:$O$46,15,0)),"",IF(VLOOKUP($K$10,Actions!$A$2:$O$46,15,0)='Détails action 3'!C119,"X",""))</f>
        <v/>
      </c>
      <c r="E119" s="2301"/>
      <c r="F119" s="2318"/>
    </row>
    <row r="120" spans="3:6" ht="15" outlineLevel="1" thickBot="1">
      <c r="C120" s="1026" t="s">
        <v>1345</v>
      </c>
      <c r="D120" s="2317" t="str">
        <f ca="1">IF(ISNA(VLOOKUP($K$10,Actions!$A$2:$O$46,15,0)),"",IF(VLOOKUP($K$10,Actions!$A$2:$O$46,15,0)='Détails action 3'!C120,"X",""))</f>
        <v/>
      </c>
      <c r="E120" s="2301"/>
      <c r="F120" s="2318"/>
    </row>
    <row r="121" spans="3:6" ht="15" outlineLevel="1" thickBot="1">
      <c r="C121" s="1026" t="s">
        <v>157</v>
      </c>
      <c r="D121" s="2314" t="str">
        <f ca="1">IF(ISNA(VLOOKUP($K$10,Actions!$A$2:$O$46,15,0)),"",IF(VLOOKUP($K$10,Actions!$A$2:$O$46,15,0)='Détails action 3'!C121,"X",""))</f>
        <v/>
      </c>
      <c r="E121" s="2315"/>
      <c r="F121" s="2316"/>
    </row>
    <row r="122" spans="3:6" outlineLevel="1">
      <c r="C122" s="909"/>
      <c r="D122" s="910"/>
    </row>
    <row r="123" spans="3:6" ht="15" outlineLevel="1" thickBot="1">
      <c r="C123" s="657" t="s">
        <v>2033</v>
      </c>
      <c r="D123" s="2306" t="s">
        <v>2032</v>
      </c>
      <c r="E123" s="2307"/>
      <c r="F123" s="2307"/>
    </row>
    <row r="124" spans="3:6" ht="15" outlineLevel="1" thickBot="1">
      <c r="C124" s="1026" t="s">
        <v>866</v>
      </c>
      <c r="D124" s="2311" t="str">
        <f ca="1">IF(ISNA(VLOOKUP($K$10,Actions!$A$2:$O$46,15,0)),"",IF(VLOOKUP($K$10,Actions!$A$2:$O$46,8,0)='Détails action 3'!C124,"X",""))</f>
        <v/>
      </c>
      <c r="E124" s="2312"/>
      <c r="F124" s="2313"/>
    </row>
    <row r="125" spans="3:6" ht="15" outlineLevel="1" thickBot="1">
      <c r="C125" s="1026" t="s">
        <v>870</v>
      </c>
      <c r="D125" s="2308" t="str">
        <f ca="1">IF(ISNA(VLOOKUP($K$10,Actions!$A$2:$O$46,15,0)),"",IF(VLOOKUP($K$10,Actions!$A$2:$O$46,8,0)='Détails action 3'!C125,"X",""))</f>
        <v/>
      </c>
      <c r="E125" s="2309"/>
      <c r="F125" s="2310"/>
    </row>
    <row r="126" spans="3:6" ht="15" outlineLevel="1" thickBot="1">
      <c r="C126" s="1026" t="s">
        <v>876</v>
      </c>
      <c r="D126" s="2308" t="str">
        <f ca="1">IF(ISNA(VLOOKUP($K$10,Actions!$A$2:$O$46,15,0)),"",IF(VLOOKUP($K$10,Actions!$A$2:$O$46,8,0)='Détails action 3'!C126,"X",""))</f>
        <v/>
      </c>
      <c r="E126" s="2309"/>
      <c r="F126" s="2310"/>
    </row>
    <row r="127" spans="3:6" ht="15" outlineLevel="1" thickBot="1">
      <c r="C127" s="1026" t="s">
        <v>881</v>
      </c>
      <c r="D127" s="2308" t="str">
        <f ca="1">IF(ISNA(VLOOKUP($K$10,Actions!$A$2:$O$46,15,0)),"",IF(VLOOKUP($K$10,Actions!$A$2:$O$46,8,0)='Détails action 3'!C127,"X",""))</f>
        <v/>
      </c>
      <c r="E127" s="2309"/>
      <c r="F127" s="2310"/>
    </row>
    <row r="128" spans="3:6" ht="15" outlineLevel="1" thickBot="1">
      <c r="C128" s="1026" t="s">
        <v>884</v>
      </c>
      <c r="D128" s="2308" t="str">
        <f ca="1">IF(ISNA(VLOOKUP($K$10,Actions!$A$2:$O$46,15,0)),"",IF(VLOOKUP($K$10,Actions!$A$2:$O$46,8,0)='Détails action 3'!C128,"X",""))</f>
        <v/>
      </c>
      <c r="E128" s="2309"/>
      <c r="F128" s="2310"/>
    </row>
    <row r="129" spans="3:6" ht="15" outlineLevel="1" thickBot="1">
      <c r="C129" s="1026" t="s">
        <v>887</v>
      </c>
      <c r="D129" s="2308" t="str">
        <f ca="1">IF(ISNA(VLOOKUP($K$10,Actions!$A$2:$O$46,15,0)),"",IF(VLOOKUP($K$10,Actions!$A$2:$O$46,8,0)='Détails action 3'!C129,"X",""))</f>
        <v/>
      </c>
      <c r="E129" s="2309"/>
      <c r="F129" s="2310"/>
    </row>
    <row r="130" spans="3:6" ht="15" outlineLevel="1" thickBot="1">
      <c r="C130" s="1026" t="s">
        <v>889</v>
      </c>
      <c r="D130" s="2308" t="str">
        <f ca="1">IF(ISNA(VLOOKUP($K$10,Actions!$A$2:$O$46,15,0)),"",IF(VLOOKUP($K$10,Actions!$A$2:$O$46,8,0)='Détails action 3'!C130,"X",""))</f>
        <v/>
      </c>
      <c r="E130" s="2309"/>
      <c r="F130" s="2310"/>
    </row>
    <row r="131" spans="3:6" ht="30.6" customHeight="1" outlineLevel="1" thickBot="1">
      <c r="C131" s="1026" t="s">
        <v>891</v>
      </c>
      <c r="D131" s="2308" t="str">
        <f ca="1">IF(ISNA(VLOOKUP($K$10,Actions!$A$2:$O$46,15,0)),"",IF(VLOOKUP($K$10,Actions!$A$2:$O$46,8,0)='Détails action 3'!C131,"X",""))</f>
        <v/>
      </c>
      <c r="E131" s="2309"/>
      <c r="F131" s="2310"/>
    </row>
    <row r="132" spans="3:6" ht="15" outlineLevel="1" thickBot="1">
      <c r="C132" s="1026" t="s">
        <v>892</v>
      </c>
      <c r="D132" s="2308" t="str">
        <f ca="1">IF(ISNA(VLOOKUP($K$10,Actions!$A$2:$O$46,15,0)),"",IF(VLOOKUP($K$10,Actions!$A$2:$O$46,8,0)='Détails action 3'!C132,"X",""))</f>
        <v/>
      </c>
      <c r="E132" s="2309"/>
      <c r="F132" s="2310"/>
    </row>
    <row r="133" spans="3:6" ht="28.35" customHeight="1" outlineLevel="1" thickBot="1">
      <c r="C133" s="1026" t="s">
        <v>898</v>
      </c>
      <c r="D133" s="2308" t="str">
        <f ca="1">IF(ISNA(VLOOKUP($K$10,Actions!$A$2:$O$46,15,0)),"",IF(VLOOKUP($K$10,Actions!$A$2:$O$46,8,0)='Détails action 3'!C133,"X",""))</f>
        <v/>
      </c>
      <c r="E133" s="2309"/>
      <c r="F133" s="2310"/>
    </row>
    <row r="134" spans="3:6" ht="15" outlineLevel="1" thickBot="1">
      <c r="C134" s="1026" t="s">
        <v>904</v>
      </c>
      <c r="D134" s="2308" t="str">
        <f ca="1">IF(ISNA(VLOOKUP($K$10,Actions!$A$2:$O$46,15,0)),"",IF(VLOOKUP($K$10,Actions!$A$2:$O$46,8,0)='Détails action 3'!C134,"X",""))</f>
        <v/>
      </c>
      <c r="E134" s="2309"/>
      <c r="F134" s="2310"/>
    </row>
    <row r="135" spans="3:6" ht="15" outlineLevel="1" thickBot="1">
      <c r="C135" s="1026" t="s">
        <v>909</v>
      </c>
      <c r="D135" s="2308" t="str">
        <f ca="1">IF(ISNA(VLOOKUP($K$10,Actions!$A$2:$O$46,15,0)),"",IF(VLOOKUP($K$10,Actions!$A$2:$O$46,8,0)='Détails action 3'!C135,"X",""))</f>
        <v/>
      </c>
      <c r="E135" s="2309"/>
      <c r="F135" s="2310"/>
    </row>
    <row r="136" spans="3:6" ht="42" customHeight="1" outlineLevel="1" thickBot="1">
      <c r="C136" s="1026" t="s">
        <v>914</v>
      </c>
      <c r="D136" s="2303" t="str">
        <f ca="1">IF(ISNA(VLOOKUP($K$10,Actions!$A$2:$O$46,15,0)),"",IF(VLOOKUP($K$10,Actions!$A$2:$O$46,8,0)='Détails action 3'!C136,"X",""))</f>
        <v/>
      </c>
      <c r="E136" s="2304"/>
      <c r="F136" s="2305"/>
    </row>
    <row r="138" spans="3:6" ht="29.4" thickBot="1">
      <c r="C138" s="657" t="s">
        <v>2034</v>
      </c>
      <c r="D138" s="2306" t="s">
        <v>2032</v>
      </c>
      <c r="E138" s="2307"/>
      <c r="F138" s="2307"/>
    </row>
    <row r="139" spans="3:6" ht="15" thickBot="1">
      <c r="C139" s="908" t="s">
        <v>1694</v>
      </c>
      <c r="D139" s="2300"/>
      <c r="E139" s="2301"/>
      <c r="F139" s="2302"/>
    </row>
    <row r="140" spans="3:6" ht="15" thickBot="1">
      <c r="C140" s="908" t="s">
        <v>1695</v>
      </c>
      <c r="D140" s="2300"/>
      <c r="E140" s="2301"/>
      <c r="F140" s="2302"/>
    </row>
    <row r="141" spans="3:6" ht="15" thickBot="1">
      <c r="C141" s="908" t="s">
        <v>1696</v>
      </c>
      <c r="D141" s="2300"/>
      <c r="E141" s="2301"/>
      <c r="F141" s="2302"/>
    </row>
    <row r="142" spans="3:6" ht="15" thickBot="1">
      <c r="C142" s="908" t="s">
        <v>1697</v>
      </c>
      <c r="D142" s="2300"/>
      <c r="E142" s="2301"/>
      <c r="F142" s="2302"/>
    </row>
    <row r="143" spans="3:6" ht="15" thickBot="1">
      <c r="C143" s="908" t="s">
        <v>1698</v>
      </c>
      <c r="D143" s="2300"/>
      <c r="E143" s="2301"/>
      <c r="F143" s="2302"/>
    </row>
    <row r="144" spans="3:6" ht="15" thickBot="1">
      <c r="C144" s="908" t="s">
        <v>1699</v>
      </c>
      <c r="D144" s="2300"/>
      <c r="E144" s="2301"/>
      <c r="F144" s="2302"/>
    </row>
    <row r="145" spans="3:6" ht="28.35" customHeight="1" thickBot="1">
      <c r="C145" s="908" t="s">
        <v>1700</v>
      </c>
      <c r="D145" s="2300"/>
      <c r="E145" s="2301"/>
      <c r="F145" s="2302"/>
    </row>
    <row r="146" spans="3:6" ht="15" thickBot="1">
      <c r="C146" s="908" t="s">
        <v>1701</v>
      </c>
      <c r="D146" s="2300"/>
      <c r="E146" s="2301"/>
      <c r="F146" s="2302"/>
    </row>
    <row r="147" spans="3:6" ht="15" thickBot="1">
      <c r="C147" s="908" t="s">
        <v>1702</v>
      </c>
      <c r="D147" s="2300"/>
      <c r="E147" s="2301"/>
      <c r="F147" s="2302"/>
    </row>
    <row r="148" spans="3:6" ht="28.35" customHeight="1" thickBot="1">
      <c r="C148" s="908" t="s">
        <v>1703</v>
      </c>
      <c r="D148" s="2300"/>
      <c r="E148" s="2301"/>
      <c r="F148" s="2302"/>
    </row>
    <row r="149" spans="3:6" ht="28.35" customHeight="1" thickBot="1">
      <c r="C149" s="908" t="s">
        <v>1704</v>
      </c>
      <c r="D149" s="2300"/>
      <c r="E149" s="2301"/>
      <c r="F149" s="2302"/>
    </row>
    <row r="150" spans="3:6" ht="15" thickBot="1">
      <c r="C150" s="908" t="s">
        <v>157</v>
      </c>
      <c r="D150" s="2300"/>
      <c r="E150" s="2301"/>
      <c r="F150" s="2302"/>
    </row>
    <row r="151" spans="3:6" ht="15" thickBot="1">
      <c r="C151" s="908" t="s">
        <v>661</v>
      </c>
      <c r="D151" s="2300"/>
      <c r="E151" s="2301"/>
      <c r="F151" s="2302"/>
    </row>
  </sheetData>
  <sheetProtection sheet="1" objects="1" scenarios="1"/>
  <mergeCells count="84">
    <mergeCell ref="D46:J46"/>
    <mergeCell ref="C2:G2"/>
    <mergeCell ref="H2:L2"/>
    <mergeCell ref="D10:J11"/>
    <mergeCell ref="C16:C17"/>
    <mergeCell ref="D16:J17"/>
    <mergeCell ref="D19:J19"/>
    <mergeCell ref="D22:J29"/>
    <mergeCell ref="D31:J31"/>
    <mergeCell ref="D33:J33"/>
    <mergeCell ref="D42:J42"/>
    <mergeCell ref="D44:J44"/>
    <mergeCell ref="C72:I72"/>
    <mergeCell ref="C51:I51"/>
    <mergeCell ref="C52:I52"/>
    <mergeCell ref="C53:I53"/>
    <mergeCell ref="C54:I54"/>
    <mergeCell ref="C55:I55"/>
    <mergeCell ref="C56:I56"/>
    <mergeCell ref="C57:I57"/>
    <mergeCell ref="C58:I58"/>
    <mergeCell ref="C59:I59"/>
    <mergeCell ref="D61:I67"/>
    <mergeCell ref="D70:I70"/>
    <mergeCell ref="D95:J95"/>
    <mergeCell ref="C73:I73"/>
    <mergeCell ref="C74:I74"/>
    <mergeCell ref="C75:I75"/>
    <mergeCell ref="C76:I76"/>
    <mergeCell ref="C77:I77"/>
    <mergeCell ref="C78:I78"/>
    <mergeCell ref="C79:I79"/>
    <mergeCell ref="D82:I82"/>
    <mergeCell ref="D84:I84"/>
    <mergeCell ref="C91:F91"/>
    <mergeCell ref="D93:J93"/>
    <mergeCell ref="D113:F113"/>
    <mergeCell ref="D97:J97"/>
    <mergeCell ref="C100:F100"/>
    <mergeCell ref="D102:F102"/>
    <mergeCell ref="D103:F103"/>
    <mergeCell ref="D104:F104"/>
    <mergeCell ref="D105:F105"/>
    <mergeCell ref="C108:F108"/>
    <mergeCell ref="C109:F109"/>
    <mergeCell ref="D110:F110"/>
    <mergeCell ref="D111:F111"/>
    <mergeCell ref="D112:F112"/>
    <mergeCell ref="D126:F126"/>
    <mergeCell ref="D114:F114"/>
    <mergeCell ref="D115:F115"/>
    <mergeCell ref="D116:F116"/>
    <mergeCell ref="D117:F117"/>
    <mergeCell ref="D118:F118"/>
    <mergeCell ref="D119:F119"/>
    <mergeCell ref="D120:F120"/>
    <mergeCell ref="D121:F121"/>
    <mergeCell ref="D123:F123"/>
    <mergeCell ref="D124:F124"/>
    <mergeCell ref="D125:F125"/>
    <mergeCell ref="D139:F139"/>
    <mergeCell ref="D127:F127"/>
    <mergeCell ref="D128:F128"/>
    <mergeCell ref="D129:F129"/>
    <mergeCell ref="D130:F130"/>
    <mergeCell ref="D131:F131"/>
    <mergeCell ref="D132:F132"/>
    <mergeCell ref="D133:F133"/>
    <mergeCell ref="D134:F134"/>
    <mergeCell ref="D135:F135"/>
    <mergeCell ref="D136:F136"/>
    <mergeCell ref="D138:F138"/>
    <mergeCell ref="D151:F151"/>
    <mergeCell ref="D140:F140"/>
    <mergeCell ref="D141:F141"/>
    <mergeCell ref="D142:F142"/>
    <mergeCell ref="D143:F143"/>
    <mergeCell ref="D144:F144"/>
    <mergeCell ref="D145:F145"/>
    <mergeCell ref="D146:F146"/>
    <mergeCell ref="D147:F147"/>
    <mergeCell ref="D148:F148"/>
    <mergeCell ref="D149:F149"/>
    <mergeCell ref="D150:F150"/>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1C13-A4A5-40EB-A2A2-7B1C8AFE0EBC}">
  <sheetPr codeName="Feuil40">
    <tabColor theme="8" tint="0.79998168889431442"/>
  </sheetPr>
  <dimension ref="C1:L151"/>
  <sheetViews>
    <sheetView showGridLines="0" topLeftCell="A58" zoomScale="90" zoomScaleNormal="90" workbookViewId="0">
      <selection activeCell="D71" sqref="D71"/>
    </sheetView>
  </sheetViews>
  <sheetFormatPr baseColWidth="10" defaultColWidth="11.44140625" defaultRowHeight="14.4" outlineLevelRow="1"/>
  <cols>
    <col min="1" max="1" width="28.5546875" customWidth="1"/>
    <col min="2" max="2" width="7.44140625" customWidth="1"/>
    <col min="3" max="3" width="29.5546875" customWidth="1"/>
    <col min="4" max="4" width="6.88671875" style="902" bestFit="1" customWidth="1"/>
    <col min="5" max="5" width="3.5546875" customWidth="1"/>
    <col min="6" max="6" width="21.109375" customWidth="1"/>
    <col min="7" max="7" width="14.44140625" customWidth="1"/>
    <col min="8" max="8" width="12" customWidth="1"/>
    <col min="9" max="9" width="11.44140625" customWidth="1"/>
    <col min="10" max="10" width="13.5546875" customWidth="1"/>
    <col min="11" max="11" width="14.88671875" customWidth="1"/>
    <col min="12" max="12" width="11.5546875" bestFit="1" customWidth="1"/>
    <col min="14" max="20" width="0" hidden="1" customWidth="1"/>
  </cols>
  <sheetData>
    <row r="1" spans="3:12" ht="111" customHeight="1"/>
    <row r="2" spans="3:12" ht="18">
      <c r="C2" s="2249" t="s">
        <v>2009</v>
      </c>
      <c r="D2" s="2249"/>
      <c r="E2" s="2249"/>
      <c r="F2" s="2249"/>
      <c r="G2" s="2249"/>
      <c r="H2" s="2278" t="s">
        <v>1855</v>
      </c>
      <c r="I2" s="2279"/>
      <c r="J2" s="2279"/>
      <c r="K2" s="2279"/>
      <c r="L2" s="2280"/>
    </row>
    <row r="3" spans="3:12" ht="56.4" customHeight="1"/>
    <row r="4" spans="3:12" ht="17.399999999999999">
      <c r="C4" s="880" t="s">
        <v>2010</v>
      </c>
      <c r="D4" s="1018" t="str">
        <f ca="1">IF(ISERROR(INDIRECT("'"&amp;$K10&amp;"'!e$2")),"-",IF(INDIRECT("'"&amp;$K10&amp;"'!e$2")=1,"X",""))</f>
        <v>-</v>
      </c>
      <c r="F4" s="882" t="s">
        <v>708</v>
      </c>
    </row>
    <row r="5" spans="3:12" ht="15.6">
      <c r="D5" s="903"/>
      <c r="F5" s="881"/>
    </row>
    <row r="6" spans="3:12" ht="15.6" customHeight="1">
      <c r="D6" s="1018" t="str">
        <f ca="1">IF(D4="X","","X")</f>
        <v>X</v>
      </c>
      <c r="F6" s="882" t="s">
        <v>327</v>
      </c>
    </row>
    <row r="7" spans="3:12" ht="15.6">
      <c r="D7" s="903"/>
      <c r="F7" s="881"/>
    </row>
    <row r="8" spans="3:12" ht="16.350000000000001" customHeight="1">
      <c r="D8" s="1018" t="str">
        <f ca="1">IF(ISERROR(INDIRECT("'"&amp;$K10&amp;"'!e$3")),"-",IF(INDIRECT("'"&amp;$K10&amp;"'!e$3")=TRUE,"X",""))</f>
        <v>-</v>
      </c>
      <c r="F8" s="882" t="s">
        <v>1276</v>
      </c>
    </row>
    <row r="10" spans="3:12" ht="17.399999999999999">
      <c r="C10" s="880" t="s">
        <v>724</v>
      </c>
      <c r="D10" s="2336" t="str">
        <f ca="1">IF(ISERROR(INDIRECT("'"&amp;$K10&amp;"'!b$13")),"-",INDIRECT("'"&amp;$K10&amp;"'!b$13"))</f>
        <v>-</v>
      </c>
      <c r="E10" s="2337"/>
      <c r="F10" s="2337"/>
      <c r="G10" s="2337"/>
      <c r="H10" s="2337"/>
      <c r="I10" s="2337"/>
      <c r="J10" s="2338"/>
      <c r="K10" s="55" t="str">
        <f ca="1">'Mes actions'!D67</f>
        <v/>
      </c>
    </row>
    <row r="11" spans="3:12">
      <c r="D11" s="2339"/>
      <c r="E11" s="2340"/>
      <c r="F11" s="2340"/>
      <c r="G11" s="2340"/>
      <c r="H11" s="2340"/>
      <c r="I11" s="2340"/>
      <c r="J11" s="2341"/>
    </row>
    <row r="14" spans="3:12" ht="17.399999999999999">
      <c r="C14" s="880" t="s">
        <v>2011</v>
      </c>
    </row>
    <row r="16" spans="3:12" ht="17.399999999999999" customHeight="1">
      <c r="C16" s="2353" t="s">
        <v>1073</v>
      </c>
      <c r="D16" s="2336" t="str">
        <f ca="1">IF(ISERROR(INDIRECT("'"&amp;$K10&amp;"'!b$11")),"-",INDIRECT("'"&amp;$K10&amp;"'!b$11"))</f>
        <v>-</v>
      </c>
      <c r="E16" s="2337"/>
      <c r="F16" s="2337"/>
      <c r="G16" s="2337"/>
      <c r="H16" s="2337"/>
      <c r="I16" s="2337"/>
      <c r="J16" s="2338"/>
    </row>
    <row r="17" spans="3:10">
      <c r="C17" s="2353"/>
      <c r="D17" s="2339"/>
      <c r="E17" s="2340"/>
      <c r="F17" s="2340"/>
      <c r="G17" s="2340"/>
      <c r="H17" s="2340"/>
      <c r="I17" s="2340"/>
      <c r="J17" s="2341"/>
    </row>
    <row r="19" spans="3:10" ht="34.799999999999997">
      <c r="C19" s="883" t="s">
        <v>2012</v>
      </c>
      <c r="D19" s="2332" t="str">
        <f ca="1">D16</f>
        <v>-</v>
      </c>
      <c r="E19" s="2333"/>
      <c r="F19" s="2333"/>
      <c r="G19" s="2333"/>
      <c r="H19" s="2333"/>
      <c r="I19" s="2333"/>
      <c r="J19" s="2334"/>
    </row>
    <row r="22" spans="3:10" ht="34.799999999999997">
      <c r="C22" s="883" t="s">
        <v>2013</v>
      </c>
      <c r="D22" s="2343" t="str">
        <f ca="1">IF(ISERROR(INDIRECT("'"&amp;$K10&amp;"'!b$14")),"-",INDIRECT("'"&amp;$K10&amp;"'!b$14"))</f>
        <v>-</v>
      </c>
      <c r="E22" s="2344"/>
      <c r="F22" s="2344"/>
      <c r="G22" s="2344"/>
      <c r="H22" s="2344"/>
      <c r="I22" s="2344"/>
      <c r="J22" s="2345"/>
    </row>
    <row r="23" spans="3:10">
      <c r="D23" s="2346"/>
      <c r="E23" s="2347"/>
      <c r="F23" s="2347"/>
      <c r="G23" s="2347"/>
      <c r="H23" s="2347"/>
      <c r="I23" s="2347"/>
      <c r="J23" s="2348"/>
    </row>
    <row r="24" spans="3:10">
      <c r="D24" s="2346"/>
      <c r="E24" s="2347"/>
      <c r="F24" s="2347"/>
      <c r="G24" s="2347"/>
      <c r="H24" s="2347"/>
      <c r="I24" s="2347"/>
      <c r="J24" s="2348"/>
    </row>
    <row r="25" spans="3:10">
      <c r="D25" s="2346"/>
      <c r="E25" s="2347"/>
      <c r="F25" s="2347"/>
      <c r="G25" s="2347"/>
      <c r="H25" s="2347"/>
      <c r="I25" s="2347"/>
      <c r="J25" s="2348"/>
    </row>
    <row r="26" spans="3:10">
      <c r="D26" s="2346"/>
      <c r="E26" s="2347"/>
      <c r="F26" s="2347"/>
      <c r="G26" s="2347"/>
      <c r="H26" s="2347"/>
      <c r="I26" s="2347"/>
      <c r="J26" s="2348"/>
    </row>
    <row r="27" spans="3:10">
      <c r="D27" s="2346"/>
      <c r="E27" s="2347"/>
      <c r="F27" s="2347"/>
      <c r="G27" s="2347"/>
      <c r="H27" s="2347"/>
      <c r="I27" s="2347"/>
      <c r="J27" s="2348"/>
    </row>
    <row r="28" spans="3:10">
      <c r="D28" s="2346"/>
      <c r="E28" s="2347"/>
      <c r="F28" s="2347"/>
      <c r="G28" s="2347"/>
      <c r="H28" s="2347"/>
      <c r="I28" s="2347"/>
      <c r="J28" s="2348"/>
    </row>
    <row r="29" spans="3:10">
      <c r="D29" s="2349"/>
      <c r="E29" s="2350"/>
      <c r="F29" s="2350"/>
      <c r="G29" s="2350"/>
      <c r="H29" s="2350"/>
      <c r="I29" s="2350"/>
      <c r="J29" s="2351"/>
    </row>
    <row r="31" spans="3:10" ht="31.35" customHeight="1">
      <c r="C31" s="884" t="s">
        <v>2014</v>
      </c>
      <c r="D31" s="2352"/>
      <c r="E31" s="2352"/>
      <c r="F31" s="2352"/>
      <c r="G31" s="2352"/>
      <c r="H31" s="2352"/>
      <c r="I31" s="2352"/>
      <c r="J31" s="2352"/>
    </row>
    <row r="33" spans="3:10" ht="28.35" customHeight="1">
      <c r="C33" s="884" t="s">
        <v>2015</v>
      </c>
      <c r="D33" s="2352"/>
      <c r="E33" s="2352"/>
      <c r="F33" s="2352"/>
      <c r="G33" s="2352"/>
      <c r="H33" s="2352"/>
      <c r="I33" s="2352"/>
      <c r="J33" s="2352"/>
    </row>
    <row r="35" spans="3:10" ht="17.399999999999999">
      <c r="C35" s="880" t="s">
        <v>2016</v>
      </c>
    </row>
    <row r="41" spans="3:10" ht="24" customHeight="1"/>
    <row r="42" spans="3:10" ht="34.799999999999997">
      <c r="C42" s="883" t="s">
        <v>2017</v>
      </c>
      <c r="D42" s="2332" t="str">
        <f ca="1">IF(ISERROR(INDIRECT("'"&amp;$K10&amp;"'!b$19")),"-",INDIRECT("'"&amp;$K10&amp;"'!b$20"))</f>
        <v>-</v>
      </c>
      <c r="E42" s="2333"/>
      <c r="F42" s="2333"/>
      <c r="G42" s="2333"/>
      <c r="H42" s="2333"/>
      <c r="I42" s="2333"/>
      <c r="J42" s="2334"/>
    </row>
    <row r="43" spans="3:10">
      <c r="E43" s="902"/>
      <c r="F43" s="902"/>
      <c r="G43" s="902"/>
      <c r="H43" s="902"/>
      <c r="I43" s="902"/>
      <c r="J43" s="902"/>
    </row>
    <row r="44" spans="3:10" ht="33.6" customHeight="1">
      <c r="C44" s="883" t="s">
        <v>2018</v>
      </c>
      <c r="D44" s="2332" t="str">
        <f ca="1">IF(ISERROR(INDIRECT("'"&amp;$K10&amp;"'!b$20")),"-",INDIRECT("'"&amp;$K10&amp;"'!b$21"))</f>
        <v>-</v>
      </c>
      <c r="E44" s="2333"/>
      <c r="F44" s="2333"/>
      <c r="G44" s="2333"/>
      <c r="H44" s="2333"/>
      <c r="I44" s="2333"/>
      <c r="J44" s="2334"/>
    </row>
    <row r="45" spans="3:10">
      <c r="E45" s="902"/>
      <c r="F45" s="902"/>
      <c r="G45" s="902"/>
      <c r="H45" s="902"/>
      <c r="I45" s="902"/>
      <c r="J45" s="902"/>
    </row>
    <row r="46" spans="3:10" ht="34.799999999999997">
      <c r="C46" s="883" t="s">
        <v>2019</v>
      </c>
      <c r="D46" s="2332" t="str">
        <f ca="1">IF(ISERROR(INDIRECT("'"&amp;$K10&amp;"'!e$6")),"-",INDIRECT("'"&amp;$K10&amp;"'!e$6"))</f>
        <v>-</v>
      </c>
      <c r="E46" s="2333"/>
      <c r="F46" s="2333"/>
      <c r="G46" s="2333"/>
      <c r="H46" s="2333"/>
      <c r="I46" s="2333"/>
      <c r="J46" s="2334"/>
    </row>
    <row r="49" spans="3:10" ht="36">
      <c r="C49" s="655" t="s">
        <v>2020</v>
      </c>
    </row>
    <row r="51" spans="3:10" ht="23.4" customHeight="1" thickBot="1">
      <c r="C51" s="2322" t="s">
        <v>1282</v>
      </c>
      <c r="D51" s="2322"/>
      <c r="E51" s="2322"/>
      <c r="F51" s="2322"/>
      <c r="G51" s="2322"/>
      <c r="H51" s="2322"/>
      <c r="I51" s="2342"/>
      <c r="J51" s="885" t="s">
        <v>2021</v>
      </c>
    </row>
    <row r="52" spans="3:10" ht="32.4" customHeight="1" thickBot="1">
      <c r="C52" s="2335" t="s">
        <v>1291</v>
      </c>
      <c r="D52" s="2335"/>
      <c r="E52" s="2335"/>
      <c r="F52" s="2335"/>
      <c r="G52" s="2335"/>
      <c r="H52" s="2335"/>
      <c r="I52" s="2335"/>
      <c r="J52" s="904"/>
    </row>
    <row r="53" spans="3:10" ht="32.4" customHeight="1" thickBot="1">
      <c r="C53" s="2335" t="s">
        <v>1300</v>
      </c>
      <c r="D53" s="2335"/>
      <c r="E53" s="2335"/>
      <c r="F53" s="2335"/>
      <c r="G53" s="2335"/>
      <c r="H53" s="2335"/>
      <c r="I53" s="2335"/>
      <c r="J53" s="904"/>
    </row>
    <row r="54" spans="3:10" ht="32.4" customHeight="1" thickBot="1">
      <c r="C54" s="2335" t="s">
        <v>1310</v>
      </c>
      <c r="D54" s="2335"/>
      <c r="E54" s="2335"/>
      <c r="F54" s="2335"/>
      <c r="G54" s="2335"/>
      <c r="H54" s="2335"/>
      <c r="I54" s="2335"/>
      <c r="J54" s="904"/>
    </row>
    <row r="55" spans="3:10" ht="32.4" customHeight="1" thickBot="1">
      <c r="C55" s="2335" t="s">
        <v>1318</v>
      </c>
      <c r="D55" s="2335"/>
      <c r="E55" s="2335"/>
      <c r="F55" s="2335"/>
      <c r="G55" s="2335"/>
      <c r="H55" s="2335"/>
      <c r="I55" s="2335"/>
      <c r="J55" s="904"/>
    </row>
    <row r="56" spans="3:10" ht="32.4" customHeight="1" thickBot="1">
      <c r="C56" s="2335" t="s">
        <v>1326</v>
      </c>
      <c r="D56" s="2335"/>
      <c r="E56" s="2335"/>
      <c r="F56" s="2335"/>
      <c r="G56" s="2335"/>
      <c r="H56" s="2335"/>
      <c r="I56" s="2335"/>
      <c r="J56" s="904"/>
    </row>
    <row r="57" spans="3:10" ht="32.4" customHeight="1" thickBot="1">
      <c r="C57" s="2335" t="s">
        <v>1331</v>
      </c>
      <c r="D57" s="2335"/>
      <c r="E57" s="2335"/>
      <c r="F57" s="2335"/>
      <c r="G57" s="2335"/>
      <c r="H57" s="2335"/>
      <c r="I57" s="2335"/>
      <c r="J57" s="904"/>
    </row>
    <row r="58" spans="3:10" ht="32.4" customHeight="1" thickBot="1">
      <c r="C58" s="2335" t="s">
        <v>1336</v>
      </c>
      <c r="D58" s="2335"/>
      <c r="E58" s="2335"/>
      <c r="F58" s="2335"/>
      <c r="G58" s="2335"/>
      <c r="H58" s="2335"/>
      <c r="I58" s="2335"/>
      <c r="J58" s="904"/>
    </row>
    <row r="59" spans="3:10" ht="32.4" customHeight="1" thickBot="1">
      <c r="C59" s="2335" t="s">
        <v>775</v>
      </c>
      <c r="D59" s="2335"/>
      <c r="E59" s="2335"/>
      <c r="F59" s="2335"/>
      <c r="G59" s="2335"/>
      <c r="H59" s="2335"/>
      <c r="I59" s="2335"/>
      <c r="J59" s="904"/>
    </row>
    <row r="61" spans="3:10" ht="17.399999999999999">
      <c r="C61" s="880" t="s">
        <v>91</v>
      </c>
      <c r="D61" s="2354"/>
      <c r="E61" s="2354"/>
      <c r="F61" s="2354"/>
      <c r="G61" s="2354"/>
      <c r="H61" s="2354"/>
      <c r="I61" s="2354"/>
    </row>
    <row r="62" spans="3:10">
      <c r="D62" s="2354"/>
      <c r="E62" s="2354"/>
      <c r="F62" s="2354"/>
      <c r="G62" s="2354"/>
      <c r="H62" s="2354"/>
      <c r="I62" s="2354"/>
    </row>
    <row r="63" spans="3:10">
      <c r="D63" s="2354"/>
      <c r="E63" s="2354"/>
      <c r="F63" s="2354"/>
      <c r="G63" s="2354"/>
      <c r="H63" s="2354"/>
      <c r="I63" s="2354"/>
    </row>
    <row r="64" spans="3:10">
      <c r="D64" s="2354"/>
      <c r="E64" s="2354"/>
      <c r="F64" s="2354"/>
      <c r="G64" s="2354"/>
      <c r="H64" s="2354"/>
      <c r="I64" s="2354"/>
    </row>
    <row r="65" spans="3:10">
      <c r="D65" s="2354"/>
      <c r="E65" s="2354"/>
      <c r="F65" s="2354"/>
      <c r="G65" s="2354"/>
      <c r="H65" s="2354"/>
      <c r="I65" s="2354"/>
    </row>
    <row r="66" spans="3:10">
      <c r="D66" s="2354"/>
      <c r="E66" s="2354"/>
      <c r="F66" s="2354"/>
      <c r="G66" s="2354"/>
      <c r="H66" s="2354"/>
      <c r="I66" s="2354"/>
    </row>
    <row r="67" spans="3:10">
      <c r="D67" s="2354"/>
      <c r="E67" s="2354"/>
      <c r="F67" s="2354"/>
      <c r="G67" s="2354"/>
      <c r="H67" s="2354"/>
      <c r="I67" s="2354"/>
    </row>
    <row r="69" spans="3:10" ht="55.35" customHeight="1">
      <c r="C69" s="886" t="s">
        <v>2022</v>
      </c>
    </row>
    <row r="70" spans="3:10" ht="33.6" customHeight="1">
      <c r="C70" s="883" t="s">
        <v>2023</v>
      </c>
      <c r="D70" s="2355" t="str">
        <f ca="1">IF(ISERROR(INDIRECT("'"&amp;$K10&amp;"'!b$22")),"-",INDIRECT("'"&amp;$K10&amp;"'!b$23"))</f>
        <v>-</v>
      </c>
      <c r="E70" s="2355"/>
      <c r="F70" s="2355"/>
      <c r="G70" s="2355"/>
      <c r="H70" s="2355"/>
      <c r="I70" s="2355"/>
    </row>
    <row r="72" spans="3:10" ht="28.35" customHeight="1" thickBot="1">
      <c r="C72" s="2322" t="s">
        <v>1283</v>
      </c>
      <c r="D72" s="2322"/>
      <c r="E72" s="2322"/>
      <c r="F72" s="2322"/>
      <c r="G72" s="2322"/>
      <c r="H72" s="2322"/>
      <c r="I72" s="2342"/>
      <c r="J72" s="885" t="s">
        <v>2021</v>
      </c>
    </row>
    <row r="73" spans="3:10" ht="28.35" customHeight="1" thickBot="1">
      <c r="C73" s="2335" t="s">
        <v>1292</v>
      </c>
      <c r="D73" s="2335"/>
      <c r="E73" s="2335"/>
      <c r="F73" s="2335"/>
      <c r="G73" s="2335"/>
      <c r="H73" s="2335"/>
      <c r="I73" s="2356"/>
      <c r="J73" s="1020" t="s">
        <v>1304</v>
      </c>
    </row>
    <row r="74" spans="3:10" ht="28.35" customHeight="1" thickBot="1">
      <c r="C74" s="2335" t="s">
        <v>1301</v>
      </c>
      <c r="D74" s="2335"/>
      <c r="E74" s="2335"/>
      <c r="F74" s="2335"/>
      <c r="G74" s="2335"/>
      <c r="H74" s="2335"/>
      <c r="I74" s="2356"/>
      <c r="J74" s="1021" t="str">
        <f ca="1">IF(ISERROR(INDIRECT("'"&amp;$K10&amp;"'!f$25")),"-",IF(INDIRECT("'"&amp;$K10&amp;"'!f$25")="Subvention nationale/régionale","X",""))</f>
        <v>-</v>
      </c>
    </row>
    <row r="75" spans="3:10" ht="28.35" customHeight="1" thickBot="1">
      <c r="C75" s="2335" t="s">
        <v>1311</v>
      </c>
      <c r="D75" s="2335"/>
      <c r="E75" s="2335"/>
      <c r="F75" s="2335"/>
      <c r="G75" s="2335"/>
      <c r="H75" s="2335"/>
      <c r="I75" s="2356"/>
      <c r="J75" s="1021"/>
    </row>
    <row r="76" spans="3:10" ht="28.35" customHeight="1" thickBot="1">
      <c r="C76" s="2335" t="s">
        <v>1319</v>
      </c>
      <c r="D76" s="2335"/>
      <c r="E76" s="2335"/>
      <c r="F76" s="2335"/>
      <c r="G76" s="2335"/>
      <c r="H76" s="2335"/>
      <c r="I76" s="2356"/>
      <c r="J76" s="1022" t="str">
        <f ca="1">IF(ISERROR(INDIRECT("'"&amp;$K10&amp;"'!f$25")),"-",IF(INDIRECT("'"&amp;$K10&amp;"'!f$25")="Programme européen","X",""))</f>
        <v>-</v>
      </c>
    </row>
    <row r="77" spans="3:10" ht="28.35" customHeight="1" thickBot="1">
      <c r="C77" s="2335" t="s">
        <v>1327</v>
      </c>
      <c r="D77" s="2335"/>
      <c r="E77" s="2335"/>
      <c r="F77" s="2335"/>
      <c r="G77" s="2335"/>
      <c r="H77" s="2335"/>
      <c r="I77" s="2335"/>
      <c r="J77" s="1019"/>
    </row>
    <row r="78" spans="3:10" ht="28.35" customHeight="1" thickBot="1">
      <c r="C78" s="2335" t="s">
        <v>1332</v>
      </c>
      <c r="D78" s="2335"/>
      <c r="E78" s="2335"/>
      <c r="F78" s="2335"/>
      <c r="G78" s="2335"/>
      <c r="H78" s="2335"/>
      <c r="I78" s="2335"/>
      <c r="J78" s="905"/>
    </row>
    <row r="79" spans="3:10" ht="28.35" customHeight="1" thickBot="1">
      <c r="C79" s="2335" t="s">
        <v>157</v>
      </c>
      <c r="D79" s="2335"/>
      <c r="E79" s="2335"/>
      <c r="F79" s="2335"/>
      <c r="G79" s="2335"/>
      <c r="H79" s="2335"/>
      <c r="I79" s="2335"/>
      <c r="J79" s="905"/>
    </row>
    <row r="82" spans="3:10" ht="34.799999999999997">
      <c r="C82" s="883" t="s">
        <v>2024</v>
      </c>
      <c r="D82" s="2357" t="str">
        <f ca="1">IF(ISERROR(INDIRECT("'"&amp;$K10&amp;"'!d$22")),"-",IF(INDIRECT("'"&amp;$K10&amp;"'!d$23")="Investissement",D70,""))</f>
        <v>-</v>
      </c>
      <c r="E82" s="2358"/>
      <c r="F82" s="2358"/>
      <c r="G82" s="2358"/>
      <c r="H82" s="2358"/>
      <c r="I82" s="2359"/>
    </row>
    <row r="83" spans="3:10">
      <c r="D83" s="906"/>
      <c r="E83" s="906"/>
      <c r="F83" s="906"/>
      <c r="G83" s="906"/>
      <c r="H83" s="906"/>
      <c r="I83" s="906"/>
    </row>
    <row r="84" spans="3:10" ht="34.799999999999997">
      <c r="C84" s="883" t="s">
        <v>2025</v>
      </c>
      <c r="D84" s="2357" t="str">
        <f ca="1">IF(ISERROR(INDIRECT("'"&amp;$K10&amp;"'!d$22")),"-",IF(INDIRECT("'"&amp;$K10&amp;"'!d$23")="Non-investissement",D70,""))</f>
        <v>-</v>
      </c>
      <c r="E84" s="2358"/>
      <c r="F84" s="2358"/>
      <c r="G84" s="2358"/>
      <c r="H84" s="2358"/>
      <c r="I84" s="2359"/>
    </row>
    <row r="91" spans="3:10" ht="36" customHeight="1">
      <c r="C91" s="2249" t="s">
        <v>2026</v>
      </c>
      <c r="D91" s="2249"/>
      <c r="E91" s="2249"/>
      <c r="F91" s="2249"/>
    </row>
    <row r="92" spans="3:10" outlineLevel="1"/>
    <row r="93" spans="3:10" ht="17.399999999999999" outlineLevel="1">
      <c r="C93" s="883" t="s">
        <v>103</v>
      </c>
      <c r="D93" s="2332" t="str">
        <f ca="1">IF(D4="X",IF(ISNA(VLOOKUP(INDIRECT("'"&amp;$K10&amp;"'!A$5"),Categories!X35:Y45,2,0)),"",VLOOKUP(INDIRECT("'"&amp;$K10&amp;"'!A$5"),Categories!X35:Y45,2,0)),"")</f>
        <v/>
      </c>
      <c r="E93" s="2333"/>
      <c r="F93" s="2333"/>
      <c r="G93" s="2333"/>
      <c r="H93" s="2333"/>
      <c r="I93" s="2333"/>
      <c r="J93" s="2334"/>
    </row>
    <row r="94" spans="3:10" outlineLevel="1"/>
    <row r="95" spans="3:10" ht="34.799999999999997" outlineLevel="1">
      <c r="C95" s="883" t="s">
        <v>2027</v>
      </c>
      <c r="D95" s="2332" t="str">
        <f ca="1">IF(D4="X",IF(ISERROR(INDIRECT("'"&amp;$K10&amp;"'!b$9")),"-",INDIRECT("'"&amp;$K10&amp;"'!b$9")),"")</f>
        <v/>
      </c>
      <c r="E95" s="2333"/>
      <c r="F95" s="2333"/>
      <c r="G95" s="2333"/>
      <c r="H95" s="2333"/>
      <c r="I95" s="2333"/>
      <c r="J95" s="2334"/>
    </row>
    <row r="96" spans="3:10" outlineLevel="1"/>
    <row r="97" spans="3:10" ht="17.399999999999999" outlineLevel="1">
      <c r="C97" s="883" t="s">
        <v>2028</v>
      </c>
      <c r="D97" s="2332" t="str">
        <f ca="1">IF(D4="X",IF(ISERROR(INDIRECT("'"&amp;$K10&amp;"'!d$9")),"-",INDIRECT("'"&amp;$K10&amp;"'!d$9")),"")</f>
        <v/>
      </c>
      <c r="E97" s="2333"/>
      <c r="F97" s="2333"/>
      <c r="G97" s="2333"/>
      <c r="H97" s="2333"/>
      <c r="I97" s="2333"/>
      <c r="J97" s="2334"/>
    </row>
    <row r="98" spans="3:10" outlineLevel="1"/>
    <row r="99" spans="3:10" outlineLevel="1"/>
    <row r="100" spans="3:10" ht="18" outlineLevel="1">
      <c r="C100" s="2249" t="s">
        <v>2029</v>
      </c>
      <c r="D100" s="2249"/>
      <c r="E100" s="2249"/>
      <c r="F100" s="2249"/>
    </row>
    <row r="101" spans="3:10" outlineLevel="1"/>
    <row r="102" spans="3:10" outlineLevel="1">
      <c r="C102" s="907"/>
      <c r="D102" s="2322">
        <v>2030</v>
      </c>
      <c r="E102" s="2322"/>
      <c r="F102" s="2322"/>
    </row>
    <row r="103" spans="3:10" ht="28.8" outlineLevel="1">
      <c r="C103" s="1023" t="s">
        <v>1991</v>
      </c>
      <c r="D103" s="2323" t="str">
        <f ca="1">IF(ISNA(VLOOKUP(D10,Actions!G2:AL70,22,0)),"",VLOOKUP(D10,Actions!G2:AL70,27,0))</f>
        <v/>
      </c>
      <c r="E103" s="2324"/>
      <c r="F103" s="2325"/>
    </row>
    <row r="104" spans="3:10" ht="28.8" outlineLevel="1">
      <c r="C104" s="1024" t="s">
        <v>1081</v>
      </c>
      <c r="D104" s="2363" t="str">
        <f ca="1">IF(ISNA(VLOOKUP(D10,Actions!G2:AL70,22,0)),"",VLOOKUP(D10,Actions!G2:AL70,28,0))</f>
        <v/>
      </c>
      <c r="E104" s="2364"/>
      <c r="F104" s="2365"/>
    </row>
    <row r="105" spans="3:10" outlineLevel="1">
      <c r="C105" s="1025" t="s">
        <v>2030</v>
      </c>
      <c r="D105" s="2360" t="str">
        <f ca="1">IF(ISNA(VLOOKUP(D10,Actions!G2:AL70,22,0)),"",VLOOKUP(D10,Actions!G2:AL70,29,0))</f>
        <v/>
      </c>
      <c r="E105" s="2361"/>
      <c r="F105" s="2362"/>
    </row>
    <row r="108" spans="3:10" ht="18">
      <c r="C108" s="2249" t="s">
        <v>2031</v>
      </c>
      <c r="D108" s="2249"/>
      <c r="E108" s="2249"/>
      <c r="F108" s="2249"/>
    </row>
    <row r="109" spans="3:10" ht="18">
      <c r="C109" s="2249"/>
      <c r="D109" s="2249"/>
      <c r="E109" s="2249"/>
      <c r="F109" s="2249"/>
    </row>
    <row r="110" spans="3:10" ht="29.4" customHeight="1" outlineLevel="1" thickBot="1">
      <c r="C110" s="657" t="s">
        <v>1284</v>
      </c>
      <c r="D110" s="2306" t="s">
        <v>2032</v>
      </c>
      <c r="E110" s="2307"/>
      <c r="F110" s="2307"/>
    </row>
    <row r="111" spans="3:10" ht="15" outlineLevel="1" thickBot="1">
      <c r="C111" s="1026" t="s">
        <v>1293</v>
      </c>
      <c r="D111" s="2319" t="str">
        <f ca="1">IF(ISNA(VLOOKUP($K$10,Actions!$A$2:$O$46,15,0)),"",IF(VLOOKUP($K$10,Actions!$A$2:$O$46,15,0)='Détails action 4'!C111,"X",""))</f>
        <v/>
      </c>
      <c r="E111" s="2320"/>
      <c r="F111" s="2321"/>
    </row>
    <row r="112" spans="3:10" ht="15" outlineLevel="1" thickBot="1">
      <c r="C112" s="1026" t="s">
        <v>1302</v>
      </c>
      <c r="D112" s="2317" t="str">
        <f ca="1">IF(ISNA(VLOOKUP($K$10,Actions!$A$2:$O$46,15,0)),"",IF(VLOOKUP($K$10,Actions!$A$2:$O$46,15,0)='Détails action 4'!C112,"X",""))</f>
        <v/>
      </c>
      <c r="E112" s="2301"/>
      <c r="F112" s="2318"/>
    </row>
    <row r="113" spans="3:6" ht="15" outlineLevel="1" thickBot="1">
      <c r="C113" s="1026" t="s">
        <v>1312</v>
      </c>
      <c r="D113" s="2317" t="str">
        <f ca="1">IF(ISNA(VLOOKUP($K$10,Actions!$A$2:$O$46,15,0)),"",IF(VLOOKUP($K$10,Actions!$A$2:$O$46,15,0)='Détails action 4'!C113,"X",""))</f>
        <v/>
      </c>
      <c r="E113" s="2301"/>
      <c r="F113" s="2318"/>
    </row>
    <row r="114" spans="3:6" ht="28.35" customHeight="1" outlineLevel="1" thickBot="1">
      <c r="C114" s="1026" t="s">
        <v>1320</v>
      </c>
      <c r="D114" s="2317" t="str">
        <f ca="1">IF(ISNA(VLOOKUP($K$10,Actions!$A$2:$O$46,15,0)),"",IF(VLOOKUP($K$10,Actions!$A$2:$O$46,15,0)='Détails action 4'!C114,"X",""))</f>
        <v/>
      </c>
      <c r="E114" s="2301"/>
      <c r="F114" s="2318"/>
    </row>
    <row r="115" spans="3:6" ht="15" outlineLevel="1" thickBot="1">
      <c r="C115" s="1026" t="s">
        <v>1328</v>
      </c>
      <c r="D115" s="2317" t="str">
        <f ca="1">IF(ISNA(VLOOKUP($K$10,Actions!$A$2:$O$46,15,0)),"",IF(VLOOKUP($K$10,Actions!$A$2:$O$46,15,0)='Détails action 4'!C115,"X",""))</f>
        <v/>
      </c>
      <c r="E115" s="2301"/>
      <c r="F115" s="2318"/>
    </row>
    <row r="116" spans="3:6" ht="15" outlineLevel="1" thickBot="1">
      <c r="C116" s="1026" t="s">
        <v>1333</v>
      </c>
      <c r="D116" s="2317" t="str">
        <f ca="1">IF(ISNA(VLOOKUP($K$10,Actions!$A$2:$O$46,15,0)),"",IF(VLOOKUP($K$10,Actions!$A$2:$O$46,15,0)='Détails action 4'!C116,"X",""))</f>
        <v/>
      </c>
      <c r="E116" s="2301"/>
      <c r="F116" s="2318"/>
    </row>
    <row r="117" spans="3:6" ht="15" outlineLevel="1" thickBot="1">
      <c r="C117" s="1026" t="s">
        <v>1337</v>
      </c>
      <c r="D117" s="2317" t="str">
        <f ca="1">IF(ISNA(VLOOKUP($K$10,Actions!$A$2:$O$46,15,0)),"",IF(VLOOKUP($K$10,Actions!$A$2:$O$46,15,0)='Détails action 4'!C117,"X",""))</f>
        <v/>
      </c>
      <c r="E117" s="2301"/>
      <c r="F117" s="2318"/>
    </row>
    <row r="118" spans="3:6" ht="15" outlineLevel="1" thickBot="1">
      <c r="C118" s="1026" t="s">
        <v>1339</v>
      </c>
      <c r="D118" s="2317" t="str">
        <f ca="1">IF(ISNA(VLOOKUP($K$10,Actions!$A$2:$O$46,15,0)),"",IF(VLOOKUP($K$10,Actions!$A$2:$O$46,15,0)='Détails action 4'!C118,"X",""))</f>
        <v/>
      </c>
      <c r="E118" s="2301"/>
      <c r="F118" s="2318"/>
    </row>
    <row r="119" spans="3:6" ht="15" outlineLevel="1" thickBot="1">
      <c r="C119" s="1026" t="s">
        <v>1342</v>
      </c>
      <c r="D119" s="2317" t="str">
        <f ca="1">IF(ISNA(VLOOKUP($K$10,Actions!$A$2:$O$46,15,0)),"",IF(VLOOKUP($K$10,Actions!$A$2:$O$46,15,0)='Détails action 4'!C119,"X",""))</f>
        <v/>
      </c>
      <c r="E119" s="2301"/>
      <c r="F119" s="2318"/>
    </row>
    <row r="120" spans="3:6" ht="15" outlineLevel="1" thickBot="1">
      <c r="C120" s="1026" t="s">
        <v>1345</v>
      </c>
      <c r="D120" s="2317" t="str">
        <f ca="1">IF(ISNA(VLOOKUP($K$10,Actions!$A$2:$O$46,15,0)),"",IF(VLOOKUP($K$10,Actions!$A$2:$O$46,15,0)='Détails action 4'!C120,"X",""))</f>
        <v/>
      </c>
      <c r="E120" s="2301"/>
      <c r="F120" s="2318"/>
    </row>
    <row r="121" spans="3:6" ht="15" outlineLevel="1" thickBot="1">
      <c r="C121" s="1026" t="s">
        <v>157</v>
      </c>
      <c r="D121" s="2314" t="str">
        <f ca="1">IF(ISNA(VLOOKUP($K$10,Actions!$A$2:$O$46,15,0)),"",IF(VLOOKUP($K$10,Actions!$A$2:$O$46,15,0)='Détails action 4'!C121,"X",""))</f>
        <v/>
      </c>
      <c r="E121" s="2315"/>
      <c r="F121" s="2316"/>
    </row>
    <row r="122" spans="3:6" outlineLevel="1">
      <c r="C122" s="909"/>
      <c r="D122" s="910"/>
    </row>
    <row r="123" spans="3:6" ht="15" outlineLevel="1" thickBot="1">
      <c r="C123" s="657" t="s">
        <v>2033</v>
      </c>
      <c r="D123" s="2306" t="s">
        <v>2032</v>
      </c>
      <c r="E123" s="2307"/>
      <c r="F123" s="2307"/>
    </row>
    <row r="124" spans="3:6" ht="15" outlineLevel="1" thickBot="1">
      <c r="C124" s="1026" t="s">
        <v>866</v>
      </c>
      <c r="D124" s="2311" t="str">
        <f ca="1">IF(ISNA(VLOOKUP($K$10,Actions!$A$2:$O$46,15,0)),"",IF(VLOOKUP($K$10,Actions!$A$2:$O$46,8,0)='Détails action 4'!C124,"X",""))</f>
        <v/>
      </c>
      <c r="E124" s="2312"/>
      <c r="F124" s="2313"/>
    </row>
    <row r="125" spans="3:6" ht="15" outlineLevel="1" thickBot="1">
      <c r="C125" s="1026" t="s">
        <v>870</v>
      </c>
      <c r="D125" s="2308" t="str">
        <f ca="1">IF(ISNA(VLOOKUP($K$10,Actions!$A$2:$O$46,15,0)),"",IF(VLOOKUP($K$10,Actions!$A$2:$O$46,8,0)='Détails action 4'!C125,"X",""))</f>
        <v/>
      </c>
      <c r="E125" s="2309"/>
      <c r="F125" s="2310"/>
    </row>
    <row r="126" spans="3:6" ht="15" outlineLevel="1" thickBot="1">
      <c r="C126" s="1026" t="s">
        <v>876</v>
      </c>
      <c r="D126" s="2308" t="str">
        <f ca="1">IF(ISNA(VLOOKUP($K$10,Actions!$A$2:$O$46,15,0)),"",IF(VLOOKUP($K$10,Actions!$A$2:$O$46,8,0)='Détails action 4'!C126,"X",""))</f>
        <v/>
      </c>
      <c r="E126" s="2309"/>
      <c r="F126" s="2310"/>
    </row>
    <row r="127" spans="3:6" ht="15" outlineLevel="1" thickBot="1">
      <c r="C127" s="1026" t="s">
        <v>881</v>
      </c>
      <c r="D127" s="2308" t="str">
        <f ca="1">IF(ISNA(VLOOKUP($K$10,Actions!$A$2:$O$46,15,0)),"",IF(VLOOKUP($K$10,Actions!$A$2:$O$46,8,0)='Détails action 4'!C127,"X",""))</f>
        <v/>
      </c>
      <c r="E127" s="2309"/>
      <c r="F127" s="2310"/>
    </row>
    <row r="128" spans="3:6" ht="15" outlineLevel="1" thickBot="1">
      <c r="C128" s="1026" t="s">
        <v>884</v>
      </c>
      <c r="D128" s="2308" t="str">
        <f ca="1">IF(ISNA(VLOOKUP($K$10,Actions!$A$2:$O$46,15,0)),"",IF(VLOOKUP($K$10,Actions!$A$2:$O$46,8,0)='Détails action 4'!C128,"X",""))</f>
        <v/>
      </c>
      <c r="E128" s="2309"/>
      <c r="F128" s="2310"/>
    </row>
    <row r="129" spans="3:6" ht="15" outlineLevel="1" thickBot="1">
      <c r="C129" s="1026" t="s">
        <v>887</v>
      </c>
      <c r="D129" s="2308" t="str">
        <f ca="1">IF(ISNA(VLOOKUP($K$10,Actions!$A$2:$O$46,15,0)),"",IF(VLOOKUP($K$10,Actions!$A$2:$O$46,8,0)='Détails action 4'!C129,"X",""))</f>
        <v/>
      </c>
      <c r="E129" s="2309"/>
      <c r="F129" s="2310"/>
    </row>
    <row r="130" spans="3:6" ht="15" outlineLevel="1" thickBot="1">
      <c r="C130" s="1026" t="s">
        <v>889</v>
      </c>
      <c r="D130" s="2308" t="str">
        <f ca="1">IF(ISNA(VLOOKUP($K$10,Actions!$A$2:$O$46,15,0)),"",IF(VLOOKUP($K$10,Actions!$A$2:$O$46,8,0)='Détails action 4'!C130,"X",""))</f>
        <v/>
      </c>
      <c r="E130" s="2309"/>
      <c r="F130" s="2310"/>
    </row>
    <row r="131" spans="3:6" ht="30.6" customHeight="1" outlineLevel="1" thickBot="1">
      <c r="C131" s="1026" t="s">
        <v>891</v>
      </c>
      <c r="D131" s="2308" t="str">
        <f ca="1">IF(ISNA(VLOOKUP($K$10,Actions!$A$2:$O$46,15,0)),"",IF(VLOOKUP($K$10,Actions!$A$2:$O$46,8,0)='Détails action 4'!C131,"X",""))</f>
        <v/>
      </c>
      <c r="E131" s="2309"/>
      <c r="F131" s="2310"/>
    </row>
    <row r="132" spans="3:6" ht="15" outlineLevel="1" thickBot="1">
      <c r="C132" s="1026" t="s">
        <v>892</v>
      </c>
      <c r="D132" s="2308" t="str">
        <f ca="1">IF(ISNA(VLOOKUP($K$10,Actions!$A$2:$O$46,15,0)),"",IF(VLOOKUP($K$10,Actions!$A$2:$O$46,8,0)='Détails action 4'!C132,"X",""))</f>
        <v/>
      </c>
      <c r="E132" s="2309"/>
      <c r="F132" s="2310"/>
    </row>
    <row r="133" spans="3:6" ht="28.35" customHeight="1" outlineLevel="1" thickBot="1">
      <c r="C133" s="1026" t="s">
        <v>898</v>
      </c>
      <c r="D133" s="2308" t="str">
        <f ca="1">IF(ISNA(VLOOKUP($K$10,Actions!$A$2:$O$46,15,0)),"",IF(VLOOKUP($K$10,Actions!$A$2:$O$46,8,0)='Détails action 4'!C133,"X",""))</f>
        <v/>
      </c>
      <c r="E133" s="2309"/>
      <c r="F133" s="2310"/>
    </row>
    <row r="134" spans="3:6" ht="15" outlineLevel="1" thickBot="1">
      <c r="C134" s="1026" t="s">
        <v>904</v>
      </c>
      <c r="D134" s="2308" t="str">
        <f ca="1">IF(ISNA(VLOOKUP($K$10,Actions!$A$2:$O$46,15,0)),"",IF(VLOOKUP($K$10,Actions!$A$2:$O$46,8,0)='Détails action 4'!C134,"X",""))</f>
        <v/>
      </c>
      <c r="E134" s="2309"/>
      <c r="F134" s="2310"/>
    </row>
    <row r="135" spans="3:6" ht="15" outlineLevel="1" thickBot="1">
      <c r="C135" s="1026" t="s">
        <v>909</v>
      </c>
      <c r="D135" s="2308" t="str">
        <f ca="1">IF(ISNA(VLOOKUP($K$10,Actions!$A$2:$O$46,15,0)),"",IF(VLOOKUP($K$10,Actions!$A$2:$O$46,8,0)='Détails action 4'!C135,"X",""))</f>
        <v/>
      </c>
      <c r="E135" s="2309"/>
      <c r="F135" s="2310"/>
    </row>
    <row r="136" spans="3:6" ht="42" customHeight="1" outlineLevel="1" thickBot="1">
      <c r="C136" s="1026" t="s">
        <v>914</v>
      </c>
      <c r="D136" s="2303" t="str">
        <f ca="1">IF(ISNA(VLOOKUP($K$10,Actions!$A$2:$O$46,15,0)),"",IF(VLOOKUP($K$10,Actions!$A$2:$O$46,8,0)='Détails action 4'!C136,"X",""))</f>
        <v/>
      </c>
      <c r="E136" s="2304"/>
      <c r="F136" s="2305"/>
    </row>
    <row r="138" spans="3:6" ht="29.4" thickBot="1">
      <c r="C138" s="657" t="s">
        <v>2034</v>
      </c>
      <c r="D138" s="2306" t="s">
        <v>2032</v>
      </c>
      <c r="E138" s="2307"/>
      <c r="F138" s="2307"/>
    </row>
    <row r="139" spans="3:6" ht="15" thickBot="1">
      <c r="C139" s="908" t="s">
        <v>1694</v>
      </c>
      <c r="D139" s="2300"/>
      <c r="E139" s="2301"/>
      <c r="F139" s="2302"/>
    </row>
    <row r="140" spans="3:6" ht="15" thickBot="1">
      <c r="C140" s="908" t="s">
        <v>1695</v>
      </c>
      <c r="D140" s="2300"/>
      <c r="E140" s="2301"/>
      <c r="F140" s="2302"/>
    </row>
    <row r="141" spans="3:6" ht="15" thickBot="1">
      <c r="C141" s="908" t="s">
        <v>1696</v>
      </c>
      <c r="D141" s="2300"/>
      <c r="E141" s="2301"/>
      <c r="F141" s="2302"/>
    </row>
    <row r="142" spans="3:6" ht="15" thickBot="1">
      <c r="C142" s="908" t="s">
        <v>1697</v>
      </c>
      <c r="D142" s="2300"/>
      <c r="E142" s="2301"/>
      <c r="F142" s="2302"/>
    </row>
    <row r="143" spans="3:6" ht="15" thickBot="1">
      <c r="C143" s="908" t="s">
        <v>1698</v>
      </c>
      <c r="D143" s="2300"/>
      <c r="E143" s="2301"/>
      <c r="F143" s="2302"/>
    </row>
    <row r="144" spans="3:6" ht="15" thickBot="1">
      <c r="C144" s="908" t="s">
        <v>1699</v>
      </c>
      <c r="D144" s="2300"/>
      <c r="E144" s="2301"/>
      <c r="F144" s="2302"/>
    </row>
    <row r="145" spans="3:6" ht="28.35" customHeight="1" thickBot="1">
      <c r="C145" s="908" t="s">
        <v>1700</v>
      </c>
      <c r="D145" s="2300"/>
      <c r="E145" s="2301"/>
      <c r="F145" s="2302"/>
    </row>
    <row r="146" spans="3:6" ht="15" thickBot="1">
      <c r="C146" s="908" t="s">
        <v>1701</v>
      </c>
      <c r="D146" s="2300"/>
      <c r="E146" s="2301"/>
      <c r="F146" s="2302"/>
    </row>
    <row r="147" spans="3:6" ht="15" thickBot="1">
      <c r="C147" s="908" t="s">
        <v>1702</v>
      </c>
      <c r="D147" s="2300"/>
      <c r="E147" s="2301"/>
      <c r="F147" s="2302"/>
    </row>
    <row r="148" spans="3:6" ht="28.35" customHeight="1" thickBot="1">
      <c r="C148" s="908" t="s">
        <v>1703</v>
      </c>
      <c r="D148" s="2300"/>
      <c r="E148" s="2301"/>
      <c r="F148" s="2302"/>
    </row>
    <row r="149" spans="3:6" ht="28.35" customHeight="1" thickBot="1">
      <c r="C149" s="908" t="s">
        <v>1704</v>
      </c>
      <c r="D149" s="2300"/>
      <c r="E149" s="2301"/>
      <c r="F149" s="2302"/>
    </row>
    <row r="150" spans="3:6" ht="15" thickBot="1">
      <c r="C150" s="908" t="s">
        <v>157</v>
      </c>
      <c r="D150" s="2300"/>
      <c r="E150" s="2301"/>
      <c r="F150" s="2302"/>
    </row>
    <row r="151" spans="3:6" ht="15" thickBot="1">
      <c r="C151" s="908" t="s">
        <v>661</v>
      </c>
      <c r="D151" s="2300"/>
      <c r="E151" s="2301"/>
      <c r="F151" s="2302"/>
    </row>
  </sheetData>
  <sheetProtection sheet="1" objects="1" scenarios="1"/>
  <mergeCells count="84">
    <mergeCell ref="D46:J46"/>
    <mergeCell ref="C2:G2"/>
    <mergeCell ref="H2:L2"/>
    <mergeCell ref="D10:J11"/>
    <mergeCell ref="C16:C17"/>
    <mergeCell ref="D16:J17"/>
    <mergeCell ref="D19:J19"/>
    <mergeCell ref="D22:J29"/>
    <mergeCell ref="D31:J31"/>
    <mergeCell ref="D33:J33"/>
    <mergeCell ref="D42:J42"/>
    <mergeCell ref="D44:J44"/>
    <mergeCell ref="C72:I72"/>
    <mergeCell ref="C51:I51"/>
    <mergeCell ref="C52:I52"/>
    <mergeCell ref="C53:I53"/>
    <mergeCell ref="C54:I54"/>
    <mergeCell ref="C55:I55"/>
    <mergeCell ref="C56:I56"/>
    <mergeCell ref="C57:I57"/>
    <mergeCell ref="C58:I58"/>
    <mergeCell ref="C59:I59"/>
    <mergeCell ref="D61:I67"/>
    <mergeCell ref="D70:I70"/>
    <mergeCell ref="D95:J95"/>
    <mergeCell ref="C73:I73"/>
    <mergeCell ref="C74:I74"/>
    <mergeCell ref="C75:I75"/>
    <mergeCell ref="C76:I76"/>
    <mergeCell ref="C77:I77"/>
    <mergeCell ref="C78:I78"/>
    <mergeCell ref="C79:I79"/>
    <mergeCell ref="D82:I82"/>
    <mergeCell ref="D84:I84"/>
    <mergeCell ref="C91:F91"/>
    <mergeCell ref="D93:J93"/>
    <mergeCell ref="D113:F113"/>
    <mergeCell ref="D97:J97"/>
    <mergeCell ref="C100:F100"/>
    <mergeCell ref="D102:F102"/>
    <mergeCell ref="D103:F103"/>
    <mergeCell ref="D104:F104"/>
    <mergeCell ref="D105:F105"/>
    <mergeCell ref="C108:F108"/>
    <mergeCell ref="C109:F109"/>
    <mergeCell ref="D110:F110"/>
    <mergeCell ref="D111:F111"/>
    <mergeCell ref="D112:F112"/>
    <mergeCell ref="D126:F126"/>
    <mergeCell ref="D114:F114"/>
    <mergeCell ref="D115:F115"/>
    <mergeCell ref="D116:F116"/>
    <mergeCell ref="D117:F117"/>
    <mergeCell ref="D118:F118"/>
    <mergeCell ref="D119:F119"/>
    <mergeCell ref="D120:F120"/>
    <mergeCell ref="D121:F121"/>
    <mergeCell ref="D123:F123"/>
    <mergeCell ref="D124:F124"/>
    <mergeCell ref="D125:F125"/>
    <mergeCell ref="D139:F139"/>
    <mergeCell ref="D127:F127"/>
    <mergeCell ref="D128:F128"/>
    <mergeCell ref="D129:F129"/>
    <mergeCell ref="D130:F130"/>
    <mergeCell ref="D131:F131"/>
    <mergeCell ref="D132:F132"/>
    <mergeCell ref="D133:F133"/>
    <mergeCell ref="D134:F134"/>
    <mergeCell ref="D135:F135"/>
    <mergeCell ref="D136:F136"/>
    <mergeCell ref="D138:F138"/>
    <mergeCell ref="D151:F151"/>
    <mergeCell ref="D140:F140"/>
    <mergeCell ref="D141:F141"/>
    <mergeCell ref="D142:F142"/>
    <mergeCell ref="D143:F143"/>
    <mergeCell ref="D144:F144"/>
    <mergeCell ref="D145:F145"/>
    <mergeCell ref="D146:F146"/>
    <mergeCell ref="D147:F147"/>
    <mergeCell ref="D148:F148"/>
    <mergeCell ref="D149:F149"/>
    <mergeCell ref="D150:F150"/>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BFE51-9B6D-419B-A392-73EEE9EDFEDB}">
  <sheetPr codeName="Feuil41">
    <tabColor theme="8" tint="0.79998168889431442"/>
  </sheetPr>
  <dimension ref="C1:L151"/>
  <sheetViews>
    <sheetView showGridLines="0" topLeftCell="A49" zoomScale="90" zoomScaleNormal="90" workbookViewId="0">
      <selection activeCell="D71" sqref="D71"/>
    </sheetView>
  </sheetViews>
  <sheetFormatPr baseColWidth="10" defaultColWidth="11.44140625" defaultRowHeight="14.4" outlineLevelRow="1"/>
  <cols>
    <col min="1" max="1" width="28.5546875" customWidth="1"/>
    <col min="2" max="2" width="7.44140625" customWidth="1"/>
    <col min="3" max="3" width="29.5546875" customWidth="1"/>
    <col min="4" max="4" width="6.88671875" style="902" bestFit="1" customWidth="1"/>
    <col min="5" max="5" width="3.5546875" customWidth="1"/>
    <col min="6" max="6" width="21.109375" customWidth="1"/>
    <col min="7" max="7" width="14.44140625" customWidth="1"/>
    <col min="8" max="8" width="12" customWidth="1"/>
    <col min="9" max="9" width="11.44140625" customWidth="1"/>
    <col min="10" max="10" width="13.5546875" customWidth="1"/>
    <col min="11" max="11" width="14.88671875" customWidth="1"/>
    <col min="12" max="12" width="11.5546875" bestFit="1" customWidth="1"/>
    <col min="14" max="20" width="0" hidden="1" customWidth="1"/>
  </cols>
  <sheetData>
    <row r="1" spans="3:12" ht="111" customHeight="1"/>
    <row r="2" spans="3:12" ht="18">
      <c r="C2" s="2249" t="s">
        <v>2009</v>
      </c>
      <c r="D2" s="2249"/>
      <c r="E2" s="2249"/>
      <c r="F2" s="2249"/>
      <c r="G2" s="2249"/>
      <c r="H2" s="2278" t="s">
        <v>1855</v>
      </c>
      <c r="I2" s="2279"/>
      <c r="J2" s="2279"/>
      <c r="K2" s="2279"/>
      <c r="L2" s="2280"/>
    </row>
    <row r="3" spans="3:12" ht="56.4" customHeight="1"/>
    <row r="4" spans="3:12" ht="17.399999999999999">
      <c r="C4" s="880" t="s">
        <v>2010</v>
      </c>
      <c r="D4" s="1018" t="str">
        <f ca="1">IF(ISERROR(INDIRECT("'"&amp;$K10&amp;"'!e$2")),"-",IF(INDIRECT("'"&amp;$K10&amp;"'!e$2")=1,"X",""))</f>
        <v>-</v>
      </c>
      <c r="F4" s="882" t="s">
        <v>708</v>
      </c>
    </row>
    <row r="5" spans="3:12" ht="15.6">
      <c r="D5" s="903"/>
      <c r="F5" s="881"/>
    </row>
    <row r="6" spans="3:12" ht="15.6" customHeight="1">
      <c r="D6" s="1018" t="str">
        <f ca="1">IF(D4="X","","X")</f>
        <v>X</v>
      </c>
      <c r="F6" s="882" t="s">
        <v>327</v>
      </c>
    </row>
    <row r="7" spans="3:12" ht="15.6">
      <c r="D7" s="903"/>
      <c r="F7" s="881"/>
    </row>
    <row r="8" spans="3:12" ht="16.350000000000001" customHeight="1">
      <c r="D8" s="1018" t="str">
        <f ca="1">IF(ISERROR(INDIRECT("'"&amp;$K10&amp;"'!e$3")),"-",IF(INDIRECT("'"&amp;$K10&amp;"'!e$3")=TRUE,"X",""))</f>
        <v>-</v>
      </c>
      <c r="F8" s="882" t="s">
        <v>1276</v>
      </c>
    </row>
    <row r="10" spans="3:12" ht="17.399999999999999">
      <c r="C10" s="880" t="s">
        <v>724</v>
      </c>
      <c r="D10" s="2336" t="str">
        <f ca="1">IF(ISERROR(INDIRECT("'"&amp;$K10&amp;"'!b$13")),"-",INDIRECT("'"&amp;$K10&amp;"'!b$13"))</f>
        <v>-</v>
      </c>
      <c r="E10" s="2337"/>
      <c r="F10" s="2337"/>
      <c r="G10" s="2337"/>
      <c r="H10" s="2337"/>
      <c r="I10" s="2337"/>
      <c r="J10" s="2338"/>
      <c r="K10" s="55" t="str">
        <f ca="1">'Mes actions'!D68</f>
        <v/>
      </c>
    </row>
    <row r="11" spans="3:12">
      <c r="D11" s="2339"/>
      <c r="E11" s="2340"/>
      <c r="F11" s="2340"/>
      <c r="G11" s="2340"/>
      <c r="H11" s="2340"/>
      <c r="I11" s="2340"/>
      <c r="J11" s="2341"/>
    </row>
    <row r="14" spans="3:12" ht="17.399999999999999">
      <c r="C14" s="880" t="s">
        <v>2011</v>
      </c>
    </row>
    <row r="16" spans="3:12" ht="17.399999999999999" customHeight="1">
      <c r="C16" s="2353" t="s">
        <v>1073</v>
      </c>
      <c r="D16" s="2336" t="str">
        <f ca="1">IF(ISERROR(INDIRECT("'"&amp;$K10&amp;"'!b$11")),"-",INDIRECT("'"&amp;$K10&amp;"'!b$11"))</f>
        <v>-</v>
      </c>
      <c r="E16" s="2337"/>
      <c r="F16" s="2337"/>
      <c r="G16" s="2337"/>
      <c r="H16" s="2337"/>
      <c r="I16" s="2337"/>
      <c r="J16" s="2338"/>
    </row>
    <row r="17" spans="3:10">
      <c r="C17" s="2353"/>
      <c r="D17" s="2339"/>
      <c r="E17" s="2340"/>
      <c r="F17" s="2340"/>
      <c r="G17" s="2340"/>
      <c r="H17" s="2340"/>
      <c r="I17" s="2340"/>
      <c r="J17" s="2341"/>
    </row>
    <row r="19" spans="3:10" ht="34.799999999999997">
      <c r="C19" s="883" t="s">
        <v>2012</v>
      </c>
      <c r="D19" s="2332" t="str">
        <f ca="1">D16</f>
        <v>-</v>
      </c>
      <c r="E19" s="2333"/>
      <c r="F19" s="2333"/>
      <c r="G19" s="2333"/>
      <c r="H19" s="2333"/>
      <c r="I19" s="2333"/>
      <c r="J19" s="2334"/>
    </row>
    <row r="22" spans="3:10" ht="34.799999999999997">
      <c r="C22" s="883" t="s">
        <v>2013</v>
      </c>
      <c r="D22" s="2343" t="str">
        <f ca="1">IF(ISERROR(INDIRECT("'"&amp;$K10&amp;"'!b$14")),"-",INDIRECT("'"&amp;$K10&amp;"'!b$14"))</f>
        <v>-</v>
      </c>
      <c r="E22" s="2344"/>
      <c r="F22" s="2344"/>
      <c r="G22" s="2344"/>
      <c r="H22" s="2344"/>
      <c r="I22" s="2344"/>
      <c r="J22" s="2345"/>
    </row>
    <row r="23" spans="3:10">
      <c r="D23" s="2346"/>
      <c r="E23" s="2347"/>
      <c r="F23" s="2347"/>
      <c r="G23" s="2347"/>
      <c r="H23" s="2347"/>
      <c r="I23" s="2347"/>
      <c r="J23" s="2348"/>
    </row>
    <row r="24" spans="3:10">
      <c r="D24" s="2346"/>
      <c r="E24" s="2347"/>
      <c r="F24" s="2347"/>
      <c r="G24" s="2347"/>
      <c r="H24" s="2347"/>
      <c r="I24" s="2347"/>
      <c r="J24" s="2348"/>
    </row>
    <row r="25" spans="3:10">
      <c r="D25" s="2346"/>
      <c r="E25" s="2347"/>
      <c r="F25" s="2347"/>
      <c r="G25" s="2347"/>
      <c r="H25" s="2347"/>
      <c r="I25" s="2347"/>
      <c r="J25" s="2348"/>
    </row>
    <row r="26" spans="3:10">
      <c r="D26" s="2346"/>
      <c r="E26" s="2347"/>
      <c r="F26" s="2347"/>
      <c r="G26" s="2347"/>
      <c r="H26" s="2347"/>
      <c r="I26" s="2347"/>
      <c r="J26" s="2348"/>
    </row>
    <row r="27" spans="3:10">
      <c r="D27" s="2346"/>
      <c r="E27" s="2347"/>
      <c r="F27" s="2347"/>
      <c r="G27" s="2347"/>
      <c r="H27" s="2347"/>
      <c r="I27" s="2347"/>
      <c r="J27" s="2348"/>
    </row>
    <row r="28" spans="3:10">
      <c r="D28" s="2346"/>
      <c r="E28" s="2347"/>
      <c r="F28" s="2347"/>
      <c r="G28" s="2347"/>
      <c r="H28" s="2347"/>
      <c r="I28" s="2347"/>
      <c r="J28" s="2348"/>
    </row>
    <row r="29" spans="3:10">
      <c r="D29" s="2349"/>
      <c r="E29" s="2350"/>
      <c r="F29" s="2350"/>
      <c r="G29" s="2350"/>
      <c r="H29" s="2350"/>
      <c r="I29" s="2350"/>
      <c r="J29" s="2351"/>
    </row>
    <row r="31" spans="3:10" ht="31.35" customHeight="1">
      <c r="C31" s="884" t="s">
        <v>2014</v>
      </c>
      <c r="D31" s="2352"/>
      <c r="E31" s="2352"/>
      <c r="F31" s="2352"/>
      <c r="G31" s="2352"/>
      <c r="H31" s="2352"/>
      <c r="I31" s="2352"/>
      <c r="J31" s="2352"/>
    </row>
    <row r="33" spans="3:10" ht="28.35" customHeight="1">
      <c r="C33" s="884" t="s">
        <v>2015</v>
      </c>
      <c r="D33" s="2352"/>
      <c r="E33" s="2352"/>
      <c r="F33" s="2352"/>
      <c r="G33" s="2352"/>
      <c r="H33" s="2352"/>
      <c r="I33" s="2352"/>
      <c r="J33" s="2352"/>
    </row>
    <row r="35" spans="3:10" ht="17.399999999999999">
      <c r="C35" s="880" t="s">
        <v>2016</v>
      </c>
    </row>
    <row r="41" spans="3:10" ht="24" customHeight="1"/>
    <row r="42" spans="3:10" ht="34.799999999999997">
      <c r="C42" s="883" t="s">
        <v>2017</v>
      </c>
      <c r="D42" s="2332" t="str">
        <f ca="1">IF(ISERROR(INDIRECT("'"&amp;$K10&amp;"'!b$19")),"-",INDIRECT("'"&amp;$K10&amp;"'!b$20"))</f>
        <v>-</v>
      </c>
      <c r="E42" s="2333"/>
      <c r="F42" s="2333"/>
      <c r="G42" s="2333"/>
      <c r="H42" s="2333"/>
      <c r="I42" s="2333"/>
      <c r="J42" s="2334"/>
    </row>
    <row r="43" spans="3:10">
      <c r="E43" s="902"/>
      <c r="F43" s="902"/>
      <c r="G43" s="902"/>
      <c r="H43" s="902"/>
      <c r="I43" s="902"/>
      <c r="J43" s="902"/>
    </row>
    <row r="44" spans="3:10" ht="33.6" customHeight="1">
      <c r="C44" s="883" t="s">
        <v>2018</v>
      </c>
      <c r="D44" s="2332" t="str">
        <f ca="1">IF(ISERROR(INDIRECT("'"&amp;$K10&amp;"'!b$20")),"-",INDIRECT("'"&amp;$K10&amp;"'!b$21"))</f>
        <v>-</v>
      </c>
      <c r="E44" s="2333"/>
      <c r="F44" s="2333"/>
      <c r="G44" s="2333"/>
      <c r="H44" s="2333"/>
      <c r="I44" s="2333"/>
      <c r="J44" s="2334"/>
    </row>
    <row r="45" spans="3:10">
      <c r="E45" s="902"/>
      <c r="F45" s="902"/>
      <c r="G45" s="902"/>
      <c r="H45" s="902"/>
      <c r="I45" s="902"/>
      <c r="J45" s="902"/>
    </row>
    <row r="46" spans="3:10" ht="34.799999999999997">
      <c r="C46" s="883" t="s">
        <v>2019</v>
      </c>
      <c r="D46" s="2332" t="str">
        <f ca="1">IF(ISERROR(INDIRECT("'"&amp;$K10&amp;"'!e$6")),"-",INDIRECT("'"&amp;$K10&amp;"'!e$6"))</f>
        <v>-</v>
      </c>
      <c r="E46" s="2333"/>
      <c r="F46" s="2333"/>
      <c r="G46" s="2333"/>
      <c r="H46" s="2333"/>
      <c r="I46" s="2333"/>
      <c r="J46" s="2334"/>
    </row>
    <row r="49" spans="3:10" ht="36">
      <c r="C49" s="655" t="s">
        <v>2020</v>
      </c>
    </row>
    <row r="51" spans="3:10" ht="23.4" customHeight="1" thickBot="1">
      <c r="C51" s="2322" t="s">
        <v>1282</v>
      </c>
      <c r="D51" s="2322"/>
      <c r="E51" s="2322"/>
      <c r="F51" s="2322"/>
      <c r="G51" s="2322"/>
      <c r="H51" s="2322"/>
      <c r="I51" s="2342"/>
      <c r="J51" s="885" t="s">
        <v>2021</v>
      </c>
    </row>
    <row r="52" spans="3:10" ht="32.4" customHeight="1" thickBot="1">
      <c r="C52" s="2335" t="s">
        <v>1291</v>
      </c>
      <c r="D52" s="2335"/>
      <c r="E52" s="2335"/>
      <c r="F52" s="2335"/>
      <c r="G52" s="2335"/>
      <c r="H52" s="2335"/>
      <c r="I52" s="2335"/>
      <c r="J52" s="904"/>
    </row>
    <row r="53" spans="3:10" ht="32.4" customHeight="1" thickBot="1">
      <c r="C53" s="2335" t="s">
        <v>1300</v>
      </c>
      <c r="D53" s="2335"/>
      <c r="E53" s="2335"/>
      <c r="F53" s="2335"/>
      <c r="G53" s="2335"/>
      <c r="H53" s="2335"/>
      <c r="I53" s="2335"/>
      <c r="J53" s="904"/>
    </row>
    <row r="54" spans="3:10" ht="32.4" customHeight="1" thickBot="1">
      <c r="C54" s="2335" t="s">
        <v>1310</v>
      </c>
      <c r="D54" s="2335"/>
      <c r="E54" s="2335"/>
      <c r="F54" s="2335"/>
      <c r="G54" s="2335"/>
      <c r="H54" s="2335"/>
      <c r="I54" s="2335"/>
      <c r="J54" s="904"/>
    </row>
    <row r="55" spans="3:10" ht="32.4" customHeight="1" thickBot="1">
      <c r="C55" s="2335" t="s">
        <v>1318</v>
      </c>
      <c r="D55" s="2335"/>
      <c r="E55" s="2335"/>
      <c r="F55" s="2335"/>
      <c r="G55" s="2335"/>
      <c r="H55" s="2335"/>
      <c r="I55" s="2335"/>
      <c r="J55" s="904"/>
    </row>
    <row r="56" spans="3:10" ht="32.4" customHeight="1" thickBot="1">
      <c r="C56" s="2335" t="s">
        <v>1326</v>
      </c>
      <c r="D56" s="2335"/>
      <c r="E56" s="2335"/>
      <c r="F56" s="2335"/>
      <c r="G56" s="2335"/>
      <c r="H56" s="2335"/>
      <c r="I56" s="2335"/>
      <c r="J56" s="904"/>
    </row>
    <row r="57" spans="3:10" ht="32.4" customHeight="1" thickBot="1">
      <c r="C57" s="2335" t="s">
        <v>1331</v>
      </c>
      <c r="D57" s="2335"/>
      <c r="E57" s="2335"/>
      <c r="F57" s="2335"/>
      <c r="G57" s="2335"/>
      <c r="H57" s="2335"/>
      <c r="I57" s="2335"/>
      <c r="J57" s="904"/>
    </row>
    <row r="58" spans="3:10" ht="32.4" customHeight="1" thickBot="1">
      <c r="C58" s="2335" t="s">
        <v>1336</v>
      </c>
      <c r="D58" s="2335"/>
      <c r="E58" s="2335"/>
      <c r="F58" s="2335"/>
      <c r="G58" s="2335"/>
      <c r="H58" s="2335"/>
      <c r="I58" s="2335"/>
      <c r="J58" s="904"/>
    </row>
    <row r="59" spans="3:10" ht="32.4" customHeight="1" thickBot="1">
      <c r="C59" s="2335" t="s">
        <v>775</v>
      </c>
      <c r="D59" s="2335"/>
      <c r="E59" s="2335"/>
      <c r="F59" s="2335"/>
      <c r="G59" s="2335"/>
      <c r="H59" s="2335"/>
      <c r="I59" s="2335"/>
      <c r="J59" s="904"/>
    </row>
    <row r="61" spans="3:10" ht="17.399999999999999">
      <c r="C61" s="880" t="s">
        <v>91</v>
      </c>
      <c r="D61" s="2354"/>
      <c r="E61" s="2354"/>
      <c r="F61" s="2354"/>
      <c r="G61" s="2354"/>
      <c r="H61" s="2354"/>
      <c r="I61" s="2354"/>
    </row>
    <row r="62" spans="3:10">
      <c r="D62" s="2354"/>
      <c r="E62" s="2354"/>
      <c r="F62" s="2354"/>
      <c r="G62" s="2354"/>
      <c r="H62" s="2354"/>
      <c r="I62" s="2354"/>
    </row>
    <row r="63" spans="3:10">
      <c r="D63" s="2354"/>
      <c r="E63" s="2354"/>
      <c r="F63" s="2354"/>
      <c r="G63" s="2354"/>
      <c r="H63" s="2354"/>
      <c r="I63" s="2354"/>
    </row>
    <row r="64" spans="3:10">
      <c r="D64" s="2354"/>
      <c r="E64" s="2354"/>
      <c r="F64" s="2354"/>
      <c r="G64" s="2354"/>
      <c r="H64" s="2354"/>
      <c r="I64" s="2354"/>
    </row>
    <row r="65" spans="3:10">
      <c r="D65" s="2354"/>
      <c r="E65" s="2354"/>
      <c r="F65" s="2354"/>
      <c r="G65" s="2354"/>
      <c r="H65" s="2354"/>
      <c r="I65" s="2354"/>
    </row>
    <row r="66" spans="3:10">
      <c r="D66" s="2354"/>
      <c r="E66" s="2354"/>
      <c r="F66" s="2354"/>
      <c r="G66" s="2354"/>
      <c r="H66" s="2354"/>
      <c r="I66" s="2354"/>
    </row>
    <row r="67" spans="3:10">
      <c r="D67" s="2354"/>
      <c r="E67" s="2354"/>
      <c r="F67" s="2354"/>
      <c r="G67" s="2354"/>
      <c r="H67" s="2354"/>
      <c r="I67" s="2354"/>
    </row>
    <row r="69" spans="3:10" ht="55.35" customHeight="1">
      <c r="C69" s="886" t="s">
        <v>2022</v>
      </c>
    </row>
    <row r="70" spans="3:10" ht="33.6" customHeight="1">
      <c r="C70" s="883" t="s">
        <v>2023</v>
      </c>
      <c r="D70" s="2355" t="str">
        <f ca="1">IF(ISERROR(INDIRECT("'"&amp;$K10&amp;"'!b$22")),"-",INDIRECT("'"&amp;$K10&amp;"'!b$23"))</f>
        <v>-</v>
      </c>
      <c r="E70" s="2355"/>
      <c r="F70" s="2355"/>
      <c r="G70" s="2355"/>
      <c r="H70" s="2355"/>
      <c r="I70" s="2355"/>
    </row>
    <row r="72" spans="3:10" ht="28.35" customHeight="1" thickBot="1">
      <c r="C72" s="2322" t="s">
        <v>1283</v>
      </c>
      <c r="D72" s="2322"/>
      <c r="E72" s="2322"/>
      <c r="F72" s="2322"/>
      <c r="G72" s="2322"/>
      <c r="H72" s="2322"/>
      <c r="I72" s="2342"/>
      <c r="J72" s="885" t="s">
        <v>2021</v>
      </c>
    </row>
    <row r="73" spans="3:10" ht="28.35" customHeight="1" thickBot="1">
      <c r="C73" s="2335" t="s">
        <v>1292</v>
      </c>
      <c r="D73" s="2335"/>
      <c r="E73" s="2335"/>
      <c r="F73" s="2335"/>
      <c r="G73" s="2335"/>
      <c r="H73" s="2335"/>
      <c r="I73" s="2356"/>
      <c r="J73" s="1020" t="s">
        <v>1304</v>
      </c>
    </row>
    <row r="74" spans="3:10" ht="28.35" customHeight="1" thickBot="1">
      <c r="C74" s="2335" t="s">
        <v>1301</v>
      </c>
      <c r="D74" s="2335"/>
      <c r="E74" s="2335"/>
      <c r="F74" s="2335"/>
      <c r="G74" s="2335"/>
      <c r="H74" s="2335"/>
      <c r="I74" s="2356"/>
      <c r="J74" s="1021" t="str">
        <f ca="1">IF(ISERROR(INDIRECT("'"&amp;$K10&amp;"'!f$25")),"-",IF(INDIRECT("'"&amp;$K10&amp;"'!f$25")="Subvention nationale/régionale","X",""))</f>
        <v>-</v>
      </c>
    </row>
    <row r="75" spans="3:10" ht="28.35" customHeight="1" thickBot="1">
      <c r="C75" s="2335" t="s">
        <v>1311</v>
      </c>
      <c r="D75" s="2335"/>
      <c r="E75" s="2335"/>
      <c r="F75" s="2335"/>
      <c r="G75" s="2335"/>
      <c r="H75" s="2335"/>
      <c r="I75" s="2356"/>
      <c r="J75" s="1021"/>
    </row>
    <row r="76" spans="3:10" ht="28.35" customHeight="1" thickBot="1">
      <c r="C76" s="2335" t="s">
        <v>1319</v>
      </c>
      <c r="D76" s="2335"/>
      <c r="E76" s="2335"/>
      <c r="F76" s="2335"/>
      <c r="G76" s="2335"/>
      <c r="H76" s="2335"/>
      <c r="I76" s="2356"/>
      <c r="J76" s="1022" t="str">
        <f ca="1">IF(ISERROR(INDIRECT("'"&amp;$K10&amp;"'!f$25")),"-",IF(INDIRECT("'"&amp;$K10&amp;"'!f$25")="Programme européen","X",""))</f>
        <v>-</v>
      </c>
    </row>
    <row r="77" spans="3:10" ht="28.35" customHeight="1" thickBot="1">
      <c r="C77" s="2335" t="s">
        <v>1327</v>
      </c>
      <c r="D77" s="2335"/>
      <c r="E77" s="2335"/>
      <c r="F77" s="2335"/>
      <c r="G77" s="2335"/>
      <c r="H77" s="2335"/>
      <c r="I77" s="2335"/>
      <c r="J77" s="1019"/>
    </row>
    <row r="78" spans="3:10" ht="28.35" customHeight="1" thickBot="1">
      <c r="C78" s="2335" t="s">
        <v>1332</v>
      </c>
      <c r="D78" s="2335"/>
      <c r="E78" s="2335"/>
      <c r="F78" s="2335"/>
      <c r="G78" s="2335"/>
      <c r="H78" s="2335"/>
      <c r="I78" s="2335"/>
      <c r="J78" s="905"/>
    </row>
    <row r="79" spans="3:10" ht="28.35" customHeight="1" thickBot="1">
      <c r="C79" s="2335" t="s">
        <v>157</v>
      </c>
      <c r="D79" s="2335"/>
      <c r="E79" s="2335"/>
      <c r="F79" s="2335"/>
      <c r="G79" s="2335"/>
      <c r="H79" s="2335"/>
      <c r="I79" s="2335"/>
      <c r="J79" s="905"/>
    </row>
    <row r="82" spans="3:10" ht="34.799999999999997">
      <c r="C82" s="883" t="s">
        <v>2024</v>
      </c>
      <c r="D82" s="2357" t="str">
        <f ca="1">IF(ISERROR(INDIRECT("'"&amp;$K10&amp;"'!d$22")),"-",IF(INDIRECT("'"&amp;$K10&amp;"'!d$23")="Investissement",D70,""))</f>
        <v>-</v>
      </c>
      <c r="E82" s="2358"/>
      <c r="F82" s="2358"/>
      <c r="G82" s="2358"/>
      <c r="H82" s="2358"/>
      <c r="I82" s="2359"/>
    </row>
    <row r="83" spans="3:10">
      <c r="D83" s="906"/>
      <c r="E83" s="906"/>
      <c r="F83" s="906"/>
      <c r="G83" s="906"/>
      <c r="H83" s="906"/>
      <c r="I83" s="906"/>
    </row>
    <row r="84" spans="3:10" ht="34.799999999999997">
      <c r="C84" s="883" t="s">
        <v>2025</v>
      </c>
      <c r="D84" s="2357" t="str">
        <f ca="1">IF(ISERROR(INDIRECT("'"&amp;$K10&amp;"'!d$22")),"-",IF(INDIRECT("'"&amp;$K10&amp;"'!d$23")="Non-investissement",D70,""))</f>
        <v>-</v>
      </c>
      <c r="E84" s="2358"/>
      <c r="F84" s="2358"/>
      <c r="G84" s="2358"/>
      <c r="H84" s="2358"/>
      <c r="I84" s="2359"/>
    </row>
    <row r="91" spans="3:10" ht="36" customHeight="1">
      <c r="C91" s="2249" t="s">
        <v>2026</v>
      </c>
      <c r="D91" s="2249"/>
      <c r="E91" s="2249"/>
      <c r="F91" s="2249"/>
    </row>
    <row r="92" spans="3:10" outlineLevel="1"/>
    <row r="93" spans="3:10" ht="17.399999999999999" outlineLevel="1">
      <c r="C93" s="883" t="s">
        <v>103</v>
      </c>
      <c r="D93" s="2332" t="str">
        <f ca="1">IF(D4="X",IF(ISNA(VLOOKUP(INDIRECT("'"&amp;$K10&amp;"'!A$5"),Categories!X35:Y45,2,0)),"",VLOOKUP(INDIRECT("'"&amp;$K10&amp;"'!A$5"),Categories!X35:Y45,2,0)),"")</f>
        <v/>
      </c>
      <c r="E93" s="2333"/>
      <c r="F93" s="2333"/>
      <c r="G93" s="2333"/>
      <c r="H93" s="2333"/>
      <c r="I93" s="2333"/>
      <c r="J93" s="2334"/>
    </row>
    <row r="94" spans="3:10" outlineLevel="1"/>
    <row r="95" spans="3:10" ht="34.799999999999997" outlineLevel="1">
      <c r="C95" s="883" t="s">
        <v>2027</v>
      </c>
      <c r="D95" s="2332" t="str">
        <f ca="1">IF(D4="X",IF(ISERROR(INDIRECT("'"&amp;$K10&amp;"'!b$9")),"-",INDIRECT("'"&amp;$K10&amp;"'!b$9")),"")</f>
        <v/>
      </c>
      <c r="E95" s="2333"/>
      <c r="F95" s="2333"/>
      <c r="G95" s="2333"/>
      <c r="H95" s="2333"/>
      <c r="I95" s="2333"/>
      <c r="J95" s="2334"/>
    </row>
    <row r="96" spans="3:10" outlineLevel="1"/>
    <row r="97" spans="3:10" ht="17.399999999999999" outlineLevel="1">
      <c r="C97" s="883" t="s">
        <v>2028</v>
      </c>
      <c r="D97" s="2332" t="str">
        <f ca="1">IF(D4="X",IF(ISERROR(INDIRECT("'"&amp;$K10&amp;"'!d$9")),"-",INDIRECT("'"&amp;$K10&amp;"'!d$9")),"")</f>
        <v/>
      </c>
      <c r="E97" s="2333"/>
      <c r="F97" s="2333"/>
      <c r="G97" s="2333"/>
      <c r="H97" s="2333"/>
      <c r="I97" s="2333"/>
      <c r="J97" s="2334"/>
    </row>
    <row r="98" spans="3:10" outlineLevel="1"/>
    <row r="99" spans="3:10" outlineLevel="1"/>
    <row r="100" spans="3:10" ht="18" outlineLevel="1">
      <c r="C100" s="2249" t="s">
        <v>2029</v>
      </c>
      <c r="D100" s="2249"/>
      <c r="E100" s="2249"/>
      <c r="F100" s="2249"/>
    </row>
    <row r="101" spans="3:10" outlineLevel="1"/>
    <row r="102" spans="3:10" outlineLevel="1">
      <c r="C102" s="907"/>
      <c r="D102" s="2322">
        <v>2030</v>
      </c>
      <c r="E102" s="2322"/>
      <c r="F102" s="2322"/>
    </row>
    <row r="103" spans="3:10" ht="28.8" outlineLevel="1">
      <c r="C103" s="1023" t="s">
        <v>1991</v>
      </c>
      <c r="D103" s="2323" t="str">
        <f ca="1">IF(ISNA(VLOOKUP(D10,Actions!G2:AL70,22,0)),"",VLOOKUP(D10,Actions!G2:AL70,27,0))</f>
        <v/>
      </c>
      <c r="E103" s="2324"/>
      <c r="F103" s="2325"/>
    </row>
    <row r="104" spans="3:10" ht="28.8" outlineLevel="1">
      <c r="C104" s="1024" t="s">
        <v>1081</v>
      </c>
      <c r="D104" s="2363" t="str">
        <f ca="1">IF(ISNA(VLOOKUP(D10,Actions!G2:AL70,22,0)),"",VLOOKUP(D10,Actions!G2:AL70,28,0))</f>
        <v/>
      </c>
      <c r="E104" s="2364"/>
      <c r="F104" s="2365"/>
    </row>
    <row r="105" spans="3:10" outlineLevel="1">
      <c r="C105" s="1025" t="s">
        <v>2030</v>
      </c>
      <c r="D105" s="2360" t="str">
        <f ca="1">IF(ISNA(VLOOKUP(D10,Actions!G2:AL70,22,0)),"",VLOOKUP(D10,Actions!G2:AL70,29,0))</f>
        <v/>
      </c>
      <c r="E105" s="2361"/>
      <c r="F105" s="2362"/>
    </row>
    <row r="108" spans="3:10" ht="18">
      <c r="C108" s="2249" t="s">
        <v>2031</v>
      </c>
      <c r="D108" s="2249"/>
      <c r="E108" s="2249"/>
      <c r="F108" s="2249"/>
    </row>
    <row r="109" spans="3:10" ht="18">
      <c r="C109" s="2249"/>
      <c r="D109" s="2249"/>
      <c r="E109" s="2249"/>
      <c r="F109" s="2249"/>
    </row>
    <row r="110" spans="3:10" ht="29.4" customHeight="1" outlineLevel="1" thickBot="1">
      <c r="C110" s="657" t="s">
        <v>1284</v>
      </c>
      <c r="D110" s="2306" t="s">
        <v>2032</v>
      </c>
      <c r="E110" s="2307"/>
      <c r="F110" s="2307"/>
    </row>
    <row r="111" spans="3:10" ht="15" outlineLevel="1" thickBot="1">
      <c r="C111" s="1026" t="s">
        <v>1293</v>
      </c>
      <c r="D111" s="2319" t="str">
        <f ca="1">IF(ISNA(VLOOKUP($K$10,Actions!$A$2:$O$46,15,0)),"",IF(VLOOKUP($K$10,Actions!$A$2:$O$46,15,0)='Détails action 5'!C111,"X",""))</f>
        <v/>
      </c>
      <c r="E111" s="2320"/>
      <c r="F111" s="2321"/>
    </row>
    <row r="112" spans="3:10" ht="15" outlineLevel="1" thickBot="1">
      <c r="C112" s="1026" t="s">
        <v>1302</v>
      </c>
      <c r="D112" s="2317" t="str">
        <f ca="1">IF(ISNA(VLOOKUP($K$10,Actions!$A$2:$O$46,15,0)),"",IF(VLOOKUP($K$10,Actions!$A$2:$O$46,15,0)='Détails action 5'!C112,"X",""))</f>
        <v/>
      </c>
      <c r="E112" s="2301"/>
      <c r="F112" s="2318"/>
    </row>
    <row r="113" spans="3:6" ht="15" outlineLevel="1" thickBot="1">
      <c r="C113" s="1026" t="s">
        <v>1312</v>
      </c>
      <c r="D113" s="2317" t="str">
        <f ca="1">IF(ISNA(VLOOKUP($K$10,Actions!$A$2:$O$46,15,0)),"",IF(VLOOKUP($K$10,Actions!$A$2:$O$46,15,0)='Détails action 5'!C113,"X",""))</f>
        <v/>
      </c>
      <c r="E113" s="2301"/>
      <c r="F113" s="2318"/>
    </row>
    <row r="114" spans="3:6" ht="28.35" customHeight="1" outlineLevel="1" thickBot="1">
      <c r="C114" s="1026" t="s">
        <v>1320</v>
      </c>
      <c r="D114" s="2317" t="str">
        <f ca="1">IF(ISNA(VLOOKUP($K$10,Actions!$A$2:$O$46,15,0)),"",IF(VLOOKUP($K$10,Actions!$A$2:$O$46,15,0)='Détails action 5'!C114,"X",""))</f>
        <v/>
      </c>
      <c r="E114" s="2301"/>
      <c r="F114" s="2318"/>
    </row>
    <row r="115" spans="3:6" ht="15" outlineLevel="1" thickBot="1">
      <c r="C115" s="1026" t="s">
        <v>1328</v>
      </c>
      <c r="D115" s="2317" t="str">
        <f ca="1">IF(ISNA(VLOOKUP($K$10,Actions!$A$2:$O$46,15,0)),"",IF(VLOOKUP($K$10,Actions!$A$2:$O$46,15,0)='Détails action 5'!C115,"X",""))</f>
        <v/>
      </c>
      <c r="E115" s="2301"/>
      <c r="F115" s="2318"/>
    </row>
    <row r="116" spans="3:6" ht="15" outlineLevel="1" thickBot="1">
      <c r="C116" s="1026" t="s">
        <v>1333</v>
      </c>
      <c r="D116" s="2317" t="str">
        <f ca="1">IF(ISNA(VLOOKUP($K$10,Actions!$A$2:$O$46,15,0)),"",IF(VLOOKUP($K$10,Actions!$A$2:$O$46,15,0)='Détails action 5'!C116,"X",""))</f>
        <v/>
      </c>
      <c r="E116" s="2301"/>
      <c r="F116" s="2318"/>
    </row>
    <row r="117" spans="3:6" ht="15" outlineLevel="1" thickBot="1">
      <c r="C117" s="1026" t="s">
        <v>1337</v>
      </c>
      <c r="D117" s="2317" t="str">
        <f ca="1">IF(ISNA(VLOOKUP($K$10,Actions!$A$2:$O$46,15,0)),"",IF(VLOOKUP($K$10,Actions!$A$2:$O$46,15,0)='Détails action 5'!C117,"X",""))</f>
        <v/>
      </c>
      <c r="E117" s="2301"/>
      <c r="F117" s="2318"/>
    </row>
    <row r="118" spans="3:6" ht="15" outlineLevel="1" thickBot="1">
      <c r="C118" s="1026" t="s">
        <v>1339</v>
      </c>
      <c r="D118" s="2317" t="str">
        <f ca="1">IF(ISNA(VLOOKUP($K$10,Actions!$A$2:$O$46,15,0)),"",IF(VLOOKUP($K$10,Actions!$A$2:$O$46,15,0)='Détails action 5'!C118,"X",""))</f>
        <v/>
      </c>
      <c r="E118" s="2301"/>
      <c r="F118" s="2318"/>
    </row>
    <row r="119" spans="3:6" ht="15" outlineLevel="1" thickBot="1">
      <c r="C119" s="1026" t="s">
        <v>1342</v>
      </c>
      <c r="D119" s="2317" t="str">
        <f ca="1">IF(ISNA(VLOOKUP($K$10,Actions!$A$2:$O$46,15,0)),"",IF(VLOOKUP($K$10,Actions!$A$2:$O$46,15,0)='Détails action 5'!C119,"X",""))</f>
        <v/>
      </c>
      <c r="E119" s="2301"/>
      <c r="F119" s="2318"/>
    </row>
    <row r="120" spans="3:6" ht="15" outlineLevel="1" thickBot="1">
      <c r="C120" s="1026" t="s">
        <v>1345</v>
      </c>
      <c r="D120" s="2317" t="str">
        <f ca="1">IF(ISNA(VLOOKUP($K$10,Actions!$A$2:$O$46,15,0)),"",IF(VLOOKUP($K$10,Actions!$A$2:$O$46,15,0)='Détails action 5'!C120,"X",""))</f>
        <v/>
      </c>
      <c r="E120" s="2301"/>
      <c r="F120" s="2318"/>
    </row>
    <row r="121" spans="3:6" ht="15" outlineLevel="1" thickBot="1">
      <c r="C121" s="1026" t="s">
        <v>157</v>
      </c>
      <c r="D121" s="2314" t="str">
        <f ca="1">IF(ISNA(VLOOKUP($K$10,Actions!$A$2:$O$46,15,0)),"",IF(VLOOKUP($K$10,Actions!$A$2:$O$46,15,0)='Détails action 5'!C121,"X",""))</f>
        <v/>
      </c>
      <c r="E121" s="2315"/>
      <c r="F121" s="2316"/>
    </row>
    <row r="122" spans="3:6" outlineLevel="1">
      <c r="C122" s="909"/>
      <c r="D122" s="910"/>
    </row>
    <row r="123" spans="3:6" ht="15" outlineLevel="1" thickBot="1">
      <c r="C123" s="657" t="s">
        <v>2033</v>
      </c>
      <c r="D123" s="2306" t="s">
        <v>2032</v>
      </c>
      <c r="E123" s="2307"/>
      <c r="F123" s="2307"/>
    </row>
    <row r="124" spans="3:6" ht="15" outlineLevel="1" thickBot="1">
      <c r="C124" s="1026" t="s">
        <v>866</v>
      </c>
      <c r="D124" s="2311" t="str">
        <f ca="1">IF(ISNA(VLOOKUP($K$10,Actions!$A$2:$O$46,15,0)),"",IF(VLOOKUP($K$10,Actions!$A$2:$O$46,8,0)='Détails action 5'!C124,"X",""))</f>
        <v/>
      </c>
      <c r="E124" s="2312"/>
      <c r="F124" s="2313"/>
    </row>
    <row r="125" spans="3:6" ht="15" outlineLevel="1" thickBot="1">
      <c r="C125" s="1026" t="s">
        <v>870</v>
      </c>
      <c r="D125" s="2308" t="str">
        <f ca="1">IF(ISNA(VLOOKUP($K$10,Actions!$A$2:$O$46,15,0)),"",IF(VLOOKUP($K$10,Actions!$A$2:$O$46,8,0)='Détails action 5'!C125,"X",""))</f>
        <v/>
      </c>
      <c r="E125" s="2309"/>
      <c r="F125" s="2310"/>
    </row>
    <row r="126" spans="3:6" ht="15" outlineLevel="1" thickBot="1">
      <c r="C126" s="1026" t="s">
        <v>876</v>
      </c>
      <c r="D126" s="2308" t="str">
        <f ca="1">IF(ISNA(VLOOKUP($K$10,Actions!$A$2:$O$46,15,0)),"",IF(VLOOKUP($K$10,Actions!$A$2:$O$46,8,0)='Détails action 5'!C126,"X",""))</f>
        <v/>
      </c>
      <c r="E126" s="2309"/>
      <c r="F126" s="2310"/>
    </row>
    <row r="127" spans="3:6" ht="15" outlineLevel="1" thickBot="1">
      <c r="C127" s="1026" t="s">
        <v>881</v>
      </c>
      <c r="D127" s="2308" t="str">
        <f ca="1">IF(ISNA(VLOOKUP($K$10,Actions!$A$2:$O$46,15,0)),"",IF(VLOOKUP($K$10,Actions!$A$2:$O$46,8,0)='Détails action 5'!C127,"X",""))</f>
        <v/>
      </c>
      <c r="E127" s="2309"/>
      <c r="F127" s="2310"/>
    </row>
    <row r="128" spans="3:6" ht="15" outlineLevel="1" thickBot="1">
      <c r="C128" s="1026" t="s">
        <v>884</v>
      </c>
      <c r="D128" s="2308" t="str">
        <f ca="1">IF(ISNA(VLOOKUP($K$10,Actions!$A$2:$O$46,15,0)),"",IF(VLOOKUP($K$10,Actions!$A$2:$O$46,8,0)='Détails action 5'!C128,"X",""))</f>
        <v/>
      </c>
      <c r="E128" s="2309"/>
      <c r="F128" s="2310"/>
    </row>
    <row r="129" spans="3:6" ht="15" outlineLevel="1" thickBot="1">
      <c r="C129" s="1026" t="s">
        <v>887</v>
      </c>
      <c r="D129" s="2308" t="str">
        <f ca="1">IF(ISNA(VLOOKUP($K$10,Actions!$A$2:$O$46,15,0)),"",IF(VLOOKUP($K$10,Actions!$A$2:$O$46,8,0)='Détails action 5'!C129,"X",""))</f>
        <v/>
      </c>
      <c r="E129" s="2309"/>
      <c r="F129" s="2310"/>
    </row>
    <row r="130" spans="3:6" ht="15" outlineLevel="1" thickBot="1">
      <c r="C130" s="1026" t="s">
        <v>889</v>
      </c>
      <c r="D130" s="2308" t="str">
        <f ca="1">IF(ISNA(VLOOKUP($K$10,Actions!$A$2:$O$46,15,0)),"",IF(VLOOKUP($K$10,Actions!$A$2:$O$46,8,0)='Détails action 5'!C130,"X",""))</f>
        <v/>
      </c>
      <c r="E130" s="2309"/>
      <c r="F130" s="2310"/>
    </row>
    <row r="131" spans="3:6" ht="30.6" customHeight="1" outlineLevel="1" thickBot="1">
      <c r="C131" s="1026" t="s">
        <v>891</v>
      </c>
      <c r="D131" s="2308" t="str">
        <f ca="1">IF(ISNA(VLOOKUP($K$10,Actions!$A$2:$O$46,15,0)),"",IF(VLOOKUP($K$10,Actions!$A$2:$O$46,8,0)='Détails action 5'!C131,"X",""))</f>
        <v/>
      </c>
      <c r="E131" s="2309"/>
      <c r="F131" s="2310"/>
    </row>
    <row r="132" spans="3:6" ht="15" outlineLevel="1" thickBot="1">
      <c r="C132" s="1026" t="s">
        <v>892</v>
      </c>
      <c r="D132" s="2308" t="str">
        <f ca="1">IF(ISNA(VLOOKUP($K$10,Actions!$A$2:$O$46,15,0)),"",IF(VLOOKUP($K$10,Actions!$A$2:$O$46,8,0)='Détails action 5'!C132,"X",""))</f>
        <v/>
      </c>
      <c r="E132" s="2309"/>
      <c r="F132" s="2310"/>
    </row>
    <row r="133" spans="3:6" ht="28.35" customHeight="1" outlineLevel="1" thickBot="1">
      <c r="C133" s="1026" t="s">
        <v>898</v>
      </c>
      <c r="D133" s="2308" t="str">
        <f ca="1">IF(ISNA(VLOOKUP($K$10,Actions!$A$2:$O$46,15,0)),"",IF(VLOOKUP($K$10,Actions!$A$2:$O$46,8,0)='Détails action 5'!C133,"X",""))</f>
        <v/>
      </c>
      <c r="E133" s="2309"/>
      <c r="F133" s="2310"/>
    </row>
    <row r="134" spans="3:6" ht="15" outlineLevel="1" thickBot="1">
      <c r="C134" s="1026" t="s">
        <v>904</v>
      </c>
      <c r="D134" s="2308" t="str">
        <f ca="1">IF(ISNA(VLOOKUP($K$10,Actions!$A$2:$O$46,15,0)),"",IF(VLOOKUP($K$10,Actions!$A$2:$O$46,8,0)='Détails action 5'!C134,"X",""))</f>
        <v/>
      </c>
      <c r="E134" s="2309"/>
      <c r="F134" s="2310"/>
    </row>
    <row r="135" spans="3:6" ht="15" outlineLevel="1" thickBot="1">
      <c r="C135" s="1026" t="s">
        <v>909</v>
      </c>
      <c r="D135" s="2308" t="str">
        <f ca="1">IF(ISNA(VLOOKUP($K$10,Actions!$A$2:$O$46,15,0)),"",IF(VLOOKUP($K$10,Actions!$A$2:$O$46,8,0)='Détails action 5'!C135,"X",""))</f>
        <v/>
      </c>
      <c r="E135" s="2309"/>
      <c r="F135" s="2310"/>
    </row>
    <row r="136" spans="3:6" ht="42" customHeight="1" outlineLevel="1" thickBot="1">
      <c r="C136" s="1026" t="s">
        <v>914</v>
      </c>
      <c r="D136" s="2303" t="str">
        <f ca="1">IF(ISNA(VLOOKUP($K$10,Actions!$A$2:$O$46,15,0)),"",IF(VLOOKUP($K$10,Actions!$A$2:$O$46,8,0)='Détails action 5'!C136,"X",""))</f>
        <v/>
      </c>
      <c r="E136" s="2304"/>
      <c r="F136" s="2305"/>
    </row>
    <row r="138" spans="3:6" ht="29.4" thickBot="1">
      <c r="C138" s="657" t="s">
        <v>2034</v>
      </c>
      <c r="D138" s="2306" t="s">
        <v>2032</v>
      </c>
      <c r="E138" s="2307"/>
      <c r="F138" s="2307"/>
    </row>
    <row r="139" spans="3:6" ht="15" thickBot="1">
      <c r="C139" s="908" t="s">
        <v>1694</v>
      </c>
      <c r="D139" s="2300"/>
      <c r="E139" s="2301"/>
      <c r="F139" s="2302"/>
    </row>
    <row r="140" spans="3:6" ht="15" thickBot="1">
      <c r="C140" s="908" t="s">
        <v>1695</v>
      </c>
      <c r="D140" s="2300"/>
      <c r="E140" s="2301"/>
      <c r="F140" s="2302"/>
    </row>
    <row r="141" spans="3:6" ht="15" thickBot="1">
      <c r="C141" s="908" t="s">
        <v>1696</v>
      </c>
      <c r="D141" s="2300"/>
      <c r="E141" s="2301"/>
      <c r="F141" s="2302"/>
    </row>
    <row r="142" spans="3:6" ht="15" thickBot="1">
      <c r="C142" s="908" t="s">
        <v>1697</v>
      </c>
      <c r="D142" s="2300"/>
      <c r="E142" s="2301"/>
      <c r="F142" s="2302"/>
    </row>
    <row r="143" spans="3:6" ht="15" thickBot="1">
      <c r="C143" s="908" t="s">
        <v>1698</v>
      </c>
      <c r="D143" s="2300"/>
      <c r="E143" s="2301"/>
      <c r="F143" s="2302"/>
    </row>
    <row r="144" spans="3:6" ht="15" thickBot="1">
      <c r="C144" s="908" t="s">
        <v>1699</v>
      </c>
      <c r="D144" s="2300"/>
      <c r="E144" s="2301"/>
      <c r="F144" s="2302"/>
    </row>
    <row r="145" spans="3:6" ht="28.35" customHeight="1" thickBot="1">
      <c r="C145" s="908" t="s">
        <v>1700</v>
      </c>
      <c r="D145" s="2300"/>
      <c r="E145" s="2301"/>
      <c r="F145" s="2302"/>
    </row>
    <row r="146" spans="3:6" ht="15" thickBot="1">
      <c r="C146" s="908" t="s">
        <v>1701</v>
      </c>
      <c r="D146" s="2300"/>
      <c r="E146" s="2301"/>
      <c r="F146" s="2302"/>
    </row>
    <row r="147" spans="3:6" ht="15" thickBot="1">
      <c r="C147" s="908" t="s">
        <v>1702</v>
      </c>
      <c r="D147" s="2300"/>
      <c r="E147" s="2301"/>
      <c r="F147" s="2302"/>
    </row>
    <row r="148" spans="3:6" ht="28.35" customHeight="1" thickBot="1">
      <c r="C148" s="908" t="s">
        <v>1703</v>
      </c>
      <c r="D148" s="2300"/>
      <c r="E148" s="2301"/>
      <c r="F148" s="2302"/>
    </row>
    <row r="149" spans="3:6" ht="28.35" customHeight="1" thickBot="1">
      <c r="C149" s="908" t="s">
        <v>1704</v>
      </c>
      <c r="D149" s="2300"/>
      <c r="E149" s="2301"/>
      <c r="F149" s="2302"/>
    </row>
    <row r="150" spans="3:6" ht="15" thickBot="1">
      <c r="C150" s="908" t="s">
        <v>157</v>
      </c>
      <c r="D150" s="2300"/>
      <c r="E150" s="2301"/>
      <c r="F150" s="2302"/>
    </row>
    <row r="151" spans="3:6" ht="15" thickBot="1">
      <c r="C151" s="908" t="s">
        <v>661</v>
      </c>
      <c r="D151" s="2300"/>
      <c r="E151" s="2301"/>
      <c r="F151" s="2302"/>
    </row>
  </sheetData>
  <sheetProtection sheet="1" objects="1" scenarios="1"/>
  <mergeCells count="84">
    <mergeCell ref="D46:J46"/>
    <mergeCell ref="C2:G2"/>
    <mergeCell ref="H2:L2"/>
    <mergeCell ref="D10:J11"/>
    <mergeCell ref="C16:C17"/>
    <mergeCell ref="D16:J17"/>
    <mergeCell ref="D19:J19"/>
    <mergeCell ref="D22:J29"/>
    <mergeCell ref="D31:J31"/>
    <mergeCell ref="D33:J33"/>
    <mergeCell ref="D42:J42"/>
    <mergeCell ref="D44:J44"/>
    <mergeCell ref="C72:I72"/>
    <mergeCell ref="C51:I51"/>
    <mergeCell ref="C52:I52"/>
    <mergeCell ref="C53:I53"/>
    <mergeCell ref="C54:I54"/>
    <mergeCell ref="C55:I55"/>
    <mergeCell ref="C56:I56"/>
    <mergeCell ref="C57:I57"/>
    <mergeCell ref="C58:I58"/>
    <mergeCell ref="C59:I59"/>
    <mergeCell ref="D61:I67"/>
    <mergeCell ref="D70:I70"/>
    <mergeCell ref="D95:J95"/>
    <mergeCell ref="C73:I73"/>
    <mergeCell ref="C74:I74"/>
    <mergeCell ref="C75:I75"/>
    <mergeCell ref="C76:I76"/>
    <mergeCell ref="C77:I77"/>
    <mergeCell ref="C78:I78"/>
    <mergeCell ref="C79:I79"/>
    <mergeCell ref="D82:I82"/>
    <mergeCell ref="D84:I84"/>
    <mergeCell ref="C91:F91"/>
    <mergeCell ref="D93:J93"/>
    <mergeCell ref="D113:F113"/>
    <mergeCell ref="D97:J97"/>
    <mergeCell ref="C100:F100"/>
    <mergeCell ref="D102:F102"/>
    <mergeCell ref="D103:F103"/>
    <mergeCell ref="D104:F104"/>
    <mergeCell ref="D105:F105"/>
    <mergeCell ref="C108:F108"/>
    <mergeCell ref="C109:F109"/>
    <mergeCell ref="D110:F110"/>
    <mergeCell ref="D111:F111"/>
    <mergeCell ref="D112:F112"/>
    <mergeCell ref="D126:F126"/>
    <mergeCell ref="D114:F114"/>
    <mergeCell ref="D115:F115"/>
    <mergeCell ref="D116:F116"/>
    <mergeCell ref="D117:F117"/>
    <mergeCell ref="D118:F118"/>
    <mergeCell ref="D119:F119"/>
    <mergeCell ref="D120:F120"/>
    <mergeCell ref="D121:F121"/>
    <mergeCell ref="D123:F123"/>
    <mergeCell ref="D124:F124"/>
    <mergeCell ref="D125:F125"/>
    <mergeCell ref="D139:F139"/>
    <mergeCell ref="D127:F127"/>
    <mergeCell ref="D128:F128"/>
    <mergeCell ref="D129:F129"/>
    <mergeCell ref="D130:F130"/>
    <mergeCell ref="D131:F131"/>
    <mergeCell ref="D132:F132"/>
    <mergeCell ref="D133:F133"/>
    <mergeCell ref="D134:F134"/>
    <mergeCell ref="D135:F135"/>
    <mergeCell ref="D136:F136"/>
    <mergeCell ref="D138:F138"/>
    <mergeCell ref="D151:F151"/>
    <mergeCell ref="D140:F140"/>
    <mergeCell ref="D141:F141"/>
    <mergeCell ref="D142:F142"/>
    <mergeCell ref="D143:F143"/>
    <mergeCell ref="D144:F144"/>
    <mergeCell ref="D145:F145"/>
    <mergeCell ref="D146:F146"/>
    <mergeCell ref="D147:F147"/>
    <mergeCell ref="D148:F148"/>
    <mergeCell ref="D149:F149"/>
    <mergeCell ref="D150:F150"/>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C738-AC36-4A52-BA90-7D8F954AC348}">
  <sheetPr codeName="Feuil42">
    <tabColor theme="8" tint="0.79998168889431442"/>
  </sheetPr>
  <dimension ref="C1:L151"/>
  <sheetViews>
    <sheetView showGridLines="0" topLeftCell="A68" zoomScale="90" zoomScaleNormal="90" workbookViewId="0">
      <selection activeCell="D103" sqref="D103:F103"/>
    </sheetView>
  </sheetViews>
  <sheetFormatPr baseColWidth="10" defaultColWidth="11.44140625" defaultRowHeight="14.4" outlineLevelRow="1"/>
  <cols>
    <col min="1" max="1" width="28.5546875" customWidth="1"/>
    <col min="2" max="2" width="7.44140625" customWidth="1"/>
    <col min="3" max="3" width="29.5546875" customWidth="1"/>
    <col min="4" max="4" width="6.88671875" style="902" bestFit="1" customWidth="1"/>
    <col min="5" max="5" width="3.5546875" customWidth="1"/>
    <col min="6" max="6" width="21.109375" customWidth="1"/>
    <col min="7" max="7" width="14.44140625" customWidth="1"/>
    <col min="8" max="8" width="12" customWidth="1"/>
    <col min="9" max="9" width="11.44140625" customWidth="1"/>
    <col min="10" max="10" width="13.5546875" customWidth="1"/>
    <col min="11" max="11" width="14.88671875" customWidth="1"/>
    <col min="12" max="12" width="11.5546875" bestFit="1" customWidth="1"/>
    <col min="14" max="20" width="0" hidden="1" customWidth="1"/>
  </cols>
  <sheetData>
    <row r="1" spans="3:12" ht="111" customHeight="1"/>
    <row r="2" spans="3:12" ht="18">
      <c r="C2" s="2249" t="s">
        <v>2009</v>
      </c>
      <c r="D2" s="2249"/>
      <c r="E2" s="2249"/>
      <c r="F2" s="2249"/>
      <c r="G2" s="2249"/>
      <c r="H2" s="2278" t="s">
        <v>1855</v>
      </c>
      <c r="I2" s="2279"/>
      <c r="J2" s="2279"/>
      <c r="K2" s="2279"/>
      <c r="L2" s="2280"/>
    </row>
    <row r="3" spans="3:12" ht="56.4" customHeight="1"/>
    <row r="4" spans="3:12" ht="17.399999999999999">
      <c r="C4" s="880" t="s">
        <v>2010</v>
      </c>
      <c r="D4" s="1018" t="str">
        <f ca="1">IF(ISERROR(INDIRECT("'"&amp;$K10&amp;"'!e$2")),"-",IF(INDIRECT("'"&amp;$K10&amp;"'!e$2")=1,"X",""))</f>
        <v>-</v>
      </c>
      <c r="F4" s="882" t="s">
        <v>708</v>
      </c>
    </row>
    <row r="5" spans="3:12" ht="15.6">
      <c r="D5" s="903"/>
      <c r="F5" s="881"/>
    </row>
    <row r="6" spans="3:12" ht="15.6" customHeight="1">
      <c r="D6" s="1018" t="str">
        <f ca="1">IF(D4="X","","X")</f>
        <v>X</v>
      </c>
      <c r="F6" s="882" t="s">
        <v>327</v>
      </c>
    </row>
    <row r="7" spans="3:12" ht="15.6">
      <c r="D7" s="903"/>
      <c r="F7" s="881"/>
    </row>
    <row r="8" spans="3:12" ht="16.350000000000001" customHeight="1">
      <c r="D8" s="1018" t="str">
        <f ca="1">IF(ISERROR(INDIRECT("'"&amp;$K10&amp;"'!e$3")),"-",IF(INDIRECT("'"&amp;$K10&amp;"'!e$3")=TRUE,"X",""))</f>
        <v>-</v>
      </c>
      <c r="F8" s="882" t="s">
        <v>1276</v>
      </c>
    </row>
    <row r="10" spans="3:12" ht="17.399999999999999">
      <c r="C10" s="880" t="s">
        <v>724</v>
      </c>
      <c r="D10" s="2336" t="str">
        <f ca="1">IF(ISERROR(INDIRECT("'"&amp;$K10&amp;"'!b$13")),"-",INDIRECT("'"&amp;$K10&amp;"'!b$13"))</f>
        <v>-</v>
      </c>
      <c r="E10" s="2337"/>
      <c r="F10" s="2337"/>
      <c r="G10" s="2337"/>
      <c r="H10" s="2337"/>
      <c r="I10" s="2337"/>
      <c r="J10" s="2338"/>
      <c r="K10" s="55" t="str">
        <f ca="1">'Mes actions'!D69</f>
        <v/>
      </c>
    </row>
    <row r="11" spans="3:12">
      <c r="D11" s="2339"/>
      <c r="E11" s="2340"/>
      <c r="F11" s="2340"/>
      <c r="G11" s="2340"/>
      <c r="H11" s="2340"/>
      <c r="I11" s="2340"/>
      <c r="J11" s="2341"/>
    </row>
    <row r="14" spans="3:12" ht="17.399999999999999">
      <c r="C14" s="880" t="s">
        <v>2011</v>
      </c>
    </row>
    <row r="16" spans="3:12" ht="17.399999999999999" customHeight="1">
      <c r="C16" s="2353" t="s">
        <v>1073</v>
      </c>
      <c r="D16" s="2336" t="str">
        <f ca="1">IF(ISERROR(INDIRECT("'"&amp;$K10&amp;"'!b$11")),"-",INDIRECT("'"&amp;$K10&amp;"'!b$11"))</f>
        <v>-</v>
      </c>
      <c r="E16" s="2337"/>
      <c r="F16" s="2337"/>
      <c r="G16" s="2337"/>
      <c r="H16" s="2337"/>
      <c r="I16" s="2337"/>
      <c r="J16" s="2338"/>
    </row>
    <row r="17" spans="3:10">
      <c r="C17" s="2353"/>
      <c r="D17" s="2339"/>
      <c r="E17" s="2340"/>
      <c r="F17" s="2340"/>
      <c r="G17" s="2340"/>
      <c r="H17" s="2340"/>
      <c r="I17" s="2340"/>
      <c r="J17" s="2341"/>
    </row>
    <row r="19" spans="3:10" ht="34.799999999999997">
      <c r="C19" s="883" t="s">
        <v>2012</v>
      </c>
      <c r="D19" s="2332" t="str">
        <f ca="1">D16</f>
        <v>-</v>
      </c>
      <c r="E19" s="2333"/>
      <c r="F19" s="2333"/>
      <c r="G19" s="2333"/>
      <c r="H19" s="2333"/>
      <c r="I19" s="2333"/>
      <c r="J19" s="2334"/>
    </row>
    <row r="22" spans="3:10" ht="34.799999999999997">
      <c r="C22" s="883" t="s">
        <v>2013</v>
      </c>
      <c r="D22" s="2343" t="str">
        <f ca="1">IF(ISERROR(INDIRECT("'"&amp;$K10&amp;"'!b$14")),"-",INDIRECT("'"&amp;$K10&amp;"'!b$14"))</f>
        <v>-</v>
      </c>
      <c r="E22" s="2344"/>
      <c r="F22" s="2344"/>
      <c r="G22" s="2344"/>
      <c r="H22" s="2344"/>
      <c r="I22" s="2344"/>
      <c r="J22" s="2345"/>
    </row>
    <row r="23" spans="3:10">
      <c r="D23" s="2346"/>
      <c r="E23" s="2347"/>
      <c r="F23" s="2347"/>
      <c r="G23" s="2347"/>
      <c r="H23" s="2347"/>
      <c r="I23" s="2347"/>
      <c r="J23" s="2348"/>
    </row>
    <row r="24" spans="3:10">
      <c r="D24" s="2346"/>
      <c r="E24" s="2347"/>
      <c r="F24" s="2347"/>
      <c r="G24" s="2347"/>
      <c r="H24" s="2347"/>
      <c r="I24" s="2347"/>
      <c r="J24" s="2348"/>
    </row>
    <row r="25" spans="3:10">
      <c r="D25" s="2346"/>
      <c r="E25" s="2347"/>
      <c r="F25" s="2347"/>
      <c r="G25" s="2347"/>
      <c r="H25" s="2347"/>
      <c r="I25" s="2347"/>
      <c r="J25" s="2348"/>
    </row>
    <row r="26" spans="3:10">
      <c r="D26" s="2346"/>
      <c r="E26" s="2347"/>
      <c r="F26" s="2347"/>
      <c r="G26" s="2347"/>
      <c r="H26" s="2347"/>
      <c r="I26" s="2347"/>
      <c r="J26" s="2348"/>
    </row>
    <row r="27" spans="3:10">
      <c r="D27" s="2346"/>
      <c r="E27" s="2347"/>
      <c r="F27" s="2347"/>
      <c r="G27" s="2347"/>
      <c r="H27" s="2347"/>
      <c r="I27" s="2347"/>
      <c r="J27" s="2348"/>
    </row>
    <row r="28" spans="3:10">
      <c r="D28" s="2346"/>
      <c r="E28" s="2347"/>
      <c r="F28" s="2347"/>
      <c r="G28" s="2347"/>
      <c r="H28" s="2347"/>
      <c r="I28" s="2347"/>
      <c r="J28" s="2348"/>
    </row>
    <row r="29" spans="3:10">
      <c r="D29" s="2349"/>
      <c r="E29" s="2350"/>
      <c r="F29" s="2350"/>
      <c r="G29" s="2350"/>
      <c r="H29" s="2350"/>
      <c r="I29" s="2350"/>
      <c r="J29" s="2351"/>
    </row>
    <row r="31" spans="3:10" ht="31.35" customHeight="1">
      <c r="C31" s="884" t="s">
        <v>2014</v>
      </c>
      <c r="D31" s="2352"/>
      <c r="E31" s="2352"/>
      <c r="F31" s="2352"/>
      <c r="G31" s="2352"/>
      <c r="H31" s="2352"/>
      <c r="I31" s="2352"/>
      <c r="J31" s="2352"/>
    </row>
    <row r="33" spans="3:10" ht="28.35" customHeight="1">
      <c r="C33" s="884" t="s">
        <v>2015</v>
      </c>
      <c r="D33" s="2352"/>
      <c r="E33" s="2352"/>
      <c r="F33" s="2352"/>
      <c r="G33" s="2352"/>
      <c r="H33" s="2352"/>
      <c r="I33" s="2352"/>
      <c r="J33" s="2352"/>
    </row>
    <row r="35" spans="3:10" ht="17.399999999999999">
      <c r="C35" s="880" t="s">
        <v>2016</v>
      </c>
    </row>
    <row r="41" spans="3:10" ht="24" customHeight="1"/>
    <row r="42" spans="3:10" ht="34.799999999999997">
      <c r="C42" s="883" t="s">
        <v>2017</v>
      </c>
      <c r="D42" s="2332" t="str">
        <f ca="1">IF(ISERROR(INDIRECT("'"&amp;$K10&amp;"'!b$19")),"-",INDIRECT("'"&amp;$K10&amp;"'!b$20"))</f>
        <v>-</v>
      </c>
      <c r="E42" s="2333"/>
      <c r="F42" s="2333"/>
      <c r="G42" s="2333"/>
      <c r="H42" s="2333"/>
      <c r="I42" s="2333"/>
      <c r="J42" s="2334"/>
    </row>
    <row r="43" spans="3:10">
      <c r="E43" s="902"/>
      <c r="F43" s="902"/>
      <c r="G43" s="902"/>
      <c r="H43" s="902"/>
      <c r="I43" s="902"/>
      <c r="J43" s="902"/>
    </row>
    <row r="44" spans="3:10" ht="33.6" customHeight="1">
      <c r="C44" s="883" t="s">
        <v>2018</v>
      </c>
      <c r="D44" s="2332" t="str">
        <f ca="1">IF(ISERROR(INDIRECT("'"&amp;$K10&amp;"'!b$20")),"-",INDIRECT("'"&amp;$K10&amp;"'!b$21"))</f>
        <v>-</v>
      </c>
      <c r="E44" s="2333"/>
      <c r="F44" s="2333"/>
      <c r="G44" s="2333"/>
      <c r="H44" s="2333"/>
      <c r="I44" s="2333"/>
      <c r="J44" s="2334"/>
    </row>
    <row r="45" spans="3:10">
      <c r="E45" s="902"/>
      <c r="F45" s="902"/>
      <c r="G45" s="902"/>
      <c r="H45" s="902"/>
      <c r="I45" s="902"/>
      <c r="J45" s="902"/>
    </row>
    <row r="46" spans="3:10" ht="34.799999999999997">
      <c r="C46" s="883" t="s">
        <v>2019</v>
      </c>
      <c r="D46" s="2332" t="str">
        <f ca="1">IF(ISERROR(INDIRECT("'"&amp;$K10&amp;"'!e$6")),"-",INDIRECT("'"&amp;$K10&amp;"'!e$6"))</f>
        <v>-</v>
      </c>
      <c r="E46" s="2333"/>
      <c r="F46" s="2333"/>
      <c r="G46" s="2333"/>
      <c r="H46" s="2333"/>
      <c r="I46" s="2333"/>
      <c r="J46" s="2334"/>
    </row>
    <row r="49" spans="3:10" ht="36">
      <c r="C49" s="655" t="s">
        <v>2020</v>
      </c>
    </row>
    <row r="51" spans="3:10" ht="23.4" customHeight="1" thickBot="1">
      <c r="C51" s="2322" t="s">
        <v>1282</v>
      </c>
      <c r="D51" s="2322"/>
      <c r="E51" s="2322"/>
      <c r="F51" s="2322"/>
      <c r="G51" s="2322"/>
      <c r="H51" s="2322"/>
      <c r="I51" s="2342"/>
      <c r="J51" s="885" t="s">
        <v>2021</v>
      </c>
    </row>
    <row r="52" spans="3:10" ht="32.4" customHeight="1" thickBot="1">
      <c r="C52" s="2335" t="s">
        <v>1291</v>
      </c>
      <c r="D52" s="2335"/>
      <c r="E52" s="2335"/>
      <c r="F52" s="2335"/>
      <c r="G52" s="2335"/>
      <c r="H52" s="2335"/>
      <c r="I52" s="2335"/>
      <c r="J52" s="904"/>
    </row>
    <row r="53" spans="3:10" ht="32.4" customHeight="1" thickBot="1">
      <c r="C53" s="2335" t="s">
        <v>1300</v>
      </c>
      <c r="D53" s="2335"/>
      <c r="E53" s="2335"/>
      <c r="F53" s="2335"/>
      <c r="G53" s="2335"/>
      <c r="H53" s="2335"/>
      <c r="I53" s="2335"/>
      <c r="J53" s="904"/>
    </row>
    <row r="54" spans="3:10" ht="32.4" customHeight="1" thickBot="1">
      <c r="C54" s="2335" t="s">
        <v>1310</v>
      </c>
      <c r="D54" s="2335"/>
      <c r="E54" s="2335"/>
      <c r="F54" s="2335"/>
      <c r="G54" s="2335"/>
      <c r="H54" s="2335"/>
      <c r="I54" s="2335"/>
      <c r="J54" s="904"/>
    </row>
    <row r="55" spans="3:10" ht="32.4" customHeight="1" thickBot="1">
      <c r="C55" s="2335" t="s">
        <v>1318</v>
      </c>
      <c r="D55" s="2335"/>
      <c r="E55" s="2335"/>
      <c r="F55" s="2335"/>
      <c r="G55" s="2335"/>
      <c r="H55" s="2335"/>
      <c r="I55" s="2335"/>
      <c r="J55" s="904"/>
    </row>
    <row r="56" spans="3:10" ht="32.4" customHeight="1" thickBot="1">
      <c r="C56" s="2335" t="s">
        <v>1326</v>
      </c>
      <c r="D56" s="2335"/>
      <c r="E56" s="2335"/>
      <c r="F56" s="2335"/>
      <c r="G56" s="2335"/>
      <c r="H56" s="2335"/>
      <c r="I56" s="2335"/>
      <c r="J56" s="904"/>
    </row>
    <row r="57" spans="3:10" ht="32.4" customHeight="1" thickBot="1">
      <c r="C57" s="2335" t="s">
        <v>1331</v>
      </c>
      <c r="D57" s="2335"/>
      <c r="E57" s="2335"/>
      <c r="F57" s="2335"/>
      <c r="G57" s="2335"/>
      <c r="H57" s="2335"/>
      <c r="I57" s="2335"/>
      <c r="J57" s="904"/>
    </row>
    <row r="58" spans="3:10" ht="32.4" customHeight="1" thickBot="1">
      <c r="C58" s="2335" t="s">
        <v>1336</v>
      </c>
      <c r="D58" s="2335"/>
      <c r="E58" s="2335"/>
      <c r="F58" s="2335"/>
      <c r="G58" s="2335"/>
      <c r="H58" s="2335"/>
      <c r="I58" s="2335"/>
      <c r="J58" s="904"/>
    </row>
    <row r="59" spans="3:10" ht="32.4" customHeight="1" thickBot="1">
      <c r="C59" s="2335" t="s">
        <v>775</v>
      </c>
      <c r="D59" s="2335"/>
      <c r="E59" s="2335"/>
      <c r="F59" s="2335"/>
      <c r="G59" s="2335"/>
      <c r="H59" s="2335"/>
      <c r="I59" s="2335"/>
      <c r="J59" s="904"/>
    </row>
    <row r="61" spans="3:10" ht="17.399999999999999">
      <c r="C61" s="880" t="s">
        <v>91</v>
      </c>
      <c r="D61" s="2354"/>
      <c r="E61" s="2354"/>
      <c r="F61" s="2354"/>
      <c r="G61" s="2354"/>
      <c r="H61" s="2354"/>
      <c r="I61" s="2354"/>
    </row>
    <row r="62" spans="3:10">
      <c r="D62" s="2354"/>
      <c r="E62" s="2354"/>
      <c r="F62" s="2354"/>
      <c r="G62" s="2354"/>
      <c r="H62" s="2354"/>
      <c r="I62" s="2354"/>
    </row>
    <row r="63" spans="3:10">
      <c r="D63" s="2354"/>
      <c r="E63" s="2354"/>
      <c r="F63" s="2354"/>
      <c r="G63" s="2354"/>
      <c r="H63" s="2354"/>
      <c r="I63" s="2354"/>
    </row>
    <row r="64" spans="3:10">
      <c r="D64" s="2354"/>
      <c r="E64" s="2354"/>
      <c r="F64" s="2354"/>
      <c r="G64" s="2354"/>
      <c r="H64" s="2354"/>
      <c r="I64" s="2354"/>
    </row>
    <row r="65" spans="3:10">
      <c r="D65" s="2354"/>
      <c r="E65" s="2354"/>
      <c r="F65" s="2354"/>
      <c r="G65" s="2354"/>
      <c r="H65" s="2354"/>
      <c r="I65" s="2354"/>
    </row>
    <row r="66" spans="3:10">
      <c r="D66" s="2354"/>
      <c r="E66" s="2354"/>
      <c r="F66" s="2354"/>
      <c r="G66" s="2354"/>
      <c r="H66" s="2354"/>
      <c r="I66" s="2354"/>
    </row>
    <row r="67" spans="3:10">
      <c r="D67" s="2354"/>
      <c r="E67" s="2354"/>
      <c r="F67" s="2354"/>
      <c r="G67" s="2354"/>
      <c r="H67" s="2354"/>
      <c r="I67" s="2354"/>
    </row>
    <row r="69" spans="3:10" ht="55.35" customHeight="1">
      <c r="C69" s="886" t="s">
        <v>2022</v>
      </c>
    </row>
    <row r="70" spans="3:10" ht="33.6" customHeight="1">
      <c r="C70" s="883" t="s">
        <v>2023</v>
      </c>
      <c r="D70" s="2355" t="str">
        <f ca="1">IF(ISERROR(INDIRECT("'"&amp;$K10&amp;"'!b$22")),"-",INDIRECT("'"&amp;$K10&amp;"'!b$23"))</f>
        <v>-</v>
      </c>
      <c r="E70" s="2355"/>
      <c r="F70" s="2355"/>
      <c r="G70" s="2355"/>
      <c r="H70" s="2355"/>
      <c r="I70" s="2355"/>
    </row>
    <row r="72" spans="3:10" ht="28.35" customHeight="1" thickBot="1">
      <c r="C72" s="2322" t="s">
        <v>1283</v>
      </c>
      <c r="D72" s="2322"/>
      <c r="E72" s="2322"/>
      <c r="F72" s="2322"/>
      <c r="G72" s="2322"/>
      <c r="H72" s="2322"/>
      <c r="I72" s="2342"/>
      <c r="J72" s="885" t="s">
        <v>2021</v>
      </c>
    </row>
    <row r="73" spans="3:10" ht="28.35" customHeight="1" thickBot="1">
      <c r="C73" s="2335" t="s">
        <v>1292</v>
      </c>
      <c r="D73" s="2335"/>
      <c r="E73" s="2335"/>
      <c r="F73" s="2335"/>
      <c r="G73" s="2335"/>
      <c r="H73" s="2335"/>
      <c r="I73" s="2356"/>
      <c r="J73" s="1020" t="s">
        <v>1304</v>
      </c>
    </row>
    <row r="74" spans="3:10" ht="28.35" customHeight="1" thickBot="1">
      <c r="C74" s="2335" t="s">
        <v>1301</v>
      </c>
      <c r="D74" s="2335"/>
      <c r="E74" s="2335"/>
      <c r="F74" s="2335"/>
      <c r="G74" s="2335"/>
      <c r="H74" s="2335"/>
      <c r="I74" s="2356"/>
      <c r="J74" s="1021" t="str">
        <f ca="1">IF(ISERROR(INDIRECT("'"&amp;$K10&amp;"'!f$25")),"-",IF(INDIRECT("'"&amp;$K10&amp;"'!f$25")="Subvention nationale/régionale","X",""))</f>
        <v>-</v>
      </c>
    </row>
    <row r="75" spans="3:10" ht="28.35" customHeight="1" thickBot="1">
      <c r="C75" s="2335" t="s">
        <v>1311</v>
      </c>
      <c r="D75" s="2335"/>
      <c r="E75" s="2335"/>
      <c r="F75" s="2335"/>
      <c r="G75" s="2335"/>
      <c r="H75" s="2335"/>
      <c r="I75" s="2356"/>
      <c r="J75" s="1021"/>
    </row>
    <row r="76" spans="3:10" ht="28.35" customHeight="1" thickBot="1">
      <c r="C76" s="2335" t="s">
        <v>1319</v>
      </c>
      <c r="D76" s="2335"/>
      <c r="E76" s="2335"/>
      <c r="F76" s="2335"/>
      <c r="G76" s="2335"/>
      <c r="H76" s="2335"/>
      <c r="I76" s="2356"/>
      <c r="J76" s="1022" t="str">
        <f ca="1">IF(ISERROR(INDIRECT("'"&amp;$K10&amp;"'!f$25")),"-",IF(INDIRECT("'"&amp;$K10&amp;"'!f$25")="Programme européen","X",""))</f>
        <v>-</v>
      </c>
    </row>
    <row r="77" spans="3:10" ht="28.35" customHeight="1" thickBot="1">
      <c r="C77" s="2335" t="s">
        <v>1327</v>
      </c>
      <c r="D77" s="2335"/>
      <c r="E77" s="2335"/>
      <c r="F77" s="2335"/>
      <c r="G77" s="2335"/>
      <c r="H77" s="2335"/>
      <c r="I77" s="2335"/>
      <c r="J77" s="1019"/>
    </row>
    <row r="78" spans="3:10" ht="28.35" customHeight="1" thickBot="1">
      <c r="C78" s="2335" t="s">
        <v>1332</v>
      </c>
      <c r="D78" s="2335"/>
      <c r="E78" s="2335"/>
      <c r="F78" s="2335"/>
      <c r="G78" s="2335"/>
      <c r="H78" s="2335"/>
      <c r="I78" s="2335"/>
      <c r="J78" s="905"/>
    </row>
    <row r="79" spans="3:10" ht="28.35" customHeight="1" thickBot="1">
      <c r="C79" s="2335" t="s">
        <v>157</v>
      </c>
      <c r="D79" s="2335"/>
      <c r="E79" s="2335"/>
      <c r="F79" s="2335"/>
      <c r="G79" s="2335"/>
      <c r="H79" s="2335"/>
      <c r="I79" s="2335"/>
      <c r="J79" s="905"/>
    </row>
    <row r="82" spans="3:10" ht="34.799999999999997">
      <c r="C82" s="883" t="s">
        <v>2024</v>
      </c>
      <c r="D82" s="2357" t="str">
        <f ca="1">IF(ISERROR(INDIRECT("'"&amp;$K10&amp;"'!d$22")),"-",IF(INDIRECT("'"&amp;$K10&amp;"'!d$23")="Investissement",D70,""))</f>
        <v>-</v>
      </c>
      <c r="E82" s="2358"/>
      <c r="F82" s="2358"/>
      <c r="G82" s="2358"/>
      <c r="H82" s="2358"/>
      <c r="I82" s="2359"/>
    </row>
    <row r="83" spans="3:10">
      <c r="D83" s="906"/>
      <c r="E83" s="906"/>
      <c r="F83" s="906"/>
      <c r="G83" s="906"/>
      <c r="H83" s="906"/>
      <c r="I83" s="906"/>
    </row>
    <row r="84" spans="3:10" ht="34.799999999999997">
      <c r="C84" s="883" t="s">
        <v>2025</v>
      </c>
      <c r="D84" s="2357" t="str">
        <f ca="1">IF(ISERROR(INDIRECT("'"&amp;$K10&amp;"'!d$22")),"-",IF(INDIRECT("'"&amp;$K10&amp;"'!d$23")="Non-investissement",D70,""))</f>
        <v>-</v>
      </c>
      <c r="E84" s="2358"/>
      <c r="F84" s="2358"/>
      <c r="G84" s="2358"/>
      <c r="H84" s="2358"/>
      <c r="I84" s="2359"/>
    </row>
    <row r="91" spans="3:10" ht="36" customHeight="1">
      <c r="C91" s="2249" t="s">
        <v>2026</v>
      </c>
      <c r="D91" s="2249"/>
      <c r="E91" s="2249"/>
      <c r="F91" s="2249"/>
    </row>
    <row r="92" spans="3:10" outlineLevel="1"/>
    <row r="93" spans="3:10" ht="17.399999999999999" outlineLevel="1">
      <c r="C93" s="883" t="s">
        <v>103</v>
      </c>
      <c r="D93" s="2332" t="str">
        <f ca="1">IF(D4="X",IF(ISNA(VLOOKUP(INDIRECT("'"&amp;$K10&amp;"'!A$5"),Categories!X35:Y45,2,0)),"",VLOOKUP(INDIRECT("'"&amp;$K10&amp;"'!A$5"),Categories!X35:Y45,2,0)),"")</f>
        <v/>
      </c>
      <c r="E93" s="2333"/>
      <c r="F93" s="2333"/>
      <c r="G93" s="2333"/>
      <c r="H93" s="2333"/>
      <c r="I93" s="2333"/>
      <c r="J93" s="2334"/>
    </row>
    <row r="94" spans="3:10" outlineLevel="1"/>
    <row r="95" spans="3:10" ht="34.799999999999997" outlineLevel="1">
      <c r="C95" s="883" t="s">
        <v>2027</v>
      </c>
      <c r="D95" s="2332" t="str">
        <f ca="1">IF(D4="X",IF(ISERROR(INDIRECT("'"&amp;$K10&amp;"'!b$9")),"-",INDIRECT("'"&amp;$K10&amp;"'!b$9")),"")</f>
        <v/>
      </c>
      <c r="E95" s="2333"/>
      <c r="F95" s="2333"/>
      <c r="G95" s="2333"/>
      <c r="H95" s="2333"/>
      <c r="I95" s="2333"/>
      <c r="J95" s="2334"/>
    </row>
    <row r="96" spans="3:10" outlineLevel="1"/>
    <row r="97" spans="3:10" ht="17.399999999999999" outlineLevel="1">
      <c r="C97" s="883" t="s">
        <v>2028</v>
      </c>
      <c r="D97" s="2332" t="str">
        <f ca="1">IF(D4="X",IF(ISERROR(INDIRECT("'"&amp;$K10&amp;"'!d$9")),"-",INDIRECT("'"&amp;$K10&amp;"'!d$9")),"")</f>
        <v/>
      </c>
      <c r="E97" s="2333"/>
      <c r="F97" s="2333"/>
      <c r="G97" s="2333"/>
      <c r="H97" s="2333"/>
      <c r="I97" s="2333"/>
      <c r="J97" s="2334"/>
    </row>
    <row r="98" spans="3:10" outlineLevel="1"/>
    <row r="99" spans="3:10" outlineLevel="1"/>
    <row r="100" spans="3:10" ht="18" outlineLevel="1">
      <c r="C100" s="2249" t="s">
        <v>2029</v>
      </c>
      <c r="D100" s="2249"/>
      <c r="E100" s="2249"/>
      <c r="F100" s="2249"/>
    </row>
    <row r="101" spans="3:10" outlineLevel="1"/>
    <row r="102" spans="3:10" outlineLevel="1">
      <c r="C102" s="907"/>
      <c r="D102" s="2322">
        <v>2030</v>
      </c>
      <c r="E102" s="2322"/>
      <c r="F102" s="2322"/>
    </row>
    <row r="103" spans="3:10" ht="28.8" outlineLevel="1">
      <c r="C103" s="1023" t="s">
        <v>1991</v>
      </c>
      <c r="D103" s="2323" t="str">
        <f ca="1">IF(ISNA(VLOOKUP(D10,Actions!G2:AL70,22,0)),"",VLOOKUP(D10,Actions!G2:AL70,27,0))</f>
        <v/>
      </c>
      <c r="E103" s="2324"/>
      <c r="F103" s="2325"/>
    </row>
    <row r="104" spans="3:10" ht="28.8" outlineLevel="1">
      <c r="C104" s="1024" t="s">
        <v>1081</v>
      </c>
      <c r="D104" s="2363" t="str">
        <f ca="1">IF(ISNA(VLOOKUP(D10,Actions!G2:AL70,22,0)),"",VLOOKUP(D10,Actions!G2:AL70,28,0))</f>
        <v/>
      </c>
      <c r="E104" s="2364"/>
      <c r="F104" s="2365"/>
    </row>
    <row r="105" spans="3:10" outlineLevel="1">
      <c r="C105" s="1025" t="s">
        <v>2030</v>
      </c>
      <c r="D105" s="2360" t="str">
        <f ca="1">IF(ISNA(VLOOKUP(D10,Actions!G2:AL70,22,0)),"",VLOOKUP(D10,Actions!G2:AL70,29,0))</f>
        <v/>
      </c>
      <c r="E105" s="2361"/>
      <c r="F105" s="2362"/>
    </row>
    <row r="108" spans="3:10" ht="18">
      <c r="C108" s="2249" t="s">
        <v>2031</v>
      </c>
      <c r="D108" s="2249"/>
      <c r="E108" s="2249"/>
      <c r="F108" s="2249"/>
    </row>
    <row r="109" spans="3:10" ht="18">
      <c r="C109" s="2249"/>
      <c r="D109" s="2249"/>
      <c r="E109" s="2249"/>
      <c r="F109" s="2249"/>
    </row>
    <row r="110" spans="3:10" ht="29.4" customHeight="1" outlineLevel="1" thickBot="1">
      <c r="C110" s="657" t="s">
        <v>1284</v>
      </c>
      <c r="D110" s="2306" t="s">
        <v>2032</v>
      </c>
      <c r="E110" s="2307"/>
      <c r="F110" s="2307"/>
    </row>
    <row r="111" spans="3:10" ht="15" outlineLevel="1" thickBot="1">
      <c r="C111" s="1026" t="s">
        <v>1293</v>
      </c>
      <c r="D111" s="2319" t="str">
        <f ca="1">IF(ISNA(VLOOKUP($K$10,Actions!$A$2:$O$46,15,0)),"",IF(VLOOKUP($K$10,Actions!$A$2:$O$46,15,0)='Détails action 6'!C111,"X",""))</f>
        <v/>
      </c>
      <c r="E111" s="2320"/>
      <c r="F111" s="2321"/>
    </row>
    <row r="112" spans="3:10" ht="15" outlineLevel="1" thickBot="1">
      <c r="C112" s="1026" t="s">
        <v>1302</v>
      </c>
      <c r="D112" s="2317" t="str">
        <f ca="1">IF(ISNA(VLOOKUP($K$10,Actions!$A$2:$O$46,15,0)),"",IF(VLOOKUP($K$10,Actions!$A$2:$O$46,15,0)='Détails action 6'!C112,"X",""))</f>
        <v/>
      </c>
      <c r="E112" s="2301"/>
      <c r="F112" s="2318"/>
    </row>
    <row r="113" spans="3:6" ht="15" outlineLevel="1" thickBot="1">
      <c r="C113" s="1026" t="s">
        <v>1312</v>
      </c>
      <c r="D113" s="2317" t="str">
        <f ca="1">IF(ISNA(VLOOKUP($K$10,Actions!$A$2:$O$46,15,0)),"",IF(VLOOKUP($K$10,Actions!$A$2:$O$46,15,0)='Détails action 6'!C113,"X",""))</f>
        <v/>
      </c>
      <c r="E113" s="2301"/>
      <c r="F113" s="2318"/>
    </row>
    <row r="114" spans="3:6" ht="28.35" customHeight="1" outlineLevel="1" thickBot="1">
      <c r="C114" s="1026" t="s">
        <v>1320</v>
      </c>
      <c r="D114" s="2317" t="str">
        <f ca="1">IF(ISNA(VLOOKUP($K$10,Actions!$A$2:$O$46,15,0)),"",IF(VLOOKUP($K$10,Actions!$A$2:$O$46,15,0)='Détails action 6'!C114,"X",""))</f>
        <v/>
      </c>
      <c r="E114" s="2301"/>
      <c r="F114" s="2318"/>
    </row>
    <row r="115" spans="3:6" ht="15" outlineLevel="1" thickBot="1">
      <c r="C115" s="1026" t="s">
        <v>1328</v>
      </c>
      <c r="D115" s="2317" t="str">
        <f ca="1">IF(ISNA(VLOOKUP($K$10,Actions!$A$2:$O$46,15,0)),"",IF(VLOOKUP($K$10,Actions!$A$2:$O$46,15,0)='Détails action 6'!C115,"X",""))</f>
        <v/>
      </c>
      <c r="E115" s="2301"/>
      <c r="F115" s="2318"/>
    </row>
    <row r="116" spans="3:6" ht="15" outlineLevel="1" thickBot="1">
      <c r="C116" s="1026" t="s">
        <v>1333</v>
      </c>
      <c r="D116" s="2317" t="str">
        <f ca="1">IF(ISNA(VLOOKUP($K$10,Actions!$A$2:$O$46,15,0)),"",IF(VLOOKUP($K$10,Actions!$A$2:$O$46,15,0)='Détails action 6'!C116,"X",""))</f>
        <v/>
      </c>
      <c r="E116" s="2301"/>
      <c r="F116" s="2318"/>
    </row>
    <row r="117" spans="3:6" ht="15" outlineLevel="1" thickBot="1">
      <c r="C117" s="1026" t="s">
        <v>1337</v>
      </c>
      <c r="D117" s="2317" t="str">
        <f ca="1">IF(ISNA(VLOOKUP($K$10,Actions!$A$2:$O$46,15,0)),"",IF(VLOOKUP($K$10,Actions!$A$2:$O$46,15,0)='Détails action 6'!C117,"X",""))</f>
        <v/>
      </c>
      <c r="E117" s="2301"/>
      <c r="F117" s="2318"/>
    </row>
    <row r="118" spans="3:6" ht="15" outlineLevel="1" thickBot="1">
      <c r="C118" s="1026" t="s">
        <v>1339</v>
      </c>
      <c r="D118" s="2317" t="str">
        <f ca="1">IF(ISNA(VLOOKUP($K$10,Actions!$A$2:$O$46,15,0)),"",IF(VLOOKUP($K$10,Actions!$A$2:$O$46,15,0)='Détails action 6'!C118,"X",""))</f>
        <v/>
      </c>
      <c r="E118" s="2301"/>
      <c r="F118" s="2318"/>
    </row>
    <row r="119" spans="3:6" ht="15" outlineLevel="1" thickBot="1">
      <c r="C119" s="1026" t="s">
        <v>1342</v>
      </c>
      <c r="D119" s="2317" t="str">
        <f ca="1">IF(ISNA(VLOOKUP($K$10,Actions!$A$2:$O$46,15,0)),"",IF(VLOOKUP($K$10,Actions!$A$2:$O$46,15,0)='Détails action 6'!C119,"X",""))</f>
        <v/>
      </c>
      <c r="E119" s="2301"/>
      <c r="F119" s="2318"/>
    </row>
    <row r="120" spans="3:6" ht="15" outlineLevel="1" thickBot="1">
      <c r="C120" s="1026" t="s">
        <v>1345</v>
      </c>
      <c r="D120" s="2317" t="str">
        <f ca="1">IF(ISNA(VLOOKUP($K$10,Actions!$A$2:$O$46,15,0)),"",IF(VLOOKUP($K$10,Actions!$A$2:$O$46,15,0)='Détails action 6'!C120,"X",""))</f>
        <v/>
      </c>
      <c r="E120" s="2301"/>
      <c r="F120" s="2318"/>
    </row>
    <row r="121" spans="3:6" ht="15" outlineLevel="1" thickBot="1">
      <c r="C121" s="1026" t="s">
        <v>157</v>
      </c>
      <c r="D121" s="2314" t="str">
        <f ca="1">IF(ISNA(VLOOKUP($K$10,Actions!$A$2:$O$46,15,0)),"",IF(VLOOKUP($K$10,Actions!$A$2:$O$46,15,0)='Détails action 6'!C121,"X",""))</f>
        <v/>
      </c>
      <c r="E121" s="2315"/>
      <c r="F121" s="2316"/>
    </row>
    <row r="122" spans="3:6" outlineLevel="1">
      <c r="C122" s="909"/>
      <c r="D122" s="910"/>
    </row>
    <row r="123" spans="3:6" ht="15" outlineLevel="1" thickBot="1">
      <c r="C123" s="657" t="s">
        <v>2033</v>
      </c>
      <c r="D123" s="2306" t="s">
        <v>2032</v>
      </c>
      <c r="E123" s="2307"/>
      <c r="F123" s="2307"/>
    </row>
    <row r="124" spans="3:6" ht="15" outlineLevel="1" thickBot="1">
      <c r="C124" s="1026" t="s">
        <v>866</v>
      </c>
      <c r="D124" s="2311" t="str">
        <f ca="1">IF(ISNA(VLOOKUP($K$10,Actions!$A$2:$O$46,15,0)),"",IF(VLOOKUP($K$10,Actions!$A$2:$O$46,8,0)='Détails action 6'!C124,"X",""))</f>
        <v/>
      </c>
      <c r="E124" s="2312"/>
      <c r="F124" s="2313"/>
    </row>
    <row r="125" spans="3:6" ht="15" outlineLevel="1" thickBot="1">
      <c r="C125" s="1026" t="s">
        <v>870</v>
      </c>
      <c r="D125" s="2308" t="str">
        <f ca="1">IF(ISNA(VLOOKUP($K$10,Actions!$A$2:$O$46,15,0)),"",IF(VLOOKUP($K$10,Actions!$A$2:$O$46,8,0)='Détails action 6'!C125,"X",""))</f>
        <v/>
      </c>
      <c r="E125" s="2309"/>
      <c r="F125" s="2310"/>
    </row>
    <row r="126" spans="3:6" ht="15" outlineLevel="1" thickBot="1">
      <c r="C126" s="1026" t="s">
        <v>876</v>
      </c>
      <c r="D126" s="2308" t="str">
        <f ca="1">IF(ISNA(VLOOKUP($K$10,Actions!$A$2:$O$46,15,0)),"",IF(VLOOKUP($K$10,Actions!$A$2:$O$46,8,0)='Détails action 6'!C126,"X",""))</f>
        <v/>
      </c>
      <c r="E126" s="2309"/>
      <c r="F126" s="2310"/>
    </row>
    <row r="127" spans="3:6" ht="15" outlineLevel="1" thickBot="1">
      <c r="C127" s="1026" t="s">
        <v>881</v>
      </c>
      <c r="D127" s="2308" t="str">
        <f ca="1">IF(ISNA(VLOOKUP($K$10,Actions!$A$2:$O$46,15,0)),"",IF(VLOOKUP($K$10,Actions!$A$2:$O$46,8,0)='Détails action 6'!C127,"X",""))</f>
        <v/>
      </c>
      <c r="E127" s="2309"/>
      <c r="F127" s="2310"/>
    </row>
    <row r="128" spans="3:6" ht="15" outlineLevel="1" thickBot="1">
      <c r="C128" s="1026" t="s">
        <v>884</v>
      </c>
      <c r="D128" s="2308" t="str">
        <f ca="1">IF(ISNA(VLOOKUP($K$10,Actions!$A$2:$O$46,15,0)),"",IF(VLOOKUP($K$10,Actions!$A$2:$O$46,8,0)='Détails action 6'!C128,"X",""))</f>
        <v/>
      </c>
      <c r="E128" s="2309"/>
      <c r="F128" s="2310"/>
    </row>
    <row r="129" spans="3:6" ht="15" outlineLevel="1" thickBot="1">
      <c r="C129" s="1026" t="s">
        <v>887</v>
      </c>
      <c r="D129" s="2308" t="str">
        <f ca="1">IF(ISNA(VLOOKUP($K$10,Actions!$A$2:$O$46,15,0)),"",IF(VLOOKUP($K$10,Actions!$A$2:$O$46,8,0)='Détails action 6'!C129,"X",""))</f>
        <v/>
      </c>
      <c r="E129" s="2309"/>
      <c r="F129" s="2310"/>
    </row>
    <row r="130" spans="3:6" ht="15" outlineLevel="1" thickBot="1">
      <c r="C130" s="1026" t="s">
        <v>889</v>
      </c>
      <c r="D130" s="2308" t="str">
        <f ca="1">IF(ISNA(VLOOKUP($K$10,Actions!$A$2:$O$46,15,0)),"",IF(VLOOKUP($K$10,Actions!$A$2:$O$46,8,0)='Détails action 6'!C130,"X",""))</f>
        <v/>
      </c>
      <c r="E130" s="2309"/>
      <c r="F130" s="2310"/>
    </row>
    <row r="131" spans="3:6" ht="30.6" customHeight="1" outlineLevel="1" thickBot="1">
      <c r="C131" s="1026" t="s">
        <v>891</v>
      </c>
      <c r="D131" s="2308" t="str">
        <f ca="1">IF(ISNA(VLOOKUP($K$10,Actions!$A$2:$O$46,15,0)),"",IF(VLOOKUP($K$10,Actions!$A$2:$O$46,8,0)='Détails action 6'!C131,"X",""))</f>
        <v/>
      </c>
      <c r="E131" s="2309"/>
      <c r="F131" s="2310"/>
    </row>
    <row r="132" spans="3:6" ht="15" outlineLevel="1" thickBot="1">
      <c r="C132" s="1026" t="s">
        <v>892</v>
      </c>
      <c r="D132" s="2308" t="str">
        <f ca="1">IF(ISNA(VLOOKUP($K$10,Actions!$A$2:$O$46,15,0)),"",IF(VLOOKUP($K$10,Actions!$A$2:$O$46,8,0)='Détails action 6'!C132,"X",""))</f>
        <v/>
      </c>
      <c r="E132" s="2309"/>
      <c r="F132" s="2310"/>
    </row>
    <row r="133" spans="3:6" ht="28.35" customHeight="1" outlineLevel="1" thickBot="1">
      <c r="C133" s="1026" t="s">
        <v>898</v>
      </c>
      <c r="D133" s="2308" t="str">
        <f ca="1">IF(ISNA(VLOOKUP($K$10,Actions!$A$2:$O$46,15,0)),"",IF(VLOOKUP($K$10,Actions!$A$2:$O$46,8,0)='Détails action 6'!C133,"X",""))</f>
        <v/>
      </c>
      <c r="E133" s="2309"/>
      <c r="F133" s="2310"/>
    </row>
    <row r="134" spans="3:6" ht="15" outlineLevel="1" thickBot="1">
      <c r="C134" s="1026" t="s">
        <v>904</v>
      </c>
      <c r="D134" s="2308" t="str">
        <f ca="1">IF(ISNA(VLOOKUP($K$10,Actions!$A$2:$O$46,15,0)),"",IF(VLOOKUP($K$10,Actions!$A$2:$O$46,8,0)='Détails action 6'!C134,"X",""))</f>
        <v/>
      </c>
      <c r="E134" s="2309"/>
      <c r="F134" s="2310"/>
    </row>
    <row r="135" spans="3:6" ht="15" outlineLevel="1" thickBot="1">
      <c r="C135" s="1026" t="s">
        <v>909</v>
      </c>
      <c r="D135" s="2308" t="str">
        <f ca="1">IF(ISNA(VLOOKUP($K$10,Actions!$A$2:$O$46,15,0)),"",IF(VLOOKUP($K$10,Actions!$A$2:$O$46,8,0)='Détails action 6'!C135,"X",""))</f>
        <v/>
      </c>
      <c r="E135" s="2309"/>
      <c r="F135" s="2310"/>
    </row>
    <row r="136" spans="3:6" ht="42" customHeight="1" outlineLevel="1" thickBot="1">
      <c r="C136" s="1026" t="s">
        <v>914</v>
      </c>
      <c r="D136" s="2303" t="str">
        <f ca="1">IF(ISNA(VLOOKUP($K$10,Actions!$A$2:$O$46,15,0)),"",IF(VLOOKUP($K$10,Actions!$A$2:$O$46,8,0)='Détails action 6'!C136,"X",""))</f>
        <v/>
      </c>
      <c r="E136" s="2304"/>
      <c r="F136" s="2305"/>
    </row>
    <row r="138" spans="3:6" ht="29.4" thickBot="1">
      <c r="C138" s="657" t="s">
        <v>2034</v>
      </c>
      <c r="D138" s="2306" t="s">
        <v>2032</v>
      </c>
      <c r="E138" s="2307"/>
      <c r="F138" s="2307"/>
    </row>
    <row r="139" spans="3:6" ht="15" thickBot="1">
      <c r="C139" s="908" t="s">
        <v>1694</v>
      </c>
      <c r="D139" s="2300"/>
      <c r="E139" s="2301"/>
      <c r="F139" s="2302"/>
    </row>
    <row r="140" spans="3:6" ht="15" thickBot="1">
      <c r="C140" s="908" t="s">
        <v>1695</v>
      </c>
      <c r="D140" s="2300"/>
      <c r="E140" s="2301"/>
      <c r="F140" s="2302"/>
    </row>
    <row r="141" spans="3:6" ht="15" thickBot="1">
      <c r="C141" s="908" t="s">
        <v>1696</v>
      </c>
      <c r="D141" s="2300"/>
      <c r="E141" s="2301"/>
      <c r="F141" s="2302"/>
    </row>
    <row r="142" spans="3:6" ht="15" thickBot="1">
      <c r="C142" s="908" t="s">
        <v>1697</v>
      </c>
      <c r="D142" s="2300"/>
      <c r="E142" s="2301"/>
      <c r="F142" s="2302"/>
    </row>
    <row r="143" spans="3:6" ht="15" thickBot="1">
      <c r="C143" s="908" t="s">
        <v>1698</v>
      </c>
      <c r="D143" s="2300"/>
      <c r="E143" s="2301"/>
      <c r="F143" s="2302"/>
    </row>
    <row r="144" spans="3:6" ht="15" thickBot="1">
      <c r="C144" s="908" t="s">
        <v>1699</v>
      </c>
      <c r="D144" s="2300"/>
      <c r="E144" s="2301"/>
      <c r="F144" s="2302"/>
    </row>
    <row r="145" spans="3:6" ht="28.35" customHeight="1" thickBot="1">
      <c r="C145" s="908" t="s">
        <v>1700</v>
      </c>
      <c r="D145" s="2300"/>
      <c r="E145" s="2301"/>
      <c r="F145" s="2302"/>
    </row>
    <row r="146" spans="3:6" ht="15" thickBot="1">
      <c r="C146" s="908" t="s">
        <v>1701</v>
      </c>
      <c r="D146" s="2300"/>
      <c r="E146" s="2301"/>
      <c r="F146" s="2302"/>
    </row>
    <row r="147" spans="3:6" ht="15" thickBot="1">
      <c r="C147" s="908" t="s">
        <v>1702</v>
      </c>
      <c r="D147" s="2300"/>
      <c r="E147" s="2301"/>
      <c r="F147" s="2302"/>
    </row>
    <row r="148" spans="3:6" ht="28.35" customHeight="1" thickBot="1">
      <c r="C148" s="908" t="s">
        <v>1703</v>
      </c>
      <c r="D148" s="2300"/>
      <c r="E148" s="2301"/>
      <c r="F148" s="2302"/>
    </row>
    <row r="149" spans="3:6" ht="28.35" customHeight="1" thickBot="1">
      <c r="C149" s="908" t="s">
        <v>1704</v>
      </c>
      <c r="D149" s="2300"/>
      <c r="E149" s="2301"/>
      <c r="F149" s="2302"/>
    </row>
    <row r="150" spans="3:6" ht="15" thickBot="1">
      <c r="C150" s="908" t="s">
        <v>157</v>
      </c>
      <c r="D150" s="2300"/>
      <c r="E150" s="2301"/>
      <c r="F150" s="2302"/>
    </row>
    <row r="151" spans="3:6" ht="15" thickBot="1">
      <c r="C151" s="908" t="s">
        <v>661</v>
      </c>
      <c r="D151" s="2300"/>
      <c r="E151" s="2301"/>
      <c r="F151" s="2302"/>
    </row>
  </sheetData>
  <sheetProtection sheet="1" objects="1" scenarios="1"/>
  <mergeCells count="84">
    <mergeCell ref="D46:J46"/>
    <mergeCell ref="C2:G2"/>
    <mergeCell ref="H2:L2"/>
    <mergeCell ref="D10:J11"/>
    <mergeCell ref="C16:C17"/>
    <mergeCell ref="D16:J17"/>
    <mergeCell ref="D19:J19"/>
    <mergeCell ref="D22:J29"/>
    <mergeCell ref="D31:J31"/>
    <mergeCell ref="D33:J33"/>
    <mergeCell ref="D42:J42"/>
    <mergeCell ref="D44:J44"/>
    <mergeCell ref="C72:I72"/>
    <mergeCell ref="C51:I51"/>
    <mergeCell ref="C52:I52"/>
    <mergeCell ref="C53:I53"/>
    <mergeCell ref="C54:I54"/>
    <mergeCell ref="C55:I55"/>
    <mergeCell ref="C56:I56"/>
    <mergeCell ref="C57:I57"/>
    <mergeCell ref="C58:I58"/>
    <mergeCell ref="C59:I59"/>
    <mergeCell ref="D61:I67"/>
    <mergeCell ref="D70:I70"/>
    <mergeCell ref="D95:J95"/>
    <mergeCell ref="C73:I73"/>
    <mergeCell ref="C74:I74"/>
    <mergeCell ref="C75:I75"/>
    <mergeCell ref="C76:I76"/>
    <mergeCell ref="C77:I77"/>
    <mergeCell ref="C78:I78"/>
    <mergeCell ref="C79:I79"/>
    <mergeCell ref="D82:I82"/>
    <mergeCell ref="D84:I84"/>
    <mergeCell ref="C91:F91"/>
    <mergeCell ref="D93:J93"/>
    <mergeCell ref="D113:F113"/>
    <mergeCell ref="D97:J97"/>
    <mergeCell ref="C100:F100"/>
    <mergeCell ref="D102:F102"/>
    <mergeCell ref="D103:F103"/>
    <mergeCell ref="D104:F104"/>
    <mergeCell ref="D105:F105"/>
    <mergeCell ref="C108:F108"/>
    <mergeCell ref="C109:F109"/>
    <mergeCell ref="D110:F110"/>
    <mergeCell ref="D111:F111"/>
    <mergeCell ref="D112:F112"/>
    <mergeCell ref="D126:F126"/>
    <mergeCell ref="D114:F114"/>
    <mergeCell ref="D115:F115"/>
    <mergeCell ref="D116:F116"/>
    <mergeCell ref="D117:F117"/>
    <mergeCell ref="D118:F118"/>
    <mergeCell ref="D119:F119"/>
    <mergeCell ref="D120:F120"/>
    <mergeCell ref="D121:F121"/>
    <mergeCell ref="D123:F123"/>
    <mergeCell ref="D124:F124"/>
    <mergeCell ref="D125:F125"/>
    <mergeCell ref="D139:F139"/>
    <mergeCell ref="D127:F127"/>
    <mergeCell ref="D128:F128"/>
    <mergeCell ref="D129:F129"/>
    <mergeCell ref="D130:F130"/>
    <mergeCell ref="D131:F131"/>
    <mergeCell ref="D132:F132"/>
    <mergeCell ref="D133:F133"/>
    <mergeCell ref="D134:F134"/>
    <mergeCell ref="D135:F135"/>
    <mergeCell ref="D136:F136"/>
    <mergeCell ref="D138:F138"/>
    <mergeCell ref="D151:F151"/>
    <mergeCell ref="D140:F140"/>
    <mergeCell ref="D141:F141"/>
    <mergeCell ref="D142:F142"/>
    <mergeCell ref="D143:F143"/>
    <mergeCell ref="D144:F144"/>
    <mergeCell ref="D145:F145"/>
    <mergeCell ref="D146:F146"/>
    <mergeCell ref="D147:F147"/>
    <mergeCell ref="D148:F148"/>
    <mergeCell ref="D149:F149"/>
    <mergeCell ref="D150:F150"/>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5DE22-3ACF-4BB8-A58A-FEE2284268E4}">
  <sheetPr codeName="Feuil43">
    <tabColor theme="8" tint="0.79998168889431442"/>
  </sheetPr>
  <dimension ref="C1:L151"/>
  <sheetViews>
    <sheetView showGridLines="0" topLeftCell="A78" zoomScale="90" zoomScaleNormal="90" workbookViewId="0">
      <selection activeCell="D105" sqref="D105:F105"/>
    </sheetView>
  </sheetViews>
  <sheetFormatPr baseColWidth="10" defaultColWidth="11.44140625" defaultRowHeight="14.4" outlineLevelRow="1"/>
  <cols>
    <col min="1" max="1" width="28.5546875" customWidth="1"/>
    <col min="2" max="2" width="7.44140625" customWidth="1"/>
    <col min="3" max="3" width="29.5546875" customWidth="1"/>
    <col min="4" max="4" width="6.88671875" style="902" bestFit="1" customWidth="1"/>
    <col min="5" max="5" width="3.5546875" customWidth="1"/>
    <col min="6" max="6" width="21.109375" customWidth="1"/>
    <col min="7" max="7" width="14.44140625" customWidth="1"/>
    <col min="8" max="8" width="12" customWidth="1"/>
    <col min="9" max="9" width="11.44140625" customWidth="1"/>
    <col min="10" max="10" width="13.5546875" customWidth="1"/>
    <col min="11" max="11" width="14.88671875" customWidth="1"/>
    <col min="12" max="12" width="11.5546875" bestFit="1" customWidth="1"/>
    <col min="14" max="20" width="0" hidden="1" customWidth="1"/>
  </cols>
  <sheetData>
    <row r="1" spans="3:12" ht="111" customHeight="1"/>
    <row r="2" spans="3:12" ht="18">
      <c r="C2" s="2249" t="s">
        <v>2009</v>
      </c>
      <c r="D2" s="2249"/>
      <c r="E2" s="2249"/>
      <c r="F2" s="2249"/>
      <c r="G2" s="2249"/>
      <c r="H2" s="2278" t="s">
        <v>1855</v>
      </c>
      <c r="I2" s="2279"/>
      <c r="J2" s="2279"/>
      <c r="K2" s="2279"/>
      <c r="L2" s="2280"/>
    </row>
    <row r="3" spans="3:12" ht="56.4" customHeight="1"/>
    <row r="4" spans="3:12" ht="17.399999999999999">
      <c r="C4" s="880" t="s">
        <v>2010</v>
      </c>
      <c r="D4" s="1018" t="str">
        <f ca="1">IF(ISERROR(INDIRECT("'"&amp;$K10&amp;"'!e$2")),"-",IF(INDIRECT("'"&amp;$K10&amp;"'!e$2")=1,"X",""))</f>
        <v>-</v>
      </c>
      <c r="F4" s="882" t="s">
        <v>708</v>
      </c>
    </row>
    <row r="5" spans="3:12" ht="15.6">
      <c r="D5" s="903"/>
      <c r="F5" s="881"/>
    </row>
    <row r="6" spans="3:12" ht="15.6" customHeight="1">
      <c r="D6" s="1018" t="str">
        <f ca="1">IF(D4="X","","X")</f>
        <v>X</v>
      </c>
      <c r="F6" s="882" t="s">
        <v>327</v>
      </c>
    </row>
    <row r="7" spans="3:12" ht="15.6">
      <c r="D7" s="903"/>
      <c r="F7" s="881"/>
    </row>
    <row r="8" spans="3:12" ht="16.350000000000001" customHeight="1">
      <c r="D8" s="1018" t="str">
        <f ca="1">IF(ISERROR(INDIRECT("'"&amp;$K10&amp;"'!e$3")),"-",IF(INDIRECT("'"&amp;$K10&amp;"'!e$3")=TRUE,"X",""))</f>
        <v>-</v>
      </c>
      <c r="F8" s="882" t="s">
        <v>1276</v>
      </c>
    </row>
    <row r="10" spans="3:12" ht="17.399999999999999">
      <c r="C10" s="880" t="s">
        <v>724</v>
      </c>
      <c r="D10" s="2336" t="str">
        <f ca="1">IF(ISERROR(INDIRECT("'"&amp;$K10&amp;"'!b$13")),"-",INDIRECT("'"&amp;$K10&amp;"'!b$13"))</f>
        <v>-</v>
      </c>
      <c r="E10" s="2337"/>
      <c r="F10" s="2337"/>
      <c r="G10" s="2337"/>
      <c r="H10" s="2337"/>
      <c r="I10" s="2337"/>
      <c r="J10" s="2338"/>
      <c r="K10" s="55" t="str">
        <f ca="1">'Mes actions'!D70</f>
        <v/>
      </c>
    </row>
    <row r="11" spans="3:12">
      <c r="D11" s="2339"/>
      <c r="E11" s="2340"/>
      <c r="F11" s="2340"/>
      <c r="G11" s="2340"/>
      <c r="H11" s="2340"/>
      <c r="I11" s="2340"/>
      <c r="J11" s="2341"/>
    </row>
    <row r="14" spans="3:12" ht="17.399999999999999">
      <c r="C14" s="880" t="s">
        <v>2011</v>
      </c>
    </row>
    <row r="16" spans="3:12" ht="17.399999999999999" customHeight="1">
      <c r="C16" s="2353" t="s">
        <v>1073</v>
      </c>
      <c r="D16" s="2336" t="str">
        <f ca="1">IF(ISERROR(INDIRECT("'"&amp;$K10&amp;"'!b$11")),"-",INDIRECT("'"&amp;$K10&amp;"'!b$11"))</f>
        <v>-</v>
      </c>
      <c r="E16" s="2337"/>
      <c r="F16" s="2337"/>
      <c r="G16" s="2337"/>
      <c r="H16" s="2337"/>
      <c r="I16" s="2337"/>
      <c r="J16" s="2338"/>
    </row>
    <row r="17" spans="3:10">
      <c r="C17" s="2353"/>
      <c r="D17" s="2339"/>
      <c r="E17" s="2340"/>
      <c r="F17" s="2340"/>
      <c r="G17" s="2340"/>
      <c r="H17" s="2340"/>
      <c r="I17" s="2340"/>
      <c r="J17" s="2341"/>
    </row>
    <row r="19" spans="3:10" ht="34.799999999999997">
      <c r="C19" s="883" t="s">
        <v>2012</v>
      </c>
      <c r="D19" s="2332" t="str">
        <f ca="1">D16</f>
        <v>-</v>
      </c>
      <c r="E19" s="2333"/>
      <c r="F19" s="2333"/>
      <c r="G19" s="2333"/>
      <c r="H19" s="2333"/>
      <c r="I19" s="2333"/>
      <c r="J19" s="2334"/>
    </row>
    <row r="22" spans="3:10" ht="34.799999999999997">
      <c r="C22" s="883" t="s">
        <v>2013</v>
      </c>
      <c r="D22" s="2343" t="str">
        <f ca="1">IF(ISERROR(INDIRECT("'"&amp;$K10&amp;"'!b$14")),"-",INDIRECT("'"&amp;$K10&amp;"'!b$14"))</f>
        <v>-</v>
      </c>
      <c r="E22" s="2344"/>
      <c r="F22" s="2344"/>
      <c r="G22" s="2344"/>
      <c r="H22" s="2344"/>
      <c r="I22" s="2344"/>
      <c r="J22" s="2345"/>
    </row>
    <row r="23" spans="3:10">
      <c r="D23" s="2346"/>
      <c r="E23" s="2347"/>
      <c r="F23" s="2347"/>
      <c r="G23" s="2347"/>
      <c r="H23" s="2347"/>
      <c r="I23" s="2347"/>
      <c r="J23" s="2348"/>
    </row>
    <row r="24" spans="3:10">
      <c r="D24" s="2346"/>
      <c r="E24" s="2347"/>
      <c r="F24" s="2347"/>
      <c r="G24" s="2347"/>
      <c r="H24" s="2347"/>
      <c r="I24" s="2347"/>
      <c r="J24" s="2348"/>
    </row>
    <row r="25" spans="3:10">
      <c r="D25" s="2346"/>
      <c r="E25" s="2347"/>
      <c r="F25" s="2347"/>
      <c r="G25" s="2347"/>
      <c r="H25" s="2347"/>
      <c r="I25" s="2347"/>
      <c r="J25" s="2348"/>
    </row>
    <row r="26" spans="3:10">
      <c r="D26" s="2346"/>
      <c r="E26" s="2347"/>
      <c r="F26" s="2347"/>
      <c r="G26" s="2347"/>
      <c r="H26" s="2347"/>
      <c r="I26" s="2347"/>
      <c r="J26" s="2348"/>
    </row>
    <row r="27" spans="3:10">
      <c r="D27" s="2346"/>
      <c r="E27" s="2347"/>
      <c r="F27" s="2347"/>
      <c r="G27" s="2347"/>
      <c r="H27" s="2347"/>
      <c r="I27" s="2347"/>
      <c r="J27" s="2348"/>
    </row>
    <row r="28" spans="3:10">
      <c r="D28" s="2346"/>
      <c r="E28" s="2347"/>
      <c r="F28" s="2347"/>
      <c r="G28" s="2347"/>
      <c r="H28" s="2347"/>
      <c r="I28" s="2347"/>
      <c r="J28" s="2348"/>
    </row>
    <row r="29" spans="3:10">
      <c r="D29" s="2349"/>
      <c r="E29" s="2350"/>
      <c r="F29" s="2350"/>
      <c r="G29" s="2350"/>
      <c r="H29" s="2350"/>
      <c r="I29" s="2350"/>
      <c r="J29" s="2351"/>
    </row>
    <row r="31" spans="3:10" ht="31.35" customHeight="1">
      <c r="C31" s="884" t="s">
        <v>2014</v>
      </c>
      <c r="D31" s="2352"/>
      <c r="E31" s="2352"/>
      <c r="F31" s="2352"/>
      <c r="G31" s="2352"/>
      <c r="H31" s="2352"/>
      <c r="I31" s="2352"/>
      <c r="J31" s="2352"/>
    </row>
    <row r="33" spans="3:10" ht="28.35" customHeight="1">
      <c r="C33" s="884" t="s">
        <v>2015</v>
      </c>
      <c r="D33" s="2352"/>
      <c r="E33" s="2352"/>
      <c r="F33" s="2352"/>
      <c r="G33" s="2352"/>
      <c r="H33" s="2352"/>
      <c r="I33" s="2352"/>
      <c r="J33" s="2352"/>
    </row>
    <row r="35" spans="3:10" ht="17.399999999999999">
      <c r="C35" s="880" t="s">
        <v>2016</v>
      </c>
    </row>
    <row r="41" spans="3:10" ht="24" customHeight="1"/>
    <row r="42" spans="3:10" ht="34.799999999999997">
      <c r="C42" s="883" t="s">
        <v>2017</v>
      </c>
      <c r="D42" s="2332" t="str">
        <f ca="1">IF(ISERROR(INDIRECT("'"&amp;$K10&amp;"'!b$19")),"-",INDIRECT("'"&amp;$K10&amp;"'!b$20"))</f>
        <v>-</v>
      </c>
      <c r="E42" s="2333"/>
      <c r="F42" s="2333"/>
      <c r="G42" s="2333"/>
      <c r="H42" s="2333"/>
      <c r="I42" s="2333"/>
      <c r="J42" s="2334"/>
    </row>
    <row r="43" spans="3:10">
      <c r="E43" s="902"/>
      <c r="F43" s="902"/>
      <c r="G43" s="902"/>
      <c r="H43" s="902"/>
      <c r="I43" s="902"/>
      <c r="J43" s="902"/>
    </row>
    <row r="44" spans="3:10" ht="33.6" customHeight="1">
      <c r="C44" s="883" t="s">
        <v>2018</v>
      </c>
      <c r="D44" s="2332" t="str">
        <f ca="1">IF(ISERROR(INDIRECT("'"&amp;$K10&amp;"'!b$20")),"-",INDIRECT("'"&amp;$K10&amp;"'!b$21"))</f>
        <v>-</v>
      </c>
      <c r="E44" s="2333"/>
      <c r="F44" s="2333"/>
      <c r="G44" s="2333"/>
      <c r="H44" s="2333"/>
      <c r="I44" s="2333"/>
      <c r="J44" s="2334"/>
    </row>
    <row r="45" spans="3:10">
      <c r="E45" s="902"/>
      <c r="F45" s="902"/>
      <c r="G45" s="902"/>
      <c r="H45" s="902"/>
      <c r="I45" s="902"/>
      <c r="J45" s="902"/>
    </row>
    <row r="46" spans="3:10" ht="34.799999999999997">
      <c r="C46" s="883" t="s">
        <v>2019</v>
      </c>
      <c r="D46" s="2332" t="str">
        <f ca="1">IF(ISERROR(INDIRECT("'"&amp;$K10&amp;"'!e$6")),"-",INDIRECT("'"&amp;$K10&amp;"'!e$6"))</f>
        <v>-</v>
      </c>
      <c r="E46" s="2333"/>
      <c r="F46" s="2333"/>
      <c r="G46" s="2333"/>
      <c r="H46" s="2333"/>
      <c r="I46" s="2333"/>
      <c r="J46" s="2334"/>
    </row>
    <row r="49" spans="3:10" ht="36">
      <c r="C49" s="655" t="s">
        <v>2020</v>
      </c>
    </row>
    <row r="51" spans="3:10" ht="23.4" customHeight="1" thickBot="1">
      <c r="C51" s="2322" t="s">
        <v>1282</v>
      </c>
      <c r="D51" s="2322"/>
      <c r="E51" s="2322"/>
      <c r="F51" s="2322"/>
      <c r="G51" s="2322"/>
      <c r="H51" s="2322"/>
      <c r="I51" s="2342"/>
      <c r="J51" s="885" t="s">
        <v>2021</v>
      </c>
    </row>
    <row r="52" spans="3:10" ht="32.4" customHeight="1" thickBot="1">
      <c r="C52" s="2335" t="s">
        <v>1291</v>
      </c>
      <c r="D52" s="2335"/>
      <c r="E52" s="2335"/>
      <c r="F52" s="2335"/>
      <c r="G52" s="2335"/>
      <c r="H52" s="2335"/>
      <c r="I52" s="2335"/>
      <c r="J52" s="904"/>
    </row>
    <row r="53" spans="3:10" ht="32.4" customHeight="1" thickBot="1">
      <c r="C53" s="2335" t="s">
        <v>1300</v>
      </c>
      <c r="D53" s="2335"/>
      <c r="E53" s="2335"/>
      <c r="F53" s="2335"/>
      <c r="G53" s="2335"/>
      <c r="H53" s="2335"/>
      <c r="I53" s="2335"/>
      <c r="J53" s="904"/>
    </row>
    <row r="54" spans="3:10" ht="32.4" customHeight="1" thickBot="1">
      <c r="C54" s="2335" t="s">
        <v>1310</v>
      </c>
      <c r="D54" s="2335"/>
      <c r="E54" s="2335"/>
      <c r="F54" s="2335"/>
      <c r="G54" s="2335"/>
      <c r="H54" s="2335"/>
      <c r="I54" s="2335"/>
      <c r="J54" s="904"/>
    </row>
    <row r="55" spans="3:10" ht="32.4" customHeight="1" thickBot="1">
      <c r="C55" s="2335" t="s">
        <v>1318</v>
      </c>
      <c r="D55" s="2335"/>
      <c r="E55" s="2335"/>
      <c r="F55" s="2335"/>
      <c r="G55" s="2335"/>
      <c r="H55" s="2335"/>
      <c r="I55" s="2335"/>
      <c r="J55" s="904"/>
    </row>
    <row r="56" spans="3:10" ht="32.4" customHeight="1" thickBot="1">
      <c r="C56" s="2335" t="s">
        <v>1326</v>
      </c>
      <c r="D56" s="2335"/>
      <c r="E56" s="2335"/>
      <c r="F56" s="2335"/>
      <c r="G56" s="2335"/>
      <c r="H56" s="2335"/>
      <c r="I56" s="2335"/>
      <c r="J56" s="904"/>
    </row>
    <row r="57" spans="3:10" ht="32.4" customHeight="1" thickBot="1">
      <c r="C57" s="2335" t="s">
        <v>1331</v>
      </c>
      <c r="D57" s="2335"/>
      <c r="E57" s="2335"/>
      <c r="F57" s="2335"/>
      <c r="G57" s="2335"/>
      <c r="H57" s="2335"/>
      <c r="I57" s="2335"/>
      <c r="J57" s="904"/>
    </row>
    <row r="58" spans="3:10" ht="32.4" customHeight="1" thickBot="1">
      <c r="C58" s="2335" t="s">
        <v>1336</v>
      </c>
      <c r="D58" s="2335"/>
      <c r="E58" s="2335"/>
      <c r="F58" s="2335"/>
      <c r="G58" s="2335"/>
      <c r="H58" s="2335"/>
      <c r="I58" s="2335"/>
      <c r="J58" s="904"/>
    </row>
    <row r="59" spans="3:10" ht="32.4" customHeight="1" thickBot="1">
      <c r="C59" s="2335" t="s">
        <v>775</v>
      </c>
      <c r="D59" s="2335"/>
      <c r="E59" s="2335"/>
      <c r="F59" s="2335"/>
      <c r="G59" s="2335"/>
      <c r="H59" s="2335"/>
      <c r="I59" s="2335"/>
      <c r="J59" s="904"/>
    </row>
    <row r="61" spans="3:10" ht="17.399999999999999">
      <c r="C61" s="880" t="s">
        <v>91</v>
      </c>
      <c r="D61" s="2354"/>
      <c r="E61" s="2354"/>
      <c r="F61" s="2354"/>
      <c r="G61" s="2354"/>
      <c r="H61" s="2354"/>
      <c r="I61" s="2354"/>
    </row>
    <row r="62" spans="3:10">
      <c r="D62" s="2354"/>
      <c r="E62" s="2354"/>
      <c r="F62" s="2354"/>
      <c r="G62" s="2354"/>
      <c r="H62" s="2354"/>
      <c r="I62" s="2354"/>
    </row>
    <row r="63" spans="3:10">
      <c r="D63" s="2354"/>
      <c r="E63" s="2354"/>
      <c r="F63" s="2354"/>
      <c r="G63" s="2354"/>
      <c r="H63" s="2354"/>
      <c r="I63" s="2354"/>
    </row>
    <row r="64" spans="3:10">
      <c r="D64" s="2354"/>
      <c r="E64" s="2354"/>
      <c r="F64" s="2354"/>
      <c r="G64" s="2354"/>
      <c r="H64" s="2354"/>
      <c r="I64" s="2354"/>
    </row>
    <row r="65" spans="3:10">
      <c r="D65" s="2354"/>
      <c r="E65" s="2354"/>
      <c r="F65" s="2354"/>
      <c r="G65" s="2354"/>
      <c r="H65" s="2354"/>
      <c r="I65" s="2354"/>
    </row>
    <row r="66" spans="3:10">
      <c r="D66" s="2354"/>
      <c r="E66" s="2354"/>
      <c r="F66" s="2354"/>
      <c r="G66" s="2354"/>
      <c r="H66" s="2354"/>
      <c r="I66" s="2354"/>
    </row>
    <row r="67" spans="3:10">
      <c r="D67" s="2354"/>
      <c r="E67" s="2354"/>
      <c r="F67" s="2354"/>
      <c r="G67" s="2354"/>
      <c r="H67" s="2354"/>
      <c r="I67" s="2354"/>
    </row>
    <row r="69" spans="3:10" ht="55.35" customHeight="1">
      <c r="C69" s="886" t="s">
        <v>2022</v>
      </c>
    </row>
    <row r="70" spans="3:10" ht="33.6" customHeight="1">
      <c r="C70" s="883" t="s">
        <v>2023</v>
      </c>
      <c r="D70" s="2355" t="str">
        <f ca="1">IF(ISERROR(INDIRECT("'"&amp;$K10&amp;"'!b$22")),"-",INDIRECT("'"&amp;$K10&amp;"'!b$23"))</f>
        <v>-</v>
      </c>
      <c r="E70" s="2355"/>
      <c r="F70" s="2355"/>
      <c r="G70" s="2355"/>
      <c r="H70" s="2355"/>
      <c r="I70" s="2355"/>
    </row>
    <row r="72" spans="3:10" ht="28.35" customHeight="1" thickBot="1">
      <c r="C72" s="2322" t="s">
        <v>1283</v>
      </c>
      <c r="D72" s="2322"/>
      <c r="E72" s="2322"/>
      <c r="F72" s="2322"/>
      <c r="G72" s="2322"/>
      <c r="H72" s="2322"/>
      <c r="I72" s="2342"/>
      <c r="J72" s="885" t="s">
        <v>2021</v>
      </c>
    </row>
    <row r="73" spans="3:10" ht="28.35" customHeight="1" thickBot="1">
      <c r="C73" s="2335" t="s">
        <v>1292</v>
      </c>
      <c r="D73" s="2335"/>
      <c r="E73" s="2335"/>
      <c r="F73" s="2335"/>
      <c r="G73" s="2335"/>
      <c r="H73" s="2335"/>
      <c r="I73" s="2356"/>
      <c r="J73" s="1020" t="s">
        <v>1304</v>
      </c>
    </row>
    <row r="74" spans="3:10" ht="28.35" customHeight="1" thickBot="1">
      <c r="C74" s="2335" t="s">
        <v>1301</v>
      </c>
      <c r="D74" s="2335"/>
      <c r="E74" s="2335"/>
      <c r="F74" s="2335"/>
      <c r="G74" s="2335"/>
      <c r="H74" s="2335"/>
      <c r="I74" s="2356"/>
      <c r="J74" s="1021" t="str">
        <f ca="1">IF(ISERROR(INDIRECT("'"&amp;$K10&amp;"'!f$25")),"-",IF(INDIRECT("'"&amp;$K10&amp;"'!f$25")="Subvention nationale/régionale","X",""))</f>
        <v>-</v>
      </c>
    </row>
    <row r="75" spans="3:10" ht="28.35" customHeight="1" thickBot="1">
      <c r="C75" s="2335" t="s">
        <v>1311</v>
      </c>
      <c r="D75" s="2335"/>
      <c r="E75" s="2335"/>
      <c r="F75" s="2335"/>
      <c r="G75" s="2335"/>
      <c r="H75" s="2335"/>
      <c r="I75" s="2356"/>
      <c r="J75" s="1021"/>
    </row>
    <row r="76" spans="3:10" ht="28.35" customHeight="1" thickBot="1">
      <c r="C76" s="2335" t="s">
        <v>1319</v>
      </c>
      <c r="D76" s="2335"/>
      <c r="E76" s="2335"/>
      <c r="F76" s="2335"/>
      <c r="G76" s="2335"/>
      <c r="H76" s="2335"/>
      <c r="I76" s="2356"/>
      <c r="J76" s="1022" t="str">
        <f ca="1">IF(ISERROR(INDIRECT("'"&amp;$K10&amp;"'!f$25")),"-",IF(INDIRECT("'"&amp;$K10&amp;"'!f$25")="Programme européen","X",""))</f>
        <v>-</v>
      </c>
    </row>
    <row r="77" spans="3:10" ht="28.35" customHeight="1" thickBot="1">
      <c r="C77" s="2335" t="s">
        <v>1327</v>
      </c>
      <c r="D77" s="2335"/>
      <c r="E77" s="2335"/>
      <c r="F77" s="2335"/>
      <c r="G77" s="2335"/>
      <c r="H77" s="2335"/>
      <c r="I77" s="2335"/>
      <c r="J77" s="1019"/>
    </row>
    <row r="78" spans="3:10" ht="28.35" customHeight="1" thickBot="1">
      <c r="C78" s="2335" t="s">
        <v>1332</v>
      </c>
      <c r="D78" s="2335"/>
      <c r="E78" s="2335"/>
      <c r="F78" s="2335"/>
      <c r="G78" s="2335"/>
      <c r="H78" s="2335"/>
      <c r="I78" s="2335"/>
      <c r="J78" s="905"/>
    </row>
    <row r="79" spans="3:10" ht="28.35" customHeight="1" thickBot="1">
      <c r="C79" s="2335" t="s">
        <v>157</v>
      </c>
      <c r="D79" s="2335"/>
      <c r="E79" s="2335"/>
      <c r="F79" s="2335"/>
      <c r="G79" s="2335"/>
      <c r="H79" s="2335"/>
      <c r="I79" s="2335"/>
      <c r="J79" s="905"/>
    </row>
    <row r="82" spans="3:10" ht="34.799999999999997">
      <c r="C82" s="883" t="s">
        <v>2024</v>
      </c>
      <c r="D82" s="2357" t="str">
        <f ca="1">IF(ISERROR(INDIRECT("'"&amp;$K10&amp;"'!d$22")),"-",IF(INDIRECT("'"&amp;$K10&amp;"'!d$23")="Investissement",D70,""))</f>
        <v>-</v>
      </c>
      <c r="E82" s="2358"/>
      <c r="F82" s="2358"/>
      <c r="G82" s="2358"/>
      <c r="H82" s="2358"/>
      <c r="I82" s="2359"/>
    </row>
    <row r="83" spans="3:10">
      <c r="D83" s="906"/>
      <c r="E83" s="906"/>
      <c r="F83" s="906"/>
      <c r="G83" s="906"/>
      <c r="H83" s="906"/>
      <c r="I83" s="906"/>
    </row>
    <row r="84" spans="3:10" ht="34.799999999999997">
      <c r="C84" s="883" t="s">
        <v>2025</v>
      </c>
      <c r="D84" s="2357" t="str">
        <f ca="1">IF(ISERROR(INDIRECT("'"&amp;$K10&amp;"'!d$22")),"-",IF(INDIRECT("'"&amp;$K10&amp;"'!d$23")="Non-investissement",D70,""))</f>
        <v>-</v>
      </c>
      <c r="E84" s="2358"/>
      <c r="F84" s="2358"/>
      <c r="G84" s="2358"/>
      <c r="H84" s="2358"/>
      <c r="I84" s="2359"/>
    </row>
    <row r="91" spans="3:10" ht="36" customHeight="1">
      <c r="C91" s="2249" t="s">
        <v>2026</v>
      </c>
      <c r="D91" s="2249"/>
      <c r="E91" s="2249"/>
      <c r="F91" s="2249"/>
    </row>
    <row r="92" spans="3:10" outlineLevel="1"/>
    <row r="93" spans="3:10" ht="17.399999999999999" outlineLevel="1">
      <c r="C93" s="883" t="s">
        <v>103</v>
      </c>
      <c r="D93" s="2332" t="str">
        <f ca="1">IF(D4="X",IF(ISNA(VLOOKUP(INDIRECT("'"&amp;$K10&amp;"'!A$5"),Categories!X35:Y45,2,0)),"",VLOOKUP(INDIRECT("'"&amp;$K10&amp;"'!A$5"),Categories!X35:Y45,2,0)),"")</f>
        <v/>
      </c>
      <c r="E93" s="2333"/>
      <c r="F93" s="2333"/>
      <c r="G93" s="2333"/>
      <c r="H93" s="2333"/>
      <c r="I93" s="2333"/>
      <c r="J93" s="2334"/>
    </row>
    <row r="94" spans="3:10" outlineLevel="1"/>
    <row r="95" spans="3:10" ht="34.799999999999997" outlineLevel="1">
      <c r="C95" s="883" t="s">
        <v>2027</v>
      </c>
      <c r="D95" s="2332" t="str">
        <f ca="1">IF(D4="X",IF(ISERROR(INDIRECT("'"&amp;$K10&amp;"'!b$9")),"-",INDIRECT("'"&amp;$K10&amp;"'!b$9")),"")</f>
        <v/>
      </c>
      <c r="E95" s="2333"/>
      <c r="F95" s="2333"/>
      <c r="G95" s="2333"/>
      <c r="H95" s="2333"/>
      <c r="I95" s="2333"/>
      <c r="J95" s="2334"/>
    </row>
    <row r="96" spans="3:10" outlineLevel="1"/>
    <row r="97" spans="3:10" ht="17.399999999999999" outlineLevel="1">
      <c r="C97" s="883" t="s">
        <v>2028</v>
      </c>
      <c r="D97" s="2332" t="str">
        <f ca="1">IF(D4="X",IF(ISERROR(INDIRECT("'"&amp;$K10&amp;"'!d$9")),"-",INDIRECT("'"&amp;$K10&amp;"'!d$9")),"")</f>
        <v/>
      </c>
      <c r="E97" s="2333"/>
      <c r="F97" s="2333"/>
      <c r="G97" s="2333"/>
      <c r="H97" s="2333"/>
      <c r="I97" s="2333"/>
      <c r="J97" s="2334"/>
    </row>
    <row r="98" spans="3:10" outlineLevel="1"/>
    <row r="99" spans="3:10" outlineLevel="1"/>
    <row r="100" spans="3:10" ht="18" outlineLevel="1">
      <c r="C100" s="2249" t="s">
        <v>2029</v>
      </c>
      <c r="D100" s="2249"/>
      <c r="E100" s="2249"/>
      <c r="F100" s="2249"/>
    </row>
    <row r="101" spans="3:10" outlineLevel="1"/>
    <row r="102" spans="3:10" outlineLevel="1">
      <c r="C102" s="907"/>
      <c r="D102" s="2322">
        <v>2030</v>
      </c>
      <c r="E102" s="2322"/>
      <c r="F102" s="2322"/>
    </row>
    <row r="103" spans="3:10" ht="28.8" outlineLevel="1">
      <c r="C103" s="1023" t="s">
        <v>1991</v>
      </c>
      <c r="D103" s="2323" t="str">
        <f ca="1">IF(ISNA(VLOOKUP(D10,Actions!G2:AL70,22,0)),"",VLOOKUP(D10,Actions!G2:AL70,27,0))</f>
        <v/>
      </c>
      <c r="E103" s="2324"/>
      <c r="F103" s="2325"/>
    </row>
    <row r="104" spans="3:10" ht="28.8" outlineLevel="1">
      <c r="C104" s="1024" t="s">
        <v>1081</v>
      </c>
      <c r="D104" s="2363" t="str">
        <f ca="1">IF(ISNA(VLOOKUP(D10,Actions!G2:AL70,22,0)),"",VLOOKUP(D10,Actions!G2:AL70,28,0))</f>
        <v/>
      </c>
      <c r="E104" s="2364"/>
      <c r="F104" s="2365"/>
    </row>
    <row r="105" spans="3:10" outlineLevel="1">
      <c r="C105" s="1025" t="s">
        <v>2030</v>
      </c>
      <c r="D105" s="2360" t="str">
        <f ca="1">IF(ISNA(VLOOKUP(D10,Actions!G2:AL70,22,0)),"",VLOOKUP(D10,Actions!G2:AL70,29,0))</f>
        <v/>
      </c>
      <c r="E105" s="2361"/>
      <c r="F105" s="2362"/>
    </row>
    <row r="108" spans="3:10" ht="18">
      <c r="C108" s="2249" t="s">
        <v>2031</v>
      </c>
      <c r="D108" s="2249"/>
      <c r="E108" s="2249"/>
      <c r="F108" s="2249"/>
    </row>
    <row r="109" spans="3:10" ht="18">
      <c r="C109" s="2249"/>
      <c r="D109" s="2249"/>
      <c r="E109" s="2249"/>
      <c r="F109" s="2249"/>
    </row>
    <row r="110" spans="3:10" ht="29.4" customHeight="1" outlineLevel="1" thickBot="1">
      <c r="C110" s="657" t="s">
        <v>1284</v>
      </c>
      <c r="D110" s="2306" t="s">
        <v>2032</v>
      </c>
      <c r="E110" s="2307"/>
      <c r="F110" s="2307"/>
    </row>
    <row r="111" spans="3:10" ht="15" outlineLevel="1" thickBot="1">
      <c r="C111" s="1026" t="s">
        <v>1293</v>
      </c>
      <c r="D111" s="2319" t="str">
        <f ca="1">IF(ISNA(VLOOKUP($K$10,Actions!$A$2:$O$46,15,0)),"",IF(VLOOKUP($K$10,Actions!$A$2:$O$46,15,0)='Détails action 7'!C111,"X",""))</f>
        <v/>
      </c>
      <c r="E111" s="2320"/>
      <c r="F111" s="2321"/>
    </row>
    <row r="112" spans="3:10" ht="15" outlineLevel="1" thickBot="1">
      <c r="C112" s="1026" t="s">
        <v>1302</v>
      </c>
      <c r="D112" s="2317" t="str">
        <f ca="1">IF(ISNA(VLOOKUP($K$10,Actions!$A$2:$O$46,15,0)),"",IF(VLOOKUP($K$10,Actions!$A$2:$O$46,15,0)='Détails action 7'!C112,"X",""))</f>
        <v/>
      </c>
      <c r="E112" s="2301"/>
      <c r="F112" s="2318"/>
    </row>
    <row r="113" spans="3:6" ht="15" outlineLevel="1" thickBot="1">
      <c r="C113" s="1026" t="s">
        <v>1312</v>
      </c>
      <c r="D113" s="2317" t="str">
        <f ca="1">IF(ISNA(VLOOKUP($K$10,Actions!$A$2:$O$46,15,0)),"",IF(VLOOKUP($K$10,Actions!$A$2:$O$46,15,0)='Détails action 7'!C113,"X",""))</f>
        <v/>
      </c>
      <c r="E113" s="2301"/>
      <c r="F113" s="2318"/>
    </row>
    <row r="114" spans="3:6" ht="28.35" customHeight="1" outlineLevel="1" thickBot="1">
      <c r="C114" s="1026" t="s">
        <v>1320</v>
      </c>
      <c r="D114" s="2317" t="str">
        <f ca="1">IF(ISNA(VLOOKUP($K$10,Actions!$A$2:$O$46,15,0)),"",IF(VLOOKUP($K$10,Actions!$A$2:$O$46,15,0)='Détails action 7'!C114,"X",""))</f>
        <v/>
      </c>
      <c r="E114" s="2301"/>
      <c r="F114" s="2318"/>
    </row>
    <row r="115" spans="3:6" ht="15" outlineLevel="1" thickBot="1">
      <c r="C115" s="1026" t="s">
        <v>1328</v>
      </c>
      <c r="D115" s="2317" t="str">
        <f ca="1">IF(ISNA(VLOOKUP($K$10,Actions!$A$2:$O$46,15,0)),"",IF(VLOOKUP($K$10,Actions!$A$2:$O$46,15,0)='Détails action 7'!C115,"X",""))</f>
        <v/>
      </c>
      <c r="E115" s="2301"/>
      <c r="F115" s="2318"/>
    </row>
    <row r="116" spans="3:6" ht="15" outlineLevel="1" thickBot="1">
      <c r="C116" s="1026" t="s">
        <v>1333</v>
      </c>
      <c r="D116" s="2317" t="str">
        <f ca="1">IF(ISNA(VLOOKUP($K$10,Actions!$A$2:$O$46,15,0)),"",IF(VLOOKUP($K$10,Actions!$A$2:$O$46,15,0)='Détails action 7'!C116,"X",""))</f>
        <v/>
      </c>
      <c r="E116" s="2301"/>
      <c r="F116" s="2318"/>
    </row>
    <row r="117" spans="3:6" ht="15" outlineLevel="1" thickBot="1">
      <c r="C117" s="1026" t="s">
        <v>1337</v>
      </c>
      <c r="D117" s="2317" t="str">
        <f ca="1">IF(ISNA(VLOOKUP($K$10,Actions!$A$2:$O$46,15,0)),"",IF(VLOOKUP($K$10,Actions!$A$2:$O$46,15,0)='Détails action 7'!C117,"X",""))</f>
        <v/>
      </c>
      <c r="E117" s="2301"/>
      <c r="F117" s="2318"/>
    </row>
    <row r="118" spans="3:6" ht="15" outlineLevel="1" thickBot="1">
      <c r="C118" s="1026" t="s">
        <v>1339</v>
      </c>
      <c r="D118" s="2317" t="str">
        <f ca="1">IF(ISNA(VLOOKUP($K$10,Actions!$A$2:$O$46,15,0)),"",IF(VLOOKUP($K$10,Actions!$A$2:$O$46,15,0)='Détails action 7'!C118,"X",""))</f>
        <v/>
      </c>
      <c r="E118" s="2301"/>
      <c r="F118" s="2318"/>
    </row>
    <row r="119" spans="3:6" ht="15" outlineLevel="1" thickBot="1">
      <c r="C119" s="1026" t="s">
        <v>1342</v>
      </c>
      <c r="D119" s="2317" t="str">
        <f ca="1">IF(ISNA(VLOOKUP($K$10,Actions!$A$2:$O$46,15,0)),"",IF(VLOOKUP($K$10,Actions!$A$2:$O$46,15,0)='Détails action 7'!C119,"X",""))</f>
        <v/>
      </c>
      <c r="E119" s="2301"/>
      <c r="F119" s="2318"/>
    </row>
    <row r="120" spans="3:6" ht="15" outlineLevel="1" thickBot="1">
      <c r="C120" s="1026" t="s">
        <v>1345</v>
      </c>
      <c r="D120" s="2317" t="str">
        <f ca="1">IF(ISNA(VLOOKUP($K$10,Actions!$A$2:$O$46,15,0)),"",IF(VLOOKUP($K$10,Actions!$A$2:$O$46,15,0)='Détails action 7'!C120,"X",""))</f>
        <v/>
      </c>
      <c r="E120" s="2301"/>
      <c r="F120" s="2318"/>
    </row>
    <row r="121" spans="3:6" ht="15" outlineLevel="1" thickBot="1">
      <c r="C121" s="1026" t="s">
        <v>157</v>
      </c>
      <c r="D121" s="2314" t="str">
        <f ca="1">IF(ISNA(VLOOKUP($K$10,Actions!$A$2:$O$46,15,0)),"",IF(VLOOKUP($K$10,Actions!$A$2:$O$46,15,0)='Détails action 7'!C121,"X",""))</f>
        <v/>
      </c>
      <c r="E121" s="2315"/>
      <c r="F121" s="2316"/>
    </row>
    <row r="122" spans="3:6" outlineLevel="1">
      <c r="C122" s="909"/>
      <c r="D122" s="910"/>
    </row>
    <row r="123" spans="3:6" ht="15" outlineLevel="1" thickBot="1">
      <c r="C123" s="657" t="s">
        <v>2033</v>
      </c>
      <c r="D123" s="2306" t="s">
        <v>2032</v>
      </c>
      <c r="E123" s="2307"/>
      <c r="F123" s="2307"/>
    </row>
    <row r="124" spans="3:6" ht="15" outlineLevel="1" thickBot="1">
      <c r="C124" s="1026" t="s">
        <v>866</v>
      </c>
      <c r="D124" s="2311" t="str">
        <f ca="1">IF(ISNA(VLOOKUP($K$10,Actions!$A$2:$O$46,15,0)),"",IF(VLOOKUP($K$10,Actions!$A$2:$O$46,8,0)='Détails action 7'!C124,"X",""))</f>
        <v/>
      </c>
      <c r="E124" s="2312"/>
      <c r="F124" s="2313"/>
    </row>
    <row r="125" spans="3:6" ht="15" outlineLevel="1" thickBot="1">
      <c r="C125" s="1026" t="s">
        <v>870</v>
      </c>
      <c r="D125" s="2308" t="str">
        <f ca="1">IF(ISNA(VLOOKUP($K$10,Actions!$A$2:$O$46,15,0)),"",IF(VLOOKUP($K$10,Actions!$A$2:$O$46,8,0)='Détails action 7'!C125,"X",""))</f>
        <v/>
      </c>
      <c r="E125" s="2309"/>
      <c r="F125" s="2310"/>
    </row>
    <row r="126" spans="3:6" ht="15" outlineLevel="1" thickBot="1">
      <c r="C126" s="1026" t="s">
        <v>876</v>
      </c>
      <c r="D126" s="2308" t="str">
        <f ca="1">IF(ISNA(VLOOKUP($K$10,Actions!$A$2:$O$46,15,0)),"",IF(VLOOKUP($K$10,Actions!$A$2:$O$46,8,0)='Détails action 7'!C126,"X",""))</f>
        <v/>
      </c>
      <c r="E126" s="2309"/>
      <c r="F126" s="2310"/>
    </row>
    <row r="127" spans="3:6" ht="15" outlineLevel="1" thickBot="1">
      <c r="C127" s="1026" t="s">
        <v>881</v>
      </c>
      <c r="D127" s="2308" t="str">
        <f ca="1">IF(ISNA(VLOOKUP($K$10,Actions!$A$2:$O$46,15,0)),"",IF(VLOOKUP($K$10,Actions!$A$2:$O$46,8,0)='Détails action 7'!C127,"X",""))</f>
        <v/>
      </c>
      <c r="E127" s="2309"/>
      <c r="F127" s="2310"/>
    </row>
    <row r="128" spans="3:6" ht="15" outlineLevel="1" thickBot="1">
      <c r="C128" s="1026" t="s">
        <v>884</v>
      </c>
      <c r="D128" s="2308" t="str">
        <f ca="1">IF(ISNA(VLOOKUP($K$10,Actions!$A$2:$O$46,15,0)),"",IF(VLOOKUP($K$10,Actions!$A$2:$O$46,8,0)='Détails action 7'!C128,"X",""))</f>
        <v/>
      </c>
      <c r="E128" s="2309"/>
      <c r="F128" s="2310"/>
    </row>
    <row r="129" spans="3:6" ht="15" outlineLevel="1" thickBot="1">
      <c r="C129" s="1026" t="s">
        <v>887</v>
      </c>
      <c r="D129" s="2308" t="str">
        <f ca="1">IF(ISNA(VLOOKUP($K$10,Actions!$A$2:$O$46,15,0)),"",IF(VLOOKUP($K$10,Actions!$A$2:$O$46,8,0)='Détails action 7'!C129,"X",""))</f>
        <v/>
      </c>
      <c r="E129" s="2309"/>
      <c r="F129" s="2310"/>
    </row>
    <row r="130" spans="3:6" ht="15" outlineLevel="1" thickBot="1">
      <c r="C130" s="1026" t="s">
        <v>889</v>
      </c>
      <c r="D130" s="2308" t="str">
        <f ca="1">IF(ISNA(VLOOKUP($K$10,Actions!$A$2:$O$46,15,0)),"",IF(VLOOKUP($K$10,Actions!$A$2:$O$46,8,0)='Détails action 7'!C130,"X",""))</f>
        <v/>
      </c>
      <c r="E130" s="2309"/>
      <c r="F130" s="2310"/>
    </row>
    <row r="131" spans="3:6" ht="30.6" customHeight="1" outlineLevel="1" thickBot="1">
      <c r="C131" s="1026" t="s">
        <v>891</v>
      </c>
      <c r="D131" s="2308" t="str">
        <f ca="1">IF(ISNA(VLOOKUP($K$10,Actions!$A$2:$O$46,15,0)),"",IF(VLOOKUP($K$10,Actions!$A$2:$O$46,8,0)='Détails action 7'!C131,"X",""))</f>
        <v/>
      </c>
      <c r="E131" s="2309"/>
      <c r="F131" s="2310"/>
    </row>
    <row r="132" spans="3:6" ht="15" outlineLevel="1" thickBot="1">
      <c r="C132" s="1026" t="s">
        <v>892</v>
      </c>
      <c r="D132" s="2308" t="str">
        <f ca="1">IF(ISNA(VLOOKUP($K$10,Actions!$A$2:$O$46,15,0)),"",IF(VLOOKUP($K$10,Actions!$A$2:$O$46,8,0)='Détails action 7'!C132,"X",""))</f>
        <v/>
      </c>
      <c r="E132" s="2309"/>
      <c r="F132" s="2310"/>
    </row>
    <row r="133" spans="3:6" ht="28.35" customHeight="1" outlineLevel="1" thickBot="1">
      <c r="C133" s="1026" t="s">
        <v>898</v>
      </c>
      <c r="D133" s="2308" t="str">
        <f ca="1">IF(ISNA(VLOOKUP($K$10,Actions!$A$2:$O$46,15,0)),"",IF(VLOOKUP($K$10,Actions!$A$2:$O$46,8,0)='Détails action 7'!C133,"X",""))</f>
        <v/>
      </c>
      <c r="E133" s="2309"/>
      <c r="F133" s="2310"/>
    </row>
    <row r="134" spans="3:6" ht="15" outlineLevel="1" thickBot="1">
      <c r="C134" s="1026" t="s">
        <v>904</v>
      </c>
      <c r="D134" s="2308" t="str">
        <f ca="1">IF(ISNA(VLOOKUP($K$10,Actions!$A$2:$O$46,15,0)),"",IF(VLOOKUP($K$10,Actions!$A$2:$O$46,8,0)='Détails action 7'!C134,"X",""))</f>
        <v/>
      </c>
      <c r="E134" s="2309"/>
      <c r="F134" s="2310"/>
    </row>
    <row r="135" spans="3:6" ht="15" outlineLevel="1" thickBot="1">
      <c r="C135" s="1026" t="s">
        <v>909</v>
      </c>
      <c r="D135" s="2308" t="str">
        <f ca="1">IF(ISNA(VLOOKUP($K$10,Actions!$A$2:$O$46,15,0)),"",IF(VLOOKUP($K$10,Actions!$A$2:$O$46,8,0)='Détails action 7'!C135,"X",""))</f>
        <v/>
      </c>
      <c r="E135" s="2309"/>
      <c r="F135" s="2310"/>
    </row>
    <row r="136" spans="3:6" ht="42" customHeight="1" outlineLevel="1" thickBot="1">
      <c r="C136" s="1026" t="s">
        <v>914</v>
      </c>
      <c r="D136" s="2303" t="str">
        <f ca="1">IF(ISNA(VLOOKUP($K$10,Actions!$A$2:$O$46,15,0)),"",IF(VLOOKUP($K$10,Actions!$A$2:$O$46,8,0)='Détails action 7'!C136,"X",""))</f>
        <v/>
      </c>
      <c r="E136" s="2304"/>
      <c r="F136" s="2305"/>
    </row>
    <row r="138" spans="3:6" ht="29.4" thickBot="1">
      <c r="C138" s="657" t="s">
        <v>2034</v>
      </c>
      <c r="D138" s="2306" t="s">
        <v>2032</v>
      </c>
      <c r="E138" s="2307"/>
      <c r="F138" s="2307"/>
    </row>
    <row r="139" spans="3:6" ht="15" thickBot="1">
      <c r="C139" s="908" t="s">
        <v>1694</v>
      </c>
      <c r="D139" s="2300"/>
      <c r="E139" s="2301"/>
      <c r="F139" s="2302"/>
    </row>
    <row r="140" spans="3:6" ht="15" thickBot="1">
      <c r="C140" s="908" t="s">
        <v>1695</v>
      </c>
      <c r="D140" s="2300"/>
      <c r="E140" s="2301"/>
      <c r="F140" s="2302"/>
    </row>
    <row r="141" spans="3:6" ht="15" thickBot="1">
      <c r="C141" s="908" t="s">
        <v>1696</v>
      </c>
      <c r="D141" s="2300"/>
      <c r="E141" s="2301"/>
      <c r="F141" s="2302"/>
    </row>
    <row r="142" spans="3:6" ht="15" thickBot="1">
      <c r="C142" s="908" t="s">
        <v>1697</v>
      </c>
      <c r="D142" s="2300"/>
      <c r="E142" s="2301"/>
      <c r="F142" s="2302"/>
    </row>
    <row r="143" spans="3:6" ht="15" thickBot="1">
      <c r="C143" s="908" t="s">
        <v>1698</v>
      </c>
      <c r="D143" s="2300"/>
      <c r="E143" s="2301"/>
      <c r="F143" s="2302"/>
    </row>
    <row r="144" spans="3:6" ht="15" thickBot="1">
      <c r="C144" s="908" t="s">
        <v>1699</v>
      </c>
      <c r="D144" s="2300"/>
      <c r="E144" s="2301"/>
      <c r="F144" s="2302"/>
    </row>
    <row r="145" spans="3:6" ht="28.35" customHeight="1" thickBot="1">
      <c r="C145" s="908" t="s">
        <v>1700</v>
      </c>
      <c r="D145" s="2300"/>
      <c r="E145" s="2301"/>
      <c r="F145" s="2302"/>
    </row>
    <row r="146" spans="3:6" ht="15" thickBot="1">
      <c r="C146" s="908" t="s">
        <v>1701</v>
      </c>
      <c r="D146" s="2300"/>
      <c r="E146" s="2301"/>
      <c r="F146" s="2302"/>
    </row>
    <row r="147" spans="3:6" ht="15" thickBot="1">
      <c r="C147" s="908" t="s">
        <v>1702</v>
      </c>
      <c r="D147" s="2300"/>
      <c r="E147" s="2301"/>
      <c r="F147" s="2302"/>
    </row>
    <row r="148" spans="3:6" ht="28.35" customHeight="1" thickBot="1">
      <c r="C148" s="908" t="s">
        <v>1703</v>
      </c>
      <c r="D148" s="2300"/>
      <c r="E148" s="2301"/>
      <c r="F148" s="2302"/>
    </row>
    <row r="149" spans="3:6" ht="28.35" customHeight="1" thickBot="1">
      <c r="C149" s="908" t="s">
        <v>1704</v>
      </c>
      <c r="D149" s="2300"/>
      <c r="E149" s="2301"/>
      <c r="F149" s="2302"/>
    </row>
    <row r="150" spans="3:6" ht="15" thickBot="1">
      <c r="C150" s="908" t="s">
        <v>157</v>
      </c>
      <c r="D150" s="2300"/>
      <c r="E150" s="2301"/>
      <c r="F150" s="2302"/>
    </row>
    <row r="151" spans="3:6" ht="15" thickBot="1">
      <c r="C151" s="908" t="s">
        <v>661</v>
      </c>
      <c r="D151" s="2300"/>
      <c r="E151" s="2301"/>
      <c r="F151" s="2302"/>
    </row>
  </sheetData>
  <sheetProtection sheet="1" objects="1" scenarios="1"/>
  <mergeCells count="84">
    <mergeCell ref="D46:J46"/>
    <mergeCell ref="C2:G2"/>
    <mergeCell ref="H2:L2"/>
    <mergeCell ref="D10:J11"/>
    <mergeCell ref="C16:C17"/>
    <mergeCell ref="D16:J17"/>
    <mergeCell ref="D19:J19"/>
    <mergeCell ref="D22:J29"/>
    <mergeCell ref="D31:J31"/>
    <mergeCell ref="D33:J33"/>
    <mergeCell ref="D42:J42"/>
    <mergeCell ref="D44:J44"/>
    <mergeCell ref="C72:I72"/>
    <mergeCell ref="C51:I51"/>
    <mergeCell ref="C52:I52"/>
    <mergeCell ref="C53:I53"/>
    <mergeCell ref="C54:I54"/>
    <mergeCell ref="C55:I55"/>
    <mergeCell ref="C56:I56"/>
    <mergeCell ref="C57:I57"/>
    <mergeCell ref="C58:I58"/>
    <mergeCell ref="C59:I59"/>
    <mergeCell ref="D61:I67"/>
    <mergeCell ref="D70:I70"/>
    <mergeCell ref="D95:J95"/>
    <mergeCell ref="C73:I73"/>
    <mergeCell ref="C74:I74"/>
    <mergeCell ref="C75:I75"/>
    <mergeCell ref="C76:I76"/>
    <mergeCell ref="C77:I77"/>
    <mergeCell ref="C78:I78"/>
    <mergeCell ref="C79:I79"/>
    <mergeCell ref="D82:I82"/>
    <mergeCell ref="D84:I84"/>
    <mergeCell ref="C91:F91"/>
    <mergeCell ref="D93:J93"/>
    <mergeCell ref="D113:F113"/>
    <mergeCell ref="D97:J97"/>
    <mergeCell ref="C100:F100"/>
    <mergeCell ref="D102:F102"/>
    <mergeCell ref="D103:F103"/>
    <mergeCell ref="D104:F104"/>
    <mergeCell ref="D105:F105"/>
    <mergeCell ref="C108:F108"/>
    <mergeCell ref="C109:F109"/>
    <mergeCell ref="D110:F110"/>
    <mergeCell ref="D111:F111"/>
    <mergeCell ref="D112:F112"/>
    <mergeCell ref="D126:F126"/>
    <mergeCell ref="D114:F114"/>
    <mergeCell ref="D115:F115"/>
    <mergeCell ref="D116:F116"/>
    <mergeCell ref="D117:F117"/>
    <mergeCell ref="D118:F118"/>
    <mergeCell ref="D119:F119"/>
    <mergeCell ref="D120:F120"/>
    <mergeCell ref="D121:F121"/>
    <mergeCell ref="D123:F123"/>
    <mergeCell ref="D124:F124"/>
    <mergeCell ref="D125:F125"/>
    <mergeCell ref="D139:F139"/>
    <mergeCell ref="D127:F127"/>
    <mergeCell ref="D128:F128"/>
    <mergeCell ref="D129:F129"/>
    <mergeCell ref="D130:F130"/>
    <mergeCell ref="D131:F131"/>
    <mergeCell ref="D132:F132"/>
    <mergeCell ref="D133:F133"/>
    <mergeCell ref="D134:F134"/>
    <mergeCell ref="D135:F135"/>
    <mergeCell ref="D136:F136"/>
    <mergeCell ref="D138:F138"/>
    <mergeCell ref="D151:F151"/>
    <mergeCell ref="D140:F140"/>
    <mergeCell ref="D141:F141"/>
    <mergeCell ref="D142:F142"/>
    <mergeCell ref="D143:F143"/>
    <mergeCell ref="D144:F144"/>
    <mergeCell ref="D145:F145"/>
    <mergeCell ref="D146:F146"/>
    <mergeCell ref="D147:F147"/>
    <mergeCell ref="D148:F148"/>
    <mergeCell ref="D149:F149"/>
    <mergeCell ref="D150:F150"/>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ACA4-50D4-4BA8-B47C-6ACC055E4D7C}">
  <sheetPr codeName="Feuil52">
    <tabColor theme="8" tint="0.79998168889431442"/>
  </sheetPr>
  <dimension ref="C1:L151"/>
  <sheetViews>
    <sheetView showGridLines="0" topLeftCell="A90" zoomScale="90" zoomScaleNormal="90" workbookViewId="0">
      <selection activeCell="D105" sqref="D105:F105"/>
    </sheetView>
  </sheetViews>
  <sheetFormatPr baseColWidth="10" defaultColWidth="11.44140625" defaultRowHeight="14.4" outlineLevelRow="1"/>
  <cols>
    <col min="1" max="1" width="28.5546875" customWidth="1"/>
    <col min="2" max="2" width="7.44140625" customWidth="1"/>
    <col min="3" max="3" width="29.5546875" customWidth="1"/>
    <col min="4" max="4" width="6.88671875" style="902" bestFit="1" customWidth="1"/>
    <col min="5" max="5" width="3.5546875" customWidth="1"/>
    <col min="6" max="6" width="21.109375" customWidth="1"/>
    <col min="7" max="7" width="14.44140625" customWidth="1"/>
    <col min="8" max="8" width="12" customWidth="1"/>
    <col min="9" max="9" width="11.44140625" customWidth="1"/>
    <col min="10" max="10" width="13.5546875" customWidth="1"/>
    <col min="11" max="11" width="14.88671875" customWidth="1"/>
    <col min="12" max="12" width="11.5546875" bestFit="1" customWidth="1"/>
    <col min="14" max="20" width="0" hidden="1" customWidth="1"/>
  </cols>
  <sheetData>
    <row r="1" spans="3:12" ht="111" customHeight="1"/>
    <row r="2" spans="3:12" ht="18">
      <c r="C2" s="2249" t="s">
        <v>2009</v>
      </c>
      <c r="D2" s="2249"/>
      <c r="E2" s="2249"/>
      <c r="F2" s="2249"/>
      <c r="G2" s="2249"/>
      <c r="H2" s="2278" t="s">
        <v>1855</v>
      </c>
      <c r="I2" s="2279"/>
      <c r="J2" s="2279"/>
      <c r="K2" s="2279"/>
      <c r="L2" s="2280"/>
    </row>
    <row r="3" spans="3:12" ht="56.4" customHeight="1"/>
    <row r="4" spans="3:12" ht="17.399999999999999">
      <c r="C4" s="880" t="s">
        <v>2010</v>
      </c>
      <c r="D4" s="1018" t="str">
        <f ca="1">IF(ISERROR(INDIRECT("'"&amp;$K10&amp;"'!e$2")),"-",IF(INDIRECT("'"&amp;$K10&amp;"'!e$2")=1,"X",""))</f>
        <v>-</v>
      </c>
      <c r="F4" s="882" t="s">
        <v>708</v>
      </c>
    </row>
    <row r="5" spans="3:12" ht="15.6">
      <c r="D5" s="903"/>
      <c r="F5" s="881"/>
    </row>
    <row r="6" spans="3:12" ht="15.6" customHeight="1">
      <c r="D6" s="1018" t="str">
        <f ca="1">IF(D4="X","","X")</f>
        <v>X</v>
      </c>
      <c r="F6" s="882" t="s">
        <v>327</v>
      </c>
    </row>
    <row r="7" spans="3:12" ht="15.6">
      <c r="D7" s="903"/>
      <c r="F7" s="881"/>
    </row>
    <row r="8" spans="3:12" ht="16.350000000000001" customHeight="1">
      <c r="D8" s="1018" t="str">
        <f ca="1">IF(ISERROR(INDIRECT("'"&amp;$K10&amp;"'!e$3")),"-",IF(INDIRECT("'"&amp;$K10&amp;"'!e$3")=TRUE,"X",""))</f>
        <v>-</v>
      </c>
      <c r="F8" s="882" t="s">
        <v>1276</v>
      </c>
    </row>
    <row r="10" spans="3:12" ht="17.399999999999999">
      <c r="C10" s="880" t="s">
        <v>724</v>
      </c>
      <c r="D10" s="2336" t="str">
        <f ca="1">IF(ISERROR(INDIRECT("'"&amp;$K10&amp;"'!b$13")),"-",INDIRECT("'"&amp;$K10&amp;"'!b$13"))</f>
        <v>-</v>
      </c>
      <c r="E10" s="2337"/>
      <c r="F10" s="2337"/>
      <c r="G10" s="2337"/>
      <c r="H10" s="2337"/>
      <c r="I10" s="2337"/>
      <c r="J10" s="2338"/>
      <c r="K10" s="55" t="str">
        <f ca="1">'Mes actions'!D71</f>
        <v/>
      </c>
    </row>
    <row r="11" spans="3:12">
      <c r="D11" s="2339"/>
      <c r="E11" s="2340"/>
      <c r="F11" s="2340"/>
      <c r="G11" s="2340"/>
      <c r="H11" s="2340"/>
      <c r="I11" s="2340"/>
      <c r="J11" s="2341"/>
    </row>
    <row r="14" spans="3:12" ht="17.399999999999999">
      <c r="C14" s="880" t="s">
        <v>2011</v>
      </c>
    </row>
    <row r="16" spans="3:12" ht="17.399999999999999" customHeight="1">
      <c r="C16" s="2353" t="s">
        <v>1073</v>
      </c>
      <c r="D16" s="2336" t="str">
        <f ca="1">IF(ISERROR(INDIRECT("'"&amp;$K10&amp;"'!b$11")),"-",INDIRECT("'"&amp;$K10&amp;"'!b$11"))</f>
        <v>-</v>
      </c>
      <c r="E16" s="2337"/>
      <c r="F16" s="2337"/>
      <c r="G16" s="2337"/>
      <c r="H16" s="2337"/>
      <c r="I16" s="2337"/>
      <c r="J16" s="2338"/>
    </row>
    <row r="17" spans="3:10">
      <c r="C17" s="2353"/>
      <c r="D17" s="2339"/>
      <c r="E17" s="2340"/>
      <c r="F17" s="2340"/>
      <c r="G17" s="2340"/>
      <c r="H17" s="2340"/>
      <c r="I17" s="2340"/>
      <c r="J17" s="2341"/>
    </row>
    <row r="19" spans="3:10" ht="34.799999999999997">
      <c r="C19" s="883" t="s">
        <v>2012</v>
      </c>
      <c r="D19" s="2332" t="str">
        <f ca="1">D16</f>
        <v>-</v>
      </c>
      <c r="E19" s="2333"/>
      <c r="F19" s="2333"/>
      <c r="G19" s="2333"/>
      <c r="H19" s="2333"/>
      <c r="I19" s="2333"/>
      <c r="J19" s="2334"/>
    </row>
    <row r="22" spans="3:10" ht="34.799999999999997">
      <c r="C22" s="883" t="s">
        <v>2013</v>
      </c>
      <c r="D22" s="2343" t="str">
        <f ca="1">IF(ISERROR(INDIRECT("'"&amp;$K10&amp;"'!b$14")),"-",INDIRECT("'"&amp;$K10&amp;"'!b$14"))</f>
        <v>-</v>
      </c>
      <c r="E22" s="2344"/>
      <c r="F22" s="2344"/>
      <c r="G22" s="2344"/>
      <c r="H22" s="2344"/>
      <c r="I22" s="2344"/>
      <c r="J22" s="2345"/>
    </row>
    <row r="23" spans="3:10">
      <c r="D23" s="2346"/>
      <c r="E23" s="2347"/>
      <c r="F23" s="2347"/>
      <c r="G23" s="2347"/>
      <c r="H23" s="2347"/>
      <c r="I23" s="2347"/>
      <c r="J23" s="2348"/>
    </row>
    <row r="24" spans="3:10">
      <c r="D24" s="2346"/>
      <c r="E24" s="2347"/>
      <c r="F24" s="2347"/>
      <c r="G24" s="2347"/>
      <c r="H24" s="2347"/>
      <c r="I24" s="2347"/>
      <c r="J24" s="2348"/>
    </row>
    <row r="25" spans="3:10">
      <c r="D25" s="2346"/>
      <c r="E25" s="2347"/>
      <c r="F25" s="2347"/>
      <c r="G25" s="2347"/>
      <c r="H25" s="2347"/>
      <c r="I25" s="2347"/>
      <c r="J25" s="2348"/>
    </row>
    <row r="26" spans="3:10">
      <c r="D26" s="2346"/>
      <c r="E26" s="2347"/>
      <c r="F26" s="2347"/>
      <c r="G26" s="2347"/>
      <c r="H26" s="2347"/>
      <c r="I26" s="2347"/>
      <c r="J26" s="2348"/>
    </row>
    <row r="27" spans="3:10">
      <c r="D27" s="2346"/>
      <c r="E27" s="2347"/>
      <c r="F27" s="2347"/>
      <c r="G27" s="2347"/>
      <c r="H27" s="2347"/>
      <c r="I27" s="2347"/>
      <c r="J27" s="2348"/>
    </row>
    <row r="28" spans="3:10">
      <c r="D28" s="2346"/>
      <c r="E28" s="2347"/>
      <c r="F28" s="2347"/>
      <c r="G28" s="2347"/>
      <c r="H28" s="2347"/>
      <c r="I28" s="2347"/>
      <c r="J28" s="2348"/>
    </row>
    <row r="29" spans="3:10">
      <c r="D29" s="2349"/>
      <c r="E29" s="2350"/>
      <c r="F29" s="2350"/>
      <c r="G29" s="2350"/>
      <c r="H29" s="2350"/>
      <c r="I29" s="2350"/>
      <c r="J29" s="2351"/>
    </row>
    <row r="31" spans="3:10" ht="31.35" customHeight="1">
      <c r="C31" s="884" t="s">
        <v>2014</v>
      </c>
      <c r="D31" s="2352"/>
      <c r="E31" s="2352"/>
      <c r="F31" s="2352"/>
      <c r="G31" s="2352"/>
      <c r="H31" s="2352"/>
      <c r="I31" s="2352"/>
      <c r="J31" s="2352"/>
    </row>
    <row r="33" spans="3:10" ht="28.35" customHeight="1">
      <c r="C33" s="884" t="s">
        <v>2015</v>
      </c>
      <c r="D33" s="2352"/>
      <c r="E33" s="2352"/>
      <c r="F33" s="2352"/>
      <c r="G33" s="2352"/>
      <c r="H33" s="2352"/>
      <c r="I33" s="2352"/>
      <c r="J33" s="2352"/>
    </row>
    <row r="35" spans="3:10" ht="17.399999999999999">
      <c r="C35" s="880" t="s">
        <v>2016</v>
      </c>
    </row>
    <row r="41" spans="3:10" ht="24" customHeight="1"/>
    <row r="42" spans="3:10" ht="34.799999999999997">
      <c r="C42" s="883" t="s">
        <v>2017</v>
      </c>
      <c r="D42" s="2332" t="str">
        <f ca="1">IF(ISERROR(INDIRECT("'"&amp;$K10&amp;"'!b$19")),"-",INDIRECT("'"&amp;$K10&amp;"'!b$20"))</f>
        <v>-</v>
      </c>
      <c r="E42" s="2333"/>
      <c r="F42" s="2333"/>
      <c r="G42" s="2333"/>
      <c r="H42" s="2333"/>
      <c r="I42" s="2333"/>
      <c r="J42" s="2334"/>
    </row>
    <row r="43" spans="3:10">
      <c r="E43" s="902"/>
      <c r="F43" s="902"/>
      <c r="G43" s="902"/>
      <c r="H43" s="902"/>
      <c r="I43" s="902"/>
      <c r="J43" s="902"/>
    </row>
    <row r="44" spans="3:10" ht="33.6" customHeight="1">
      <c r="C44" s="883" t="s">
        <v>2018</v>
      </c>
      <c r="D44" s="2332" t="str">
        <f ca="1">IF(ISERROR(INDIRECT("'"&amp;$K10&amp;"'!b$20")),"-",INDIRECT("'"&amp;$K10&amp;"'!b$21"))</f>
        <v>-</v>
      </c>
      <c r="E44" s="2333"/>
      <c r="F44" s="2333"/>
      <c r="G44" s="2333"/>
      <c r="H44" s="2333"/>
      <c r="I44" s="2333"/>
      <c r="J44" s="2334"/>
    </row>
    <row r="45" spans="3:10">
      <c r="E45" s="902"/>
      <c r="F45" s="902"/>
      <c r="G45" s="902"/>
      <c r="H45" s="902"/>
      <c r="I45" s="902"/>
      <c r="J45" s="902"/>
    </row>
    <row r="46" spans="3:10" ht="34.799999999999997">
      <c r="C46" s="883" t="s">
        <v>2019</v>
      </c>
      <c r="D46" s="2332" t="str">
        <f ca="1">IF(ISERROR(INDIRECT("'"&amp;$K10&amp;"'!e$6")),"-",INDIRECT("'"&amp;$K10&amp;"'!e$6"))</f>
        <v>-</v>
      </c>
      <c r="E46" s="2333"/>
      <c r="F46" s="2333"/>
      <c r="G46" s="2333"/>
      <c r="H46" s="2333"/>
      <c r="I46" s="2333"/>
      <c r="J46" s="2334"/>
    </row>
    <row r="49" spans="3:10" ht="36">
      <c r="C49" s="655" t="s">
        <v>2020</v>
      </c>
    </row>
    <row r="51" spans="3:10" ht="23.4" customHeight="1" thickBot="1">
      <c r="C51" s="2322" t="s">
        <v>1282</v>
      </c>
      <c r="D51" s="2322"/>
      <c r="E51" s="2322"/>
      <c r="F51" s="2322"/>
      <c r="G51" s="2322"/>
      <c r="H51" s="2322"/>
      <c r="I51" s="2342"/>
      <c r="J51" s="885" t="s">
        <v>2021</v>
      </c>
    </row>
    <row r="52" spans="3:10" ht="32.4" customHeight="1" thickBot="1">
      <c r="C52" s="2335" t="s">
        <v>1291</v>
      </c>
      <c r="D52" s="2335"/>
      <c r="E52" s="2335"/>
      <c r="F52" s="2335"/>
      <c r="G52" s="2335"/>
      <c r="H52" s="2335"/>
      <c r="I52" s="2335"/>
      <c r="J52" s="904"/>
    </row>
    <row r="53" spans="3:10" ht="32.4" customHeight="1" thickBot="1">
      <c r="C53" s="2335" t="s">
        <v>1300</v>
      </c>
      <c r="D53" s="2335"/>
      <c r="E53" s="2335"/>
      <c r="F53" s="2335"/>
      <c r="G53" s="2335"/>
      <c r="H53" s="2335"/>
      <c r="I53" s="2335"/>
      <c r="J53" s="904"/>
    </row>
    <row r="54" spans="3:10" ht="32.4" customHeight="1" thickBot="1">
      <c r="C54" s="2335" t="s">
        <v>1310</v>
      </c>
      <c r="D54" s="2335"/>
      <c r="E54" s="2335"/>
      <c r="F54" s="2335"/>
      <c r="G54" s="2335"/>
      <c r="H54" s="2335"/>
      <c r="I54" s="2335"/>
      <c r="J54" s="904"/>
    </row>
    <row r="55" spans="3:10" ht="32.4" customHeight="1" thickBot="1">
      <c r="C55" s="2335" t="s">
        <v>1318</v>
      </c>
      <c r="D55" s="2335"/>
      <c r="E55" s="2335"/>
      <c r="F55" s="2335"/>
      <c r="G55" s="2335"/>
      <c r="H55" s="2335"/>
      <c r="I55" s="2335"/>
      <c r="J55" s="904"/>
    </row>
    <row r="56" spans="3:10" ht="32.4" customHeight="1" thickBot="1">
      <c r="C56" s="2335" t="s">
        <v>1326</v>
      </c>
      <c r="D56" s="2335"/>
      <c r="E56" s="2335"/>
      <c r="F56" s="2335"/>
      <c r="G56" s="2335"/>
      <c r="H56" s="2335"/>
      <c r="I56" s="2335"/>
      <c r="J56" s="904"/>
    </row>
    <row r="57" spans="3:10" ht="32.4" customHeight="1" thickBot="1">
      <c r="C57" s="2335" t="s">
        <v>1331</v>
      </c>
      <c r="D57" s="2335"/>
      <c r="E57" s="2335"/>
      <c r="F57" s="2335"/>
      <c r="G57" s="2335"/>
      <c r="H57" s="2335"/>
      <c r="I57" s="2335"/>
      <c r="J57" s="904"/>
    </row>
    <row r="58" spans="3:10" ht="32.4" customHeight="1" thickBot="1">
      <c r="C58" s="2335" t="s">
        <v>1336</v>
      </c>
      <c r="D58" s="2335"/>
      <c r="E58" s="2335"/>
      <c r="F58" s="2335"/>
      <c r="G58" s="2335"/>
      <c r="H58" s="2335"/>
      <c r="I58" s="2335"/>
      <c r="J58" s="904"/>
    </row>
    <row r="59" spans="3:10" ht="32.4" customHeight="1" thickBot="1">
      <c r="C59" s="2335" t="s">
        <v>775</v>
      </c>
      <c r="D59" s="2335"/>
      <c r="E59" s="2335"/>
      <c r="F59" s="2335"/>
      <c r="G59" s="2335"/>
      <c r="H59" s="2335"/>
      <c r="I59" s="2335"/>
      <c r="J59" s="904"/>
    </row>
    <row r="61" spans="3:10" ht="17.399999999999999">
      <c r="C61" s="880" t="s">
        <v>91</v>
      </c>
      <c r="D61" s="2354"/>
      <c r="E61" s="2354"/>
      <c r="F61" s="2354"/>
      <c r="G61" s="2354"/>
      <c r="H61" s="2354"/>
      <c r="I61" s="2354"/>
    </row>
    <row r="62" spans="3:10">
      <c r="D62" s="2354"/>
      <c r="E62" s="2354"/>
      <c r="F62" s="2354"/>
      <c r="G62" s="2354"/>
      <c r="H62" s="2354"/>
      <c r="I62" s="2354"/>
    </row>
    <row r="63" spans="3:10">
      <c r="D63" s="2354"/>
      <c r="E63" s="2354"/>
      <c r="F63" s="2354"/>
      <c r="G63" s="2354"/>
      <c r="H63" s="2354"/>
      <c r="I63" s="2354"/>
    </row>
    <row r="64" spans="3:10">
      <c r="D64" s="2354"/>
      <c r="E64" s="2354"/>
      <c r="F64" s="2354"/>
      <c r="G64" s="2354"/>
      <c r="H64" s="2354"/>
      <c r="I64" s="2354"/>
    </row>
    <row r="65" spans="3:10">
      <c r="D65" s="2354"/>
      <c r="E65" s="2354"/>
      <c r="F65" s="2354"/>
      <c r="G65" s="2354"/>
      <c r="H65" s="2354"/>
      <c r="I65" s="2354"/>
    </row>
    <row r="66" spans="3:10">
      <c r="D66" s="2354"/>
      <c r="E66" s="2354"/>
      <c r="F66" s="2354"/>
      <c r="G66" s="2354"/>
      <c r="H66" s="2354"/>
      <c r="I66" s="2354"/>
    </row>
    <row r="67" spans="3:10">
      <c r="D67" s="2354"/>
      <c r="E67" s="2354"/>
      <c r="F67" s="2354"/>
      <c r="G67" s="2354"/>
      <c r="H67" s="2354"/>
      <c r="I67" s="2354"/>
    </row>
    <row r="69" spans="3:10" ht="55.35" customHeight="1">
      <c r="C69" s="886" t="s">
        <v>2022</v>
      </c>
    </row>
    <row r="70" spans="3:10" ht="33.6" customHeight="1">
      <c r="C70" s="883" t="s">
        <v>2023</v>
      </c>
      <c r="D70" s="2355" t="str">
        <f ca="1">IF(ISERROR(INDIRECT("'"&amp;$K10&amp;"'!b$22")),"-",INDIRECT("'"&amp;$K10&amp;"'!b$23"))</f>
        <v>-</v>
      </c>
      <c r="E70" s="2355"/>
      <c r="F70" s="2355"/>
      <c r="G70" s="2355"/>
      <c r="H70" s="2355"/>
      <c r="I70" s="2355"/>
    </row>
    <row r="72" spans="3:10" ht="28.35" customHeight="1" thickBot="1">
      <c r="C72" s="2322" t="s">
        <v>1283</v>
      </c>
      <c r="D72" s="2322"/>
      <c r="E72" s="2322"/>
      <c r="F72" s="2322"/>
      <c r="G72" s="2322"/>
      <c r="H72" s="2322"/>
      <c r="I72" s="2342"/>
      <c r="J72" s="885" t="s">
        <v>2021</v>
      </c>
    </row>
    <row r="73" spans="3:10" ht="28.35" customHeight="1" thickBot="1">
      <c r="C73" s="2335" t="s">
        <v>1292</v>
      </c>
      <c r="D73" s="2335"/>
      <c r="E73" s="2335"/>
      <c r="F73" s="2335"/>
      <c r="G73" s="2335"/>
      <c r="H73" s="2335"/>
      <c r="I73" s="2356"/>
      <c r="J73" s="1020" t="s">
        <v>1304</v>
      </c>
    </row>
    <row r="74" spans="3:10" ht="28.35" customHeight="1" thickBot="1">
      <c r="C74" s="2335" t="s">
        <v>1301</v>
      </c>
      <c r="D74" s="2335"/>
      <c r="E74" s="2335"/>
      <c r="F74" s="2335"/>
      <c r="G74" s="2335"/>
      <c r="H74" s="2335"/>
      <c r="I74" s="2356"/>
      <c r="J74" s="1021" t="str">
        <f ca="1">IF(ISERROR(INDIRECT("'"&amp;$K10&amp;"'!f$25")),"-",IF(INDIRECT("'"&amp;$K10&amp;"'!f$25")="Subvention nationale/régionale","X",""))</f>
        <v>-</v>
      </c>
    </row>
    <row r="75" spans="3:10" ht="28.35" customHeight="1" thickBot="1">
      <c r="C75" s="2335" t="s">
        <v>1311</v>
      </c>
      <c r="D75" s="2335"/>
      <c r="E75" s="2335"/>
      <c r="F75" s="2335"/>
      <c r="G75" s="2335"/>
      <c r="H75" s="2335"/>
      <c r="I75" s="2356"/>
      <c r="J75" s="1021"/>
    </row>
    <row r="76" spans="3:10" ht="28.35" customHeight="1" thickBot="1">
      <c r="C76" s="2335" t="s">
        <v>1319</v>
      </c>
      <c r="D76" s="2335"/>
      <c r="E76" s="2335"/>
      <c r="F76" s="2335"/>
      <c r="G76" s="2335"/>
      <c r="H76" s="2335"/>
      <c r="I76" s="2356"/>
      <c r="J76" s="1022" t="str">
        <f ca="1">IF(ISERROR(INDIRECT("'"&amp;$K10&amp;"'!f$25")),"-",IF(INDIRECT("'"&amp;$K10&amp;"'!f$25")="Programme européen","X",""))</f>
        <v>-</v>
      </c>
    </row>
    <row r="77" spans="3:10" ht="28.35" customHeight="1" thickBot="1">
      <c r="C77" s="2335" t="s">
        <v>1327</v>
      </c>
      <c r="D77" s="2335"/>
      <c r="E77" s="2335"/>
      <c r="F77" s="2335"/>
      <c r="G77" s="2335"/>
      <c r="H77" s="2335"/>
      <c r="I77" s="2335"/>
      <c r="J77" s="1019"/>
    </row>
    <row r="78" spans="3:10" ht="28.35" customHeight="1" thickBot="1">
      <c r="C78" s="2335" t="s">
        <v>1332</v>
      </c>
      <c r="D78" s="2335"/>
      <c r="E78" s="2335"/>
      <c r="F78" s="2335"/>
      <c r="G78" s="2335"/>
      <c r="H78" s="2335"/>
      <c r="I78" s="2335"/>
      <c r="J78" s="905"/>
    </row>
    <row r="79" spans="3:10" ht="28.35" customHeight="1" thickBot="1">
      <c r="C79" s="2335" t="s">
        <v>157</v>
      </c>
      <c r="D79" s="2335"/>
      <c r="E79" s="2335"/>
      <c r="F79" s="2335"/>
      <c r="G79" s="2335"/>
      <c r="H79" s="2335"/>
      <c r="I79" s="2335"/>
      <c r="J79" s="905"/>
    </row>
    <row r="82" spans="3:10" ht="34.799999999999997">
      <c r="C82" s="883" t="s">
        <v>2024</v>
      </c>
      <c r="D82" s="2357" t="str">
        <f ca="1">IF(ISERROR(INDIRECT("'"&amp;$K10&amp;"'!d$22")),"-",IF(INDIRECT("'"&amp;$K10&amp;"'!d$23")="Investissement",D70,""))</f>
        <v>-</v>
      </c>
      <c r="E82" s="2358"/>
      <c r="F82" s="2358"/>
      <c r="G82" s="2358"/>
      <c r="H82" s="2358"/>
      <c r="I82" s="2359"/>
    </row>
    <row r="83" spans="3:10">
      <c r="D83" s="906"/>
      <c r="E83" s="906"/>
      <c r="F83" s="906"/>
      <c r="G83" s="906"/>
      <c r="H83" s="906"/>
      <c r="I83" s="906"/>
    </row>
    <row r="84" spans="3:10" ht="34.799999999999997">
      <c r="C84" s="883" t="s">
        <v>2025</v>
      </c>
      <c r="D84" s="2357" t="str">
        <f ca="1">IF(ISERROR(INDIRECT("'"&amp;$K10&amp;"'!d$22")),"-",IF(INDIRECT("'"&amp;$K10&amp;"'!d$23")="Non-investissement",D70,""))</f>
        <v>-</v>
      </c>
      <c r="E84" s="2358"/>
      <c r="F84" s="2358"/>
      <c r="G84" s="2358"/>
      <c r="H84" s="2358"/>
      <c r="I84" s="2359"/>
    </row>
    <row r="91" spans="3:10" ht="36" customHeight="1">
      <c r="C91" s="2249" t="s">
        <v>2026</v>
      </c>
      <c r="D91" s="2249"/>
      <c r="E91" s="2249"/>
      <c r="F91" s="2249"/>
    </row>
    <row r="92" spans="3:10" outlineLevel="1"/>
    <row r="93" spans="3:10" ht="17.399999999999999" outlineLevel="1">
      <c r="C93" s="883" t="s">
        <v>103</v>
      </c>
      <c r="D93" s="2332" t="str">
        <f ca="1">IF(D4="X",IF(ISNA(VLOOKUP(INDIRECT("'"&amp;$K10&amp;"'!A$5"),Categories!X35:Y45,2,0)),"",VLOOKUP(INDIRECT("'"&amp;$K10&amp;"'!A$5"),Categories!X35:Y45,2,0)),"")</f>
        <v/>
      </c>
      <c r="E93" s="2333"/>
      <c r="F93" s="2333"/>
      <c r="G93" s="2333"/>
      <c r="H93" s="2333"/>
      <c r="I93" s="2333"/>
      <c r="J93" s="2334"/>
    </row>
    <row r="94" spans="3:10" outlineLevel="1"/>
    <row r="95" spans="3:10" ht="34.799999999999997" outlineLevel="1">
      <c r="C95" s="883" t="s">
        <v>2027</v>
      </c>
      <c r="D95" s="2332" t="str">
        <f ca="1">IF(D4="X",IF(ISERROR(INDIRECT("'"&amp;$K10&amp;"'!b$9")),"-",INDIRECT("'"&amp;$K10&amp;"'!b$9")),"")</f>
        <v/>
      </c>
      <c r="E95" s="2333"/>
      <c r="F95" s="2333"/>
      <c r="G95" s="2333"/>
      <c r="H95" s="2333"/>
      <c r="I95" s="2333"/>
      <c r="J95" s="2334"/>
    </row>
    <row r="96" spans="3:10" outlineLevel="1"/>
    <row r="97" spans="3:10" ht="17.399999999999999" outlineLevel="1">
      <c r="C97" s="883" t="s">
        <v>2028</v>
      </c>
      <c r="D97" s="2332" t="str">
        <f ca="1">IF(D4="X",IF(ISERROR(INDIRECT("'"&amp;$K10&amp;"'!d$9")),"-",INDIRECT("'"&amp;$K10&amp;"'!d$9")),"")</f>
        <v/>
      </c>
      <c r="E97" s="2333"/>
      <c r="F97" s="2333"/>
      <c r="G97" s="2333"/>
      <c r="H97" s="2333"/>
      <c r="I97" s="2333"/>
      <c r="J97" s="2334"/>
    </row>
    <row r="98" spans="3:10" outlineLevel="1"/>
    <row r="99" spans="3:10" outlineLevel="1"/>
    <row r="100" spans="3:10" ht="18" outlineLevel="1">
      <c r="C100" s="2249" t="s">
        <v>2029</v>
      </c>
      <c r="D100" s="2249"/>
      <c r="E100" s="2249"/>
      <c r="F100" s="2249"/>
    </row>
    <row r="101" spans="3:10" outlineLevel="1"/>
    <row r="102" spans="3:10" outlineLevel="1">
      <c r="C102" s="907"/>
      <c r="D102" s="2322">
        <v>2030</v>
      </c>
      <c r="E102" s="2322"/>
      <c r="F102" s="2322"/>
    </row>
    <row r="103" spans="3:10" ht="28.8" outlineLevel="1">
      <c r="C103" s="1023" t="s">
        <v>1991</v>
      </c>
      <c r="D103" s="2323" t="str">
        <f ca="1">IF(ISNA(VLOOKUP(D10,Actions!G2:AL70,22,0)),"",VLOOKUP(D10,Actions!G2:AL70,27,0))</f>
        <v/>
      </c>
      <c r="E103" s="2324"/>
      <c r="F103" s="2325"/>
    </row>
    <row r="104" spans="3:10" ht="28.8" outlineLevel="1">
      <c r="C104" s="1024" t="s">
        <v>1081</v>
      </c>
      <c r="D104" s="2363" t="str">
        <f ca="1">IF(ISNA(VLOOKUP(D10,Actions!G2:AL70,22,0)),"",VLOOKUP(D10,Actions!G2:AL70,28,0))</f>
        <v/>
      </c>
      <c r="E104" s="2364"/>
      <c r="F104" s="2365"/>
    </row>
    <row r="105" spans="3:10" outlineLevel="1">
      <c r="C105" s="1025" t="s">
        <v>2030</v>
      </c>
      <c r="D105" s="2360" t="str">
        <f ca="1">IF(ISNA(VLOOKUP(D10,Actions!G2:AL70,22,0)),"",VLOOKUP(D10,Actions!G2:AL70,29,0))</f>
        <v/>
      </c>
      <c r="E105" s="2361"/>
      <c r="F105" s="2362"/>
    </row>
    <row r="108" spans="3:10" ht="18">
      <c r="C108" s="2249" t="s">
        <v>2031</v>
      </c>
      <c r="D108" s="2249"/>
      <c r="E108" s="2249"/>
      <c r="F108" s="2249"/>
    </row>
    <row r="109" spans="3:10" ht="18">
      <c r="C109" s="2249"/>
      <c r="D109" s="2249"/>
      <c r="E109" s="2249"/>
      <c r="F109" s="2249"/>
    </row>
    <row r="110" spans="3:10" ht="29.4" customHeight="1" outlineLevel="1" thickBot="1">
      <c r="C110" s="657" t="s">
        <v>1284</v>
      </c>
      <c r="D110" s="2306" t="s">
        <v>2032</v>
      </c>
      <c r="E110" s="2307"/>
      <c r="F110" s="2307"/>
    </row>
    <row r="111" spans="3:10" ht="15" outlineLevel="1" thickBot="1">
      <c r="C111" s="1026" t="s">
        <v>1293</v>
      </c>
      <c r="D111" s="2319" t="str">
        <f ca="1">IF(ISNA(VLOOKUP($K$10,Actions!$A$2:$O$46,15,0)),"",IF(VLOOKUP($K$10,Actions!$A$2:$O$46,15,0)='Détails action 8'!C111,"X",""))</f>
        <v/>
      </c>
      <c r="E111" s="2320"/>
      <c r="F111" s="2321"/>
    </row>
    <row r="112" spans="3:10" ht="15" outlineLevel="1" thickBot="1">
      <c r="C112" s="1026" t="s">
        <v>1302</v>
      </c>
      <c r="D112" s="2317" t="str">
        <f ca="1">IF(ISNA(VLOOKUP($K$10,Actions!$A$2:$O$46,15,0)),"",IF(VLOOKUP($K$10,Actions!$A$2:$O$46,15,0)='Détails action 8'!C112,"X",""))</f>
        <v/>
      </c>
      <c r="E112" s="2301"/>
      <c r="F112" s="2318"/>
    </row>
    <row r="113" spans="3:6" ht="15" outlineLevel="1" thickBot="1">
      <c r="C113" s="1026" t="s">
        <v>1312</v>
      </c>
      <c r="D113" s="2317" t="str">
        <f ca="1">IF(ISNA(VLOOKUP($K$10,Actions!$A$2:$O$46,15,0)),"",IF(VLOOKUP($K$10,Actions!$A$2:$O$46,15,0)='Détails action 8'!C113,"X",""))</f>
        <v/>
      </c>
      <c r="E113" s="2301"/>
      <c r="F113" s="2318"/>
    </row>
    <row r="114" spans="3:6" ht="28.35" customHeight="1" outlineLevel="1" thickBot="1">
      <c r="C114" s="1026" t="s">
        <v>1320</v>
      </c>
      <c r="D114" s="2317" t="str">
        <f ca="1">IF(ISNA(VLOOKUP($K$10,Actions!$A$2:$O$46,15,0)),"",IF(VLOOKUP($K$10,Actions!$A$2:$O$46,15,0)='Détails action 8'!C114,"X",""))</f>
        <v/>
      </c>
      <c r="E114" s="2301"/>
      <c r="F114" s="2318"/>
    </row>
    <row r="115" spans="3:6" ht="15" outlineLevel="1" thickBot="1">
      <c r="C115" s="1026" t="s">
        <v>1328</v>
      </c>
      <c r="D115" s="2317" t="str">
        <f ca="1">IF(ISNA(VLOOKUP($K$10,Actions!$A$2:$O$46,15,0)),"",IF(VLOOKUP($K$10,Actions!$A$2:$O$46,15,0)='Détails action 8'!C115,"X",""))</f>
        <v/>
      </c>
      <c r="E115" s="2301"/>
      <c r="F115" s="2318"/>
    </row>
    <row r="116" spans="3:6" ht="15" outlineLevel="1" thickBot="1">
      <c r="C116" s="1026" t="s">
        <v>1333</v>
      </c>
      <c r="D116" s="2317" t="str">
        <f ca="1">IF(ISNA(VLOOKUP($K$10,Actions!$A$2:$O$46,15,0)),"",IF(VLOOKUP($K$10,Actions!$A$2:$O$46,15,0)='Détails action 8'!C116,"X",""))</f>
        <v/>
      </c>
      <c r="E116" s="2301"/>
      <c r="F116" s="2318"/>
    </row>
    <row r="117" spans="3:6" ht="15" outlineLevel="1" thickBot="1">
      <c r="C117" s="1026" t="s">
        <v>1337</v>
      </c>
      <c r="D117" s="2317" t="str">
        <f ca="1">IF(ISNA(VLOOKUP($K$10,Actions!$A$2:$O$46,15,0)),"",IF(VLOOKUP($K$10,Actions!$A$2:$O$46,15,0)='Détails action 8'!C117,"X",""))</f>
        <v/>
      </c>
      <c r="E117" s="2301"/>
      <c r="F117" s="2318"/>
    </row>
    <row r="118" spans="3:6" ht="15" outlineLevel="1" thickBot="1">
      <c r="C118" s="1026" t="s">
        <v>1339</v>
      </c>
      <c r="D118" s="2317" t="str">
        <f ca="1">IF(ISNA(VLOOKUP($K$10,Actions!$A$2:$O$46,15,0)),"",IF(VLOOKUP($K$10,Actions!$A$2:$O$46,15,0)='Détails action 8'!C118,"X",""))</f>
        <v/>
      </c>
      <c r="E118" s="2301"/>
      <c r="F118" s="2318"/>
    </row>
    <row r="119" spans="3:6" ht="15" outlineLevel="1" thickBot="1">
      <c r="C119" s="1026" t="s">
        <v>1342</v>
      </c>
      <c r="D119" s="2317" t="str">
        <f ca="1">IF(ISNA(VLOOKUP($K$10,Actions!$A$2:$O$46,15,0)),"",IF(VLOOKUP($K$10,Actions!$A$2:$O$46,15,0)='Détails action 8'!C119,"X",""))</f>
        <v/>
      </c>
      <c r="E119" s="2301"/>
      <c r="F119" s="2318"/>
    </row>
    <row r="120" spans="3:6" ht="15" outlineLevel="1" thickBot="1">
      <c r="C120" s="1026" t="s">
        <v>1345</v>
      </c>
      <c r="D120" s="2317" t="str">
        <f ca="1">IF(ISNA(VLOOKUP($K$10,Actions!$A$2:$O$46,15,0)),"",IF(VLOOKUP($K$10,Actions!$A$2:$O$46,15,0)='Détails action 8'!C120,"X",""))</f>
        <v/>
      </c>
      <c r="E120" s="2301"/>
      <c r="F120" s="2318"/>
    </row>
    <row r="121" spans="3:6" ht="15" outlineLevel="1" thickBot="1">
      <c r="C121" s="1026" t="s">
        <v>157</v>
      </c>
      <c r="D121" s="2314" t="str">
        <f ca="1">IF(ISNA(VLOOKUP($K$10,Actions!$A$2:$O$46,15,0)),"",IF(VLOOKUP($K$10,Actions!$A$2:$O$46,15,0)='Détails action 8'!C121,"X",""))</f>
        <v/>
      </c>
      <c r="E121" s="2315"/>
      <c r="F121" s="2316"/>
    </row>
    <row r="122" spans="3:6" outlineLevel="1">
      <c r="C122" s="909"/>
      <c r="D122" s="910"/>
    </row>
    <row r="123" spans="3:6" ht="15" outlineLevel="1" thickBot="1">
      <c r="C123" s="657" t="s">
        <v>2033</v>
      </c>
      <c r="D123" s="2306" t="s">
        <v>2032</v>
      </c>
      <c r="E123" s="2307"/>
      <c r="F123" s="2307"/>
    </row>
    <row r="124" spans="3:6" ht="15" outlineLevel="1" thickBot="1">
      <c r="C124" s="1026" t="s">
        <v>866</v>
      </c>
      <c r="D124" s="2311" t="str">
        <f ca="1">IF(ISNA(VLOOKUP($K$10,Actions!$A$2:$O$46,15,0)),"",IF(VLOOKUP($K$10,Actions!$A$2:$O$46,8,0)='Détails action 8'!C124,"X",""))</f>
        <v/>
      </c>
      <c r="E124" s="2312"/>
      <c r="F124" s="2313"/>
    </row>
    <row r="125" spans="3:6" ht="15" outlineLevel="1" thickBot="1">
      <c r="C125" s="1026" t="s">
        <v>870</v>
      </c>
      <c r="D125" s="2308" t="str">
        <f ca="1">IF(ISNA(VLOOKUP($K$10,Actions!$A$2:$O$46,15,0)),"",IF(VLOOKUP($K$10,Actions!$A$2:$O$46,8,0)='Détails action 8'!C125,"X",""))</f>
        <v/>
      </c>
      <c r="E125" s="2309"/>
      <c r="F125" s="2310"/>
    </row>
    <row r="126" spans="3:6" ht="15" outlineLevel="1" thickBot="1">
      <c r="C126" s="1026" t="s">
        <v>876</v>
      </c>
      <c r="D126" s="2308" t="str">
        <f ca="1">IF(ISNA(VLOOKUP($K$10,Actions!$A$2:$O$46,15,0)),"",IF(VLOOKUP($K$10,Actions!$A$2:$O$46,8,0)='Détails action 8'!C126,"X",""))</f>
        <v/>
      </c>
      <c r="E126" s="2309"/>
      <c r="F126" s="2310"/>
    </row>
    <row r="127" spans="3:6" ht="15" outlineLevel="1" thickBot="1">
      <c r="C127" s="1026" t="s">
        <v>881</v>
      </c>
      <c r="D127" s="2308" t="str">
        <f ca="1">IF(ISNA(VLOOKUP($K$10,Actions!$A$2:$O$46,15,0)),"",IF(VLOOKUP($K$10,Actions!$A$2:$O$46,8,0)='Détails action 8'!C127,"X",""))</f>
        <v/>
      </c>
      <c r="E127" s="2309"/>
      <c r="F127" s="2310"/>
    </row>
    <row r="128" spans="3:6" ht="15" outlineLevel="1" thickBot="1">
      <c r="C128" s="1026" t="s">
        <v>884</v>
      </c>
      <c r="D128" s="2308" t="str">
        <f ca="1">IF(ISNA(VLOOKUP($K$10,Actions!$A$2:$O$46,15,0)),"",IF(VLOOKUP($K$10,Actions!$A$2:$O$46,8,0)='Détails action 8'!C128,"X",""))</f>
        <v/>
      </c>
      <c r="E128" s="2309"/>
      <c r="F128" s="2310"/>
    </row>
    <row r="129" spans="3:6" ht="15" outlineLevel="1" thickBot="1">
      <c r="C129" s="1026" t="s">
        <v>887</v>
      </c>
      <c r="D129" s="2308" t="str">
        <f ca="1">IF(ISNA(VLOOKUP($K$10,Actions!$A$2:$O$46,15,0)),"",IF(VLOOKUP($K$10,Actions!$A$2:$O$46,8,0)='Détails action 8'!C129,"X",""))</f>
        <v/>
      </c>
      <c r="E129" s="2309"/>
      <c r="F129" s="2310"/>
    </row>
    <row r="130" spans="3:6" ht="15" outlineLevel="1" thickBot="1">
      <c r="C130" s="1026" t="s">
        <v>889</v>
      </c>
      <c r="D130" s="2308" t="str">
        <f ca="1">IF(ISNA(VLOOKUP($K$10,Actions!$A$2:$O$46,15,0)),"",IF(VLOOKUP($K$10,Actions!$A$2:$O$46,8,0)='Détails action 8'!C130,"X",""))</f>
        <v/>
      </c>
      <c r="E130" s="2309"/>
      <c r="F130" s="2310"/>
    </row>
    <row r="131" spans="3:6" ht="30.6" customHeight="1" outlineLevel="1" thickBot="1">
      <c r="C131" s="1026" t="s">
        <v>891</v>
      </c>
      <c r="D131" s="2308" t="str">
        <f ca="1">IF(ISNA(VLOOKUP($K$10,Actions!$A$2:$O$46,15,0)),"",IF(VLOOKUP($K$10,Actions!$A$2:$O$46,8,0)='Détails action 8'!C131,"X",""))</f>
        <v/>
      </c>
      <c r="E131" s="2309"/>
      <c r="F131" s="2310"/>
    </row>
    <row r="132" spans="3:6" ht="15" outlineLevel="1" thickBot="1">
      <c r="C132" s="1026" t="s">
        <v>892</v>
      </c>
      <c r="D132" s="2308" t="str">
        <f ca="1">IF(ISNA(VLOOKUP($K$10,Actions!$A$2:$O$46,15,0)),"",IF(VLOOKUP($K$10,Actions!$A$2:$O$46,8,0)='Détails action 8'!C132,"X",""))</f>
        <v/>
      </c>
      <c r="E132" s="2309"/>
      <c r="F132" s="2310"/>
    </row>
    <row r="133" spans="3:6" ht="28.35" customHeight="1" outlineLevel="1" thickBot="1">
      <c r="C133" s="1026" t="s">
        <v>898</v>
      </c>
      <c r="D133" s="2308" t="str">
        <f ca="1">IF(ISNA(VLOOKUP($K$10,Actions!$A$2:$O$46,15,0)),"",IF(VLOOKUP($K$10,Actions!$A$2:$O$46,8,0)='Détails action 8'!C133,"X",""))</f>
        <v/>
      </c>
      <c r="E133" s="2309"/>
      <c r="F133" s="2310"/>
    </row>
    <row r="134" spans="3:6" ht="15" outlineLevel="1" thickBot="1">
      <c r="C134" s="1026" t="s">
        <v>904</v>
      </c>
      <c r="D134" s="2308" t="str">
        <f ca="1">IF(ISNA(VLOOKUP($K$10,Actions!$A$2:$O$46,15,0)),"",IF(VLOOKUP($K$10,Actions!$A$2:$O$46,8,0)='Détails action 8'!C134,"X",""))</f>
        <v/>
      </c>
      <c r="E134" s="2309"/>
      <c r="F134" s="2310"/>
    </row>
    <row r="135" spans="3:6" ht="15" outlineLevel="1" thickBot="1">
      <c r="C135" s="1026" t="s">
        <v>909</v>
      </c>
      <c r="D135" s="2308" t="str">
        <f ca="1">IF(ISNA(VLOOKUP($K$10,Actions!$A$2:$O$46,15,0)),"",IF(VLOOKUP($K$10,Actions!$A$2:$O$46,8,0)='Détails action 8'!C135,"X",""))</f>
        <v/>
      </c>
      <c r="E135" s="2309"/>
      <c r="F135" s="2310"/>
    </row>
    <row r="136" spans="3:6" ht="42" customHeight="1" outlineLevel="1" thickBot="1">
      <c r="C136" s="1026" t="s">
        <v>914</v>
      </c>
      <c r="D136" s="2303" t="str">
        <f ca="1">IF(ISNA(VLOOKUP($K$10,Actions!$A$2:$O$46,15,0)),"",IF(VLOOKUP($K$10,Actions!$A$2:$O$46,8,0)='Détails action 8'!C136,"X",""))</f>
        <v/>
      </c>
      <c r="E136" s="2304"/>
      <c r="F136" s="2305"/>
    </row>
    <row r="138" spans="3:6" ht="29.4" thickBot="1">
      <c r="C138" s="657" t="s">
        <v>2034</v>
      </c>
      <c r="D138" s="2306" t="s">
        <v>2032</v>
      </c>
      <c r="E138" s="2307"/>
      <c r="F138" s="2307"/>
    </row>
    <row r="139" spans="3:6" ht="15" thickBot="1">
      <c r="C139" s="908" t="s">
        <v>1694</v>
      </c>
      <c r="D139" s="2300"/>
      <c r="E139" s="2301"/>
      <c r="F139" s="2302"/>
    </row>
    <row r="140" spans="3:6" ht="15" thickBot="1">
      <c r="C140" s="908" t="s">
        <v>1695</v>
      </c>
      <c r="D140" s="2300"/>
      <c r="E140" s="2301"/>
      <c r="F140" s="2302"/>
    </row>
    <row r="141" spans="3:6" ht="15" thickBot="1">
      <c r="C141" s="908" t="s">
        <v>1696</v>
      </c>
      <c r="D141" s="2300"/>
      <c r="E141" s="2301"/>
      <c r="F141" s="2302"/>
    </row>
    <row r="142" spans="3:6" ht="15" thickBot="1">
      <c r="C142" s="908" t="s">
        <v>1697</v>
      </c>
      <c r="D142" s="2300"/>
      <c r="E142" s="2301"/>
      <c r="F142" s="2302"/>
    </row>
    <row r="143" spans="3:6" ht="15" thickBot="1">
      <c r="C143" s="908" t="s">
        <v>1698</v>
      </c>
      <c r="D143" s="2300"/>
      <c r="E143" s="2301"/>
      <c r="F143" s="2302"/>
    </row>
    <row r="144" spans="3:6" ht="15" thickBot="1">
      <c r="C144" s="908" t="s">
        <v>1699</v>
      </c>
      <c r="D144" s="2300"/>
      <c r="E144" s="2301"/>
      <c r="F144" s="2302"/>
    </row>
    <row r="145" spans="3:6" ht="28.35" customHeight="1" thickBot="1">
      <c r="C145" s="908" t="s">
        <v>1700</v>
      </c>
      <c r="D145" s="2300"/>
      <c r="E145" s="2301"/>
      <c r="F145" s="2302"/>
    </row>
    <row r="146" spans="3:6" ht="15" thickBot="1">
      <c r="C146" s="908" t="s">
        <v>1701</v>
      </c>
      <c r="D146" s="2300"/>
      <c r="E146" s="2301"/>
      <c r="F146" s="2302"/>
    </row>
    <row r="147" spans="3:6" ht="15" thickBot="1">
      <c r="C147" s="908" t="s">
        <v>1702</v>
      </c>
      <c r="D147" s="2300"/>
      <c r="E147" s="2301"/>
      <c r="F147" s="2302"/>
    </row>
    <row r="148" spans="3:6" ht="28.35" customHeight="1" thickBot="1">
      <c r="C148" s="908" t="s">
        <v>1703</v>
      </c>
      <c r="D148" s="2300"/>
      <c r="E148" s="2301"/>
      <c r="F148" s="2302"/>
    </row>
    <row r="149" spans="3:6" ht="28.35" customHeight="1" thickBot="1">
      <c r="C149" s="908" t="s">
        <v>1704</v>
      </c>
      <c r="D149" s="2300"/>
      <c r="E149" s="2301"/>
      <c r="F149" s="2302"/>
    </row>
    <row r="150" spans="3:6" ht="15" thickBot="1">
      <c r="C150" s="908" t="s">
        <v>157</v>
      </c>
      <c r="D150" s="2300"/>
      <c r="E150" s="2301"/>
      <c r="F150" s="2302"/>
    </row>
    <row r="151" spans="3:6" ht="15" thickBot="1">
      <c r="C151" s="908" t="s">
        <v>661</v>
      </c>
      <c r="D151" s="2300"/>
      <c r="E151" s="2301"/>
      <c r="F151" s="2302"/>
    </row>
  </sheetData>
  <sheetProtection sheet="1" objects="1" scenarios="1"/>
  <mergeCells count="84">
    <mergeCell ref="D46:J46"/>
    <mergeCell ref="C2:G2"/>
    <mergeCell ref="H2:L2"/>
    <mergeCell ref="D10:J11"/>
    <mergeCell ref="C16:C17"/>
    <mergeCell ref="D16:J17"/>
    <mergeCell ref="D19:J19"/>
    <mergeCell ref="D22:J29"/>
    <mergeCell ref="D31:J31"/>
    <mergeCell ref="D33:J33"/>
    <mergeCell ref="D42:J42"/>
    <mergeCell ref="D44:J44"/>
    <mergeCell ref="C72:I72"/>
    <mergeCell ref="C51:I51"/>
    <mergeCell ref="C52:I52"/>
    <mergeCell ref="C53:I53"/>
    <mergeCell ref="C54:I54"/>
    <mergeCell ref="C55:I55"/>
    <mergeCell ref="C56:I56"/>
    <mergeCell ref="C57:I57"/>
    <mergeCell ref="C58:I58"/>
    <mergeCell ref="C59:I59"/>
    <mergeCell ref="D61:I67"/>
    <mergeCell ref="D70:I70"/>
    <mergeCell ref="D95:J95"/>
    <mergeCell ref="C73:I73"/>
    <mergeCell ref="C74:I74"/>
    <mergeCell ref="C75:I75"/>
    <mergeCell ref="C76:I76"/>
    <mergeCell ref="C77:I77"/>
    <mergeCell ref="C78:I78"/>
    <mergeCell ref="C79:I79"/>
    <mergeCell ref="D82:I82"/>
    <mergeCell ref="D84:I84"/>
    <mergeCell ref="C91:F91"/>
    <mergeCell ref="D93:J93"/>
    <mergeCell ref="D113:F113"/>
    <mergeCell ref="D97:J97"/>
    <mergeCell ref="C100:F100"/>
    <mergeCell ref="D102:F102"/>
    <mergeCell ref="D103:F103"/>
    <mergeCell ref="D104:F104"/>
    <mergeCell ref="D105:F105"/>
    <mergeCell ref="C108:F108"/>
    <mergeCell ref="C109:F109"/>
    <mergeCell ref="D110:F110"/>
    <mergeCell ref="D111:F111"/>
    <mergeCell ref="D112:F112"/>
    <mergeCell ref="D126:F126"/>
    <mergeCell ref="D114:F114"/>
    <mergeCell ref="D115:F115"/>
    <mergeCell ref="D116:F116"/>
    <mergeCell ref="D117:F117"/>
    <mergeCell ref="D118:F118"/>
    <mergeCell ref="D119:F119"/>
    <mergeCell ref="D120:F120"/>
    <mergeCell ref="D121:F121"/>
    <mergeCell ref="D123:F123"/>
    <mergeCell ref="D124:F124"/>
    <mergeCell ref="D125:F125"/>
    <mergeCell ref="D139:F139"/>
    <mergeCell ref="D127:F127"/>
    <mergeCell ref="D128:F128"/>
    <mergeCell ref="D129:F129"/>
    <mergeCell ref="D130:F130"/>
    <mergeCell ref="D131:F131"/>
    <mergeCell ref="D132:F132"/>
    <mergeCell ref="D133:F133"/>
    <mergeCell ref="D134:F134"/>
    <mergeCell ref="D135:F135"/>
    <mergeCell ref="D136:F136"/>
    <mergeCell ref="D138:F138"/>
    <mergeCell ref="D151:F151"/>
    <mergeCell ref="D140:F140"/>
    <mergeCell ref="D141:F141"/>
    <mergeCell ref="D142:F142"/>
    <mergeCell ref="D143:F143"/>
    <mergeCell ref="D144:F144"/>
    <mergeCell ref="D145:F145"/>
    <mergeCell ref="D146:F146"/>
    <mergeCell ref="D147:F147"/>
    <mergeCell ref="D148:F148"/>
    <mergeCell ref="D149:F149"/>
    <mergeCell ref="D150:F150"/>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30827-EA3C-49EE-B7EF-D3C892C44CCC}">
  <sheetPr codeName="Feuil53">
    <tabColor theme="8" tint="0.79998168889431442"/>
  </sheetPr>
  <dimension ref="C1:L151"/>
  <sheetViews>
    <sheetView showGridLines="0" zoomScale="90" zoomScaleNormal="90" workbookViewId="0">
      <selection activeCell="D106" sqref="D106"/>
    </sheetView>
  </sheetViews>
  <sheetFormatPr baseColWidth="10" defaultColWidth="11.44140625" defaultRowHeight="14.4" outlineLevelRow="1"/>
  <cols>
    <col min="1" max="1" width="28.5546875" customWidth="1"/>
    <col min="2" max="2" width="7.44140625" customWidth="1"/>
    <col min="3" max="3" width="29.5546875" customWidth="1"/>
    <col min="4" max="4" width="6.88671875" style="902" bestFit="1" customWidth="1"/>
    <col min="5" max="5" width="3.5546875" customWidth="1"/>
    <col min="6" max="6" width="21.109375" customWidth="1"/>
    <col min="7" max="7" width="14.44140625" customWidth="1"/>
    <col min="8" max="8" width="12" customWidth="1"/>
    <col min="9" max="9" width="11.44140625" customWidth="1"/>
    <col min="10" max="10" width="13.5546875" customWidth="1"/>
    <col min="11" max="11" width="14.88671875" customWidth="1"/>
    <col min="12" max="12" width="11.5546875" bestFit="1" customWidth="1"/>
    <col min="14" max="20" width="0" hidden="1" customWidth="1"/>
  </cols>
  <sheetData>
    <row r="1" spans="3:12" ht="111" customHeight="1"/>
    <row r="2" spans="3:12" ht="18">
      <c r="C2" s="2249" t="s">
        <v>2009</v>
      </c>
      <c r="D2" s="2249"/>
      <c r="E2" s="2249"/>
      <c r="F2" s="2249"/>
      <c r="G2" s="2249"/>
      <c r="H2" s="2278" t="s">
        <v>1855</v>
      </c>
      <c r="I2" s="2279"/>
      <c r="J2" s="2279"/>
      <c r="K2" s="2279"/>
      <c r="L2" s="2280"/>
    </row>
    <row r="3" spans="3:12" ht="56.4" customHeight="1"/>
    <row r="4" spans="3:12" ht="17.399999999999999">
      <c r="C4" s="880" t="s">
        <v>2010</v>
      </c>
      <c r="D4" s="1018" t="str">
        <f ca="1">IF(ISERROR(INDIRECT("'"&amp;$K10&amp;"'!e$2")),"-",IF(INDIRECT("'"&amp;$K10&amp;"'!e$2")=1,"X",""))</f>
        <v>-</v>
      </c>
      <c r="F4" s="882" t="s">
        <v>708</v>
      </c>
    </row>
    <row r="5" spans="3:12" ht="15.6">
      <c r="D5" s="903"/>
      <c r="F5" s="881"/>
    </row>
    <row r="6" spans="3:12" ht="15.6" customHeight="1">
      <c r="D6" s="1018" t="str">
        <f ca="1">IF(D4="X","","X")</f>
        <v>X</v>
      </c>
      <c r="F6" s="882" t="s">
        <v>327</v>
      </c>
    </row>
    <row r="7" spans="3:12" ht="15.6">
      <c r="D7" s="903"/>
      <c r="F7" s="881"/>
    </row>
    <row r="8" spans="3:12" ht="16.350000000000001" customHeight="1">
      <c r="D8" s="1018" t="str">
        <f ca="1">IF(ISERROR(INDIRECT("'"&amp;$K10&amp;"'!e$3")),"-",IF(INDIRECT("'"&amp;$K10&amp;"'!e$3")=TRUE,"X",""))</f>
        <v>-</v>
      </c>
      <c r="F8" s="882" t="s">
        <v>1276</v>
      </c>
    </row>
    <row r="10" spans="3:12" ht="17.399999999999999">
      <c r="C10" s="880" t="s">
        <v>724</v>
      </c>
      <c r="D10" s="2336" t="str">
        <f ca="1">IF(ISERROR(INDIRECT("'"&amp;$K10&amp;"'!b$13")),"-",INDIRECT("'"&amp;$K10&amp;"'!b$13"))</f>
        <v>-</v>
      </c>
      <c r="E10" s="2337"/>
      <c r="F10" s="2337"/>
      <c r="G10" s="2337"/>
      <c r="H10" s="2337"/>
      <c r="I10" s="2337"/>
      <c r="J10" s="2338"/>
      <c r="K10" s="55" t="str">
        <f ca="1">'Mes actions'!D72</f>
        <v/>
      </c>
    </row>
    <row r="11" spans="3:12">
      <c r="D11" s="2339"/>
      <c r="E11" s="2340"/>
      <c r="F11" s="2340"/>
      <c r="G11" s="2340"/>
      <c r="H11" s="2340"/>
      <c r="I11" s="2340"/>
      <c r="J11" s="2341"/>
    </row>
    <row r="14" spans="3:12" ht="17.399999999999999">
      <c r="C14" s="880" t="s">
        <v>2011</v>
      </c>
    </row>
    <row r="16" spans="3:12" ht="17.399999999999999" customHeight="1">
      <c r="C16" s="2353" t="s">
        <v>1073</v>
      </c>
      <c r="D16" s="2336" t="str">
        <f ca="1">IF(ISERROR(INDIRECT("'"&amp;$K10&amp;"'!b$11")),"-",INDIRECT("'"&amp;$K10&amp;"'!b$11"))</f>
        <v>-</v>
      </c>
      <c r="E16" s="2337"/>
      <c r="F16" s="2337"/>
      <c r="G16" s="2337"/>
      <c r="H16" s="2337"/>
      <c r="I16" s="2337"/>
      <c r="J16" s="2338"/>
    </row>
    <row r="17" spans="3:10">
      <c r="C17" s="2353"/>
      <c r="D17" s="2339"/>
      <c r="E17" s="2340"/>
      <c r="F17" s="2340"/>
      <c r="G17" s="2340"/>
      <c r="H17" s="2340"/>
      <c r="I17" s="2340"/>
      <c r="J17" s="2341"/>
    </row>
    <row r="19" spans="3:10" ht="34.799999999999997">
      <c r="C19" s="883" t="s">
        <v>2012</v>
      </c>
      <c r="D19" s="2332" t="str">
        <f ca="1">D16</f>
        <v>-</v>
      </c>
      <c r="E19" s="2333"/>
      <c r="F19" s="2333"/>
      <c r="G19" s="2333"/>
      <c r="H19" s="2333"/>
      <c r="I19" s="2333"/>
      <c r="J19" s="2334"/>
    </row>
    <row r="22" spans="3:10" ht="34.799999999999997">
      <c r="C22" s="883" t="s">
        <v>2013</v>
      </c>
      <c r="D22" s="2343" t="str">
        <f ca="1">IF(ISERROR(INDIRECT("'"&amp;$K10&amp;"'!b$14")),"-",INDIRECT("'"&amp;$K10&amp;"'!b$14"))</f>
        <v>-</v>
      </c>
      <c r="E22" s="2344"/>
      <c r="F22" s="2344"/>
      <c r="G22" s="2344"/>
      <c r="H22" s="2344"/>
      <c r="I22" s="2344"/>
      <c r="J22" s="2345"/>
    </row>
    <row r="23" spans="3:10">
      <c r="D23" s="2346"/>
      <c r="E23" s="2347"/>
      <c r="F23" s="2347"/>
      <c r="G23" s="2347"/>
      <c r="H23" s="2347"/>
      <c r="I23" s="2347"/>
      <c r="J23" s="2348"/>
    </row>
    <row r="24" spans="3:10">
      <c r="D24" s="2346"/>
      <c r="E24" s="2347"/>
      <c r="F24" s="2347"/>
      <c r="G24" s="2347"/>
      <c r="H24" s="2347"/>
      <c r="I24" s="2347"/>
      <c r="J24" s="2348"/>
    </row>
    <row r="25" spans="3:10">
      <c r="D25" s="2346"/>
      <c r="E25" s="2347"/>
      <c r="F25" s="2347"/>
      <c r="G25" s="2347"/>
      <c r="H25" s="2347"/>
      <c r="I25" s="2347"/>
      <c r="J25" s="2348"/>
    </row>
    <row r="26" spans="3:10">
      <c r="D26" s="2346"/>
      <c r="E26" s="2347"/>
      <c r="F26" s="2347"/>
      <c r="G26" s="2347"/>
      <c r="H26" s="2347"/>
      <c r="I26" s="2347"/>
      <c r="J26" s="2348"/>
    </row>
    <row r="27" spans="3:10">
      <c r="D27" s="2346"/>
      <c r="E27" s="2347"/>
      <c r="F27" s="2347"/>
      <c r="G27" s="2347"/>
      <c r="H27" s="2347"/>
      <c r="I27" s="2347"/>
      <c r="J27" s="2348"/>
    </row>
    <row r="28" spans="3:10">
      <c r="D28" s="2346"/>
      <c r="E28" s="2347"/>
      <c r="F28" s="2347"/>
      <c r="G28" s="2347"/>
      <c r="H28" s="2347"/>
      <c r="I28" s="2347"/>
      <c r="J28" s="2348"/>
    </row>
    <row r="29" spans="3:10">
      <c r="D29" s="2349"/>
      <c r="E29" s="2350"/>
      <c r="F29" s="2350"/>
      <c r="G29" s="2350"/>
      <c r="H29" s="2350"/>
      <c r="I29" s="2350"/>
      <c r="J29" s="2351"/>
    </row>
    <row r="31" spans="3:10" ht="31.35" customHeight="1">
      <c r="C31" s="884" t="s">
        <v>2014</v>
      </c>
      <c r="D31" s="2352"/>
      <c r="E31" s="2352"/>
      <c r="F31" s="2352"/>
      <c r="G31" s="2352"/>
      <c r="H31" s="2352"/>
      <c r="I31" s="2352"/>
      <c r="J31" s="2352"/>
    </row>
    <row r="33" spans="3:10" ht="28.35" customHeight="1">
      <c r="C33" s="884" t="s">
        <v>2015</v>
      </c>
      <c r="D33" s="2352"/>
      <c r="E33" s="2352"/>
      <c r="F33" s="2352"/>
      <c r="G33" s="2352"/>
      <c r="H33" s="2352"/>
      <c r="I33" s="2352"/>
      <c r="J33" s="2352"/>
    </row>
    <row r="35" spans="3:10" ht="17.399999999999999">
      <c r="C35" s="880" t="s">
        <v>2016</v>
      </c>
    </row>
    <row r="41" spans="3:10" ht="24" customHeight="1"/>
    <row r="42" spans="3:10" ht="34.799999999999997">
      <c r="C42" s="883" t="s">
        <v>2017</v>
      </c>
      <c r="D42" s="2332" t="str">
        <f ca="1">IF(ISERROR(INDIRECT("'"&amp;$K10&amp;"'!b$19")),"-",INDIRECT("'"&amp;$K10&amp;"'!b$20"))</f>
        <v>-</v>
      </c>
      <c r="E42" s="2333"/>
      <c r="F42" s="2333"/>
      <c r="G42" s="2333"/>
      <c r="H42" s="2333"/>
      <c r="I42" s="2333"/>
      <c r="J42" s="2334"/>
    </row>
    <row r="43" spans="3:10">
      <c r="E43" s="902"/>
      <c r="F43" s="902"/>
      <c r="G43" s="902"/>
      <c r="H43" s="902"/>
      <c r="I43" s="902"/>
      <c r="J43" s="902"/>
    </row>
    <row r="44" spans="3:10" ht="33.6" customHeight="1">
      <c r="C44" s="883" t="s">
        <v>2018</v>
      </c>
      <c r="D44" s="2332" t="str">
        <f ca="1">IF(ISERROR(INDIRECT("'"&amp;$K10&amp;"'!b$20")),"-",INDIRECT("'"&amp;$K10&amp;"'!b$21"))</f>
        <v>-</v>
      </c>
      <c r="E44" s="2333"/>
      <c r="F44" s="2333"/>
      <c r="G44" s="2333"/>
      <c r="H44" s="2333"/>
      <c r="I44" s="2333"/>
      <c r="J44" s="2334"/>
    </row>
    <row r="45" spans="3:10">
      <c r="E45" s="902"/>
      <c r="F45" s="902"/>
      <c r="G45" s="902"/>
      <c r="H45" s="902"/>
      <c r="I45" s="902"/>
      <c r="J45" s="902"/>
    </row>
    <row r="46" spans="3:10" ht="34.799999999999997">
      <c r="C46" s="883" t="s">
        <v>2019</v>
      </c>
      <c r="D46" s="2332" t="str">
        <f ca="1">IF(ISERROR(INDIRECT("'"&amp;$K10&amp;"'!e$6")),"-",INDIRECT("'"&amp;$K10&amp;"'!e$6"))</f>
        <v>-</v>
      </c>
      <c r="E46" s="2333"/>
      <c r="F46" s="2333"/>
      <c r="G46" s="2333"/>
      <c r="H46" s="2333"/>
      <c r="I46" s="2333"/>
      <c r="J46" s="2334"/>
    </row>
    <row r="49" spans="3:10" ht="36">
      <c r="C49" s="655" t="s">
        <v>2020</v>
      </c>
    </row>
    <row r="51" spans="3:10" ht="23.4" customHeight="1" thickBot="1">
      <c r="C51" s="2322" t="s">
        <v>1282</v>
      </c>
      <c r="D51" s="2322"/>
      <c r="E51" s="2322"/>
      <c r="F51" s="2322"/>
      <c r="G51" s="2322"/>
      <c r="H51" s="2322"/>
      <c r="I51" s="2342"/>
      <c r="J51" s="885" t="s">
        <v>2021</v>
      </c>
    </row>
    <row r="52" spans="3:10" ht="32.4" customHeight="1" thickBot="1">
      <c r="C52" s="2335" t="s">
        <v>1291</v>
      </c>
      <c r="D52" s="2335"/>
      <c r="E52" s="2335"/>
      <c r="F52" s="2335"/>
      <c r="G52" s="2335"/>
      <c r="H52" s="2335"/>
      <c r="I52" s="2335"/>
      <c r="J52" s="904"/>
    </row>
    <row r="53" spans="3:10" ht="32.4" customHeight="1" thickBot="1">
      <c r="C53" s="2335" t="s">
        <v>1300</v>
      </c>
      <c r="D53" s="2335"/>
      <c r="E53" s="2335"/>
      <c r="F53" s="2335"/>
      <c r="G53" s="2335"/>
      <c r="H53" s="2335"/>
      <c r="I53" s="2335"/>
      <c r="J53" s="904"/>
    </row>
    <row r="54" spans="3:10" ht="32.4" customHeight="1" thickBot="1">
      <c r="C54" s="2335" t="s">
        <v>1310</v>
      </c>
      <c r="D54" s="2335"/>
      <c r="E54" s="2335"/>
      <c r="F54" s="2335"/>
      <c r="G54" s="2335"/>
      <c r="H54" s="2335"/>
      <c r="I54" s="2335"/>
      <c r="J54" s="904"/>
    </row>
    <row r="55" spans="3:10" ht="32.4" customHeight="1" thickBot="1">
      <c r="C55" s="2335" t="s">
        <v>1318</v>
      </c>
      <c r="D55" s="2335"/>
      <c r="E55" s="2335"/>
      <c r="F55" s="2335"/>
      <c r="G55" s="2335"/>
      <c r="H55" s="2335"/>
      <c r="I55" s="2335"/>
      <c r="J55" s="904"/>
    </row>
    <row r="56" spans="3:10" ht="32.4" customHeight="1" thickBot="1">
      <c r="C56" s="2335" t="s">
        <v>1326</v>
      </c>
      <c r="D56" s="2335"/>
      <c r="E56" s="2335"/>
      <c r="F56" s="2335"/>
      <c r="G56" s="2335"/>
      <c r="H56" s="2335"/>
      <c r="I56" s="2335"/>
      <c r="J56" s="904"/>
    </row>
    <row r="57" spans="3:10" ht="32.4" customHeight="1" thickBot="1">
      <c r="C57" s="2335" t="s">
        <v>1331</v>
      </c>
      <c r="D57" s="2335"/>
      <c r="E57" s="2335"/>
      <c r="F57" s="2335"/>
      <c r="G57" s="2335"/>
      <c r="H57" s="2335"/>
      <c r="I57" s="2335"/>
      <c r="J57" s="904"/>
    </row>
    <row r="58" spans="3:10" ht="32.4" customHeight="1" thickBot="1">
      <c r="C58" s="2335" t="s">
        <v>1336</v>
      </c>
      <c r="D58" s="2335"/>
      <c r="E58" s="2335"/>
      <c r="F58" s="2335"/>
      <c r="G58" s="2335"/>
      <c r="H58" s="2335"/>
      <c r="I58" s="2335"/>
      <c r="J58" s="904"/>
    </row>
    <row r="59" spans="3:10" ht="32.4" customHeight="1" thickBot="1">
      <c r="C59" s="2335" t="s">
        <v>775</v>
      </c>
      <c r="D59" s="2335"/>
      <c r="E59" s="2335"/>
      <c r="F59" s="2335"/>
      <c r="G59" s="2335"/>
      <c r="H59" s="2335"/>
      <c r="I59" s="2335"/>
      <c r="J59" s="904"/>
    </row>
    <row r="61" spans="3:10" ht="17.399999999999999">
      <c r="C61" s="880" t="s">
        <v>91</v>
      </c>
      <c r="D61" s="2354"/>
      <c r="E61" s="2354"/>
      <c r="F61" s="2354"/>
      <c r="G61" s="2354"/>
      <c r="H61" s="2354"/>
      <c r="I61" s="2354"/>
    </row>
    <row r="62" spans="3:10">
      <c r="D62" s="2354"/>
      <c r="E62" s="2354"/>
      <c r="F62" s="2354"/>
      <c r="G62" s="2354"/>
      <c r="H62" s="2354"/>
      <c r="I62" s="2354"/>
    </row>
    <row r="63" spans="3:10">
      <c r="D63" s="2354"/>
      <c r="E63" s="2354"/>
      <c r="F63" s="2354"/>
      <c r="G63" s="2354"/>
      <c r="H63" s="2354"/>
      <c r="I63" s="2354"/>
    </row>
    <row r="64" spans="3:10">
      <c r="D64" s="2354"/>
      <c r="E64" s="2354"/>
      <c r="F64" s="2354"/>
      <c r="G64" s="2354"/>
      <c r="H64" s="2354"/>
      <c r="I64" s="2354"/>
    </row>
    <row r="65" spans="3:10">
      <c r="D65" s="2354"/>
      <c r="E65" s="2354"/>
      <c r="F65" s="2354"/>
      <c r="G65" s="2354"/>
      <c r="H65" s="2354"/>
      <c r="I65" s="2354"/>
    </row>
    <row r="66" spans="3:10">
      <c r="D66" s="2354"/>
      <c r="E66" s="2354"/>
      <c r="F66" s="2354"/>
      <c r="G66" s="2354"/>
      <c r="H66" s="2354"/>
      <c r="I66" s="2354"/>
    </row>
    <row r="67" spans="3:10">
      <c r="D67" s="2354"/>
      <c r="E67" s="2354"/>
      <c r="F67" s="2354"/>
      <c r="G67" s="2354"/>
      <c r="H67" s="2354"/>
      <c r="I67" s="2354"/>
    </row>
    <row r="69" spans="3:10" ht="55.35" customHeight="1">
      <c r="C69" s="886" t="s">
        <v>2022</v>
      </c>
    </row>
    <row r="70" spans="3:10" ht="33.6" customHeight="1">
      <c r="C70" s="883" t="s">
        <v>2023</v>
      </c>
      <c r="D70" s="2355" t="str">
        <f ca="1">IF(ISERROR(INDIRECT("'"&amp;$K10&amp;"'!b$22")),"-",INDIRECT("'"&amp;$K10&amp;"'!b$23"))</f>
        <v>-</v>
      </c>
      <c r="E70" s="2355"/>
      <c r="F70" s="2355"/>
      <c r="G70" s="2355"/>
      <c r="H70" s="2355"/>
      <c r="I70" s="2355"/>
    </row>
    <row r="72" spans="3:10" ht="28.35" customHeight="1" thickBot="1">
      <c r="C72" s="2322" t="s">
        <v>1283</v>
      </c>
      <c r="D72" s="2322"/>
      <c r="E72" s="2322"/>
      <c r="F72" s="2322"/>
      <c r="G72" s="2322"/>
      <c r="H72" s="2322"/>
      <c r="I72" s="2342"/>
      <c r="J72" s="885" t="s">
        <v>2021</v>
      </c>
    </row>
    <row r="73" spans="3:10" ht="28.35" customHeight="1" thickBot="1">
      <c r="C73" s="2335" t="s">
        <v>1292</v>
      </c>
      <c r="D73" s="2335"/>
      <c r="E73" s="2335"/>
      <c r="F73" s="2335"/>
      <c r="G73" s="2335"/>
      <c r="H73" s="2335"/>
      <c r="I73" s="2356"/>
      <c r="J73" s="1020" t="s">
        <v>1304</v>
      </c>
    </row>
    <row r="74" spans="3:10" ht="28.35" customHeight="1" thickBot="1">
      <c r="C74" s="2335" t="s">
        <v>1301</v>
      </c>
      <c r="D74" s="2335"/>
      <c r="E74" s="2335"/>
      <c r="F74" s="2335"/>
      <c r="G74" s="2335"/>
      <c r="H74" s="2335"/>
      <c r="I74" s="2356"/>
      <c r="J74" s="1021" t="str">
        <f ca="1">IF(ISERROR(INDIRECT("'"&amp;$K10&amp;"'!f$25")),"-",IF(INDIRECT("'"&amp;$K10&amp;"'!f$25")="Subvention nationale/régionale","X",""))</f>
        <v>-</v>
      </c>
    </row>
    <row r="75" spans="3:10" ht="28.35" customHeight="1" thickBot="1">
      <c r="C75" s="2335" t="s">
        <v>1311</v>
      </c>
      <c r="D75" s="2335"/>
      <c r="E75" s="2335"/>
      <c r="F75" s="2335"/>
      <c r="G75" s="2335"/>
      <c r="H75" s="2335"/>
      <c r="I75" s="2356"/>
      <c r="J75" s="1021"/>
    </row>
    <row r="76" spans="3:10" ht="28.35" customHeight="1" thickBot="1">
      <c r="C76" s="2335" t="s">
        <v>1319</v>
      </c>
      <c r="D76" s="2335"/>
      <c r="E76" s="2335"/>
      <c r="F76" s="2335"/>
      <c r="G76" s="2335"/>
      <c r="H76" s="2335"/>
      <c r="I76" s="2356"/>
      <c r="J76" s="1022" t="str">
        <f ca="1">IF(ISERROR(INDIRECT("'"&amp;$K10&amp;"'!f$25")),"-",IF(INDIRECT("'"&amp;$K10&amp;"'!f$25")="Programme européen","X",""))</f>
        <v>-</v>
      </c>
    </row>
    <row r="77" spans="3:10" ht="28.35" customHeight="1" thickBot="1">
      <c r="C77" s="2335" t="s">
        <v>1327</v>
      </c>
      <c r="D77" s="2335"/>
      <c r="E77" s="2335"/>
      <c r="F77" s="2335"/>
      <c r="G77" s="2335"/>
      <c r="H77" s="2335"/>
      <c r="I77" s="2335"/>
      <c r="J77" s="1019"/>
    </row>
    <row r="78" spans="3:10" ht="28.35" customHeight="1" thickBot="1">
      <c r="C78" s="2335" t="s">
        <v>1332</v>
      </c>
      <c r="D78" s="2335"/>
      <c r="E78" s="2335"/>
      <c r="F78" s="2335"/>
      <c r="G78" s="2335"/>
      <c r="H78" s="2335"/>
      <c r="I78" s="2335"/>
      <c r="J78" s="905"/>
    </row>
    <row r="79" spans="3:10" ht="28.35" customHeight="1" thickBot="1">
      <c r="C79" s="2335" t="s">
        <v>157</v>
      </c>
      <c r="D79" s="2335"/>
      <c r="E79" s="2335"/>
      <c r="F79" s="2335"/>
      <c r="G79" s="2335"/>
      <c r="H79" s="2335"/>
      <c r="I79" s="2335"/>
      <c r="J79" s="905"/>
    </row>
    <row r="82" spans="3:10" ht="34.799999999999997">
      <c r="C82" s="883" t="s">
        <v>2024</v>
      </c>
      <c r="D82" s="2357" t="str">
        <f ca="1">IF(ISERROR(INDIRECT("'"&amp;$K10&amp;"'!d$22")),"-",IF(INDIRECT("'"&amp;$K10&amp;"'!d$23")="Investissement",D70,""))</f>
        <v>-</v>
      </c>
      <c r="E82" s="2358"/>
      <c r="F82" s="2358"/>
      <c r="G82" s="2358"/>
      <c r="H82" s="2358"/>
      <c r="I82" s="2359"/>
    </row>
    <row r="83" spans="3:10">
      <c r="D83" s="906"/>
      <c r="E83" s="906"/>
      <c r="F83" s="906"/>
      <c r="G83" s="906"/>
      <c r="H83" s="906"/>
      <c r="I83" s="906"/>
    </row>
    <row r="84" spans="3:10" ht="34.799999999999997">
      <c r="C84" s="883" t="s">
        <v>2025</v>
      </c>
      <c r="D84" s="2357" t="str">
        <f ca="1">IF(ISERROR(INDIRECT("'"&amp;$K10&amp;"'!d$22")),"-",IF(INDIRECT("'"&amp;$K10&amp;"'!d$23")="Non-investissement",D70,""))</f>
        <v>-</v>
      </c>
      <c r="E84" s="2358"/>
      <c r="F84" s="2358"/>
      <c r="G84" s="2358"/>
      <c r="H84" s="2358"/>
      <c r="I84" s="2359"/>
    </row>
    <row r="91" spans="3:10" ht="36" customHeight="1">
      <c r="C91" s="2249" t="s">
        <v>2026</v>
      </c>
      <c r="D91" s="2249"/>
      <c r="E91" s="2249"/>
      <c r="F91" s="2249"/>
    </row>
    <row r="92" spans="3:10" outlineLevel="1"/>
    <row r="93" spans="3:10" ht="17.399999999999999" outlineLevel="1">
      <c r="C93" s="883" t="s">
        <v>103</v>
      </c>
      <c r="D93" s="2332" t="str">
        <f ca="1">IF(D4="X",IF(ISNA(VLOOKUP(INDIRECT("'"&amp;$K10&amp;"'!A$5"),Categories!X35:Y45,2,0)),"",VLOOKUP(INDIRECT("'"&amp;$K10&amp;"'!A$5"),Categories!X35:Y45,2,0)),"")</f>
        <v/>
      </c>
      <c r="E93" s="2333"/>
      <c r="F93" s="2333"/>
      <c r="G93" s="2333"/>
      <c r="H93" s="2333"/>
      <c r="I93" s="2333"/>
      <c r="J93" s="2334"/>
    </row>
    <row r="94" spans="3:10" outlineLevel="1"/>
    <row r="95" spans="3:10" ht="34.799999999999997" outlineLevel="1">
      <c r="C95" s="883" t="s">
        <v>2027</v>
      </c>
      <c r="D95" s="2332" t="str">
        <f ca="1">IF(D4="X",IF(ISERROR(INDIRECT("'"&amp;$K10&amp;"'!b$9")),"-",INDIRECT("'"&amp;$K10&amp;"'!b$9")),"")</f>
        <v/>
      </c>
      <c r="E95" s="2333"/>
      <c r="F95" s="2333"/>
      <c r="G95" s="2333"/>
      <c r="H95" s="2333"/>
      <c r="I95" s="2333"/>
      <c r="J95" s="2334"/>
    </row>
    <row r="96" spans="3:10" outlineLevel="1"/>
    <row r="97" spans="3:10" ht="17.399999999999999" outlineLevel="1">
      <c r="C97" s="883" t="s">
        <v>2028</v>
      </c>
      <c r="D97" s="2332" t="str">
        <f ca="1">IF(D4="X",IF(ISERROR(INDIRECT("'"&amp;$K10&amp;"'!d$9")),"-",INDIRECT("'"&amp;$K10&amp;"'!d$9")),"")</f>
        <v/>
      </c>
      <c r="E97" s="2333"/>
      <c r="F97" s="2333"/>
      <c r="G97" s="2333"/>
      <c r="H97" s="2333"/>
      <c r="I97" s="2333"/>
      <c r="J97" s="2334"/>
    </row>
    <row r="98" spans="3:10" outlineLevel="1"/>
    <row r="99" spans="3:10" outlineLevel="1"/>
    <row r="100" spans="3:10" ht="18" outlineLevel="1">
      <c r="C100" s="2249" t="s">
        <v>2029</v>
      </c>
      <c r="D100" s="2249"/>
      <c r="E100" s="2249"/>
      <c r="F100" s="2249"/>
    </row>
    <row r="101" spans="3:10" outlineLevel="1"/>
    <row r="102" spans="3:10" outlineLevel="1">
      <c r="C102" s="907"/>
      <c r="D102" s="2322">
        <v>2030</v>
      </c>
      <c r="E102" s="2322"/>
      <c r="F102" s="2322"/>
    </row>
    <row r="103" spans="3:10" ht="28.8" outlineLevel="1">
      <c r="C103" s="1023" t="s">
        <v>1991</v>
      </c>
      <c r="D103" s="2323" t="str">
        <f ca="1">IF(ISNA(VLOOKUP(D10,Actions!G2:AL70,22,0)),"",VLOOKUP(D10,Actions!G2:AL70,27,0))</f>
        <v/>
      </c>
      <c r="E103" s="2324"/>
      <c r="F103" s="2325"/>
    </row>
    <row r="104" spans="3:10" ht="28.8" outlineLevel="1">
      <c r="C104" s="1024" t="s">
        <v>1081</v>
      </c>
      <c r="D104" s="2363" t="str">
        <f ca="1">IF(ISNA(VLOOKUP(D10,Actions!G2:AL70,22,0)),"",VLOOKUP(D10,Actions!G2:AL70,28,0))</f>
        <v/>
      </c>
      <c r="E104" s="2364"/>
      <c r="F104" s="2365"/>
    </row>
    <row r="105" spans="3:10" outlineLevel="1">
      <c r="C105" s="1025" t="s">
        <v>2030</v>
      </c>
      <c r="D105" s="2360" t="str">
        <f ca="1">IF(ISNA(VLOOKUP(D10,Actions!G2:AL70,22,0)),"",VLOOKUP(D10,Actions!G2:AL70,29,0))</f>
        <v/>
      </c>
      <c r="E105" s="2361"/>
      <c r="F105" s="2362"/>
    </row>
    <row r="108" spans="3:10" ht="18">
      <c r="C108" s="2249" t="s">
        <v>2031</v>
      </c>
      <c r="D108" s="2249"/>
      <c r="E108" s="2249"/>
      <c r="F108" s="2249"/>
    </row>
    <row r="109" spans="3:10" ht="18">
      <c r="C109" s="2249"/>
      <c r="D109" s="2249"/>
      <c r="E109" s="2249"/>
      <c r="F109" s="2249"/>
    </row>
    <row r="110" spans="3:10" ht="29.4" customHeight="1" outlineLevel="1" thickBot="1">
      <c r="C110" s="657" t="s">
        <v>1284</v>
      </c>
      <c r="D110" s="2306" t="s">
        <v>2032</v>
      </c>
      <c r="E110" s="2307"/>
      <c r="F110" s="2307"/>
    </row>
    <row r="111" spans="3:10" ht="15" outlineLevel="1" thickBot="1">
      <c r="C111" s="1026" t="s">
        <v>1293</v>
      </c>
      <c r="D111" s="2319" t="str">
        <f ca="1">IF(ISNA(VLOOKUP($K$10,Actions!$A$2:$O$46,15,0)),"",IF(VLOOKUP($K$10,Actions!$A$2:$O$46,15,0)='Détails action 9'!C111,"X",""))</f>
        <v/>
      </c>
      <c r="E111" s="2320"/>
      <c r="F111" s="2321"/>
    </row>
    <row r="112" spans="3:10" ht="15" outlineLevel="1" thickBot="1">
      <c r="C112" s="1026" t="s">
        <v>1302</v>
      </c>
      <c r="D112" s="2317" t="str">
        <f ca="1">IF(ISNA(VLOOKUP($K$10,Actions!$A$2:$O$46,15,0)),"",IF(VLOOKUP($K$10,Actions!$A$2:$O$46,15,0)='Détails action 9'!C112,"X",""))</f>
        <v/>
      </c>
      <c r="E112" s="2301"/>
      <c r="F112" s="2318"/>
    </row>
    <row r="113" spans="3:6" ht="15" outlineLevel="1" thickBot="1">
      <c r="C113" s="1026" t="s">
        <v>1312</v>
      </c>
      <c r="D113" s="2317" t="str">
        <f ca="1">IF(ISNA(VLOOKUP($K$10,Actions!$A$2:$O$46,15,0)),"",IF(VLOOKUP($K$10,Actions!$A$2:$O$46,15,0)='Détails action 9'!C113,"X",""))</f>
        <v/>
      </c>
      <c r="E113" s="2301"/>
      <c r="F113" s="2318"/>
    </row>
    <row r="114" spans="3:6" ht="28.35" customHeight="1" outlineLevel="1" thickBot="1">
      <c r="C114" s="1026" t="s">
        <v>1320</v>
      </c>
      <c r="D114" s="2317" t="str">
        <f ca="1">IF(ISNA(VLOOKUP($K$10,Actions!$A$2:$O$46,15,0)),"",IF(VLOOKUP($K$10,Actions!$A$2:$O$46,15,0)='Détails action 9'!C114,"X",""))</f>
        <v/>
      </c>
      <c r="E114" s="2301"/>
      <c r="F114" s="2318"/>
    </row>
    <row r="115" spans="3:6" ht="15" outlineLevel="1" thickBot="1">
      <c r="C115" s="1026" t="s">
        <v>1328</v>
      </c>
      <c r="D115" s="2317" t="str">
        <f ca="1">IF(ISNA(VLOOKUP($K$10,Actions!$A$2:$O$46,15,0)),"",IF(VLOOKUP($K$10,Actions!$A$2:$O$46,15,0)='Détails action 9'!C115,"X",""))</f>
        <v/>
      </c>
      <c r="E115" s="2301"/>
      <c r="F115" s="2318"/>
    </row>
    <row r="116" spans="3:6" ht="15" outlineLevel="1" thickBot="1">
      <c r="C116" s="1026" t="s">
        <v>1333</v>
      </c>
      <c r="D116" s="2317" t="str">
        <f ca="1">IF(ISNA(VLOOKUP($K$10,Actions!$A$2:$O$46,15,0)),"",IF(VLOOKUP($K$10,Actions!$A$2:$O$46,15,0)='Détails action 9'!C116,"X",""))</f>
        <v/>
      </c>
      <c r="E116" s="2301"/>
      <c r="F116" s="2318"/>
    </row>
    <row r="117" spans="3:6" ht="15" outlineLevel="1" thickBot="1">
      <c r="C117" s="1026" t="s">
        <v>1337</v>
      </c>
      <c r="D117" s="2317" t="str">
        <f ca="1">IF(ISNA(VLOOKUP($K$10,Actions!$A$2:$O$46,15,0)),"",IF(VLOOKUP($K$10,Actions!$A$2:$O$46,15,0)='Détails action 9'!C117,"X",""))</f>
        <v/>
      </c>
      <c r="E117" s="2301"/>
      <c r="F117" s="2318"/>
    </row>
    <row r="118" spans="3:6" ht="15" outlineLevel="1" thickBot="1">
      <c r="C118" s="1026" t="s">
        <v>1339</v>
      </c>
      <c r="D118" s="2317" t="str">
        <f ca="1">IF(ISNA(VLOOKUP($K$10,Actions!$A$2:$O$46,15,0)),"",IF(VLOOKUP($K$10,Actions!$A$2:$O$46,15,0)='Détails action 9'!C118,"X",""))</f>
        <v/>
      </c>
      <c r="E118" s="2301"/>
      <c r="F118" s="2318"/>
    </row>
    <row r="119" spans="3:6" ht="15" outlineLevel="1" thickBot="1">
      <c r="C119" s="1026" t="s">
        <v>1342</v>
      </c>
      <c r="D119" s="2317" t="str">
        <f ca="1">IF(ISNA(VLOOKUP($K$10,Actions!$A$2:$O$46,15,0)),"",IF(VLOOKUP($K$10,Actions!$A$2:$O$46,15,0)='Détails action 9'!C119,"X",""))</f>
        <v/>
      </c>
      <c r="E119" s="2301"/>
      <c r="F119" s="2318"/>
    </row>
    <row r="120" spans="3:6" ht="15" outlineLevel="1" thickBot="1">
      <c r="C120" s="1026" t="s">
        <v>1345</v>
      </c>
      <c r="D120" s="2317" t="str">
        <f ca="1">IF(ISNA(VLOOKUP($K$10,Actions!$A$2:$O$46,15,0)),"",IF(VLOOKUP($K$10,Actions!$A$2:$O$46,15,0)='Détails action 9'!C120,"X",""))</f>
        <v/>
      </c>
      <c r="E120" s="2301"/>
      <c r="F120" s="2318"/>
    </row>
    <row r="121" spans="3:6" ht="15" outlineLevel="1" thickBot="1">
      <c r="C121" s="1026" t="s">
        <v>157</v>
      </c>
      <c r="D121" s="2314" t="str">
        <f ca="1">IF(ISNA(VLOOKUP($K$10,Actions!$A$2:$O$46,15,0)),"",IF(VLOOKUP($K$10,Actions!$A$2:$O$46,15,0)='Détails action 9'!C121,"X",""))</f>
        <v/>
      </c>
      <c r="E121" s="2315"/>
      <c r="F121" s="2316"/>
    </row>
    <row r="122" spans="3:6" outlineLevel="1">
      <c r="C122" s="909"/>
      <c r="D122" s="910"/>
    </row>
    <row r="123" spans="3:6" ht="15" outlineLevel="1" thickBot="1">
      <c r="C123" s="657" t="s">
        <v>2033</v>
      </c>
      <c r="D123" s="2306" t="s">
        <v>2032</v>
      </c>
      <c r="E123" s="2307"/>
      <c r="F123" s="2307"/>
    </row>
    <row r="124" spans="3:6" ht="15" outlineLevel="1" thickBot="1">
      <c r="C124" s="1026" t="s">
        <v>866</v>
      </c>
      <c r="D124" s="2311" t="str">
        <f ca="1">IF(ISNA(VLOOKUP($K$10,Actions!$A$2:$O$46,15,0)),"",IF(VLOOKUP($K$10,Actions!$A$2:$O$46,8,0)='Détails action 9'!C124,"X",""))</f>
        <v/>
      </c>
      <c r="E124" s="2312"/>
      <c r="F124" s="2313"/>
    </row>
    <row r="125" spans="3:6" ht="15" outlineLevel="1" thickBot="1">
      <c r="C125" s="1026" t="s">
        <v>870</v>
      </c>
      <c r="D125" s="2308" t="str">
        <f ca="1">IF(ISNA(VLOOKUP($K$10,Actions!$A$2:$O$46,15,0)),"",IF(VLOOKUP($K$10,Actions!$A$2:$O$46,8,0)='Détails action 9'!C125,"X",""))</f>
        <v/>
      </c>
      <c r="E125" s="2309"/>
      <c r="F125" s="2310"/>
    </row>
    <row r="126" spans="3:6" ht="15" outlineLevel="1" thickBot="1">
      <c r="C126" s="1026" t="s">
        <v>876</v>
      </c>
      <c r="D126" s="2308" t="str">
        <f ca="1">IF(ISNA(VLOOKUP($K$10,Actions!$A$2:$O$46,15,0)),"",IF(VLOOKUP($K$10,Actions!$A$2:$O$46,8,0)='Détails action 9'!C126,"X",""))</f>
        <v/>
      </c>
      <c r="E126" s="2309"/>
      <c r="F126" s="2310"/>
    </row>
    <row r="127" spans="3:6" ht="15" outlineLevel="1" thickBot="1">
      <c r="C127" s="1026" t="s">
        <v>881</v>
      </c>
      <c r="D127" s="2308" t="str">
        <f ca="1">IF(ISNA(VLOOKUP($K$10,Actions!$A$2:$O$46,15,0)),"",IF(VLOOKUP($K$10,Actions!$A$2:$O$46,8,0)='Détails action 9'!C127,"X",""))</f>
        <v/>
      </c>
      <c r="E127" s="2309"/>
      <c r="F127" s="2310"/>
    </row>
    <row r="128" spans="3:6" ht="15" outlineLevel="1" thickBot="1">
      <c r="C128" s="1026" t="s">
        <v>884</v>
      </c>
      <c r="D128" s="2308" t="str">
        <f ca="1">IF(ISNA(VLOOKUP($K$10,Actions!$A$2:$O$46,15,0)),"",IF(VLOOKUP($K$10,Actions!$A$2:$O$46,8,0)='Détails action 9'!C128,"X",""))</f>
        <v/>
      </c>
      <c r="E128" s="2309"/>
      <c r="F128" s="2310"/>
    </row>
    <row r="129" spans="3:6" ht="15" outlineLevel="1" thickBot="1">
      <c r="C129" s="1026" t="s">
        <v>887</v>
      </c>
      <c r="D129" s="2308" t="str">
        <f ca="1">IF(ISNA(VLOOKUP($K$10,Actions!$A$2:$O$46,15,0)),"",IF(VLOOKUP($K$10,Actions!$A$2:$O$46,8,0)='Détails action 9'!C129,"X",""))</f>
        <v/>
      </c>
      <c r="E129" s="2309"/>
      <c r="F129" s="2310"/>
    </row>
    <row r="130" spans="3:6" ht="15" outlineLevel="1" thickBot="1">
      <c r="C130" s="1026" t="s">
        <v>889</v>
      </c>
      <c r="D130" s="2308" t="str">
        <f ca="1">IF(ISNA(VLOOKUP($K$10,Actions!$A$2:$O$46,15,0)),"",IF(VLOOKUP($K$10,Actions!$A$2:$O$46,8,0)='Détails action 9'!C130,"X",""))</f>
        <v/>
      </c>
      <c r="E130" s="2309"/>
      <c r="F130" s="2310"/>
    </row>
    <row r="131" spans="3:6" ht="30.6" customHeight="1" outlineLevel="1" thickBot="1">
      <c r="C131" s="1026" t="s">
        <v>891</v>
      </c>
      <c r="D131" s="2308" t="str">
        <f ca="1">IF(ISNA(VLOOKUP($K$10,Actions!$A$2:$O$46,15,0)),"",IF(VLOOKUP($K$10,Actions!$A$2:$O$46,8,0)='Détails action 9'!C131,"X",""))</f>
        <v/>
      </c>
      <c r="E131" s="2309"/>
      <c r="F131" s="2310"/>
    </row>
    <row r="132" spans="3:6" ht="15" outlineLevel="1" thickBot="1">
      <c r="C132" s="1026" t="s">
        <v>892</v>
      </c>
      <c r="D132" s="2308" t="str">
        <f ca="1">IF(ISNA(VLOOKUP($K$10,Actions!$A$2:$O$46,15,0)),"",IF(VLOOKUP($K$10,Actions!$A$2:$O$46,8,0)='Détails action 9'!C132,"X",""))</f>
        <v/>
      </c>
      <c r="E132" s="2309"/>
      <c r="F132" s="2310"/>
    </row>
    <row r="133" spans="3:6" ht="28.35" customHeight="1" outlineLevel="1" thickBot="1">
      <c r="C133" s="1026" t="s">
        <v>898</v>
      </c>
      <c r="D133" s="2308" t="str">
        <f ca="1">IF(ISNA(VLOOKUP($K$10,Actions!$A$2:$O$46,15,0)),"",IF(VLOOKUP($K$10,Actions!$A$2:$O$46,8,0)='Détails action 9'!C133,"X",""))</f>
        <v/>
      </c>
      <c r="E133" s="2309"/>
      <c r="F133" s="2310"/>
    </row>
    <row r="134" spans="3:6" ht="15" outlineLevel="1" thickBot="1">
      <c r="C134" s="1026" t="s">
        <v>904</v>
      </c>
      <c r="D134" s="2308" t="str">
        <f ca="1">IF(ISNA(VLOOKUP($K$10,Actions!$A$2:$O$46,15,0)),"",IF(VLOOKUP($K$10,Actions!$A$2:$O$46,8,0)='Détails action 9'!C134,"X",""))</f>
        <v/>
      </c>
      <c r="E134" s="2309"/>
      <c r="F134" s="2310"/>
    </row>
    <row r="135" spans="3:6" ht="15" outlineLevel="1" thickBot="1">
      <c r="C135" s="1026" t="s">
        <v>909</v>
      </c>
      <c r="D135" s="2308" t="str">
        <f ca="1">IF(ISNA(VLOOKUP($K$10,Actions!$A$2:$O$46,15,0)),"",IF(VLOOKUP($K$10,Actions!$A$2:$O$46,8,0)='Détails action 9'!C135,"X",""))</f>
        <v/>
      </c>
      <c r="E135" s="2309"/>
      <c r="F135" s="2310"/>
    </row>
    <row r="136" spans="3:6" ht="42" customHeight="1" outlineLevel="1" thickBot="1">
      <c r="C136" s="1026" t="s">
        <v>914</v>
      </c>
      <c r="D136" s="2303" t="str">
        <f ca="1">IF(ISNA(VLOOKUP($K$10,Actions!$A$2:$O$46,15,0)),"",IF(VLOOKUP($K$10,Actions!$A$2:$O$46,8,0)='Détails action 9'!C136,"X",""))</f>
        <v/>
      </c>
      <c r="E136" s="2304"/>
      <c r="F136" s="2305"/>
    </row>
    <row r="138" spans="3:6" ht="29.4" thickBot="1">
      <c r="C138" s="657" t="s">
        <v>2034</v>
      </c>
      <c r="D138" s="2306" t="s">
        <v>2032</v>
      </c>
      <c r="E138" s="2307"/>
      <c r="F138" s="2307"/>
    </row>
    <row r="139" spans="3:6" ht="15" thickBot="1">
      <c r="C139" s="908" t="s">
        <v>1694</v>
      </c>
      <c r="D139" s="2300"/>
      <c r="E139" s="2301"/>
      <c r="F139" s="2302"/>
    </row>
    <row r="140" spans="3:6" ht="15" thickBot="1">
      <c r="C140" s="908" t="s">
        <v>1695</v>
      </c>
      <c r="D140" s="2300"/>
      <c r="E140" s="2301"/>
      <c r="F140" s="2302"/>
    </row>
    <row r="141" spans="3:6" ht="15" thickBot="1">
      <c r="C141" s="908" t="s">
        <v>1696</v>
      </c>
      <c r="D141" s="2300"/>
      <c r="E141" s="2301"/>
      <c r="F141" s="2302"/>
    </row>
    <row r="142" spans="3:6" ht="15" thickBot="1">
      <c r="C142" s="908" t="s">
        <v>1697</v>
      </c>
      <c r="D142" s="2300"/>
      <c r="E142" s="2301"/>
      <c r="F142" s="2302"/>
    </row>
    <row r="143" spans="3:6" ht="15" thickBot="1">
      <c r="C143" s="908" t="s">
        <v>1698</v>
      </c>
      <c r="D143" s="2300"/>
      <c r="E143" s="2301"/>
      <c r="F143" s="2302"/>
    </row>
    <row r="144" spans="3:6" ht="15" thickBot="1">
      <c r="C144" s="908" t="s">
        <v>1699</v>
      </c>
      <c r="D144" s="2300"/>
      <c r="E144" s="2301"/>
      <c r="F144" s="2302"/>
    </row>
    <row r="145" spans="3:6" ht="28.35" customHeight="1" thickBot="1">
      <c r="C145" s="908" t="s">
        <v>1700</v>
      </c>
      <c r="D145" s="2300"/>
      <c r="E145" s="2301"/>
      <c r="F145" s="2302"/>
    </row>
    <row r="146" spans="3:6" ht="15" thickBot="1">
      <c r="C146" s="908" t="s">
        <v>1701</v>
      </c>
      <c r="D146" s="2300"/>
      <c r="E146" s="2301"/>
      <c r="F146" s="2302"/>
    </row>
    <row r="147" spans="3:6" ht="15" thickBot="1">
      <c r="C147" s="908" t="s">
        <v>1702</v>
      </c>
      <c r="D147" s="2300"/>
      <c r="E147" s="2301"/>
      <c r="F147" s="2302"/>
    </row>
    <row r="148" spans="3:6" ht="28.35" customHeight="1" thickBot="1">
      <c r="C148" s="908" t="s">
        <v>1703</v>
      </c>
      <c r="D148" s="2300"/>
      <c r="E148" s="2301"/>
      <c r="F148" s="2302"/>
    </row>
    <row r="149" spans="3:6" ht="28.35" customHeight="1" thickBot="1">
      <c r="C149" s="908" t="s">
        <v>1704</v>
      </c>
      <c r="D149" s="2300"/>
      <c r="E149" s="2301"/>
      <c r="F149" s="2302"/>
    </row>
    <row r="150" spans="3:6" ht="15" thickBot="1">
      <c r="C150" s="908" t="s">
        <v>157</v>
      </c>
      <c r="D150" s="2300"/>
      <c r="E150" s="2301"/>
      <c r="F150" s="2302"/>
    </row>
    <row r="151" spans="3:6" ht="15" thickBot="1">
      <c r="C151" s="908" t="s">
        <v>661</v>
      </c>
      <c r="D151" s="2300"/>
      <c r="E151" s="2301"/>
      <c r="F151" s="2302"/>
    </row>
  </sheetData>
  <sheetProtection sheet="1" objects="1" scenarios="1"/>
  <mergeCells count="84">
    <mergeCell ref="D46:J46"/>
    <mergeCell ref="C2:G2"/>
    <mergeCell ref="H2:L2"/>
    <mergeCell ref="D10:J11"/>
    <mergeCell ref="C16:C17"/>
    <mergeCell ref="D16:J17"/>
    <mergeCell ref="D19:J19"/>
    <mergeCell ref="D22:J29"/>
    <mergeCell ref="D31:J31"/>
    <mergeCell ref="D33:J33"/>
    <mergeCell ref="D42:J42"/>
    <mergeCell ref="D44:J44"/>
    <mergeCell ref="C72:I72"/>
    <mergeCell ref="C51:I51"/>
    <mergeCell ref="C52:I52"/>
    <mergeCell ref="C53:I53"/>
    <mergeCell ref="C54:I54"/>
    <mergeCell ref="C55:I55"/>
    <mergeCell ref="C56:I56"/>
    <mergeCell ref="C57:I57"/>
    <mergeCell ref="C58:I58"/>
    <mergeCell ref="C59:I59"/>
    <mergeCell ref="D61:I67"/>
    <mergeCell ref="D70:I70"/>
    <mergeCell ref="D95:J95"/>
    <mergeCell ref="C73:I73"/>
    <mergeCell ref="C74:I74"/>
    <mergeCell ref="C75:I75"/>
    <mergeCell ref="C76:I76"/>
    <mergeCell ref="C77:I77"/>
    <mergeCell ref="C78:I78"/>
    <mergeCell ref="C79:I79"/>
    <mergeCell ref="D82:I82"/>
    <mergeCell ref="D84:I84"/>
    <mergeCell ref="C91:F91"/>
    <mergeCell ref="D93:J93"/>
    <mergeCell ref="D113:F113"/>
    <mergeCell ref="D97:J97"/>
    <mergeCell ref="C100:F100"/>
    <mergeCell ref="D102:F102"/>
    <mergeCell ref="D103:F103"/>
    <mergeCell ref="D104:F104"/>
    <mergeCell ref="D105:F105"/>
    <mergeCell ref="C108:F108"/>
    <mergeCell ref="C109:F109"/>
    <mergeCell ref="D110:F110"/>
    <mergeCell ref="D111:F111"/>
    <mergeCell ref="D112:F112"/>
    <mergeCell ref="D126:F126"/>
    <mergeCell ref="D114:F114"/>
    <mergeCell ref="D115:F115"/>
    <mergeCell ref="D116:F116"/>
    <mergeCell ref="D117:F117"/>
    <mergeCell ref="D118:F118"/>
    <mergeCell ref="D119:F119"/>
    <mergeCell ref="D120:F120"/>
    <mergeCell ref="D121:F121"/>
    <mergeCell ref="D123:F123"/>
    <mergeCell ref="D124:F124"/>
    <mergeCell ref="D125:F125"/>
    <mergeCell ref="D139:F139"/>
    <mergeCell ref="D127:F127"/>
    <mergeCell ref="D128:F128"/>
    <mergeCell ref="D129:F129"/>
    <mergeCell ref="D130:F130"/>
    <mergeCell ref="D131:F131"/>
    <mergeCell ref="D132:F132"/>
    <mergeCell ref="D133:F133"/>
    <mergeCell ref="D134:F134"/>
    <mergeCell ref="D135:F135"/>
    <mergeCell ref="D136:F136"/>
    <mergeCell ref="D138:F138"/>
    <mergeCell ref="D151:F151"/>
    <mergeCell ref="D140:F140"/>
    <mergeCell ref="D141:F141"/>
    <mergeCell ref="D142:F142"/>
    <mergeCell ref="D143:F143"/>
    <mergeCell ref="D144:F144"/>
    <mergeCell ref="D145:F145"/>
    <mergeCell ref="D146:F146"/>
    <mergeCell ref="D147:F147"/>
    <mergeCell ref="D148:F148"/>
    <mergeCell ref="D149:F149"/>
    <mergeCell ref="D150:F150"/>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A24BD-956E-4A88-A8ED-89EC13ED4A0D}">
  <sheetPr codeName="Feuil54">
    <tabColor theme="8" tint="0.79998168889431442"/>
  </sheetPr>
  <dimension ref="C1:L151"/>
  <sheetViews>
    <sheetView showGridLines="0" topLeftCell="A55" zoomScale="90" zoomScaleNormal="90" workbookViewId="0">
      <selection activeCell="D106" sqref="D106"/>
    </sheetView>
  </sheetViews>
  <sheetFormatPr baseColWidth="10" defaultColWidth="11.44140625" defaultRowHeight="14.4" outlineLevelRow="1"/>
  <cols>
    <col min="1" max="1" width="28.5546875" customWidth="1"/>
    <col min="2" max="2" width="7.44140625" customWidth="1"/>
    <col min="3" max="3" width="29.5546875" customWidth="1"/>
    <col min="4" max="4" width="6.88671875" style="902" bestFit="1" customWidth="1"/>
    <col min="5" max="5" width="3.5546875" customWidth="1"/>
    <col min="6" max="6" width="21.109375" customWidth="1"/>
    <col min="7" max="7" width="14.44140625" customWidth="1"/>
    <col min="8" max="8" width="12" customWidth="1"/>
    <col min="9" max="9" width="11.44140625" customWidth="1"/>
    <col min="10" max="10" width="13.5546875" customWidth="1"/>
    <col min="11" max="11" width="14.88671875" customWidth="1"/>
    <col min="12" max="12" width="11.5546875" bestFit="1" customWidth="1"/>
    <col min="14" max="20" width="0" hidden="1" customWidth="1"/>
  </cols>
  <sheetData>
    <row r="1" spans="3:12" ht="111" customHeight="1"/>
    <row r="2" spans="3:12" ht="18">
      <c r="C2" s="2249" t="s">
        <v>2009</v>
      </c>
      <c r="D2" s="2249"/>
      <c r="E2" s="2249"/>
      <c r="F2" s="2249"/>
      <c r="G2" s="2249"/>
      <c r="H2" s="2278" t="s">
        <v>1855</v>
      </c>
      <c r="I2" s="2279"/>
      <c r="J2" s="2279"/>
      <c r="K2" s="2279"/>
      <c r="L2" s="2280"/>
    </row>
    <row r="3" spans="3:12" ht="56.4" customHeight="1"/>
    <row r="4" spans="3:12" ht="17.399999999999999">
      <c r="C4" s="880" t="s">
        <v>2010</v>
      </c>
      <c r="D4" s="1018" t="str">
        <f ca="1">IF(ISERROR(INDIRECT("'"&amp;$K10&amp;"'!e$2")),"-",IF(INDIRECT("'"&amp;$K10&amp;"'!e$2")=1,"X",""))</f>
        <v>-</v>
      </c>
      <c r="F4" s="882" t="s">
        <v>708</v>
      </c>
    </row>
    <row r="5" spans="3:12" ht="15.6">
      <c r="D5" s="903"/>
      <c r="F5" s="881"/>
    </row>
    <row r="6" spans="3:12" ht="15.6" customHeight="1">
      <c r="D6" s="1018" t="str">
        <f ca="1">IF(D4="X","","X")</f>
        <v>X</v>
      </c>
      <c r="F6" s="882" t="s">
        <v>327</v>
      </c>
    </row>
    <row r="7" spans="3:12" ht="15.6">
      <c r="D7" s="903"/>
      <c r="F7" s="881"/>
    </row>
    <row r="8" spans="3:12" ht="16.350000000000001" customHeight="1">
      <c r="D8" s="1018" t="str">
        <f ca="1">IF(ISERROR(INDIRECT("'"&amp;$K10&amp;"'!e$3")),"-",IF(INDIRECT("'"&amp;$K10&amp;"'!e$3")=TRUE,"X",""))</f>
        <v>-</v>
      </c>
      <c r="F8" s="882" t="s">
        <v>1276</v>
      </c>
    </row>
    <row r="10" spans="3:12" ht="17.399999999999999">
      <c r="C10" s="880" t="s">
        <v>724</v>
      </c>
      <c r="D10" s="2336" t="str">
        <f ca="1">IF(ISERROR(INDIRECT("'"&amp;$K10&amp;"'!b$13")),"-",INDIRECT("'"&amp;$K10&amp;"'!b$13"))</f>
        <v>-</v>
      </c>
      <c r="E10" s="2337"/>
      <c r="F10" s="2337"/>
      <c r="G10" s="2337"/>
      <c r="H10" s="2337"/>
      <c r="I10" s="2337"/>
      <c r="J10" s="2338"/>
      <c r="K10" s="55" t="str">
        <f ca="1">'Mes actions'!D73</f>
        <v/>
      </c>
    </row>
    <row r="11" spans="3:12">
      <c r="D11" s="2339"/>
      <c r="E11" s="2340"/>
      <c r="F11" s="2340"/>
      <c r="G11" s="2340"/>
      <c r="H11" s="2340"/>
      <c r="I11" s="2340"/>
      <c r="J11" s="2341"/>
    </row>
    <row r="14" spans="3:12" ht="17.399999999999999">
      <c r="C14" s="880" t="s">
        <v>2011</v>
      </c>
    </row>
    <row r="16" spans="3:12" ht="17.399999999999999" customHeight="1">
      <c r="C16" s="2353" t="s">
        <v>1073</v>
      </c>
      <c r="D16" s="2336" t="str">
        <f ca="1">IF(ISERROR(INDIRECT("'"&amp;$K10&amp;"'!b$11")),"-",INDIRECT("'"&amp;$K10&amp;"'!b$11"))</f>
        <v>-</v>
      </c>
      <c r="E16" s="2337"/>
      <c r="F16" s="2337"/>
      <c r="G16" s="2337"/>
      <c r="H16" s="2337"/>
      <c r="I16" s="2337"/>
      <c r="J16" s="2338"/>
    </row>
    <row r="17" spans="3:10">
      <c r="C17" s="2353"/>
      <c r="D17" s="2339"/>
      <c r="E17" s="2340"/>
      <c r="F17" s="2340"/>
      <c r="G17" s="2340"/>
      <c r="H17" s="2340"/>
      <c r="I17" s="2340"/>
      <c r="J17" s="2341"/>
    </row>
    <row r="19" spans="3:10" ht="34.799999999999997">
      <c r="C19" s="883" t="s">
        <v>2012</v>
      </c>
      <c r="D19" s="2332" t="str">
        <f ca="1">D16</f>
        <v>-</v>
      </c>
      <c r="E19" s="2333"/>
      <c r="F19" s="2333"/>
      <c r="G19" s="2333"/>
      <c r="H19" s="2333"/>
      <c r="I19" s="2333"/>
      <c r="J19" s="2334"/>
    </row>
    <row r="22" spans="3:10" ht="34.799999999999997">
      <c r="C22" s="883" t="s">
        <v>2013</v>
      </c>
      <c r="D22" s="2343" t="str">
        <f ca="1">IF(ISERROR(INDIRECT("'"&amp;$K10&amp;"'!b$14")),"-",INDIRECT("'"&amp;$K10&amp;"'!b$14"))</f>
        <v>-</v>
      </c>
      <c r="E22" s="2344"/>
      <c r="F22" s="2344"/>
      <c r="G22" s="2344"/>
      <c r="H22" s="2344"/>
      <c r="I22" s="2344"/>
      <c r="J22" s="2345"/>
    </row>
    <row r="23" spans="3:10">
      <c r="D23" s="2346"/>
      <c r="E23" s="2347"/>
      <c r="F23" s="2347"/>
      <c r="G23" s="2347"/>
      <c r="H23" s="2347"/>
      <c r="I23" s="2347"/>
      <c r="J23" s="2348"/>
    </row>
    <row r="24" spans="3:10">
      <c r="D24" s="2346"/>
      <c r="E24" s="2347"/>
      <c r="F24" s="2347"/>
      <c r="G24" s="2347"/>
      <c r="H24" s="2347"/>
      <c r="I24" s="2347"/>
      <c r="J24" s="2348"/>
    </row>
    <row r="25" spans="3:10">
      <c r="D25" s="2346"/>
      <c r="E25" s="2347"/>
      <c r="F25" s="2347"/>
      <c r="G25" s="2347"/>
      <c r="H25" s="2347"/>
      <c r="I25" s="2347"/>
      <c r="J25" s="2348"/>
    </row>
    <row r="26" spans="3:10">
      <c r="D26" s="2346"/>
      <c r="E26" s="2347"/>
      <c r="F26" s="2347"/>
      <c r="G26" s="2347"/>
      <c r="H26" s="2347"/>
      <c r="I26" s="2347"/>
      <c r="J26" s="2348"/>
    </row>
    <row r="27" spans="3:10">
      <c r="D27" s="2346"/>
      <c r="E27" s="2347"/>
      <c r="F27" s="2347"/>
      <c r="G27" s="2347"/>
      <c r="H27" s="2347"/>
      <c r="I27" s="2347"/>
      <c r="J27" s="2348"/>
    </row>
    <row r="28" spans="3:10">
      <c r="D28" s="2346"/>
      <c r="E28" s="2347"/>
      <c r="F28" s="2347"/>
      <c r="G28" s="2347"/>
      <c r="H28" s="2347"/>
      <c r="I28" s="2347"/>
      <c r="J28" s="2348"/>
    </row>
    <row r="29" spans="3:10">
      <c r="D29" s="2349"/>
      <c r="E29" s="2350"/>
      <c r="F29" s="2350"/>
      <c r="G29" s="2350"/>
      <c r="H29" s="2350"/>
      <c r="I29" s="2350"/>
      <c r="J29" s="2351"/>
    </row>
    <row r="31" spans="3:10" ht="31.35" customHeight="1">
      <c r="C31" s="884" t="s">
        <v>2014</v>
      </c>
      <c r="D31" s="2352"/>
      <c r="E31" s="2352"/>
      <c r="F31" s="2352"/>
      <c r="G31" s="2352"/>
      <c r="H31" s="2352"/>
      <c r="I31" s="2352"/>
      <c r="J31" s="2352"/>
    </row>
    <row r="33" spans="3:10" ht="28.35" customHeight="1">
      <c r="C33" s="884" t="s">
        <v>2015</v>
      </c>
      <c r="D33" s="2352"/>
      <c r="E33" s="2352"/>
      <c r="F33" s="2352"/>
      <c r="G33" s="2352"/>
      <c r="H33" s="2352"/>
      <c r="I33" s="2352"/>
      <c r="J33" s="2352"/>
    </row>
    <row r="35" spans="3:10" ht="17.399999999999999">
      <c r="C35" s="880" t="s">
        <v>2016</v>
      </c>
    </row>
    <row r="41" spans="3:10" ht="24" customHeight="1"/>
    <row r="42" spans="3:10" ht="34.799999999999997">
      <c r="C42" s="883" t="s">
        <v>2017</v>
      </c>
      <c r="D42" s="2332" t="str">
        <f ca="1">IF(ISERROR(INDIRECT("'"&amp;$K10&amp;"'!b$19")),"-",INDIRECT("'"&amp;$K10&amp;"'!b$20"))</f>
        <v>-</v>
      </c>
      <c r="E42" s="2333"/>
      <c r="F42" s="2333"/>
      <c r="G42" s="2333"/>
      <c r="H42" s="2333"/>
      <c r="I42" s="2333"/>
      <c r="J42" s="2334"/>
    </row>
    <row r="43" spans="3:10">
      <c r="E43" s="902"/>
      <c r="F43" s="902"/>
      <c r="G43" s="902"/>
      <c r="H43" s="902"/>
      <c r="I43" s="902"/>
      <c r="J43" s="902"/>
    </row>
    <row r="44" spans="3:10" ht="33.6" customHeight="1">
      <c r="C44" s="883" t="s">
        <v>2018</v>
      </c>
      <c r="D44" s="2332" t="str">
        <f ca="1">IF(ISERROR(INDIRECT("'"&amp;$K10&amp;"'!b$20")),"-",INDIRECT("'"&amp;$K10&amp;"'!b$21"))</f>
        <v>-</v>
      </c>
      <c r="E44" s="2333"/>
      <c r="F44" s="2333"/>
      <c r="G44" s="2333"/>
      <c r="H44" s="2333"/>
      <c r="I44" s="2333"/>
      <c r="J44" s="2334"/>
    </row>
    <row r="45" spans="3:10">
      <c r="E45" s="902"/>
      <c r="F45" s="902"/>
      <c r="G45" s="902"/>
      <c r="H45" s="902"/>
      <c r="I45" s="902"/>
      <c r="J45" s="902"/>
    </row>
    <row r="46" spans="3:10" ht="34.799999999999997">
      <c r="C46" s="883" t="s">
        <v>2019</v>
      </c>
      <c r="D46" s="2332" t="str">
        <f ca="1">IF(ISERROR(INDIRECT("'"&amp;$K10&amp;"'!e$6")),"-",INDIRECT("'"&amp;$K10&amp;"'!e$6"))</f>
        <v>-</v>
      </c>
      <c r="E46" s="2333"/>
      <c r="F46" s="2333"/>
      <c r="G46" s="2333"/>
      <c r="H46" s="2333"/>
      <c r="I46" s="2333"/>
      <c r="J46" s="2334"/>
    </row>
    <row r="49" spans="3:10" ht="36">
      <c r="C49" s="655" t="s">
        <v>2020</v>
      </c>
    </row>
    <row r="51" spans="3:10" ht="23.4" customHeight="1" thickBot="1">
      <c r="C51" s="2322" t="s">
        <v>1282</v>
      </c>
      <c r="D51" s="2322"/>
      <c r="E51" s="2322"/>
      <c r="F51" s="2322"/>
      <c r="G51" s="2322"/>
      <c r="H51" s="2322"/>
      <c r="I51" s="2342"/>
      <c r="J51" s="885" t="s">
        <v>2021</v>
      </c>
    </row>
    <row r="52" spans="3:10" ht="32.4" customHeight="1" thickBot="1">
      <c r="C52" s="2335" t="s">
        <v>1291</v>
      </c>
      <c r="D52" s="2335"/>
      <c r="E52" s="2335"/>
      <c r="F52" s="2335"/>
      <c r="G52" s="2335"/>
      <c r="H52" s="2335"/>
      <c r="I52" s="2335"/>
      <c r="J52" s="904"/>
    </row>
    <row r="53" spans="3:10" ht="32.4" customHeight="1" thickBot="1">
      <c r="C53" s="2335" t="s">
        <v>1300</v>
      </c>
      <c r="D53" s="2335"/>
      <c r="E53" s="2335"/>
      <c r="F53" s="2335"/>
      <c r="G53" s="2335"/>
      <c r="H53" s="2335"/>
      <c r="I53" s="2335"/>
      <c r="J53" s="904"/>
    </row>
    <row r="54" spans="3:10" ht="32.4" customHeight="1" thickBot="1">
      <c r="C54" s="2335" t="s">
        <v>1310</v>
      </c>
      <c r="D54" s="2335"/>
      <c r="E54" s="2335"/>
      <c r="F54" s="2335"/>
      <c r="G54" s="2335"/>
      <c r="H54" s="2335"/>
      <c r="I54" s="2335"/>
      <c r="J54" s="904"/>
    </row>
    <row r="55" spans="3:10" ht="32.4" customHeight="1" thickBot="1">
      <c r="C55" s="2335" t="s">
        <v>1318</v>
      </c>
      <c r="D55" s="2335"/>
      <c r="E55" s="2335"/>
      <c r="F55" s="2335"/>
      <c r="G55" s="2335"/>
      <c r="H55" s="2335"/>
      <c r="I55" s="2335"/>
      <c r="J55" s="904"/>
    </row>
    <row r="56" spans="3:10" ht="32.4" customHeight="1" thickBot="1">
      <c r="C56" s="2335" t="s">
        <v>1326</v>
      </c>
      <c r="D56" s="2335"/>
      <c r="E56" s="2335"/>
      <c r="F56" s="2335"/>
      <c r="G56" s="2335"/>
      <c r="H56" s="2335"/>
      <c r="I56" s="2335"/>
      <c r="J56" s="904"/>
    </row>
    <row r="57" spans="3:10" ht="32.4" customHeight="1" thickBot="1">
      <c r="C57" s="2335" t="s">
        <v>1331</v>
      </c>
      <c r="D57" s="2335"/>
      <c r="E57" s="2335"/>
      <c r="F57" s="2335"/>
      <c r="G57" s="2335"/>
      <c r="H57" s="2335"/>
      <c r="I57" s="2335"/>
      <c r="J57" s="904"/>
    </row>
    <row r="58" spans="3:10" ht="32.4" customHeight="1" thickBot="1">
      <c r="C58" s="2335" t="s">
        <v>1336</v>
      </c>
      <c r="D58" s="2335"/>
      <c r="E58" s="2335"/>
      <c r="F58" s="2335"/>
      <c r="G58" s="2335"/>
      <c r="H58" s="2335"/>
      <c r="I58" s="2335"/>
      <c r="J58" s="904"/>
    </row>
    <row r="59" spans="3:10" ht="32.4" customHeight="1" thickBot="1">
      <c r="C59" s="2335" t="s">
        <v>775</v>
      </c>
      <c r="D59" s="2335"/>
      <c r="E59" s="2335"/>
      <c r="F59" s="2335"/>
      <c r="G59" s="2335"/>
      <c r="H59" s="2335"/>
      <c r="I59" s="2335"/>
      <c r="J59" s="904"/>
    </row>
    <row r="61" spans="3:10" ht="17.399999999999999">
      <c r="C61" s="880" t="s">
        <v>91</v>
      </c>
      <c r="D61" s="2354"/>
      <c r="E61" s="2354"/>
      <c r="F61" s="2354"/>
      <c r="G61" s="2354"/>
      <c r="H61" s="2354"/>
      <c r="I61" s="2354"/>
    </row>
    <row r="62" spans="3:10">
      <c r="D62" s="2354"/>
      <c r="E62" s="2354"/>
      <c r="F62" s="2354"/>
      <c r="G62" s="2354"/>
      <c r="H62" s="2354"/>
      <c r="I62" s="2354"/>
    </row>
    <row r="63" spans="3:10">
      <c r="D63" s="2354"/>
      <c r="E63" s="2354"/>
      <c r="F63" s="2354"/>
      <c r="G63" s="2354"/>
      <c r="H63" s="2354"/>
      <c r="I63" s="2354"/>
    </row>
    <row r="64" spans="3:10">
      <c r="D64" s="2354"/>
      <c r="E64" s="2354"/>
      <c r="F64" s="2354"/>
      <c r="G64" s="2354"/>
      <c r="H64" s="2354"/>
      <c r="I64" s="2354"/>
    </row>
    <row r="65" spans="3:10">
      <c r="D65" s="2354"/>
      <c r="E65" s="2354"/>
      <c r="F65" s="2354"/>
      <c r="G65" s="2354"/>
      <c r="H65" s="2354"/>
      <c r="I65" s="2354"/>
    </row>
    <row r="66" spans="3:10">
      <c r="D66" s="2354"/>
      <c r="E66" s="2354"/>
      <c r="F66" s="2354"/>
      <c r="G66" s="2354"/>
      <c r="H66" s="2354"/>
      <c r="I66" s="2354"/>
    </row>
    <row r="67" spans="3:10">
      <c r="D67" s="2354"/>
      <c r="E67" s="2354"/>
      <c r="F67" s="2354"/>
      <c r="G67" s="2354"/>
      <c r="H67" s="2354"/>
      <c r="I67" s="2354"/>
    </row>
    <row r="69" spans="3:10" ht="55.35" customHeight="1">
      <c r="C69" s="886" t="s">
        <v>2022</v>
      </c>
    </row>
    <row r="70" spans="3:10" ht="33.6" customHeight="1">
      <c r="C70" s="883" t="s">
        <v>2023</v>
      </c>
      <c r="D70" s="2355" t="str">
        <f ca="1">IF(ISERROR(INDIRECT("'"&amp;$K10&amp;"'!b$22")),"-",INDIRECT("'"&amp;$K10&amp;"'!b$23"))</f>
        <v>-</v>
      </c>
      <c r="E70" s="2355"/>
      <c r="F70" s="2355"/>
      <c r="G70" s="2355"/>
      <c r="H70" s="2355"/>
      <c r="I70" s="2355"/>
    </row>
    <row r="72" spans="3:10" ht="28.35" customHeight="1" thickBot="1">
      <c r="C72" s="2322" t="s">
        <v>1283</v>
      </c>
      <c r="D72" s="2322"/>
      <c r="E72" s="2322"/>
      <c r="F72" s="2322"/>
      <c r="G72" s="2322"/>
      <c r="H72" s="2322"/>
      <c r="I72" s="2342"/>
      <c r="J72" s="885" t="s">
        <v>2021</v>
      </c>
    </row>
    <row r="73" spans="3:10" ht="28.35" customHeight="1" thickBot="1">
      <c r="C73" s="2335" t="s">
        <v>1292</v>
      </c>
      <c r="D73" s="2335"/>
      <c r="E73" s="2335"/>
      <c r="F73" s="2335"/>
      <c r="G73" s="2335"/>
      <c r="H73" s="2335"/>
      <c r="I73" s="2356"/>
      <c r="J73" s="1020" t="s">
        <v>1304</v>
      </c>
    </row>
    <row r="74" spans="3:10" ht="28.35" customHeight="1" thickBot="1">
      <c r="C74" s="2335" t="s">
        <v>1301</v>
      </c>
      <c r="D74" s="2335"/>
      <c r="E74" s="2335"/>
      <c r="F74" s="2335"/>
      <c r="G74" s="2335"/>
      <c r="H74" s="2335"/>
      <c r="I74" s="2356"/>
      <c r="J74" s="1021" t="str">
        <f ca="1">IF(ISERROR(INDIRECT("'"&amp;$K10&amp;"'!f$25")),"-",IF(INDIRECT("'"&amp;$K10&amp;"'!f$25")="Subvention nationale/régionale","X",""))</f>
        <v>-</v>
      </c>
    </row>
    <row r="75" spans="3:10" ht="28.35" customHeight="1" thickBot="1">
      <c r="C75" s="2335" t="s">
        <v>1311</v>
      </c>
      <c r="D75" s="2335"/>
      <c r="E75" s="2335"/>
      <c r="F75" s="2335"/>
      <c r="G75" s="2335"/>
      <c r="H75" s="2335"/>
      <c r="I75" s="2356"/>
      <c r="J75" s="1021"/>
    </row>
    <row r="76" spans="3:10" ht="28.35" customHeight="1" thickBot="1">
      <c r="C76" s="2335" t="s">
        <v>1319</v>
      </c>
      <c r="D76" s="2335"/>
      <c r="E76" s="2335"/>
      <c r="F76" s="2335"/>
      <c r="G76" s="2335"/>
      <c r="H76" s="2335"/>
      <c r="I76" s="2356"/>
      <c r="J76" s="1022" t="str">
        <f ca="1">IF(ISERROR(INDIRECT("'"&amp;$K10&amp;"'!f$25")),"-",IF(INDIRECT("'"&amp;$K10&amp;"'!f$25")="Programme européen","X",""))</f>
        <v>-</v>
      </c>
    </row>
    <row r="77" spans="3:10" ht="28.35" customHeight="1" thickBot="1">
      <c r="C77" s="2335" t="s">
        <v>1327</v>
      </c>
      <c r="D77" s="2335"/>
      <c r="E77" s="2335"/>
      <c r="F77" s="2335"/>
      <c r="G77" s="2335"/>
      <c r="H77" s="2335"/>
      <c r="I77" s="2335"/>
      <c r="J77" s="1019"/>
    </row>
    <row r="78" spans="3:10" ht="28.35" customHeight="1" thickBot="1">
      <c r="C78" s="2335" t="s">
        <v>1332</v>
      </c>
      <c r="D78" s="2335"/>
      <c r="E78" s="2335"/>
      <c r="F78" s="2335"/>
      <c r="G78" s="2335"/>
      <c r="H78" s="2335"/>
      <c r="I78" s="2335"/>
      <c r="J78" s="905"/>
    </row>
    <row r="79" spans="3:10" ht="28.35" customHeight="1" thickBot="1">
      <c r="C79" s="2335" t="s">
        <v>157</v>
      </c>
      <c r="D79" s="2335"/>
      <c r="E79" s="2335"/>
      <c r="F79" s="2335"/>
      <c r="G79" s="2335"/>
      <c r="H79" s="2335"/>
      <c r="I79" s="2335"/>
      <c r="J79" s="905"/>
    </row>
    <row r="82" spans="3:10" ht="34.799999999999997">
      <c r="C82" s="883" t="s">
        <v>2024</v>
      </c>
      <c r="D82" s="2357" t="str">
        <f ca="1">IF(ISERROR(INDIRECT("'"&amp;$K10&amp;"'!d$22")),"-",IF(INDIRECT("'"&amp;$K10&amp;"'!d$23")="Investissement",D70,""))</f>
        <v>-</v>
      </c>
      <c r="E82" s="2358"/>
      <c r="F82" s="2358"/>
      <c r="G82" s="2358"/>
      <c r="H82" s="2358"/>
      <c r="I82" s="2359"/>
    </row>
    <row r="83" spans="3:10">
      <c r="D83" s="906"/>
      <c r="E83" s="906"/>
      <c r="F83" s="906"/>
      <c r="G83" s="906"/>
      <c r="H83" s="906"/>
      <c r="I83" s="906"/>
    </row>
    <row r="84" spans="3:10" ht="34.799999999999997">
      <c r="C84" s="883" t="s">
        <v>2025</v>
      </c>
      <c r="D84" s="2357" t="str">
        <f ca="1">IF(ISERROR(INDIRECT("'"&amp;$K10&amp;"'!d$22")),"-",IF(INDIRECT("'"&amp;$K10&amp;"'!d$23")="Non-investissement",D70,""))</f>
        <v>-</v>
      </c>
      <c r="E84" s="2358"/>
      <c r="F84" s="2358"/>
      <c r="G84" s="2358"/>
      <c r="H84" s="2358"/>
      <c r="I84" s="2359"/>
    </row>
    <row r="91" spans="3:10" ht="36" customHeight="1">
      <c r="C91" s="2249" t="s">
        <v>2026</v>
      </c>
      <c r="D91" s="2249"/>
      <c r="E91" s="2249"/>
      <c r="F91" s="2249"/>
    </row>
    <row r="92" spans="3:10" outlineLevel="1"/>
    <row r="93" spans="3:10" ht="17.399999999999999" outlineLevel="1">
      <c r="C93" s="883" t="s">
        <v>103</v>
      </c>
      <c r="D93" s="2332" t="str">
        <f ca="1">IF(D4="X",IF(ISNA(VLOOKUP(INDIRECT("'"&amp;$K10&amp;"'!A$5"),Categories!X35:Y45,2,0)),"",VLOOKUP(INDIRECT("'"&amp;$K10&amp;"'!A$5"),Categories!X35:Y45,2,0)),"")</f>
        <v/>
      </c>
      <c r="E93" s="2333"/>
      <c r="F93" s="2333"/>
      <c r="G93" s="2333"/>
      <c r="H93" s="2333"/>
      <c r="I93" s="2333"/>
      <c r="J93" s="2334"/>
    </row>
    <row r="94" spans="3:10" outlineLevel="1"/>
    <row r="95" spans="3:10" ht="34.799999999999997" outlineLevel="1">
      <c r="C95" s="883" t="s">
        <v>2027</v>
      </c>
      <c r="D95" s="2332" t="str">
        <f ca="1">IF(D4="X",IF(ISERROR(INDIRECT("'"&amp;$K10&amp;"'!b$9")),"-",INDIRECT("'"&amp;$K10&amp;"'!b$9")),"")</f>
        <v/>
      </c>
      <c r="E95" s="2333"/>
      <c r="F95" s="2333"/>
      <c r="G95" s="2333"/>
      <c r="H95" s="2333"/>
      <c r="I95" s="2333"/>
      <c r="J95" s="2334"/>
    </row>
    <row r="96" spans="3:10" outlineLevel="1"/>
    <row r="97" spans="3:10" ht="17.399999999999999" outlineLevel="1">
      <c r="C97" s="883" t="s">
        <v>2028</v>
      </c>
      <c r="D97" s="2332" t="str">
        <f ca="1">IF(D4="X",IF(ISERROR(INDIRECT("'"&amp;$K10&amp;"'!d$9")),"-",INDIRECT("'"&amp;$K10&amp;"'!d$9")),"")</f>
        <v/>
      </c>
      <c r="E97" s="2333"/>
      <c r="F97" s="2333"/>
      <c r="G97" s="2333"/>
      <c r="H97" s="2333"/>
      <c r="I97" s="2333"/>
      <c r="J97" s="2334"/>
    </row>
    <row r="98" spans="3:10" outlineLevel="1"/>
    <row r="99" spans="3:10" outlineLevel="1"/>
    <row r="100" spans="3:10" ht="18" outlineLevel="1">
      <c r="C100" s="2249" t="s">
        <v>2029</v>
      </c>
      <c r="D100" s="2249"/>
      <c r="E100" s="2249"/>
      <c r="F100" s="2249"/>
    </row>
    <row r="101" spans="3:10" outlineLevel="1"/>
    <row r="102" spans="3:10" outlineLevel="1">
      <c r="C102" s="907"/>
      <c r="D102" s="2322">
        <v>2030</v>
      </c>
      <c r="E102" s="2322"/>
      <c r="F102" s="2322"/>
    </row>
    <row r="103" spans="3:10" ht="28.8" outlineLevel="1">
      <c r="C103" s="1023" t="s">
        <v>1991</v>
      </c>
      <c r="D103" s="2323" t="str">
        <f ca="1">IF(ISNA(VLOOKUP(D10,Actions!G2:AL70,22,0)),"",VLOOKUP(D10,Actions!G2:AL70,27,0))</f>
        <v/>
      </c>
      <c r="E103" s="2324"/>
      <c r="F103" s="2325"/>
    </row>
    <row r="104" spans="3:10" ht="28.8" outlineLevel="1">
      <c r="C104" s="1024" t="s">
        <v>1081</v>
      </c>
      <c r="D104" s="2363" t="str">
        <f ca="1">IF(ISNA(VLOOKUP(D10,Actions!G2:AL70,22,0)),"",VLOOKUP(D10,Actions!G2:AL70,28,0))</f>
        <v/>
      </c>
      <c r="E104" s="2364"/>
      <c r="F104" s="2365"/>
    </row>
    <row r="105" spans="3:10" outlineLevel="1">
      <c r="C105" s="1025" t="s">
        <v>2030</v>
      </c>
      <c r="D105" s="2360" t="str">
        <f ca="1">IF(ISNA(VLOOKUP(D10,Actions!G2:AL70,22,0)),"",VLOOKUP(D10,Actions!G2:AL70,29,0))</f>
        <v/>
      </c>
      <c r="E105" s="2361"/>
      <c r="F105" s="2362"/>
    </row>
    <row r="108" spans="3:10" ht="18">
      <c r="C108" s="2249" t="s">
        <v>2031</v>
      </c>
      <c r="D108" s="2249"/>
      <c r="E108" s="2249"/>
      <c r="F108" s="2249"/>
    </row>
    <row r="109" spans="3:10" ht="18">
      <c r="C109" s="2249"/>
      <c r="D109" s="2249"/>
      <c r="E109" s="2249"/>
      <c r="F109" s="2249"/>
    </row>
    <row r="110" spans="3:10" ht="29.4" customHeight="1" outlineLevel="1" thickBot="1">
      <c r="C110" s="657" t="s">
        <v>1284</v>
      </c>
      <c r="D110" s="2306" t="s">
        <v>2032</v>
      </c>
      <c r="E110" s="2307"/>
      <c r="F110" s="2307"/>
    </row>
    <row r="111" spans="3:10" ht="15" outlineLevel="1" thickBot="1">
      <c r="C111" s="1026" t="s">
        <v>1293</v>
      </c>
      <c r="D111" s="2319" t="str">
        <f ca="1">IF(ISNA(VLOOKUP($K$10,Actions!$A$2:$O$46,15,0)),"",IF(VLOOKUP($K$10,Actions!$A$2:$O$46,15,0)='Détails action 10'!C111,"X",""))</f>
        <v/>
      </c>
      <c r="E111" s="2320"/>
      <c r="F111" s="2321"/>
    </row>
    <row r="112" spans="3:10" ht="15" outlineLevel="1" thickBot="1">
      <c r="C112" s="1026" t="s">
        <v>1302</v>
      </c>
      <c r="D112" s="2317" t="str">
        <f ca="1">IF(ISNA(VLOOKUP($K$10,Actions!$A$2:$O$46,15,0)),"",IF(VLOOKUP($K$10,Actions!$A$2:$O$46,15,0)='Détails action 10'!C112,"X",""))</f>
        <v/>
      </c>
      <c r="E112" s="2301"/>
      <c r="F112" s="2318"/>
    </row>
    <row r="113" spans="3:6" ht="15" outlineLevel="1" thickBot="1">
      <c r="C113" s="1026" t="s">
        <v>1312</v>
      </c>
      <c r="D113" s="2317" t="str">
        <f ca="1">IF(ISNA(VLOOKUP($K$10,Actions!$A$2:$O$46,15,0)),"",IF(VLOOKUP($K$10,Actions!$A$2:$O$46,15,0)='Détails action 10'!C113,"X",""))</f>
        <v/>
      </c>
      <c r="E113" s="2301"/>
      <c r="F113" s="2318"/>
    </row>
    <row r="114" spans="3:6" ht="28.35" customHeight="1" outlineLevel="1" thickBot="1">
      <c r="C114" s="1026" t="s">
        <v>1320</v>
      </c>
      <c r="D114" s="2317" t="str">
        <f ca="1">IF(ISNA(VLOOKUP($K$10,Actions!$A$2:$O$46,15,0)),"",IF(VLOOKUP($K$10,Actions!$A$2:$O$46,15,0)='Détails action 10'!C114,"X",""))</f>
        <v/>
      </c>
      <c r="E114" s="2301"/>
      <c r="F114" s="2318"/>
    </row>
    <row r="115" spans="3:6" ht="15" outlineLevel="1" thickBot="1">
      <c r="C115" s="1026" t="s">
        <v>1328</v>
      </c>
      <c r="D115" s="2317" t="str">
        <f ca="1">IF(ISNA(VLOOKUP($K$10,Actions!$A$2:$O$46,15,0)),"",IF(VLOOKUP($K$10,Actions!$A$2:$O$46,15,0)='Détails action 10'!C115,"X",""))</f>
        <v/>
      </c>
      <c r="E115" s="2301"/>
      <c r="F115" s="2318"/>
    </row>
    <row r="116" spans="3:6" ht="15" outlineLevel="1" thickBot="1">
      <c r="C116" s="1026" t="s">
        <v>1333</v>
      </c>
      <c r="D116" s="2317" t="str">
        <f ca="1">IF(ISNA(VLOOKUP($K$10,Actions!$A$2:$O$46,15,0)),"",IF(VLOOKUP($K$10,Actions!$A$2:$O$46,15,0)='Détails action 10'!C116,"X",""))</f>
        <v/>
      </c>
      <c r="E116" s="2301"/>
      <c r="F116" s="2318"/>
    </row>
    <row r="117" spans="3:6" ht="15" outlineLevel="1" thickBot="1">
      <c r="C117" s="1026" t="s">
        <v>1337</v>
      </c>
      <c r="D117" s="2317" t="str">
        <f ca="1">IF(ISNA(VLOOKUP($K$10,Actions!$A$2:$O$46,15,0)),"",IF(VLOOKUP($K$10,Actions!$A$2:$O$46,15,0)='Détails action 10'!C117,"X",""))</f>
        <v/>
      </c>
      <c r="E117" s="2301"/>
      <c r="F117" s="2318"/>
    </row>
    <row r="118" spans="3:6" ht="15" outlineLevel="1" thickBot="1">
      <c r="C118" s="1026" t="s">
        <v>1339</v>
      </c>
      <c r="D118" s="2317" t="str">
        <f ca="1">IF(ISNA(VLOOKUP($K$10,Actions!$A$2:$O$46,15,0)),"",IF(VLOOKUP($K$10,Actions!$A$2:$O$46,15,0)='Détails action 10'!C118,"X",""))</f>
        <v/>
      </c>
      <c r="E118" s="2301"/>
      <c r="F118" s="2318"/>
    </row>
    <row r="119" spans="3:6" ht="15" outlineLevel="1" thickBot="1">
      <c r="C119" s="1026" t="s">
        <v>1342</v>
      </c>
      <c r="D119" s="2317" t="str">
        <f ca="1">IF(ISNA(VLOOKUP($K$10,Actions!$A$2:$O$46,15,0)),"",IF(VLOOKUP($K$10,Actions!$A$2:$O$46,15,0)='Détails action 10'!C119,"X",""))</f>
        <v/>
      </c>
      <c r="E119" s="2301"/>
      <c r="F119" s="2318"/>
    </row>
    <row r="120" spans="3:6" ht="15" outlineLevel="1" thickBot="1">
      <c r="C120" s="1026" t="s">
        <v>1345</v>
      </c>
      <c r="D120" s="2317" t="str">
        <f ca="1">IF(ISNA(VLOOKUP($K$10,Actions!$A$2:$O$46,15,0)),"",IF(VLOOKUP($K$10,Actions!$A$2:$O$46,15,0)='Détails action 10'!C120,"X",""))</f>
        <v/>
      </c>
      <c r="E120" s="2301"/>
      <c r="F120" s="2318"/>
    </row>
    <row r="121" spans="3:6" ht="15" outlineLevel="1" thickBot="1">
      <c r="C121" s="1026" t="s">
        <v>157</v>
      </c>
      <c r="D121" s="2314" t="str">
        <f ca="1">IF(ISNA(VLOOKUP($K$10,Actions!$A$2:$O$46,15,0)),"",IF(VLOOKUP($K$10,Actions!$A$2:$O$46,15,0)='Détails action 10'!C121,"X",""))</f>
        <v/>
      </c>
      <c r="E121" s="2315"/>
      <c r="F121" s="2316"/>
    </row>
    <row r="122" spans="3:6" outlineLevel="1">
      <c r="C122" s="909"/>
      <c r="D122" s="910"/>
    </row>
    <row r="123" spans="3:6" ht="15" outlineLevel="1" thickBot="1">
      <c r="C123" s="657" t="s">
        <v>2033</v>
      </c>
      <c r="D123" s="2306" t="s">
        <v>2032</v>
      </c>
      <c r="E123" s="2307"/>
      <c r="F123" s="2307"/>
    </row>
    <row r="124" spans="3:6" ht="15" outlineLevel="1" thickBot="1">
      <c r="C124" s="1026" t="s">
        <v>866</v>
      </c>
      <c r="D124" s="2311" t="str">
        <f ca="1">IF(ISNA(VLOOKUP($K$10,Actions!$A$2:$O$46,15,0)),"",IF(VLOOKUP($K$10,Actions!$A$2:$O$46,8,0)='Détails action 10'!C124,"X",""))</f>
        <v/>
      </c>
      <c r="E124" s="2312"/>
      <c r="F124" s="2313"/>
    </row>
    <row r="125" spans="3:6" ht="15" outlineLevel="1" thickBot="1">
      <c r="C125" s="1026" t="s">
        <v>870</v>
      </c>
      <c r="D125" s="2308" t="str">
        <f ca="1">IF(ISNA(VLOOKUP($K$10,Actions!$A$2:$O$46,15,0)),"",IF(VLOOKUP($K$10,Actions!$A$2:$O$46,8,0)='Détails action 10'!C125,"X",""))</f>
        <v/>
      </c>
      <c r="E125" s="2309"/>
      <c r="F125" s="2310"/>
    </row>
    <row r="126" spans="3:6" ht="15" outlineLevel="1" thickBot="1">
      <c r="C126" s="1026" t="s">
        <v>876</v>
      </c>
      <c r="D126" s="2308" t="str">
        <f ca="1">IF(ISNA(VLOOKUP($K$10,Actions!$A$2:$O$46,15,0)),"",IF(VLOOKUP($K$10,Actions!$A$2:$O$46,8,0)='Détails action 10'!C126,"X",""))</f>
        <v/>
      </c>
      <c r="E126" s="2309"/>
      <c r="F126" s="2310"/>
    </row>
    <row r="127" spans="3:6" ht="15" outlineLevel="1" thickBot="1">
      <c r="C127" s="1026" t="s">
        <v>881</v>
      </c>
      <c r="D127" s="2308" t="str">
        <f ca="1">IF(ISNA(VLOOKUP($K$10,Actions!$A$2:$O$46,15,0)),"",IF(VLOOKUP($K$10,Actions!$A$2:$O$46,8,0)='Détails action 10'!C127,"X",""))</f>
        <v/>
      </c>
      <c r="E127" s="2309"/>
      <c r="F127" s="2310"/>
    </row>
    <row r="128" spans="3:6" ht="15" outlineLevel="1" thickBot="1">
      <c r="C128" s="1026" t="s">
        <v>884</v>
      </c>
      <c r="D128" s="2308" t="str">
        <f ca="1">IF(ISNA(VLOOKUP($K$10,Actions!$A$2:$O$46,15,0)),"",IF(VLOOKUP($K$10,Actions!$A$2:$O$46,8,0)='Détails action 10'!C128,"X",""))</f>
        <v/>
      </c>
      <c r="E128" s="2309"/>
      <c r="F128" s="2310"/>
    </row>
    <row r="129" spans="3:6" ht="15" outlineLevel="1" thickBot="1">
      <c r="C129" s="1026" t="s">
        <v>887</v>
      </c>
      <c r="D129" s="2308" t="str">
        <f ca="1">IF(ISNA(VLOOKUP($K$10,Actions!$A$2:$O$46,15,0)),"",IF(VLOOKUP($K$10,Actions!$A$2:$O$46,8,0)='Détails action 10'!C129,"X",""))</f>
        <v/>
      </c>
      <c r="E129" s="2309"/>
      <c r="F129" s="2310"/>
    </row>
    <row r="130" spans="3:6" ht="15" outlineLevel="1" thickBot="1">
      <c r="C130" s="1026" t="s">
        <v>889</v>
      </c>
      <c r="D130" s="2308" t="str">
        <f ca="1">IF(ISNA(VLOOKUP($K$10,Actions!$A$2:$O$46,15,0)),"",IF(VLOOKUP($K$10,Actions!$A$2:$O$46,8,0)='Détails action 10'!C130,"X",""))</f>
        <v/>
      </c>
      <c r="E130" s="2309"/>
      <c r="F130" s="2310"/>
    </row>
    <row r="131" spans="3:6" ht="30.6" customHeight="1" outlineLevel="1" thickBot="1">
      <c r="C131" s="1026" t="s">
        <v>891</v>
      </c>
      <c r="D131" s="2308" t="str">
        <f ca="1">IF(ISNA(VLOOKUP($K$10,Actions!$A$2:$O$46,15,0)),"",IF(VLOOKUP($K$10,Actions!$A$2:$O$46,8,0)='Détails action 10'!C131,"X",""))</f>
        <v/>
      </c>
      <c r="E131" s="2309"/>
      <c r="F131" s="2310"/>
    </row>
    <row r="132" spans="3:6" ht="15" outlineLevel="1" thickBot="1">
      <c r="C132" s="1026" t="s">
        <v>892</v>
      </c>
      <c r="D132" s="2308" t="str">
        <f ca="1">IF(ISNA(VLOOKUP($K$10,Actions!$A$2:$O$46,15,0)),"",IF(VLOOKUP($K$10,Actions!$A$2:$O$46,8,0)='Détails action 10'!C132,"X",""))</f>
        <v/>
      </c>
      <c r="E132" s="2309"/>
      <c r="F132" s="2310"/>
    </row>
    <row r="133" spans="3:6" ht="28.35" customHeight="1" outlineLevel="1" thickBot="1">
      <c r="C133" s="1026" t="s">
        <v>898</v>
      </c>
      <c r="D133" s="2308" t="str">
        <f ca="1">IF(ISNA(VLOOKUP($K$10,Actions!$A$2:$O$46,15,0)),"",IF(VLOOKUP($K$10,Actions!$A$2:$O$46,8,0)='Détails action 10'!C133,"X",""))</f>
        <v/>
      </c>
      <c r="E133" s="2309"/>
      <c r="F133" s="2310"/>
    </row>
    <row r="134" spans="3:6" ht="15" outlineLevel="1" thickBot="1">
      <c r="C134" s="1026" t="s">
        <v>904</v>
      </c>
      <c r="D134" s="2308" t="str">
        <f ca="1">IF(ISNA(VLOOKUP($K$10,Actions!$A$2:$O$46,15,0)),"",IF(VLOOKUP($K$10,Actions!$A$2:$O$46,8,0)='Détails action 10'!C134,"X",""))</f>
        <v/>
      </c>
      <c r="E134" s="2309"/>
      <c r="F134" s="2310"/>
    </row>
    <row r="135" spans="3:6" ht="15" outlineLevel="1" thickBot="1">
      <c r="C135" s="1026" t="s">
        <v>909</v>
      </c>
      <c r="D135" s="2308" t="str">
        <f ca="1">IF(ISNA(VLOOKUP($K$10,Actions!$A$2:$O$46,15,0)),"",IF(VLOOKUP($K$10,Actions!$A$2:$O$46,8,0)='Détails action 10'!C135,"X",""))</f>
        <v/>
      </c>
      <c r="E135" s="2309"/>
      <c r="F135" s="2310"/>
    </row>
    <row r="136" spans="3:6" ht="42" customHeight="1" outlineLevel="1" thickBot="1">
      <c r="C136" s="1026" t="s">
        <v>914</v>
      </c>
      <c r="D136" s="2303" t="str">
        <f ca="1">IF(ISNA(VLOOKUP($K$10,Actions!$A$2:$O$46,15,0)),"",IF(VLOOKUP($K$10,Actions!$A$2:$O$46,8,0)='Détails action 10'!C136,"X",""))</f>
        <v/>
      </c>
      <c r="E136" s="2304"/>
      <c r="F136" s="2305"/>
    </row>
    <row r="138" spans="3:6" ht="29.4" thickBot="1">
      <c r="C138" s="657" t="s">
        <v>2034</v>
      </c>
      <c r="D138" s="2306" t="s">
        <v>2032</v>
      </c>
      <c r="E138" s="2307"/>
      <c r="F138" s="2307"/>
    </row>
    <row r="139" spans="3:6" ht="15" thickBot="1">
      <c r="C139" s="908" t="s">
        <v>1694</v>
      </c>
      <c r="D139" s="2300"/>
      <c r="E139" s="2301"/>
      <c r="F139" s="2302"/>
    </row>
    <row r="140" spans="3:6" ht="15" thickBot="1">
      <c r="C140" s="908" t="s">
        <v>1695</v>
      </c>
      <c r="D140" s="2300"/>
      <c r="E140" s="2301"/>
      <c r="F140" s="2302"/>
    </row>
    <row r="141" spans="3:6" ht="15" thickBot="1">
      <c r="C141" s="908" t="s">
        <v>1696</v>
      </c>
      <c r="D141" s="2300"/>
      <c r="E141" s="2301"/>
      <c r="F141" s="2302"/>
    </row>
    <row r="142" spans="3:6" ht="15" thickBot="1">
      <c r="C142" s="908" t="s">
        <v>1697</v>
      </c>
      <c r="D142" s="2300"/>
      <c r="E142" s="2301"/>
      <c r="F142" s="2302"/>
    </row>
    <row r="143" spans="3:6" ht="15" thickBot="1">
      <c r="C143" s="908" t="s">
        <v>1698</v>
      </c>
      <c r="D143" s="2300"/>
      <c r="E143" s="2301"/>
      <c r="F143" s="2302"/>
    </row>
    <row r="144" spans="3:6" ht="15" thickBot="1">
      <c r="C144" s="908" t="s">
        <v>1699</v>
      </c>
      <c r="D144" s="2300"/>
      <c r="E144" s="2301"/>
      <c r="F144" s="2302"/>
    </row>
    <row r="145" spans="3:6" ht="28.35" customHeight="1" thickBot="1">
      <c r="C145" s="908" t="s">
        <v>1700</v>
      </c>
      <c r="D145" s="2300"/>
      <c r="E145" s="2301"/>
      <c r="F145" s="2302"/>
    </row>
    <row r="146" spans="3:6" ht="15" thickBot="1">
      <c r="C146" s="908" t="s">
        <v>1701</v>
      </c>
      <c r="D146" s="2300"/>
      <c r="E146" s="2301"/>
      <c r="F146" s="2302"/>
    </row>
    <row r="147" spans="3:6" ht="15" thickBot="1">
      <c r="C147" s="908" t="s">
        <v>1702</v>
      </c>
      <c r="D147" s="2300"/>
      <c r="E147" s="2301"/>
      <c r="F147" s="2302"/>
    </row>
    <row r="148" spans="3:6" ht="28.35" customHeight="1" thickBot="1">
      <c r="C148" s="908" t="s">
        <v>1703</v>
      </c>
      <c r="D148" s="2300"/>
      <c r="E148" s="2301"/>
      <c r="F148" s="2302"/>
    </row>
    <row r="149" spans="3:6" ht="28.35" customHeight="1" thickBot="1">
      <c r="C149" s="908" t="s">
        <v>1704</v>
      </c>
      <c r="D149" s="2300"/>
      <c r="E149" s="2301"/>
      <c r="F149" s="2302"/>
    </row>
    <row r="150" spans="3:6" ht="15" thickBot="1">
      <c r="C150" s="908" t="s">
        <v>157</v>
      </c>
      <c r="D150" s="2300"/>
      <c r="E150" s="2301"/>
      <c r="F150" s="2302"/>
    </row>
    <row r="151" spans="3:6" ht="15" thickBot="1">
      <c r="C151" s="908" t="s">
        <v>661</v>
      </c>
      <c r="D151" s="2300"/>
      <c r="E151" s="2301"/>
      <c r="F151" s="2302"/>
    </row>
  </sheetData>
  <sheetProtection sheet="1" objects="1" scenarios="1"/>
  <mergeCells count="84">
    <mergeCell ref="D46:J46"/>
    <mergeCell ref="C2:G2"/>
    <mergeCell ref="H2:L2"/>
    <mergeCell ref="D10:J11"/>
    <mergeCell ref="C16:C17"/>
    <mergeCell ref="D16:J17"/>
    <mergeCell ref="D19:J19"/>
    <mergeCell ref="D22:J29"/>
    <mergeCell ref="D31:J31"/>
    <mergeCell ref="D33:J33"/>
    <mergeCell ref="D42:J42"/>
    <mergeCell ref="D44:J44"/>
    <mergeCell ref="C72:I72"/>
    <mergeCell ref="C51:I51"/>
    <mergeCell ref="C52:I52"/>
    <mergeCell ref="C53:I53"/>
    <mergeCell ref="C54:I54"/>
    <mergeCell ref="C55:I55"/>
    <mergeCell ref="C56:I56"/>
    <mergeCell ref="C57:I57"/>
    <mergeCell ref="C58:I58"/>
    <mergeCell ref="C59:I59"/>
    <mergeCell ref="D61:I67"/>
    <mergeCell ref="D70:I70"/>
    <mergeCell ref="D95:J95"/>
    <mergeCell ref="C73:I73"/>
    <mergeCell ref="C74:I74"/>
    <mergeCell ref="C75:I75"/>
    <mergeCell ref="C76:I76"/>
    <mergeCell ref="C77:I77"/>
    <mergeCell ref="C78:I78"/>
    <mergeCell ref="C79:I79"/>
    <mergeCell ref="D82:I82"/>
    <mergeCell ref="D84:I84"/>
    <mergeCell ref="C91:F91"/>
    <mergeCell ref="D93:J93"/>
    <mergeCell ref="D113:F113"/>
    <mergeCell ref="D97:J97"/>
    <mergeCell ref="C100:F100"/>
    <mergeCell ref="D102:F102"/>
    <mergeCell ref="D103:F103"/>
    <mergeCell ref="D104:F104"/>
    <mergeCell ref="D105:F105"/>
    <mergeCell ref="C108:F108"/>
    <mergeCell ref="C109:F109"/>
    <mergeCell ref="D110:F110"/>
    <mergeCell ref="D111:F111"/>
    <mergeCell ref="D112:F112"/>
    <mergeCell ref="D126:F126"/>
    <mergeCell ref="D114:F114"/>
    <mergeCell ref="D115:F115"/>
    <mergeCell ref="D116:F116"/>
    <mergeCell ref="D117:F117"/>
    <mergeCell ref="D118:F118"/>
    <mergeCell ref="D119:F119"/>
    <mergeCell ref="D120:F120"/>
    <mergeCell ref="D121:F121"/>
    <mergeCell ref="D123:F123"/>
    <mergeCell ref="D124:F124"/>
    <mergeCell ref="D125:F125"/>
    <mergeCell ref="D139:F139"/>
    <mergeCell ref="D127:F127"/>
    <mergeCell ref="D128:F128"/>
    <mergeCell ref="D129:F129"/>
    <mergeCell ref="D130:F130"/>
    <mergeCell ref="D131:F131"/>
    <mergeCell ref="D132:F132"/>
    <mergeCell ref="D133:F133"/>
    <mergeCell ref="D134:F134"/>
    <mergeCell ref="D135:F135"/>
    <mergeCell ref="D136:F136"/>
    <mergeCell ref="D138:F138"/>
    <mergeCell ref="D151:F151"/>
    <mergeCell ref="D140:F140"/>
    <mergeCell ref="D141:F141"/>
    <mergeCell ref="D142:F142"/>
    <mergeCell ref="D143:F143"/>
    <mergeCell ref="D144:F144"/>
    <mergeCell ref="D145:F145"/>
    <mergeCell ref="D146:F146"/>
    <mergeCell ref="D147:F147"/>
    <mergeCell ref="D148:F148"/>
    <mergeCell ref="D149:F149"/>
    <mergeCell ref="D150:F150"/>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750C0-2BCD-439B-8F57-E346740FB857}">
  <sheetPr codeName="Feuil55">
    <tabColor theme="8" tint="0.79998168889431442"/>
  </sheetPr>
  <dimension ref="C1:L151"/>
  <sheetViews>
    <sheetView showGridLines="0" topLeftCell="A82" zoomScale="90" zoomScaleNormal="90" workbookViewId="0">
      <selection activeCell="D106" sqref="D106"/>
    </sheetView>
  </sheetViews>
  <sheetFormatPr baseColWidth="10" defaultColWidth="11.44140625" defaultRowHeight="14.4" outlineLevelRow="1"/>
  <cols>
    <col min="1" max="1" width="28.5546875" customWidth="1"/>
    <col min="2" max="2" width="7.44140625" customWidth="1"/>
    <col min="3" max="3" width="29.5546875" customWidth="1"/>
    <col min="4" max="4" width="6.88671875" style="902" bestFit="1" customWidth="1"/>
    <col min="5" max="5" width="3.5546875" customWidth="1"/>
    <col min="6" max="6" width="21.109375" customWidth="1"/>
    <col min="7" max="7" width="14.44140625" customWidth="1"/>
    <col min="8" max="8" width="12" customWidth="1"/>
    <col min="9" max="9" width="11.44140625" customWidth="1"/>
    <col min="10" max="10" width="13.5546875" customWidth="1"/>
    <col min="11" max="11" width="14.88671875" customWidth="1"/>
    <col min="12" max="12" width="11.5546875" bestFit="1" customWidth="1"/>
    <col min="14" max="20" width="0" hidden="1" customWidth="1"/>
  </cols>
  <sheetData>
    <row r="1" spans="3:12" ht="111" customHeight="1"/>
    <row r="2" spans="3:12" ht="18">
      <c r="C2" s="2249" t="s">
        <v>2009</v>
      </c>
      <c r="D2" s="2249"/>
      <c r="E2" s="2249"/>
      <c r="F2" s="2249"/>
      <c r="G2" s="2249"/>
      <c r="H2" s="2278" t="s">
        <v>1855</v>
      </c>
      <c r="I2" s="2279"/>
      <c r="J2" s="2279"/>
      <c r="K2" s="2279"/>
      <c r="L2" s="2280"/>
    </row>
    <row r="3" spans="3:12" ht="56.4" customHeight="1"/>
    <row r="4" spans="3:12" ht="17.399999999999999">
      <c r="C4" s="880" t="s">
        <v>2010</v>
      </c>
      <c r="D4" s="1018" t="str">
        <f ca="1">IF(ISERROR(INDIRECT("'"&amp;$K10&amp;"'!e$2")),"-",IF(INDIRECT("'"&amp;$K10&amp;"'!e$2")=1,"X",""))</f>
        <v>-</v>
      </c>
      <c r="F4" s="882" t="s">
        <v>708</v>
      </c>
    </row>
    <row r="5" spans="3:12" ht="15.6">
      <c r="D5" s="903"/>
      <c r="F5" s="881"/>
    </row>
    <row r="6" spans="3:12" ht="15.6" customHeight="1">
      <c r="D6" s="1018" t="str">
        <f ca="1">IF(D4="X","","X")</f>
        <v>X</v>
      </c>
      <c r="F6" s="882" t="s">
        <v>327</v>
      </c>
    </row>
    <row r="7" spans="3:12" ht="15.6">
      <c r="D7" s="903"/>
      <c r="F7" s="881"/>
    </row>
    <row r="8" spans="3:12" ht="16.350000000000001" customHeight="1">
      <c r="D8" s="1018" t="str">
        <f ca="1">IF(ISERROR(INDIRECT("'"&amp;$K10&amp;"'!e$3")),"-",IF(INDIRECT("'"&amp;$K10&amp;"'!e$3")=TRUE,"X",""))</f>
        <v>-</v>
      </c>
      <c r="F8" s="882" t="s">
        <v>1276</v>
      </c>
    </row>
    <row r="10" spans="3:12" ht="17.399999999999999">
      <c r="C10" s="880" t="s">
        <v>724</v>
      </c>
      <c r="D10" s="2336" t="str">
        <f ca="1">IF(ISERROR(INDIRECT("'"&amp;$K10&amp;"'!b$13")),"-",INDIRECT("'"&amp;$K10&amp;"'!b$13"))</f>
        <v>-</v>
      </c>
      <c r="E10" s="2337"/>
      <c r="F10" s="2337"/>
      <c r="G10" s="2337"/>
      <c r="H10" s="2337"/>
      <c r="I10" s="2337"/>
      <c r="J10" s="2338"/>
      <c r="K10" s="55" t="str">
        <f ca="1">'Mes actions'!D74</f>
        <v/>
      </c>
    </row>
    <row r="11" spans="3:12">
      <c r="D11" s="2339"/>
      <c r="E11" s="2340"/>
      <c r="F11" s="2340"/>
      <c r="G11" s="2340"/>
      <c r="H11" s="2340"/>
      <c r="I11" s="2340"/>
      <c r="J11" s="2341"/>
    </row>
    <row r="14" spans="3:12" ht="17.399999999999999">
      <c r="C14" s="880" t="s">
        <v>2011</v>
      </c>
    </row>
    <row r="16" spans="3:12" ht="17.399999999999999" customHeight="1">
      <c r="C16" s="2353" t="s">
        <v>1073</v>
      </c>
      <c r="D16" s="2336" t="str">
        <f ca="1">IF(ISERROR(INDIRECT("'"&amp;$K10&amp;"'!b$11")),"-",INDIRECT("'"&amp;$K10&amp;"'!b$11"))</f>
        <v>-</v>
      </c>
      <c r="E16" s="2337"/>
      <c r="F16" s="2337"/>
      <c r="G16" s="2337"/>
      <c r="H16" s="2337"/>
      <c r="I16" s="2337"/>
      <c r="J16" s="2338"/>
    </row>
    <row r="17" spans="3:10">
      <c r="C17" s="2353"/>
      <c r="D17" s="2339"/>
      <c r="E17" s="2340"/>
      <c r="F17" s="2340"/>
      <c r="G17" s="2340"/>
      <c r="H17" s="2340"/>
      <c r="I17" s="2340"/>
      <c r="J17" s="2341"/>
    </row>
    <row r="19" spans="3:10" ht="34.799999999999997">
      <c r="C19" s="883" t="s">
        <v>2012</v>
      </c>
      <c r="D19" s="2332" t="str">
        <f ca="1">D16</f>
        <v>-</v>
      </c>
      <c r="E19" s="2333"/>
      <c r="F19" s="2333"/>
      <c r="G19" s="2333"/>
      <c r="H19" s="2333"/>
      <c r="I19" s="2333"/>
      <c r="J19" s="2334"/>
    </row>
    <row r="22" spans="3:10" ht="34.799999999999997">
      <c r="C22" s="883" t="s">
        <v>2013</v>
      </c>
      <c r="D22" s="2343" t="str">
        <f ca="1">IF(ISERROR(INDIRECT("'"&amp;$K10&amp;"'!b$14")),"-",INDIRECT("'"&amp;$K10&amp;"'!b$14"))</f>
        <v>-</v>
      </c>
      <c r="E22" s="2344"/>
      <c r="F22" s="2344"/>
      <c r="G22" s="2344"/>
      <c r="H22" s="2344"/>
      <c r="I22" s="2344"/>
      <c r="J22" s="2345"/>
    </row>
    <row r="23" spans="3:10">
      <c r="D23" s="2346"/>
      <c r="E23" s="2347"/>
      <c r="F23" s="2347"/>
      <c r="G23" s="2347"/>
      <c r="H23" s="2347"/>
      <c r="I23" s="2347"/>
      <c r="J23" s="2348"/>
    </row>
    <row r="24" spans="3:10">
      <c r="D24" s="2346"/>
      <c r="E24" s="2347"/>
      <c r="F24" s="2347"/>
      <c r="G24" s="2347"/>
      <c r="H24" s="2347"/>
      <c r="I24" s="2347"/>
      <c r="J24" s="2348"/>
    </row>
    <row r="25" spans="3:10">
      <c r="D25" s="2346"/>
      <c r="E25" s="2347"/>
      <c r="F25" s="2347"/>
      <c r="G25" s="2347"/>
      <c r="H25" s="2347"/>
      <c r="I25" s="2347"/>
      <c r="J25" s="2348"/>
    </row>
    <row r="26" spans="3:10">
      <c r="D26" s="2346"/>
      <c r="E26" s="2347"/>
      <c r="F26" s="2347"/>
      <c r="G26" s="2347"/>
      <c r="H26" s="2347"/>
      <c r="I26" s="2347"/>
      <c r="J26" s="2348"/>
    </row>
    <row r="27" spans="3:10">
      <c r="D27" s="2346"/>
      <c r="E27" s="2347"/>
      <c r="F27" s="2347"/>
      <c r="G27" s="2347"/>
      <c r="H27" s="2347"/>
      <c r="I27" s="2347"/>
      <c r="J27" s="2348"/>
    </row>
    <row r="28" spans="3:10">
      <c r="D28" s="2346"/>
      <c r="E28" s="2347"/>
      <c r="F28" s="2347"/>
      <c r="G28" s="2347"/>
      <c r="H28" s="2347"/>
      <c r="I28" s="2347"/>
      <c r="J28" s="2348"/>
    </row>
    <row r="29" spans="3:10">
      <c r="D29" s="2349"/>
      <c r="E29" s="2350"/>
      <c r="F29" s="2350"/>
      <c r="G29" s="2350"/>
      <c r="H29" s="2350"/>
      <c r="I29" s="2350"/>
      <c r="J29" s="2351"/>
    </row>
    <row r="31" spans="3:10" ht="31.35" customHeight="1">
      <c r="C31" s="884" t="s">
        <v>2014</v>
      </c>
      <c r="D31" s="2352"/>
      <c r="E31" s="2352"/>
      <c r="F31" s="2352"/>
      <c r="G31" s="2352"/>
      <c r="H31" s="2352"/>
      <c r="I31" s="2352"/>
      <c r="J31" s="2352"/>
    </row>
    <row r="33" spans="3:10" ht="28.35" customHeight="1">
      <c r="C33" s="884" t="s">
        <v>2015</v>
      </c>
      <c r="D33" s="2352"/>
      <c r="E33" s="2352"/>
      <c r="F33" s="2352"/>
      <c r="G33" s="2352"/>
      <c r="H33" s="2352"/>
      <c r="I33" s="2352"/>
      <c r="J33" s="2352"/>
    </row>
    <row r="35" spans="3:10" ht="17.399999999999999">
      <c r="C35" s="880" t="s">
        <v>2016</v>
      </c>
    </row>
    <row r="41" spans="3:10" ht="24" customHeight="1"/>
    <row r="42" spans="3:10" ht="34.799999999999997">
      <c r="C42" s="883" t="s">
        <v>2017</v>
      </c>
      <c r="D42" s="2332" t="str">
        <f ca="1">IF(ISERROR(INDIRECT("'"&amp;$K10&amp;"'!b$19")),"-",INDIRECT("'"&amp;$K10&amp;"'!b$20"))</f>
        <v>-</v>
      </c>
      <c r="E42" s="2333"/>
      <c r="F42" s="2333"/>
      <c r="G42" s="2333"/>
      <c r="H42" s="2333"/>
      <c r="I42" s="2333"/>
      <c r="J42" s="2334"/>
    </row>
    <row r="43" spans="3:10">
      <c r="E43" s="902"/>
      <c r="F43" s="902"/>
      <c r="G43" s="902"/>
      <c r="H43" s="902"/>
      <c r="I43" s="902"/>
      <c r="J43" s="902"/>
    </row>
    <row r="44" spans="3:10" ht="33.6" customHeight="1">
      <c r="C44" s="883" t="s">
        <v>2018</v>
      </c>
      <c r="D44" s="2332" t="str">
        <f ca="1">IF(ISERROR(INDIRECT("'"&amp;$K10&amp;"'!b$20")),"-",INDIRECT("'"&amp;$K10&amp;"'!b$21"))</f>
        <v>-</v>
      </c>
      <c r="E44" s="2333"/>
      <c r="F44" s="2333"/>
      <c r="G44" s="2333"/>
      <c r="H44" s="2333"/>
      <c r="I44" s="2333"/>
      <c r="J44" s="2334"/>
    </row>
    <row r="45" spans="3:10">
      <c r="E45" s="902"/>
      <c r="F45" s="902"/>
      <c r="G45" s="902"/>
      <c r="H45" s="902"/>
      <c r="I45" s="902"/>
      <c r="J45" s="902"/>
    </row>
    <row r="46" spans="3:10" ht="34.799999999999997">
      <c r="C46" s="883" t="s">
        <v>2019</v>
      </c>
      <c r="D46" s="2332" t="str">
        <f ca="1">IF(ISERROR(INDIRECT("'"&amp;$K10&amp;"'!e$6")),"-",INDIRECT("'"&amp;$K10&amp;"'!e$6"))</f>
        <v>-</v>
      </c>
      <c r="E46" s="2333"/>
      <c r="F46" s="2333"/>
      <c r="G46" s="2333"/>
      <c r="H46" s="2333"/>
      <c r="I46" s="2333"/>
      <c r="J46" s="2334"/>
    </row>
    <row r="49" spans="3:10" ht="36">
      <c r="C49" s="655" t="s">
        <v>2020</v>
      </c>
    </row>
    <row r="51" spans="3:10" ht="23.4" customHeight="1" thickBot="1">
      <c r="C51" s="2322" t="s">
        <v>1282</v>
      </c>
      <c r="D51" s="2322"/>
      <c r="E51" s="2322"/>
      <c r="F51" s="2322"/>
      <c r="G51" s="2322"/>
      <c r="H51" s="2322"/>
      <c r="I51" s="2342"/>
      <c r="J51" s="885" t="s">
        <v>2021</v>
      </c>
    </row>
    <row r="52" spans="3:10" ht="32.4" customHeight="1" thickBot="1">
      <c r="C52" s="2335" t="s">
        <v>1291</v>
      </c>
      <c r="D52" s="2335"/>
      <c r="E52" s="2335"/>
      <c r="F52" s="2335"/>
      <c r="G52" s="2335"/>
      <c r="H52" s="2335"/>
      <c r="I52" s="2335"/>
      <c r="J52" s="904"/>
    </row>
    <row r="53" spans="3:10" ht="32.4" customHeight="1" thickBot="1">
      <c r="C53" s="2335" t="s">
        <v>1300</v>
      </c>
      <c r="D53" s="2335"/>
      <c r="E53" s="2335"/>
      <c r="F53" s="2335"/>
      <c r="G53" s="2335"/>
      <c r="H53" s="2335"/>
      <c r="I53" s="2335"/>
      <c r="J53" s="904"/>
    </row>
    <row r="54" spans="3:10" ht="32.4" customHeight="1" thickBot="1">
      <c r="C54" s="2335" t="s">
        <v>1310</v>
      </c>
      <c r="D54" s="2335"/>
      <c r="E54" s="2335"/>
      <c r="F54" s="2335"/>
      <c r="G54" s="2335"/>
      <c r="H54" s="2335"/>
      <c r="I54" s="2335"/>
      <c r="J54" s="904"/>
    </row>
    <row r="55" spans="3:10" ht="32.4" customHeight="1" thickBot="1">
      <c r="C55" s="2335" t="s">
        <v>1318</v>
      </c>
      <c r="D55" s="2335"/>
      <c r="E55" s="2335"/>
      <c r="F55" s="2335"/>
      <c r="G55" s="2335"/>
      <c r="H55" s="2335"/>
      <c r="I55" s="2335"/>
      <c r="J55" s="904"/>
    </row>
    <row r="56" spans="3:10" ht="32.4" customHeight="1" thickBot="1">
      <c r="C56" s="2335" t="s">
        <v>1326</v>
      </c>
      <c r="D56" s="2335"/>
      <c r="E56" s="2335"/>
      <c r="F56" s="2335"/>
      <c r="G56" s="2335"/>
      <c r="H56" s="2335"/>
      <c r="I56" s="2335"/>
      <c r="J56" s="904"/>
    </row>
    <row r="57" spans="3:10" ht="32.4" customHeight="1" thickBot="1">
      <c r="C57" s="2335" t="s">
        <v>1331</v>
      </c>
      <c r="D57" s="2335"/>
      <c r="E57" s="2335"/>
      <c r="F57" s="2335"/>
      <c r="G57" s="2335"/>
      <c r="H57" s="2335"/>
      <c r="I57" s="2335"/>
      <c r="J57" s="904"/>
    </row>
    <row r="58" spans="3:10" ht="32.4" customHeight="1" thickBot="1">
      <c r="C58" s="2335" t="s">
        <v>1336</v>
      </c>
      <c r="D58" s="2335"/>
      <c r="E58" s="2335"/>
      <c r="F58" s="2335"/>
      <c r="G58" s="2335"/>
      <c r="H58" s="2335"/>
      <c r="I58" s="2335"/>
      <c r="J58" s="904"/>
    </row>
    <row r="59" spans="3:10" ht="32.4" customHeight="1" thickBot="1">
      <c r="C59" s="2335" t="s">
        <v>775</v>
      </c>
      <c r="D59" s="2335"/>
      <c r="E59" s="2335"/>
      <c r="F59" s="2335"/>
      <c r="G59" s="2335"/>
      <c r="H59" s="2335"/>
      <c r="I59" s="2335"/>
      <c r="J59" s="904"/>
    </row>
    <row r="61" spans="3:10" ht="17.399999999999999">
      <c r="C61" s="880" t="s">
        <v>91</v>
      </c>
      <c r="D61" s="2354"/>
      <c r="E61" s="2354"/>
      <c r="F61" s="2354"/>
      <c r="G61" s="2354"/>
      <c r="H61" s="2354"/>
      <c r="I61" s="2354"/>
    </row>
    <row r="62" spans="3:10">
      <c r="D62" s="2354"/>
      <c r="E62" s="2354"/>
      <c r="F62" s="2354"/>
      <c r="G62" s="2354"/>
      <c r="H62" s="2354"/>
      <c r="I62" s="2354"/>
    </row>
    <row r="63" spans="3:10">
      <c r="D63" s="2354"/>
      <c r="E63" s="2354"/>
      <c r="F63" s="2354"/>
      <c r="G63" s="2354"/>
      <c r="H63" s="2354"/>
      <c r="I63" s="2354"/>
    </row>
    <row r="64" spans="3:10">
      <c r="D64" s="2354"/>
      <c r="E64" s="2354"/>
      <c r="F64" s="2354"/>
      <c r="G64" s="2354"/>
      <c r="H64" s="2354"/>
      <c r="I64" s="2354"/>
    </row>
    <row r="65" spans="3:10">
      <c r="D65" s="2354"/>
      <c r="E65" s="2354"/>
      <c r="F65" s="2354"/>
      <c r="G65" s="2354"/>
      <c r="H65" s="2354"/>
      <c r="I65" s="2354"/>
    </row>
    <row r="66" spans="3:10">
      <c r="D66" s="2354"/>
      <c r="E66" s="2354"/>
      <c r="F66" s="2354"/>
      <c r="G66" s="2354"/>
      <c r="H66" s="2354"/>
      <c r="I66" s="2354"/>
    </row>
    <row r="67" spans="3:10">
      <c r="D67" s="2354"/>
      <c r="E67" s="2354"/>
      <c r="F67" s="2354"/>
      <c r="G67" s="2354"/>
      <c r="H67" s="2354"/>
      <c r="I67" s="2354"/>
    </row>
    <row r="69" spans="3:10" ht="55.35" customHeight="1">
      <c r="C69" s="886" t="s">
        <v>2022</v>
      </c>
    </row>
    <row r="70" spans="3:10" ht="33.6" customHeight="1">
      <c r="C70" s="883" t="s">
        <v>2023</v>
      </c>
      <c r="D70" s="2355" t="str">
        <f ca="1">IF(ISERROR(INDIRECT("'"&amp;$K10&amp;"'!b$22")),"-",INDIRECT("'"&amp;$K10&amp;"'!b$23"))</f>
        <v>-</v>
      </c>
      <c r="E70" s="2355"/>
      <c r="F70" s="2355"/>
      <c r="G70" s="2355"/>
      <c r="H70" s="2355"/>
      <c r="I70" s="2355"/>
    </row>
    <row r="72" spans="3:10" ht="28.35" customHeight="1" thickBot="1">
      <c r="C72" s="2322" t="s">
        <v>1283</v>
      </c>
      <c r="D72" s="2322"/>
      <c r="E72" s="2322"/>
      <c r="F72" s="2322"/>
      <c r="G72" s="2322"/>
      <c r="H72" s="2322"/>
      <c r="I72" s="2342"/>
      <c r="J72" s="885" t="s">
        <v>2021</v>
      </c>
    </row>
    <row r="73" spans="3:10" ht="28.35" customHeight="1" thickBot="1">
      <c r="C73" s="2335" t="s">
        <v>1292</v>
      </c>
      <c r="D73" s="2335"/>
      <c r="E73" s="2335"/>
      <c r="F73" s="2335"/>
      <c r="G73" s="2335"/>
      <c r="H73" s="2335"/>
      <c r="I73" s="2356"/>
      <c r="J73" s="1020" t="s">
        <v>1304</v>
      </c>
    </row>
    <row r="74" spans="3:10" ht="28.35" customHeight="1" thickBot="1">
      <c r="C74" s="2335" t="s">
        <v>1301</v>
      </c>
      <c r="D74" s="2335"/>
      <c r="E74" s="2335"/>
      <c r="F74" s="2335"/>
      <c r="G74" s="2335"/>
      <c r="H74" s="2335"/>
      <c r="I74" s="2356"/>
      <c r="J74" s="1021" t="str">
        <f ca="1">IF(ISERROR(INDIRECT("'"&amp;$K10&amp;"'!f$25")),"-",IF(INDIRECT("'"&amp;$K10&amp;"'!f$25")="Subvention nationale/régionale","X",""))</f>
        <v>-</v>
      </c>
    </row>
    <row r="75" spans="3:10" ht="28.35" customHeight="1" thickBot="1">
      <c r="C75" s="2335" t="s">
        <v>1311</v>
      </c>
      <c r="D75" s="2335"/>
      <c r="E75" s="2335"/>
      <c r="F75" s="2335"/>
      <c r="G75" s="2335"/>
      <c r="H75" s="2335"/>
      <c r="I75" s="2356"/>
      <c r="J75" s="1021"/>
    </row>
    <row r="76" spans="3:10" ht="28.35" customHeight="1" thickBot="1">
      <c r="C76" s="2335" t="s">
        <v>1319</v>
      </c>
      <c r="D76" s="2335"/>
      <c r="E76" s="2335"/>
      <c r="F76" s="2335"/>
      <c r="G76" s="2335"/>
      <c r="H76" s="2335"/>
      <c r="I76" s="2356"/>
      <c r="J76" s="1022" t="str">
        <f ca="1">IF(ISERROR(INDIRECT("'"&amp;$K10&amp;"'!f$25")),"-",IF(INDIRECT("'"&amp;$K10&amp;"'!f$25")="Programme européen","X",""))</f>
        <v>-</v>
      </c>
    </row>
    <row r="77" spans="3:10" ht="28.35" customHeight="1" thickBot="1">
      <c r="C77" s="2335" t="s">
        <v>1327</v>
      </c>
      <c r="D77" s="2335"/>
      <c r="E77" s="2335"/>
      <c r="F77" s="2335"/>
      <c r="G77" s="2335"/>
      <c r="H77" s="2335"/>
      <c r="I77" s="2335"/>
      <c r="J77" s="1019"/>
    </row>
    <row r="78" spans="3:10" ht="28.35" customHeight="1" thickBot="1">
      <c r="C78" s="2335" t="s">
        <v>1332</v>
      </c>
      <c r="D78" s="2335"/>
      <c r="E78" s="2335"/>
      <c r="F78" s="2335"/>
      <c r="G78" s="2335"/>
      <c r="H78" s="2335"/>
      <c r="I78" s="2335"/>
      <c r="J78" s="905"/>
    </row>
    <row r="79" spans="3:10" ht="28.35" customHeight="1" thickBot="1">
      <c r="C79" s="2335" t="s">
        <v>157</v>
      </c>
      <c r="D79" s="2335"/>
      <c r="E79" s="2335"/>
      <c r="F79" s="2335"/>
      <c r="G79" s="2335"/>
      <c r="H79" s="2335"/>
      <c r="I79" s="2335"/>
      <c r="J79" s="905"/>
    </row>
    <row r="82" spans="3:10" ht="34.799999999999997">
      <c r="C82" s="883" t="s">
        <v>2024</v>
      </c>
      <c r="D82" s="2357" t="str">
        <f ca="1">IF(ISERROR(INDIRECT("'"&amp;$K10&amp;"'!d$22")),"-",IF(INDIRECT("'"&amp;$K10&amp;"'!d$23")="Investissement",D70,""))</f>
        <v>-</v>
      </c>
      <c r="E82" s="2358"/>
      <c r="F82" s="2358"/>
      <c r="G82" s="2358"/>
      <c r="H82" s="2358"/>
      <c r="I82" s="2359"/>
    </row>
    <row r="83" spans="3:10">
      <c r="D83" s="906"/>
      <c r="E83" s="906"/>
      <c r="F83" s="906"/>
      <c r="G83" s="906"/>
      <c r="H83" s="906"/>
      <c r="I83" s="906"/>
    </row>
    <row r="84" spans="3:10" ht="34.799999999999997">
      <c r="C84" s="883" t="s">
        <v>2025</v>
      </c>
      <c r="D84" s="2357" t="str">
        <f ca="1">IF(ISERROR(INDIRECT("'"&amp;$K10&amp;"'!d$22")),"-",IF(INDIRECT("'"&amp;$K10&amp;"'!d$23")="Non-investissement",D70,""))</f>
        <v>-</v>
      </c>
      <c r="E84" s="2358"/>
      <c r="F84" s="2358"/>
      <c r="G84" s="2358"/>
      <c r="H84" s="2358"/>
      <c r="I84" s="2359"/>
    </row>
    <row r="91" spans="3:10" ht="36" customHeight="1">
      <c r="C91" s="2249" t="s">
        <v>2026</v>
      </c>
      <c r="D91" s="2249"/>
      <c r="E91" s="2249"/>
      <c r="F91" s="2249"/>
    </row>
    <row r="92" spans="3:10" outlineLevel="1"/>
    <row r="93" spans="3:10" ht="17.399999999999999" outlineLevel="1">
      <c r="C93" s="883" t="s">
        <v>103</v>
      </c>
      <c r="D93" s="2332" t="str">
        <f ca="1">IF(D4="X",IF(ISNA(VLOOKUP(INDIRECT("'"&amp;$K10&amp;"'!A$5"),Categories!X35:Y45,2,0)),"",VLOOKUP(INDIRECT("'"&amp;$K10&amp;"'!A$5"),Categories!X35:Y45,2,0)),"")</f>
        <v/>
      </c>
      <c r="E93" s="2333"/>
      <c r="F93" s="2333"/>
      <c r="G93" s="2333"/>
      <c r="H93" s="2333"/>
      <c r="I93" s="2333"/>
      <c r="J93" s="2334"/>
    </row>
    <row r="94" spans="3:10" outlineLevel="1"/>
    <row r="95" spans="3:10" ht="34.799999999999997" outlineLevel="1">
      <c r="C95" s="883" t="s">
        <v>2027</v>
      </c>
      <c r="D95" s="2332" t="str">
        <f ca="1">IF(D4="X",IF(ISERROR(INDIRECT("'"&amp;$K10&amp;"'!b$9")),"-",INDIRECT("'"&amp;$K10&amp;"'!b$9")),"")</f>
        <v/>
      </c>
      <c r="E95" s="2333"/>
      <c r="F95" s="2333"/>
      <c r="G95" s="2333"/>
      <c r="H95" s="2333"/>
      <c r="I95" s="2333"/>
      <c r="J95" s="2334"/>
    </row>
    <row r="96" spans="3:10" outlineLevel="1"/>
    <row r="97" spans="3:10" ht="17.399999999999999" outlineLevel="1">
      <c r="C97" s="883" t="s">
        <v>2028</v>
      </c>
      <c r="D97" s="2332" t="str">
        <f ca="1">IF(D4="X",IF(ISERROR(INDIRECT("'"&amp;$K10&amp;"'!d$9")),"-",INDIRECT("'"&amp;$K10&amp;"'!d$9")),"")</f>
        <v/>
      </c>
      <c r="E97" s="2333"/>
      <c r="F97" s="2333"/>
      <c r="G97" s="2333"/>
      <c r="H97" s="2333"/>
      <c r="I97" s="2333"/>
      <c r="J97" s="2334"/>
    </row>
    <row r="98" spans="3:10" outlineLevel="1"/>
    <row r="99" spans="3:10" outlineLevel="1"/>
    <row r="100" spans="3:10" ht="18" outlineLevel="1">
      <c r="C100" s="2249" t="s">
        <v>2029</v>
      </c>
      <c r="D100" s="2249"/>
      <c r="E100" s="2249"/>
      <c r="F100" s="2249"/>
    </row>
    <row r="101" spans="3:10" outlineLevel="1"/>
    <row r="102" spans="3:10" outlineLevel="1">
      <c r="C102" s="907"/>
      <c r="D102" s="2322">
        <v>2030</v>
      </c>
      <c r="E102" s="2322"/>
      <c r="F102" s="2322"/>
    </row>
    <row r="103" spans="3:10" ht="28.8" outlineLevel="1">
      <c r="C103" s="1023" t="s">
        <v>1991</v>
      </c>
      <c r="D103" s="2323" t="str">
        <f ca="1">IF(ISNA(VLOOKUP(D10,Actions!G2:AL70,22,0)),"",VLOOKUP(D10,Actions!G2:AL70,27,0))</f>
        <v/>
      </c>
      <c r="E103" s="2324"/>
      <c r="F103" s="2325"/>
    </row>
    <row r="104" spans="3:10" ht="28.8" outlineLevel="1">
      <c r="C104" s="1024" t="s">
        <v>1081</v>
      </c>
      <c r="D104" s="2363" t="str">
        <f ca="1">IF(ISNA(VLOOKUP(D10,Actions!G2:AL70,22,0)),"",VLOOKUP(D10,Actions!G2:AL70,28,0))</f>
        <v/>
      </c>
      <c r="E104" s="2364"/>
      <c r="F104" s="2365"/>
    </row>
    <row r="105" spans="3:10" outlineLevel="1">
      <c r="C105" s="1025" t="s">
        <v>2030</v>
      </c>
      <c r="D105" s="2360" t="str">
        <f ca="1">IF(ISNA(VLOOKUP(D10,Actions!G2:AL70,22,0)),"",VLOOKUP(D10,Actions!G2:AL70,29,0))</f>
        <v/>
      </c>
      <c r="E105" s="2361"/>
      <c r="F105" s="2362"/>
    </row>
    <row r="108" spans="3:10" ht="18">
      <c r="C108" s="2249" t="s">
        <v>2031</v>
      </c>
      <c r="D108" s="2249"/>
      <c r="E108" s="2249"/>
      <c r="F108" s="2249"/>
    </row>
    <row r="109" spans="3:10" ht="18">
      <c r="C109" s="2249"/>
      <c r="D109" s="2249"/>
      <c r="E109" s="2249"/>
      <c r="F109" s="2249"/>
    </row>
    <row r="110" spans="3:10" ht="29.4" customHeight="1" outlineLevel="1" thickBot="1">
      <c r="C110" s="657" t="s">
        <v>1284</v>
      </c>
      <c r="D110" s="2306" t="s">
        <v>2032</v>
      </c>
      <c r="E110" s="2307"/>
      <c r="F110" s="2307"/>
    </row>
    <row r="111" spans="3:10" ht="15" outlineLevel="1" thickBot="1">
      <c r="C111" s="1026" t="s">
        <v>1293</v>
      </c>
      <c r="D111" s="2319" t="str">
        <f ca="1">IF(ISNA(VLOOKUP($K$10,Actions!$A$2:$O$46,15,0)),"",IF(VLOOKUP($K$10,Actions!$A$2:$O$46,15,0)='Détails action 11'!C111,"X",""))</f>
        <v/>
      </c>
      <c r="E111" s="2320"/>
      <c r="F111" s="2321"/>
    </row>
    <row r="112" spans="3:10" ht="15" outlineLevel="1" thickBot="1">
      <c r="C112" s="1026" t="s">
        <v>1302</v>
      </c>
      <c r="D112" s="2317" t="str">
        <f ca="1">IF(ISNA(VLOOKUP($K$10,Actions!$A$2:$O$46,15,0)),"",IF(VLOOKUP($K$10,Actions!$A$2:$O$46,15,0)='Détails action 11'!C112,"X",""))</f>
        <v/>
      </c>
      <c r="E112" s="2301"/>
      <c r="F112" s="2318"/>
    </row>
    <row r="113" spans="3:6" ht="15" outlineLevel="1" thickBot="1">
      <c r="C113" s="1026" t="s">
        <v>1312</v>
      </c>
      <c r="D113" s="2317" t="str">
        <f ca="1">IF(ISNA(VLOOKUP($K$10,Actions!$A$2:$O$46,15,0)),"",IF(VLOOKUP($K$10,Actions!$A$2:$O$46,15,0)='Détails action 11'!C113,"X",""))</f>
        <v/>
      </c>
      <c r="E113" s="2301"/>
      <c r="F113" s="2318"/>
    </row>
    <row r="114" spans="3:6" ht="28.35" customHeight="1" outlineLevel="1" thickBot="1">
      <c r="C114" s="1026" t="s">
        <v>1320</v>
      </c>
      <c r="D114" s="2317" t="str">
        <f ca="1">IF(ISNA(VLOOKUP($K$10,Actions!$A$2:$O$46,15,0)),"",IF(VLOOKUP($K$10,Actions!$A$2:$O$46,15,0)='Détails action 11'!C114,"X",""))</f>
        <v/>
      </c>
      <c r="E114" s="2301"/>
      <c r="F114" s="2318"/>
    </row>
    <row r="115" spans="3:6" ht="15" outlineLevel="1" thickBot="1">
      <c r="C115" s="1026" t="s">
        <v>1328</v>
      </c>
      <c r="D115" s="2317" t="str">
        <f ca="1">IF(ISNA(VLOOKUP($K$10,Actions!$A$2:$O$46,15,0)),"",IF(VLOOKUP($K$10,Actions!$A$2:$O$46,15,0)='Détails action 11'!C115,"X",""))</f>
        <v/>
      </c>
      <c r="E115" s="2301"/>
      <c r="F115" s="2318"/>
    </row>
    <row r="116" spans="3:6" ht="15" outlineLevel="1" thickBot="1">
      <c r="C116" s="1026" t="s">
        <v>1333</v>
      </c>
      <c r="D116" s="2317" t="str">
        <f ca="1">IF(ISNA(VLOOKUP($K$10,Actions!$A$2:$O$46,15,0)),"",IF(VLOOKUP($K$10,Actions!$A$2:$O$46,15,0)='Détails action 11'!C116,"X",""))</f>
        <v/>
      </c>
      <c r="E116" s="2301"/>
      <c r="F116" s="2318"/>
    </row>
    <row r="117" spans="3:6" ht="15" outlineLevel="1" thickBot="1">
      <c r="C117" s="1026" t="s">
        <v>1337</v>
      </c>
      <c r="D117" s="2317" t="str">
        <f ca="1">IF(ISNA(VLOOKUP($K$10,Actions!$A$2:$O$46,15,0)),"",IF(VLOOKUP($K$10,Actions!$A$2:$O$46,15,0)='Détails action 11'!C117,"X",""))</f>
        <v/>
      </c>
      <c r="E117" s="2301"/>
      <c r="F117" s="2318"/>
    </row>
    <row r="118" spans="3:6" ht="15" outlineLevel="1" thickBot="1">
      <c r="C118" s="1026" t="s">
        <v>1339</v>
      </c>
      <c r="D118" s="2317" t="str">
        <f ca="1">IF(ISNA(VLOOKUP($K$10,Actions!$A$2:$O$46,15,0)),"",IF(VLOOKUP($K$10,Actions!$A$2:$O$46,15,0)='Détails action 11'!C118,"X",""))</f>
        <v/>
      </c>
      <c r="E118" s="2301"/>
      <c r="F118" s="2318"/>
    </row>
    <row r="119" spans="3:6" ht="15" outlineLevel="1" thickBot="1">
      <c r="C119" s="1026" t="s">
        <v>1342</v>
      </c>
      <c r="D119" s="2317" t="str">
        <f ca="1">IF(ISNA(VLOOKUP($K$10,Actions!$A$2:$O$46,15,0)),"",IF(VLOOKUP($K$10,Actions!$A$2:$O$46,15,0)='Détails action 11'!C119,"X",""))</f>
        <v/>
      </c>
      <c r="E119" s="2301"/>
      <c r="F119" s="2318"/>
    </row>
    <row r="120" spans="3:6" ht="15" outlineLevel="1" thickBot="1">
      <c r="C120" s="1026" t="s">
        <v>1345</v>
      </c>
      <c r="D120" s="2317" t="str">
        <f ca="1">IF(ISNA(VLOOKUP($K$10,Actions!$A$2:$O$46,15,0)),"",IF(VLOOKUP($K$10,Actions!$A$2:$O$46,15,0)='Détails action 11'!C120,"X",""))</f>
        <v/>
      </c>
      <c r="E120" s="2301"/>
      <c r="F120" s="2318"/>
    </row>
    <row r="121" spans="3:6" ht="15" outlineLevel="1" thickBot="1">
      <c r="C121" s="1026" t="s">
        <v>157</v>
      </c>
      <c r="D121" s="2314" t="str">
        <f ca="1">IF(ISNA(VLOOKUP($K$10,Actions!$A$2:$O$46,15,0)),"",IF(VLOOKUP($K$10,Actions!$A$2:$O$46,15,0)='Détails action 11'!C121,"X",""))</f>
        <v/>
      </c>
      <c r="E121" s="2315"/>
      <c r="F121" s="2316"/>
    </row>
    <row r="122" spans="3:6" outlineLevel="1">
      <c r="C122" s="909"/>
      <c r="D122" s="910"/>
    </row>
    <row r="123" spans="3:6" ht="15" outlineLevel="1" thickBot="1">
      <c r="C123" s="657" t="s">
        <v>2033</v>
      </c>
      <c r="D123" s="2306" t="s">
        <v>2032</v>
      </c>
      <c r="E123" s="2307"/>
      <c r="F123" s="2307"/>
    </row>
    <row r="124" spans="3:6" ht="15" outlineLevel="1" thickBot="1">
      <c r="C124" s="1026" t="s">
        <v>866</v>
      </c>
      <c r="D124" s="2311" t="str">
        <f ca="1">IF(ISNA(VLOOKUP($K$10,Actions!$A$2:$O$46,15,0)),"",IF(VLOOKUP($K$10,Actions!$A$2:$O$46,8,0)='Détails action 11'!C124,"X",""))</f>
        <v/>
      </c>
      <c r="E124" s="2312"/>
      <c r="F124" s="2313"/>
    </row>
    <row r="125" spans="3:6" ht="15" outlineLevel="1" thickBot="1">
      <c r="C125" s="1026" t="s">
        <v>870</v>
      </c>
      <c r="D125" s="2308" t="str">
        <f ca="1">IF(ISNA(VLOOKUP($K$10,Actions!$A$2:$O$46,15,0)),"",IF(VLOOKUP($K$10,Actions!$A$2:$O$46,8,0)='Détails action 11'!C125,"X",""))</f>
        <v/>
      </c>
      <c r="E125" s="2309"/>
      <c r="F125" s="2310"/>
    </row>
    <row r="126" spans="3:6" ht="15" outlineLevel="1" thickBot="1">
      <c r="C126" s="1026" t="s">
        <v>876</v>
      </c>
      <c r="D126" s="2308" t="str">
        <f ca="1">IF(ISNA(VLOOKUP($K$10,Actions!$A$2:$O$46,15,0)),"",IF(VLOOKUP($K$10,Actions!$A$2:$O$46,8,0)='Détails action 11'!C126,"X",""))</f>
        <v/>
      </c>
      <c r="E126" s="2309"/>
      <c r="F126" s="2310"/>
    </row>
    <row r="127" spans="3:6" ht="15" outlineLevel="1" thickBot="1">
      <c r="C127" s="1026" t="s">
        <v>881</v>
      </c>
      <c r="D127" s="2308" t="str">
        <f ca="1">IF(ISNA(VLOOKUP($K$10,Actions!$A$2:$O$46,15,0)),"",IF(VLOOKUP($K$10,Actions!$A$2:$O$46,8,0)='Détails action 11'!C127,"X",""))</f>
        <v/>
      </c>
      <c r="E127" s="2309"/>
      <c r="F127" s="2310"/>
    </row>
    <row r="128" spans="3:6" ht="15" outlineLevel="1" thickBot="1">
      <c r="C128" s="1026" t="s">
        <v>884</v>
      </c>
      <c r="D128" s="2308" t="str">
        <f ca="1">IF(ISNA(VLOOKUP($K$10,Actions!$A$2:$O$46,15,0)),"",IF(VLOOKUP($K$10,Actions!$A$2:$O$46,8,0)='Détails action 11'!C128,"X",""))</f>
        <v/>
      </c>
      <c r="E128" s="2309"/>
      <c r="F128" s="2310"/>
    </row>
    <row r="129" spans="3:6" ht="15" outlineLevel="1" thickBot="1">
      <c r="C129" s="1026" t="s">
        <v>887</v>
      </c>
      <c r="D129" s="2308" t="str">
        <f ca="1">IF(ISNA(VLOOKUP($K$10,Actions!$A$2:$O$46,15,0)),"",IF(VLOOKUP($K$10,Actions!$A$2:$O$46,8,0)='Détails action 11'!C129,"X",""))</f>
        <v/>
      </c>
      <c r="E129" s="2309"/>
      <c r="F129" s="2310"/>
    </row>
    <row r="130" spans="3:6" ht="15" outlineLevel="1" thickBot="1">
      <c r="C130" s="1026" t="s">
        <v>889</v>
      </c>
      <c r="D130" s="2308" t="str">
        <f ca="1">IF(ISNA(VLOOKUP($K$10,Actions!$A$2:$O$46,15,0)),"",IF(VLOOKUP($K$10,Actions!$A$2:$O$46,8,0)='Détails action 11'!C130,"X",""))</f>
        <v/>
      </c>
      <c r="E130" s="2309"/>
      <c r="F130" s="2310"/>
    </row>
    <row r="131" spans="3:6" ht="30.6" customHeight="1" outlineLevel="1" thickBot="1">
      <c r="C131" s="1026" t="s">
        <v>891</v>
      </c>
      <c r="D131" s="2308" t="str">
        <f ca="1">IF(ISNA(VLOOKUP($K$10,Actions!$A$2:$O$46,15,0)),"",IF(VLOOKUP($K$10,Actions!$A$2:$O$46,8,0)='Détails action 11'!C131,"X",""))</f>
        <v/>
      </c>
      <c r="E131" s="2309"/>
      <c r="F131" s="2310"/>
    </row>
    <row r="132" spans="3:6" ht="15" outlineLevel="1" thickBot="1">
      <c r="C132" s="1026" t="s">
        <v>892</v>
      </c>
      <c r="D132" s="2308" t="str">
        <f ca="1">IF(ISNA(VLOOKUP($K$10,Actions!$A$2:$O$46,15,0)),"",IF(VLOOKUP($K$10,Actions!$A$2:$O$46,8,0)='Détails action 11'!C132,"X",""))</f>
        <v/>
      </c>
      <c r="E132" s="2309"/>
      <c r="F132" s="2310"/>
    </row>
    <row r="133" spans="3:6" ht="28.35" customHeight="1" outlineLevel="1" thickBot="1">
      <c r="C133" s="1026" t="s">
        <v>898</v>
      </c>
      <c r="D133" s="2308" t="str">
        <f ca="1">IF(ISNA(VLOOKUP($K$10,Actions!$A$2:$O$46,15,0)),"",IF(VLOOKUP($K$10,Actions!$A$2:$O$46,8,0)='Détails action 11'!C133,"X",""))</f>
        <v/>
      </c>
      <c r="E133" s="2309"/>
      <c r="F133" s="2310"/>
    </row>
    <row r="134" spans="3:6" ht="15" outlineLevel="1" thickBot="1">
      <c r="C134" s="1026" t="s">
        <v>904</v>
      </c>
      <c r="D134" s="2308" t="str">
        <f ca="1">IF(ISNA(VLOOKUP($K$10,Actions!$A$2:$O$46,15,0)),"",IF(VLOOKUP($K$10,Actions!$A$2:$O$46,8,0)='Détails action 11'!C134,"X",""))</f>
        <v/>
      </c>
      <c r="E134" s="2309"/>
      <c r="F134" s="2310"/>
    </row>
    <row r="135" spans="3:6" ht="15" outlineLevel="1" thickBot="1">
      <c r="C135" s="1026" t="s">
        <v>909</v>
      </c>
      <c r="D135" s="2308" t="str">
        <f ca="1">IF(ISNA(VLOOKUP($K$10,Actions!$A$2:$O$46,15,0)),"",IF(VLOOKUP($K$10,Actions!$A$2:$O$46,8,0)='Détails action 11'!C135,"X",""))</f>
        <v/>
      </c>
      <c r="E135" s="2309"/>
      <c r="F135" s="2310"/>
    </row>
    <row r="136" spans="3:6" ht="42" customHeight="1" outlineLevel="1" thickBot="1">
      <c r="C136" s="1026" t="s">
        <v>914</v>
      </c>
      <c r="D136" s="2303" t="str">
        <f ca="1">IF(ISNA(VLOOKUP($K$10,Actions!$A$2:$O$46,15,0)),"",IF(VLOOKUP($K$10,Actions!$A$2:$O$46,8,0)='Détails action 11'!C136,"X",""))</f>
        <v/>
      </c>
      <c r="E136" s="2304"/>
      <c r="F136" s="2305"/>
    </row>
    <row r="138" spans="3:6" ht="29.4" thickBot="1">
      <c r="C138" s="657" t="s">
        <v>2034</v>
      </c>
      <c r="D138" s="2306" t="s">
        <v>2032</v>
      </c>
      <c r="E138" s="2307"/>
      <c r="F138" s="2307"/>
    </row>
    <row r="139" spans="3:6" ht="15" thickBot="1">
      <c r="C139" s="908" t="s">
        <v>1694</v>
      </c>
      <c r="D139" s="2300"/>
      <c r="E139" s="2301"/>
      <c r="F139" s="2302"/>
    </row>
    <row r="140" spans="3:6" ht="15" thickBot="1">
      <c r="C140" s="908" t="s">
        <v>1695</v>
      </c>
      <c r="D140" s="2300"/>
      <c r="E140" s="2301"/>
      <c r="F140" s="2302"/>
    </row>
    <row r="141" spans="3:6" ht="15" thickBot="1">
      <c r="C141" s="908" t="s">
        <v>1696</v>
      </c>
      <c r="D141" s="2300"/>
      <c r="E141" s="2301"/>
      <c r="F141" s="2302"/>
    </row>
    <row r="142" spans="3:6" ht="15" thickBot="1">
      <c r="C142" s="908" t="s">
        <v>1697</v>
      </c>
      <c r="D142" s="2300"/>
      <c r="E142" s="2301"/>
      <c r="F142" s="2302"/>
    </row>
    <row r="143" spans="3:6" ht="15" thickBot="1">
      <c r="C143" s="908" t="s">
        <v>1698</v>
      </c>
      <c r="D143" s="2300"/>
      <c r="E143" s="2301"/>
      <c r="F143" s="2302"/>
    </row>
    <row r="144" spans="3:6" ht="15" thickBot="1">
      <c r="C144" s="908" t="s">
        <v>1699</v>
      </c>
      <c r="D144" s="2300"/>
      <c r="E144" s="2301"/>
      <c r="F144" s="2302"/>
    </row>
    <row r="145" spans="3:6" ht="28.35" customHeight="1" thickBot="1">
      <c r="C145" s="908" t="s">
        <v>1700</v>
      </c>
      <c r="D145" s="2300"/>
      <c r="E145" s="2301"/>
      <c r="F145" s="2302"/>
    </row>
    <row r="146" spans="3:6" ht="15" thickBot="1">
      <c r="C146" s="908" t="s">
        <v>1701</v>
      </c>
      <c r="D146" s="2300"/>
      <c r="E146" s="2301"/>
      <c r="F146" s="2302"/>
    </row>
    <row r="147" spans="3:6" ht="15" thickBot="1">
      <c r="C147" s="908" t="s">
        <v>1702</v>
      </c>
      <c r="D147" s="2300"/>
      <c r="E147" s="2301"/>
      <c r="F147" s="2302"/>
    </row>
    <row r="148" spans="3:6" ht="28.35" customHeight="1" thickBot="1">
      <c r="C148" s="908" t="s">
        <v>1703</v>
      </c>
      <c r="D148" s="2300"/>
      <c r="E148" s="2301"/>
      <c r="F148" s="2302"/>
    </row>
    <row r="149" spans="3:6" ht="28.35" customHeight="1" thickBot="1">
      <c r="C149" s="908" t="s">
        <v>1704</v>
      </c>
      <c r="D149" s="2300"/>
      <c r="E149" s="2301"/>
      <c r="F149" s="2302"/>
    </row>
    <row r="150" spans="3:6" ht="15" thickBot="1">
      <c r="C150" s="908" t="s">
        <v>157</v>
      </c>
      <c r="D150" s="2300"/>
      <c r="E150" s="2301"/>
      <c r="F150" s="2302"/>
    </row>
    <row r="151" spans="3:6" ht="15" thickBot="1">
      <c r="C151" s="908" t="s">
        <v>661</v>
      </c>
      <c r="D151" s="2300"/>
      <c r="E151" s="2301"/>
      <c r="F151" s="2302"/>
    </row>
  </sheetData>
  <sheetProtection sheet="1" objects="1" scenarios="1"/>
  <mergeCells count="84">
    <mergeCell ref="D46:J46"/>
    <mergeCell ref="C2:G2"/>
    <mergeCell ref="H2:L2"/>
    <mergeCell ref="D10:J11"/>
    <mergeCell ref="C16:C17"/>
    <mergeCell ref="D16:J17"/>
    <mergeCell ref="D19:J19"/>
    <mergeCell ref="D22:J29"/>
    <mergeCell ref="D31:J31"/>
    <mergeCell ref="D33:J33"/>
    <mergeCell ref="D42:J42"/>
    <mergeCell ref="D44:J44"/>
    <mergeCell ref="C72:I72"/>
    <mergeCell ref="C51:I51"/>
    <mergeCell ref="C52:I52"/>
    <mergeCell ref="C53:I53"/>
    <mergeCell ref="C54:I54"/>
    <mergeCell ref="C55:I55"/>
    <mergeCell ref="C56:I56"/>
    <mergeCell ref="C57:I57"/>
    <mergeCell ref="C58:I58"/>
    <mergeCell ref="C59:I59"/>
    <mergeCell ref="D61:I67"/>
    <mergeCell ref="D70:I70"/>
    <mergeCell ref="D95:J95"/>
    <mergeCell ref="C73:I73"/>
    <mergeCell ref="C74:I74"/>
    <mergeCell ref="C75:I75"/>
    <mergeCell ref="C76:I76"/>
    <mergeCell ref="C77:I77"/>
    <mergeCell ref="C78:I78"/>
    <mergeCell ref="C79:I79"/>
    <mergeCell ref="D82:I82"/>
    <mergeCell ref="D84:I84"/>
    <mergeCell ref="C91:F91"/>
    <mergeCell ref="D93:J93"/>
    <mergeCell ref="D113:F113"/>
    <mergeCell ref="D97:J97"/>
    <mergeCell ref="C100:F100"/>
    <mergeCell ref="D102:F102"/>
    <mergeCell ref="D103:F103"/>
    <mergeCell ref="D104:F104"/>
    <mergeCell ref="D105:F105"/>
    <mergeCell ref="C108:F108"/>
    <mergeCell ref="C109:F109"/>
    <mergeCell ref="D110:F110"/>
    <mergeCell ref="D111:F111"/>
    <mergeCell ref="D112:F112"/>
    <mergeCell ref="D126:F126"/>
    <mergeCell ref="D114:F114"/>
    <mergeCell ref="D115:F115"/>
    <mergeCell ref="D116:F116"/>
    <mergeCell ref="D117:F117"/>
    <mergeCell ref="D118:F118"/>
    <mergeCell ref="D119:F119"/>
    <mergeCell ref="D120:F120"/>
    <mergeCell ref="D121:F121"/>
    <mergeCell ref="D123:F123"/>
    <mergeCell ref="D124:F124"/>
    <mergeCell ref="D125:F125"/>
    <mergeCell ref="D139:F139"/>
    <mergeCell ref="D127:F127"/>
    <mergeCell ref="D128:F128"/>
    <mergeCell ref="D129:F129"/>
    <mergeCell ref="D130:F130"/>
    <mergeCell ref="D131:F131"/>
    <mergeCell ref="D132:F132"/>
    <mergeCell ref="D133:F133"/>
    <mergeCell ref="D134:F134"/>
    <mergeCell ref="D135:F135"/>
    <mergeCell ref="D136:F136"/>
    <mergeCell ref="D138:F138"/>
    <mergeCell ref="D151:F151"/>
    <mergeCell ref="D140:F140"/>
    <mergeCell ref="D141:F141"/>
    <mergeCell ref="D142:F142"/>
    <mergeCell ref="D143:F143"/>
    <mergeCell ref="D144:F144"/>
    <mergeCell ref="D145:F145"/>
    <mergeCell ref="D146:F146"/>
    <mergeCell ref="D147:F147"/>
    <mergeCell ref="D148:F148"/>
    <mergeCell ref="D149:F149"/>
    <mergeCell ref="D150:F150"/>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84C6-8904-4866-B2D9-CB1A43ABAF72}">
  <sheetPr codeName="Feuil56">
    <tabColor theme="8" tint="0.79998168889431442"/>
  </sheetPr>
  <dimension ref="C1:L151"/>
  <sheetViews>
    <sheetView showGridLines="0" zoomScale="90" zoomScaleNormal="90" workbookViewId="0">
      <selection activeCell="D106" sqref="D106"/>
    </sheetView>
  </sheetViews>
  <sheetFormatPr baseColWidth="10" defaultColWidth="11.44140625" defaultRowHeight="14.4" outlineLevelRow="1"/>
  <cols>
    <col min="1" max="1" width="28.5546875" customWidth="1"/>
    <col min="2" max="2" width="7.44140625" customWidth="1"/>
    <col min="3" max="3" width="29.5546875" customWidth="1"/>
    <col min="4" max="4" width="6.88671875" style="902" bestFit="1" customWidth="1"/>
    <col min="5" max="5" width="3.5546875" customWidth="1"/>
    <col min="6" max="6" width="21.109375" customWidth="1"/>
    <col min="7" max="7" width="14.44140625" customWidth="1"/>
    <col min="8" max="8" width="12" customWidth="1"/>
    <col min="9" max="9" width="11.44140625" customWidth="1"/>
    <col min="10" max="10" width="13.5546875" customWidth="1"/>
    <col min="11" max="11" width="14.88671875" customWidth="1"/>
    <col min="12" max="12" width="11.5546875" bestFit="1" customWidth="1"/>
    <col min="14" max="20" width="0" hidden="1" customWidth="1"/>
  </cols>
  <sheetData>
    <row r="1" spans="3:12" ht="111" customHeight="1"/>
    <row r="2" spans="3:12" ht="18">
      <c r="C2" s="2249" t="s">
        <v>2009</v>
      </c>
      <c r="D2" s="2249"/>
      <c r="E2" s="2249"/>
      <c r="F2" s="2249"/>
      <c r="G2" s="2249"/>
      <c r="H2" s="2278" t="s">
        <v>1855</v>
      </c>
      <c r="I2" s="2279"/>
      <c r="J2" s="2279"/>
      <c r="K2" s="2279"/>
      <c r="L2" s="2280"/>
    </row>
    <row r="3" spans="3:12" ht="56.4" customHeight="1"/>
    <row r="4" spans="3:12" ht="17.399999999999999">
      <c r="C4" s="880" t="s">
        <v>2010</v>
      </c>
      <c r="D4" s="1018" t="str">
        <f ca="1">IF(ISERROR(INDIRECT("'"&amp;$K10&amp;"'!e$2")),"-",IF(INDIRECT("'"&amp;$K10&amp;"'!e$2")=1,"X",""))</f>
        <v>-</v>
      </c>
      <c r="F4" s="882" t="s">
        <v>708</v>
      </c>
    </row>
    <row r="5" spans="3:12" ht="15.6">
      <c r="D5" s="903"/>
      <c r="F5" s="881"/>
    </row>
    <row r="6" spans="3:12" ht="15.6" customHeight="1">
      <c r="D6" s="1018" t="str">
        <f ca="1">IF(D4="X","","X")</f>
        <v>X</v>
      </c>
      <c r="F6" s="882" t="s">
        <v>327</v>
      </c>
    </row>
    <row r="7" spans="3:12" ht="15.6">
      <c r="D7" s="903"/>
      <c r="F7" s="881"/>
    </row>
    <row r="8" spans="3:12" ht="16.350000000000001" customHeight="1">
      <c r="D8" s="1018" t="str">
        <f ca="1">IF(ISERROR(INDIRECT("'"&amp;$K10&amp;"'!e$3")),"-",IF(INDIRECT("'"&amp;$K10&amp;"'!e$3")=TRUE,"X",""))</f>
        <v>-</v>
      </c>
      <c r="F8" s="882" t="s">
        <v>1276</v>
      </c>
    </row>
    <row r="10" spans="3:12" ht="17.399999999999999">
      <c r="C10" s="880" t="s">
        <v>724</v>
      </c>
      <c r="D10" s="2336" t="str">
        <f ca="1">IF(ISERROR(INDIRECT("'"&amp;$K10&amp;"'!b$13")),"-",INDIRECT("'"&amp;$K10&amp;"'!b$13"))</f>
        <v>-</v>
      </c>
      <c r="E10" s="2337"/>
      <c r="F10" s="2337"/>
      <c r="G10" s="2337"/>
      <c r="H10" s="2337"/>
      <c r="I10" s="2337"/>
      <c r="J10" s="2338"/>
      <c r="K10" s="55" t="str">
        <f ca="1">'Mes actions'!D75</f>
        <v/>
      </c>
    </row>
    <row r="11" spans="3:12">
      <c r="D11" s="2339"/>
      <c r="E11" s="2340"/>
      <c r="F11" s="2340"/>
      <c r="G11" s="2340"/>
      <c r="H11" s="2340"/>
      <c r="I11" s="2340"/>
      <c r="J11" s="2341"/>
    </row>
    <row r="14" spans="3:12" ht="17.399999999999999">
      <c r="C14" s="880" t="s">
        <v>2011</v>
      </c>
    </row>
    <row r="16" spans="3:12" ht="17.399999999999999" customHeight="1">
      <c r="C16" s="2353" t="s">
        <v>1073</v>
      </c>
      <c r="D16" s="2336" t="str">
        <f ca="1">IF(ISERROR(INDIRECT("'"&amp;$K10&amp;"'!b$11")),"-",INDIRECT("'"&amp;$K10&amp;"'!b$11"))</f>
        <v>-</v>
      </c>
      <c r="E16" s="2337"/>
      <c r="F16" s="2337"/>
      <c r="G16" s="2337"/>
      <c r="H16" s="2337"/>
      <c r="I16" s="2337"/>
      <c r="J16" s="2338"/>
    </row>
    <row r="17" spans="3:10">
      <c r="C17" s="2353"/>
      <c r="D17" s="2339"/>
      <c r="E17" s="2340"/>
      <c r="F17" s="2340"/>
      <c r="G17" s="2340"/>
      <c r="H17" s="2340"/>
      <c r="I17" s="2340"/>
      <c r="J17" s="2341"/>
    </row>
    <row r="19" spans="3:10" ht="34.799999999999997">
      <c r="C19" s="883" t="s">
        <v>2012</v>
      </c>
      <c r="D19" s="2332" t="str">
        <f ca="1">D16</f>
        <v>-</v>
      </c>
      <c r="E19" s="2333"/>
      <c r="F19" s="2333"/>
      <c r="G19" s="2333"/>
      <c r="H19" s="2333"/>
      <c r="I19" s="2333"/>
      <c r="J19" s="2334"/>
    </row>
    <row r="22" spans="3:10" ht="34.799999999999997">
      <c r="C22" s="883" t="s">
        <v>2013</v>
      </c>
      <c r="D22" s="2343" t="str">
        <f ca="1">IF(ISERROR(INDIRECT("'"&amp;$K10&amp;"'!b$14")),"-",INDIRECT("'"&amp;$K10&amp;"'!b$14"))</f>
        <v>-</v>
      </c>
      <c r="E22" s="2344"/>
      <c r="F22" s="2344"/>
      <c r="G22" s="2344"/>
      <c r="H22" s="2344"/>
      <c r="I22" s="2344"/>
      <c r="J22" s="2345"/>
    </row>
    <row r="23" spans="3:10">
      <c r="D23" s="2346"/>
      <c r="E23" s="2347"/>
      <c r="F23" s="2347"/>
      <c r="G23" s="2347"/>
      <c r="H23" s="2347"/>
      <c r="I23" s="2347"/>
      <c r="J23" s="2348"/>
    </row>
    <row r="24" spans="3:10">
      <c r="D24" s="2346"/>
      <c r="E24" s="2347"/>
      <c r="F24" s="2347"/>
      <c r="G24" s="2347"/>
      <c r="H24" s="2347"/>
      <c r="I24" s="2347"/>
      <c r="J24" s="2348"/>
    </row>
    <row r="25" spans="3:10">
      <c r="D25" s="2346"/>
      <c r="E25" s="2347"/>
      <c r="F25" s="2347"/>
      <c r="G25" s="2347"/>
      <c r="H25" s="2347"/>
      <c r="I25" s="2347"/>
      <c r="J25" s="2348"/>
    </row>
    <row r="26" spans="3:10">
      <c r="D26" s="2346"/>
      <c r="E26" s="2347"/>
      <c r="F26" s="2347"/>
      <c r="G26" s="2347"/>
      <c r="H26" s="2347"/>
      <c r="I26" s="2347"/>
      <c r="J26" s="2348"/>
    </row>
    <row r="27" spans="3:10">
      <c r="D27" s="2346"/>
      <c r="E27" s="2347"/>
      <c r="F27" s="2347"/>
      <c r="G27" s="2347"/>
      <c r="H27" s="2347"/>
      <c r="I27" s="2347"/>
      <c r="J27" s="2348"/>
    </row>
    <row r="28" spans="3:10">
      <c r="D28" s="2346"/>
      <c r="E28" s="2347"/>
      <c r="F28" s="2347"/>
      <c r="G28" s="2347"/>
      <c r="H28" s="2347"/>
      <c r="I28" s="2347"/>
      <c r="J28" s="2348"/>
    </row>
    <row r="29" spans="3:10">
      <c r="D29" s="2349"/>
      <c r="E29" s="2350"/>
      <c r="F29" s="2350"/>
      <c r="G29" s="2350"/>
      <c r="H29" s="2350"/>
      <c r="I29" s="2350"/>
      <c r="J29" s="2351"/>
    </row>
    <row r="31" spans="3:10" ht="31.35" customHeight="1">
      <c r="C31" s="884" t="s">
        <v>2014</v>
      </c>
      <c r="D31" s="2352"/>
      <c r="E31" s="2352"/>
      <c r="F31" s="2352"/>
      <c r="G31" s="2352"/>
      <c r="H31" s="2352"/>
      <c r="I31" s="2352"/>
      <c r="J31" s="2352"/>
    </row>
    <row r="33" spans="3:10" ht="28.35" customHeight="1">
      <c r="C33" s="884" t="s">
        <v>2015</v>
      </c>
      <c r="D33" s="2352"/>
      <c r="E33" s="2352"/>
      <c r="F33" s="2352"/>
      <c r="G33" s="2352"/>
      <c r="H33" s="2352"/>
      <c r="I33" s="2352"/>
      <c r="J33" s="2352"/>
    </row>
    <row r="35" spans="3:10" ht="17.399999999999999">
      <c r="C35" s="880" t="s">
        <v>2016</v>
      </c>
    </row>
    <row r="41" spans="3:10" ht="24" customHeight="1"/>
    <row r="42" spans="3:10" ht="34.799999999999997">
      <c r="C42" s="883" t="s">
        <v>2017</v>
      </c>
      <c r="D42" s="2332" t="str">
        <f ca="1">IF(ISERROR(INDIRECT("'"&amp;$K10&amp;"'!b$19")),"-",INDIRECT("'"&amp;$K10&amp;"'!b$20"))</f>
        <v>-</v>
      </c>
      <c r="E42" s="2333"/>
      <c r="F42" s="2333"/>
      <c r="G42" s="2333"/>
      <c r="H42" s="2333"/>
      <c r="I42" s="2333"/>
      <c r="J42" s="2334"/>
    </row>
    <row r="43" spans="3:10">
      <c r="E43" s="902"/>
      <c r="F43" s="902"/>
      <c r="G43" s="902"/>
      <c r="H43" s="902"/>
      <c r="I43" s="902"/>
      <c r="J43" s="902"/>
    </row>
    <row r="44" spans="3:10" ht="33.6" customHeight="1">
      <c r="C44" s="883" t="s">
        <v>2018</v>
      </c>
      <c r="D44" s="2332" t="str">
        <f ca="1">IF(ISERROR(INDIRECT("'"&amp;$K10&amp;"'!b$20")),"-",INDIRECT("'"&amp;$K10&amp;"'!b$21"))</f>
        <v>-</v>
      </c>
      <c r="E44" s="2333"/>
      <c r="F44" s="2333"/>
      <c r="G44" s="2333"/>
      <c r="H44" s="2333"/>
      <c r="I44" s="2333"/>
      <c r="J44" s="2334"/>
    </row>
    <row r="45" spans="3:10">
      <c r="E45" s="902"/>
      <c r="F45" s="902"/>
      <c r="G45" s="902"/>
      <c r="H45" s="902"/>
      <c r="I45" s="902"/>
      <c r="J45" s="902"/>
    </row>
    <row r="46" spans="3:10" ht="34.799999999999997">
      <c r="C46" s="883" t="s">
        <v>2019</v>
      </c>
      <c r="D46" s="2332" t="str">
        <f ca="1">IF(ISERROR(INDIRECT("'"&amp;$K10&amp;"'!e$6")),"-",INDIRECT("'"&amp;$K10&amp;"'!e$6"))</f>
        <v>-</v>
      </c>
      <c r="E46" s="2333"/>
      <c r="F46" s="2333"/>
      <c r="G46" s="2333"/>
      <c r="H46" s="2333"/>
      <c r="I46" s="2333"/>
      <c r="J46" s="2334"/>
    </row>
    <row r="49" spans="3:10" ht="36">
      <c r="C49" s="655" t="s">
        <v>2020</v>
      </c>
    </row>
    <row r="51" spans="3:10" ht="23.4" customHeight="1" thickBot="1">
      <c r="C51" s="2322" t="s">
        <v>1282</v>
      </c>
      <c r="D51" s="2322"/>
      <c r="E51" s="2322"/>
      <c r="F51" s="2322"/>
      <c r="G51" s="2322"/>
      <c r="H51" s="2322"/>
      <c r="I51" s="2342"/>
      <c r="J51" s="885" t="s">
        <v>2021</v>
      </c>
    </row>
    <row r="52" spans="3:10" ht="32.4" customHeight="1" thickBot="1">
      <c r="C52" s="2335" t="s">
        <v>1291</v>
      </c>
      <c r="D52" s="2335"/>
      <c r="E52" s="2335"/>
      <c r="F52" s="2335"/>
      <c r="G52" s="2335"/>
      <c r="H52" s="2335"/>
      <c r="I52" s="2335"/>
      <c r="J52" s="904"/>
    </row>
    <row r="53" spans="3:10" ht="32.4" customHeight="1" thickBot="1">
      <c r="C53" s="2335" t="s">
        <v>1300</v>
      </c>
      <c r="D53" s="2335"/>
      <c r="E53" s="2335"/>
      <c r="F53" s="2335"/>
      <c r="G53" s="2335"/>
      <c r="H53" s="2335"/>
      <c r="I53" s="2335"/>
      <c r="J53" s="904"/>
    </row>
    <row r="54" spans="3:10" ht="32.4" customHeight="1" thickBot="1">
      <c r="C54" s="2335" t="s">
        <v>1310</v>
      </c>
      <c r="D54" s="2335"/>
      <c r="E54" s="2335"/>
      <c r="F54" s="2335"/>
      <c r="G54" s="2335"/>
      <c r="H54" s="2335"/>
      <c r="I54" s="2335"/>
      <c r="J54" s="904"/>
    </row>
    <row r="55" spans="3:10" ht="32.4" customHeight="1" thickBot="1">
      <c r="C55" s="2335" t="s">
        <v>1318</v>
      </c>
      <c r="D55" s="2335"/>
      <c r="E55" s="2335"/>
      <c r="F55" s="2335"/>
      <c r="G55" s="2335"/>
      <c r="H55" s="2335"/>
      <c r="I55" s="2335"/>
      <c r="J55" s="904"/>
    </row>
    <row r="56" spans="3:10" ht="32.4" customHeight="1" thickBot="1">
      <c r="C56" s="2335" t="s">
        <v>1326</v>
      </c>
      <c r="D56" s="2335"/>
      <c r="E56" s="2335"/>
      <c r="F56" s="2335"/>
      <c r="G56" s="2335"/>
      <c r="H56" s="2335"/>
      <c r="I56" s="2335"/>
      <c r="J56" s="904"/>
    </row>
    <row r="57" spans="3:10" ht="32.4" customHeight="1" thickBot="1">
      <c r="C57" s="2335" t="s">
        <v>1331</v>
      </c>
      <c r="D57" s="2335"/>
      <c r="E57" s="2335"/>
      <c r="F57" s="2335"/>
      <c r="G57" s="2335"/>
      <c r="H57" s="2335"/>
      <c r="I57" s="2335"/>
      <c r="J57" s="904"/>
    </row>
    <row r="58" spans="3:10" ht="32.4" customHeight="1" thickBot="1">
      <c r="C58" s="2335" t="s">
        <v>1336</v>
      </c>
      <c r="D58" s="2335"/>
      <c r="E58" s="2335"/>
      <c r="F58" s="2335"/>
      <c r="G58" s="2335"/>
      <c r="H58" s="2335"/>
      <c r="I58" s="2335"/>
      <c r="J58" s="904"/>
    </row>
    <row r="59" spans="3:10" ht="32.4" customHeight="1" thickBot="1">
      <c r="C59" s="2335" t="s">
        <v>775</v>
      </c>
      <c r="D59" s="2335"/>
      <c r="E59" s="2335"/>
      <c r="F59" s="2335"/>
      <c r="G59" s="2335"/>
      <c r="H59" s="2335"/>
      <c r="I59" s="2335"/>
      <c r="J59" s="904"/>
    </row>
    <row r="61" spans="3:10" ht="17.399999999999999">
      <c r="C61" s="880" t="s">
        <v>91</v>
      </c>
      <c r="D61" s="2354"/>
      <c r="E61" s="2354"/>
      <c r="F61" s="2354"/>
      <c r="G61" s="2354"/>
      <c r="H61" s="2354"/>
      <c r="I61" s="2354"/>
    </row>
    <row r="62" spans="3:10">
      <c r="D62" s="2354"/>
      <c r="E62" s="2354"/>
      <c r="F62" s="2354"/>
      <c r="G62" s="2354"/>
      <c r="H62" s="2354"/>
      <c r="I62" s="2354"/>
    </row>
    <row r="63" spans="3:10">
      <c r="D63" s="2354"/>
      <c r="E63" s="2354"/>
      <c r="F63" s="2354"/>
      <c r="G63" s="2354"/>
      <c r="H63" s="2354"/>
      <c r="I63" s="2354"/>
    </row>
    <row r="64" spans="3:10">
      <c r="D64" s="2354"/>
      <c r="E64" s="2354"/>
      <c r="F64" s="2354"/>
      <c r="G64" s="2354"/>
      <c r="H64" s="2354"/>
      <c r="I64" s="2354"/>
    </row>
    <row r="65" spans="3:10">
      <c r="D65" s="2354"/>
      <c r="E65" s="2354"/>
      <c r="F65" s="2354"/>
      <c r="G65" s="2354"/>
      <c r="H65" s="2354"/>
      <c r="I65" s="2354"/>
    </row>
    <row r="66" spans="3:10">
      <c r="D66" s="2354"/>
      <c r="E66" s="2354"/>
      <c r="F66" s="2354"/>
      <c r="G66" s="2354"/>
      <c r="H66" s="2354"/>
      <c r="I66" s="2354"/>
    </row>
    <row r="67" spans="3:10">
      <c r="D67" s="2354"/>
      <c r="E67" s="2354"/>
      <c r="F67" s="2354"/>
      <c r="G67" s="2354"/>
      <c r="H67" s="2354"/>
      <c r="I67" s="2354"/>
    </row>
    <row r="69" spans="3:10" ht="55.35" customHeight="1">
      <c r="C69" s="886" t="s">
        <v>2022</v>
      </c>
    </row>
    <row r="70" spans="3:10" ht="33.6" customHeight="1">
      <c r="C70" s="883" t="s">
        <v>2023</v>
      </c>
      <c r="D70" s="2355" t="str">
        <f ca="1">IF(ISERROR(INDIRECT("'"&amp;$K10&amp;"'!b$22")),"-",INDIRECT("'"&amp;$K10&amp;"'!b$23"))</f>
        <v>-</v>
      </c>
      <c r="E70" s="2355"/>
      <c r="F70" s="2355"/>
      <c r="G70" s="2355"/>
      <c r="H70" s="2355"/>
      <c r="I70" s="2355"/>
    </row>
    <row r="72" spans="3:10" ht="28.35" customHeight="1" thickBot="1">
      <c r="C72" s="2322" t="s">
        <v>1283</v>
      </c>
      <c r="D72" s="2322"/>
      <c r="E72" s="2322"/>
      <c r="F72" s="2322"/>
      <c r="G72" s="2322"/>
      <c r="H72" s="2322"/>
      <c r="I72" s="2342"/>
      <c r="J72" s="885" t="s">
        <v>2021</v>
      </c>
    </row>
    <row r="73" spans="3:10" ht="28.35" customHeight="1" thickBot="1">
      <c r="C73" s="2335" t="s">
        <v>1292</v>
      </c>
      <c r="D73" s="2335"/>
      <c r="E73" s="2335"/>
      <c r="F73" s="2335"/>
      <c r="G73" s="2335"/>
      <c r="H73" s="2335"/>
      <c r="I73" s="2356"/>
      <c r="J73" s="1020" t="s">
        <v>1304</v>
      </c>
    </row>
    <row r="74" spans="3:10" ht="28.35" customHeight="1" thickBot="1">
      <c r="C74" s="2335" t="s">
        <v>1301</v>
      </c>
      <c r="D74" s="2335"/>
      <c r="E74" s="2335"/>
      <c r="F74" s="2335"/>
      <c r="G74" s="2335"/>
      <c r="H74" s="2335"/>
      <c r="I74" s="2356"/>
      <c r="J74" s="1021" t="str">
        <f ca="1">IF(ISERROR(INDIRECT("'"&amp;$K10&amp;"'!f$25")),"-",IF(INDIRECT("'"&amp;$K10&amp;"'!f$25")="Subvention nationale/régionale","X",""))</f>
        <v>-</v>
      </c>
    </row>
    <row r="75" spans="3:10" ht="28.35" customHeight="1" thickBot="1">
      <c r="C75" s="2335" t="s">
        <v>1311</v>
      </c>
      <c r="D75" s="2335"/>
      <c r="E75" s="2335"/>
      <c r="F75" s="2335"/>
      <c r="G75" s="2335"/>
      <c r="H75" s="2335"/>
      <c r="I75" s="2356"/>
      <c r="J75" s="1021"/>
    </row>
    <row r="76" spans="3:10" ht="28.35" customHeight="1" thickBot="1">
      <c r="C76" s="2335" t="s">
        <v>1319</v>
      </c>
      <c r="D76" s="2335"/>
      <c r="E76" s="2335"/>
      <c r="F76" s="2335"/>
      <c r="G76" s="2335"/>
      <c r="H76" s="2335"/>
      <c r="I76" s="2356"/>
      <c r="J76" s="1022" t="str">
        <f ca="1">IF(ISERROR(INDIRECT("'"&amp;$K10&amp;"'!f$25")),"-",IF(INDIRECT("'"&amp;$K10&amp;"'!f$25")="Programme européen","X",""))</f>
        <v>-</v>
      </c>
    </row>
    <row r="77" spans="3:10" ht="28.35" customHeight="1" thickBot="1">
      <c r="C77" s="2335" t="s">
        <v>1327</v>
      </c>
      <c r="D77" s="2335"/>
      <c r="E77" s="2335"/>
      <c r="F77" s="2335"/>
      <c r="G77" s="2335"/>
      <c r="H77" s="2335"/>
      <c r="I77" s="2335"/>
      <c r="J77" s="1019"/>
    </row>
    <row r="78" spans="3:10" ht="28.35" customHeight="1" thickBot="1">
      <c r="C78" s="2335" t="s">
        <v>1332</v>
      </c>
      <c r="D78" s="2335"/>
      <c r="E78" s="2335"/>
      <c r="F78" s="2335"/>
      <c r="G78" s="2335"/>
      <c r="H78" s="2335"/>
      <c r="I78" s="2335"/>
      <c r="J78" s="905"/>
    </row>
    <row r="79" spans="3:10" ht="28.35" customHeight="1" thickBot="1">
      <c r="C79" s="2335" t="s">
        <v>157</v>
      </c>
      <c r="D79" s="2335"/>
      <c r="E79" s="2335"/>
      <c r="F79" s="2335"/>
      <c r="G79" s="2335"/>
      <c r="H79" s="2335"/>
      <c r="I79" s="2335"/>
      <c r="J79" s="905"/>
    </row>
    <row r="82" spans="3:10" ht="34.799999999999997">
      <c r="C82" s="883" t="s">
        <v>2024</v>
      </c>
      <c r="D82" s="2357" t="str">
        <f ca="1">IF(ISERROR(INDIRECT("'"&amp;$K10&amp;"'!d$22")),"-",IF(INDIRECT("'"&amp;$K10&amp;"'!d$23")="Investissement",D70,""))</f>
        <v>-</v>
      </c>
      <c r="E82" s="2358"/>
      <c r="F82" s="2358"/>
      <c r="G82" s="2358"/>
      <c r="H82" s="2358"/>
      <c r="I82" s="2359"/>
    </row>
    <row r="83" spans="3:10">
      <c r="D83" s="906"/>
      <c r="E83" s="906"/>
      <c r="F83" s="906"/>
      <c r="G83" s="906"/>
      <c r="H83" s="906"/>
      <c r="I83" s="906"/>
    </row>
    <row r="84" spans="3:10" ht="34.799999999999997">
      <c r="C84" s="883" t="s">
        <v>2025</v>
      </c>
      <c r="D84" s="2357" t="str">
        <f ca="1">IF(ISERROR(INDIRECT("'"&amp;$K10&amp;"'!d$22")),"-",IF(INDIRECT("'"&amp;$K10&amp;"'!d$23")="Non-investissement",D70,""))</f>
        <v>-</v>
      </c>
      <c r="E84" s="2358"/>
      <c r="F84" s="2358"/>
      <c r="G84" s="2358"/>
      <c r="H84" s="2358"/>
      <c r="I84" s="2359"/>
    </row>
    <row r="91" spans="3:10" ht="36" customHeight="1">
      <c r="C91" s="2249" t="s">
        <v>2026</v>
      </c>
      <c r="D91" s="2249"/>
      <c r="E91" s="2249"/>
      <c r="F91" s="2249"/>
    </row>
    <row r="92" spans="3:10" outlineLevel="1"/>
    <row r="93" spans="3:10" ht="17.399999999999999" outlineLevel="1">
      <c r="C93" s="883" t="s">
        <v>103</v>
      </c>
      <c r="D93" s="2332" t="str">
        <f ca="1">IF(D4="X",IF(ISNA(VLOOKUP(INDIRECT("'"&amp;$K10&amp;"'!A$5"),Categories!X35:Y45,2,0)),"",VLOOKUP(INDIRECT("'"&amp;$K10&amp;"'!A$5"),Categories!X35:Y45,2,0)),"")</f>
        <v/>
      </c>
      <c r="E93" s="2333"/>
      <c r="F93" s="2333"/>
      <c r="G93" s="2333"/>
      <c r="H93" s="2333"/>
      <c r="I93" s="2333"/>
      <c r="J93" s="2334"/>
    </row>
    <row r="94" spans="3:10" outlineLevel="1"/>
    <row r="95" spans="3:10" ht="34.799999999999997" outlineLevel="1">
      <c r="C95" s="883" t="s">
        <v>2027</v>
      </c>
      <c r="D95" s="2332" t="str">
        <f ca="1">IF(D4="X",IF(ISERROR(INDIRECT("'"&amp;$K10&amp;"'!b$9")),"-",INDIRECT("'"&amp;$K10&amp;"'!b$9")),"")</f>
        <v/>
      </c>
      <c r="E95" s="2333"/>
      <c r="F95" s="2333"/>
      <c r="G95" s="2333"/>
      <c r="H95" s="2333"/>
      <c r="I95" s="2333"/>
      <c r="J95" s="2334"/>
    </row>
    <row r="96" spans="3:10" outlineLevel="1"/>
    <row r="97" spans="3:10" ht="17.399999999999999" outlineLevel="1">
      <c r="C97" s="883" t="s">
        <v>2028</v>
      </c>
      <c r="D97" s="2332" t="str">
        <f ca="1">IF(D4="X",IF(ISERROR(INDIRECT("'"&amp;$K10&amp;"'!d$9")),"-",INDIRECT("'"&amp;$K10&amp;"'!d$9")),"")</f>
        <v/>
      </c>
      <c r="E97" s="2333"/>
      <c r="F97" s="2333"/>
      <c r="G97" s="2333"/>
      <c r="H97" s="2333"/>
      <c r="I97" s="2333"/>
      <c r="J97" s="2334"/>
    </row>
    <row r="98" spans="3:10" outlineLevel="1"/>
    <row r="99" spans="3:10" outlineLevel="1"/>
    <row r="100" spans="3:10" ht="18" outlineLevel="1">
      <c r="C100" s="2249" t="s">
        <v>2029</v>
      </c>
      <c r="D100" s="2249"/>
      <c r="E100" s="2249"/>
      <c r="F100" s="2249"/>
    </row>
    <row r="101" spans="3:10" outlineLevel="1"/>
    <row r="102" spans="3:10" outlineLevel="1">
      <c r="C102" s="907"/>
      <c r="D102" s="2322">
        <v>2030</v>
      </c>
      <c r="E102" s="2322"/>
      <c r="F102" s="2322"/>
    </row>
    <row r="103" spans="3:10" ht="28.8" outlineLevel="1">
      <c r="C103" s="1023" t="s">
        <v>1991</v>
      </c>
      <c r="D103" s="2323" t="str">
        <f ca="1">IF(ISNA(VLOOKUP(D10,Actions!G2:AL70,22,0)),"",VLOOKUP(D10,Actions!G2:AL70,27,0))</f>
        <v/>
      </c>
      <c r="E103" s="2324"/>
      <c r="F103" s="2325"/>
    </row>
    <row r="104" spans="3:10" ht="28.8" outlineLevel="1">
      <c r="C104" s="1024" t="s">
        <v>1081</v>
      </c>
      <c r="D104" s="2363" t="str">
        <f ca="1">IF(ISNA(VLOOKUP(D10,Actions!G2:AL70,22,0)),"",VLOOKUP(D10,Actions!G2:AL70,28,0))</f>
        <v/>
      </c>
      <c r="E104" s="2364"/>
      <c r="F104" s="2365"/>
    </row>
    <row r="105" spans="3:10" outlineLevel="1">
      <c r="C105" s="1025" t="s">
        <v>2030</v>
      </c>
      <c r="D105" s="2360" t="str">
        <f ca="1">IF(ISNA(VLOOKUP(D10,Actions!G2:AL70,22,0)),"",VLOOKUP(D10,Actions!G2:AL70,29,0))</f>
        <v/>
      </c>
      <c r="E105" s="2361"/>
      <c r="F105" s="2362"/>
    </row>
    <row r="108" spans="3:10" ht="18">
      <c r="C108" s="2249" t="s">
        <v>2031</v>
      </c>
      <c r="D108" s="2249"/>
      <c r="E108" s="2249"/>
      <c r="F108" s="2249"/>
    </row>
    <row r="109" spans="3:10" ht="18">
      <c r="C109" s="2249"/>
      <c r="D109" s="2249"/>
      <c r="E109" s="2249"/>
      <c r="F109" s="2249"/>
    </row>
    <row r="110" spans="3:10" ht="29.4" customHeight="1" outlineLevel="1" thickBot="1">
      <c r="C110" s="657" t="s">
        <v>1284</v>
      </c>
      <c r="D110" s="2306" t="s">
        <v>2032</v>
      </c>
      <c r="E110" s="2307"/>
      <c r="F110" s="2307"/>
    </row>
    <row r="111" spans="3:10" ht="15" outlineLevel="1" thickBot="1">
      <c r="C111" s="1026" t="s">
        <v>1293</v>
      </c>
      <c r="D111" s="2319" t="str">
        <f ca="1">IF(ISNA(VLOOKUP($K$10,Actions!$A$2:$O$46,15,0)),"",IF(VLOOKUP($K$10,Actions!$A$2:$O$46,15,0)='Détails action 12'!C111,"X",""))</f>
        <v/>
      </c>
      <c r="E111" s="2320"/>
      <c r="F111" s="2321"/>
    </row>
    <row r="112" spans="3:10" ht="15" outlineLevel="1" thickBot="1">
      <c r="C112" s="1026" t="s">
        <v>1302</v>
      </c>
      <c r="D112" s="2317" t="str">
        <f ca="1">IF(ISNA(VLOOKUP($K$10,Actions!$A$2:$O$46,15,0)),"",IF(VLOOKUP($K$10,Actions!$A$2:$O$46,15,0)='Détails action 12'!C112,"X",""))</f>
        <v/>
      </c>
      <c r="E112" s="2301"/>
      <c r="F112" s="2318"/>
    </row>
    <row r="113" spans="3:6" ht="15" outlineLevel="1" thickBot="1">
      <c r="C113" s="1026" t="s">
        <v>1312</v>
      </c>
      <c r="D113" s="2317" t="str">
        <f ca="1">IF(ISNA(VLOOKUP($K$10,Actions!$A$2:$O$46,15,0)),"",IF(VLOOKUP($K$10,Actions!$A$2:$O$46,15,0)='Détails action 12'!C113,"X",""))</f>
        <v/>
      </c>
      <c r="E113" s="2301"/>
      <c r="F113" s="2318"/>
    </row>
    <row r="114" spans="3:6" ht="28.35" customHeight="1" outlineLevel="1" thickBot="1">
      <c r="C114" s="1026" t="s">
        <v>1320</v>
      </c>
      <c r="D114" s="2317" t="str">
        <f ca="1">IF(ISNA(VLOOKUP($K$10,Actions!$A$2:$O$46,15,0)),"",IF(VLOOKUP($K$10,Actions!$A$2:$O$46,15,0)='Détails action 12'!C114,"X",""))</f>
        <v/>
      </c>
      <c r="E114" s="2301"/>
      <c r="F114" s="2318"/>
    </row>
    <row r="115" spans="3:6" ht="15" outlineLevel="1" thickBot="1">
      <c r="C115" s="1026" t="s">
        <v>1328</v>
      </c>
      <c r="D115" s="2317" t="str">
        <f ca="1">IF(ISNA(VLOOKUP($K$10,Actions!$A$2:$O$46,15,0)),"",IF(VLOOKUP($K$10,Actions!$A$2:$O$46,15,0)='Détails action 12'!C115,"X",""))</f>
        <v/>
      </c>
      <c r="E115" s="2301"/>
      <c r="F115" s="2318"/>
    </row>
    <row r="116" spans="3:6" ht="15" outlineLevel="1" thickBot="1">
      <c r="C116" s="1026" t="s">
        <v>1333</v>
      </c>
      <c r="D116" s="2317" t="str">
        <f ca="1">IF(ISNA(VLOOKUP($K$10,Actions!$A$2:$O$46,15,0)),"",IF(VLOOKUP($K$10,Actions!$A$2:$O$46,15,0)='Détails action 12'!C116,"X",""))</f>
        <v/>
      </c>
      <c r="E116" s="2301"/>
      <c r="F116" s="2318"/>
    </row>
    <row r="117" spans="3:6" ht="15" outlineLevel="1" thickBot="1">
      <c r="C117" s="1026" t="s">
        <v>1337</v>
      </c>
      <c r="D117" s="2317" t="str">
        <f ca="1">IF(ISNA(VLOOKUP($K$10,Actions!$A$2:$O$46,15,0)),"",IF(VLOOKUP($K$10,Actions!$A$2:$O$46,15,0)='Détails action 12'!C117,"X",""))</f>
        <v/>
      </c>
      <c r="E117" s="2301"/>
      <c r="F117" s="2318"/>
    </row>
    <row r="118" spans="3:6" ht="15" outlineLevel="1" thickBot="1">
      <c r="C118" s="1026" t="s">
        <v>1339</v>
      </c>
      <c r="D118" s="2317" t="str">
        <f ca="1">IF(ISNA(VLOOKUP($K$10,Actions!$A$2:$O$46,15,0)),"",IF(VLOOKUP($K$10,Actions!$A$2:$O$46,15,0)='Détails action 12'!C118,"X",""))</f>
        <v/>
      </c>
      <c r="E118" s="2301"/>
      <c r="F118" s="2318"/>
    </row>
    <row r="119" spans="3:6" ht="15" outlineLevel="1" thickBot="1">
      <c r="C119" s="1026" t="s">
        <v>1342</v>
      </c>
      <c r="D119" s="2317" t="str">
        <f ca="1">IF(ISNA(VLOOKUP($K$10,Actions!$A$2:$O$46,15,0)),"",IF(VLOOKUP($K$10,Actions!$A$2:$O$46,15,0)='Détails action 12'!C119,"X",""))</f>
        <v/>
      </c>
      <c r="E119" s="2301"/>
      <c r="F119" s="2318"/>
    </row>
    <row r="120" spans="3:6" ht="15" outlineLevel="1" thickBot="1">
      <c r="C120" s="1026" t="s">
        <v>1345</v>
      </c>
      <c r="D120" s="2317" t="str">
        <f ca="1">IF(ISNA(VLOOKUP($K$10,Actions!$A$2:$O$46,15,0)),"",IF(VLOOKUP($K$10,Actions!$A$2:$O$46,15,0)='Détails action 12'!C120,"X",""))</f>
        <v/>
      </c>
      <c r="E120" s="2301"/>
      <c r="F120" s="2318"/>
    </row>
    <row r="121" spans="3:6" ht="15" outlineLevel="1" thickBot="1">
      <c r="C121" s="1026" t="s">
        <v>157</v>
      </c>
      <c r="D121" s="2314" t="str">
        <f ca="1">IF(ISNA(VLOOKUP($K$10,Actions!$A$2:$O$46,15,0)),"",IF(VLOOKUP($K$10,Actions!$A$2:$O$46,15,0)='Détails action 12'!C121,"X",""))</f>
        <v/>
      </c>
      <c r="E121" s="2315"/>
      <c r="F121" s="2316"/>
    </row>
    <row r="122" spans="3:6" outlineLevel="1">
      <c r="C122" s="909"/>
      <c r="D122" s="910"/>
    </row>
    <row r="123" spans="3:6" ht="15" outlineLevel="1" thickBot="1">
      <c r="C123" s="657" t="s">
        <v>2033</v>
      </c>
      <c r="D123" s="2306" t="s">
        <v>2032</v>
      </c>
      <c r="E123" s="2307"/>
      <c r="F123" s="2307"/>
    </row>
    <row r="124" spans="3:6" ht="15" outlineLevel="1" thickBot="1">
      <c r="C124" s="1026" t="s">
        <v>866</v>
      </c>
      <c r="D124" s="2311" t="str">
        <f ca="1">IF(ISNA(VLOOKUP($K$10,Actions!$A$2:$O$46,15,0)),"",IF(VLOOKUP($K$10,Actions!$A$2:$O$46,8,0)='Détails action 12'!C124,"X",""))</f>
        <v/>
      </c>
      <c r="E124" s="2312"/>
      <c r="F124" s="2313"/>
    </row>
    <row r="125" spans="3:6" ht="15" outlineLevel="1" thickBot="1">
      <c r="C125" s="1026" t="s">
        <v>870</v>
      </c>
      <c r="D125" s="2308" t="str">
        <f ca="1">IF(ISNA(VLOOKUP($K$10,Actions!$A$2:$O$46,15,0)),"",IF(VLOOKUP($K$10,Actions!$A$2:$O$46,8,0)='Détails action 12'!C125,"X",""))</f>
        <v/>
      </c>
      <c r="E125" s="2309"/>
      <c r="F125" s="2310"/>
    </row>
    <row r="126" spans="3:6" ht="15" outlineLevel="1" thickBot="1">
      <c r="C126" s="1026" t="s">
        <v>876</v>
      </c>
      <c r="D126" s="2308" t="str">
        <f ca="1">IF(ISNA(VLOOKUP($K$10,Actions!$A$2:$O$46,15,0)),"",IF(VLOOKUP($K$10,Actions!$A$2:$O$46,8,0)='Détails action 12'!C126,"X",""))</f>
        <v/>
      </c>
      <c r="E126" s="2309"/>
      <c r="F126" s="2310"/>
    </row>
    <row r="127" spans="3:6" ht="15" outlineLevel="1" thickBot="1">
      <c r="C127" s="1026" t="s">
        <v>881</v>
      </c>
      <c r="D127" s="2308" t="str">
        <f ca="1">IF(ISNA(VLOOKUP($K$10,Actions!$A$2:$O$46,15,0)),"",IF(VLOOKUP($K$10,Actions!$A$2:$O$46,8,0)='Détails action 12'!C127,"X",""))</f>
        <v/>
      </c>
      <c r="E127" s="2309"/>
      <c r="F127" s="2310"/>
    </row>
    <row r="128" spans="3:6" ht="15" outlineLevel="1" thickBot="1">
      <c r="C128" s="1026" t="s">
        <v>884</v>
      </c>
      <c r="D128" s="2308" t="str">
        <f ca="1">IF(ISNA(VLOOKUP($K$10,Actions!$A$2:$O$46,15,0)),"",IF(VLOOKUP($K$10,Actions!$A$2:$O$46,8,0)='Détails action 12'!C128,"X",""))</f>
        <v/>
      </c>
      <c r="E128" s="2309"/>
      <c r="F128" s="2310"/>
    </row>
    <row r="129" spans="3:6" ht="15" outlineLevel="1" thickBot="1">
      <c r="C129" s="1026" t="s">
        <v>887</v>
      </c>
      <c r="D129" s="2308" t="str">
        <f ca="1">IF(ISNA(VLOOKUP($K$10,Actions!$A$2:$O$46,15,0)),"",IF(VLOOKUP($K$10,Actions!$A$2:$O$46,8,0)='Détails action 12'!C129,"X",""))</f>
        <v/>
      </c>
      <c r="E129" s="2309"/>
      <c r="F129" s="2310"/>
    </row>
    <row r="130" spans="3:6" ht="15" outlineLevel="1" thickBot="1">
      <c r="C130" s="1026" t="s">
        <v>889</v>
      </c>
      <c r="D130" s="2308" t="str">
        <f ca="1">IF(ISNA(VLOOKUP($K$10,Actions!$A$2:$O$46,15,0)),"",IF(VLOOKUP($K$10,Actions!$A$2:$O$46,8,0)='Détails action 12'!C130,"X",""))</f>
        <v/>
      </c>
      <c r="E130" s="2309"/>
      <c r="F130" s="2310"/>
    </row>
    <row r="131" spans="3:6" ht="30.6" customHeight="1" outlineLevel="1" thickBot="1">
      <c r="C131" s="1026" t="s">
        <v>891</v>
      </c>
      <c r="D131" s="2308" t="str">
        <f ca="1">IF(ISNA(VLOOKUP($K$10,Actions!$A$2:$O$46,15,0)),"",IF(VLOOKUP($K$10,Actions!$A$2:$O$46,8,0)='Détails action 12'!C131,"X",""))</f>
        <v/>
      </c>
      <c r="E131" s="2309"/>
      <c r="F131" s="2310"/>
    </row>
    <row r="132" spans="3:6" ht="15" outlineLevel="1" thickBot="1">
      <c r="C132" s="1026" t="s">
        <v>892</v>
      </c>
      <c r="D132" s="2308" t="str">
        <f ca="1">IF(ISNA(VLOOKUP($K$10,Actions!$A$2:$O$46,15,0)),"",IF(VLOOKUP($K$10,Actions!$A$2:$O$46,8,0)='Détails action 12'!C132,"X",""))</f>
        <v/>
      </c>
      <c r="E132" s="2309"/>
      <c r="F132" s="2310"/>
    </row>
    <row r="133" spans="3:6" ht="28.35" customHeight="1" outlineLevel="1" thickBot="1">
      <c r="C133" s="1026" t="s">
        <v>898</v>
      </c>
      <c r="D133" s="2308" t="str">
        <f ca="1">IF(ISNA(VLOOKUP($K$10,Actions!$A$2:$O$46,15,0)),"",IF(VLOOKUP($K$10,Actions!$A$2:$O$46,8,0)='Détails action 12'!C133,"X",""))</f>
        <v/>
      </c>
      <c r="E133" s="2309"/>
      <c r="F133" s="2310"/>
    </row>
    <row r="134" spans="3:6" ht="15" outlineLevel="1" thickBot="1">
      <c r="C134" s="1026" t="s">
        <v>904</v>
      </c>
      <c r="D134" s="2308" t="str">
        <f ca="1">IF(ISNA(VLOOKUP($K$10,Actions!$A$2:$O$46,15,0)),"",IF(VLOOKUP($K$10,Actions!$A$2:$O$46,8,0)='Détails action 12'!C134,"X",""))</f>
        <v/>
      </c>
      <c r="E134" s="2309"/>
      <c r="F134" s="2310"/>
    </row>
    <row r="135" spans="3:6" ht="15" outlineLevel="1" thickBot="1">
      <c r="C135" s="1026" t="s">
        <v>909</v>
      </c>
      <c r="D135" s="2308" t="str">
        <f ca="1">IF(ISNA(VLOOKUP($K$10,Actions!$A$2:$O$46,15,0)),"",IF(VLOOKUP($K$10,Actions!$A$2:$O$46,8,0)='Détails action 12'!C135,"X",""))</f>
        <v/>
      </c>
      <c r="E135" s="2309"/>
      <c r="F135" s="2310"/>
    </row>
    <row r="136" spans="3:6" ht="42" customHeight="1" outlineLevel="1" thickBot="1">
      <c r="C136" s="1026" t="s">
        <v>914</v>
      </c>
      <c r="D136" s="2303" t="str">
        <f ca="1">IF(ISNA(VLOOKUP($K$10,Actions!$A$2:$O$46,15,0)),"",IF(VLOOKUP($K$10,Actions!$A$2:$O$46,8,0)='Détails action 12'!C136,"X",""))</f>
        <v/>
      </c>
      <c r="E136" s="2304"/>
      <c r="F136" s="2305"/>
    </row>
    <row r="138" spans="3:6" ht="29.4" thickBot="1">
      <c r="C138" s="657" t="s">
        <v>2034</v>
      </c>
      <c r="D138" s="2306" t="s">
        <v>2032</v>
      </c>
      <c r="E138" s="2307"/>
      <c r="F138" s="2307"/>
    </row>
    <row r="139" spans="3:6" ht="15" thickBot="1">
      <c r="C139" s="908" t="s">
        <v>1694</v>
      </c>
      <c r="D139" s="2300"/>
      <c r="E139" s="2301"/>
      <c r="F139" s="2302"/>
    </row>
    <row r="140" spans="3:6" ht="15" thickBot="1">
      <c r="C140" s="908" t="s">
        <v>1695</v>
      </c>
      <c r="D140" s="2300"/>
      <c r="E140" s="2301"/>
      <c r="F140" s="2302"/>
    </row>
    <row r="141" spans="3:6" ht="15" thickBot="1">
      <c r="C141" s="908" t="s">
        <v>1696</v>
      </c>
      <c r="D141" s="2300"/>
      <c r="E141" s="2301"/>
      <c r="F141" s="2302"/>
    </row>
    <row r="142" spans="3:6" ht="15" thickBot="1">
      <c r="C142" s="908" t="s">
        <v>1697</v>
      </c>
      <c r="D142" s="2300"/>
      <c r="E142" s="2301"/>
      <c r="F142" s="2302"/>
    </row>
    <row r="143" spans="3:6" ht="15" thickBot="1">
      <c r="C143" s="908" t="s">
        <v>1698</v>
      </c>
      <c r="D143" s="2300"/>
      <c r="E143" s="2301"/>
      <c r="F143" s="2302"/>
    </row>
    <row r="144" spans="3:6" ht="15" thickBot="1">
      <c r="C144" s="908" t="s">
        <v>1699</v>
      </c>
      <c r="D144" s="2300"/>
      <c r="E144" s="2301"/>
      <c r="F144" s="2302"/>
    </row>
    <row r="145" spans="3:6" ht="28.35" customHeight="1" thickBot="1">
      <c r="C145" s="908" t="s">
        <v>1700</v>
      </c>
      <c r="D145" s="2300"/>
      <c r="E145" s="2301"/>
      <c r="F145" s="2302"/>
    </row>
    <row r="146" spans="3:6" ht="15" thickBot="1">
      <c r="C146" s="908" t="s">
        <v>1701</v>
      </c>
      <c r="D146" s="2300"/>
      <c r="E146" s="2301"/>
      <c r="F146" s="2302"/>
    </row>
    <row r="147" spans="3:6" ht="15" thickBot="1">
      <c r="C147" s="908" t="s">
        <v>1702</v>
      </c>
      <c r="D147" s="2300"/>
      <c r="E147" s="2301"/>
      <c r="F147" s="2302"/>
    </row>
    <row r="148" spans="3:6" ht="28.35" customHeight="1" thickBot="1">
      <c r="C148" s="908" t="s">
        <v>1703</v>
      </c>
      <c r="D148" s="2300"/>
      <c r="E148" s="2301"/>
      <c r="F148" s="2302"/>
    </row>
    <row r="149" spans="3:6" ht="28.35" customHeight="1" thickBot="1">
      <c r="C149" s="908" t="s">
        <v>1704</v>
      </c>
      <c r="D149" s="2300"/>
      <c r="E149" s="2301"/>
      <c r="F149" s="2302"/>
    </row>
    <row r="150" spans="3:6" ht="15" thickBot="1">
      <c r="C150" s="908" t="s">
        <v>157</v>
      </c>
      <c r="D150" s="2300"/>
      <c r="E150" s="2301"/>
      <c r="F150" s="2302"/>
    </row>
    <row r="151" spans="3:6" ht="15" thickBot="1">
      <c r="C151" s="908" t="s">
        <v>661</v>
      </c>
      <c r="D151" s="2300"/>
      <c r="E151" s="2301"/>
      <c r="F151" s="2302"/>
    </row>
  </sheetData>
  <sheetProtection sheet="1" objects="1" scenarios="1"/>
  <mergeCells count="84">
    <mergeCell ref="D46:J46"/>
    <mergeCell ref="C2:G2"/>
    <mergeCell ref="H2:L2"/>
    <mergeCell ref="D10:J11"/>
    <mergeCell ref="C16:C17"/>
    <mergeCell ref="D16:J17"/>
    <mergeCell ref="D19:J19"/>
    <mergeCell ref="D22:J29"/>
    <mergeCell ref="D31:J31"/>
    <mergeCell ref="D33:J33"/>
    <mergeCell ref="D42:J42"/>
    <mergeCell ref="D44:J44"/>
    <mergeCell ref="C72:I72"/>
    <mergeCell ref="C51:I51"/>
    <mergeCell ref="C52:I52"/>
    <mergeCell ref="C53:I53"/>
    <mergeCell ref="C54:I54"/>
    <mergeCell ref="C55:I55"/>
    <mergeCell ref="C56:I56"/>
    <mergeCell ref="C57:I57"/>
    <mergeCell ref="C58:I58"/>
    <mergeCell ref="C59:I59"/>
    <mergeCell ref="D61:I67"/>
    <mergeCell ref="D70:I70"/>
    <mergeCell ref="D95:J95"/>
    <mergeCell ref="C73:I73"/>
    <mergeCell ref="C74:I74"/>
    <mergeCell ref="C75:I75"/>
    <mergeCell ref="C76:I76"/>
    <mergeCell ref="C77:I77"/>
    <mergeCell ref="C78:I78"/>
    <mergeCell ref="C79:I79"/>
    <mergeCell ref="D82:I82"/>
    <mergeCell ref="D84:I84"/>
    <mergeCell ref="C91:F91"/>
    <mergeCell ref="D93:J93"/>
    <mergeCell ref="D113:F113"/>
    <mergeCell ref="D97:J97"/>
    <mergeCell ref="C100:F100"/>
    <mergeCell ref="D102:F102"/>
    <mergeCell ref="D103:F103"/>
    <mergeCell ref="D104:F104"/>
    <mergeCell ref="D105:F105"/>
    <mergeCell ref="C108:F108"/>
    <mergeCell ref="C109:F109"/>
    <mergeCell ref="D110:F110"/>
    <mergeCell ref="D111:F111"/>
    <mergeCell ref="D112:F112"/>
    <mergeCell ref="D126:F126"/>
    <mergeCell ref="D114:F114"/>
    <mergeCell ref="D115:F115"/>
    <mergeCell ref="D116:F116"/>
    <mergeCell ref="D117:F117"/>
    <mergeCell ref="D118:F118"/>
    <mergeCell ref="D119:F119"/>
    <mergeCell ref="D120:F120"/>
    <mergeCell ref="D121:F121"/>
    <mergeCell ref="D123:F123"/>
    <mergeCell ref="D124:F124"/>
    <mergeCell ref="D125:F125"/>
    <mergeCell ref="D139:F139"/>
    <mergeCell ref="D127:F127"/>
    <mergeCell ref="D128:F128"/>
    <mergeCell ref="D129:F129"/>
    <mergeCell ref="D130:F130"/>
    <mergeCell ref="D131:F131"/>
    <mergeCell ref="D132:F132"/>
    <mergeCell ref="D133:F133"/>
    <mergeCell ref="D134:F134"/>
    <mergeCell ref="D135:F135"/>
    <mergeCell ref="D136:F136"/>
    <mergeCell ref="D138:F138"/>
    <mergeCell ref="D151:F151"/>
    <mergeCell ref="D140:F140"/>
    <mergeCell ref="D141:F141"/>
    <mergeCell ref="D142:F142"/>
    <mergeCell ref="D143:F143"/>
    <mergeCell ref="D144:F144"/>
    <mergeCell ref="D145:F145"/>
    <mergeCell ref="D146:F146"/>
    <mergeCell ref="D147:F147"/>
    <mergeCell ref="D148:F148"/>
    <mergeCell ref="D149:F149"/>
    <mergeCell ref="D150:F150"/>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2"/>
  <dimension ref="A1:AA36"/>
  <sheetViews>
    <sheetView showGridLines="0" topLeftCell="C2" workbookViewId="0">
      <selection activeCell="T25" sqref="T25:V26"/>
    </sheetView>
  </sheetViews>
  <sheetFormatPr baseColWidth="10" defaultColWidth="9.109375" defaultRowHeight="14.4"/>
  <cols>
    <col min="1" max="1" width="52.5546875" customWidth="1"/>
    <col min="2" max="3" width="11.44140625" customWidth="1"/>
    <col min="4" max="4" width="20.44140625" bestFit="1" customWidth="1"/>
  </cols>
  <sheetData>
    <row r="1" spans="1:12" ht="52.8">
      <c r="A1" s="51"/>
      <c r="B1" s="52" t="s">
        <v>1963</v>
      </c>
    </row>
    <row r="2" spans="1:12">
      <c r="A2" s="53" t="s">
        <v>1777</v>
      </c>
      <c r="B2" s="54">
        <v>0.36610920000000002</v>
      </c>
      <c r="J2" s="55"/>
      <c r="K2" s="56" t="s">
        <v>198</v>
      </c>
      <c r="L2" s="55"/>
    </row>
    <row r="3" spans="1:12">
      <c r="A3" s="53" t="s">
        <v>1964</v>
      </c>
      <c r="B3" s="54">
        <v>0.2026798378561297</v>
      </c>
      <c r="J3" s="55"/>
      <c r="K3" s="56" t="s">
        <v>199</v>
      </c>
      <c r="L3" s="55"/>
    </row>
    <row r="4" spans="1:12">
      <c r="A4" s="53" t="s">
        <v>152</v>
      </c>
      <c r="B4" s="54">
        <v>0.34307972553621952</v>
      </c>
      <c r="J4" s="55"/>
      <c r="K4" s="57" t="s">
        <v>200</v>
      </c>
      <c r="L4" s="55"/>
    </row>
    <row r="5" spans="1:12">
      <c r="A5" s="53" t="s">
        <v>94</v>
      </c>
      <c r="B5" s="54">
        <v>0.26135979091216727</v>
      </c>
      <c r="E5" s="1434" t="s">
        <v>1965</v>
      </c>
      <c r="F5" s="1434" t="s">
        <v>1966</v>
      </c>
      <c r="J5" s="55"/>
      <c r="K5" s="57" t="s">
        <v>160</v>
      </c>
      <c r="L5" s="55"/>
    </row>
    <row r="6" spans="1:12">
      <c r="A6" s="58" t="s">
        <v>96</v>
      </c>
      <c r="B6" s="54">
        <v>0.26819978544017159</v>
      </c>
      <c r="D6" s="58" t="s">
        <v>94</v>
      </c>
      <c r="E6" s="59">
        <v>35475</v>
      </c>
      <c r="F6" s="60">
        <v>9.0399999999999991</v>
      </c>
      <c r="G6" s="59" t="s">
        <v>1967</v>
      </c>
      <c r="J6" s="55"/>
      <c r="K6" s="56" t="s">
        <v>201</v>
      </c>
      <c r="L6" s="55"/>
    </row>
    <row r="7" spans="1:12">
      <c r="A7" s="53" t="s">
        <v>1968</v>
      </c>
      <c r="B7" s="54">
        <v>0.27576000000000001</v>
      </c>
      <c r="D7" s="58" t="s">
        <v>96</v>
      </c>
      <c r="E7" s="59">
        <v>38080</v>
      </c>
      <c r="F7" s="60">
        <v>10.01</v>
      </c>
      <c r="G7" s="59" t="s">
        <v>1967</v>
      </c>
      <c r="J7" s="55"/>
      <c r="K7" s="56" t="s">
        <v>202</v>
      </c>
      <c r="L7" s="55"/>
    </row>
    <row r="8" spans="1:12">
      <c r="A8" s="58" t="s">
        <v>1969</v>
      </c>
      <c r="B8" s="617">
        <v>0.23723981020815182</v>
      </c>
      <c r="D8" s="58" t="s">
        <v>1969</v>
      </c>
      <c r="E8" s="59">
        <v>30055</v>
      </c>
      <c r="F8" s="60">
        <f>E8/(0.0036*1000000)</f>
        <v>8.3486111111111114</v>
      </c>
      <c r="G8" s="59" t="s">
        <v>1967</v>
      </c>
      <c r="J8" s="55"/>
      <c r="K8" s="56" t="s">
        <v>203</v>
      </c>
      <c r="L8" s="55"/>
    </row>
    <row r="9" spans="1:12">
      <c r="A9" s="53" t="s">
        <v>1970</v>
      </c>
      <c r="B9" s="54">
        <v>0.2026798378561297</v>
      </c>
      <c r="D9" s="53" t="s">
        <v>93</v>
      </c>
      <c r="E9" s="59"/>
      <c r="F9" s="60">
        <v>1</v>
      </c>
      <c r="G9" s="59" t="s">
        <v>76</v>
      </c>
      <c r="J9" s="55"/>
      <c r="K9" s="57" t="s">
        <v>297</v>
      </c>
      <c r="L9" s="55"/>
    </row>
    <row r="10" spans="1:12">
      <c r="A10" s="53"/>
      <c r="B10" s="1300"/>
      <c r="C10" s="61"/>
      <c r="D10" s="53" t="s">
        <v>1970</v>
      </c>
      <c r="E10" s="59"/>
      <c r="F10" s="60">
        <v>0.90500000000000003</v>
      </c>
      <c r="G10" s="59" t="s">
        <v>76</v>
      </c>
      <c r="J10" s="55"/>
      <c r="K10" s="55"/>
      <c r="L10" s="55"/>
    </row>
    <row r="11" spans="1:12">
      <c r="A11" s="53" t="s">
        <v>1971</v>
      </c>
      <c r="B11" s="62">
        <v>0.26140000000000002</v>
      </c>
      <c r="D11" s="53" t="s">
        <v>1964</v>
      </c>
      <c r="E11" s="59"/>
      <c r="F11" s="60">
        <f>F8</f>
        <v>8.3486111111111114</v>
      </c>
      <c r="G11" s="59" t="s">
        <v>99</v>
      </c>
      <c r="J11" s="55"/>
      <c r="K11" s="55"/>
      <c r="L11" s="55"/>
    </row>
    <row r="12" spans="1:12">
      <c r="A12" s="53" t="s">
        <v>1778</v>
      </c>
      <c r="B12" s="62">
        <v>0.26542368</v>
      </c>
      <c r="D12" s="53" t="s">
        <v>1972</v>
      </c>
      <c r="E12" s="59"/>
      <c r="F12" s="59">
        <f>4700</f>
        <v>4700</v>
      </c>
      <c r="G12" s="59" t="s">
        <v>1973</v>
      </c>
    </row>
    <row r="13" spans="1:12">
      <c r="A13" s="53"/>
      <c r="B13" s="62"/>
      <c r="D13" s="53" t="s">
        <v>2132</v>
      </c>
      <c r="E13" s="59"/>
      <c r="F13" s="59">
        <v>3900</v>
      </c>
      <c r="G13" s="59" t="s">
        <v>1973</v>
      </c>
    </row>
    <row r="14" spans="1:12">
      <c r="A14" s="53" t="s">
        <v>1972</v>
      </c>
      <c r="B14" s="63">
        <v>3.1319974944020043E-2</v>
      </c>
      <c r="D14" s="53" t="s">
        <v>2131</v>
      </c>
      <c r="E14" s="59"/>
      <c r="F14" s="60">
        <v>3500</v>
      </c>
      <c r="G14" s="59" t="s">
        <v>1973</v>
      </c>
    </row>
    <row r="15" spans="1:12">
      <c r="A15" s="53" t="s">
        <v>2132</v>
      </c>
      <c r="B15" s="63">
        <v>3.1319974944020043E-2</v>
      </c>
      <c r="D15" s="64"/>
      <c r="F15" s="1665"/>
    </row>
    <row r="16" spans="1:12">
      <c r="A16" s="53" t="s">
        <v>2131</v>
      </c>
      <c r="B16" s="63">
        <v>3.1319974944020043E-2</v>
      </c>
      <c r="D16" s="64"/>
    </row>
    <row r="17" spans="1:27">
      <c r="A17" s="53" t="s">
        <v>189</v>
      </c>
      <c r="B17" s="62">
        <v>3.1319974944020043E-2</v>
      </c>
    </row>
    <row r="18" spans="1:27">
      <c r="A18" s="53" t="s">
        <v>145</v>
      </c>
      <c r="B18" s="62">
        <f>((10*25)+(0.6*298))*3.6/1000000</f>
        <v>1.5436799999999997E-3</v>
      </c>
    </row>
    <row r="19" spans="1:27">
      <c r="A19" s="53" t="s">
        <v>221</v>
      </c>
      <c r="B19" s="59">
        <v>0</v>
      </c>
      <c r="C19">
        <v>2.1599982720013821E-3</v>
      </c>
    </row>
    <row r="20" spans="1:27">
      <c r="A20" s="64"/>
    </row>
    <row r="21" spans="1:27">
      <c r="A21" s="53"/>
      <c r="B21" s="58">
        <v>2006</v>
      </c>
      <c r="C21" s="58">
        <v>2007</v>
      </c>
      <c r="D21" s="58">
        <v>2008</v>
      </c>
      <c r="E21" s="58">
        <v>2010</v>
      </c>
      <c r="F21" s="58">
        <v>2011</v>
      </c>
      <c r="G21" s="58">
        <v>2012</v>
      </c>
      <c r="H21" s="58">
        <v>2013</v>
      </c>
      <c r="I21" s="58">
        <v>2014</v>
      </c>
      <c r="J21" s="58">
        <v>2015</v>
      </c>
      <c r="K21" s="58">
        <v>2016</v>
      </c>
      <c r="L21" s="58">
        <v>2017</v>
      </c>
      <c r="M21" s="58">
        <v>2018</v>
      </c>
      <c r="N21" s="58">
        <v>2019</v>
      </c>
      <c r="O21" s="58">
        <v>2020</v>
      </c>
      <c r="P21" s="58">
        <v>2021</v>
      </c>
      <c r="Q21" s="58">
        <v>2022</v>
      </c>
    </row>
    <row r="22" spans="1:27">
      <c r="A22" s="53" t="s">
        <v>1975</v>
      </c>
      <c r="B22" s="59">
        <v>0.27400000000000002</v>
      </c>
      <c r="C22" s="59">
        <v>0.27400000000000002</v>
      </c>
      <c r="D22" s="59">
        <v>0.27400000000000002</v>
      </c>
      <c r="E22" s="59">
        <v>0.27400000000000002</v>
      </c>
      <c r="F22" s="59">
        <v>0.27400000000000002</v>
      </c>
      <c r="G22" s="59">
        <v>0.27400000000000002</v>
      </c>
      <c r="H22" s="59">
        <v>0.27400000000000002</v>
      </c>
      <c r="I22" s="59">
        <v>0.27400000000000002</v>
      </c>
      <c r="J22" s="59">
        <v>0.27400000000000002</v>
      </c>
      <c r="K22" s="59">
        <v>0.27400000000000002</v>
      </c>
      <c r="L22" s="59">
        <v>0.254</v>
      </c>
      <c r="M22" s="59">
        <v>0.25900000000000001</v>
      </c>
      <c r="N22" s="59">
        <v>0.246</v>
      </c>
      <c r="O22" s="59">
        <v>0.224</v>
      </c>
      <c r="P22" s="59">
        <v>0.217</v>
      </c>
      <c r="Q22" s="59">
        <v>0.21</v>
      </c>
    </row>
    <row r="23" spans="1:27">
      <c r="A23" s="64"/>
    </row>
    <row r="24" spans="1:27">
      <c r="A24" s="64" t="s">
        <v>1976</v>
      </c>
      <c r="B24" s="64"/>
      <c r="C24" s="64"/>
      <c r="D24" s="64"/>
      <c r="E24" s="64"/>
    </row>
    <row r="25" spans="1:27">
      <c r="A25" s="58" t="s">
        <v>1977</v>
      </c>
      <c r="B25" s="53">
        <v>1990</v>
      </c>
      <c r="C25" s="53">
        <v>1995</v>
      </c>
      <c r="D25" s="53">
        <v>2000</v>
      </c>
      <c r="E25" s="58">
        <v>2005</v>
      </c>
      <c r="F25" s="58">
        <v>2006</v>
      </c>
      <c r="G25" s="58">
        <v>2007</v>
      </c>
      <c r="H25" s="58">
        <v>2008</v>
      </c>
      <c r="I25" s="58">
        <v>2010</v>
      </c>
      <c r="J25" s="58">
        <v>2011</v>
      </c>
      <c r="K25" s="58">
        <v>2012</v>
      </c>
      <c r="L25" s="58">
        <v>2013</v>
      </c>
      <c r="M25" s="58">
        <v>2014</v>
      </c>
      <c r="N25" s="58">
        <v>2015</v>
      </c>
      <c r="O25" s="58">
        <v>2016</v>
      </c>
      <c r="P25" s="58">
        <v>2017</v>
      </c>
      <c r="Q25" s="58">
        <v>2018</v>
      </c>
      <c r="R25" s="58">
        <v>2019</v>
      </c>
      <c r="S25" s="58">
        <v>2020</v>
      </c>
      <c r="T25" s="58">
        <v>2021</v>
      </c>
      <c r="U25" s="58">
        <v>2022</v>
      </c>
      <c r="V25" s="58">
        <v>2023</v>
      </c>
      <c r="W25" s="58">
        <v>2024</v>
      </c>
      <c r="X25" s="58">
        <v>2025</v>
      </c>
      <c r="Y25" s="58">
        <v>2026</v>
      </c>
      <c r="Z25" s="58">
        <v>2027</v>
      </c>
      <c r="AA25" s="58">
        <v>2028</v>
      </c>
    </row>
    <row r="26" spans="1:27">
      <c r="A26" s="59">
        <v>1835</v>
      </c>
      <c r="B26" s="59">
        <v>1723</v>
      </c>
      <c r="C26" s="59">
        <v>1922</v>
      </c>
      <c r="D26" s="59">
        <v>1713.8</v>
      </c>
      <c r="E26" s="59">
        <v>1828.6000000000001</v>
      </c>
      <c r="F26" s="59">
        <v>1795</v>
      </c>
      <c r="G26" s="59">
        <v>1578</v>
      </c>
      <c r="H26" s="59">
        <v>1830</v>
      </c>
      <c r="I26" s="59">
        <v>1820</v>
      </c>
      <c r="J26" s="59">
        <v>1515</v>
      </c>
      <c r="K26" s="59">
        <v>1913</v>
      </c>
      <c r="L26" s="59">
        <v>2138</v>
      </c>
      <c r="M26" s="59">
        <v>1424</v>
      </c>
      <c r="N26" s="59">
        <v>1688</v>
      </c>
      <c r="O26" s="59">
        <v>1947</v>
      </c>
      <c r="P26" s="59">
        <v>1780</v>
      </c>
      <c r="Q26" s="59">
        <v>1739</v>
      </c>
      <c r="R26" s="59">
        <v>1676</v>
      </c>
      <c r="S26" s="59">
        <v>1518</v>
      </c>
      <c r="T26" s="59">
        <v>1909</v>
      </c>
      <c r="U26" s="59">
        <v>1554</v>
      </c>
      <c r="V26" s="59">
        <v>1564</v>
      </c>
      <c r="W26" s="59"/>
      <c r="X26" s="59"/>
      <c r="Y26" s="59"/>
      <c r="Z26" s="59"/>
      <c r="AA26" s="59"/>
    </row>
    <row r="27" spans="1:27">
      <c r="A27" s="539" t="s">
        <v>201</v>
      </c>
      <c r="B27" s="561">
        <f t="shared" ref="B27:E27" si="0">(1-$E$31+$E$31/B26*$A$26)</f>
        <v>1.0455020313406849</v>
      </c>
      <c r="C27" s="561">
        <f t="shared" si="0"/>
        <v>0.96831425598335075</v>
      </c>
      <c r="D27" s="561">
        <f t="shared" si="0"/>
        <v>1.04950402614074</v>
      </c>
      <c r="E27" s="561">
        <f t="shared" si="0"/>
        <v>1.0024499617193481</v>
      </c>
      <c r="F27" s="561">
        <f>(1-$E$31+$E$31/F26*$A$26)</f>
        <v>1.0155988857938718</v>
      </c>
      <c r="G27" s="561">
        <f t="shared" ref="G27:AA27" si="1">(1-$E$31+$E$31/G26*$A$26)</f>
        <v>1.1140050697084918</v>
      </c>
      <c r="H27" s="561">
        <f t="shared" si="1"/>
        <v>1.0019125683060111</v>
      </c>
      <c r="I27" s="561">
        <f t="shared" si="1"/>
        <v>1.0057692307692307</v>
      </c>
      <c r="J27" s="561">
        <f t="shared" si="1"/>
        <v>1.1478547854785479</v>
      </c>
      <c r="K27" s="561">
        <f t="shared" si="1"/>
        <v>0.97145844223732358</v>
      </c>
      <c r="L27" s="561">
        <f t="shared" si="1"/>
        <v>0.90079513564078573</v>
      </c>
      <c r="M27" s="561">
        <f t="shared" si="1"/>
        <v>1.2020365168539326</v>
      </c>
      <c r="N27" s="561">
        <f t="shared" si="1"/>
        <v>1.0609597156398105</v>
      </c>
      <c r="O27" s="561">
        <f t="shared" si="1"/>
        <v>0.95973292244478681</v>
      </c>
      <c r="P27" s="561">
        <f t="shared" si="1"/>
        <v>1.0216292134831462</v>
      </c>
      <c r="Q27" s="561">
        <f t="shared" si="1"/>
        <v>1.0386428982173663</v>
      </c>
      <c r="R27" s="561">
        <f t="shared" si="1"/>
        <v>1.0664081145584725</v>
      </c>
      <c r="S27" s="561">
        <f t="shared" si="1"/>
        <v>1.1461791831357049</v>
      </c>
      <c r="T27" s="561">
        <f t="shared" si="1"/>
        <v>0.97286537454164479</v>
      </c>
      <c r="U27" s="561">
        <f t="shared" si="1"/>
        <v>1.1265765765765765</v>
      </c>
      <c r="V27" s="561">
        <f t="shared" si="1"/>
        <v>1.1212915601023017</v>
      </c>
      <c r="W27" s="561" t="e">
        <f t="shared" si="1"/>
        <v>#DIV/0!</v>
      </c>
      <c r="X27" s="561" t="e">
        <f t="shared" si="1"/>
        <v>#DIV/0!</v>
      </c>
      <c r="Y27" s="561" t="e">
        <f t="shared" si="1"/>
        <v>#DIV/0!</v>
      </c>
      <c r="Z27" s="561" t="e">
        <f t="shared" si="1"/>
        <v>#DIV/0!</v>
      </c>
      <c r="AA27" s="561" t="e">
        <f t="shared" si="1"/>
        <v>#DIV/0!</v>
      </c>
    </row>
    <row r="28" spans="1:27">
      <c r="A28" s="539" t="s">
        <v>199</v>
      </c>
      <c r="B28" s="561">
        <f t="shared" ref="B28:E28" si="2">(1-$E$32+$E$32/B26*$A$26)</f>
        <v>1.032501450957632</v>
      </c>
      <c r="C28" s="561">
        <f t="shared" si="2"/>
        <v>0.97736732570239337</v>
      </c>
      <c r="D28" s="561">
        <f t="shared" si="2"/>
        <v>1.0353600186719571</v>
      </c>
      <c r="E28" s="561">
        <f t="shared" si="2"/>
        <v>1.0017499726566772</v>
      </c>
      <c r="F28" s="561">
        <f>(1-$E$32+$E$32/F26*$A$26)</f>
        <v>1.0111420612813371</v>
      </c>
      <c r="G28" s="561">
        <f t="shared" ref="G28:AA28" si="3">(1-$E$32+$E$32/G26*$A$26)</f>
        <v>1.0814321926489225</v>
      </c>
      <c r="H28" s="561">
        <f t="shared" si="3"/>
        <v>1.0013661202185791</v>
      </c>
      <c r="I28" s="561">
        <f t="shared" si="3"/>
        <v>1.0041208791208791</v>
      </c>
      <c r="J28" s="561">
        <f t="shared" si="3"/>
        <v>1.1056105610561056</v>
      </c>
      <c r="K28" s="561">
        <f t="shared" si="3"/>
        <v>0.97961317302665973</v>
      </c>
      <c r="L28" s="561">
        <f t="shared" si="3"/>
        <v>0.92913938260056128</v>
      </c>
      <c r="M28" s="561">
        <f t="shared" si="3"/>
        <v>1.144311797752809</v>
      </c>
      <c r="N28" s="561">
        <f t="shared" si="3"/>
        <v>1.043542654028436</v>
      </c>
      <c r="O28" s="561">
        <f t="shared" si="3"/>
        <v>0.97123780174627639</v>
      </c>
      <c r="P28" s="561">
        <f t="shared" si="3"/>
        <v>1.0154494382022472</v>
      </c>
      <c r="Q28" s="561">
        <f t="shared" si="3"/>
        <v>1.0276020701552615</v>
      </c>
      <c r="R28" s="561">
        <f t="shared" si="3"/>
        <v>1.0474343675417661</v>
      </c>
      <c r="S28" s="561">
        <f t="shared" si="3"/>
        <v>1.1044137022397891</v>
      </c>
      <c r="T28" s="561">
        <f t="shared" si="3"/>
        <v>0.98061812467260356</v>
      </c>
      <c r="U28" s="561">
        <f t="shared" si="3"/>
        <v>1.0904118404118404</v>
      </c>
      <c r="V28" s="561">
        <f t="shared" si="3"/>
        <v>1.0866368286445014</v>
      </c>
      <c r="W28" s="561" t="e">
        <f t="shared" si="3"/>
        <v>#DIV/0!</v>
      </c>
      <c r="X28" s="561" t="e">
        <f t="shared" si="3"/>
        <v>#DIV/0!</v>
      </c>
      <c r="Y28" s="561" t="e">
        <f t="shared" si="3"/>
        <v>#DIV/0!</v>
      </c>
      <c r="Z28" s="561" t="e">
        <f t="shared" si="3"/>
        <v>#DIV/0!</v>
      </c>
      <c r="AA28" s="561" t="e">
        <f t="shared" si="3"/>
        <v>#DIV/0!</v>
      </c>
    </row>
    <row r="29" spans="1:27">
      <c r="D29" s="538"/>
      <c r="E29" s="538"/>
    </row>
    <row r="30" spans="1:27" ht="15" customHeight="1">
      <c r="A30" s="2366" t="s">
        <v>1978</v>
      </c>
      <c r="B30" s="2366" t="s">
        <v>1979</v>
      </c>
      <c r="D30" s="538" t="s">
        <v>103</v>
      </c>
      <c r="E30" s="538" t="s">
        <v>1980</v>
      </c>
    </row>
    <row r="31" spans="1:27">
      <c r="A31" s="2366"/>
      <c r="B31" s="2366"/>
      <c r="D31" s="539" t="s">
        <v>201</v>
      </c>
      <c r="E31" s="540">
        <v>0.7</v>
      </c>
    </row>
    <row r="32" spans="1:27" ht="34.5" customHeight="1">
      <c r="A32" s="2366"/>
      <c r="B32" s="2366"/>
      <c r="D32" s="539" t="s">
        <v>199</v>
      </c>
      <c r="E32" s="540">
        <v>0.5</v>
      </c>
    </row>
    <row r="33" spans="1:2">
      <c r="A33" s="65" t="s">
        <v>1981</v>
      </c>
      <c r="B33" s="66">
        <v>7.0000000000000001E-3</v>
      </c>
    </row>
    <row r="34" spans="1:2">
      <c r="A34" s="67" t="s">
        <v>1982</v>
      </c>
      <c r="B34" s="66">
        <v>2.4E-2</v>
      </c>
    </row>
    <row r="35" spans="1:2">
      <c r="A35" s="67" t="s">
        <v>1983</v>
      </c>
      <c r="B35" s="66">
        <v>0.03</v>
      </c>
    </row>
    <row r="36" spans="1:2">
      <c r="A36" s="59" t="s">
        <v>221</v>
      </c>
      <c r="B36" s="59">
        <f>0.0001548/0.277778</f>
        <v>5.5727955417635654E-4</v>
      </c>
    </row>
  </sheetData>
  <sheetProtection formatRows="0"/>
  <mergeCells count="2">
    <mergeCell ref="A30:A32"/>
    <mergeCell ref="B30:B32"/>
  </mergeCells>
  <pageMargins left="0.7" right="0.7" top="0.75" bottom="0.75" header="0.3" footer="0.3"/>
  <pageSetup paperSize="9" orientation="portrait" r:id="rId1"/>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1"/>
  <dimension ref="A1:DM65"/>
  <sheetViews>
    <sheetView showGridLines="0" workbookViewId="0">
      <pane ySplit="1" topLeftCell="A2" activePane="bottomLeft" state="frozen"/>
      <selection activeCell="D90" sqref="D90"/>
      <selection pane="bottomLeft" activeCell="Q61" sqref="Q61"/>
    </sheetView>
  </sheetViews>
  <sheetFormatPr baseColWidth="10" defaultColWidth="11.44140625" defaultRowHeight="14.4"/>
  <cols>
    <col min="1" max="1" width="57.109375" style="346" customWidth="1"/>
    <col min="2" max="2" width="19" style="346" customWidth="1"/>
    <col min="3" max="3" width="6.88671875" style="346" bestFit="1" customWidth="1"/>
    <col min="4" max="4" width="13.5546875" style="346" customWidth="1"/>
    <col min="5" max="6" width="11.44140625" style="346"/>
    <col min="7" max="7" width="6.44140625" style="346" bestFit="1" customWidth="1"/>
    <col min="8" max="8" width="15.88671875" style="346" customWidth="1"/>
    <col min="9" max="16384" width="11.44140625" style="346"/>
  </cols>
  <sheetData>
    <row r="1" spans="1:117" s="345" customFormat="1" ht="61.5" customHeight="1">
      <c r="A1" s="338"/>
      <c r="B1" s="339"/>
      <c r="C1" s="340"/>
      <c r="D1" s="339"/>
      <c r="E1" s="339"/>
      <c r="F1" s="339"/>
      <c r="G1" s="339"/>
      <c r="H1" s="339"/>
      <c r="I1" s="339"/>
      <c r="J1" s="339"/>
      <c r="K1" s="339"/>
      <c r="L1" s="339"/>
      <c r="M1" s="341"/>
      <c r="N1" s="342"/>
      <c r="O1" s="343"/>
      <c r="P1" s="343"/>
      <c r="Q1" s="343"/>
      <c r="R1" s="343"/>
      <c r="S1" s="343"/>
      <c r="T1" s="343"/>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3"/>
      <c r="DD1" s="343"/>
      <c r="DE1" s="343"/>
      <c r="DF1" s="343"/>
      <c r="DG1" s="343"/>
      <c r="DH1" s="343"/>
      <c r="DI1" s="343"/>
      <c r="DJ1" s="343"/>
      <c r="DK1" s="343"/>
      <c r="DL1" s="343"/>
      <c r="DM1" s="343"/>
    </row>
    <row r="3" spans="1:117" s="347" customFormat="1" ht="31.2">
      <c r="A3" s="347" t="s">
        <v>2035</v>
      </c>
    </row>
    <row r="4" spans="1:117" s="347" customFormat="1" ht="17.25" customHeight="1"/>
    <row r="5" spans="1:117" ht="31.5" customHeight="1">
      <c r="A5" s="2369" t="s">
        <v>2036</v>
      </c>
      <c r="B5" s="2369"/>
      <c r="C5" s="2369"/>
      <c r="D5" s="2369"/>
      <c r="E5" s="2369"/>
      <c r="F5" s="2369"/>
      <c r="G5" s="2369"/>
    </row>
    <row r="7" spans="1:117" s="348" customFormat="1" ht="18">
      <c r="A7" s="391" t="s">
        <v>2037</v>
      </c>
      <c r="D7" s="391" t="s">
        <v>2038</v>
      </c>
      <c r="H7" s="391" t="s">
        <v>2039</v>
      </c>
    </row>
    <row r="8" spans="1:117" ht="28.8">
      <c r="A8" s="349" t="s">
        <v>79</v>
      </c>
      <c r="B8" s="349" t="s">
        <v>1963</v>
      </c>
      <c r="D8" s="349" t="s">
        <v>79</v>
      </c>
      <c r="E8" s="1435" t="s">
        <v>2040</v>
      </c>
      <c r="H8" s="1095" t="s">
        <v>251</v>
      </c>
      <c r="I8" s="1094" t="s">
        <v>2041</v>
      </c>
      <c r="J8" s="2372" t="s">
        <v>2042</v>
      </c>
      <c r="K8" s="2372"/>
      <c r="L8" s="2372"/>
      <c r="M8" s="2372"/>
    </row>
    <row r="9" spans="1:117">
      <c r="A9" s="350" t="s">
        <v>1777</v>
      </c>
      <c r="B9" s="351">
        <v>0.36610920000000002</v>
      </c>
      <c r="D9" s="352" t="s">
        <v>94</v>
      </c>
      <c r="E9" s="353">
        <v>9.0399999999999991</v>
      </c>
      <c r="F9" s="354" t="s">
        <v>2043</v>
      </c>
      <c r="H9" s="354" t="s">
        <v>213</v>
      </c>
      <c r="I9" s="354" t="s">
        <v>2044</v>
      </c>
      <c r="J9" s="2367" t="s">
        <v>2045</v>
      </c>
      <c r="K9" s="2367"/>
      <c r="L9" s="2367"/>
      <c r="M9" s="2367"/>
    </row>
    <row r="10" spans="1:117">
      <c r="A10" s="350" t="s">
        <v>1964</v>
      </c>
      <c r="B10" s="351">
        <v>0.2026798378561297</v>
      </c>
      <c r="D10" s="352" t="s">
        <v>96</v>
      </c>
      <c r="E10" s="353">
        <v>10.01</v>
      </c>
      <c r="F10" s="354" t="s">
        <v>2046</v>
      </c>
      <c r="H10" s="354" t="s">
        <v>214</v>
      </c>
      <c r="I10" s="354" t="s">
        <v>2047</v>
      </c>
      <c r="J10" s="2367" t="s">
        <v>2048</v>
      </c>
      <c r="K10" s="2367"/>
      <c r="L10" s="2367"/>
      <c r="M10" s="2367"/>
    </row>
    <row r="11" spans="1:117">
      <c r="A11" s="350" t="s">
        <v>152</v>
      </c>
      <c r="B11" s="351">
        <v>0.34307972553621952</v>
      </c>
      <c r="D11" s="352" t="s">
        <v>1969</v>
      </c>
      <c r="E11" s="353">
        <v>8.3486111111111114</v>
      </c>
      <c r="F11" s="354" t="s">
        <v>2043</v>
      </c>
      <c r="H11" s="354" t="s">
        <v>189</v>
      </c>
      <c r="I11" s="354" t="s">
        <v>2049</v>
      </c>
      <c r="J11" s="2373" t="s">
        <v>2050</v>
      </c>
      <c r="K11" s="2373"/>
      <c r="L11" s="2373"/>
      <c r="M11" s="2373"/>
    </row>
    <row r="12" spans="1:117">
      <c r="A12" s="350" t="s">
        <v>94</v>
      </c>
      <c r="B12" s="351">
        <v>0.26135979091216727</v>
      </c>
      <c r="D12" s="357" t="s">
        <v>93</v>
      </c>
      <c r="E12" s="353">
        <v>1</v>
      </c>
      <c r="F12" s="354" t="s">
        <v>2051</v>
      </c>
      <c r="H12" s="354" t="s">
        <v>259</v>
      </c>
      <c r="I12" s="354" t="s">
        <v>2047</v>
      </c>
      <c r="J12" s="2373" t="s">
        <v>2052</v>
      </c>
      <c r="K12" s="2373"/>
      <c r="L12" s="2373"/>
      <c r="M12" s="2373"/>
    </row>
    <row r="13" spans="1:117">
      <c r="A13" s="358" t="s">
        <v>96</v>
      </c>
      <c r="B13" s="351">
        <v>0.26819978544017159</v>
      </c>
      <c r="D13" s="357" t="s">
        <v>1970</v>
      </c>
      <c r="E13" s="353">
        <v>0.90500000000000003</v>
      </c>
      <c r="F13" s="354" t="s">
        <v>2053</v>
      </c>
      <c r="H13" s="354" t="s">
        <v>154</v>
      </c>
      <c r="I13" s="354" t="s">
        <v>2054</v>
      </c>
      <c r="J13" s="2367" t="s">
        <v>2055</v>
      </c>
      <c r="K13" s="2367"/>
      <c r="L13" s="2367"/>
      <c r="M13" s="2367"/>
    </row>
    <row r="14" spans="1:117">
      <c r="A14" s="350" t="s">
        <v>1968</v>
      </c>
      <c r="B14" s="351">
        <v>0.27576000000000001</v>
      </c>
      <c r="D14" s="357" t="s">
        <v>1964</v>
      </c>
      <c r="E14" s="353">
        <v>8.3486111111111114</v>
      </c>
      <c r="F14" s="354" t="s">
        <v>2056</v>
      </c>
      <c r="H14" s="354" t="s">
        <v>261</v>
      </c>
      <c r="I14" s="354" t="s">
        <v>2057</v>
      </c>
      <c r="J14" s="2367" t="s">
        <v>2058</v>
      </c>
      <c r="K14" s="2367"/>
      <c r="L14" s="2367"/>
      <c r="M14" s="2367"/>
    </row>
    <row r="15" spans="1:117">
      <c r="A15" s="358" t="s">
        <v>1969</v>
      </c>
      <c r="B15" s="351">
        <v>0.23723981020815182</v>
      </c>
      <c r="D15" s="357" t="s">
        <v>1972</v>
      </c>
      <c r="E15" s="359">
        <v>4700</v>
      </c>
      <c r="F15" s="354" t="s">
        <v>2059</v>
      </c>
      <c r="K15" s="355"/>
    </row>
    <row r="16" spans="1:117">
      <c r="A16" s="350" t="s">
        <v>1970</v>
      </c>
      <c r="B16" s="351">
        <v>0.2026798378561297</v>
      </c>
      <c r="D16" s="357" t="s">
        <v>1974</v>
      </c>
      <c r="E16" s="359">
        <v>3500</v>
      </c>
      <c r="F16" s="354" t="s">
        <v>2059</v>
      </c>
      <c r="K16" s="356"/>
    </row>
    <row r="17" spans="1:17">
      <c r="A17" s="350" t="s">
        <v>1971</v>
      </c>
      <c r="B17" s="351">
        <v>0.26140000000000002</v>
      </c>
      <c r="C17" s="360"/>
    </row>
    <row r="18" spans="1:17">
      <c r="A18" s="350" t="s">
        <v>1778</v>
      </c>
      <c r="B18" s="351">
        <v>0.26542368</v>
      </c>
    </row>
    <row r="19" spans="1:17">
      <c r="A19" s="350" t="s">
        <v>1972</v>
      </c>
      <c r="B19" s="351">
        <v>3.1319974944020043E-2</v>
      </c>
    </row>
    <row r="20" spans="1:17">
      <c r="A20" s="350" t="s">
        <v>1974</v>
      </c>
      <c r="B20" s="351">
        <v>3.1319974944020043E-2</v>
      </c>
    </row>
    <row r="21" spans="1:17">
      <c r="A21" s="350" t="s">
        <v>189</v>
      </c>
      <c r="B21" s="351">
        <v>3.1319974944020043E-2</v>
      </c>
      <c r="D21" s="361"/>
    </row>
    <row r="22" spans="1:17">
      <c r="A22" s="350" t="s">
        <v>145</v>
      </c>
      <c r="B22" s="351">
        <v>1.5436799999999997E-3</v>
      </c>
    </row>
    <row r="23" spans="1:17">
      <c r="A23" s="350" t="s">
        <v>221</v>
      </c>
      <c r="B23" s="351">
        <v>2.1599982720013821E-3</v>
      </c>
    </row>
    <row r="25" spans="1:17">
      <c r="A25" s="361"/>
    </row>
    <row r="26" spans="1:17">
      <c r="A26" s="361"/>
      <c r="B26" s="363">
        <v>2006</v>
      </c>
      <c r="C26" s="363">
        <v>2007</v>
      </c>
      <c r="D26" s="363">
        <v>2008</v>
      </c>
      <c r="E26" s="363">
        <v>2010</v>
      </c>
      <c r="F26" s="363">
        <v>2011</v>
      </c>
      <c r="G26" s="363">
        <v>2012</v>
      </c>
      <c r="H26" s="363">
        <v>2013</v>
      </c>
      <c r="I26" s="363">
        <v>2014</v>
      </c>
      <c r="J26" s="363">
        <v>2015</v>
      </c>
      <c r="K26" s="363">
        <v>2016</v>
      </c>
      <c r="L26" s="363">
        <v>2017</v>
      </c>
      <c r="M26" s="363">
        <v>2018</v>
      </c>
      <c r="N26" s="363">
        <v>2019</v>
      </c>
      <c r="O26" s="363">
        <v>2020</v>
      </c>
      <c r="P26" s="363">
        <v>2021</v>
      </c>
      <c r="Q26" s="363">
        <v>2022</v>
      </c>
    </row>
    <row r="27" spans="1:17">
      <c r="A27" s="364" t="s">
        <v>2060</v>
      </c>
      <c r="B27" s="365">
        <v>0.27400000000000002</v>
      </c>
      <c r="C27" s="365">
        <v>0.27400000000000002</v>
      </c>
      <c r="D27" s="365">
        <v>0.27400000000000002</v>
      </c>
      <c r="E27" s="365">
        <v>0.27400000000000002</v>
      </c>
      <c r="F27" s="365">
        <v>0.27400000000000002</v>
      </c>
      <c r="G27" s="365">
        <v>0.27400000000000002</v>
      </c>
      <c r="H27" s="365">
        <v>0.27400000000000002</v>
      </c>
      <c r="I27" s="365">
        <v>0.27400000000000002</v>
      </c>
      <c r="J27" s="365">
        <v>0.27400000000000002</v>
      </c>
      <c r="K27" s="365">
        <v>0.27400000000000002</v>
      </c>
      <c r="L27" s="365">
        <v>0.254</v>
      </c>
      <c r="M27" s="365">
        <v>0.25900000000000001</v>
      </c>
      <c r="N27" s="365">
        <v>0.246</v>
      </c>
      <c r="O27" s="365">
        <v>0.224</v>
      </c>
      <c r="P27" s="365">
        <v>0.217</v>
      </c>
      <c r="Q27" s="365">
        <v>0.21</v>
      </c>
    </row>
    <row r="28" spans="1:17" ht="14.25" customHeight="1">
      <c r="A28" s="361"/>
    </row>
    <row r="29" spans="1:17" ht="14.25" customHeight="1">
      <c r="A29" s="2371" t="s">
        <v>2061</v>
      </c>
      <c r="B29" s="2371"/>
      <c r="C29" s="2371"/>
      <c r="D29" s="2371"/>
      <c r="E29" s="370"/>
    </row>
    <row r="30" spans="1:17" ht="14.25" customHeight="1">
      <c r="A30" s="2371"/>
      <c r="B30" s="2371"/>
      <c r="C30" s="2371"/>
      <c r="D30" s="2371"/>
      <c r="E30" s="370"/>
    </row>
    <row r="31" spans="1:17" ht="14.25" customHeight="1">
      <c r="A31" s="370"/>
      <c r="B31" s="370"/>
      <c r="C31" s="370"/>
      <c r="D31" s="370"/>
      <c r="E31" s="370"/>
    </row>
    <row r="32" spans="1:17" ht="14.25" customHeight="1">
      <c r="A32" s="370"/>
      <c r="B32" s="370"/>
      <c r="C32" s="370"/>
      <c r="D32" s="370"/>
      <c r="E32" s="370"/>
    </row>
    <row r="33" spans="1:5" ht="14.25" customHeight="1">
      <c r="A33" s="370"/>
      <c r="B33" s="370"/>
      <c r="C33" s="370"/>
      <c r="D33" s="370"/>
      <c r="E33" s="370"/>
    </row>
    <row r="34" spans="1:5" ht="14.25" customHeight="1">
      <c r="A34" s="370"/>
      <c r="B34" s="370"/>
      <c r="C34" s="370"/>
      <c r="D34" s="370"/>
      <c r="E34" s="370"/>
    </row>
    <row r="35" spans="1:5" ht="14.25" customHeight="1">
      <c r="A35" s="370"/>
      <c r="B35" s="370"/>
      <c r="C35" s="370"/>
      <c r="D35" s="370"/>
      <c r="E35" s="370"/>
    </row>
    <row r="36" spans="1:5" ht="14.25" customHeight="1">
      <c r="A36" s="370"/>
      <c r="B36" s="370"/>
      <c r="C36" s="370"/>
      <c r="D36" s="370"/>
      <c r="E36" s="370"/>
    </row>
    <row r="37" spans="1:5" ht="14.25" customHeight="1">
      <c r="A37" s="370"/>
      <c r="B37" s="370"/>
      <c r="C37" s="370"/>
      <c r="D37" s="370"/>
      <c r="E37" s="370"/>
    </row>
    <row r="38" spans="1:5" ht="14.25" customHeight="1">
      <c r="A38" s="370"/>
      <c r="B38" s="370"/>
      <c r="C38" s="370"/>
      <c r="D38" s="370"/>
      <c r="E38" s="370"/>
    </row>
    <row r="39" spans="1:5" ht="14.25" customHeight="1">
      <c r="A39" s="370"/>
      <c r="B39" s="370"/>
      <c r="C39" s="370"/>
      <c r="D39" s="370"/>
      <c r="E39" s="370"/>
    </row>
    <row r="40" spans="1:5" ht="14.25" customHeight="1">
      <c r="A40" s="370"/>
      <c r="B40" s="370"/>
      <c r="C40" s="370"/>
      <c r="D40" s="370"/>
      <c r="E40" s="370"/>
    </row>
    <row r="41" spans="1:5">
      <c r="A41" s="2371" t="s">
        <v>2062</v>
      </c>
      <c r="B41" s="2371"/>
      <c r="C41" s="2371"/>
      <c r="D41" s="2371"/>
      <c r="E41" s="370"/>
    </row>
    <row r="42" spans="1:5" ht="14.25" customHeight="1">
      <c r="A42" s="370"/>
      <c r="B42" s="370"/>
      <c r="C42" s="370"/>
      <c r="D42" s="370"/>
      <c r="E42" s="370"/>
    </row>
    <row r="43" spans="1:5" ht="14.25" customHeight="1">
      <c r="A43" s="361"/>
    </row>
    <row r="44" spans="1:5" ht="14.25" customHeight="1">
      <c r="A44" s="361"/>
    </row>
    <row r="45" spans="1:5" ht="14.25" customHeight="1">
      <c r="A45" s="361"/>
    </row>
    <row r="46" spans="1:5" ht="14.25" customHeight="1">
      <c r="A46" s="361"/>
    </row>
    <row r="47" spans="1:5">
      <c r="A47" s="2370" t="s">
        <v>1978</v>
      </c>
      <c r="B47" s="2370" t="s">
        <v>1979</v>
      </c>
    </row>
    <row r="48" spans="1:5">
      <c r="A48" s="2370"/>
      <c r="B48" s="2370"/>
    </row>
    <row r="49" spans="1:18">
      <c r="A49" s="2370"/>
      <c r="B49" s="2370"/>
    </row>
    <row r="50" spans="1:18">
      <c r="A50" s="366" t="s">
        <v>1981</v>
      </c>
      <c r="B50" s="367">
        <v>7.0000000000000001E-3</v>
      </c>
    </row>
    <row r="51" spans="1:18">
      <c r="A51" s="366" t="s">
        <v>1982</v>
      </c>
      <c r="B51" s="367">
        <v>2.4E-2</v>
      </c>
    </row>
    <row r="52" spans="1:18">
      <c r="A52" s="366" t="s">
        <v>1983</v>
      </c>
      <c r="B52" s="367">
        <v>0.03</v>
      </c>
    </row>
    <row r="53" spans="1:18">
      <c r="A53" s="368" t="s">
        <v>221</v>
      </c>
      <c r="B53" s="362">
        <f>0.0001548/0.277778</f>
        <v>5.5727955417635654E-4</v>
      </c>
    </row>
    <row r="55" spans="1:18" ht="17.399999999999999">
      <c r="A55" s="369" t="s">
        <v>2063</v>
      </c>
    </row>
    <row r="56" spans="1:18">
      <c r="A56" s="363" t="s">
        <v>2064</v>
      </c>
      <c r="B56" s="363">
        <v>2006</v>
      </c>
      <c r="C56" s="363">
        <v>2007</v>
      </c>
      <c r="D56" s="363">
        <v>2008</v>
      </c>
      <c r="E56" s="363">
        <v>2010</v>
      </c>
      <c r="F56" s="363">
        <v>2011</v>
      </c>
      <c r="G56" s="363">
        <v>2012</v>
      </c>
      <c r="H56" s="363">
        <v>2013</v>
      </c>
      <c r="I56" s="363">
        <v>2014</v>
      </c>
      <c r="J56" s="363">
        <v>2015</v>
      </c>
      <c r="K56" s="363">
        <v>2016</v>
      </c>
      <c r="L56" s="363">
        <v>2017</v>
      </c>
      <c r="M56" s="363">
        <v>2018</v>
      </c>
      <c r="N56" s="363">
        <v>2019</v>
      </c>
      <c r="O56" s="363">
        <v>2020</v>
      </c>
      <c r="P56" s="372">
        <v>2021</v>
      </c>
      <c r="Q56" s="372">
        <v>2022</v>
      </c>
      <c r="R56" s="372">
        <v>2023</v>
      </c>
    </row>
    <row r="57" spans="1:18">
      <c r="A57" s="354">
        <v>1913</v>
      </c>
      <c r="B57" s="354">
        <v>1795</v>
      </c>
      <c r="C57" s="354">
        <v>1578</v>
      </c>
      <c r="D57" s="354">
        <v>1830</v>
      </c>
      <c r="E57" s="354">
        <v>1820</v>
      </c>
      <c r="F57" s="354">
        <v>1515</v>
      </c>
      <c r="G57" s="354">
        <v>1913</v>
      </c>
      <c r="H57" s="354">
        <v>2138</v>
      </c>
      <c r="I57" s="354">
        <v>1424</v>
      </c>
      <c r="J57" s="354">
        <v>1688</v>
      </c>
      <c r="K57" s="354">
        <v>1947</v>
      </c>
      <c r="L57" s="354">
        <v>1780</v>
      </c>
      <c r="M57" s="59">
        <v>1739</v>
      </c>
      <c r="N57" s="59">
        <v>1676</v>
      </c>
      <c r="O57" s="59">
        <v>1518</v>
      </c>
      <c r="P57" s="59">
        <v>1909</v>
      </c>
      <c r="Q57" s="59">
        <v>1554</v>
      </c>
      <c r="R57" s="59">
        <v>1564</v>
      </c>
    </row>
    <row r="59" spans="1:18">
      <c r="A59" s="434" t="s">
        <v>103</v>
      </c>
      <c r="B59" s="434" t="s">
        <v>1980</v>
      </c>
    </row>
    <row r="60" spans="1:18">
      <c r="A60" s="434" t="s">
        <v>201</v>
      </c>
      <c r="B60" s="423">
        <v>0.7</v>
      </c>
      <c r="C60" s="346" t="s">
        <v>2065</v>
      </c>
    </row>
    <row r="61" spans="1:18">
      <c r="A61" s="434" t="s">
        <v>199</v>
      </c>
      <c r="B61" s="423">
        <v>0.5</v>
      </c>
      <c r="C61" s="346" t="s">
        <v>2065</v>
      </c>
    </row>
    <row r="65" spans="1:3" ht="17.399999999999999">
      <c r="A65" s="2368" t="s">
        <v>2066</v>
      </c>
      <c r="B65" s="2368"/>
      <c r="C65" s="2368"/>
    </row>
  </sheetData>
  <sheetProtection sheet="1" formatRows="0"/>
  <mergeCells count="13">
    <mergeCell ref="J13:M13"/>
    <mergeCell ref="J14:M14"/>
    <mergeCell ref="A65:C65"/>
    <mergeCell ref="A5:G5"/>
    <mergeCell ref="A47:A49"/>
    <mergeCell ref="B47:B49"/>
    <mergeCell ref="A29:D30"/>
    <mergeCell ref="A41:D41"/>
    <mergeCell ref="J9:M9"/>
    <mergeCell ref="J8:M8"/>
    <mergeCell ref="J10:M10"/>
    <mergeCell ref="J11:M11"/>
    <mergeCell ref="J12:M12"/>
  </mergeCell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8">
    <tabColor rgb="FFC00000"/>
  </sheetPr>
  <dimension ref="A1:B2"/>
  <sheetViews>
    <sheetView workbookViewId="0">
      <selection activeCell="O22" sqref="O22"/>
    </sheetView>
  </sheetViews>
  <sheetFormatPr baseColWidth="10" defaultColWidth="9.109375" defaultRowHeight="14.4"/>
  <cols>
    <col min="1" max="1" width="121.44140625" bestFit="1" customWidth="1"/>
  </cols>
  <sheetData>
    <row r="1" spans="1:2">
      <c r="A1" t="s">
        <v>2067</v>
      </c>
    </row>
    <row r="2" spans="1:2">
      <c r="A2" t="s">
        <v>2068</v>
      </c>
      <c r="B2" t="e">
        <f ca="1">IF(SUMIF('Suivi objectifs'!A2:A40,"Production d'électricité",'Suivi objectifs'!#REF!)/1000&gt;'Bilan territorial'!I20,1,0)</f>
        <v>#REF!</v>
      </c>
    </row>
  </sheetData>
  <sheetProtection sheet="1" objects="1" scenarios="1" formatRows="0"/>
  <conditionalFormatting sqref="H27:H32">
    <cfRule type="expression" priority="1" stopIfTrue="1">
      <formula>$B$2=1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9A65A2DD5DF44A80A654981849549B" ma:contentTypeVersion="12" ma:contentTypeDescription="Crée un document." ma:contentTypeScope="" ma:versionID="34768bf0235fdfcd1d34efbf301c65d9">
  <xsd:schema xmlns:xsd="http://www.w3.org/2001/XMLSchema" xmlns:xs="http://www.w3.org/2001/XMLSchema" xmlns:p="http://schemas.microsoft.com/office/2006/metadata/properties" xmlns:ns2="c1a3df3e-33cb-4260-8132-609fc1ecef07" xmlns:ns3="db7435c9-3aa2-4ddd-a3fd-7413ce4a853b" targetNamespace="http://schemas.microsoft.com/office/2006/metadata/properties" ma:root="true" ma:fieldsID="667d4c54d64b7ab23a879112fe7cd0fd" ns2:_="" ns3:_="">
    <xsd:import namespace="c1a3df3e-33cb-4260-8132-609fc1ecef07"/>
    <xsd:import namespace="db7435c9-3aa2-4ddd-a3fd-7413ce4a85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3df3e-33cb-4260-8132-609fc1ece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7435c9-3aa2-4ddd-a3fd-7413ce4a853b"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00F681-C60F-438A-9012-8F167FB49B9F}">
  <ds:schemaRefs>
    <ds:schemaRef ds:uri="http://schemas.microsoft.com/sharepoint/v3/contenttype/forms"/>
  </ds:schemaRefs>
</ds:datastoreItem>
</file>

<file path=customXml/itemProps2.xml><?xml version="1.0" encoding="utf-8"?>
<ds:datastoreItem xmlns:ds="http://schemas.openxmlformats.org/officeDocument/2006/customXml" ds:itemID="{3AF32D4F-9F66-4F58-B96F-A8CC0C4C0C74}">
  <ds:schemaRefs>
    <ds:schemaRef ds:uri="http://schemas.microsoft.com/office/2006/metadata/properties"/>
    <ds:schemaRef ds:uri="http://schemas.microsoft.com/office/infopath/2007/PartnerControls"/>
    <ds:schemaRef ds:uri="18f0c47a-89de-4256-972f-e1abe907faa5"/>
    <ds:schemaRef ds:uri="8710636d-9857-4743-9e78-7d58039af9bd"/>
  </ds:schemaRefs>
</ds:datastoreItem>
</file>

<file path=customXml/itemProps3.xml><?xml version="1.0" encoding="utf-8"?>
<ds:datastoreItem xmlns:ds="http://schemas.openxmlformats.org/officeDocument/2006/customXml" ds:itemID="{46518666-F075-48FE-B375-E872DAD5F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3df3e-33cb-4260-8132-609fc1ecef07"/>
    <ds:schemaRef ds:uri="db7435c9-3aa2-4ddd-a3fd-7413ce4a8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59</vt:i4>
      </vt:variant>
      <vt:variant>
        <vt:lpstr>Plages nommées</vt:lpstr>
      </vt:variant>
      <vt:variant>
        <vt:i4>172</vt:i4>
      </vt:variant>
    </vt:vector>
  </HeadingPairs>
  <TitlesOfParts>
    <vt:vector size="231" baseType="lpstr">
      <vt:lpstr>Communes</vt:lpstr>
      <vt:lpstr>Logements</vt:lpstr>
      <vt:lpstr>POWER BI</vt:lpstr>
      <vt:lpstr>Accueil</vt:lpstr>
      <vt:lpstr>Prise en main</vt:lpstr>
      <vt:lpstr>Liste_bâtiments_communaux</vt:lpstr>
      <vt:lpstr>Etude opportunité chaleur</vt:lpstr>
      <vt:lpstr>Données patrimoniales</vt:lpstr>
      <vt:lpstr>Données territoriales</vt:lpstr>
      <vt:lpstr>Bilan patrimonial</vt:lpstr>
      <vt:lpstr>Bilan territorial</vt:lpstr>
      <vt:lpstr>Potentiel EnR</vt:lpstr>
      <vt:lpstr>Vision</vt:lpstr>
      <vt:lpstr>Objectifs</vt:lpstr>
      <vt:lpstr>Calcul obj relatif</vt:lpstr>
      <vt:lpstr>Mesures_eco</vt:lpstr>
      <vt:lpstr>Suivi objectifs</vt:lpstr>
      <vt:lpstr>Scénarios</vt:lpstr>
      <vt:lpstr>Mesures_conversion</vt:lpstr>
      <vt:lpstr>Modele</vt:lpstr>
      <vt:lpstr>Categories</vt:lpstr>
      <vt:lpstr>Actions bâtiments communaux</vt:lpstr>
      <vt:lpstr>ldv</vt:lpstr>
      <vt:lpstr>A1</vt:lpstr>
      <vt:lpstr>Actions</vt:lpstr>
      <vt:lpstr>Actions VS Objectifs</vt:lpstr>
      <vt:lpstr>Planning</vt:lpstr>
      <vt:lpstr>Budget</vt:lpstr>
      <vt:lpstr>Rapport de suivi</vt:lpstr>
      <vt:lpstr>Rapportage POLLEC</vt:lpstr>
      <vt:lpstr>Action POLLEC 1</vt:lpstr>
      <vt:lpstr>Action POLLEC 2</vt:lpstr>
      <vt:lpstr>Action POLLEC 3</vt:lpstr>
      <vt:lpstr>Action POLLEC 4</vt:lpstr>
      <vt:lpstr>Action POLLEC 5</vt:lpstr>
      <vt:lpstr>Action POLLEC 6</vt:lpstr>
      <vt:lpstr>Rapportage CdM</vt:lpstr>
      <vt:lpstr>IRE</vt:lpstr>
      <vt:lpstr>ICE</vt:lpstr>
      <vt:lpstr>Ma stratégie </vt:lpstr>
      <vt:lpstr>Bonnes pratiques</vt:lpstr>
      <vt:lpstr>UREBA VS CdM</vt:lpstr>
      <vt:lpstr>Voitures</vt:lpstr>
      <vt:lpstr>Mes actions</vt:lpstr>
      <vt:lpstr>Détails action 1</vt:lpstr>
      <vt:lpstr>Détails action 2</vt:lpstr>
      <vt:lpstr>Détails action 3</vt:lpstr>
      <vt:lpstr>Détails action 4</vt:lpstr>
      <vt:lpstr>Détails action 5</vt:lpstr>
      <vt:lpstr>Détails action 6</vt:lpstr>
      <vt:lpstr>Détails action 7</vt:lpstr>
      <vt:lpstr>Détails action 8</vt:lpstr>
      <vt:lpstr>Détails action 9</vt:lpstr>
      <vt:lpstr>Détails action 10</vt:lpstr>
      <vt:lpstr>Détails action 11</vt:lpstr>
      <vt:lpstr>Détails action 12</vt:lpstr>
      <vt:lpstr>Hypothèses</vt:lpstr>
      <vt:lpstr>Hypothèses &amp; Méthodo</vt:lpstr>
      <vt:lpstr>Alertes</vt:lpstr>
      <vt:lpstr>_col1</vt:lpstr>
      <vt:lpstr>_col2</vt:lpstr>
      <vt:lpstr>_col3</vt:lpstr>
      <vt:lpstr>Année</vt:lpstr>
      <vt:lpstr>Annee_2</vt:lpstr>
      <vt:lpstr>Autres_non_energetique</vt:lpstr>
      <vt:lpstr>Avancement</vt:lpstr>
      <vt:lpstr>Axe_precarite</vt:lpstr>
      <vt:lpstr>Biomet</vt:lpstr>
      <vt:lpstr>Bonnes_pratiques</vt:lpstr>
      <vt:lpstr>Branches</vt:lpstr>
      <vt:lpstr>'A1'!champ</vt:lpstr>
      <vt:lpstr>Modele!champ</vt:lpstr>
      <vt:lpstr>Choix</vt:lpstr>
      <vt:lpstr>Communes</vt:lpstr>
      <vt:lpstr>'A1'!cond</vt:lpstr>
      <vt:lpstr>cond</vt:lpstr>
      <vt:lpstr>Condition1</vt:lpstr>
      <vt:lpstr>Condition10</vt:lpstr>
      <vt:lpstr>Condition11</vt:lpstr>
      <vt:lpstr>Condition12</vt:lpstr>
      <vt:lpstr>Condition13</vt:lpstr>
      <vt:lpstr>Condition14</vt:lpstr>
      <vt:lpstr>Condition15</vt:lpstr>
      <vt:lpstr>Condition16</vt:lpstr>
      <vt:lpstr>Condition17</vt:lpstr>
      <vt:lpstr>Condition18</vt:lpstr>
      <vt:lpstr>Condition19</vt:lpstr>
      <vt:lpstr>Condition2</vt:lpstr>
      <vt:lpstr>Condition20</vt:lpstr>
      <vt:lpstr>Condition21</vt:lpstr>
      <vt:lpstr>Condition22</vt:lpstr>
      <vt:lpstr>Condition23</vt:lpstr>
      <vt:lpstr>Condition24</vt:lpstr>
      <vt:lpstr>Condition25</vt:lpstr>
      <vt:lpstr>Condition26</vt:lpstr>
      <vt:lpstr>Condition27</vt:lpstr>
      <vt:lpstr>Condition28</vt:lpstr>
      <vt:lpstr>Condition29</vt:lpstr>
      <vt:lpstr>Condition3</vt:lpstr>
      <vt:lpstr>Condition30</vt:lpstr>
      <vt:lpstr>Condition31</vt:lpstr>
      <vt:lpstr>Condition32</vt:lpstr>
      <vt:lpstr>Condition33</vt:lpstr>
      <vt:lpstr>Condition34</vt:lpstr>
      <vt:lpstr>Condition35</vt:lpstr>
      <vt:lpstr>Condition36</vt:lpstr>
      <vt:lpstr>Condition37</vt:lpstr>
      <vt:lpstr>condition38</vt:lpstr>
      <vt:lpstr>Condition39</vt:lpstr>
      <vt:lpstr>Condition4</vt:lpstr>
      <vt:lpstr>Condition5</vt:lpstr>
      <vt:lpstr>Condition6</vt:lpstr>
      <vt:lpstr>Condition7</vt:lpstr>
      <vt:lpstr>Condition8</vt:lpstr>
      <vt:lpstr>Condition9</vt:lpstr>
      <vt:lpstr>Données_autres_équipements</vt:lpstr>
      <vt:lpstr>Economie</vt:lpstr>
      <vt:lpstr>Eolien</vt:lpstr>
      <vt:lpstr>Etat</vt:lpstr>
      <vt:lpstr>Filieres</vt:lpstr>
      <vt:lpstr>Hydro</vt:lpstr>
      <vt:lpstr>Implication</vt:lpstr>
      <vt:lpstr>info</vt:lpstr>
      <vt:lpstr>infos</vt:lpstr>
      <vt:lpstr>interet</vt:lpstr>
      <vt:lpstr>investisseur</vt:lpstr>
      <vt:lpstr>Liste_batiments</vt:lpstr>
      <vt:lpstr>Liste_communes</vt:lpstr>
      <vt:lpstr>Liste1</vt:lpstr>
      <vt:lpstr>Liste10</vt:lpstr>
      <vt:lpstr>Liste11</vt:lpstr>
      <vt:lpstr>Liste12</vt:lpstr>
      <vt:lpstr>Liste13</vt:lpstr>
      <vt:lpstr>Liste14</vt:lpstr>
      <vt:lpstr>Liste15</vt:lpstr>
      <vt:lpstr>Liste16</vt:lpstr>
      <vt:lpstr>Liste17</vt:lpstr>
      <vt:lpstr>Liste18</vt:lpstr>
      <vt:lpstr>Liste19</vt:lpstr>
      <vt:lpstr>Liste2</vt:lpstr>
      <vt:lpstr>Liste20</vt:lpstr>
      <vt:lpstr>Liste21</vt:lpstr>
      <vt:lpstr>Liste22</vt:lpstr>
      <vt:lpstr>Liste23</vt:lpstr>
      <vt:lpstr>Liste24</vt:lpstr>
      <vt:lpstr>Liste25</vt:lpstr>
      <vt:lpstr>Liste26</vt:lpstr>
      <vt:lpstr>Liste27</vt:lpstr>
      <vt:lpstr>Liste28</vt:lpstr>
      <vt:lpstr>Liste29</vt:lpstr>
      <vt:lpstr>Liste3</vt:lpstr>
      <vt:lpstr>Liste30</vt:lpstr>
      <vt:lpstr>Liste31</vt:lpstr>
      <vt:lpstr>Liste32</vt:lpstr>
      <vt:lpstr>Liste33</vt:lpstr>
      <vt:lpstr>Liste34</vt:lpstr>
      <vt:lpstr>Liste35</vt:lpstr>
      <vt:lpstr>Liste36</vt:lpstr>
      <vt:lpstr>Liste37</vt:lpstr>
      <vt:lpstr>liste38</vt:lpstr>
      <vt:lpstr>Liste39</vt:lpstr>
      <vt:lpstr>Liste4</vt:lpstr>
      <vt:lpstr>Liste5</vt:lpstr>
      <vt:lpstr>Liste6</vt:lpstr>
      <vt:lpstr>Liste7</vt:lpstr>
      <vt:lpstr>Liste8</vt:lpstr>
      <vt:lpstr>Liste9</vt:lpstr>
      <vt:lpstr>Logement</vt:lpstr>
      <vt:lpstr>'A1'!Module</vt:lpstr>
      <vt:lpstr>Modele!Module</vt:lpstr>
      <vt:lpstr>Non_énerg</vt:lpstr>
      <vt:lpstr>Objectif_predefini_EE</vt:lpstr>
      <vt:lpstr>'A1'!objectifssecteur</vt:lpstr>
      <vt:lpstr>Modele!objectifssecteur</vt:lpstr>
      <vt:lpstr>'A1'!objsect</vt:lpstr>
      <vt:lpstr>Modele!objsect</vt:lpstr>
      <vt:lpstr>'A1'!objsects</vt:lpstr>
      <vt:lpstr>Modele!objsects</vt:lpstr>
      <vt:lpstr>Parties_prenantes</vt:lpstr>
      <vt:lpstr>Photovoltaïque</vt:lpstr>
      <vt:lpstr>Pourcent</vt:lpstr>
      <vt:lpstr>Pourcent_neg</vt:lpstr>
      <vt:lpstr>Public</vt:lpstr>
      <vt:lpstr>RET_Commentaire</vt:lpstr>
      <vt:lpstr>RET_Intérêt</vt:lpstr>
      <vt:lpstr>Risque</vt:lpstr>
      <vt:lpstr>'Actions bâtiments communaux'!Sect10</vt:lpstr>
      <vt:lpstr>'A1'!Sect3</vt:lpstr>
      <vt:lpstr>Modele!Sect3</vt:lpstr>
      <vt:lpstr>'A1'!Sect4</vt:lpstr>
      <vt:lpstr>Modele!Sect4</vt:lpstr>
      <vt:lpstr>'A1'!Sect5</vt:lpstr>
      <vt:lpstr>Modele!Sect5</vt:lpstr>
      <vt:lpstr>'A1'!Sect6</vt:lpstr>
      <vt:lpstr>'Actions bâtiments communaux'!Sect6</vt:lpstr>
      <vt:lpstr>Modele!Sect6</vt:lpstr>
      <vt:lpstr>'A1'!Sect7</vt:lpstr>
      <vt:lpstr>'Actions bâtiments communaux'!Sect7</vt:lpstr>
      <vt:lpstr>Modele!Sect7</vt:lpstr>
      <vt:lpstr>'A1'!Sect8</vt:lpstr>
      <vt:lpstr>'Actions bâtiments communaux'!Sect8</vt:lpstr>
      <vt:lpstr>Modele!Sect8</vt:lpstr>
      <vt:lpstr>'Actions bâtiments communaux'!Sect9</vt:lpstr>
      <vt:lpstr>'A1'!secteuaction</vt:lpstr>
      <vt:lpstr>Modele!secteuaction</vt:lpstr>
      <vt:lpstr>secteur</vt:lpstr>
      <vt:lpstr>secteuraction</vt:lpstr>
      <vt:lpstr>secteurs</vt:lpstr>
      <vt:lpstr>Secteurs_adaptation</vt:lpstr>
      <vt:lpstr>selection</vt:lpstr>
      <vt:lpstr>Source_financement</vt:lpstr>
      <vt:lpstr>Source_subvention</vt:lpstr>
      <vt:lpstr>Statut</vt:lpstr>
      <vt:lpstr>statut_projet</vt:lpstr>
      <vt:lpstr>Structure</vt:lpstr>
      <vt:lpstr>Table1</vt:lpstr>
      <vt:lpstr>Thermique</vt:lpstr>
      <vt:lpstr>Transport</vt:lpstr>
      <vt:lpstr>Type_bilan</vt:lpstr>
      <vt:lpstr>Type_depense</vt:lpstr>
      <vt:lpstr>Type_objectif</vt:lpstr>
      <vt:lpstr>Type_projet</vt:lpstr>
      <vt:lpstr>type_reseau</vt:lpstr>
      <vt:lpstr>UREBA</vt:lpstr>
      <vt:lpstr>v</vt:lpstr>
      <vt:lpstr>Vect</vt:lpstr>
      <vt:lpstr>Vecteur</vt:lpstr>
      <vt:lpstr>vecteurs</vt:lpstr>
      <vt:lpstr>'A1'!Zone_d_impression</vt:lpstr>
      <vt:lpstr>Modele!Zone_d_impression</vt:lpstr>
      <vt:lpstr>Planning!Zone_d_impression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Frederic</dc:creator>
  <cp:keywords/>
  <dc:description/>
  <cp:lastModifiedBy>CAMPION Guillaume</cp:lastModifiedBy>
  <cp:revision/>
  <dcterms:created xsi:type="dcterms:W3CDTF">2013-09-17T14:55:42Z</dcterms:created>
  <dcterms:modified xsi:type="dcterms:W3CDTF">2025-06-23T13:34:53Z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0x010100559A65A2DD5DF44A80A654981849549B</vt:lpwstr>
  </property>
  <property fmtid="{D5CDD505-2E9C-101B-9397-08002B2CF9AE}" pid="3" name="MediaServiceImageTags">
    <vt:lpwstr/>
  </property>
  <property fmtid="{D5CDD505-2E9C-101B-9397-08002B2CF9AE}" pid="4" name="MSIP_Label_97a477d1-147d-4e34-b5e3-7b26d2f44870_Enabled">
    <vt:lpwstr>true</vt:lpwstr>
  </property>
  <property fmtid="{D5CDD505-2E9C-101B-9397-08002B2CF9AE}" pid="5" name="MSIP_Label_97a477d1-147d-4e34-b5e3-7b26d2f44870_SetDate">
    <vt:lpwstr>2025-06-23T13:34:51Z</vt:lpwstr>
  </property>
  <property fmtid="{D5CDD505-2E9C-101B-9397-08002B2CF9AE}" pid="6" name="MSIP_Label_97a477d1-147d-4e34-b5e3-7b26d2f44870_Method">
    <vt:lpwstr>Standard</vt:lpwstr>
  </property>
  <property fmtid="{D5CDD505-2E9C-101B-9397-08002B2CF9AE}" pid="7" name="MSIP_Label_97a477d1-147d-4e34-b5e3-7b26d2f44870_Name">
    <vt:lpwstr>97a477d1-147d-4e34-b5e3-7b26d2f44870</vt:lpwstr>
  </property>
  <property fmtid="{D5CDD505-2E9C-101B-9397-08002B2CF9AE}" pid="8" name="MSIP_Label_97a477d1-147d-4e34-b5e3-7b26d2f44870_SiteId">
    <vt:lpwstr>1f816a84-7aa6-4a56-b22a-7b3452fa8681</vt:lpwstr>
  </property>
  <property fmtid="{D5CDD505-2E9C-101B-9397-08002B2CF9AE}" pid="9" name="MSIP_Label_97a477d1-147d-4e34-b5e3-7b26d2f44870_ActionId">
    <vt:lpwstr>39f9050f-6621-47b0-a2bf-ca2f48ddde9b</vt:lpwstr>
  </property>
  <property fmtid="{D5CDD505-2E9C-101B-9397-08002B2CF9AE}" pid="10" name="MSIP_Label_97a477d1-147d-4e34-b5e3-7b26d2f44870_ContentBits">
    <vt:lpwstr>0</vt:lpwstr>
  </property>
</Properties>
</file>